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G:\Страновая заявка в ГФ 2024\Финальный пакет 22.02.23\"/>
    </mc:Choice>
  </mc:AlternateContent>
  <bookViews>
    <workbookView xWindow="0" yWindow="0" windowWidth="23040" windowHeight="9192" tabRatio="810" firstSheet="4" activeTab="8"/>
  </bookViews>
  <sheets>
    <sheet name="Instructions" sheetId="36" r:id="rId1"/>
    <sheet name="Overview - Section A" sheetId="1" r:id="rId2"/>
    <sheet name="Version history" sheetId="25" state="veryHidden" r:id="rId3"/>
    <sheet name="Setup" sheetId="29" state="veryHidden" r:id="rId4"/>
    <sheet name="Impact Indicators - Section B " sheetId="30" r:id="rId5"/>
    <sheet name="Impact Indicator Target Update" sheetId="28" state="veryHidden" r:id="rId6"/>
    <sheet name="Reference Records" sheetId="16" state="veryHidden" r:id="rId7"/>
    <sheet name="Outcome Indicators - Section C " sheetId="31" r:id="rId8"/>
    <sheet name="Coverage Indicators - Section D" sheetId="33" r:id="rId9"/>
    <sheet name=" Disaggregation - Section E " sheetId="32" r:id="rId10"/>
    <sheet name="WPTM - Section F" sheetId="34" r:id="rId11"/>
    <sheet name="update Helper" sheetId="27" state="veryHidden" r:id="rId12"/>
    <sheet name="Target Assumptions" sheetId="37" r:id="rId13"/>
    <sheet name="Print - Summary" sheetId="38" r:id="rId14"/>
    <sheet name="Print - Goals &amp; Impact" sheetId="39" r:id="rId15"/>
    <sheet name="Print - Objectives &amp; Outcome" sheetId="40" r:id="rId16"/>
    <sheet name="Print - Coverage" sheetId="41" r:id="rId17"/>
    <sheet name="Print - WPTM" sheetId="42" r:id="rId18"/>
    <sheet name="Reference records(soft deleted)" sheetId="23" state="veryHidden" r:id="rId19"/>
    <sheet name="Disaggregation Records" sheetId="20" state="veryHidden" r:id="rId20"/>
    <sheet name="Disaggregation Data" sheetId="22" state="veryHidden" r:id="rId21"/>
    <sheet name="Account Role" sheetId="19" state="veryHidden" r:id="rId22"/>
    <sheet name="apttusmetadata" sheetId="13" state="veryHidden" r:id="rId23"/>
  </sheets>
  <externalReferences>
    <externalReference r:id="rId24"/>
  </externalReferences>
  <definedNames>
    <definedName name="_009096bb_77c7_47e9_ab78_bac00c84b439">'update Helper'!$A$34</definedName>
    <definedName name="_014af77a_8bcb_4d0c_beeb_a3d72f1332b5">'Disaggregation Records'!$G$152</definedName>
    <definedName name="_01bfc0ce_3a93_4136_98df_2e5ab51007c4">'update Helper'!$L$227</definedName>
    <definedName name="_01cccfef_5573_4d36_b9d3_e32bd9199c70">'Overview - Section A'!$AO$17:$AO$19</definedName>
    <definedName name="_0215c642_4079_4a66_b33f_02948e5b161c">'Overview - Section A'!$A$60</definedName>
    <definedName name="_02216ac2_a521_4fa9_9c18_1a31ed051d70">'Reference Records'!$M$87</definedName>
    <definedName name="_02305739_ec80_4503_b191_2e272f7ad158">'Reference records(soft deleted)'!$H$28</definedName>
    <definedName name="_0278b5de_0da4_4498_a134_99a2744a9fab">'Overview - Section A'!$X$124</definedName>
    <definedName name="_033fcd6d_adce_4700_8852_ca583a6bef6b">'Disaggregation Records'!$G$83</definedName>
    <definedName name="_0498dc4a_5706_4cf8_9462_13fccb149fe3">'update Helper'!$M$886</definedName>
    <definedName name="_04a05b73_32c0_4d2d_a31f_5fbde1b204a3">'Reference records(soft deleted)'!$D$142</definedName>
    <definedName name="_053d4715_81a5_4c4e_908e_bbbba2cb81d4">'update Helper'!$O$227</definedName>
    <definedName name="_05de697d_8f2c_4184_9d2e_6faa62695a32" comment="Display Map">'Reference records(soft deleted)'!$B$85:$H$136</definedName>
    <definedName name="_06a30c86_360f_426e_8e45_34c8bc342561" comment="Display Map">'Overview - Section A'!$A$26:$J$26</definedName>
    <definedName name="_06f0afa9_1fe3_42c4_a70c_ee03512b1215">'Reference records(soft deleted)'!$B$142</definedName>
    <definedName name="_07c6e9ba_e1f0_4c5a_9be5_1f8f2de0a270" localSheetId="0">#REF!</definedName>
    <definedName name="_07c6e9ba_e1f0_4c5a_9be5_1f8f2de0a270">'update Helper'!#REF!</definedName>
    <definedName name="_07f6212a_2a5a_452d_b852_a06db9d121bc">'Reference Records'!$M$27</definedName>
    <definedName name="_0883281e_e21d_43ef_9187_230346f845f9">'Overview - Section A'!$C$19</definedName>
    <definedName name="_089c4f14_f445_4edd_986d_5381533aad0a">'update Helper'!$M$43</definedName>
    <definedName name="_0a0c24ce_1a3f_4bf9_a8ff_c91c0647302d">'update Helper'!$T$2699</definedName>
    <definedName name="_0a25a90c_3219_438f_af02_7dbbd6432e17">'Reference Records'!$D$1:$D$548</definedName>
    <definedName name="_0b061e63_2d62_4e7f_be44_4eac7747625a">'update Helper'!$K$3</definedName>
    <definedName name="_0ba5fba9_1998_4ded_9b12_f967fc1c76dc">'update Helper'!$E$227</definedName>
    <definedName name="_0bc93981_4b8d_4224_bec6_b5e224b4bbdb">'update Helper'!$W$453</definedName>
    <definedName name="_0be7695c_11a6_45b5_b154_af6d36015894">'Reference Records'!$B$501</definedName>
    <definedName name="_0beac2ba_bbbb_431d_8bce_14dbf66bdf78">'Overview - Section A'!$E$60</definedName>
    <definedName name="_0c431a0b_6c06_4a8d_9958_df0e381f3233">'update Helper'!$F$3</definedName>
    <definedName name="_0cdb72c3_6724_4a77_bc28_1011a00b051b">'Disaggregation Data'!$K$315</definedName>
    <definedName name="_0d92c2c9_3965_40dd_8ee0_e9f02c0e3ee9">'update Helper'!$C$2699</definedName>
    <definedName name="_0dc96169_1e4e_4b6f_8f38_6c1e88134dc4">'Overview - Section A'!$L$31</definedName>
    <definedName name="_0eecfd33_4a6a_4cbb_afe3_81fb3599f535">'Reference records(soft deleted)'!$D$85:$D$86</definedName>
    <definedName name="_0f39d314_7997_497e_b89c_3c8231e774ea">'Reference Records'!$K$27</definedName>
    <definedName name="_1121e55d_6d32_4888_b652_ac9583a82d46">'update Helper'!$C$2865</definedName>
    <definedName name="_1279d174_765e_40f7_9774_a1502cee1084">'update Helper'!$D$453</definedName>
    <definedName name="_13f5bbc3_a06d_4a3e_b75e_ac6929e1cb91">'Reference Records'!$A$426:$A$427</definedName>
    <definedName name="_144bb8c4_0b16_4558_9e0b_bfebb0a9604a">'update Helper'!$C$886</definedName>
    <definedName name="_1492cdfa_6f29_4651_b3ea_fe361a5ebb05">'update Helper'!$Q$2699</definedName>
    <definedName name="_14a567c8_d8f6_4162_9aa0_c1538b8740a0" comment="Display Map">'Reference records(soft deleted)'!$B$5:$H$22</definedName>
    <definedName name="_161d698e_cfc0_4369_9f9d_683d632fec4f">'Reference Records'!$O$27</definedName>
    <definedName name="_164e6d09_185f_4eb7_8d48_b40f818dce2a" comment="Display Map">'Reference Records'!$A$86:$M$188</definedName>
    <definedName name="_185f9a59_e3dc_4a86_b1fd_a4a300de92e9">'Reference records(soft deleted)'!$F$85:$F$86</definedName>
    <definedName name="_1955075b_5332_4022_9e1d_d8310266160b">'Reference Records'!$B$440</definedName>
    <definedName name="_195784db_c268_4c63_8483_153347963bf4">'Reference records(soft deleted)'!$F$86</definedName>
    <definedName name="_198b5a5f_0f03_476f_accf_4c39afec46de">'update Helper'!$L$267</definedName>
    <definedName name="_1a080622_0d74_49cf_97f9_4810bf8030df">'Overview - Section A'!$F$60</definedName>
    <definedName name="_1aa1a76c_dd86_4169_9713_d4769c038cf4">'Overview - Section A'!$AN$5</definedName>
    <definedName name="_1adee5ff_c5c9_43db_9c1e_bb4129b790bf">'Disaggregation Records'!$F$83</definedName>
    <definedName name="_1b8aaee3_08fa_47b6_9b44_c592025d5948">'Reference Records'!$D$253</definedName>
    <definedName name="_1ba5b9ab_2d9b_4eca_b122_0032dff5772a">'Overview - Section A'!$C$19:$C$22</definedName>
    <definedName name="_1c63dced_ef57_49a2_b76c_04f2a67c4e37">'Reference Records'!$C$513</definedName>
    <definedName name="_1c9a6136_ca1e_45b0_8d91_8e499a1c2b64">'update Helper'!$F$267</definedName>
    <definedName name="_1d6a3bac_4285_4496_be35_4b6e94c6c525">'Overview - Section A'!$F$78</definedName>
    <definedName name="_1e4eb8fc_811c_44fb_af4b_e630611aebf1" localSheetId="0">#REF!</definedName>
    <definedName name="_1e4eb8fc_811c_44fb_af4b_e630611aebf1">#REF!</definedName>
    <definedName name="_1e8031e2_fb17_49db_aa23_60e8be628b5d">'update Helper'!$N$1494</definedName>
    <definedName name="_1f7a22d6_7976_4a51_98b5_b72a96a27356">'update Helper'!$N$267</definedName>
    <definedName name="_1f8e424d_2435_4858_bbf5_7f8dd0a93ebd">'update Helper'!$M$2699</definedName>
    <definedName name="_201a9b59_c648_4520_b810_e4a26475e91b">'update Helper'!$L$43</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Helper'!$J$1494</definedName>
    <definedName name="_2155cd87_2f72_4971_9bf3_5e903b4bd350">'Disaggregation Data'!$H$3</definedName>
    <definedName name="_21767732_1f31_4ce6_b119_8446771deb3e">'Reference Records'!$M$4</definedName>
    <definedName name="_21b12a26_ee05_4098_a9bf_fc0cdf7f6adb">'update Helper'!$I$267</definedName>
    <definedName name="_227c1eef_248d_4636_b70f_e17385d0de94">'Disaggregation Data'!$I$3</definedName>
    <definedName name="_233f4b6b_2a85_4f7c_a11c_783789889f27">'update Helper'!$C$453</definedName>
    <definedName name="_23c679e9_b192_40b1_95ad_e2f1dac7a992">'Disaggregation Data'!$M$3</definedName>
    <definedName name="_23debc6e_f89a_4d49_93e8_506d71c4cbb7" comment="Display Map">'Overview - Section A'!$A$123:$AQ$174</definedName>
    <definedName name="_242d575a_eb16_4795_affc_a818f9b0adad" comment="Display Map">'Disaggregation Data'!$D$2:$R$153</definedName>
    <definedName name="_2440afcf_7038_466b_9f8b_f5cb2d881ac0">'update Helper'!$M$1494</definedName>
    <definedName name="_24ce621f_5feb_4421_aa7b_30c973952869">'Overview - Section A'!$Q$31</definedName>
    <definedName name="_256acc1f_d632_49f3_a230_a7c45fed6c7d">'update Helper'!$A$2865</definedName>
    <definedName name="_25903c5a_79da_48aa_a73a_0efa3fa709b3">'Overview - Section A'!$E$7</definedName>
    <definedName name="_25c4f9c3_a465_4509_8e2f_b4c3afc12d62">'Disaggregation Data'!$M$159</definedName>
    <definedName name="_26c11d11_1dfd_419a_b62a_f0e5f18ddf3d">'update Helper'!$O$3</definedName>
    <definedName name="_27c6dfb2_6e2c_4519_aff6_82afcaea4b81">'update Helper'!$H$2865</definedName>
    <definedName name="_295f3441_adc3_4dc5_8a9e_67266d697395">'Overview - Section A'!$N$31</definedName>
    <definedName name="_29ae4ec4_c4dc_4320_ba24_ddaf89e82a28">'Reference Records'!$N$192</definedName>
    <definedName name="_29dc2e64_1893_44f6_9dcf_87e619efff18">'update Helper'!$M$3</definedName>
    <definedName name="_29de1210_4fea_46a8_ac63_eb3a3734b209">'Account Role'!$D$20</definedName>
    <definedName name="_2ab1dfcf_a207_4488_9778_05865ff67402">'Reference records(soft deleted)'!$G$86</definedName>
    <definedName name="_2bad41a3_d2d5_4a30_a026_b211ed401ae9">'Impact Indicator Target Update'!$K$1</definedName>
    <definedName name="_2c6b8785_2f7e_4ce5_948e_2066c6838182">'Reference Records'!$C$4</definedName>
    <definedName name="_2caea628_1956_4c87_bc20_7a08eb818bc7">'update Helper'!$O$1494</definedName>
    <definedName name="_2cce8ee2_6afd_41d1_bcad_99af3d7b16b5">'update Helper'!$J$519</definedName>
    <definedName name="_2d154807_2b4a_4b96_90cc_90540c97cd87">'update Helper'!$H$886</definedName>
    <definedName name="_2d8b8002_9e00_4e21_821d_5beccbd0b725">'update Helper'!$K$519</definedName>
    <definedName name="_304a4b38_aadb_465f_bec4_ede79462324a" comment="Display Map">'Account Role'!$A$19:$D$299</definedName>
    <definedName name="_30572134_8290_4750_a680_dd1dbf9fbe17" comment="Display Map">'Disaggregation Data'!$D$158:$O$309</definedName>
    <definedName name="_30b03846_ab03_4151_aecb_ffcd8f9380d3">'Reference records(soft deleted)'!$G$250</definedName>
    <definedName name="_31abdfc0_7b3f_4421_9bb3_3010b64c33c6">'Reference Records'!$B$498</definedName>
    <definedName name="_31e1e97a_f8b3_42a3_9dba_54263b984934">'Overview - Section A'!$Q$47</definedName>
    <definedName name="_33898a8c_e55b_4fb6_a523_fc8d172930cd" comment="Display Map">'Reference Records'!$B$3:$P$20</definedName>
    <definedName name="_33f94c69_7ad0_42e4_ae97_cd43ab2f6fb1">'Disaggregation Data'!$D$315</definedName>
    <definedName name="_3599e6a2_76d5_4a3e_b94f_263ea328a754">'Overview - Section A'!$AN$10</definedName>
    <definedName name="_35d1b49a_9719_423f_baf2_fde871e1bd58">'Overview - Section A'!$O$31</definedName>
    <definedName name="_3656f8fe_1658_4390_b037_f0db08258404">'update Helper'!$D$519</definedName>
    <definedName name="_36c48884_8351_429d_866b_c7cb8ec9bdfb">'Overview - Section A'!$P$31</definedName>
    <definedName name="_37fc5e03_bcc7_4685_9fef_b3f1646865b7">'Reference Records'!$C$508</definedName>
    <definedName name="_38090fcc_c83f_4075_9748_b307f993e767">'Reference records(soft deleted)'!$B$250</definedName>
    <definedName name="_38727489_790b_4106_8b2a_6a8fd7426747">'update Helper'!$I$1494</definedName>
    <definedName name="_388e9f7b_b253_414f_b074_2b51db867bec">'Overview - Section A'!$K$31</definedName>
    <definedName name="_3a54c0cb_5d61_44ab_9f5f_59c0b83c7017" comment="Save Map">'Account Role'!$B$301:$D$301</definedName>
    <definedName name="_3a87c5f7_0769_4a3a_a3e3_82a4b0341068">'Reference Records'!$C$432</definedName>
    <definedName name="_3b16469f_3a28_404f_a919_41ed115ef29e">'Disaggregation Data'!$R$3</definedName>
    <definedName name="_3b7422cb_6445_4aa9_93d7_564b3b552a88">'update Helper'!$M$227</definedName>
    <definedName name="_3c45532e_4503_44c3_aed1_88e3c7145bca">'Reference Records'!$E$192</definedName>
    <definedName name="_3c670222_be49_48d4_a6da_55d70e83d153" comment="Display Map">'Reference Records'!$A$439:$C$494</definedName>
    <definedName name="_3c7e6a65_3704_49f1_aeb5_596f9e172566">'update Helper'!$A$1494</definedName>
    <definedName name="_3d3c76b6_9fcf_4cb5_b2a3_ba632337362e">'Overview - Section A'!$Y$124</definedName>
    <definedName name="_3d6d3512_10c0_4de5_aa42_7ee068d75e48">'Reference Records'!$E$513</definedName>
    <definedName name="_3e588f48_5b47_4e13_ab21_55c135645d97">'Reference Records'!$C$440</definedName>
    <definedName name="_3f09c12b_bc4c_4018_a427_8323f6abdcde">'Impact Indicator Target Update'!$I$1</definedName>
    <definedName name="_3f14779a_3657_4ee9_b857_6b95d77074db">'Reference Records'!$A$440</definedName>
    <definedName name="_3f450a54_eabe_42be_b6a5_18c086a5d786">'Overview - Section A'!$AA$124</definedName>
    <definedName name="_3fdc2ac9_f4a3_4d6a_b2f2_58d6f3e03696">'update Helper'!$I$3</definedName>
    <definedName name="_3fe9ffb0_20f0_4e61_bd05_c39610c7d823">'update Helper'!$J$3</definedName>
    <definedName name="_413e976f_e211_495a_946b_b87ba18376c4">'update Helper'!$A$2699</definedName>
    <definedName name="_4142b5d6_b3a2_4804_93e1_6abaf2166d4c">'Reference records(soft deleted)'!$H$142</definedName>
    <definedName name="_423d3c20_41cf_4997_a293_9b1150fb8eaa">'Overview - Section A'!$AQ$124</definedName>
    <definedName name="_425b05fb_599f_421c_ad67_1b45a511d0c0">'Reference records(soft deleted)'!$D$86:$D$86</definedName>
    <definedName name="_4266c6da_54ca_4a1a_a567_1b51c0445aba">'Overview - Section A'!$C$9</definedName>
    <definedName name="_42a2ef20_7507_4137_ae83_1c4ed24d9bd9">'Reference Records'!$D$192:$D$244</definedName>
    <definedName name="_42e32736_f62b_47ce_92a8_6a1521494e49">'Reference Records'!$B$1:$B$759</definedName>
    <definedName name="_45ed0cc2_06fa_47d2_bf1a_8078df921d9b">'Impact Indicator Target Update'!$B$1</definedName>
    <definedName name="_463898c2_94f9_443e_9360_603b31e51356">'Reference Records'!$F$513</definedName>
    <definedName name="_46d565cf_c4b6_4ba9_91a9_ae6e1f229f25">'update Helper'!$N$453</definedName>
    <definedName name="_4820f755_1815_4142_9c1e_22637b4b3c30" comment="Display Map">'update Helper'!$A$226:$Q$257</definedName>
    <definedName name="_493718d5_8d74_4e5b_a628_d7a62c064791">'Overview - Section A'!$AN$11</definedName>
    <definedName name="_49926cff_7d8a_446c_9eaf_1304d30c19db">'update Helper'!$C$1190</definedName>
    <definedName name="_4994889e_24bf_4e57_b5fe_4d250c0b598a">'Reference Records'!$B$427</definedName>
    <definedName name="_4af41944_42f7_4e99_8627_878d677a4e30">'Disaggregation Data'!$O$159</definedName>
    <definedName name="_4b36df75_ea3b_4116_b8ac_4a66abe762ad" comment="Display Map">'Disaggregation Records'!$A$82:$H$148</definedName>
    <definedName name="_4b8d00e4_3b44_4af0_94c2_6912b8089f7c" localSheetId="0">#REF!</definedName>
    <definedName name="_4b8d00e4_3b44_4af0_94c2_6912b8089f7c">'Reference Records'!#REF!</definedName>
    <definedName name="_4d0cf32e_0e05_456f_b4d1_14bd4c608721">'Reference records(soft deleted)'!$B$86</definedName>
    <definedName name="_4d2be4fe_13b2_4faf_828e_93509fa81057" comment="Display Map">'update Helper'!$A$885:$O$1186</definedName>
    <definedName name="_4d46f88d_b53f_4725_b903_496b8000bb47">'Reference Records'!$P$192</definedName>
    <definedName name="_4db5cf38_f801_4806_bf2c_599132967e52">'Overview - Section A'!$N$47</definedName>
    <definedName name="_4dc32036_026a_4d5f_beb4_03786a15ba27" comment="Save Map">'update Helper'!$B$3:$I$3</definedName>
    <definedName name="_4e28d14a_809b_451a_94f7_5adb1a78a192">'Reference Records'!$B$253</definedName>
    <definedName name="_4e3ce3cc_8312_431b_a087_d993964fb260">'Overview - Section A'!$H$102</definedName>
    <definedName name="_4e5ca0c2_8d28_4ec9_a11a_86be2ce5dab2">Setup!$A$63</definedName>
    <definedName name="_4e82750a_5fea_44c6_80cf_72f682152f92">'Disaggregation Data'!$O$315</definedName>
    <definedName name="_4ede0df7_bdae_485c_a6aa_cd381b32466f">'Overview - Section A'!$A$124</definedName>
    <definedName name="_4ee906e6_a15a_4bd6_a5ab_48f7e9c4ead2">'update Helper'!$P$2699</definedName>
    <definedName name="_4efdea21_451f_4b74_a2f9_191820a288a6">'Reference Records'!$F$508</definedName>
    <definedName name="_4f178b68_20c0_4f6c_b1b2_a19a8fcafba7">'update Helper'!$C$519</definedName>
    <definedName name="_4f36af19_06bf_4c59_990d_586822b3d259">'Overview - Section A'!$A$78</definedName>
    <definedName name="_4f63865c_55fd_464f_93e9_b2225fc74687">'Reference records(soft deleted)'!$H$6</definedName>
    <definedName name="_505724dd_8547_4bc3_976d_4313725e4ae3">'update Helper'!$I$43</definedName>
    <definedName name="_50db2e80_c834_4e54_81d0_095d3a449508">'Overview - Section A'!$AN$11</definedName>
    <definedName name="_51b611bd_a560_42d0_9976_577e62d2b71d">'Overview - Section A'!$A$19</definedName>
    <definedName name="_52d6fc62_59f3_4757_a084_a8aeafb48d9b">'Overview - Section A'!$G$78</definedName>
    <definedName name="_52e13748_1182_4a4a_9d8d_bac741435bb8">'update Helper'!$B$3</definedName>
    <definedName name="_53066892_24de_428a_ae98_ea86638a4c62">'Reference Records'!$B$27</definedName>
    <definedName name="_53737226_720f_44cb_8b6f_c2a7829a2378">'Reference records(soft deleted)'!$D$28</definedName>
    <definedName name="_5486feae_3dbd_4704_9f21_63bc76d59ea7">#REF!</definedName>
    <definedName name="_54eeb97e_db74_4058_898e_3c70d10a60fb">'Overview - Section A'!$E$10</definedName>
    <definedName name="_551ff597_4d6b_4e43_80ec_d627591a4405">'update Helper'!$A$43</definedName>
    <definedName name="_55639097_3c5f_4331_a97c_5edff71d38fc">'update Helper'!$U$453</definedName>
    <definedName name="_556ddeb1_283d_4119_8033_220d00837221">'update Helper'!$G$2865</definedName>
    <definedName name="_567ed919_b486_4c41_bb70_535bc7d4ec41">'update Helper'!$P$227</definedName>
    <definedName name="_57279062_e326_494d_97d1_9dfc8942bd33" comment="Display Map">'Reference records(soft deleted)'!$B$27:$H$81</definedName>
    <definedName name="_572e42ad_37ba_41a9_bff2_b341932489fa">'Disaggregation Data'!$K$159</definedName>
    <definedName name="_5784befd_ba79_46ce_94c3_633c0a4c5b39">'update Helper'!$G$886</definedName>
    <definedName name="_5872670a_ec38_4a89_ad98_a6d82394eb83">'Reference Records'!$H$513</definedName>
    <definedName name="_58bd3376_047f_4dcd_8c2d_825da0f87b4c">'Reference Records'!$N$4</definedName>
    <definedName name="_59a28839_db65_45dc_8a19_59cbc682c3a6">'Reference records(soft deleted)'!$D$6</definedName>
    <definedName name="_59f95329_4292_4573_afbd_ad38fe5a11b5">'update Helper'!$Q$453</definedName>
    <definedName name="_5a304b38_0560_4d4b_9305_af573a971c7b">'update Helper'!$D$267</definedName>
    <definedName name="_5a6b264f_e866_4180_b32b_be3682daaa02">'Impact Indicator Target Update'!$J$1</definedName>
    <definedName name="_5aa1215d_515a_4048_8b5b_5f42e4881d07">'update Helper'!$P$3</definedName>
    <definedName name="_5b7858ba_c7ed_4c9b_bc1f_4266d944d694">'update Helper'!$M$1190</definedName>
    <definedName name="_5c348667_29c7_4f46_8bdf_9340e7ffe341">'Reference Records'!$J$253</definedName>
    <definedName name="_5d5f763d_3d34_4982_8228_6a30e5e5d212">'update Helper'!$L$453</definedName>
    <definedName name="_5d657817_9a27_4b37_bcd4_b55f78d6ac1b">'Disaggregation Data'!$I$315</definedName>
    <definedName name="_5da2fc81_49b6_4671_89eb_7b28c003e9be">'Disaggregation Data'!$O$3</definedName>
    <definedName name="_5df64d32_9a5c_414c_86e2_ae3655f5bb58">'update Helper'!$D$1494</definedName>
    <definedName name="_5e1f219c_cae5_40fc_ba27_83bc77b94308">'update Helper'!$B$2865</definedName>
    <definedName name="_5e59b3d2_3706_4a8c_932c_fdb0f6aa3c16">'Reference Records'!$K$4</definedName>
    <definedName name="_5e768e91_687d_4dfb_a07c_b558729186db">'Reference Records'!$D$251:$D$253</definedName>
    <definedName name="_5feb45e7_358f_4fcc_9644_92d1bc740165">'Reference Records'!$D$1:$D$589</definedName>
    <definedName name="_5ffe0d1a_8a84_4337_9fd0_deccf895e752">'Account Role'!$I$3</definedName>
    <definedName name="_60cca16c_2bbf_4012_b9ed_84b4cc4c6513">'Overview - Section A'!$E$27</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Records'!$A$151:$H$512</definedName>
    <definedName name="_641e8879_2a7f_4e5b_9221_71c3163e2697">'update Helper'!$C$227</definedName>
    <definedName name="_64b80052_1148_4ad0_a719_2605a229a5dd">'Reference Records'!$A$513</definedName>
    <definedName name="_651c1cff_29dc_4f61_8994_ff4aa592187f">'Reference Records'!$B$4</definedName>
    <definedName name="_654bca83_10b5_4fb3_962f_80e82dfc63ce">'Reference Records'!$B$426:$B$427</definedName>
    <definedName name="_65c26b5a_0465_48fc_a362_f2e87b3413d9">'update Helper'!$A$519</definedName>
    <definedName name="_6665a218_1941_4e63_be83_b389367e3fe6">'update Helper'!$Q$227</definedName>
    <definedName name="_666ecfb3_4890_469f_9405_c844bfec298e">'Disaggregation Data'!$P$3</definedName>
    <definedName name="_66c05feb_5ba4_4d15_8d33_a4f0ff5f795a">'Disaggregation Data'!$H$159</definedName>
    <definedName name="_66ed04dd_0830_439c_b4bc_24d70db2c1e7" comment="Display Map">'update Helper'!$A$1189:$O$1490</definedName>
    <definedName name="_6715a48b_b59c_4776_be88_a55a2bdba187">'update Helper'!$E$1494</definedName>
    <definedName name="_68131f07_373f_4ee5_8db3_e8876679341b">'update Helper'!$J$227</definedName>
    <definedName name="_6817dc8a_703d_4192_a2a8_a72a907275fb">'Reference records(soft deleted)'!$B$6</definedName>
    <definedName name="_6834aec6_db58_4138_a983_eb16ae5d5835">#REF!</definedName>
    <definedName name="_6a3dda26_b269_4afa_8b05_c602a881a167">'Overview - Section A'!$A$47</definedName>
    <definedName name="_6ac60fe2_d872_4a35_a5e2_7132294649ec" comment="Display Map">'Reference records(soft deleted)'!$B$141:$H$243</definedName>
    <definedName name="_6b293db8_2064_47cb_abbc_3f4c6d0caeda">'Overview - Section A'!$E$47</definedName>
    <definedName name="_6b7b095a_5e69_4c56_b186_9b24f30d5a48" localSheetId="0">#REF!</definedName>
    <definedName name="_6b7b095a_5e69_4c56_b186_9b24f30d5a48">'Overview - Section A'!#REF!</definedName>
    <definedName name="_6ce0ed87_5b35_40ed_9f7a_44a4e37463b9">'update Helper'!$F$43</definedName>
    <definedName name="_6de46edd_2f1b_4343_8ab7_4e70e2856d23">'update Helper'!$C$1494</definedName>
    <definedName name="_6e6943dc_a39b_4021_932f_cfd2e12ee608">'Disaggregation Records'!$A$152</definedName>
    <definedName name="_6e9ed759_a029_439a_93ab_0d062c7d6e8a" comment="Display Map">'Impact Indicator Target Update'!$B$1:$T$1</definedName>
    <definedName name="_6f4021c1_930e_44d0_a39b_d0b8c8bca29b">'update Helper'!$I$886</definedName>
    <definedName name="_6f7ec15b_c268_485e_b0b1_4f72a84c4bc6" comment="Display Map">'Overview - Section A'!$A$46:$U$53</definedName>
    <definedName name="_7013a04d_f140_4c08_95f4_355fa29beec4">'Overview - Section A'!$J$27</definedName>
    <definedName name="_708bc3f4_3b2b_4cbe_89e1_1871c272480d">'Overview - Section A'!$J$102</definedName>
    <definedName name="_70a5cda6_774c_4166_b372_07fbe25d764a">'update Helper'!$J$267</definedName>
    <definedName name="_7210282b_6d37_40e9_9208_b22105dfdb45">'Reference Records'!$J$87</definedName>
    <definedName name="_73ed6a72_5bb2_4e78_b64b_57d38f0409a1">'Disaggregation Data'!$L$3</definedName>
    <definedName name="_745d292d_fc17_4892_81af_e69f39f278df">'Reference Records'!$K$87</definedName>
    <definedName name="_75127888_d602_45ff_b831_0b6cb5ca1689">'Disaggregation Data'!$H$315</definedName>
    <definedName name="_75417d5f_8186_4610_b9ba_588590a586ac">'Disaggregation Data'!$N$3</definedName>
    <definedName name="_7554e4be_d51b_4eff_b8a1_67f281ff6896">'update Helper'!$E$886</definedName>
    <definedName name="_75e01dac_a196_4485_8c4e_3c8181e382da">'Reference Records'!$C$440:$C$495</definedName>
    <definedName name="_7638a94a_e06b_4d66_97b8_ac609d3da203" comment="Save Map">'Overview - Section A'!$E$76</definedName>
    <definedName name="_7643b6aa_7bef_476f_ad52_f8748c078a19">'Overview - Section A'!$E$78</definedName>
    <definedName name="_767e167c_49a5_47f2_969d_5168b626be63">'update Helper'!$G$519</definedName>
    <definedName name="_76f43188_477a_485f_9a13_9e30303f1124">'Overview - Section A'!$D$102</definedName>
    <definedName name="_77290f0f_e3b8_410c_9e2a_f33b99973795">'Disaggregation Records'!$B$152</definedName>
    <definedName name="_79161a16_98b0_4d79_baa1_fb3e9caa28f6">'update Helper'!$K$227</definedName>
    <definedName name="_7920b793_d507_4f7a_99e2_756c9f466e52">'Overview - Section A'!$F$102</definedName>
    <definedName name="_7a157943_9cc3_410b_ac27_f2c54152e262">'update Helper'!$G$1190</definedName>
    <definedName name="_7a72f78c_72ee_4007_958d_a1a1ee34b28b">'update Helper'!$C$43</definedName>
    <definedName name="_7ab7b090_6bd0_4a8e_8113_dd21d389a342">'Reference Records'!$D$192:$D$243</definedName>
    <definedName name="_7abccd6d_b26a_464a_a34f_823b62ef9461">'Reference Records'!$A$253</definedName>
    <definedName name="_7bac37da_c8ab_49df_9ce6_06a9736d64f8">'Reference Records'!$J$508</definedName>
    <definedName name="_7c917dad_3e1d_47db_8eb3_2b416550c06c">'update Helper'!$J$2699</definedName>
    <definedName name="_7cbcbc4a_d246_4bbc_a159_edc409a2e4fe">'Reference Records'!$I$87</definedName>
    <definedName name="_7cdc6ffc_7316_43a3_8c10_94815252d4bc">'Overview - Section A'!$E$77</definedName>
    <definedName name="_7dad7a53_3619_44b2_9f14_26d23af8b014">'Impact Indicator Target Update'!$T$1</definedName>
    <definedName name="_7dd1a1e8_b3e5_4977_b435_92933762fedb">'Account Role'!$A$20</definedName>
    <definedName name="_7e97b1d3_ddd6_4d94_b1d6_9a53b33ff98b">'Reference Records'!$D$85:$D$86</definedName>
    <definedName name="_7ea43aa2_3fad_4650_821c_ea2dc5b2b6d6">'Reference Records'!$A$87</definedName>
    <definedName name="_7fc44159_eb0c_4ec6_937c_83795558bd60">'Disaggregation Data'!$E$3</definedName>
    <definedName name="_824188d8_1928_41a5_8873_0ce612bdaed2">'update Helper'!$S$453</definedName>
    <definedName name="_8273a11c_a030_45ba_bf8f_2b577e1aa93b">'Overview - Section A'!$A$27</definedName>
    <definedName name="_8275e2f9_07b9_4fec_af79_daf5bf5849e5">'Reference Records'!$C$498</definedName>
    <definedName name="_82b810a8_4ed0_4323_bc38_7e1a937be1f8">'Overview - Section A'!$AB$124</definedName>
    <definedName name="_8369de31_1390_409f_b55a_fde61d8d7199">'update Helper'!$J$43</definedName>
    <definedName name="_83a8b122_8cd9_4c5d_9e26_19949421dbb8">'Reference Records'!$D$27</definedName>
    <definedName name="_84592985_545c_4142_977f_19911c1d7be1">'Disaggregation Data'!$D$159</definedName>
    <definedName name="_862ffe01_c829_453b_8951_9acfdd7e0f24">'Overview - Section A'!$G$102</definedName>
    <definedName name="_864425d0_252a_4246_909e_cc0826e707f2" comment="Display Map">'Account Role'!$A$2:$I$11</definedName>
    <definedName name="_8680b4e4_73f6_49ed_b636_6796b8fc3007">'update Helper'!$L$3</definedName>
    <definedName name="_86f8d6cf_6f2b_46a8_ae46_64b18c8ca3ae">'update Helper'!$O$1190</definedName>
    <definedName name="_872311fc_11bb_401c_8b93_291ded9ec451" localSheetId="0">#REF!</definedName>
    <definedName name="_872311fc_11bb_401c_8b93_291ded9ec451">#REF!</definedName>
    <definedName name="_8740d754_6057_4f92_9544_9f1b0a96c93b">'update Helper'!$H$3</definedName>
    <definedName name="_876c5893_c8a3_4066_ad24_31365064997d">'Overview - Section A'!$AN$9</definedName>
    <definedName name="_87baeec3_d609_48e9_97d3_9acbc31c6bc4">'Overview - Section A'!$U$47</definedName>
    <definedName name="_8945f316_fd9d_4e19_b3cd_c0c8202a52db">'Reference Records'!$D$192:$D$250</definedName>
    <definedName name="_8a469ed4_8916_4154_bbbf_dd81f3ca6037">'Overview - Section A'!$AN$12</definedName>
    <definedName name="_8a9ff9a8_7b42_4a34_a7bb_8f85ce3a36e0">'Reference Records'!$C$427</definedName>
    <definedName name="_8aa4cf9f_eda6_4444_a907_3c8c602dbf88">'Impact Indicator Target Update'!$H$1</definedName>
    <definedName name="_8c83dafc_06c9_46d5_82dd_2edc4cdd71ef">'Reference Records'!$C$422</definedName>
    <definedName name="_8d086166_aaa3_4eec_872e_985dceb20c48">'Reference Records'!$B$432</definedName>
    <definedName name="_8d18a379_8755_4412_801e_3a24e67a6467" comment="Display Map">'Overview - Section A'!$A$30:$R$40</definedName>
    <definedName name="_8dbce8a5_0984_44b3_b1a6_cf993b957b30">'update Helper'!$A$453</definedName>
    <definedName name="_8f38a2c2_0833_4757_9f3f_fd2bfbb481ac">'Reference Records'!$B$504</definedName>
    <definedName name="_8f4065ff_50b1_4767_83af_862a3935b277">'Overview - Section A'!$P$47</definedName>
    <definedName name="_8f4652fd_6fec_47e2_8e29_9e9058be61aa">'update Helper'!$H$227</definedName>
    <definedName name="_8fa4d884_a5b1_4041_8cad_fbf4720a13d4">'Reference Records'!$G$87</definedName>
    <definedName name="_9118c1eb_0c63_43eb_8ada_bcc3cc31337f">'update Helper'!$V$453</definedName>
    <definedName name="_9163a4e6_3076_442b_bf37_db0a0a62793a">'Reference Records'!$G$27</definedName>
    <definedName name="_92015950_0d4a_4354_be6a_adcd93a70857" localSheetId="0">#REF!</definedName>
    <definedName name="_92015950_0d4a_4354_be6a_adcd93a70857">#REF!</definedName>
    <definedName name="_940f4fc6_4a8e_4e0b_b740_efe451214fab">'update Helper'!$D$227</definedName>
    <definedName name="_94171daa_d427_4741_ae4f_2766c79a4da3">'update Helper'!$T$43</definedName>
    <definedName name="_96bf0d26_21c5_4468_ad6a_07580f9dd34c">'Impact Indicator Target Update'!$Q$1</definedName>
    <definedName name="_979ccfd5_b55a_4492_8e26_a6633c09ca4c" localSheetId="0">#REF!</definedName>
    <definedName name="_979ccfd5_b55a_4492_8e26_a6633c09ca4c">'Reference Records'!#REF!</definedName>
    <definedName name="_97b6ca24_107e_44db_bc88_4db332fdf22a">'update Helper'!$R$453</definedName>
    <definedName name="_97db3924_742c_4f61_af12_dab7752ccc44">'Account Role'!$B$3</definedName>
    <definedName name="_97f1b32c_6621_44f3_b00b_23facc4a8c9f">'Reference Records'!$D$190:$D$192</definedName>
    <definedName name="_9874a6dc_a3b8_4db0_9a74_e4c3c5dd126f">'update Helper'!$G$227</definedName>
    <definedName name="_9898c5eb_afc0_4eaf_8387_942d1b2e57cb">'update Helper'!$N$3</definedName>
    <definedName name="_99c3b064_facc_46ff_8835_927313074f4d">'Disaggregation Records'!$F$3</definedName>
    <definedName name="_9a500917_dab9_4d8c_82b0_84e6e58cb053">'update Helper'!$A$1190</definedName>
    <definedName name="_9a975b68_4a25_421c_bf56_ce3e9602ca12">'Account Role'!$D$302</definedName>
    <definedName name="_9c766a82_9c33_4b1d_9f4c_76c2bcf6e551" comment="Display Map">'update Helper'!$A$1493:$O$2694</definedName>
    <definedName name="_9c8612d6_cb9f_4fcd_b707_4fdfc8d07b47">'Account Role'!$B$302</definedName>
    <definedName name="_9cfc31ab_a677_4d1c_b5d4_df5c521ee5ef">'update Helper'!$N$43</definedName>
    <definedName name="_9d318a0d_d7a3_48e8_a51b_60ca16c1c976">'Disaggregation Data'!$Q$3</definedName>
    <definedName name="_9d4507c5_5622_4e77_997d_65777e4b9b29">'update Helper'!$G$453</definedName>
    <definedName name="_9d5a644f_9e3c_487b_9af4_779a60541f4e">'Reference Records'!$D$87</definedName>
    <definedName name="_9eb66103_54d0_486c_84fe_f3948ec313af">'Disaggregation Records'!$H$152</definedName>
    <definedName name="_9f0d4df8_7f69_41ab_b823_8fad2df76213">'update Helper'!$C$267</definedName>
    <definedName name="_9f29fc9a_a965_4afd_b189_7a3eca59d516">'Reference Records'!$D$1:$D$559</definedName>
    <definedName name="_9f9fdd59_86c9_4295_b308_3619d68d6aaf">'Reference Records'!$C$253</definedName>
    <definedName name="_9ff47b3a_d28b_411b_a98b_bf4244606f53">'Disaggregation Data'!$F$159</definedName>
    <definedName name="_a050c83a_8d4a_49ab_a808_e922507fb301">'update Helper'!$M$453</definedName>
    <definedName name="_a06ae70f_aaf6_4179_9a0c_964df3537fbf" comment="Display Map">'Overview - Section A'!$A$77:$H$90</definedName>
    <definedName name="_a06d7903_f4dc_429c_b13c_c30db338eb1e">#REF!</definedName>
    <definedName name="_a21e317a_560b_434a_9c6a_b52a9755e408">'Reference Records'!$D$189:$D$243</definedName>
    <definedName name="_a2b49755_1adb_4266_aaf8_271d0b7524b1">'update Helper'!$D$1190</definedName>
    <definedName name="_a35161b8_a808_4c7e_845f_e699179b5e0a">'Disaggregation Records'!$H$83</definedName>
    <definedName name="_a3bb9706_a655_4815_ac17_285a5395dd17">'Overview - Section A'!$E$9</definedName>
    <definedName name="_a4f8ca5a_c29b_4e8a_b75c_6e98ee1c35c5">'update Helper'!$A$227</definedName>
    <definedName name="_a56e44bf_ca89_4206_8199_57e3e8408cd6">'update Helper'!$H$1190</definedName>
    <definedName name="_a5dfcb7f_e430_4fb5_9b5b_e22c4b6ca98e">'update Helper'!$H$1494</definedName>
    <definedName name="_a676465c_2e79_4840_afcd_6eb0129d896a">#REF!</definedName>
    <definedName name="_a6da39b6_381d_4803_a309_a76c19e134f0">'Reference Records'!$P$4</definedName>
    <definedName name="_a7b11238_9f6e_4351_921e_572fe001503d">'update Helper'!$A$886</definedName>
    <definedName name="_a7ecb8b9_6334_4d27_a6e4_bb07adb71898" localSheetId="0">#REF!</definedName>
    <definedName name="_a7ecb8b9_6334_4d27_a6e4_bb07adb71898">'Overview - Section A'!#REF!</definedName>
    <definedName name="_a80237bb_7952_4c04_9a7a_1cdad38cbd16">'Overview - Section A'!$H$60</definedName>
    <definedName name="_a8f46077_3c03_49ff_b812_2b8ac08cae66" comment="Display Map">'Reference Records'!$C$191:$P$242</definedName>
    <definedName name="_aba4e79f_5ce3_41ca_abf0_8cba57c47dec" comment="Display Map">'update Helper'!$A$452:$W$513</definedName>
    <definedName name="_abbd2de4_555f_487e_a305_ee28249928f4">'Disaggregation Records'!$A$3</definedName>
    <definedName name="_abcb1332_3cc3_40cb_9eb6_e49185148047">'Account Role'!$B$20</definedName>
    <definedName name="_ac5ba2d1_98f0_4aa2_a6c2_322cafcae1b8">'Reference records(soft deleted)'!$G$28</definedName>
    <definedName name="_aca742d7_5b19_4aa5_8a32_739546d173c7">'Disaggregation Data'!$L$315</definedName>
    <definedName name="_aca7f1bf_77d4_41d2_b85a_8fc4694aaa5d">'Disaggregation Records'!$E$152</definedName>
    <definedName name="_ad718d62_e2fd_4c3a_a018_8c8f5eec5644">'Reference Records'!$C$4:$C$24</definedName>
    <definedName name="_ae20a710_31d4_43ea_bb8e_98f8a452d9b5">'update Helper'!$A$267</definedName>
    <definedName name="_aef23396_73a2_4449_b64b_574e315ee717">'Disaggregation Records'!$A$83</definedName>
    <definedName name="_af4893e4_fb2a_43c4_a459_75a79635184d">'Disaggregation Records'!$E$3</definedName>
    <definedName name="_af984491_07b4_45c6_827e_4a5a0e41cd92">'Reference records(soft deleted)'!$F$86:$F$86</definedName>
    <definedName name="_afb1ac33_4702_4bdb_87c5_ccde46f5946b">'update Helper'!$F$1494</definedName>
    <definedName name="_afe46063_176e_42e7_9258_aafceea72a7c">'Account Role'!$E$3</definedName>
    <definedName name="_b00633c8_5ccc_4622_86d1_07ff694c24a1">'update Helper'!$L$519</definedName>
    <definedName name="_b01f6605_c50f_49e5_8841_306b902e21b5">'Reference Records'!$E$253</definedName>
    <definedName name="_b08eede9_e417_4197_bdb0_e7afb6ff7f75">'update Helper'!$F$453</definedName>
    <definedName name="_b160391b_7f82_4ca2_b7a1_742da234e320">'Reference Records'!$B$508</definedName>
    <definedName name="_b184a48f_c367_42e0_abea_de10491cdb89">'Overview - Section A'!$R$124</definedName>
    <definedName name="_b1feba10_b99d_4aa3_a757_8fc1226a1ade">'Reference Records'!$K$253</definedName>
    <definedName name="_b25b57c0_b3c6_4bd0_84af_ecd0c047480e">'Reference Records'!$C$87</definedName>
    <definedName name="_b29140ce_2067_4616_98b2_f6e9312dff45" comment="Display Map">'Reference Records'!$A$497:$C$497</definedName>
    <definedName name="_b29fac7f_0112_4608_9b2f_b935e3a5c47a" localSheetId="0">#REF!</definedName>
    <definedName name="_b29fac7f_0112_4608_9b2f_b935e3a5c47a">#REF!</definedName>
    <definedName name="_b2a433e8_e2eb_496e_9eab_56d34260a1ea">'update Helper'!$O$453</definedName>
    <definedName name="_b517363e_a660_4f5c_8200_ca9f715b3954">'Reference Records'!$E$508</definedName>
    <definedName name="_b5821112_3c0f_46ea_8691_81e5396982ed">'Reference Records'!$B$426</definedName>
    <definedName name="_b5e8f7c0_1f6c_4f34_9e09_d35ca3f3eb39" comment="Display Map">'Reference records(soft deleted)'!$B$249:$G$415</definedName>
    <definedName name="_b625dd51_c3f0_4d71_a2a9_f6fa8dac524b">'Reference records(soft deleted)'!$H$86</definedName>
    <definedName name="_b630336b_3644_4bf6_8d7c_9c418ad44fc5">'Disaggregation Data'!$D$3</definedName>
    <definedName name="_b7198351_a7ba_44b7_a1ec_111ed8317cb2">'Reference Records'!$B$513</definedName>
    <definedName name="_b8526b1f_d531_4d05_a35b_d24976af94b3">'update Helper'!$D$2699</definedName>
    <definedName name="_b88374ec_47cc_43db_8a49_31b8f7dfbe2a">'Reference Records'!$A$498</definedName>
    <definedName name="_b934b5c4_3a3d_4290_b4f5_665f1fa1d8f9">'Disaggregation Data'!$E$159</definedName>
    <definedName name="_b9568051_a72c_4c87_bd12_0a431f6a32e6">'Disaggregation Data'!$I$159</definedName>
    <definedName name="_ba047ad1_b51f_49a2_b3c8_be30d392985a">'Reference Records'!$D$191:$D$249</definedName>
    <definedName name="_ba2bf24f_92d4_4847_a100_634fcade40b6">'Impact Indicator Target Update'!$P$1</definedName>
    <definedName name="_ba6766eb_3a68_462e_a136_4851bdedd0eb">'update Helper'!$F$227</definedName>
    <definedName name="_ba991538_8d20_47dc_8a22_03bf80508d2c">'Disaggregation Data'!$F$3</definedName>
    <definedName name="_bb1c154e_4700_4eae_bb81_f16337d16856">'update Helper'!$D$3</definedName>
    <definedName name="_bcc0af4e_01ec_4ed2_a0bb_891e67117226">'update Helper'!$F$2699</definedName>
    <definedName name="_bcc44ce4_7811_4a37_b19a_adb1c9975c5c">'Overview - Section A'!$O$47</definedName>
    <definedName name="_bd075b26_707d_4b39_aea7_5e22fa05d673">'update Helper'!$F$1190</definedName>
    <definedName name="_bd8c6a42_6cde_4c17_9f1a_04e7b83fd063">'Reference Records'!$E$27</definedName>
    <definedName name="_be2888a7_b322_47d2_be71_a4093cf83c44">'Reference Records'!$D$1:$D$578</definedName>
    <definedName name="_be67395e_f578_42fc_bfe7_912f09db8571">'Disaggregation Records'!$G$3</definedName>
    <definedName name="_bef2cdda_6c4d_45cf_b550_ea24e68795bf">'Overview - Section A'!$M$47</definedName>
    <definedName name="_bf1ad2f1_a865_4b00_8649_f62663e1cb01">'Reference Records'!$D$508</definedName>
    <definedName name="_bf857707_f3ed_43ba_b26e_78e553c3b599">#REF!</definedName>
    <definedName name="_c021eee3_85ca_4b4c_871f_c2ca4000adb3" comment="Display Map">'Reference Records'!$B$26:$P$80</definedName>
    <definedName name="_c07ca49e_51e3_407c_ba04_a326571d945c">'Reference Records'!$O$4</definedName>
    <definedName name="_c0adc2e9_f3e8_47e3_ab9a_3b0590b08e3b">'Reference Records'!$D$191:$D$244</definedName>
    <definedName name="_c0eb8ac6_1c46_4f57_b21f_9a8652dcb01f">'Reference Records'!$A$429</definedName>
    <definedName name="_c169a647_ad7f_4a68_9402_5984b64252f0">'update Helper'!$M$267</definedName>
    <definedName name="_c1e3d9da_0aa8_4938_92fd_28ad968bd219">'Reference Records'!$C$27</definedName>
    <definedName name="_c27248fe_f16e_4b61_a04b_ff479754f280">'Reference Records'!$N$27</definedName>
    <definedName name="_c3255f12_430f_4fb3_ac0c_8418a8f0e420">'update Helper'!$R$2699</definedName>
    <definedName name="_c438aaa1_5662_46ac_b40e_79add5b8ca04">'Overview - Section A'!$C$17:$C$19</definedName>
    <definedName name="_c595585e_bd83_42a8_bd9d_c64c0f83e863">'update Helper'!$K$267</definedName>
    <definedName name="_c7239f8e_e972_4d0a_ac9c_049341720ca8">'Reference Records'!$H$192</definedName>
    <definedName name="_c811d6c6_78b7_497a_b948_2c1cd9a8b3fc">'Overview - Section A'!$Z$124</definedName>
    <definedName name="_c85353e2_2d93_4dee_b666_5a9395f33b51">'Overview - Section A'!$R$31</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16d6_9c15_4e1f_ac60_1e26110a756c" comment="Display Map">'update Helper'!$A$266:$N$447</definedName>
    <definedName name="_ca4ab06b_5324_40ab_a432_1139d7cb9e9a">'Reference Records'!$D$192</definedName>
    <definedName name="_ca7e0af3_de36_4376_a561_5d3c742acebc">'update Helper'!$E$2699</definedName>
    <definedName name="_cbe75001_1b1f_4684_b8fc_dd97cd572e08">'Reference Records'!$M$192</definedName>
    <definedName name="_cc652be8_c987_44b0_a7b8_b38f24a774fd">'Account Role'!$A$3</definedName>
    <definedName name="_cd1a838d_967d_4df8_8959_da3e91d019c7">'update Helper'!$G$2699</definedName>
    <definedName name="_cd3a8228_a564_4a29_bb53_8d23f3af4f8d">'update Helper'!$C$3</definedName>
    <definedName name="_ced5d642_f902_4116_8eec_365c1d0be056">'update Helper'!$F$519</definedName>
    <definedName name="_cf337c18_bbd6_41ea_aeb8_6889dc68b851">'Reference records(soft deleted)'!$D$86</definedName>
    <definedName name="_cfcb4c96_c88e_4a35_803a_a889e9dd7d09" comment="Display Map">'Disaggregation Data'!$D$314:$Q$915</definedName>
    <definedName name="_d0af162b_ba98_4147_a6fc_7c6ff1aaf471">'Disaggregation Data'!$N$159</definedName>
    <definedName name="_d0c4e2e8_ed5b_4f3b_98ce_3538f040ffdd">'update Helper'!$D$43</definedName>
    <definedName name="_d0e6db09_4210_45d4_bc55_3258a5a7becd">'Reference Records'!$M$3:$M$24</definedName>
    <definedName name="_d1f82863_9819_4548_ae1f_e4cfe92df877">'update Helper'!$I$2865</definedName>
    <definedName name="_d20ef977_ad63_4fe7_833a_109f9e7d5f64">'update Helper'!$C$3</definedName>
    <definedName name="_d24f669d_00e1_4357_b04c_2c97c933dfec">'Overview - Section A'!$I$27</definedName>
    <definedName name="_d2c977b0_75f6_4448_a11e_cb59fc25d8cd" comment="Display Map">'update Helper'!$A$2:$Q$33</definedName>
    <definedName name="_d36529d4_505a_4d7c_b7e5_0c40a3c08386" comment="Display Map">'update Helper'!$A$2864:$I$3825</definedName>
    <definedName name="_d3c97d2c_8f02_48a8_9f55_0d54d7c5d330">'update Helper'!$N$2699</definedName>
    <definedName name="_d55f73ea_40dd_46a0_b46b_1f915532d5da" comment="Display Map">'Overview - Section A'!$A$18:$C$21</definedName>
    <definedName name="_d5b3d3f7_d9f7_482d_8e65_f987f575a087">'Reference Records'!$K$192</definedName>
    <definedName name="_d60e4a5c_ee1a_41d4_9548_2aede18bc786">'update Helper'!$D$886</definedName>
    <definedName name="_d62bbd88_c7fe_4846_8ed9_76818d8946c8">'Reference Records'!$G$4</definedName>
    <definedName name="_d6de9e79_2a33_496b_9418_d4b52d6dcaf1">'Reference Records'!$B$26:$B$628</definedName>
    <definedName name="_d72177c9_4374_45f7_b5a5_f0b6222e9566">'Reference Records'!$E$4</definedName>
    <definedName name="_d791d01f_0186_458b_a5f9_af82787014ec">'Reference Records'!$L$87</definedName>
    <definedName name="_d8f3b323_94ba_4c08_b760_0447353ff6ee">'Reference Records'!$D$4</definedName>
    <definedName name="_d8fd749f_f8d5_4232_b69a_8b62a79328ac">'Overview - Section A'!$L$47</definedName>
    <definedName name="_d9225ee9_4711_40fa_bb89_6747c9d62bad">'Overview - Section A'!$G$60</definedName>
    <definedName name="_d93c4c11_f795_4c65_88eb_c43040eba27e" comment="Display Map">'Overview - Section A'!$A$101:$J$117</definedName>
    <definedName name="_d9ef6160_0711_4f41_8235_1e8bf2ea40ed" comment="Display Map">'update Helper'!$A$42:$T$223</definedName>
    <definedName name="_da2bea4d_26d3_4c8d_8f53_a31050d37481">'Reference Records'!$B$1:$B$748</definedName>
    <definedName name="_daae6694_aad0_48b5_b679_94999f870976">'Reference records(soft deleted)'!$G$142</definedName>
    <definedName name="_db4e2d75_1080_4f7d_bbb6_279cfc0396d6">'Reference Records'!$B$428</definedName>
    <definedName name="_db554049_85ce_4129_b1fc_a4968be4421e">'Reference records(soft deleted)'!$B$86:$B$137</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Helper'!$I$2699</definedName>
    <definedName name="_dce503c9_6770_4063_b9a4_70c4486bab14" comment="Display Map">'Reference Records'!$A$512:$F$512</definedName>
    <definedName name="_dd1bf6a4_f36b_4539_baa8_c7f8ba7742c0">'update Helper'!$I$1190</definedName>
    <definedName name="_dd26d46b_6921_487e_9c78_867c8d059003">'update Helper'!$G$3</definedName>
    <definedName name="_dd59b4c1_0127_483f_94d6_e325d726d50b">'update Helper'!$J$886</definedName>
    <definedName name="_dd5cbb23_508a_4a49_9ee3_de02706f296e">'Reference Records'!$B$87</definedName>
    <definedName name="_dd67381d_8fda_4031_b9f2_2b97d7ad93a0">'update Helper'!$J$1190</definedName>
    <definedName name="_dd82b481_1d70_467c_8a1e_607df41e8dcb">'Reference Records'!$D$1:$D$539</definedName>
    <definedName name="_de349e90_1cd6_4d52_ab09_1d344b331133">'update Helper'!$E$453</definedName>
    <definedName name="_de8310b5_e4d3_4b94_b262_26a424148ac2">#REF!</definedName>
    <definedName name="_e0977557_e4c5_4ef4_9559_6de2a1c73a50">'Overview - Section A'!$A$31</definedName>
    <definedName name="_e1b18bf0_c01a_41f9_9d0f_7ff41a4c9212">'Reference records(soft deleted)'!$B$28</definedName>
    <definedName name="_e2f4a6c9_b971_491e_a3b4_1227bbe38c83">'Reference records(soft deleted)'!$D$250</definedName>
    <definedName name="_e3593433_048f_4c41_83d3_f74a839a639f">'Disaggregation Records'!$E$83</definedName>
    <definedName name="_e3fd5f4b_01b0_4087_9e0e_fd0199800be6">'Overview - Section A'!$I$102</definedName>
    <definedName name="_e483748a_15bd_4bef_9378_0d3e824decd0">'Reference Records'!$L$192</definedName>
    <definedName name="_e4b1e3b9_6a2a_43ea_8ece_3c48082dabab">'Reference Records'!$C$192</definedName>
    <definedName name="_e4ebe33e_2d9b_4fab_b6ee_d23a5404bb5e" comment="Display Map">'update Helper'!$A$2698:$T$2859</definedName>
    <definedName name="_e4f7af1b_dca3_4c5d_8b1f_84c882749f97">'update Helper'!$L$886</definedName>
    <definedName name="_e588dca0_ef3a_4dbf_9030_9759fda803aa">'update Helper'!$N$227</definedName>
    <definedName name="_e5e0e9c5_229b_41b4_a9b1_b5fd68f1f31c">'Disaggregation Records'!$B$3</definedName>
    <definedName name="_e6d95e65_44bf_4846_b78f_816689d6036f">'Disaggregation Records'!$B$83</definedName>
    <definedName name="_e713ed26_c546_4a6a_a951_288830ca8584">'update Helper'!$E$1190</definedName>
    <definedName name="_e7376eac_dd30_408a_a7f8_cf3a10067c4b">'update Helper'!$Q$3</definedName>
    <definedName name="_e774554e_fb6f_43f6_baf0_c17f0492b38e">'update Helper'!$K$43</definedName>
    <definedName name="_e8ee11f8_cd11_4941_8f4e_979bc348765e">'update Helper'!$G$1494</definedName>
    <definedName name="_ea0a6aff_050a_4e7c_bb67_efe887a6ff8c">'Reference Records'!$B$192:$B$192</definedName>
    <definedName name="_ea72c56b_d1e9_4c5d_ba1d_cc707a1c7a52">'Reference Records'!$C$428</definedName>
    <definedName name="_eabb6097_6646_49fe_9d42_cce1d696601b">'Overview - Section A'!$A$102</definedName>
    <definedName name="_eb865535_e191_4538_9980_a9996247965e">'Reference Records'!$A$26:$A$628</definedName>
    <definedName name="_eb8a8753_6636_439f_a556_a0393f6189cd">'Reference Records'!$B$26:$B$639</definedName>
    <definedName name="_eb940844_13db_4509_a1c4_ff0a8c68abd7">'Disaggregation Records'!$F$152</definedName>
    <definedName name="_ec317833_0071_4b2e_932c_62684bcb2384">'Disaggregation Data'!$M$315</definedName>
    <definedName name="_ecb887c9_f351_4ec2_95ef_320af361ff42" comment="Display Map">'update Helper'!$A$518:$T$879</definedName>
    <definedName name="_ed0f40d6_45a1_4737_908f_0fb3a2e7f6d7">'Reference Records'!$B$431</definedName>
    <definedName name="_ed5e1e73_96fb_4b40_8914_afa833caebc4">'Reference Records'!$P$27</definedName>
    <definedName name="_edacc156_af86_4bf8_90dd_b9a22fc62817">'Account Role'!$D$3</definedName>
    <definedName name="_ee5c2fa9_b685_4c9b_9614_9ed1cefc534c">'update Helper'!$T$519</definedName>
    <definedName name="_ef7c4cda_9fba_4d2c_b2ff_8d22eb3a22ac">'update Helper'!$I$453</definedName>
    <definedName name="_eff8d1d0_83be_4592_a0a6_0649571f1cd1">'update Helper'!$J$453</definedName>
    <definedName name="_f01d1473_f9e7_453c_95a5_ada7b865eabb">'Overview - Section A'!$H$78</definedName>
    <definedName name="_f0e38211_457f_4b07_8179_77ff6278dd2b">'update Helper'!$P$453</definedName>
    <definedName name="_f1c519aa_961b_42b6_a4f4_d9f451ddf622" comment="Display Map">'Overview - Section A'!$A$59:$H$72</definedName>
    <definedName name="_f2045cc5_f4d7_4b1d_8aeb_d44e7918995b">'Disaggregation Data'!$K$3</definedName>
    <definedName name="_f21c8db1_2baf_45f9_a210_b096e419362b">'Overview - Section A'!$E$11</definedName>
    <definedName name="_f25f0134_a952_4eb1_bd5d_4a854d76f318">#REF!</definedName>
    <definedName name="_f2e17f54_33e5_4fb3_8547_527de2a7d0ac">'Overview - Section A'!$C$19:$C$23</definedName>
    <definedName name="_f2fd8fcc_ffb4_4a74_add3_cc75b21c4f97">'update Helper'!$O$886</definedName>
    <definedName name="_f3654abd_3fbc_41ef_a2e7_0d54ea478341" comment="Display Map">'Disaggregation Records'!$A$2:$H$79</definedName>
    <definedName name="_f49d11bf_1daa_488c_9d5d_301c7c8cbd52">'update Helper'!$T$453</definedName>
    <definedName name="_f686534e_e5b4_42a0_a0f2_a919117d0136">'update Helper'!$K$453</definedName>
    <definedName name="_f6cc91f7_16cd_4c28_ae23_539a66875c7e" comment="Display Map">'Reference Records'!$B$507:$J$507</definedName>
    <definedName name="_f8da171f_1ef1_4701_824e_35a927e47c50">'Overview - Section A'!$Q$124</definedName>
    <definedName name="_fa55b4d1_29cb_4b51_b2d0_8f7892f292e2">'update Helper'!$L$1190</definedName>
    <definedName name="_fb49a0f5_e5ed_4c10_a872_8ffb830e99f7">'update Helper'!$S$2699</definedName>
    <definedName name="_fbe591c5_4692_4048_ae00_0b5a533edf73">'update Helper'!$E$3</definedName>
    <definedName name="_fccfb4fa_0a30_41be_9334_74bc5779fbd3">'Reference Records'!$C$426:$C$427</definedName>
    <definedName name="_fd286dae_26cb_4aad_a5f8_c4e877a2e920" comment="Display Map">'Reference Records'!$A$252:$K$418</definedName>
    <definedName name="_fe1fc4f2_e57c_4328_acb9_6e901a0a2e1c">'Reference Records'!$G$192</definedName>
    <definedName name="_fe54ad0d_3f3e_403b_8c5a_3ee1b37390d2">'Disaggregation Data'!$Q$315</definedName>
    <definedName name="_feae67d4_d3a5_4668_9be8_07f6d66f3049">'update Helper'!$I$519</definedName>
    <definedName name="_ff85bbe8_e093_4bde_9ecb_ca8f310bef73">'Reference Records'!$B$192:$B$250</definedName>
    <definedName name="_Hlk113980071" localSheetId="0">Instructions!$A$148</definedName>
    <definedName name="_xlnm._FilterDatabase" localSheetId="21" hidden="1">'Account Role'!$B:$B</definedName>
    <definedName name="_xlnm._FilterDatabase" localSheetId="1" hidden="1">'Overview - Section A'!$A$30:$R$40</definedName>
    <definedName name="AccountRole" localSheetId="0">OFFSET(#REF!,1,0,MATCH("*",#REF!,-1)-1,1)</definedName>
    <definedName name="AccountRole">OFFSET('Account Role'!$C$3,1,0,MATCH("*",'Account Role'!$C$3:$C$12,-1)-1,1)</definedName>
    <definedName name="AIM_Coverage_Disaggregation__c.AIM_Year__c">apttusmetadata!$AG$2:$AG$30</definedName>
    <definedName name="AIM_Coverage_Indicator__c.AIM_Geographic_Coverage__c">apttusmetadata!$AB$2:$AB$6</definedName>
    <definedName name="AIM_Coverage_Indicator__c.AIM_Rating_Cumulation_Type__c">apttusmetadata!$AC$2:$AC$8</definedName>
    <definedName name="AIM_Coverage_Indicator__c.AIM_Year__c">apttusmetadata!$AD$2:$AD$30</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apttusmetadata!$AP$2:$AP$5</definedName>
    <definedName name="AIM_Impact_Disaggregation__c.AIM_Baseline_Year__c">apttusmetadata!$AK$2:$AK$30</definedName>
    <definedName name="AIM_Impact_Indicator__c.AIM_Baseline_Year__c">apttusmetadata!$AH$2:$AH$30</definedName>
    <definedName name="AIM_Impact_Indicator_Targets_Results__c.AIM_Mark_if_target_is_TBD__c">apttusmetadata!$AJ$2</definedName>
    <definedName name="AIM_Impact_Indicator_Targets_Results__c.AIM_Year_of_Target__c">apttusmetadata!$AI$2:$AI$30</definedName>
    <definedName name="AIM_Impact_Outcome_References__c.AIM_Data_Type_Target__c">apttusmetadata!$AQ$2:$AQ$4</definedName>
    <definedName name="AIM_Impact_Outcome_References__c.Impact.AIM_Data_Type_Target__c">apttusmetadata!$AV$2:$AV$4</definedName>
    <definedName name="AIM_Impact_Outcome_References__c.Master.AIM_Data_Type_Target__c">apttusmetadata!$AX$2:$AX$5</definedName>
    <definedName name="AIM_Impact_Outcome_References__c.Outcome.AIM_Data_Type_Target__c">apttusmetadata!$AW$2:$AW$4</definedName>
    <definedName name="AIM_Module_Coverage_Interventio_Comp_Ref__c.AIM_Data_Type__c">apttusmetadata!$AR$2:$AR$5</definedName>
    <definedName name="AIM_Module_Coverage_Interventio_Comp_Ref__c.Coverage.AIM_Data_Type__c">apttusmetadata!$AU$2:$AU$5</definedName>
    <definedName name="AIM_Module_Coverage_Interventio_Comp_Ref__c.Coverage.L1FR_Cumulation_Type__c">apttusmetadata!$BB$2:$BB$4</definedName>
    <definedName name="AIM_Module_Coverage_Interventio_Comp_Ref__c.Coverage_by_Population.AIM_Data_Type__c">apttusmetadata!$AS$2:$AS$5</definedName>
    <definedName name="AIM_Module_Coverage_Interventio_Comp_Ref__c.Coverage_by_Population.L1FR_Cumulation_Type__c">apttusmetadata!$AZ$2:$AZ$4</definedName>
    <definedName name="AIM_Module_Coverage_Interventio_Comp_Ref__c.Intervention.AIM_Data_Type__c">apttusmetadata!$AV$2:$AV$5</definedName>
    <definedName name="AIM_Module_Coverage_Interventio_Comp_Ref__c.Intervention.L1FR_Cumulation_Type__c">apttusmetadata!$BC$2:$BC$4</definedName>
    <definedName name="AIM_Module_Coverage_Interventio_Comp_Ref__c.Intervention_By_Population.AIM_Data_Type__c">apttusmetadata!$AT$2:$AT$5</definedName>
    <definedName name="AIM_Module_Coverage_Interventio_Comp_Ref__c.Intervention_By_Population.L1FR_Cumulation_Type__c">apttusmetadata!$BA$2:$BA$4</definedName>
    <definedName name="AIM_Module_Coverage_Interventio_Comp_Ref__c.L1FR_Cumulation_Type__c">apttusmetadata!$AY$2:$AY$4</definedName>
    <definedName name="AIM_Module_Coverage_Interventio_Comp_Ref__c.Master.AIM_Data_Type__c">apttusmetadata!$AX$2:$AX$5</definedName>
    <definedName name="AIM_Module_Coverage_Interventio_Comp_Ref__c.Master.L1FR_Cumulation_Type__c">apttusmetadata!$BE$2:$BE$4</definedName>
    <definedName name="AIM_Module_Coverage_Interventio_Comp_Ref__c.Module.AIM_Data_Type__c">apttusmetadata!$AW$2:$AW$5</definedName>
    <definedName name="AIM_Module_Coverage_Interventio_Comp_Ref__c.Module.L1FR_Cumulation_Type__c">apttusmetadata!$BD$2:$BD$4</definedName>
    <definedName name="AIM_Outcome_Disaggregation__c.AIM_Baseline_Year__c">apttusmetadata!$AM$2:$AM$30</definedName>
    <definedName name="AIM_Outcome_Indicator__c.AIM_Baseline_Year__c">apttusmetadata!$AL$2:$AL$30</definedName>
    <definedName name="AIM_Outcome_Indicator_Targets_Result__c.AIM_Mark_if_target_is_TBD__c">apttusmetadata!$AO$2</definedName>
    <definedName name="AIM_Outcome_Indicator_Targets_Result__c.AIM_Year_of_Target__c">apttusmetadata!$AN$2:$AN$30</definedName>
    <definedName name="AIM_Reporting_Period__c.AIM_Report_Period_Category__c">apttusmetadata!$AA$2</definedName>
    <definedName name="baseline_validation" localSheetId="0">OFFSET(#REF!,1,0,SUMPRODUCT((Instructions!Baseline_years_list&lt;&gt;"")+0)-1,1)</definedName>
    <definedName name="baseline_validation">OFFSET(Setup!$C$31,1,0,SUMPRODUCT((Baseline_years_list&lt;&gt;"")+0)-1,1)</definedName>
    <definedName name="Baseline_years_list" localSheetId="0">#REF!</definedName>
    <definedName name="Baseline_years_list">Setup!$C$31:$C$74</definedName>
    <definedName name="Country" localSheetId="0">IF(#REF!="Funding Request",IF(#REF!&lt;&gt;"",#REF!,#REF!),OFFSET(#REF!,1,0,MATCH(" ",#REF!,-1)-1,1))</definedName>
    <definedName name="Country">IF('Overview - Section A'!$AN$5="Funding Request",IF('Reference Records'!$B$427&lt;&gt;"",'Reference Records'!$B$427,'Reference Records'!$A$1),OFFSET('Reference Records'!$A$498,1,0,MATCH(" ",'Reference Records'!$A$498:$A$499,-1)-1,1))</definedName>
    <definedName name="Coverage_Indicator_Disaggregation">'update Helper'!$A$1492</definedName>
    <definedName name="Coverage_Indicator_Disaggregation_new">' Disaggregation - Section E '!$B$619</definedName>
    <definedName name="Coverage_Indicator_Targets__section_D">'update Helper'!$A$517</definedName>
    <definedName name="Coverage_indicators__secton_D">'update Helper'!$A$451</definedName>
    <definedName name="Coverage_Module" localSheetId="0">OFFSET(#REF!,1,0,MATCH(" ",#REF!,-1)-1,1)</definedName>
    <definedName name="Coverage_Module">OFFSET('Overview - Section A'!$B$102,1,0,MATCH(" ",'Overview - Section A'!$B$102:$B$118,-1)-1,1)</definedName>
    <definedName name="CoverageColumn" localSheetId="0">#REF!</definedName>
    <definedName name="CoverageColumn">'Reference Records'!$A$87:$A$189</definedName>
    <definedName name="CoverageIndicator" localSheetId="0">OFFSET(#REF!,1,0,MATCH("*",#REF!,-1)-1,1)</definedName>
    <definedName name="CoverageIndicator">OFFSET('Reference Records'!$E$87,1,0,MATCH("*",'Reference Records'!$E$87:$E$189,-1)-1,1)</definedName>
    <definedName name="CoverageStart" localSheetId="0">[1]!Coverage[Module]</definedName>
    <definedName name="CoverageStart">'Reference Records'!$A$87:$A$87</definedName>
    <definedName name="FundingRequestPR" localSheetId="0">IF(#REF!="Funding Request",IF(#REF!&lt;&gt;"",OFFSET(#REF!,1,0,MATCH(" ",#REF!,-1)-1,1),OFFSET(#REF!,1,0,MATCH(" ",#REF!,-1)-1,1)),#REF!)</definedName>
    <definedName name="FundingRequestPR">IF('Overview - Section A'!$AN$5="Funding Request",IF('Reference Records'!$C$427&lt;&gt;"",OFFSET('Account Role'!$C$3,1,0,MATCH(" ",'Account Role'!$C$3:$C$12,-1)-1,1),OFFSET('Account Role'!$C$20,1,0,MATCH(" ",'Account Role'!$C$20:$C$302,-1)-1,1)),'Overview - Section A'!$AN$6)</definedName>
    <definedName name="Impact_indicator___section_B">'update Helper'!$A$1</definedName>
    <definedName name="Impact_Indicator_Disaggregation">'update Helper'!$A$1188</definedName>
    <definedName name="Impact_Indicator_Disaggregation_new">' Disaggregation - Section E '!$B$8</definedName>
    <definedName name="Impact_indicator_targets___section_B">'update Helper'!$A$41</definedName>
    <definedName name="ImpactIndicator" localSheetId="0">OFFSET(#REF!,1,0,MATCH(" ",LEFT(#REF!,255),-1)-1,1)</definedName>
    <definedName name="ImpactIndicator">OFFSET('Reference Records'!$I$4,1,0,MATCH(" ",LEFT('Reference Records'!$I$4:$I$24,255),-1)-1,1)</definedName>
    <definedName name="Instruction__Section_A" localSheetId="0">Instructions!$A$37</definedName>
    <definedName name="Instruction__Section_A">#REF!</definedName>
    <definedName name="InstructionA" localSheetId="0">Instructions!$A$37</definedName>
    <definedName name="InstructionA">#REF!</definedName>
    <definedName name="InstructionB" localSheetId="0">Instructions!$A$93</definedName>
    <definedName name="InstructionB">#REF!</definedName>
    <definedName name="InstructionC" localSheetId="0">Instructions!$A$146</definedName>
    <definedName name="InstructionC">#REF!</definedName>
    <definedName name="InstructionD" localSheetId="0">Instructions!$A$196</definedName>
    <definedName name="InstructionD">#REF!</definedName>
    <definedName name="InstructionE" localSheetId="0">Instructions!$A$263</definedName>
    <definedName name="InstructionE">#REF!</definedName>
    <definedName name="InstructionsSectionF" localSheetId="0">Instructions!$A$280</definedName>
    <definedName name="InstructionsSectionF">#REF!</definedName>
    <definedName name="Intervention_WPTM" localSheetId="0">OFFSET(#REF!,1,0,MATCH("*",#REF!,-1)-1,1)</definedName>
    <definedName name="Intervention_WPTM">OFFSET('Overview - Section A'!$W$124,1,0,MATCH("*",'Overview - Section A'!$W$124:$W$176,-1)-1,1)</definedName>
    <definedName name="KeyActivityColumn" localSheetId="0">#REF!</definedName>
    <definedName name="KeyActivityColumn">'Overview - Section A'!$AD$124:$AD$176</definedName>
    <definedName name="KeyActivityStart" localSheetId="0">#REF!</definedName>
    <definedName name="KeyActivityStart">'Overview - Section A'!$AD$124:$AD$124</definedName>
    <definedName name="LangOffset">#REF!</definedName>
    <definedName name="Language">'Overview - Section A'!$T$3</definedName>
    <definedName name="List" localSheetId="0">#REF!</definedName>
    <definedName name="List">'Account Role'!$B$2:$B$17</definedName>
    <definedName name="MergedAndDistinctPR">IF(SUMPRODUCT(--(Setup!$I$15:$I$41&lt;&gt;""))=0,INDIRECT("FAKE RANGE"),Setup!$I$15:INDEX(Setup!$I$15:$I$41,SUMPRODUCT(--(Setup!$I$15:$I$41&lt;&gt;""))))</definedName>
    <definedName name="Module_List" localSheetId="0">OFFSET(#REF!,1,0,MATCH(" ",LEFT(#REF!,255),-1)-1,1)</definedName>
    <definedName name="Module_List">OFFSET('Reference Records'!$J$192,1,0,MATCH(" ",LEFT('Reference Records'!$J$192:$J$250,255),-1)-1,1)</definedName>
    <definedName name="ModuleColumn" localSheetId="0">[1]!Intervention[Module]</definedName>
    <definedName name="ModuleColumn">'Reference Records'!$A$253:$A$419</definedName>
    <definedName name="Modules" localSheetId="0">OFFSET(#REF!,1,0,MATCH(" ",#REF!,-1)-1,1)</definedName>
    <definedName name="Modules">OFFSET('Overview - Section A'!$B$102,1,0,MATCH(" ",'Overview - Section A'!$B$102:$B$118,-1)-1,1)</definedName>
    <definedName name="ModuleStart" localSheetId="0">#REF!</definedName>
    <definedName name="ModuleStart">'Reference Records'!$A$253</definedName>
    <definedName name="Outcome_Indicator_Disaggregation">'update Helper'!$A$884</definedName>
    <definedName name="Outcome_Indicator_Disaggregation_new">' Disaggregation - Section E '!$B$314</definedName>
    <definedName name="Outcome_indicators__section_C">'update Helper'!$A$225</definedName>
    <definedName name="Outcome_indicators_Targets__section_C">'update Helper'!$A$265</definedName>
    <definedName name="OutcomeIndicator" localSheetId="0">OFFSET(#REF!,1,0,MATCH(" ",LEFT(#REF!,255),-1)-1,1)</definedName>
    <definedName name="OutcomeIndicator">OFFSET('Reference Records'!$I$27,1,0,MATCH(" ",LEFT('Reference Records'!$I$27:$I$84,255),-1)-1,1)</definedName>
    <definedName name="Overview_Goals">'Overview - Section A'!$A$58</definedName>
    <definedName name="Overview_Modules">'Overview - Section A'!$A$100</definedName>
    <definedName name="Overview_Objectives">'Overview - Section A'!$A$76</definedName>
    <definedName name="Overview_Principal_Recipient_Number">'Overview - Section A'!$A$26</definedName>
    <definedName name="Overview_Reporting_Period">'Overview - Section A'!$A$45</definedName>
    <definedName name="Overview_WPTM_Intervention">'Overview - Section A'!$A$121</definedName>
    <definedName name="PICKLISTKEYVALUEPAIR">apttusmetadata!$Y$2:$Z$13</definedName>
    <definedName name="population_by_coverage_reimport">'Reference Records'!$E$512:$H$513</definedName>
    <definedName name="Population_by_intervention" localSheetId="0">#REF!</definedName>
    <definedName name="Population_by_intervention">'Reference Records'!$A$507:$F$508</definedName>
    <definedName name="Population_by_Intervention_name">'Reference Records'!$E$507:$J$508</definedName>
    <definedName name="PopulationByCoverage" localSheetId="0">#REF!</definedName>
    <definedName name="PopulationByCoverage">'Reference Records'!$A$512:$F$513</definedName>
    <definedName name="Print_Coverage">'Print - Coverage'!$A$1</definedName>
    <definedName name="Print_Summary">'Print - Summary'!$A$1</definedName>
    <definedName name="reimportCoverageIndicatorDispaly">'update Helper'!$A$452:$T$453</definedName>
    <definedName name="reimportImpactIndicatorDispaly">'update Helper'!$A$2:$N$3</definedName>
    <definedName name="reimportimpactindicatortargetsDispaly">'update Helper'!$A$42:$O$43</definedName>
    <definedName name="reimportOutcomeindicatorDispaly">'update Helper'!$A$226:$O$227</definedName>
    <definedName name="reimportOutcomeTargetDisplay">'update Helper'!$A$266:$N$267</definedName>
    <definedName name="ResponsiblePR" localSheetId="0">IF(#REF!="Funding Request",OFFSET(#REF!,1,0,MATCH(" ",#REF!,-1)-1,1),OFFSET(#REF!,1,0,MATCH(" ",#REF!,-1)-1,1))</definedName>
    <definedName name="ResponsiblePR">IF('Overview - Section A'!$AN$5="Funding Request",OFFSET('Overview - Section A'!$M$31,1,0,MATCH(" ",'Overview - Section A'!$M$31:$M$41,-1)-1,1),OFFSET('Overview - Section A'!$E$27,1,0,MATCH(" ",'Overview - Section A'!$E$27:$E$28,-1)-1,1))</definedName>
    <definedName name="SectionAPopulation" localSheetId="0">#REF!</definedName>
    <definedName name="SectionAPopulation">'Overview - Section A'!$V$124:$V$175</definedName>
    <definedName name="SectionATab">'Overview - Section A'!$AT$13</definedName>
    <definedName name="SectionAUnique">Setup!$L$1:$L$50</definedName>
    <definedName name="SectionBTab">'Impact Indicators - Section B '!$B$4</definedName>
    <definedName name="SectionBTable">'Impact Indicators - Section B '!$A$9:$AA$10</definedName>
    <definedName name="SectionCTab">'Outcome Indicators - Section C '!$B$4</definedName>
    <definedName name="SectionCTable">'Outcome Indicators - Section C '!$A$9:$AA$10</definedName>
    <definedName name="SectionDTab">'Coverage Indicators - Section D'!$B$4</definedName>
    <definedName name="SectionDTable">'Coverage Indicators - Section D'!$A$9:$AL$10</definedName>
    <definedName name="SectionETab">' Disaggregation - Section E '!$F$5</definedName>
    <definedName name="SectionETableBottom">' Disaggregation - Section E '!$B$621:$J$622</definedName>
    <definedName name="SectionETableMiddle">' Disaggregation - Section E '!$B$316:$J$317</definedName>
    <definedName name="SectionETableTop">' Disaggregation - Section E '!$B$10:$J$11</definedName>
    <definedName name="SectionFTab">'WPTM - Section F'!$B$5</definedName>
    <definedName name="Subset" localSheetId="0">OFFSET(#REF!,1,0,MATCH(" ",#REF!,-1)-1,1)</definedName>
    <definedName name="Subset">OFFSET(#REF!,1,0,MATCH(" ",#REF!,-1)-1,1)</definedName>
    <definedName name="WPTM____Section_F">'update Helper'!$A$2697</definedName>
    <definedName name="WPTM_Modules">OFFSET('Overview - Section A'!$B$124,1,0,MATCH(" ",'Overview - Section A'!$B$124:$B$175,-1)-1,1)</definedName>
    <definedName name="WPTM_Results">'update Helper'!$A$2863</definedName>
    <definedName name="XAE_Invalid_PLData">apttusmetadata!$B$1</definedName>
    <definedName name="XAuthorInvalidPicklistData" localSheetId="0">#REF!</definedName>
    <definedName name="XAuthorInvalidPicklistData">apttusmetadata!$B$1</definedName>
    <definedName name="_xlnm.Extract" localSheetId="21">'Account Role'!$C:$C</definedName>
    <definedName name="_xlnm.Print_Area" localSheetId="0">Instructions!$A$1:$B$293</definedName>
    <definedName name="_xlnm.Print_Area" localSheetId="16">'Print - Coverage'!$A:$K</definedName>
    <definedName name="_xlnm.Print_Area" localSheetId="14">'Print - Goals &amp; Impact'!$A:$G</definedName>
    <definedName name="_xlnm.Print_Area" localSheetId="15">'Print - Objectives &amp; Outcome'!$A:$G</definedName>
    <definedName name="_xlnm.Print_Area" localSheetId="13">'Print - Summary'!$A:$G</definedName>
    <definedName name="_xlnm.Print_Area" localSheetId="17">'Print - WPTM'!$A:$I</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5" i="33" l="1"/>
  <c r="R25" i="33"/>
  <c r="O25" i="33"/>
  <c r="U27" i="33"/>
  <c r="R27" i="33"/>
  <c r="O27" i="33"/>
  <c r="U23" i="33"/>
  <c r="R23" i="33"/>
  <c r="O23" i="33"/>
  <c r="O21" i="33"/>
  <c r="U21" i="33"/>
  <c r="R21" i="33"/>
  <c r="R19" i="33"/>
  <c r="O19" i="33"/>
  <c r="G621" i="32"/>
  <c r="G70" i="32"/>
  <c r="BA15" i="33" l="1"/>
  <c r="C3825" i="27" l="1"/>
  <c r="C3824" i="27"/>
  <c r="C3823" i="27"/>
  <c r="C3822" i="27"/>
  <c r="C3821" i="27"/>
  <c r="C3820" i="27"/>
  <c r="C3819" i="27"/>
  <c r="C3818" i="27"/>
  <c r="C3817" i="27"/>
  <c r="C3816" i="27"/>
  <c r="C3815" i="27"/>
  <c r="C3814" i="27"/>
  <c r="C3813" i="27"/>
  <c r="C3812" i="27"/>
  <c r="C3811" i="27"/>
  <c r="C3810" i="27"/>
  <c r="C3809" i="27"/>
  <c r="C3808" i="27"/>
  <c r="C3807" i="27"/>
  <c r="C3806" i="27"/>
  <c r="C3805" i="27"/>
  <c r="C3804" i="27"/>
  <c r="C3803" i="27"/>
  <c r="C3802" i="27"/>
  <c r="C3801" i="27"/>
  <c r="C3800" i="27"/>
  <c r="C3799" i="27"/>
  <c r="C3798" i="27"/>
  <c r="C3797" i="27"/>
  <c r="C3796" i="27"/>
  <c r="C3795" i="27"/>
  <c r="C3794" i="27"/>
  <c r="C3793" i="27"/>
  <c r="C3792" i="27"/>
  <c r="C3791" i="27"/>
  <c r="C3790" i="27"/>
  <c r="C3789" i="27"/>
  <c r="C3788" i="27"/>
  <c r="C3787" i="27"/>
  <c r="C3786" i="27"/>
  <c r="C3785" i="27"/>
  <c r="C3784" i="27"/>
  <c r="C3783" i="27"/>
  <c r="C3782" i="27"/>
  <c r="C3781" i="27"/>
  <c r="C3780" i="27"/>
  <c r="C3779" i="27"/>
  <c r="C3778" i="27"/>
  <c r="C3777" i="27"/>
  <c r="C3776" i="27"/>
  <c r="C3775" i="27"/>
  <c r="C3774" i="27"/>
  <c r="C3773" i="27"/>
  <c r="C3772" i="27"/>
  <c r="C3771" i="27"/>
  <c r="C3770" i="27"/>
  <c r="C3769" i="27"/>
  <c r="C3768" i="27"/>
  <c r="C3767" i="27"/>
  <c r="C3766" i="27"/>
  <c r="C3765" i="27"/>
  <c r="C3764" i="27"/>
  <c r="C3763" i="27"/>
  <c r="C3762" i="27"/>
  <c r="C3761" i="27"/>
  <c r="C3760" i="27"/>
  <c r="C3759" i="27"/>
  <c r="C3758" i="27"/>
  <c r="C3757" i="27"/>
  <c r="C3756" i="27"/>
  <c r="C3755" i="27"/>
  <c r="C3754" i="27"/>
  <c r="C3753" i="27"/>
  <c r="C3752" i="27"/>
  <c r="C3751" i="27"/>
  <c r="C3750" i="27"/>
  <c r="C3749" i="27"/>
  <c r="C3748" i="27"/>
  <c r="C3747" i="27"/>
  <c r="C3746" i="27"/>
  <c r="C3745" i="27"/>
  <c r="C3744" i="27"/>
  <c r="C3743" i="27"/>
  <c r="C3742" i="27"/>
  <c r="C3741" i="27"/>
  <c r="C3740" i="27"/>
  <c r="C3739" i="27"/>
  <c r="C3738" i="27"/>
  <c r="C3737" i="27"/>
  <c r="C3736" i="27"/>
  <c r="C3735" i="27"/>
  <c r="C3734" i="27"/>
  <c r="C3733" i="27"/>
  <c r="C3732" i="27"/>
  <c r="C3731" i="27"/>
  <c r="C3730" i="27"/>
  <c r="C3729" i="27"/>
  <c r="C3728" i="27"/>
  <c r="C3727" i="27"/>
  <c r="C3726" i="27"/>
  <c r="C3725" i="27"/>
  <c r="C3724" i="27"/>
  <c r="C3723" i="27"/>
  <c r="C3722" i="27"/>
  <c r="C3721" i="27"/>
  <c r="C3720" i="27"/>
  <c r="C3719" i="27"/>
  <c r="C3718" i="27"/>
  <c r="C3717" i="27"/>
  <c r="C3716" i="27"/>
  <c r="C3715" i="27"/>
  <c r="C3714" i="27"/>
  <c r="C3713" i="27"/>
  <c r="C3712" i="27"/>
  <c r="C3711" i="27"/>
  <c r="C3710" i="27"/>
  <c r="C3709" i="27"/>
  <c r="C3708" i="27"/>
  <c r="C3707" i="27"/>
  <c r="C3706" i="27"/>
  <c r="C3705" i="27"/>
  <c r="C3704" i="27"/>
  <c r="C3703" i="27"/>
  <c r="C3702" i="27"/>
  <c r="C3701" i="27"/>
  <c r="C3700" i="27"/>
  <c r="C3699" i="27"/>
  <c r="C3698" i="27"/>
  <c r="C3697" i="27"/>
  <c r="C3696" i="27"/>
  <c r="C3695" i="27"/>
  <c r="C3694" i="27"/>
  <c r="C3693" i="27"/>
  <c r="C3692" i="27"/>
  <c r="C3691" i="27"/>
  <c r="C3690" i="27"/>
  <c r="C3689" i="27"/>
  <c r="C3688" i="27"/>
  <c r="C3687" i="27"/>
  <c r="C3686" i="27"/>
  <c r="C3685" i="27"/>
  <c r="C3684" i="27"/>
  <c r="C3683" i="27"/>
  <c r="C3682" i="27"/>
  <c r="C3681" i="27"/>
  <c r="C3680" i="27"/>
  <c r="C3679" i="27"/>
  <c r="C3678" i="27"/>
  <c r="C3677" i="27"/>
  <c r="C3676" i="27"/>
  <c r="C3675" i="27"/>
  <c r="C3674" i="27"/>
  <c r="C3673" i="27"/>
  <c r="C3672" i="27"/>
  <c r="C3671" i="27"/>
  <c r="C3670" i="27"/>
  <c r="C3669" i="27"/>
  <c r="C3668" i="27"/>
  <c r="C3667" i="27"/>
  <c r="C3666" i="27"/>
  <c r="C3665" i="27"/>
  <c r="C3664" i="27"/>
  <c r="C3663" i="27"/>
  <c r="C3662" i="27"/>
  <c r="C3661" i="27"/>
  <c r="C3660" i="27"/>
  <c r="C3659" i="27"/>
  <c r="C3658" i="27"/>
  <c r="C3657" i="27"/>
  <c r="C3656" i="27"/>
  <c r="C3655" i="27"/>
  <c r="C3654" i="27"/>
  <c r="C3653" i="27"/>
  <c r="C3652" i="27"/>
  <c r="C3651" i="27"/>
  <c r="C3650" i="27"/>
  <c r="C3649" i="27"/>
  <c r="C3648" i="27"/>
  <c r="C3647" i="27"/>
  <c r="C3646" i="27"/>
  <c r="C3645" i="27"/>
  <c r="C3644" i="27"/>
  <c r="C3643" i="27"/>
  <c r="C3642" i="27"/>
  <c r="C3641" i="27"/>
  <c r="C3640" i="27"/>
  <c r="C3639" i="27"/>
  <c r="C3638" i="27"/>
  <c r="C3637" i="27"/>
  <c r="C3636" i="27"/>
  <c r="C3635" i="27"/>
  <c r="C3634" i="27"/>
  <c r="C3633" i="27"/>
  <c r="C3632" i="27"/>
  <c r="C3631" i="27"/>
  <c r="C3630" i="27"/>
  <c r="C3629" i="27"/>
  <c r="C3628" i="27"/>
  <c r="C3627" i="27"/>
  <c r="C3626" i="27"/>
  <c r="C3625" i="27"/>
  <c r="C3624" i="27"/>
  <c r="C3623" i="27"/>
  <c r="C3622" i="27"/>
  <c r="C3621" i="27"/>
  <c r="C3620" i="27"/>
  <c r="C3619" i="27"/>
  <c r="C3618" i="27"/>
  <c r="C3617" i="27"/>
  <c r="C3616" i="27"/>
  <c r="C3615" i="27"/>
  <c r="C3614" i="27"/>
  <c r="C3613" i="27"/>
  <c r="C3612" i="27"/>
  <c r="C3611" i="27"/>
  <c r="C3610" i="27"/>
  <c r="C3609" i="27"/>
  <c r="C3608" i="27"/>
  <c r="C3607" i="27"/>
  <c r="C3606" i="27"/>
  <c r="C3605" i="27"/>
  <c r="C3604" i="27"/>
  <c r="C3603" i="27"/>
  <c r="C3602" i="27"/>
  <c r="C3601" i="27"/>
  <c r="C3600" i="27"/>
  <c r="C3599" i="27"/>
  <c r="C3598" i="27"/>
  <c r="C3597" i="27"/>
  <c r="C3596" i="27"/>
  <c r="C3595" i="27"/>
  <c r="C3594" i="27"/>
  <c r="C3593" i="27"/>
  <c r="C3592" i="27"/>
  <c r="C3591" i="27"/>
  <c r="C3590" i="27"/>
  <c r="C3589" i="27"/>
  <c r="C3588" i="27"/>
  <c r="C3587" i="27"/>
  <c r="C3586" i="27"/>
  <c r="C3585" i="27"/>
  <c r="C3584" i="27"/>
  <c r="C3583" i="27"/>
  <c r="C3582" i="27"/>
  <c r="C3581" i="27"/>
  <c r="C3580" i="27"/>
  <c r="C3579" i="27"/>
  <c r="C3578" i="27"/>
  <c r="C3577" i="27"/>
  <c r="C3576" i="27"/>
  <c r="C3575" i="27"/>
  <c r="C3574" i="27"/>
  <c r="C3573" i="27"/>
  <c r="C3572" i="27"/>
  <c r="C3571" i="27"/>
  <c r="C3570" i="27"/>
  <c r="C3569" i="27"/>
  <c r="C3568" i="27"/>
  <c r="C3567" i="27"/>
  <c r="C3566" i="27"/>
  <c r="C3565" i="27"/>
  <c r="C3564" i="27"/>
  <c r="C3563" i="27"/>
  <c r="C3562" i="27"/>
  <c r="C3561" i="27"/>
  <c r="C3560" i="27"/>
  <c r="C3559" i="27"/>
  <c r="C3558" i="27"/>
  <c r="C3557" i="27"/>
  <c r="C3556" i="27"/>
  <c r="C3555" i="27"/>
  <c r="C3554" i="27"/>
  <c r="C3553" i="27"/>
  <c r="C3552" i="27"/>
  <c r="C3551" i="27"/>
  <c r="C3550" i="27"/>
  <c r="C3549" i="27"/>
  <c r="C3548" i="27"/>
  <c r="C3547" i="27"/>
  <c r="C3546" i="27"/>
  <c r="C3545" i="27"/>
  <c r="C3544" i="27"/>
  <c r="C3543" i="27"/>
  <c r="C3542" i="27"/>
  <c r="C3541" i="27"/>
  <c r="C3540" i="27"/>
  <c r="C3539" i="27"/>
  <c r="C3538" i="27"/>
  <c r="C3537" i="27"/>
  <c r="C3536" i="27"/>
  <c r="C3535" i="27"/>
  <c r="C3534" i="27"/>
  <c r="C3533" i="27"/>
  <c r="C3532" i="27"/>
  <c r="C3531" i="27"/>
  <c r="C3530" i="27"/>
  <c r="C3529" i="27"/>
  <c r="C3528" i="27"/>
  <c r="C3527" i="27"/>
  <c r="C3526" i="27"/>
  <c r="C3525" i="27"/>
  <c r="C3524" i="27"/>
  <c r="C3523" i="27"/>
  <c r="C3522" i="27"/>
  <c r="C3521" i="27"/>
  <c r="C3520" i="27"/>
  <c r="C3519" i="27"/>
  <c r="C3518" i="27"/>
  <c r="C3517" i="27"/>
  <c r="C3516" i="27"/>
  <c r="C3515" i="27"/>
  <c r="C3514" i="27"/>
  <c r="C3513" i="27"/>
  <c r="C3512" i="27"/>
  <c r="C3511" i="27"/>
  <c r="C3510" i="27"/>
  <c r="C3509" i="27"/>
  <c r="C3508" i="27"/>
  <c r="C3507" i="27"/>
  <c r="C3506" i="27"/>
  <c r="C3505" i="27"/>
  <c r="C3504" i="27"/>
  <c r="C3503" i="27"/>
  <c r="C3502" i="27"/>
  <c r="C3501" i="27"/>
  <c r="C3500" i="27"/>
  <c r="C3499" i="27"/>
  <c r="C3498" i="27"/>
  <c r="C3497" i="27"/>
  <c r="C3496" i="27"/>
  <c r="C3495" i="27"/>
  <c r="C3494" i="27"/>
  <c r="C3493" i="27"/>
  <c r="C3492" i="27"/>
  <c r="C3491" i="27"/>
  <c r="C3490" i="27"/>
  <c r="C3489" i="27"/>
  <c r="C3488" i="27"/>
  <c r="C3487" i="27"/>
  <c r="C3486" i="27"/>
  <c r="C3485" i="27"/>
  <c r="C3484" i="27"/>
  <c r="C3483" i="27"/>
  <c r="C3482" i="27"/>
  <c r="C3481" i="27"/>
  <c r="C3480" i="27"/>
  <c r="C3479" i="27"/>
  <c r="C3478" i="27"/>
  <c r="C3477" i="27"/>
  <c r="C3476" i="27"/>
  <c r="C3475" i="27"/>
  <c r="C3474" i="27"/>
  <c r="C3473" i="27"/>
  <c r="C3472" i="27"/>
  <c r="C3471" i="27"/>
  <c r="C3470" i="27"/>
  <c r="C3469" i="27"/>
  <c r="C3468" i="27"/>
  <c r="C3467" i="27"/>
  <c r="C3466" i="27"/>
  <c r="C3465" i="27"/>
  <c r="C3464" i="27"/>
  <c r="C3463" i="27"/>
  <c r="C3462" i="27"/>
  <c r="C3461" i="27"/>
  <c r="C3460" i="27"/>
  <c r="C3459" i="27"/>
  <c r="C3458" i="27"/>
  <c r="C3457" i="27"/>
  <c r="C3456" i="27"/>
  <c r="C3455" i="27"/>
  <c r="C3454" i="27"/>
  <c r="C3453" i="27"/>
  <c r="C3452" i="27"/>
  <c r="C3451" i="27"/>
  <c r="C3450" i="27"/>
  <c r="C3449" i="27"/>
  <c r="C3448" i="27"/>
  <c r="C3447" i="27"/>
  <c r="C3446" i="27"/>
  <c r="C3445" i="27"/>
  <c r="C3444" i="27"/>
  <c r="C3443" i="27"/>
  <c r="C3442" i="27"/>
  <c r="C3441" i="27"/>
  <c r="C3440" i="27"/>
  <c r="C3439" i="27"/>
  <c r="C3438" i="27"/>
  <c r="C3437" i="27"/>
  <c r="C3436" i="27"/>
  <c r="C3435" i="27"/>
  <c r="C3434" i="27"/>
  <c r="C3433" i="27"/>
  <c r="C3432" i="27"/>
  <c r="C3431" i="27"/>
  <c r="C3430" i="27"/>
  <c r="C3429" i="27"/>
  <c r="C3428" i="27"/>
  <c r="C3427" i="27"/>
  <c r="C3426" i="27"/>
  <c r="C3425" i="27"/>
  <c r="C3424" i="27"/>
  <c r="C3423" i="27"/>
  <c r="C3422" i="27"/>
  <c r="C3421" i="27"/>
  <c r="C3420" i="27"/>
  <c r="C3419" i="27"/>
  <c r="C3418" i="27"/>
  <c r="C3417" i="27"/>
  <c r="C3416" i="27"/>
  <c r="C3415" i="27"/>
  <c r="C3414" i="27"/>
  <c r="C3413" i="27"/>
  <c r="C3412" i="27"/>
  <c r="C3411" i="27"/>
  <c r="C3410" i="27"/>
  <c r="C3409" i="27"/>
  <c r="C3408" i="27"/>
  <c r="C3407" i="27"/>
  <c r="C3406" i="27"/>
  <c r="C3405" i="27"/>
  <c r="C3404" i="27"/>
  <c r="C3403" i="27"/>
  <c r="C3402" i="27"/>
  <c r="C3401" i="27"/>
  <c r="C3400" i="27"/>
  <c r="C3399" i="27"/>
  <c r="C3398" i="27"/>
  <c r="C3397" i="27"/>
  <c r="C3396" i="27"/>
  <c r="C3395" i="27"/>
  <c r="C3394" i="27"/>
  <c r="C3393" i="27"/>
  <c r="C3392" i="27"/>
  <c r="C3391" i="27"/>
  <c r="C3390" i="27"/>
  <c r="C3389" i="27"/>
  <c r="C3388" i="27"/>
  <c r="C3387" i="27"/>
  <c r="C3386" i="27"/>
  <c r="C3385" i="27"/>
  <c r="C3384" i="27"/>
  <c r="C3383" i="27"/>
  <c r="C3382" i="27"/>
  <c r="C3381" i="27"/>
  <c r="C3380" i="27"/>
  <c r="C3379" i="27"/>
  <c r="C3378" i="27"/>
  <c r="C3377" i="27"/>
  <c r="C3376" i="27"/>
  <c r="C3375" i="27"/>
  <c r="C3374" i="27"/>
  <c r="C3373" i="27"/>
  <c r="C3372" i="27"/>
  <c r="C3371" i="27"/>
  <c r="C3370" i="27"/>
  <c r="C3369" i="27"/>
  <c r="C3368" i="27"/>
  <c r="C3367" i="27"/>
  <c r="C3366" i="27"/>
  <c r="C3365" i="27"/>
  <c r="C3364" i="27"/>
  <c r="C3363" i="27"/>
  <c r="C3362" i="27"/>
  <c r="C3361" i="27"/>
  <c r="C3360" i="27"/>
  <c r="C3359" i="27"/>
  <c r="C3358" i="27"/>
  <c r="C3357" i="27"/>
  <c r="C3356" i="27"/>
  <c r="C3355" i="27"/>
  <c r="C3354" i="27"/>
  <c r="C3353" i="27"/>
  <c r="C3352" i="27"/>
  <c r="C3351" i="27"/>
  <c r="F3351" i="27" s="1"/>
  <c r="C3350" i="27"/>
  <c r="C3349" i="27"/>
  <c r="C3348" i="27"/>
  <c r="C3347" i="27"/>
  <c r="C3346" i="27"/>
  <c r="F3346" i="27" s="1"/>
  <c r="B3825" i="27"/>
  <c r="B3824" i="27"/>
  <c r="B3823" i="27"/>
  <c r="B3822" i="27"/>
  <c r="B3821" i="27"/>
  <c r="B3820" i="27"/>
  <c r="B3819" i="27"/>
  <c r="B3818" i="27"/>
  <c r="B3817" i="27"/>
  <c r="B3816" i="27"/>
  <c r="B3815" i="27"/>
  <c r="B3814" i="27"/>
  <c r="B3813" i="27"/>
  <c r="B3812" i="27"/>
  <c r="B3811" i="27"/>
  <c r="B3810" i="27"/>
  <c r="B3809" i="27"/>
  <c r="B3808" i="27"/>
  <c r="B3807" i="27"/>
  <c r="B3806" i="27"/>
  <c r="B3805" i="27"/>
  <c r="B3804" i="27"/>
  <c r="B3803" i="27"/>
  <c r="B3802" i="27"/>
  <c r="B3801" i="27"/>
  <c r="B3800" i="27"/>
  <c r="B3799" i="27"/>
  <c r="B3798" i="27"/>
  <c r="B3797" i="27"/>
  <c r="B3796" i="27"/>
  <c r="B3795" i="27"/>
  <c r="B3794" i="27"/>
  <c r="B3793" i="27"/>
  <c r="B3792" i="27"/>
  <c r="B3791" i="27"/>
  <c r="B3790" i="27"/>
  <c r="B3789" i="27"/>
  <c r="B3788" i="27"/>
  <c r="B3787" i="27"/>
  <c r="B3786" i="27"/>
  <c r="B3785" i="27"/>
  <c r="B3784" i="27"/>
  <c r="B3783" i="27"/>
  <c r="B3782" i="27"/>
  <c r="B3781" i="27"/>
  <c r="B3780" i="27"/>
  <c r="B3779" i="27"/>
  <c r="B3778" i="27"/>
  <c r="B3777" i="27"/>
  <c r="B3776" i="27"/>
  <c r="B3775" i="27"/>
  <c r="B3774" i="27"/>
  <c r="B3773" i="27"/>
  <c r="B3772" i="27"/>
  <c r="B3771" i="27"/>
  <c r="B3770" i="27"/>
  <c r="B3769" i="27"/>
  <c r="B3768" i="27"/>
  <c r="B3767" i="27"/>
  <c r="B3766" i="27"/>
  <c r="B3765" i="27"/>
  <c r="B3764" i="27"/>
  <c r="B3763" i="27"/>
  <c r="B3762" i="27"/>
  <c r="B3761" i="27"/>
  <c r="B3760" i="27"/>
  <c r="B3759" i="27"/>
  <c r="B3758" i="27"/>
  <c r="B3757" i="27"/>
  <c r="B3756" i="27"/>
  <c r="B3755" i="27"/>
  <c r="B3754" i="27"/>
  <c r="B3753" i="27"/>
  <c r="B3752" i="27"/>
  <c r="B3751" i="27"/>
  <c r="B3750" i="27"/>
  <c r="B3749" i="27"/>
  <c r="B3748" i="27"/>
  <c r="B3747" i="27"/>
  <c r="B3746" i="27"/>
  <c r="B3745" i="27"/>
  <c r="B3744" i="27"/>
  <c r="B3743" i="27"/>
  <c r="B3742" i="27"/>
  <c r="B3741" i="27"/>
  <c r="B3740" i="27"/>
  <c r="B3739" i="27"/>
  <c r="B3738" i="27"/>
  <c r="B3737" i="27"/>
  <c r="B3736" i="27"/>
  <c r="B3735" i="27"/>
  <c r="B3734" i="27"/>
  <c r="B3733" i="27"/>
  <c r="B3732" i="27"/>
  <c r="B3731" i="27"/>
  <c r="B3730" i="27"/>
  <c r="B3729" i="27"/>
  <c r="B3728" i="27"/>
  <c r="B3727" i="27"/>
  <c r="B3726" i="27"/>
  <c r="B3725" i="27"/>
  <c r="B3724" i="27"/>
  <c r="B3723" i="27"/>
  <c r="B3722" i="27"/>
  <c r="B3721" i="27"/>
  <c r="B3720" i="27"/>
  <c r="B3719" i="27"/>
  <c r="B3718" i="27"/>
  <c r="B3717" i="27"/>
  <c r="B3716" i="27"/>
  <c r="B3715" i="27"/>
  <c r="B3714" i="27"/>
  <c r="B3713" i="27"/>
  <c r="B3712" i="27"/>
  <c r="B3711" i="27"/>
  <c r="B3710" i="27"/>
  <c r="B3709" i="27"/>
  <c r="B3708" i="27"/>
  <c r="B3707" i="27"/>
  <c r="B3706" i="27"/>
  <c r="B3705" i="27"/>
  <c r="B3704" i="27"/>
  <c r="B3703" i="27"/>
  <c r="B3702" i="27"/>
  <c r="B3701" i="27"/>
  <c r="B3700" i="27"/>
  <c r="B3699" i="27"/>
  <c r="B3698" i="27"/>
  <c r="B3697" i="27"/>
  <c r="B3696" i="27"/>
  <c r="B3695" i="27"/>
  <c r="B3694" i="27"/>
  <c r="B3693" i="27"/>
  <c r="B3692" i="27"/>
  <c r="B3691" i="27"/>
  <c r="B3690" i="27"/>
  <c r="B3689" i="27"/>
  <c r="B3688" i="27"/>
  <c r="B3687" i="27"/>
  <c r="B3686" i="27"/>
  <c r="B3685" i="27"/>
  <c r="B3684" i="27"/>
  <c r="B3683" i="27"/>
  <c r="B3682" i="27"/>
  <c r="B3681" i="27"/>
  <c r="B3680" i="27"/>
  <c r="B3679" i="27"/>
  <c r="B3678" i="27"/>
  <c r="B3677" i="27"/>
  <c r="B3676" i="27"/>
  <c r="B3675" i="27"/>
  <c r="B3674" i="27"/>
  <c r="B3673" i="27"/>
  <c r="B3672" i="27"/>
  <c r="B3671" i="27"/>
  <c r="B3670" i="27"/>
  <c r="B3669" i="27"/>
  <c r="B3668" i="27"/>
  <c r="B3667" i="27"/>
  <c r="B3666" i="27"/>
  <c r="B3665" i="27"/>
  <c r="B3664" i="27"/>
  <c r="B3663" i="27"/>
  <c r="B3662" i="27"/>
  <c r="B3661" i="27"/>
  <c r="B3660" i="27"/>
  <c r="B3659" i="27"/>
  <c r="B3658" i="27"/>
  <c r="B3657" i="27"/>
  <c r="B3656" i="27"/>
  <c r="B3655" i="27"/>
  <c r="B3654" i="27"/>
  <c r="B3653" i="27"/>
  <c r="B3652" i="27"/>
  <c r="B3651" i="27"/>
  <c r="B3650" i="27"/>
  <c r="B3649" i="27"/>
  <c r="B3648" i="27"/>
  <c r="B3647" i="27"/>
  <c r="B3646" i="27"/>
  <c r="B3645" i="27"/>
  <c r="B3644" i="27"/>
  <c r="B3643" i="27"/>
  <c r="B3642" i="27"/>
  <c r="B3641" i="27"/>
  <c r="B3640" i="27"/>
  <c r="B3639" i="27"/>
  <c r="B3638" i="27"/>
  <c r="B3637" i="27"/>
  <c r="B3636" i="27"/>
  <c r="B3635" i="27"/>
  <c r="B3634" i="27"/>
  <c r="B3633" i="27"/>
  <c r="B3632" i="27"/>
  <c r="B3631" i="27"/>
  <c r="B3630" i="27"/>
  <c r="B3629" i="27"/>
  <c r="B3628" i="27"/>
  <c r="B3627" i="27"/>
  <c r="B3626" i="27"/>
  <c r="B3625" i="27"/>
  <c r="B3624" i="27"/>
  <c r="B3623" i="27"/>
  <c r="B3622" i="27"/>
  <c r="B3621" i="27"/>
  <c r="B3620" i="27"/>
  <c r="B3619" i="27"/>
  <c r="B3618" i="27"/>
  <c r="B3617" i="27"/>
  <c r="B3616" i="27"/>
  <c r="B3615" i="27"/>
  <c r="B3614" i="27"/>
  <c r="B3613" i="27"/>
  <c r="B3612" i="27"/>
  <c r="B3611" i="27"/>
  <c r="B3610" i="27"/>
  <c r="B3609" i="27"/>
  <c r="B3608" i="27"/>
  <c r="B3607" i="27"/>
  <c r="B3606" i="27"/>
  <c r="B3605" i="27"/>
  <c r="B3604" i="27"/>
  <c r="B3603" i="27"/>
  <c r="B3602" i="27"/>
  <c r="B3601" i="27"/>
  <c r="B3600" i="27"/>
  <c r="B3599" i="27"/>
  <c r="B3598" i="27"/>
  <c r="B3597" i="27"/>
  <c r="B3596" i="27"/>
  <c r="B3595" i="27"/>
  <c r="B3594" i="27"/>
  <c r="B3593" i="27"/>
  <c r="B3592" i="27"/>
  <c r="B3591" i="27"/>
  <c r="B3590" i="27"/>
  <c r="B3589" i="27"/>
  <c r="B3588" i="27"/>
  <c r="B3587" i="27"/>
  <c r="B3586" i="27"/>
  <c r="B3585" i="27"/>
  <c r="B3584" i="27"/>
  <c r="B3583" i="27"/>
  <c r="B3582" i="27"/>
  <c r="B3581" i="27"/>
  <c r="B3580" i="27"/>
  <c r="B3579" i="27"/>
  <c r="B3578" i="27"/>
  <c r="B3577" i="27"/>
  <c r="B3576" i="27"/>
  <c r="B3575" i="27"/>
  <c r="B3574" i="27"/>
  <c r="B3573" i="27"/>
  <c r="B3572" i="27"/>
  <c r="B3571" i="27"/>
  <c r="B3570" i="27"/>
  <c r="B3569" i="27"/>
  <c r="B3568" i="27"/>
  <c r="B3567" i="27"/>
  <c r="B3566" i="27"/>
  <c r="B3565" i="27"/>
  <c r="B3564" i="27"/>
  <c r="B3563" i="27"/>
  <c r="B3562" i="27"/>
  <c r="B3561" i="27"/>
  <c r="B3560" i="27"/>
  <c r="B3559" i="27"/>
  <c r="B3558" i="27"/>
  <c r="B3557" i="27"/>
  <c r="B3556" i="27"/>
  <c r="B3555" i="27"/>
  <c r="B3554" i="27"/>
  <c r="B3553" i="27"/>
  <c r="B3552" i="27"/>
  <c r="B3551" i="27"/>
  <c r="B3550" i="27"/>
  <c r="B3549" i="27"/>
  <c r="B3548" i="27"/>
  <c r="B3547" i="27"/>
  <c r="B3546" i="27"/>
  <c r="B3545" i="27"/>
  <c r="B3544" i="27"/>
  <c r="B3543" i="27"/>
  <c r="B3542" i="27"/>
  <c r="B3541" i="27"/>
  <c r="B3540" i="27"/>
  <c r="B3539" i="27"/>
  <c r="B3538" i="27"/>
  <c r="B3537" i="27"/>
  <c r="B3536" i="27"/>
  <c r="B3535" i="27"/>
  <c r="B3534" i="27"/>
  <c r="B3533" i="27"/>
  <c r="B3532" i="27"/>
  <c r="B3531" i="27"/>
  <c r="B3530" i="27"/>
  <c r="B3529" i="27"/>
  <c r="B3528" i="27"/>
  <c r="B3527" i="27"/>
  <c r="B3526" i="27"/>
  <c r="B3525" i="27"/>
  <c r="B3524" i="27"/>
  <c r="B3523" i="27"/>
  <c r="B3522" i="27"/>
  <c r="B3521" i="27"/>
  <c r="B3520" i="27"/>
  <c r="B3519" i="27"/>
  <c r="B3518" i="27"/>
  <c r="B3517" i="27"/>
  <c r="B3516" i="27"/>
  <c r="B3515" i="27"/>
  <c r="B3514" i="27"/>
  <c r="B3513" i="27"/>
  <c r="B3512" i="27"/>
  <c r="B3511" i="27"/>
  <c r="B3510" i="27"/>
  <c r="B3509" i="27"/>
  <c r="B3508" i="27"/>
  <c r="B3507" i="27"/>
  <c r="B3506" i="27"/>
  <c r="B3505" i="27"/>
  <c r="B3504" i="27"/>
  <c r="B3503" i="27"/>
  <c r="B3502" i="27"/>
  <c r="B3501" i="27"/>
  <c r="B3500" i="27"/>
  <c r="B3499" i="27"/>
  <c r="B3498" i="27"/>
  <c r="B3497" i="27"/>
  <c r="B3496" i="27"/>
  <c r="B3495" i="27"/>
  <c r="B3494" i="27"/>
  <c r="B3493" i="27"/>
  <c r="B3492" i="27"/>
  <c r="B3491" i="27"/>
  <c r="B3490" i="27"/>
  <c r="B3489" i="27"/>
  <c r="B3488" i="27"/>
  <c r="B3487" i="27"/>
  <c r="B3486" i="27"/>
  <c r="B3485" i="27"/>
  <c r="B3484" i="27"/>
  <c r="B3483" i="27"/>
  <c r="B3482" i="27"/>
  <c r="B3481" i="27"/>
  <c r="B3480" i="27"/>
  <c r="B3479" i="27"/>
  <c r="B3478" i="27"/>
  <c r="B3477" i="27"/>
  <c r="B3476" i="27"/>
  <c r="B3475" i="27"/>
  <c r="B3474" i="27"/>
  <c r="B3473" i="27"/>
  <c r="B3472" i="27"/>
  <c r="B3471" i="27"/>
  <c r="B3470" i="27"/>
  <c r="B3469" i="27"/>
  <c r="B3468" i="27"/>
  <c r="B3467" i="27"/>
  <c r="B3466" i="27"/>
  <c r="B3465" i="27"/>
  <c r="B3464" i="27"/>
  <c r="B3463" i="27"/>
  <c r="B3462" i="27"/>
  <c r="B3461" i="27"/>
  <c r="B3460" i="27"/>
  <c r="B3459" i="27"/>
  <c r="B3458" i="27"/>
  <c r="B3457" i="27"/>
  <c r="B3456" i="27"/>
  <c r="B3455" i="27"/>
  <c r="B3454" i="27"/>
  <c r="B3453" i="27"/>
  <c r="B3452" i="27"/>
  <c r="B3451" i="27"/>
  <c r="B3450" i="27"/>
  <c r="B3449" i="27"/>
  <c r="B3448" i="27"/>
  <c r="B3447" i="27"/>
  <c r="B3446" i="27"/>
  <c r="B3445" i="27"/>
  <c r="B3444" i="27"/>
  <c r="B3443" i="27"/>
  <c r="B3442" i="27"/>
  <c r="B3441" i="27"/>
  <c r="B3440" i="27"/>
  <c r="B3439" i="27"/>
  <c r="B3438" i="27"/>
  <c r="B3437" i="27"/>
  <c r="B3436" i="27"/>
  <c r="B3435" i="27"/>
  <c r="B3434" i="27"/>
  <c r="B3433" i="27"/>
  <c r="B3432" i="27"/>
  <c r="B3431" i="27"/>
  <c r="B3430" i="27"/>
  <c r="B3429" i="27"/>
  <c r="B3428" i="27"/>
  <c r="B3427" i="27"/>
  <c r="B3426" i="27"/>
  <c r="B3425" i="27"/>
  <c r="B3424" i="27"/>
  <c r="B3423" i="27"/>
  <c r="B3422" i="27"/>
  <c r="B3421" i="27"/>
  <c r="B3420" i="27"/>
  <c r="B3419" i="27"/>
  <c r="B3418" i="27"/>
  <c r="B3417" i="27"/>
  <c r="B3416" i="27"/>
  <c r="B3415" i="27"/>
  <c r="B3414" i="27"/>
  <c r="B3413" i="27"/>
  <c r="B3412" i="27"/>
  <c r="B3411" i="27"/>
  <c r="B3410" i="27"/>
  <c r="B3409" i="27"/>
  <c r="B3408" i="27"/>
  <c r="B3407" i="27"/>
  <c r="B3406" i="27"/>
  <c r="B3405" i="27"/>
  <c r="B3404" i="27"/>
  <c r="B3403" i="27"/>
  <c r="B3402" i="27"/>
  <c r="B3401" i="27"/>
  <c r="B3400" i="27"/>
  <c r="B3399" i="27"/>
  <c r="B3398" i="27"/>
  <c r="B3397" i="27"/>
  <c r="B3396" i="27"/>
  <c r="B3395" i="27"/>
  <c r="B3394" i="27"/>
  <c r="B3393" i="27"/>
  <c r="B3392" i="27"/>
  <c r="B3391" i="27"/>
  <c r="B3390" i="27"/>
  <c r="B3389" i="27"/>
  <c r="B3388" i="27"/>
  <c r="B3387" i="27"/>
  <c r="B3386" i="27"/>
  <c r="B3385" i="27"/>
  <c r="B3384" i="27"/>
  <c r="B3383" i="27"/>
  <c r="B3382" i="27"/>
  <c r="B3381" i="27"/>
  <c r="B3380" i="27"/>
  <c r="B3379" i="27"/>
  <c r="B3378" i="27"/>
  <c r="B3377" i="27"/>
  <c r="B3376" i="27"/>
  <c r="B3375" i="27"/>
  <c r="B3374" i="27"/>
  <c r="B3373" i="27"/>
  <c r="B3372" i="27"/>
  <c r="B3371" i="27"/>
  <c r="B3370" i="27"/>
  <c r="B3369" i="27"/>
  <c r="B3368" i="27"/>
  <c r="B3367" i="27"/>
  <c r="B3366" i="27"/>
  <c r="B3365" i="27"/>
  <c r="B3364" i="27"/>
  <c r="B3363" i="27"/>
  <c r="B3362" i="27"/>
  <c r="B3361" i="27"/>
  <c r="B3360" i="27"/>
  <c r="B3359" i="27"/>
  <c r="B3358" i="27"/>
  <c r="B3357" i="27"/>
  <c r="B3356" i="27"/>
  <c r="B3355" i="27"/>
  <c r="B3354" i="27"/>
  <c r="B3353" i="27"/>
  <c r="B3352" i="27"/>
  <c r="B3351" i="27"/>
  <c r="B3350" i="27"/>
  <c r="B3349" i="27"/>
  <c r="B3348" i="27"/>
  <c r="B3347" i="27"/>
  <c r="B3346" i="27"/>
  <c r="F2871" i="27"/>
  <c r="F2870" i="27"/>
  <c r="F2869" i="27"/>
  <c r="F2868" i="27"/>
  <c r="F2867" i="27"/>
  <c r="F2866" i="27"/>
  <c r="E3345" i="27"/>
  <c r="E3344" i="27"/>
  <c r="E3343" i="27"/>
  <c r="E3342" i="27"/>
  <c r="E3341" i="27"/>
  <c r="E3340" i="27"/>
  <c r="E3339" i="27"/>
  <c r="E3338" i="27"/>
  <c r="E3337" i="27"/>
  <c r="E3336" i="27"/>
  <c r="E3335" i="27"/>
  <c r="E3334" i="27"/>
  <c r="E3333" i="27"/>
  <c r="E3332" i="27"/>
  <c r="E3331" i="27"/>
  <c r="E3330" i="27"/>
  <c r="E3329" i="27"/>
  <c r="E3328" i="27"/>
  <c r="E3327" i="27"/>
  <c r="E3326" i="27"/>
  <c r="E3325" i="27"/>
  <c r="E3324" i="27"/>
  <c r="E3323" i="27"/>
  <c r="E3322" i="27"/>
  <c r="E3321" i="27"/>
  <c r="E3320" i="27"/>
  <c r="E3319" i="27"/>
  <c r="E3318" i="27"/>
  <c r="E3317" i="27"/>
  <c r="E3316" i="27"/>
  <c r="E3315" i="27"/>
  <c r="E3314" i="27"/>
  <c r="E3313" i="27"/>
  <c r="E3312" i="27"/>
  <c r="E3311" i="27"/>
  <c r="E3310" i="27"/>
  <c r="E3309" i="27"/>
  <c r="E3308" i="27"/>
  <c r="E3307" i="27"/>
  <c r="E3306" i="27"/>
  <c r="E3305" i="27"/>
  <c r="E3304" i="27"/>
  <c r="E3303" i="27"/>
  <c r="E3302" i="27"/>
  <c r="E3301" i="27"/>
  <c r="E3300" i="27"/>
  <c r="E3299" i="27"/>
  <c r="E3298" i="27"/>
  <c r="E3297" i="27"/>
  <c r="E3296" i="27"/>
  <c r="E3295" i="27"/>
  <c r="E3294" i="27"/>
  <c r="E3293" i="27"/>
  <c r="E3292" i="27"/>
  <c r="E3291" i="27"/>
  <c r="E3290" i="27"/>
  <c r="E3289" i="27"/>
  <c r="E3288" i="27"/>
  <c r="E3287" i="27"/>
  <c r="E3286" i="27"/>
  <c r="E3285" i="27"/>
  <c r="E3284" i="27"/>
  <c r="E3283" i="27"/>
  <c r="E3282" i="27"/>
  <c r="E3281" i="27"/>
  <c r="E3280" i="27"/>
  <c r="E3279" i="27"/>
  <c r="E3278" i="27"/>
  <c r="E3277" i="27"/>
  <c r="E3276" i="27"/>
  <c r="E3275" i="27"/>
  <c r="E3274" i="27"/>
  <c r="E3273" i="27"/>
  <c r="E3272" i="27"/>
  <c r="E3271" i="27"/>
  <c r="E3270" i="27"/>
  <c r="E3269" i="27"/>
  <c r="E3268" i="27"/>
  <c r="E3267" i="27"/>
  <c r="E3266" i="27"/>
  <c r="E3265" i="27"/>
  <c r="E3264" i="27"/>
  <c r="E3263" i="27"/>
  <c r="E3262" i="27"/>
  <c r="E3261" i="27"/>
  <c r="E3260" i="27"/>
  <c r="E3259" i="27"/>
  <c r="E3258" i="27"/>
  <c r="E3257" i="27"/>
  <c r="E3256" i="27"/>
  <c r="E3255" i="27"/>
  <c r="E3254" i="27"/>
  <c r="E3253" i="27"/>
  <c r="E3252" i="27"/>
  <c r="E3251" i="27"/>
  <c r="E3250" i="27"/>
  <c r="E3249" i="27"/>
  <c r="E3248" i="27"/>
  <c r="E3247" i="27"/>
  <c r="E3246" i="27"/>
  <c r="E3245" i="27"/>
  <c r="E3244" i="27"/>
  <c r="E3243" i="27"/>
  <c r="E3242" i="27"/>
  <c r="E3241" i="27"/>
  <c r="E3240" i="27"/>
  <c r="E3239" i="27"/>
  <c r="E3238" i="27"/>
  <c r="E3237" i="27"/>
  <c r="E3236" i="27"/>
  <c r="E3235" i="27"/>
  <c r="E3234" i="27"/>
  <c r="E3233" i="27"/>
  <c r="E3232" i="27"/>
  <c r="E3231" i="27"/>
  <c r="E3230" i="27"/>
  <c r="E3229" i="27"/>
  <c r="E3228" i="27"/>
  <c r="E3227" i="27"/>
  <c r="E3226" i="27"/>
  <c r="E3225" i="27"/>
  <c r="E3224" i="27"/>
  <c r="E3223" i="27"/>
  <c r="E3222" i="27"/>
  <c r="E3221" i="27"/>
  <c r="E3220" i="27"/>
  <c r="E3219" i="27"/>
  <c r="E3218" i="27"/>
  <c r="E3217" i="27"/>
  <c r="E3216" i="27"/>
  <c r="E3215" i="27"/>
  <c r="E3214" i="27"/>
  <c r="E3213" i="27"/>
  <c r="E3212" i="27"/>
  <c r="E3211" i="27"/>
  <c r="E3210" i="27"/>
  <c r="E3209" i="27"/>
  <c r="E3208" i="27"/>
  <c r="E3207" i="27"/>
  <c r="E3206" i="27"/>
  <c r="E3205" i="27"/>
  <c r="E3204" i="27"/>
  <c r="E3203" i="27"/>
  <c r="E3202" i="27"/>
  <c r="E3201" i="27"/>
  <c r="E3200" i="27"/>
  <c r="E3199" i="27"/>
  <c r="E3198" i="27"/>
  <c r="E3197" i="27"/>
  <c r="E3196" i="27"/>
  <c r="E3195" i="27"/>
  <c r="E3194" i="27"/>
  <c r="E3193" i="27"/>
  <c r="E3192" i="27"/>
  <c r="E3191" i="27"/>
  <c r="E3190" i="27"/>
  <c r="E3189" i="27"/>
  <c r="E3188" i="27"/>
  <c r="E3187" i="27"/>
  <c r="E3186" i="27"/>
  <c r="E3185" i="27"/>
  <c r="E3184" i="27"/>
  <c r="E3183" i="27"/>
  <c r="E3182" i="27"/>
  <c r="E3181" i="27"/>
  <c r="E3180" i="27"/>
  <c r="E3179" i="27"/>
  <c r="E3178" i="27"/>
  <c r="E3177" i="27"/>
  <c r="E3176" i="27"/>
  <c r="E3175" i="27"/>
  <c r="E3174" i="27"/>
  <c r="E3173" i="27"/>
  <c r="E3172" i="27"/>
  <c r="E3171" i="27"/>
  <c r="E3170" i="27"/>
  <c r="E3169" i="27"/>
  <c r="E3168" i="27"/>
  <c r="E3167" i="27"/>
  <c r="E3166" i="27"/>
  <c r="E3165" i="27"/>
  <c r="E3164" i="27"/>
  <c r="E3163" i="27"/>
  <c r="E3162" i="27"/>
  <c r="E3161" i="27"/>
  <c r="E3160" i="27"/>
  <c r="E3159" i="27"/>
  <c r="E3158" i="27"/>
  <c r="E3157" i="27"/>
  <c r="E3156" i="27"/>
  <c r="E3155" i="27"/>
  <c r="E3154" i="27"/>
  <c r="E3153" i="27"/>
  <c r="E3152" i="27"/>
  <c r="E3151" i="27"/>
  <c r="E3150" i="27"/>
  <c r="E3149" i="27"/>
  <c r="E3148" i="27"/>
  <c r="E3147" i="27"/>
  <c r="E3146" i="27"/>
  <c r="E3145" i="27"/>
  <c r="E3144" i="27"/>
  <c r="E3143" i="27"/>
  <c r="E3142" i="27"/>
  <c r="E3141" i="27"/>
  <c r="E3140" i="27"/>
  <c r="E3139" i="27"/>
  <c r="E3138" i="27"/>
  <c r="E3137" i="27"/>
  <c r="E3136" i="27"/>
  <c r="E3135" i="27"/>
  <c r="E3134" i="27"/>
  <c r="E3133" i="27"/>
  <c r="E3132" i="27"/>
  <c r="E3131" i="27"/>
  <c r="E3130" i="27"/>
  <c r="E3129" i="27"/>
  <c r="E3128" i="27"/>
  <c r="E3127" i="27"/>
  <c r="E3126" i="27"/>
  <c r="E3125" i="27"/>
  <c r="E3124" i="27"/>
  <c r="E3123" i="27"/>
  <c r="E3122" i="27"/>
  <c r="E3121" i="27"/>
  <c r="E3120" i="27"/>
  <c r="E3119" i="27"/>
  <c r="E3118" i="27"/>
  <c r="E3117" i="27"/>
  <c r="E3116" i="27"/>
  <c r="E3115" i="27"/>
  <c r="E3114" i="27"/>
  <c r="E3113" i="27"/>
  <c r="E3112" i="27"/>
  <c r="E3111" i="27"/>
  <c r="E3110" i="27"/>
  <c r="E3109" i="27"/>
  <c r="E3108" i="27"/>
  <c r="E3107" i="27"/>
  <c r="E3106" i="27"/>
  <c r="E3105" i="27"/>
  <c r="E3104" i="27"/>
  <c r="E3103" i="27"/>
  <c r="E3102" i="27"/>
  <c r="E3101" i="27"/>
  <c r="E3100" i="27"/>
  <c r="E3099" i="27"/>
  <c r="E3098" i="27"/>
  <c r="E3097" i="27"/>
  <c r="E3096" i="27"/>
  <c r="E3095" i="27"/>
  <c r="E3094" i="27"/>
  <c r="E3093" i="27"/>
  <c r="E3092" i="27"/>
  <c r="E3091" i="27"/>
  <c r="E3090" i="27"/>
  <c r="E3089" i="27"/>
  <c r="E3088" i="27"/>
  <c r="E3087" i="27"/>
  <c r="E3086" i="27"/>
  <c r="E3085" i="27"/>
  <c r="E3084" i="27"/>
  <c r="E3083" i="27"/>
  <c r="E3082" i="27"/>
  <c r="E3081" i="27"/>
  <c r="E3080" i="27"/>
  <c r="E3079" i="27"/>
  <c r="E3078" i="27"/>
  <c r="E3077" i="27"/>
  <c r="E3076" i="27"/>
  <c r="E3075" i="27"/>
  <c r="E3074" i="27"/>
  <c r="E3073" i="27"/>
  <c r="E3072" i="27"/>
  <c r="E3071" i="27"/>
  <c r="E3070" i="27"/>
  <c r="E3069" i="27"/>
  <c r="E3068" i="27"/>
  <c r="E3067" i="27"/>
  <c r="E3066" i="27"/>
  <c r="E3065" i="27"/>
  <c r="E3064" i="27"/>
  <c r="E3063" i="27"/>
  <c r="E3062" i="27"/>
  <c r="E3061" i="27"/>
  <c r="E3060" i="27"/>
  <c r="E3059" i="27"/>
  <c r="E3058" i="27"/>
  <c r="E3057" i="27"/>
  <c r="E3056" i="27"/>
  <c r="E3055" i="27"/>
  <c r="E3054" i="27"/>
  <c r="E3053" i="27"/>
  <c r="E3052" i="27"/>
  <c r="E3051" i="27"/>
  <c r="E3050" i="27"/>
  <c r="E3049" i="27"/>
  <c r="E3048" i="27"/>
  <c r="E3047" i="27"/>
  <c r="E3046" i="27"/>
  <c r="E3045" i="27"/>
  <c r="E3044" i="27"/>
  <c r="E3043" i="27"/>
  <c r="E3042" i="27"/>
  <c r="E3041" i="27"/>
  <c r="E3040" i="27"/>
  <c r="E3039" i="27"/>
  <c r="E3038" i="27"/>
  <c r="E3037" i="27"/>
  <c r="E3036" i="27"/>
  <c r="C2694" i="27"/>
  <c r="C2693" i="27"/>
  <c r="C2692" i="27"/>
  <c r="C2691" i="27"/>
  <c r="C2690" i="27"/>
  <c r="C2689" i="27"/>
  <c r="C2688" i="27"/>
  <c r="C2687" i="27"/>
  <c r="C2686" i="27"/>
  <c r="C2685" i="27"/>
  <c r="C2684" i="27"/>
  <c r="C2683" i="27"/>
  <c r="C2682" i="27"/>
  <c r="C2681" i="27"/>
  <c r="C2680" i="27"/>
  <c r="C2679" i="27"/>
  <c r="C2678" i="27"/>
  <c r="C2677" i="27"/>
  <c r="C2676" i="27"/>
  <c r="C2675" i="27"/>
  <c r="C2674" i="27"/>
  <c r="C2673" i="27"/>
  <c r="C2672" i="27"/>
  <c r="C2671" i="27"/>
  <c r="C2670" i="27"/>
  <c r="C2669" i="27"/>
  <c r="C2668" i="27"/>
  <c r="C2667" i="27"/>
  <c r="C2666" i="27"/>
  <c r="C2665" i="27"/>
  <c r="C2664" i="27"/>
  <c r="C2663" i="27"/>
  <c r="C2662" i="27"/>
  <c r="C2661" i="27"/>
  <c r="C2660" i="27"/>
  <c r="C2659" i="27"/>
  <c r="C2658" i="27"/>
  <c r="C2657" i="27"/>
  <c r="C2656" i="27"/>
  <c r="C2655" i="27"/>
  <c r="C2654" i="27"/>
  <c r="C2653" i="27"/>
  <c r="C2652" i="27"/>
  <c r="C2651" i="27"/>
  <c r="C2650" i="27"/>
  <c r="C2649" i="27"/>
  <c r="C2648" i="27"/>
  <c r="C2647" i="27"/>
  <c r="C2646" i="27"/>
  <c r="C2645" i="27"/>
  <c r="C2644" i="27"/>
  <c r="C2643" i="27"/>
  <c r="C2642" i="27"/>
  <c r="C2641" i="27"/>
  <c r="C2640" i="27"/>
  <c r="C2639" i="27"/>
  <c r="C2638" i="27"/>
  <c r="C2637" i="27"/>
  <c r="C2636" i="27"/>
  <c r="C2635" i="27"/>
  <c r="C2634" i="27"/>
  <c r="C2633" i="27"/>
  <c r="C2632" i="27"/>
  <c r="C2631" i="27"/>
  <c r="C2630" i="27"/>
  <c r="C2629" i="27"/>
  <c r="C2628" i="27"/>
  <c r="C2627" i="27"/>
  <c r="C2626" i="27"/>
  <c r="C2625" i="27"/>
  <c r="C2624" i="27"/>
  <c r="C2623" i="27"/>
  <c r="C2622" i="27"/>
  <c r="C2621" i="27"/>
  <c r="C2620" i="27"/>
  <c r="C2619" i="27"/>
  <c r="C2618" i="27"/>
  <c r="C2617" i="27"/>
  <c r="C2616" i="27"/>
  <c r="C2615" i="27"/>
  <c r="C2614" i="27"/>
  <c r="C2613" i="27"/>
  <c r="C2612" i="27"/>
  <c r="C2611" i="27"/>
  <c r="C2610" i="27"/>
  <c r="C2609" i="27"/>
  <c r="C2608" i="27"/>
  <c r="C2607" i="27"/>
  <c r="C2606" i="27"/>
  <c r="C2605" i="27"/>
  <c r="C2604" i="27"/>
  <c r="C2603" i="27"/>
  <c r="C2602" i="27"/>
  <c r="C2601" i="27"/>
  <c r="C2600" i="27"/>
  <c r="C2599" i="27"/>
  <c r="C2598" i="27"/>
  <c r="C2597" i="27"/>
  <c r="C2596" i="27"/>
  <c r="C2595" i="27"/>
  <c r="C2594" i="27"/>
  <c r="C2593" i="27"/>
  <c r="C2592" i="27"/>
  <c r="C2591" i="27"/>
  <c r="C2590" i="27"/>
  <c r="C2589" i="27"/>
  <c r="C2588" i="27"/>
  <c r="C2587" i="27"/>
  <c r="C2586" i="27"/>
  <c r="C2585" i="27"/>
  <c r="C2584" i="27"/>
  <c r="C2583" i="27"/>
  <c r="C2582" i="27"/>
  <c r="C2581" i="27"/>
  <c r="C2580" i="27"/>
  <c r="C2579" i="27"/>
  <c r="C2578" i="27"/>
  <c r="C2577" i="27"/>
  <c r="C2576" i="27"/>
  <c r="C2575" i="27"/>
  <c r="C2574" i="27"/>
  <c r="C2573" i="27"/>
  <c r="C2572" i="27"/>
  <c r="C2571" i="27"/>
  <c r="C2570" i="27"/>
  <c r="C2569" i="27"/>
  <c r="C2568" i="27"/>
  <c r="C2567" i="27"/>
  <c r="C2566" i="27"/>
  <c r="C2565" i="27"/>
  <c r="C2564" i="27"/>
  <c r="C2563" i="27"/>
  <c r="C2562" i="27"/>
  <c r="C2561" i="27"/>
  <c r="C2560" i="27"/>
  <c r="C2559" i="27"/>
  <c r="C2558" i="27"/>
  <c r="C2557" i="27"/>
  <c r="C2556" i="27"/>
  <c r="C2555" i="27"/>
  <c r="C2554" i="27"/>
  <c r="C2553" i="27"/>
  <c r="C2552" i="27"/>
  <c r="C2551" i="27"/>
  <c r="C2550" i="27"/>
  <c r="C2549" i="27"/>
  <c r="C2548" i="27"/>
  <c r="C2547" i="27"/>
  <c r="C2546" i="27"/>
  <c r="C2545" i="27"/>
  <c r="C2544" i="27"/>
  <c r="C2543" i="27"/>
  <c r="C2542" i="27"/>
  <c r="C2541" i="27"/>
  <c r="C2540" i="27"/>
  <c r="C2539" i="27"/>
  <c r="C2538" i="27"/>
  <c r="C2537" i="27"/>
  <c r="C2536" i="27"/>
  <c r="C2535" i="27"/>
  <c r="C2534" i="27"/>
  <c r="C2533" i="27"/>
  <c r="C2532" i="27"/>
  <c r="C2531" i="27"/>
  <c r="C2530" i="27"/>
  <c r="C2529" i="27"/>
  <c r="C2528" i="27"/>
  <c r="C2527" i="27"/>
  <c r="C2526" i="27"/>
  <c r="C2525" i="27"/>
  <c r="C2524" i="27"/>
  <c r="C2523" i="27"/>
  <c r="C2522" i="27"/>
  <c r="C2521" i="27"/>
  <c r="C2520" i="27"/>
  <c r="C2519" i="27"/>
  <c r="C2518" i="27"/>
  <c r="C2517" i="27"/>
  <c r="C2516" i="27"/>
  <c r="C2515" i="27"/>
  <c r="C2514" i="27"/>
  <c r="C2513" i="27"/>
  <c r="C2512" i="27"/>
  <c r="C2511" i="27"/>
  <c r="C2510" i="27"/>
  <c r="C2509" i="27"/>
  <c r="C2508" i="27"/>
  <c r="C2507" i="27"/>
  <c r="C2506" i="27"/>
  <c r="C2505" i="27"/>
  <c r="C2504" i="27"/>
  <c r="C2503" i="27"/>
  <c r="C2502" i="27"/>
  <c r="C2501" i="27"/>
  <c r="C2500" i="27"/>
  <c r="C2499" i="27"/>
  <c r="C2498" i="27"/>
  <c r="C2497" i="27"/>
  <c r="C2496" i="27"/>
  <c r="C2495" i="27"/>
  <c r="C2494" i="27"/>
  <c r="C2493" i="27"/>
  <c r="C2492" i="27"/>
  <c r="C2491" i="27"/>
  <c r="C2490" i="27"/>
  <c r="C2489" i="27"/>
  <c r="C2488" i="27"/>
  <c r="C2487" i="27"/>
  <c r="C2486" i="27"/>
  <c r="C2485" i="27"/>
  <c r="C2484" i="27"/>
  <c r="C2483" i="27"/>
  <c r="C2482" i="27"/>
  <c r="C2481" i="27"/>
  <c r="C2480" i="27"/>
  <c r="C2479" i="27"/>
  <c r="C2478" i="27"/>
  <c r="C2477" i="27"/>
  <c r="C2476" i="27"/>
  <c r="C2475" i="27"/>
  <c r="C2474" i="27"/>
  <c r="C2473" i="27"/>
  <c r="C2472" i="27"/>
  <c r="C2471" i="27"/>
  <c r="C2470" i="27"/>
  <c r="C2469" i="27"/>
  <c r="C2468" i="27"/>
  <c r="C2467" i="27"/>
  <c r="C2466" i="27"/>
  <c r="C2465" i="27"/>
  <c r="C2464" i="27"/>
  <c r="C2463" i="27"/>
  <c r="C2462" i="27"/>
  <c r="C2461" i="27"/>
  <c r="C2460" i="27"/>
  <c r="C2459" i="27"/>
  <c r="C2458" i="27"/>
  <c r="C2457" i="27"/>
  <c r="C2456" i="27"/>
  <c r="C2455" i="27"/>
  <c r="C2454" i="27"/>
  <c r="C2453" i="27"/>
  <c r="C2452" i="27"/>
  <c r="C2451" i="27"/>
  <c r="C2450" i="27"/>
  <c r="C2449" i="27"/>
  <c r="C2448" i="27"/>
  <c r="C2447" i="27"/>
  <c r="C2446" i="27"/>
  <c r="C2445" i="27"/>
  <c r="C2444" i="27"/>
  <c r="C2443" i="27"/>
  <c r="C2442" i="27"/>
  <c r="C2441" i="27"/>
  <c r="C2440" i="27"/>
  <c r="C2439" i="27"/>
  <c r="C2438" i="27"/>
  <c r="C2437" i="27"/>
  <c r="C2436" i="27"/>
  <c r="C2435" i="27"/>
  <c r="C2434" i="27"/>
  <c r="C2433" i="27"/>
  <c r="C2432" i="27"/>
  <c r="C2431" i="27"/>
  <c r="C2430" i="27"/>
  <c r="C2429" i="27"/>
  <c r="C2428" i="27"/>
  <c r="C2427" i="27"/>
  <c r="C2426" i="27"/>
  <c r="C2425" i="27"/>
  <c r="C2424" i="27"/>
  <c r="C2423" i="27"/>
  <c r="C2422" i="27"/>
  <c r="C2421" i="27"/>
  <c r="C2420" i="27"/>
  <c r="C2419" i="27"/>
  <c r="C2418" i="27"/>
  <c r="C2417" i="27"/>
  <c r="C2416" i="27"/>
  <c r="C2415" i="27"/>
  <c r="C2414" i="27"/>
  <c r="C2413" i="27"/>
  <c r="C2412" i="27"/>
  <c r="C2411" i="27"/>
  <c r="C2410" i="27"/>
  <c r="C2409" i="27"/>
  <c r="C2408" i="27"/>
  <c r="C2407" i="27"/>
  <c r="C2406" i="27"/>
  <c r="C2405" i="27"/>
  <c r="C2404" i="27"/>
  <c r="C2403" i="27"/>
  <c r="C2402" i="27"/>
  <c r="C2401" i="27"/>
  <c r="C2400" i="27"/>
  <c r="C2399" i="27"/>
  <c r="C2398" i="27"/>
  <c r="C2397" i="27"/>
  <c r="C2396" i="27"/>
  <c r="C2395" i="27"/>
  <c r="C2394" i="27"/>
  <c r="C2393" i="27"/>
  <c r="C2392" i="27"/>
  <c r="C2391" i="27"/>
  <c r="C2390" i="27"/>
  <c r="C2389" i="27"/>
  <c r="C2388" i="27"/>
  <c r="C2387" i="27"/>
  <c r="C2386" i="27"/>
  <c r="C2385" i="27"/>
  <c r="C2384" i="27"/>
  <c r="C2383" i="27"/>
  <c r="C2382" i="27"/>
  <c r="C2381" i="27"/>
  <c r="C2380" i="27"/>
  <c r="C2379" i="27"/>
  <c r="C2378" i="27"/>
  <c r="C2377" i="27"/>
  <c r="C2376" i="27"/>
  <c r="C2375" i="27"/>
  <c r="C2374" i="27"/>
  <c r="C2373" i="27"/>
  <c r="C2372" i="27"/>
  <c r="C2371" i="27"/>
  <c r="C2370" i="27"/>
  <c r="C2369" i="27"/>
  <c r="C2368" i="27"/>
  <c r="C2367" i="27"/>
  <c r="C2366" i="27"/>
  <c r="C2365" i="27"/>
  <c r="C2364" i="27"/>
  <c r="C2363" i="27"/>
  <c r="C2362" i="27"/>
  <c r="C2361" i="27"/>
  <c r="C2360" i="27"/>
  <c r="C2359" i="27"/>
  <c r="C2358" i="27"/>
  <c r="C2357" i="27"/>
  <c r="C2356" i="27"/>
  <c r="C2355" i="27"/>
  <c r="C2354" i="27"/>
  <c r="C2353" i="27"/>
  <c r="C2352" i="27"/>
  <c r="C2351" i="27"/>
  <c r="C2350" i="27"/>
  <c r="C2349" i="27"/>
  <c r="C2348" i="27"/>
  <c r="C2347" i="27"/>
  <c r="C2346" i="27"/>
  <c r="C2345" i="27"/>
  <c r="C2344" i="27"/>
  <c r="C2343" i="27"/>
  <c r="C2342" i="27"/>
  <c r="C2341" i="27"/>
  <c r="C2340" i="27"/>
  <c r="C2339" i="27"/>
  <c r="C2338" i="27"/>
  <c r="C2337" i="27"/>
  <c r="C2336" i="27"/>
  <c r="C2335" i="27"/>
  <c r="C2334" i="27"/>
  <c r="C2333" i="27"/>
  <c r="C2332" i="27"/>
  <c r="C2331" i="27"/>
  <c r="C2330" i="27"/>
  <c r="C2329" i="27"/>
  <c r="C2328" i="27"/>
  <c r="C2327" i="27"/>
  <c r="C2326" i="27"/>
  <c r="C2325" i="27"/>
  <c r="C2324" i="27"/>
  <c r="C2323" i="27"/>
  <c r="C2322" i="27"/>
  <c r="C2321" i="27"/>
  <c r="C2320" i="27"/>
  <c r="C2319" i="27"/>
  <c r="C2318" i="27"/>
  <c r="C2317" i="27"/>
  <c r="C2316" i="27"/>
  <c r="C2315" i="27"/>
  <c r="C2314" i="27"/>
  <c r="C2313" i="27"/>
  <c r="C2312" i="27"/>
  <c r="C2311" i="27"/>
  <c r="C2310" i="27"/>
  <c r="C2309" i="27"/>
  <c r="C2308" i="27"/>
  <c r="C2307" i="27"/>
  <c r="C2306" i="27"/>
  <c r="C2305" i="27"/>
  <c r="C2304" i="27"/>
  <c r="C2303" i="27"/>
  <c r="C2302" i="27"/>
  <c r="C2301" i="27"/>
  <c r="C2300" i="27"/>
  <c r="C2299" i="27"/>
  <c r="C2298" i="27"/>
  <c r="C2297" i="27"/>
  <c r="C2296" i="27"/>
  <c r="C2295" i="27"/>
  <c r="C2294" i="27"/>
  <c r="C2293" i="27"/>
  <c r="C2292" i="27"/>
  <c r="C2291" i="27"/>
  <c r="C2290" i="27"/>
  <c r="C2289" i="27"/>
  <c r="C2288" i="27"/>
  <c r="C2287" i="27"/>
  <c r="C2286" i="27"/>
  <c r="C2285" i="27"/>
  <c r="C2284" i="27"/>
  <c r="C2283" i="27"/>
  <c r="C2282" i="27"/>
  <c r="C2281" i="27"/>
  <c r="C2280" i="27"/>
  <c r="C2279" i="27"/>
  <c r="C2278" i="27"/>
  <c r="C2277" i="27"/>
  <c r="C2276" i="27"/>
  <c r="C2275" i="27"/>
  <c r="C2274" i="27"/>
  <c r="C2273" i="27"/>
  <c r="C2272" i="27"/>
  <c r="C2271" i="27"/>
  <c r="C2270" i="27"/>
  <c r="C2269" i="27"/>
  <c r="C2268" i="27"/>
  <c r="C2267" i="27"/>
  <c r="C2266" i="27"/>
  <c r="C2265" i="27"/>
  <c r="C2264" i="27"/>
  <c r="C2263" i="27"/>
  <c r="C2262" i="27"/>
  <c r="C2261" i="27"/>
  <c r="C2260" i="27"/>
  <c r="C2259" i="27"/>
  <c r="C2258" i="27"/>
  <c r="C2257" i="27"/>
  <c r="C2256" i="27"/>
  <c r="C2255" i="27"/>
  <c r="C2254" i="27"/>
  <c r="C2253" i="27"/>
  <c r="C2252" i="27"/>
  <c r="C2251" i="27"/>
  <c r="C2250" i="27"/>
  <c r="C2249" i="27"/>
  <c r="C2248" i="27"/>
  <c r="C2247" i="27"/>
  <c r="C2246" i="27"/>
  <c r="C2245" i="27"/>
  <c r="C2244" i="27"/>
  <c r="C2243" i="27"/>
  <c r="C2242" i="27"/>
  <c r="C2241" i="27"/>
  <c r="C2240" i="27"/>
  <c r="C2239" i="27"/>
  <c r="C2238" i="27"/>
  <c r="C2237" i="27"/>
  <c r="C2236" i="27"/>
  <c r="C2235" i="27"/>
  <c r="C2234" i="27"/>
  <c r="C2233" i="27"/>
  <c r="C2232" i="27"/>
  <c r="C2231" i="27"/>
  <c r="C2230" i="27"/>
  <c r="C2229" i="27"/>
  <c r="C2228" i="27"/>
  <c r="C2227" i="27"/>
  <c r="C2226" i="27"/>
  <c r="C2225" i="27"/>
  <c r="C2224" i="27"/>
  <c r="C2223" i="27"/>
  <c r="C2222" i="27"/>
  <c r="C2221" i="27"/>
  <c r="C2220" i="27"/>
  <c r="C2219" i="27"/>
  <c r="C2218" i="27"/>
  <c r="C2217" i="27"/>
  <c r="C2216" i="27"/>
  <c r="C2215" i="27"/>
  <c r="C2214" i="27"/>
  <c r="C2213" i="27"/>
  <c r="C2212" i="27"/>
  <c r="C2211" i="27"/>
  <c r="C2210" i="27"/>
  <c r="C2209" i="27"/>
  <c r="C2208" i="27"/>
  <c r="C2207" i="27"/>
  <c r="C2206" i="27"/>
  <c r="C2205" i="27"/>
  <c r="C2204" i="27"/>
  <c r="C2203" i="27"/>
  <c r="C2202" i="27"/>
  <c r="C2201" i="27"/>
  <c r="C2200" i="27"/>
  <c r="C2199" i="27"/>
  <c r="C2198" i="27"/>
  <c r="C2197" i="27"/>
  <c r="C2196" i="27"/>
  <c r="C2195" i="27"/>
  <c r="C2194" i="27"/>
  <c r="C2193" i="27"/>
  <c r="C2192" i="27"/>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C2169" i="27"/>
  <c r="C2168" i="27"/>
  <c r="C2167" i="27"/>
  <c r="C2166" i="27"/>
  <c r="C2165" i="27"/>
  <c r="C2164" i="27"/>
  <c r="C2163" i="27"/>
  <c r="C2162" i="27"/>
  <c r="C2161" i="27"/>
  <c r="C2160" i="27"/>
  <c r="C2159" i="27"/>
  <c r="C2158" i="27"/>
  <c r="C2157" i="27"/>
  <c r="C2156" i="27"/>
  <c r="C2155" i="27"/>
  <c r="C2154" i="27"/>
  <c r="C2153" i="27"/>
  <c r="C2152" i="27"/>
  <c r="C2151" i="27"/>
  <c r="C2150" i="27"/>
  <c r="C2149" i="27"/>
  <c r="C2148" i="27"/>
  <c r="C2147" i="27"/>
  <c r="C2146" i="27"/>
  <c r="C2145" i="27"/>
  <c r="C2144" i="27"/>
  <c r="C2143" i="27"/>
  <c r="C2142" i="27"/>
  <c r="C2141" i="27"/>
  <c r="C2140" i="27"/>
  <c r="C2139" i="27"/>
  <c r="C2138" i="27"/>
  <c r="C2137" i="27"/>
  <c r="C2136" i="27"/>
  <c r="C2135" i="27"/>
  <c r="C2134" i="27"/>
  <c r="C2133" i="27"/>
  <c r="C2132" i="27"/>
  <c r="C2131" i="27"/>
  <c r="C2130" i="27"/>
  <c r="C2129" i="27"/>
  <c r="C2128" i="27"/>
  <c r="C2127" i="27"/>
  <c r="C2126" i="27"/>
  <c r="C2125" i="27"/>
  <c r="C2124" i="27"/>
  <c r="C2123" i="27"/>
  <c r="C2122" i="27"/>
  <c r="C2121" i="27"/>
  <c r="C2120" i="27"/>
  <c r="C2119" i="27"/>
  <c r="C2118" i="27"/>
  <c r="C2117" i="27"/>
  <c r="C2116" i="27"/>
  <c r="C2115" i="27"/>
  <c r="C2114" i="27"/>
  <c r="C2113" i="27"/>
  <c r="C2112" i="27"/>
  <c r="C2111" i="27"/>
  <c r="C2110" i="27"/>
  <c r="C2109" i="27"/>
  <c r="C2108" i="27"/>
  <c r="C2107" i="27"/>
  <c r="C2106" i="27"/>
  <c r="C2105" i="27"/>
  <c r="C2104" i="27"/>
  <c r="C2103" i="27"/>
  <c r="C2102" i="27"/>
  <c r="C2101" i="27"/>
  <c r="C2100" i="27"/>
  <c r="C2099" i="27"/>
  <c r="C2098" i="27"/>
  <c r="C2097" i="27"/>
  <c r="C2096" i="27"/>
  <c r="C2095" i="27"/>
  <c r="C2859" i="27"/>
  <c r="C2858" i="27"/>
  <c r="C2857" i="27"/>
  <c r="C2856" i="27"/>
  <c r="C2855" i="27"/>
  <c r="C2854" i="27"/>
  <c r="C2853" i="27"/>
  <c r="C2852" i="27"/>
  <c r="C2851" i="27"/>
  <c r="C2850" i="27"/>
  <c r="C2849" i="27"/>
  <c r="C2848" i="27"/>
  <c r="C2847" i="27"/>
  <c r="C2846" i="27"/>
  <c r="C2845" i="27"/>
  <c r="C2844" i="27"/>
  <c r="C2843" i="27"/>
  <c r="C2842" i="27"/>
  <c r="C2841" i="27"/>
  <c r="C2840" i="27"/>
  <c r="C2839" i="27"/>
  <c r="C2838" i="27"/>
  <c r="C2837" i="27"/>
  <c r="C2836" i="27"/>
  <c r="C2835" i="27"/>
  <c r="C2834" i="27"/>
  <c r="C2833" i="27"/>
  <c r="C2832" i="27"/>
  <c r="C2831" i="27"/>
  <c r="C2830" i="27"/>
  <c r="C2829" i="27"/>
  <c r="C2828" i="27"/>
  <c r="C2827" i="27"/>
  <c r="C2826" i="27"/>
  <c r="C2825" i="27"/>
  <c r="C2824" i="27"/>
  <c r="C2823" i="27"/>
  <c r="C2822" i="27"/>
  <c r="C2821" i="27"/>
  <c r="C2820" i="27"/>
  <c r="C2819" i="27"/>
  <c r="C2818" i="27"/>
  <c r="C2817" i="27"/>
  <c r="C2816" i="27"/>
  <c r="C2815" i="27"/>
  <c r="C2814" i="27"/>
  <c r="C2813" i="27"/>
  <c r="C2812" i="27"/>
  <c r="C2811" i="27"/>
  <c r="C2810" i="27"/>
  <c r="C2809" i="27"/>
  <c r="C2808" i="27"/>
  <c r="C2807" i="27"/>
  <c r="C2806" i="27"/>
  <c r="C2805" i="27"/>
  <c r="C2804" i="27"/>
  <c r="C2803" i="27"/>
  <c r="C2802" i="27"/>
  <c r="C2801" i="27"/>
  <c r="C2800" i="27"/>
  <c r="C2799" i="27"/>
  <c r="C2798" i="27"/>
  <c r="C2797" i="27"/>
  <c r="C2796" i="27"/>
  <c r="C2795" i="27"/>
  <c r="C2794" i="27"/>
  <c r="C2793" i="27"/>
  <c r="C2792" i="27"/>
  <c r="C2791" i="27"/>
  <c r="C2790" i="27"/>
  <c r="C2789" i="27"/>
  <c r="C2788" i="27"/>
  <c r="C2787" i="27"/>
  <c r="C2786" i="27"/>
  <c r="C2785" i="27"/>
  <c r="C2784" i="27"/>
  <c r="C2783" i="27"/>
  <c r="C2782" i="27"/>
  <c r="C2781" i="27"/>
  <c r="C2780" i="27"/>
  <c r="C1186" i="27"/>
  <c r="C1185" i="27"/>
  <c r="C1184" i="27"/>
  <c r="C1183" i="27"/>
  <c r="C1182" i="27"/>
  <c r="C1181" i="27"/>
  <c r="C1180" i="27"/>
  <c r="C1179" i="27"/>
  <c r="C1178" i="27"/>
  <c r="C1177" i="27"/>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490" i="27"/>
  <c r="C1489" i="27"/>
  <c r="C1488" i="27"/>
  <c r="C1487" i="27"/>
  <c r="C1486" i="27"/>
  <c r="C1485" i="27"/>
  <c r="C1484" i="27"/>
  <c r="C1483" i="27"/>
  <c r="C1482" i="27"/>
  <c r="C1481" i="27"/>
  <c r="C1480" i="27"/>
  <c r="C1479" i="27"/>
  <c r="C1478" i="27"/>
  <c r="C1477" i="27"/>
  <c r="C1476" i="27"/>
  <c r="C1475" i="27"/>
  <c r="C1474" i="27"/>
  <c r="C1473" i="27"/>
  <c r="C1472" i="27"/>
  <c r="C1471" i="27"/>
  <c r="C1470" i="27"/>
  <c r="C1469" i="27"/>
  <c r="C1468" i="27"/>
  <c r="C1467" i="27"/>
  <c r="C1466" i="27"/>
  <c r="C1465" i="27"/>
  <c r="C1464" i="27"/>
  <c r="C1463" i="27"/>
  <c r="C1462" i="27"/>
  <c r="C1461" i="27"/>
  <c r="C1460" i="27"/>
  <c r="C1459" i="27"/>
  <c r="C1458" i="27"/>
  <c r="C1457" i="27"/>
  <c r="C1456" i="27"/>
  <c r="C1455" i="27"/>
  <c r="C1454" i="27"/>
  <c r="C1453" i="27"/>
  <c r="C1452" i="27"/>
  <c r="C1451" i="27"/>
  <c r="C1450" i="27"/>
  <c r="C1449" i="27"/>
  <c r="C1448" i="27"/>
  <c r="C1447" i="27"/>
  <c r="C1446" i="27"/>
  <c r="C1445" i="27"/>
  <c r="C1444" i="27"/>
  <c r="C1443" i="27"/>
  <c r="C1442" i="27"/>
  <c r="C1441" i="27"/>
  <c r="C1440" i="27"/>
  <c r="C1439" i="27"/>
  <c r="C1438" i="27"/>
  <c r="C1437" i="27"/>
  <c r="C1436" i="27"/>
  <c r="C1435" i="27"/>
  <c r="C1434" i="27"/>
  <c r="C1433" i="27"/>
  <c r="C1432" i="27"/>
  <c r="C1431" i="27"/>
  <c r="C1430" i="27"/>
  <c r="C1429" i="27"/>
  <c r="C1428" i="27"/>
  <c r="C1427" i="27"/>
  <c r="C1426" i="27"/>
  <c r="C1425" i="27"/>
  <c r="C1424" i="27"/>
  <c r="C1423" i="27"/>
  <c r="C1422" i="27"/>
  <c r="C1421" i="27"/>
  <c r="C1420" i="27"/>
  <c r="C1419" i="27"/>
  <c r="C1418" i="27"/>
  <c r="C1417" i="27"/>
  <c r="C1416" i="27"/>
  <c r="C1415" i="27"/>
  <c r="C1414" i="27"/>
  <c r="C1413" i="27"/>
  <c r="C1412" i="27"/>
  <c r="C1411" i="27"/>
  <c r="C1410" i="27"/>
  <c r="C1409" i="27"/>
  <c r="C1408" i="27"/>
  <c r="C1407" i="27"/>
  <c r="C1406"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O879" i="27"/>
  <c r="O878" i="27"/>
  <c r="O877" i="27"/>
  <c r="O876" i="27"/>
  <c r="O875" i="27"/>
  <c r="O874" i="27"/>
  <c r="O873" i="27"/>
  <c r="O872" i="27"/>
  <c r="O871" i="27"/>
  <c r="O870" i="27"/>
  <c r="O869" i="27"/>
  <c r="O868" i="27"/>
  <c r="O867" i="27"/>
  <c r="O866" i="27"/>
  <c r="O865" i="27"/>
  <c r="O864" i="27"/>
  <c r="O863" i="27"/>
  <c r="O862" i="27"/>
  <c r="O861" i="27"/>
  <c r="O860" i="27"/>
  <c r="O859" i="27"/>
  <c r="O858" i="27"/>
  <c r="O857" i="27"/>
  <c r="O856" i="27"/>
  <c r="O855" i="27"/>
  <c r="O854" i="27"/>
  <c r="O853" i="27"/>
  <c r="O852" i="27"/>
  <c r="O851" i="27"/>
  <c r="O850" i="27"/>
  <c r="O849" i="27"/>
  <c r="O848" i="27"/>
  <c r="O847" i="27"/>
  <c r="O846" i="27"/>
  <c r="O845" i="27"/>
  <c r="O844" i="27"/>
  <c r="O843" i="27"/>
  <c r="O842" i="27"/>
  <c r="O841" i="27"/>
  <c r="O840" i="27"/>
  <c r="O839" i="27"/>
  <c r="O838" i="27"/>
  <c r="O837" i="27"/>
  <c r="O836" i="27"/>
  <c r="O835" i="27"/>
  <c r="O834" i="27"/>
  <c r="O833" i="27"/>
  <c r="O832" i="27"/>
  <c r="O831" i="27"/>
  <c r="O830" i="27"/>
  <c r="O829" i="27"/>
  <c r="O828" i="27"/>
  <c r="O827" i="27"/>
  <c r="O826" i="27"/>
  <c r="O825" i="27"/>
  <c r="O824" i="27"/>
  <c r="O823" i="27"/>
  <c r="O822" i="27"/>
  <c r="O821" i="27"/>
  <c r="O820" i="27"/>
  <c r="O819" i="27"/>
  <c r="O818" i="27"/>
  <c r="O817" i="27"/>
  <c r="O816" i="27"/>
  <c r="O815" i="27"/>
  <c r="O814" i="27"/>
  <c r="O813" i="27"/>
  <c r="O812" i="27"/>
  <c r="O811" i="27"/>
  <c r="O810" i="27"/>
  <c r="O809" i="27"/>
  <c r="O808" i="27"/>
  <c r="O807" i="27"/>
  <c r="O806" i="27"/>
  <c r="O805" i="27"/>
  <c r="O804" i="27"/>
  <c r="O803" i="27"/>
  <c r="O802" i="27"/>
  <c r="O801" i="27"/>
  <c r="O800" i="27"/>
  <c r="O799" i="27"/>
  <c r="O798" i="27"/>
  <c r="O797" i="27"/>
  <c r="O796" i="27"/>
  <c r="O795" i="27"/>
  <c r="O794" i="27"/>
  <c r="O793" i="27"/>
  <c r="O792" i="27"/>
  <c r="O791" i="27"/>
  <c r="O790" i="27"/>
  <c r="O789" i="27"/>
  <c r="O788" i="27"/>
  <c r="O787" i="27"/>
  <c r="O786" i="27"/>
  <c r="O785" i="27"/>
  <c r="O784" i="27"/>
  <c r="O783" i="27"/>
  <c r="O782" i="27"/>
  <c r="O781" i="27"/>
  <c r="O780" i="27"/>
  <c r="O779" i="27"/>
  <c r="O778" i="27"/>
  <c r="O777" i="27"/>
  <c r="O776" i="27"/>
  <c r="O775" i="27"/>
  <c r="O774" i="27"/>
  <c r="O773" i="27"/>
  <c r="O772" i="27"/>
  <c r="O771" i="27"/>
  <c r="O770" i="27"/>
  <c r="O769" i="27"/>
  <c r="O768" i="27"/>
  <c r="O767" i="27"/>
  <c r="O766" i="27"/>
  <c r="O765" i="27"/>
  <c r="O764" i="27"/>
  <c r="O763" i="27"/>
  <c r="O762" i="27"/>
  <c r="O761" i="27"/>
  <c r="O760" i="27"/>
  <c r="O759" i="27"/>
  <c r="O758" i="27"/>
  <c r="O757" i="27"/>
  <c r="O756" i="27"/>
  <c r="O755" i="27"/>
  <c r="O754" i="27"/>
  <c r="O753" i="27"/>
  <c r="O752" i="27"/>
  <c r="O751" i="27"/>
  <c r="O750" i="27"/>
  <c r="O749" i="27"/>
  <c r="O748" i="27"/>
  <c r="O747" i="27"/>
  <c r="O746" i="27"/>
  <c r="O745" i="27"/>
  <c r="O744" i="27"/>
  <c r="O743" i="27"/>
  <c r="O742" i="27"/>
  <c r="O741" i="27"/>
  <c r="O740" i="27"/>
  <c r="O739" i="27"/>
  <c r="O738" i="27"/>
  <c r="O737" i="27"/>
  <c r="O736" i="27"/>
  <c r="O735" i="27"/>
  <c r="O734" i="27"/>
  <c r="O733" i="27"/>
  <c r="O732" i="27"/>
  <c r="O731" i="27"/>
  <c r="O730" i="27"/>
  <c r="O729" i="27"/>
  <c r="O728" i="27"/>
  <c r="O727" i="27"/>
  <c r="O726" i="27"/>
  <c r="O725" i="27"/>
  <c r="O724" i="27"/>
  <c r="O723" i="27"/>
  <c r="O722" i="27"/>
  <c r="O721" i="27"/>
  <c r="O720" i="27"/>
  <c r="O719" i="27"/>
  <c r="O718" i="27"/>
  <c r="O717" i="27"/>
  <c r="O716" i="27"/>
  <c r="O715" i="27"/>
  <c r="O714" i="27"/>
  <c r="O713" i="27"/>
  <c r="O712" i="27"/>
  <c r="O711" i="27"/>
  <c r="O710" i="27"/>
  <c r="O709" i="27"/>
  <c r="O708" i="27"/>
  <c r="O707" i="27"/>
  <c r="O706" i="27"/>
  <c r="O705" i="27"/>
  <c r="O704" i="27"/>
  <c r="O703" i="27"/>
  <c r="O702" i="27"/>
  <c r="O701" i="27"/>
  <c r="O700" i="27"/>
  <c r="N700" i="27"/>
  <c r="F879" i="27"/>
  <c r="F878" i="27"/>
  <c r="F877" i="27"/>
  <c r="F876" i="27"/>
  <c r="F875" i="27"/>
  <c r="F874" i="27"/>
  <c r="F873" i="27"/>
  <c r="F872" i="27"/>
  <c r="F871" i="27"/>
  <c r="F870" i="27"/>
  <c r="F869" i="27"/>
  <c r="F868" i="27"/>
  <c r="F867" i="27"/>
  <c r="F866" i="27"/>
  <c r="F865" i="27"/>
  <c r="F864" i="27"/>
  <c r="F863" i="27"/>
  <c r="F862" i="27"/>
  <c r="F861" i="27"/>
  <c r="F860" i="27"/>
  <c r="F859" i="27"/>
  <c r="F858" i="27"/>
  <c r="F857" i="27"/>
  <c r="F856" i="27"/>
  <c r="F855" i="27"/>
  <c r="F854" i="27"/>
  <c r="F853" i="27"/>
  <c r="F852" i="27"/>
  <c r="F851" i="27"/>
  <c r="F850" i="27"/>
  <c r="F849" i="27"/>
  <c r="F848" i="27"/>
  <c r="F847" i="27"/>
  <c r="F846" i="27"/>
  <c r="F845" i="27"/>
  <c r="F844" i="27"/>
  <c r="F843" i="27"/>
  <c r="F842" i="27"/>
  <c r="F841" i="27"/>
  <c r="F840" i="27"/>
  <c r="F839" i="27"/>
  <c r="F83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9"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F704" i="27"/>
  <c r="F703" i="27"/>
  <c r="F702" i="27"/>
  <c r="F701" i="27"/>
  <c r="F700" i="27"/>
  <c r="F447" i="27"/>
  <c r="F446" i="27"/>
  <c r="F445" i="27"/>
  <c r="F444" i="27"/>
  <c r="F443" i="27"/>
  <c r="F442" i="27"/>
  <c r="F441" i="27"/>
  <c r="F440" i="27"/>
  <c r="F439" i="27"/>
  <c r="F438" i="27"/>
  <c r="F437" i="27"/>
  <c r="F436" i="27"/>
  <c r="F435" i="27"/>
  <c r="F434" i="27"/>
  <c r="F433" i="27"/>
  <c r="F432" i="27"/>
  <c r="F431" i="27"/>
  <c r="F430" i="27"/>
  <c r="F429" i="27"/>
  <c r="F428" i="27"/>
  <c r="F427" i="27"/>
  <c r="F426" i="27"/>
  <c r="F425" i="27"/>
  <c r="F424" i="27"/>
  <c r="F423" i="27"/>
  <c r="F422" i="27"/>
  <c r="F421" i="27"/>
  <c r="F420" i="27"/>
  <c r="F419" i="27"/>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H363" i="27" s="1"/>
  <c r="F362" i="27"/>
  <c r="H362" i="27" s="1"/>
  <c r="F361" i="27"/>
  <c r="H361" i="27" s="1"/>
  <c r="F360" i="27"/>
  <c r="H360" i="27" s="1"/>
  <c r="F359" i="27"/>
  <c r="H359" i="27" s="1"/>
  <c r="F358" i="27"/>
  <c r="H358" i="27" s="1"/>
  <c r="C447" i="27"/>
  <c r="C446" i="27"/>
  <c r="C445" i="27"/>
  <c r="C444" i="27"/>
  <c r="C443" i="27"/>
  <c r="C442" i="27"/>
  <c r="C441" i="27"/>
  <c r="C440" i="27"/>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H273" i="27"/>
  <c r="H272" i="27"/>
  <c r="H271" i="27"/>
  <c r="H270" i="27"/>
  <c r="H269" i="27"/>
  <c r="H268" i="27"/>
  <c r="E357" i="27"/>
  <c r="E356" i="27"/>
  <c r="E355" i="27"/>
  <c r="E354" i="27"/>
  <c r="E353" i="27"/>
  <c r="E352" i="27"/>
  <c r="E351" i="27"/>
  <c r="E35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P223" i="27"/>
  <c r="P222" i="27"/>
  <c r="P221" i="27"/>
  <c r="P220" i="27"/>
  <c r="P219" i="27"/>
  <c r="P218" i="27"/>
  <c r="P217" i="27"/>
  <c r="P216" i="27"/>
  <c r="P215" i="27"/>
  <c r="P214" i="27"/>
  <c r="P213" i="27"/>
  <c r="P212" i="27"/>
  <c r="P211" i="27"/>
  <c r="P210" i="27"/>
  <c r="P209" i="27"/>
  <c r="P208" i="27"/>
  <c r="P207" i="27"/>
  <c r="P206" i="27"/>
  <c r="P205" i="27"/>
  <c r="P204" i="27"/>
  <c r="P203" i="27"/>
  <c r="P202" i="27"/>
  <c r="P201" i="27"/>
  <c r="P200" i="27"/>
  <c r="P199" i="27"/>
  <c r="P198" i="27"/>
  <c r="P197" i="27"/>
  <c r="P196" i="27"/>
  <c r="P195" i="27"/>
  <c r="P194" i="27"/>
  <c r="P193" i="27"/>
  <c r="P192" i="27"/>
  <c r="P191" i="27"/>
  <c r="P190" i="27"/>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P163" i="27"/>
  <c r="P162" i="27"/>
  <c r="P161" i="27"/>
  <c r="P160" i="27"/>
  <c r="P159" i="27"/>
  <c r="P158" i="27"/>
  <c r="P157" i="27"/>
  <c r="P156" i="27"/>
  <c r="P155" i="27"/>
  <c r="P154" i="27"/>
  <c r="P153" i="27"/>
  <c r="P152" i="27"/>
  <c r="P151" i="27"/>
  <c r="P150" i="27"/>
  <c r="P149" i="27"/>
  <c r="P148" i="27"/>
  <c r="P147" i="27"/>
  <c r="P146" i="27"/>
  <c r="P145" i="27"/>
  <c r="P144" i="27"/>
  <c r="P143" i="27"/>
  <c r="P142" i="27"/>
  <c r="P141" i="27"/>
  <c r="P140" i="27"/>
  <c r="P139" i="27"/>
  <c r="P138" i="27"/>
  <c r="P137" i="27"/>
  <c r="P136" i="27"/>
  <c r="P135" i="27"/>
  <c r="P134" i="27"/>
  <c r="O223" i="27"/>
  <c r="C223" i="27" s="1"/>
  <c r="O222" i="27"/>
  <c r="C222" i="27" s="1"/>
  <c r="O221" i="27"/>
  <c r="C221" i="27" s="1"/>
  <c r="O220" i="27"/>
  <c r="C220" i="27" s="1"/>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C199" i="27" s="1"/>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H139" i="27" s="1"/>
  <c r="F138" i="27"/>
  <c r="F137" i="27"/>
  <c r="H137" i="27" s="1"/>
  <c r="F136" i="27"/>
  <c r="H136" i="27" s="1"/>
  <c r="F135" i="27"/>
  <c r="F134" i="27"/>
  <c r="H134" i="27" s="1"/>
  <c r="K243" i="27"/>
  <c r="K244" i="27" s="1"/>
  <c r="K245" i="27" s="1"/>
  <c r="K246" i="27" s="1"/>
  <c r="K247" i="27" s="1"/>
  <c r="K248" i="27" s="1"/>
  <c r="K249" i="27" s="1"/>
  <c r="K250" i="27" s="1"/>
  <c r="K251" i="27" s="1"/>
  <c r="K252" i="27" s="1"/>
  <c r="K253" i="27" s="1"/>
  <c r="K254" i="27" s="1"/>
  <c r="K255" i="27" s="1"/>
  <c r="K256" i="27" s="1"/>
  <c r="K257" i="27" s="1"/>
  <c r="H49" i="27"/>
  <c r="H48" i="27"/>
  <c r="H47" i="27"/>
  <c r="H46" i="27"/>
  <c r="H45" i="27"/>
  <c r="H4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N40" i="1"/>
  <c r="N38" i="1"/>
  <c r="N33" i="1"/>
  <c r="N32" i="1"/>
  <c r="M39" i="1"/>
  <c r="M33" i="1"/>
  <c r="L40" i="1"/>
  <c r="L38" i="1"/>
  <c r="L33" i="1"/>
  <c r="L32" i="1"/>
  <c r="J40" i="1"/>
  <c r="J39" i="1"/>
  <c r="J38" i="1"/>
  <c r="J37" i="1"/>
  <c r="J36" i="1"/>
  <c r="J35" i="1"/>
  <c r="J34" i="1"/>
  <c r="J33" i="1"/>
  <c r="J32" i="1"/>
  <c r="E40" i="1"/>
  <c r="M40" i="1" s="1"/>
  <c r="E39" i="1"/>
  <c r="D39" i="1" s="1"/>
  <c r="E38" i="1"/>
  <c r="M38" i="1" s="1"/>
  <c r="E37" i="1"/>
  <c r="N37" i="1" s="1"/>
  <c r="E36" i="1"/>
  <c r="L36" i="1" s="1"/>
  <c r="E35" i="1"/>
  <c r="D35" i="1" s="1"/>
  <c r="E34" i="1"/>
  <c r="N34" i="1" s="1"/>
  <c r="E33" i="1"/>
  <c r="D33" i="1" s="1"/>
  <c r="E32" i="1"/>
  <c r="M32" i="1" s="1"/>
  <c r="D38" i="1"/>
  <c r="D37" i="1"/>
  <c r="D34" i="1"/>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H11" i="19"/>
  <c r="H10" i="19"/>
  <c r="H9" i="19"/>
  <c r="H8" i="19"/>
  <c r="H7" i="19"/>
  <c r="H6" i="19"/>
  <c r="H5" i="19"/>
  <c r="H4" i="19"/>
  <c r="F11" i="19"/>
  <c r="F10" i="19"/>
  <c r="F9" i="19"/>
  <c r="F8" i="19"/>
  <c r="F7" i="19"/>
  <c r="F6" i="19"/>
  <c r="F5" i="19"/>
  <c r="F4" i="19"/>
  <c r="H418" i="16"/>
  <c r="H417" i="16"/>
  <c r="H416" i="16"/>
  <c r="H415" i="16"/>
  <c r="H414" i="16"/>
  <c r="H413" i="16"/>
  <c r="H412" i="16"/>
  <c r="H411" i="16"/>
  <c r="H410" i="16"/>
  <c r="H409" i="16"/>
  <c r="H408" i="16"/>
  <c r="H407" i="16"/>
  <c r="H406" i="16"/>
  <c r="H405" i="16"/>
  <c r="H404" i="16"/>
  <c r="H403" i="16"/>
  <c r="H402" i="16"/>
  <c r="H401" i="16"/>
  <c r="H400" i="16"/>
  <c r="H399" i="16"/>
  <c r="H398" i="16"/>
  <c r="H397" i="16"/>
  <c r="H396" i="16"/>
  <c r="H395" i="16"/>
  <c r="H394" i="16"/>
  <c r="H393" i="16"/>
  <c r="H392" i="16"/>
  <c r="H391" i="16"/>
  <c r="H390" i="16"/>
  <c r="H389" i="16"/>
  <c r="H388" i="16"/>
  <c r="H387" i="16"/>
  <c r="H386" i="16"/>
  <c r="H385" i="16"/>
  <c r="H384" i="16"/>
  <c r="H383" i="16"/>
  <c r="H382" i="16"/>
  <c r="H381" i="16"/>
  <c r="H380" i="16"/>
  <c r="H379" i="16"/>
  <c r="H378" i="16"/>
  <c r="H377" i="16"/>
  <c r="H376" i="16"/>
  <c r="H375" i="16"/>
  <c r="H374" i="16"/>
  <c r="H373" i="16"/>
  <c r="H372" i="16"/>
  <c r="H371" i="16"/>
  <c r="H370" i="16"/>
  <c r="H369" i="16"/>
  <c r="H368" i="16"/>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G418" i="16"/>
  <c r="G417" i="16"/>
  <c r="G416" i="16"/>
  <c r="G415" i="16"/>
  <c r="G414" i="16"/>
  <c r="G413" i="16"/>
  <c r="G412" i="16"/>
  <c r="G411" i="16"/>
  <c r="G410" i="16"/>
  <c r="G409" i="16"/>
  <c r="G408" i="16"/>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F418" i="16"/>
  <c r="I418" i="16" s="1"/>
  <c r="F417" i="16"/>
  <c r="I417" i="16" s="1"/>
  <c r="F416" i="16"/>
  <c r="I416" i="16" s="1"/>
  <c r="F415" i="16"/>
  <c r="I415" i="16" s="1"/>
  <c r="F414" i="16"/>
  <c r="I414" i="16" s="1"/>
  <c r="F413" i="16"/>
  <c r="I413" i="16" s="1"/>
  <c r="F412" i="16"/>
  <c r="I412" i="16" s="1"/>
  <c r="F411" i="16"/>
  <c r="I411" i="16" s="1"/>
  <c r="F410" i="16"/>
  <c r="I410" i="16" s="1"/>
  <c r="F409" i="16"/>
  <c r="I409" i="16" s="1"/>
  <c r="F408" i="16"/>
  <c r="I408" i="16" s="1"/>
  <c r="F407" i="16"/>
  <c r="I407" i="16" s="1"/>
  <c r="F406" i="16"/>
  <c r="I406" i="16" s="1"/>
  <c r="F405" i="16"/>
  <c r="I405" i="16" s="1"/>
  <c r="F404" i="16"/>
  <c r="I404" i="16" s="1"/>
  <c r="F403" i="16"/>
  <c r="I403" i="16" s="1"/>
  <c r="F402" i="16"/>
  <c r="I402" i="16" s="1"/>
  <c r="F401" i="16"/>
  <c r="I401" i="16" s="1"/>
  <c r="F400" i="16"/>
  <c r="I400" i="16" s="1"/>
  <c r="F399" i="16"/>
  <c r="I399" i="16" s="1"/>
  <c r="F398" i="16"/>
  <c r="I398" i="16" s="1"/>
  <c r="F397" i="16"/>
  <c r="I397" i="16" s="1"/>
  <c r="F396" i="16"/>
  <c r="I396" i="16" s="1"/>
  <c r="F395" i="16"/>
  <c r="I395" i="16" s="1"/>
  <c r="F394" i="16"/>
  <c r="I394" i="16" s="1"/>
  <c r="F393" i="16"/>
  <c r="I393" i="16" s="1"/>
  <c r="F392" i="16"/>
  <c r="I392" i="16" s="1"/>
  <c r="F391" i="16"/>
  <c r="I391" i="16" s="1"/>
  <c r="F390" i="16"/>
  <c r="I390" i="16" s="1"/>
  <c r="F389" i="16"/>
  <c r="I389" i="16" s="1"/>
  <c r="F388" i="16"/>
  <c r="I388" i="16" s="1"/>
  <c r="F387" i="16"/>
  <c r="I387" i="16" s="1"/>
  <c r="F386" i="16"/>
  <c r="I386" i="16" s="1"/>
  <c r="F385" i="16"/>
  <c r="I385" i="16" s="1"/>
  <c r="F384" i="16"/>
  <c r="I384" i="16" s="1"/>
  <c r="F383" i="16"/>
  <c r="I383" i="16" s="1"/>
  <c r="F382" i="16"/>
  <c r="I382" i="16" s="1"/>
  <c r="F381" i="16"/>
  <c r="I381" i="16" s="1"/>
  <c r="F380" i="16"/>
  <c r="I380" i="16" s="1"/>
  <c r="F379" i="16"/>
  <c r="I379" i="16" s="1"/>
  <c r="F378" i="16"/>
  <c r="I378" i="16" s="1"/>
  <c r="F377" i="16"/>
  <c r="I377" i="16" s="1"/>
  <c r="F376" i="16"/>
  <c r="I376" i="16" s="1"/>
  <c r="F375" i="16"/>
  <c r="I375" i="16" s="1"/>
  <c r="F374" i="16"/>
  <c r="I374" i="16" s="1"/>
  <c r="F373" i="16"/>
  <c r="I373" i="16" s="1"/>
  <c r="F372" i="16"/>
  <c r="I372" i="16" s="1"/>
  <c r="F371" i="16"/>
  <c r="I371" i="16" s="1"/>
  <c r="F370" i="16"/>
  <c r="I370" i="16" s="1"/>
  <c r="F369" i="16"/>
  <c r="I369" i="16" s="1"/>
  <c r="F368" i="16"/>
  <c r="I368" i="16" s="1"/>
  <c r="F367" i="16"/>
  <c r="I367" i="16" s="1"/>
  <c r="F366" i="16"/>
  <c r="I366" i="16" s="1"/>
  <c r="F365" i="16"/>
  <c r="I365" i="16" s="1"/>
  <c r="F364" i="16"/>
  <c r="I364" i="16" s="1"/>
  <c r="F363" i="16"/>
  <c r="I363" i="16" s="1"/>
  <c r="F362" i="16"/>
  <c r="I362" i="16" s="1"/>
  <c r="F361" i="16"/>
  <c r="I361" i="16" s="1"/>
  <c r="F360" i="16"/>
  <c r="I360" i="16" s="1"/>
  <c r="F359" i="16"/>
  <c r="I359" i="16" s="1"/>
  <c r="F358" i="16"/>
  <c r="I358" i="16" s="1"/>
  <c r="F357" i="16"/>
  <c r="I357" i="16" s="1"/>
  <c r="F356" i="16"/>
  <c r="I356" i="16" s="1"/>
  <c r="F355" i="16"/>
  <c r="I355" i="16" s="1"/>
  <c r="F354" i="16"/>
  <c r="I354" i="16" s="1"/>
  <c r="F353" i="16"/>
  <c r="I353" i="16" s="1"/>
  <c r="F352" i="16"/>
  <c r="I352" i="16" s="1"/>
  <c r="F351" i="16"/>
  <c r="I351" i="16" s="1"/>
  <c r="F350" i="16"/>
  <c r="I350" i="16" s="1"/>
  <c r="F349" i="16"/>
  <c r="I349" i="16" s="1"/>
  <c r="F348" i="16"/>
  <c r="I348" i="16" s="1"/>
  <c r="F347" i="16"/>
  <c r="I347" i="16" s="1"/>
  <c r="F346" i="16"/>
  <c r="I346" i="16" s="1"/>
  <c r="F345" i="16"/>
  <c r="I345" i="16" s="1"/>
  <c r="F344" i="16"/>
  <c r="I344" i="16" s="1"/>
  <c r="F343" i="16"/>
  <c r="I343" i="16" s="1"/>
  <c r="F342" i="16"/>
  <c r="I342" i="16" s="1"/>
  <c r="F341" i="16"/>
  <c r="I341" i="16" s="1"/>
  <c r="F340" i="16"/>
  <c r="I340" i="16" s="1"/>
  <c r="F339" i="16"/>
  <c r="I339" i="16" s="1"/>
  <c r="F338" i="16"/>
  <c r="I338" i="16" s="1"/>
  <c r="F337" i="16"/>
  <c r="I337" i="16" s="1"/>
  <c r="F336" i="16"/>
  <c r="I336" i="16" s="1"/>
  <c r="F335" i="16"/>
  <c r="I335" i="16" s="1"/>
  <c r="F334" i="16"/>
  <c r="I334" i="16" s="1"/>
  <c r="F333" i="16"/>
  <c r="I333" i="16" s="1"/>
  <c r="F332" i="16"/>
  <c r="I332" i="16" s="1"/>
  <c r="F331" i="16"/>
  <c r="I331" i="16" s="1"/>
  <c r="F330" i="16"/>
  <c r="I330" i="16" s="1"/>
  <c r="F329" i="16"/>
  <c r="I329" i="16" s="1"/>
  <c r="F328" i="16"/>
  <c r="I328" i="16" s="1"/>
  <c r="F327" i="16"/>
  <c r="I327" i="16" s="1"/>
  <c r="F326" i="16"/>
  <c r="I326" i="16" s="1"/>
  <c r="F325" i="16"/>
  <c r="I325" i="16" s="1"/>
  <c r="F324" i="16"/>
  <c r="I324" i="16" s="1"/>
  <c r="F323" i="16"/>
  <c r="I323" i="16" s="1"/>
  <c r="F322" i="16"/>
  <c r="I322" i="16" s="1"/>
  <c r="F321" i="16"/>
  <c r="I321" i="16" s="1"/>
  <c r="F320" i="16"/>
  <c r="I320" i="16" s="1"/>
  <c r="F319" i="16"/>
  <c r="I319" i="16" s="1"/>
  <c r="F318" i="16"/>
  <c r="I318" i="16" s="1"/>
  <c r="F317" i="16"/>
  <c r="I317" i="16" s="1"/>
  <c r="F316" i="16"/>
  <c r="I316" i="16" s="1"/>
  <c r="F315" i="16"/>
  <c r="I315" i="16" s="1"/>
  <c r="F314" i="16"/>
  <c r="I314" i="16" s="1"/>
  <c r="F313" i="16"/>
  <c r="I313" i="16" s="1"/>
  <c r="F312" i="16"/>
  <c r="I312" i="16" s="1"/>
  <c r="F311" i="16"/>
  <c r="I311" i="16" s="1"/>
  <c r="F310" i="16"/>
  <c r="I310" i="16" s="1"/>
  <c r="F309" i="16"/>
  <c r="I309" i="16" s="1"/>
  <c r="F308" i="16"/>
  <c r="I308" i="16" s="1"/>
  <c r="F307" i="16"/>
  <c r="I307" i="16" s="1"/>
  <c r="F306" i="16"/>
  <c r="I306" i="16" s="1"/>
  <c r="F305" i="16"/>
  <c r="I305" i="16" s="1"/>
  <c r="F304" i="16"/>
  <c r="I304" i="16" s="1"/>
  <c r="F303" i="16"/>
  <c r="I303" i="16" s="1"/>
  <c r="F302" i="16"/>
  <c r="I302" i="16" s="1"/>
  <c r="F301" i="16"/>
  <c r="I301" i="16" s="1"/>
  <c r="F300" i="16"/>
  <c r="I300" i="16" s="1"/>
  <c r="F299" i="16"/>
  <c r="I299" i="16" s="1"/>
  <c r="F298" i="16"/>
  <c r="I298" i="16" s="1"/>
  <c r="F297" i="16"/>
  <c r="I297" i="16" s="1"/>
  <c r="F296" i="16"/>
  <c r="I296" i="16" s="1"/>
  <c r="F295" i="16"/>
  <c r="I295" i="16" s="1"/>
  <c r="F294" i="16"/>
  <c r="I294" i="16" s="1"/>
  <c r="F293" i="16"/>
  <c r="I293" i="16" s="1"/>
  <c r="F292" i="16"/>
  <c r="I292" i="16" s="1"/>
  <c r="F291" i="16"/>
  <c r="I291" i="16" s="1"/>
  <c r="F290" i="16"/>
  <c r="I290" i="16" s="1"/>
  <c r="F289" i="16"/>
  <c r="I289" i="16" s="1"/>
  <c r="F288" i="16"/>
  <c r="I288" i="16" s="1"/>
  <c r="F287" i="16"/>
  <c r="I287" i="16" s="1"/>
  <c r="F286" i="16"/>
  <c r="I286" i="16" s="1"/>
  <c r="F285" i="16"/>
  <c r="I285" i="16" s="1"/>
  <c r="F284" i="16"/>
  <c r="I284" i="16" s="1"/>
  <c r="F283" i="16"/>
  <c r="I283" i="16" s="1"/>
  <c r="F282" i="16"/>
  <c r="I282" i="16" s="1"/>
  <c r="F281" i="16"/>
  <c r="I281" i="16" s="1"/>
  <c r="F280" i="16"/>
  <c r="I280" i="16" s="1"/>
  <c r="F279" i="16"/>
  <c r="I279" i="16" s="1"/>
  <c r="F278" i="16"/>
  <c r="I278" i="16" s="1"/>
  <c r="F277" i="16"/>
  <c r="I277" i="16" s="1"/>
  <c r="F276" i="16"/>
  <c r="I276" i="16" s="1"/>
  <c r="F275" i="16"/>
  <c r="I275" i="16" s="1"/>
  <c r="F274" i="16"/>
  <c r="I274" i="16" s="1"/>
  <c r="F273" i="16"/>
  <c r="I273" i="16" s="1"/>
  <c r="F272" i="16"/>
  <c r="I272" i="16" s="1"/>
  <c r="F271" i="16"/>
  <c r="I271" i="16" s="1"/>
  <c r="F270" i="16"/>
  <c r="I270" i="16" s="1"/>
  <c r="F269" i="16"/>
  <c r="I269" i="16" s="1"/>
  <c r="F268" i="16"/>
  <c r="I268" i="16" s="1"/>
  <c r="F267" i="16"/>
  <c r="I267" i="16" s="1"/>
  <c r="F266" i="16"/>
  <c r="I266" i="16" s="1"/>
  <c r="F265" i="16"/>
  <c r="I265" i="16" s="1"/>
  <c r="F264" i="16"/>
  <c r="I264" i="16" s="1"/>
  <c r="F263" i="16"/>
  <c r="I263" i="16" s="1"/>
  <c r="F262" i="16"/>
  <c r="I262" i="16" s="1"/>
  <c r="F261" i="16"/>
  <c r="I261" i="16" s="1"/>
  <c r="F260" i="16"/>
  <c r="I260" i="16" s="1"/>
  <c r="F259" i="16"/>
  <c r="I259" i="16" s="1"/>
  <c r="F258" i="16"/>
  <c r="I258" i="16" s="1"/>
  <c r="F257" i="16"/>
  <c r="I257" i="16" s="1"/>
  <c r="F256" i="16"/>
  <c r="I256" i="16" s="1"/>
  <c r="F255" i="16"/>
  <c r="I255" i="16" s="1"/>
  <c r="F254" i="16"/>
  <c r="I254" i="16" s="1"/>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242" i="16"/>
  <c r="F241" i="16"/>
  <c r="F240" i="16"/>
  <c r="F239" i="16"/>
  <c r="F238" i="16"/>
  <c r="F237" i="16"/>
  <c r="F236" i="16"/>
  <c r="F235" i="16"/>
  <c r="F234" i="16"/>
  <c r="F233" i="16"/>
  <c r="F232" i="16"/>
  <c r="F231" i="16"/>
  <c r="F230" i="16"/>
  <c r="F229" i="16"/>
  <c r="F228" i="16"/>
  <c r="F227" i="16"/>
  <c r="F226" i="16"/>
  <c r="F225" i="16"/>
  <c r="F224" i="16"/>
  <c r="F223" i="16"/>
  <c r="F222" i="16"/>
  <c r="F221" i="16"/>
  <c r="F220" i="16"/>
  <c r="F219" i="16"/>
  <c r="F218" i="16"/>
  <c r="F217" i="16"/>
  <c r="F216" i="16"/>
  <c r="F215" i="16"/>
  <c r="F214" i="16"/>
  <c r="F213" i="16"/>
  <c r="F212" i="16"/>
  <c r="F211" i="16"/>
  <c r="F210" i="16"/>
  <c r="F209" i="16"/>
  <c r="F208" i="16"/>
  <c r="F207" i="16"/>
  <c r="F206" i="16"/>
  <c r="F205" i="16"/>
  <c r="F204" i="16"/>
  <c r="F203" i="16"/>
  <c r="F202" i="16"/>
  <c r="F201" i="16"/>
  <c r="F200" i="16"/>
  <c r="F199" i="16"/>
  <c r="F198" i="16"/>
  <c r="F197" i="16"/>
  <c r="F196" i="16"/>
  <c r="F195" i="16"/>
  <c r="F194" i="16"/>
  <c r="F193"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D508" i="20"/>
  <c r="D506" i="20"/>
  <c r="D498" i="20"/>
  <c r="D496" i="20"/>
  <c r="D492" i="20"/>
  <c r="D490" i="20"/>
  <c r="D488" i="20"/>
  <c r="D477" i="20"/>
  <c r="D476" i="20"/>
  <c r="D474" i="20"/>
  <c r="D472" i="20"/>
  <c r="D468" i="20"/>
  <c r="D464" i="20"/>
  <c r="D458" i="20"/>
  <c r="D456" i="20"/>
  <c r="D448" i="20"/>
  <c r="D444" i="20"/>
  <c r="D440" i="20"/>
  <c r="D437" i="20"/>
  <c r="D436" i="20"/>
  <c r="D432" i="20"/>
  <c r="D429" i="20"/>
  <c r="D428" i="20"/>
  <c r="D426" i="20"/>
  <c r="D424" i="20"/>
  <c r="D421" i="20"/>
  <c r="D420" i="20"/>
  <c r="D418" i="20"/>
  <c r="D412" i="20"/>
  <c r="D410" i="20"/>
  <c r="D408" i="20"/>
  <c r="D396" i="20"/>
  <c r="D394" i="20"/>
  <c r="D392" i="20"/>
  <c r="D389" i="20"/>
  <c r="D388" i="20"/>
  <c r="D386" i="20"/>
  <c r="D384" i="20"/>
  <c r="D380" i="20"/>
  <c r="D378" i="20"/>
  <c r="D364" i="20"/>
  <c r="D362" i="20"/>
  <c r="D360" i="20"/>
  <c r="D357" i="20"/>
  <c r="D356" i="20"/>
  <c r="D354" i="20"/>
  <c r="D352" i="20"/>
  <c r="D332" i="20"/>
  <c r="D328" i="20"/>
  <c r="D322" i="20"/>
  <c r="D308" i="20"/>
  <c r="D306" i="20"/>
  <c r="D300" i="20"/>
  <c r="D298" i="20"/>
  <c r="D296" i="20"/>
  <c r="D292" i="20"/>
  <c r="D290" i="20"/>
  <c r="D288" i="20"/>
  <c r="D284" i="20"/>
  <c r="D280" i="20"/>
  <c r="D272" i="20"/>
  <c r="D268" i="20"/>
  <c r="D266" i="20"/>
  <c r="D264" i="20"/>
  <c r="D260" i="20"/>
  <c r="D256" i="20"/>
  <c r="D248" i="20"/>
  <c r="D240" i="20"/>
  <c r="D236" i="20"/>
  <c r="D232" i="20"/>
  <c r="D228" i="20"/>
  <c r="D226" i="20"/>
  <c r="D224" i="20"/>
  <c r="D220" i="20"/>
  <c r="D218" i="20"/>
  <c r="D216" i="20"/>
  <c r="D212" i="20"/>
  <c r="D204" i="20"/>
  <c r="D202" i="20"/>
  <c r="D196" i="20"/>
  <c r="D194" i="20"/>
  <c r="D176" i="20"/>
  <c r="D168" i="20"/>
  <c r="D156" i="20"/>
  <c r="D154" i="20"/>
  <c r="C510" i="20"/>
  <c r="C511" i="20" s="1"/>
  <c r="C512" i="20" s="1"/>
  <c r="D512" i="20" s="1"/>
  <c r="C506" i="20"/>
  <c r="C507" i="20" s="1"/>
  <c r="C508" i="20" s="1"/>
  <c r="C509" i="20" s="1"/>
  <c r="D509" i="20" s="1"/>
  <c r="C501" i="20"/>
  <c r="C502" i="20" s="1"/>
  <c r="C499" i="20"/>
  <c r="C500" i="20" s="1"/>
  <c r="D500" i="20" s="1"/>
  <c r="C486" i="20"/>
  <c r="C487" i="20" s="1"/>
  <c r="C488" i="20" s="1"/>
  <c r="C489" i="20" s="1"/>
  <c r="C490" i="20" s="1"/>
  <c r="C491" i="20" s="1"/>
  <c r="C492" i="20" s="1"/>
  <c r="C493" i="20" s="1"/>
  <c r="C494" i="20" s="1"/>
  <c r="C495" i="20" s="1"/>
  <c r="C496" i="20" s="1"/>
  <c r="C497" i="20" s="1"/>
  <c r="C498" i="20" s="1"/>
  <c r="C484" i="20"/>
  <c r="C485" i="20" s="1"/>
  <c r="D485" i="20" s="1"/>
  <c r="C480" i="20"/>
  <c r="D480" i="20" s="1"/>
  <c r="C478" i="20"/>
  <c r="C479" i="20" s="1"/>
  <c r="D479" i="20" s="1"/>
  <c r="C473" i="20"/>
  <c r="C474" i="20" s="1"/>
  <c r="C475" i="20" s="1"/>
  <c r="C476" i="20" s="1"/>
  <c r="C477" i="20" s="1"/>
  <c r="C467" i="20"/>
  <c r="C468" i="20" s="1"/>
  <c r="C469" i="20" s="1"/>
  <c r="C470" i="20" s="1"/>
  <c r="C471" i="20" s="1"/>
  <c r="C472" i="20" s="1"/>
  <c r="C465" i="20"/>
  <c r="C466" i="20" s="1"/>
  <c r="D466" i="20" s="1"/>
  <c r="C464" i="20"/>
  <c r="C460" i="20"/>
  <c r="D460" i="20" s="1"/>
  <c r="C457" i="20"/>
  <c r="C458" i="20" s="1"/>
  <c r="C459" i="20" s="1"/>
  <c r="D459" i="20" s="1"/>
  <c r="C456" i="20"/>
  <c r="C454" i="20"/>
  <c r="C455" i="20" s="1"/>
  <c r="D455" i="20" s="1"/>
  <c r="C449" i="20"/>
  <c r="C450" i="20" s="1"/>
  <c r="C451" i="20" s="1"/>
  <c r="C452" i="20" s="1"/>
  <c r="C453" i="20" s="1"/>
  <c r="D453" i="20" s="1"/>
  <c r="C443" i="20"/>
  <c r="C444" i="20" s="1"/>
  <c r="C445" i="20" s="1"/>
  <c r="C446" i="20" s="1"/>
  <c r="C447" i="20" s="1"/>
  <c r="C448" i="20" s="1"/>
  <c r="C438" i="20"/>
  <c r="C439" i="20" s="1"/>
  <c r="C440" i="20" s="1"/>
  <c r="C441" i="20" s="1"/>
  <c r="C442" i="20" s="1"/>
  <c r="D442" i="20" s="1"/>
  <c r="C435" i="20"/>
  <c r="C436" i="20" s="1"/>
  <c r="C437" i="20" s="1"/>
  <c r="C433" i="20"/>
  <c r="C434" i="20" s="1"/>
  <c r="D434" i="20" s="1"/>
  <c r="C426" i="20"/>
  <c r="C427" i="20" s="1"/>
  <c r="C428" i="20" s="1"/>
  <c r="C429" i="20" s="1"/>
  <c r="C430" i="20" s="1"/>
  <c r="C431" i="20" s="1"/>
  <c r="C432" i="20" s="1"/>
  <c r="C418" i="20"/>
  <c r="C419" i="20" s="1"/>
  <c r="C420" i="20" s="1"/>
  <c r="C421" i="20" s="1"/>
  <c r="C422" i="20" s="1"/>
  <c r="C423" i="20" s="1"/>
  <c r="C424" i="20" s="1"/>
  <c r="C425" i="20" s="1"/>
  <c r="D425" i="20" s="1"/>
  <c r="C413" i="20"/>
  <c r="D413" i="20" s="1"/>
  <c r="C409" i="20"/>
  <c r="C410" i="20" s="1"/>
  <c r="C411" i="20" s="1"/>
  <c r="C412" i="20" s="1"/>
  <c r="C404" i="20"/>
  <c r="C405" i="20" s="1"/>
  <c r="C406" i="20" s="1"/>
  <c r="C407" i="20" s="1"/>
  <c r="C408" i="20" s="1"/>
  <c r="C397" i="20"/>
  <c r="D397" i="20" s="1"/>
  <c r="C390" i="20"/>
  <c r="C391" i="20" s="1"/>
  <c r="C392" i="20" s="1"/>
  <c r="C393" i="20" s="1"/>
  <c r="C394" i="20" s="1"/>
  <c r="C395" i="20" s="1"/>
  <c r="C396" i="20" s="1"/>
  <c r="C382" i="20"/>
  <c r="C383" i="20" s="1"/>
  <c r="C384" i="20" s="1"/>
  <c r="C385" i="20" s="1"/>
  <c r="C386" i="20" s="1"/>
  <c r="C387" i="20" s="1"/>
  <c r="C388" i="20" s="1"/>
  <c r="C389" i="20" s="1"/>
  <c r="C377" i="20"/>
  <c r="C378" i="20" s="1"/>
  <c r="C379" i="20" s="1"/>
  <c r="C380" i="20" s="1"/>
  <c r="C381" i="20" s="1"/>
  <c r="D381" i="20" s="1"/>
  <c r="C372" i="20"/>
  <c r="D372" i="20" s="1"/>
  <c r="C368" i="20"/>
  <c r="D368" i="20" s="1"/>
  <c r="C358" i="20"/>
  <c r="C359" i="20" s="1"/>
  <c r="C360" i="20" s="1"/>
  <c r="C361" i="20" s="1"/>
  <c r="C362" i="20" s="1"/>
  <c r="C363" i="20" s="1"/>
  <c r="C364" i="20" s="1"/>
  <c r="C365" i="20" s="1"/>
  <c r="C366" i="20" s="1"/>
  <c r="C367" i="20" s="1"/>
  <c r="D367" i="20" s="1"/>
  <c r="C354" i="20"/>
  <c r="C355" i="20" s="1"/>
  <c r="C356" i="20" s="1"/>
  <c r="C357" i="20" s="1"/>
  <c r="C350" i="20"/>
  <c r="C351" i="20" s="1"/>
  <c r="C352" i="20" s="1"/>
  <c r="C353" i="20" s="1"/>
  <c r="D353" i="20" s="1"/>
  <c r="C346" i="20"/>
  <c r="C347" i="20" s="1"/>
  <c r="C348" i="20" s="1"/>
  <c r="C349" i="20" s="1"/>
  <c r="D349" i="20" s="1"/>
  <c r="C341" i="20"/>
  <c r="D341" i="20" s="1"/>
  <c r="C336" i="20"/>
  <c r="C337" i="20" s="1"/>
  <c r="C331" i="20"/>
  <c r="C332" i="20" s="1"/>
  <c r="C333" i="20" s="1"/>
  <c r="C334" i="20" s="1"/>
  <c r="C335" i="20" s="1"/>
  <c r="D335" i="20" s="1"/>
  <c r="C328" i="20"/>
  <c r="C329" i="20" s="1"/>
  <c r="C326" i="20"/>
  <c r="C327" i="20" s="1"/>
  <c r="D327" i="20" s="1"/>
  <c r="C325" i="20"/>
  <c r="D325" i="20" s="1"/>
  <c r="C323" i="20"/>
  <c r="C324" i="20" s="1"/>
  <c r="D324" i="20" s="1"/>
  <c r="C321" i="20"/>
  <c r="C322" i="20" s="1"/>
  <c r="C320" i="20"/>
  <c r="D320" i="20" s="1"/>
  <c r="C319" i="20"/>
  <c r="D319" i="20" s="1"/>
  <c r="C317" i="20"/>
  <c r="C318" i="20" s="1"/>
  <c r="D318" i="20" s="1"/>
  <c r="C313" i="20"/>
  <c r="C314" i="20" s="1"/>
  <c r="C315" i="20" s="1"/>
  <c r="C316" i="20" s="1"/>
  <c r="D316" i="20" s="1"/>
  <c r="C309" i="20"/>
  <c r="D309" i="20" s="1"/>
  <c r="C305" i="20"/>
  <c r="C306" i="20" s="1"/>
  <c r="C307" i="20" s="1"/>
  <c r="C308" i="20" s="1"/>
  <c r="C302" i="20"/>
  <c r="C303" i="20" s="1"/>
  <c r="C304" i="20" s="1"/>
  <c r="D304" i="20" s="1"/>
  <c r="C301" i="20"/>
  <c r="D301" i="20" s="1"/>
  <c r="C294" i="20"/>
  <c r="C295" i="20" s="1"/>
  <c r="C296" i="20" s="1"/>
  <c r="C297" i="20" s="1"/>
  <c r="C298" i="20" s="1"/>
  <c r="C299" i="20" s="1"/>
  <c r="C300" i="20" s="1"/>
  <c r="C283" i="20"/>
  <c r="C284" i="20" s="1"/>
  <c r="C285" i="20" s="1"/>
  <c r="C286" i="20" s="1"/>
  <c r="C287" i="20" s="1"/>
  <c r="C288" i="20" s="1"/>
  <c r="C289" i="20" s="1"/>
  <c r="C290" i="20" s="1"/>
  <c r="C291" i="20" s="1"/>
  <c r="C292" i="20" s="1"/>
  <c r="C293" i="20" s="1"/>
  <c r="D293" i="20" s="1"/>
  <c r="C278" i="20"/>
  <c r="C279" i="20" s="1"/>
  <c r="C280" i="20" s="1"/>
  <c r="C281" i="20" s="1"/>
  <c r="C282" i="20" s="1"/>
  <c r="D282" i="20" s="1"/>
  <c r="C277" i="20"/>
  <c r="D277" i="20" s="1"/>
  <c r="C270" i="20"/>
  <c r="C271" i="20" s="1"/>
  <c r="C272" i="20" s="1"/>
  <c r="C273" i="20" s="1"/>
  <c r="C274" i="20" s="1"/>
  <c r="C275" i="20" s="1"/>
  <c r="C276" i="20" s="1"/>
  <c r="D276" i="20" s="1"/>
  <c r="C260" i="20"/>
  <c r="C261" i="20" s="1"/>
  <c r="C262" i="20" s="1"/>
  <c r="C263" i="20" s="1"/>
  <c r="C264" i="20" s="1"/>
  <c r="C265" i="20" s="1"/>
  <c r="C266" i="20" s="1"/>
  <c r="C267" i="20" s="1"/>
  <c r="C268" i="20" s="1"/>
  <c r="C269" i="20" s="1"/>
  <c r="D269" i="20" s="1"/>
  <c r="C257" i="20"/>
  <c r="C258" i="20" s="1"/>
  <c r="C259" i="20" s="1"/>
  <c r="D259" i="20" s="1"/>
  <c r="C256" i="20"/>
  <c r="C255" i="20"/>
  <c r="D255" i="20" s="1"/>
  <c r="C248" i="20"/>
  <c r="C249" i="20" s="1"/>
  <c r="C247" i="20"/>
  <c r="D247" i="20" s="1"/>
  <c r="C242" i="20"/>
  <c r="C243" i="20" s="1"/>
  <c r="C244" i="20" s="1"/>
  <c r="C245" i="20" s="1"/>
  <c r="C246" i="20" s="1"/>
  <c r="D246" i="20" s="1"/>
  <c r="C235" i="20"/>
  <c r="C236" i="20" s="1"/>
  <c r="C237" i="20" s="1"/>
  <c r="C238" i="20" s="1"/>
  <c r="C239" i="20" s="1"/>
  <c r="C240" i="20" s="1"/>
  <c r="C241" i="20" s="1"/>
  <c r="D241" i="20" s="1"/>
  <c r="C233" i="20"/>
  <c r="C234" i="20" s="1"/>
  <c r="D234" i="20" s="1"/>
  <c r="C230" i="20"/>
  <c r="C231" i="20" s="1"/>
  <c r="C232" i="20" s="1"/>
  <c r="C222" i="20"/>
  <c r="C223" i="20" s="1"/>
  <c r="C224" i="20" s="1"/>
  <c r="C225" i="20" s="1"/>
  <c r="C226" i="20" s="1"/>
  <c r="C227" i="20" s="1"/>
  <c r="C228" i="20" s="1"/>
  <c r="C229" i="20" s="1"/>
  <c r="D229" i="20" s="1"/>
  <c r="C218" i="20"/>
  <c r="C219" i="20" s="1"/>
  <c r="C220" i="20" s="1"/>
  <c r="C221" i="20" s="1"/>
  <c r="D221" i="20" s="1"/>
  <c r="C214" i="20"/>
  <c r="C215" i="20" s="1"/>
  <c r="C216" i="20" s="1"/>
  <c r="C217" i="20" s="1"/>
  <c r="D217" i="20" s="1"/>
  <c r="C212" i="20"/>
  <c r="C213" i="20" s="1"/>
  <c r="D213" i="20" s="1"/>
  <c r="C210" i="20"/>
  <c r="C211" i="20" s="1"/>
  <c r="D211" i="20" s="1"/>
  <c r="C208" i="20"/>
  <c r="C209" i="20" s="1"/>
  <c r="D209" i="20" s="1"/>
  <c r="C205" i="20"/>
  <c r="D205" i="20" s="1"/>
  <c r="C202" i="20"/>
  <c r="C203" i="20" s="1"/>
  <c r="C204" i="20" s="1"/>
  <c r="C199" i="20"/>
  <c r="C200" i="20" s="1"/>
  <c r="C194" i="20"/>
  <c r="C195" i="20" s="1"/>
  <c r="C196" i="20" s="1"/>
  <c r="C197" i="20" s="1"/>
  <c r="C198" i="20" s="1"/>
  <c r="D198" i="20" s="1"/>
  <c r="C186" i="20"/>
  <c r="C187" i="20" s="1"/>
  <c r="C188" i="20" s="1"/>
  <c r="C189" i="20" s="1"/>
  <c r="C190" i="20" s="1"/>
  <c r="C191" i="20" s="1"/>
  <c r="C192" i="20" s="1"/>
  <c r="C193" i="20" s="1"/>
  <c r="D193" i="20" s="1"/>
  <c r="C181" i="20"/>
  <c r="D181" i="20" s="1"/>
  <c r="C176" i="20"/>
  <c r="C177" i="20" s="1"/>
  <c r="C168" i="20"/>
  <c r="C169" i="20" s="1"/>
  <c r="C160" i="20"/>
  <c r="D160" i="20" s="1"/>
  <c r="C159" i="20"/>
  <c r="D159" i="20" s="1"/>
  <c r="C153" i="20"/>
  <c r="C154" i="20" s="1"/>
  <c r="C155" i="20" s="1"/>
  <c r="C156" i="20" s="1"/>
  <c r="C157" i="20" s="1"/>
  <c r="C158" i="20" s="1"/>
  <c r="D158" i="20" s="1"/>
  <c r="D128" i="20"/>
  <c r="D127" i="20"/>
  <c r="D114" i="20"/>
  <c r="C142" i="20"/>
  <c r="D142" i="20" s="1"/>
  <c r="C141" i="20"/>
  <c r="D141" i="20" s="1"/>
  <c r="C139" i="20"/>
  <c r="C140" i="20" s="1"/>
  <c r="D140" i="20" s="1"/>
  <c r="C137" i="20"/>
  <c r="C138" i="20" s="1"/>
  <c r="D138" i="20" s="1"/>
  <c r="C134" i="20"/>
  <c r="C135" i="20" s="1"/>
  <c r="C132" i="20"/>
  <c r="C133" i="20" s="1"/>
  <c r="D133" i="20" s="1"/>
  <c r="C129" i="20"/>
  <c r="C130" i="20" s="1"/>
  <c r="C131" i="20" s="1"/>
  <c r="D131" i="20" s="1"/>
  <c r="C127" i="20"/>
  <c r="C128" i="20" s="1"/>
  <c r="C123" i="20"/>
  <c r="C124" i="20" s="1"/>
  <c r="C118" i="20"/>
  <c r="C119" i="20" s="1"/>
  <c r="C120" i="20" s="1"/>
  <c r="C121" i="20" s="1"/>
  <c r="C122" i="20" s="1"/>
  <c r="D122" i="20" s="1"/>
  <c r="C113" i="20"/>
  <c r="C114" i="20" s="1"/>
  <c r="C115" i="20" s="1"/>
  <c r="C116" i="20" s="1"/>
  <c r="C117" i="20" s="1"/>
  <c r="D117" i="20" s="1"/>
  <c r="C111" i="20"/>
  <c r="C112" i="20" s="1"/>
  <c r="D112" i="20" s="1"/>
  <c r="C109" i="20"/>
  <c r="D109" i="20" s="1"/>
  <c r="C101" i="20"/>
  <c r="C102" i="20" s="1"/>
  <c r="C98" i="20"/>
  <c r="C99" i="20" s="1"/>
  <c r="C94" i="20"/>
  <c r="D94" i="20" s="1"/>
  <c r="C90" i="20"/>
  <c r="C91" i="20" s="1"/>
  <c r="C86" i="20"/>
  <c r="C87" i="20" s="1"/>
  <c r="C84" i="20"/>
  <c r="C85" i="20" s="1"/>
  <c r="D85" i="20" s="1"/>
  <c r="D50" i="20"/>
  <c r="D34" i="20"/>
  <c r="C76" i="20"/>
  <c r="C77" i="20" s="1"/>
  <c r="C78" i="20" s="1"/>
  <c r="C79" i="20" s="1"/>
  <c r="D79" i="20" s="1"/>
  <c r="C73" i="20"/>
  <c r="C74" i="20" s="1"/>
  <c r="C75" i="20" s="1"/>
  <c r="D75" i="20" s="1"/>
  <c r="C70" i="20"/>
  <c r="C71" i="20" s="1"/>
  <c r="C72" i="20" s="1"/>
  <c r="D72" i="20" s="1"/>
  <c r="C67" i="20"/>
  <c r="D67" i="20" s="1"/>
  <c r="C65" i="20"/>
  <c r="C66" i="20" s="1"/>
  <c r="D66" i="20" s="1"/>
  <c r="C60" i="20"/>
  <c r="C61" i="20" s="1"/>
  <c r="C62" i="20" s="1"/>
  <c r="C63" i="20" s="1"/>
  <c r="C64" i="20" s="1"/>
  <c r="D64" i="20" s="1"/>
  <c r="C58" i="20"/>
  <c r="C59" i="20" s="1"/>
  <c r="D59" i="20" s="1"/>
  <c r="C55" i="20"/>
  <c r="C56" i="20" s="1"/>
  <c r="C48" i="20"/>
  <c r="C49" i="20" s="1"/>
  <c r="C50" i="20" s="1"/>
  <c r="C51" i="20" s="1"/>
  <c r="C52" i="20" s="1"/>
  <c r="C53" i="20" s="1"/>
  <c r="C54" i="20" s="1"/>
  <c r="D54" i="20" s="1"/>
  <c r="C43" i="20"/>
  <c r="D43" i="20" s="1"/>
  <c r="C38" i="20"/>
  <c r="C39" i="20" s="1"/>
  <c r="D39" i="20" s="1"/>
  <c r="C33" i="20"/>
  <c r="C34" i="20" s="1"/>
  <c r="C35" i="20" s="1"/>
  <c r="C36" i="20" s="1"/>
  <c r="C37" i="20" s="1"/>
  <c r="D37" i="20" s="1"/>
  <c r="C31" i="20"/>
  <c r="C32" i="20" s="1"/>
  <c r="D32" i="20" s="1"/>
  <c r="C29" i="20"/>
  <c r="C30" i="20" s="1"/>
  <c r="D30" i="20" s="1"/>
  <c r="C20" i="20"/>
  <c r="C21" i="20" s="1"/>
  <c r="C22" i="20" s="1"/>
  <c r="C23" i="20" s="1"/>
  <c r="C24" i="20" s="1"/>
  <c r="C25" i="20" s="1"/>
  <c r="C26" i="20" s="1"/>
  <c r="C27" i="20" s="1"/>
  <c r="C28" i="20" s="1"/>
  <c r="D28" i="20" s="1"/>
  <c r="C12" i="20"/>
  <c r="C13" i="20" s="1"/>
  <c r="C14" i="20" s="1"/>
  <c r="C15" i="20" s="1"/>
  <c r="C16" i="20" s="1"/>
  <c r="C17" i="20" s="1"/>
  <c r="C18" i="20" s="1"/>
  <c r="C19" i="20" s="1"/>
  <c r="D19" i="20" s="1"/>
  <c r="C4" i="20"/>
  <c r="C5" i="20" s="1"/>
  <c r="C6" i="20" s="1"/>
  <c r="C7" i="20" s="1"/>
  <c r="C8" i="20" s="1"/>
  <c r="C9" i="20" s="1"/>
  <c r="C10" i="20" s="1"/>
  <c r="C11" i="20" s="1"/>
  <c r="D11" i="20" s="1"/>
  <c r="L51" i="1"/>
  <c r="L50" i="1"/>
  <c r="K53" i="1"/>
  <c r="L53" i="1" s="1"/>
  <c r="K52" i="1"/>
  <c r="L52" i="1" s="1"/>
  <c r="K51" i="1"/>
  <c r="K50" i="1"/>
  <c r="K49" i="1"/>
  <c r="L49" i="1" s="1"/>
  <c r="K48" i="1"/>
  <c r="L48" i="1" s="1"/>
  <c r="AP174" i="1"/>
  <c r="AP173" i="1"/>
  <c r="AP172" i="1"/>
  <c r="AP171" i="1"/>
  <c r="AP170" i="1"/>
  <c r="AP169" i="1"/>
  <c r="AP168" i="1"/>
  <c r="AP167" i="1"/>
  <c r="AP166" i="1"/>
  <c r="AP165" i="1"/>
  <c r="AP164" i="1"/>
  <c r="AP163" i="1"/>
  <c r="AP162" i="1"/>
  <c r="AP161" i="1"/>
  <c r="AP160" i="1"/>
  <c r="AP159" i="1"/>
  <c r="AP158" i="1"/>
  <c r="AP157" i="1"/>
  <c r="AP156" i="1"/>
  <c r="AP155" i="1"/>
  <c r="AP154" i="1"/>
  <c r="AP153" i="1"/>
  <c r="AP152" i="1"/>
  <c r="AP151" i="1"/>
  <c r="AP150" i="1"/>
  <c r="AP149" i="1"/>
  <c r="AP148" i="1"/>
  <c r="AP147" i="1"/>
  <c r="AP146" i="1"/>
  <c r="AP145" i="1"/>
  <c r="AP144" i="1"/>
  <c r="AP143" i="1"/>
  <c r="AP142" i="1"/>
  <c r="AP141" i="1"/>
  <c r="AP140" i="1"/>
  <c r="AP139" i="1"/>
  <c r="AP138" i="1"/>
  <c r="AP137" i="1"/>
  <c r="AP136" i="1"/>
  <c r="AP135" i="1"/>
  <c r="AP134" i="1"/>
  <c r="AP133" i="1"/>
  <c r="AP132" i="1"/>
  <c r="AP131" i="1"/>
  <c r="AP130" i="1"/>
  <c r="AP129" i="1"/>
  <c r="AP128" i="1"/>
  <c r="AP127" i="1"/>
  <c r="AP126" i="1"/>
  <c r="AP125" i="1"/>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K154" i="1"/>
  <c r="W154" i="1" s="1"/>
  <c r="K153" i="1"/>
  <c r="E153" i="1" s="1"/>
  <c r="AD153" i="1" s="1"/>
  <c r="K152" i="1"/>
  <c r="E152" i="1" s="1"/>
  <c r="AD152" i="1" s="1"/>
  <c r="K151" i="1"/>
  <c r="E151" i="1" s="1"/>
  <c r="U151" i="1" s="1"/>
  <c r="K150" i="1"/>
  <c r="Y150" i="1" s="1"/>
  <c r="K149" i="1"/>
  <c r="W149" i="1" s="1"/>
  <c r="K148" i="1"/>
  <c r="K147" i="1"/>
  <c r="W147" i="1" s="1"/>
  <c r="K146" i="1"/>
  <c r="W146" i="1" s="1"/>
  <c r="K145" i="1"/>
  <c r="E145" i="1" s="1"/>
  <c r="AD145" i="1" s="1"/>
  <c r="K144" i="1"/>
  <c r="E144" i="1" s="1"/>
  <c r="AD144" i="1" s="1"/>
  <c r="K143" i="1"/>
  <c r="E143" i="1" s="1"/>
  <c r="U143" i="1" s="1"/>
  <c r="K142" i="1"/>
  <c r="Y142" i="1" s="1"/>
  <c r="K141" i="1"/>
  <c r="W141" i="1" s="1"/>
  <c r="K140" i="1"/>
  <c r="K139" i="1"/>
  <c r="W139" i="1" s="1"/>
  <c r="K138" i="1"/>
  <c r="W138" i="1" s="1"/>
  <c r="K137" i="1"/>
  <c r="E137" i="1" s="1"/>
  <c r="AD137" i="1" s="1"/>
  <c r="K136" i="1"/>
  <c r="E136" i="1" s="1"/>
  <c r="AD136" i="1" s="1"/>
  <c r="K135" i="1"/>
  <c r="E135" i="1" s="1"/>
  <c r="U135" i="1" s="1"/>
  <c r="K134" i="1"/>
  <c r="Y134" i="1" s="1"/>
  <c r="K133" i="1"/>
  <c r="W133" i="1" s="1"/>
  <c r="K132" i="1"/>
  <c r="K131" i="1"/>
  <c r="W131" i="1" s="1"/>
  <c r="K130" i="1"/>
  <c r="W130" i="1" s="1"/>
  <c r="K129" i="1"/>
  <c r="E129" i="1" s="1"/>
  <c r="AD129" i="1" s="1"/>
  <c r="K128" i="1"/>
  <c r="E128" i="1" s="1"/>
  <c r="AD128" i="1" s="1"/>
  <c r="K127" i="1"/>
  <c r="E127" i="1" s="1"/>
  <c r="U127" i="1" s="1"/>
  <c r="K126" i="1"/>
  <c r="Y126" i="1" s="1"/>
  <c r="K125" i="1"/>
  <c r="W125" i="1" s="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E117" i="1"/>
  <c r="I117" i="1" s="1"/>
  <c r="E116" i="1"/>
  <c r="G116" i="1" s="1"/>
  <c r="E115" i="1"/>
  <c r="E114" i="1"/>
  <c r="C114" i="1" s="1"/>
  <c r="E113" i="1"/>
  <c r="C113" i="1" s="1"/>
  <c r="E112" i="1"/>
  <c r="C112" i="1" s="1"/>
  <c r="E111" i="1"/>
  <c r="C111" i="1" s="1"/>
  <c r="C110" i="1"/>
  <c r="I109" i="1"/>
  <c r="G108" i="1"/>
  <c r="C107" i="1"/>
  <c r="C106" i="1"/>
  <c r="G105" i="1"/>
  <c r="C104" i="1"/>
  <c r="I103" i="1"/>
  <c r="G90" i="1"/>
  <c r="G89" i="1"/>
  <c r="G88" i="1"/>
  <c r="G87" i="1"/>
  <c r="G86" i="1"/>
  <c r="G85" i="1"/>
  <c r="G84" i="1"/>
  <c r="G83" i="1"/>
  <c r="G82" i="1"/>
  <c r="G81" i="1"/>
  <c r="G80" i="1"/>
  <c r="G79" i="1"/>
  <c r="G72" i="1"/>
  <c r="G71" i="1"/>
  <c r="G70" i="1"/>
  <c r="G69" i="1"/>
  <c r="G68" i="1"/>
  <c r="G67" i="1"/>
  <c r="G66" i="1"/>
  <c r="G65" i="1"/>
  <c r="G64" i="1"/>
  <c r="G63" i="1"/>
  <c r="G62" i="1"/>
  <c r="G61" i="1"/>
  <c r="K10" i="1"/>
  <c r="B124" i="1" a="1"/>
  <c r="B124" i="1" s="1"/>
  <c r="G797" i="27"/>
  <c r="G792" i="27"/>
  <c r="G782" i="27"/>
  <c r="G835" i="27"/>
  <c r="G818" i="27"/>
  <c r="G813" i="27"/>
  <c r="G864" i="27"/>
  <c r="G825" i="27"/>
  <c r="G861" i="27"/>
  <c r="G777" i="27"/>
  <c r="G787" i="27"/>
  <c r="G779" i="27"/>
  <c r="G852" i="27"/>
  <c r="G790" i="27"/>
  <c r="G781" i="27"/>
  <c r="G829" i="27"/>
  <c r="G872" i="27"/>
  <c r="G870" i="27"/>
  <c r="G778" i="27"/>
  <c r="G795" i="27"/>
  <c r="G785" i="27"/>
  <c r="G806" i="27"/>
  <c r="G859" i="27"/>
  <c r="G826" i="27"/>
  <c r="G812" i="27"/>
  <c r="G815" i="27"/>
  <c r="G802" i="27"/>
  <c r="G805" i="27"/>
  <c r="G833" i="27"/>
  <c r="G810" i="27"/>
  <c r="G793" i="27"/>
  <c r="G853" i="27"/>
  <c r="G854" i="27"/>
  <c r="G845" i="27"/>
  <c r="G791" i="27"/>
  <c r="G868" i="27"/>
  <c r="G798" i="27"/>
  <c r="G846" i="27"/>
  <c r="G799" i="27"/>
  <c r="G824" i="27"/>
  <c r="G839" i="27"/>
  <c r="G808" i="27"/>
  <c r="G817" i="27"/>
  <c r="G869" i="27"/>
  <c r="G823" i="27"/>
  <c r="G776" i="27"/>
  <c r="G842" i="27"/>
  <c r="G789" i="27"/>
  <c r="G816" i="27"/>
  <c r="G741" i="27"/>
  <c r="G796" i="27"/>
  <c r="G830" i="27"/>
  <c r="G865" i="27"/>
  <c r="G840" i="27"/>
  <c r="G775" i="27"/>
  <c r="G827" i="27"/>
  <c r="G871" i="27"/>
  <c r="G844" i="27"/>
  <c r="G807" i="27"/>
  <c r="G867" i="27"/>
  <c r="G850" i="27"/>
  <c r="G837" i="27"/>
  <c r="G819" i="27"/>
  <c r="G740" i="27"/>
  <c r="G857" i="27"/>
  <c r="G786" i="27"/>
  <c r="G804" i="27"/>
  <c r="G848" i="27"/>
  <c r="G831" i="27"/>
  <c r="G834" i="27"/>
  <c r="G851" i="27"/>
  <c r="G863" i="27"/>
  <c r="G780" i="27"/>
  <c r="G838" i="27"/>
  <c r="G836" i="27"/>
  <c r="G821" i="27"/>
  <c r="G856" i="27"/>
  <c r="G794" i="27"/>
  <c r="G822" i="27"/>
  <c r="G803" i="27"/>
  <c r="G742" i="27"/>
  <c r="G801" i="27"/>
  <c r="G847" i="27"/>
  <c r="G832" i="27"/>
  <c r="G788" i="27"/>
  <c r="G858" i="27"/>
  <c r="G849" i="27"/>
  <c r="G800" i="27"/>
  <c r="G841" i="27"/>
  <c r="G774" i="27"/>
  <c r="G873" i="27"/>
  <c r="G811" i="27"/>
  <c r="G814" i="27"/>
  <c r="G784" i="27"/>
  <c r="G860" i="27"/>
  <c r="G843" i="27"/>
  <c r="G828" i="27"/>
  <c r="G862" i="27"/>
  <c r="G809" i="27"/>
  <c r="G855" i="27"/>
  <c r="G866" i="27"/>
  <c r="G820" i="27"/>
  <c r="C503" i="20" l="1"/>
  <c r="D502" i="20"/>
  <c r="C170" i="20"/>
  <c r="D169" i="20"/>
  <c r="C178" i="20"/>
  <c r="D177" i="20"/>
  <c r="C330" i="20"/>
  <c r="D330" i="20" s="1"/>
  <c r="D329" i="20"/>
  <c r="C250" i="20"/>
  <c r="D249" i="20"/>
  <c r="C338" i="20"/>
  <c r="D337" i="20"/>
  <c r="C201" i="20"/>
  <c r="D201" i="20" s="1"/>
  <c r="D200" i="20"/>
  <c r="D22" i="20"/>
  <c r="C110" i="20"/>
  <c r="D110" i="20" s="1"/>
  <c r="D98" i="20"/>
  <c r="C182" i="20"/>
  <c r="C206" i="20"/>
  <c r="D191" i="20"/>
  <c r="D199" i="20"/>
  <c r="D215" i="20"/>
  <c r="D223" i="20"/>
  <c r="D231" i="20"/>
  <c r="D239" i="20"/>
  <c r="D263" i="20"/>
  <c r="D271" i="20"/>
  <c r="D279" i="20"/>
  <c r="D287" i="20"/>
  <c r="D295" i="20"/>
  <c r="D303" i="20"/>
  <c r="D351" i="20"/>
  <c r="D359" i="20"/>
  <c r="D383" i="20"/>
  <c r="D391" i="20"/>
  <c r="D407" i="20"/>
  <c r="D423" i="20"/>
  <c r="D431" i="20"/>
  <c r="D439" i="20"/>
  <c r="D447" i="20"/>
  <c r="D471" i="20"/>
  <c r="D487" i="20"/>
  <c r="D495" i="20"/>
  <c r="D511" i="20"/>
  <c r="D40" i="1"/>
  <c r="L37" i="1"/>
  <c r="M36" i="1"/>
  <c r="N35" i="1"/>
  <c r="M37" i="1"/>
  <c r="N36" i="1"/>
  <c r="D192" i="20"/>
  <c r="D208" i="20"/>
  <c r="D336" i="20"/>
  <c r="D48" i="20"/>
  <c r="D115" i="20"/>
  <c r="C161" i="20"/>
  <c r="C369" i="20"/>
  <c r="C398" i="20"/>
  <c r="C461" i="20"/>
  <c r="C481" i="20"/>
  <c r="D153" i="20"/>
  <c r="D225" i="20"/>
  <c r="D233" i="20"/>
  <c r="D257" i="20"/>
  <c r="D265" i="20"/>
  <c r="D273" i="20"/>
  <c r="D281" i="20"/>
  <c r="D289" i="20"/>
  <c r="D297" i="20"/>
  <c r="D305" i="20"/>
  <c r="D313" i="20"/>
  <c r="D321" i="20"/>
  <c r="D361" i="20"/>
  <c r="D377" i="20"/>
  <c r="D385" i="20"/>
  <c r="D393" i="20"/>
  <c r="D409" i="20"/>
  <c r="D433" i="20"/>
  <c r="D441" i="20"/>
  <c r="D449" i="20"/>
  <c r="D457" i="20"/>
  <c r="D465" i="20"/>
  <c r="D473" i="20"/>
  <c r="D489" i="20"/>
  <c r="D497" i="20"/>
  <c r="D32" i="1"/>
  <c r="L39" i="1"/>
  <c r="D186" i="20"/>
  <c r="D210" i="20"/>
  <c r="D242" i="20"/>
  <c r="D258" i="20"/>
  <c r="D274" i="20"/>
  <c r="D314" i="20"/>
  <c r="D346" i="20"/>
  <c r="D450" i="20"/>
  <c r="D118" i="20"/>
  <c r="C95" i="20"/>
  <c r="C96" i="20" s="1"/>
  <c r="C97" i="20" s="1"/>
  <c r="D97" i="20" s="1"/>
  <c r="C310" i="20"/>
  <c r="C342" i="20"/>
  <c r="C373" i="20"/>
  <c r="D155" i="20"/>
  <c r="D187" i="20"/>
  <c r="D195" i="20"/>
  <c r="D203" i="20"/>
  <c r="D219" i="20"/>
  <c r="D227" i="20"/>
  <c r="D235" i="20"/>
  <c r="D243" i="20"/>
  <c r="D267" i="20"/>
  <c r="D275" i="20"/>
  <c r="D283" i="20"/>
  <c r="D291" i="20"/>
  <c r="D299" i="20"/>
  <c r="D307" i="20"/>
  <c r="D315" i="20"/>
  <c r="D323" i="20"/>
  <c r="D331" i="20"/>
  <c r="D347" i="20"/>
  <c r="D355" i="20"/>
  <c r="D363" i="20"/>
  <c r="D379" i="20"/>
  <c r="D387" i="20"/>
  <c r="D395" i="20"/>
  <c r="D411" i="20"/>
  <c r="D419" i="20"/>
  <c r="D427" i="20"/>
  <c r="D435" i="20"/>
  <c r="D443" i="20"/>
  <c r="D451" i="20"/>
  <c r="D467" i="20"/>
  <c r="D475" i="20"/>
  <c r="D491" i="20"/>
  <c r="D499" i="20"/>
  <c r="D507" i="20"/>
  <c r="D36" i="1"/>
  <c r="N39" i="1"/>
  <c r="D71" i="20"/>
  <c r="D188" i="20"/>
  <c r="D244" i="20"/>
  <c r="D348" i="20"/>
  <c r="D404" i="20"/>
  <c r="D452" i="20"/>
  <c r="D484" i="20"/>
  <c r="L34" i="1"/>
  <c r="D13" i="20"/>
  <c r="D77" i="20"/>
  <c r="D86" i="20"/>
  <c r="D134" i="20"/>
  <c r="C414" i="20"/>
  <c r="D157" i="20"/>
  <c r="D189" i="20"/>
  <c r="D197" i="20"/>
  <c r="D237" i="20"/>
  <c r="D245" i="20"/>
  <c r="D261" i="20"/>
  <c r="D285" i="20"/>
  <c r="D317" i="20"/>
  <c r="D333" i="20"/>
  <c r="D365" i="20"/>
  <c r="D405" i="20"/>
  <c r="D445" i="20"/>
  <c r="D469" i="20"/>
  <c r="D493" i="20"/>
  <c r="D501" i="20"/>
  <c r="L35" i="1"/>
  <c r="M34" i="1"/>
  <c r="D21" i="20"/>
  <c r="D190" i="20"/>
  <c r="D214" i="20"/>
  <c r="D222" i="20"/>
  <c r="D230" i="20"/>
  <c r="D238" i="20"/>
  <c r="D262" i="20"/>
  <c r="D270" i="20"/>
  <c r="D278" i="20"/>
  <c r="D286" i="20"/>
  <c r="D294" i="20"/>
  <c r="D302" i="20"/>
  <c r="D326" i="20"/>
  <c r="D334" i="20"/>
  <c r="D350" i="20"/>
  <c r="D358" i="20"/>
  <c r="D366" i="20"/>
  <c r="D382" i="20"/>
  <c r="D390" i="20"/>
  <c r="D406" i="20"/>
  <c r="D422" i="20"/>
  <c r="D430" i="20"/>
  <c r="D438" i="20"/>
  <c r="D446" i="20"/>
  <c r="D454" i="20"/>
  <c r="D470" i="20"/>
  <c r="D478" i="20"/>
  <c r="D486" i="20"/>
  <c r="D494" i="20"/>
  <c r="D510" i="20"/>
  <c r="M35" i="1"/>
  <c r="E3798" i="27"/>
  <c r="E3402" i="27"/>
  <c r="F3347" i="27"/>
  <c r="E3347" i="27"/>
  <c r="E3355" i="27"/>
  <c r="E3363" i="27"/>
  <c r="E3371" i="27"/>
  <c r="E3379" i="27"/>
  <c r="E3387" i="27"/>
  <c r="E3395" i="27"/>
  <c r="E3403" i="27"/>
  <c r="E3411" i="27"/>
  <c r="E3419" i="27"/>
  <c r="E3427" i="27"/>
  <c r="E3435" i="27"/>
  <c r="E3443" i="27"/>
  <c r="E3451" i="27"/>
  <c r="E3459" i="27"/>
  <c r="E3467" i="27"/>
  <c r="E3475" i="27"/>
  <c r="E3483" i="27"/>
  <c r="E3491" i="27"/>
  <c r="E3499" i="27"/>
  <c r="E3366" i="27"/>
  <c r="E3390" i="27"/>
  <c r="E3438" i="27"/>
  <c r="E3534" i="27"/>
  <c r="E3590" i="27"/>
  <c r="E3598" i="27"/>
  <c r="E3654" i="27"/>
  <c r="E3662" i="27"/>
  <c r="E3702" i="27"/>
  <c r="E3726" i="27"/>
  <c r="E3391" i="27"/>
  <c r="E3415" i="27"/>
  <c r="E3455" i="27"/>
  <c r="E3825" i="27"/>
  <c r="E3353" i="27"/>
  <c r="E3361" i="27"/>
  <c r="E3369" i="27"/>
  <c r="E3377" i="27"/>
  <c r="E3385" i="27"/>
  <c r="E3393" i="27"/>
  <c r="E3401" i="27"/>
  <c r="E3409" i="27"/>
  <c r="E3417" i="27"/>
  <c r="E3425" i="27"/>
  <c r="E3433" i="27"/>
  <c r="E3441" i="27"/>
  <c r="E3449" i="27"/>
  <c r="E3457" i="27"/>
  <c r="E3465" i="27"/>
  <c r="E3473" i="27"/>
  <c r="E3481" i="27"/>
  <c r="E3489" i="27"/>
  <c r="E3497" i="27"/>
  <c r="E3505" i="27"/>
  <c r="E3513" i="27"/>
  <c r="E3521" i="27"/>
  <c r="E3529" i="27"/>
  <c r="E3537" i="27"/>
  <c r="E3545" i="27"/>
  <c r="E3553" i="27"/>
  <c r="E3561" i="27"/>
  <c r="E3569" i="27"/>
  <c r="E3577" i="27"/>
  <c r="E3585" i="27"/>
  <c r="E3593" i="27"/>
  <c r="E3601" i="27"/>
  <c r="E3609" i="27"/>
  <c r="E3617" i="27"/>
  <c r="E3625" i="27"/>
  <c r="E3633" i="27"/>
  <c r="E3641" i="27"/>
  <c r="E3649" i="27"/>
  <c r="E3657" i="27"/>
  <c r="E3665" i="27"/>
  <c r="E3673" i="27"/>
  <c r="E3681" i="27"/>
  <c r="E3689" i="27"/>
  <c r="E3697" i="27"/>
  <c r="E3705" i="27"/>
  <c r="E3713" i="27"/>
  <c r="E3721" i="27"/>
  <c r="E3793" i="27"/>
  <c r="E3368" i="27"/>
  <c r="E3384" i="27"/>
  <c r="E3392" i="27"/>
  <c r="E3400" i="27"/>
  <c r="E3408" i="27"/>
  <c r="E3432" i="27"/>
  <c r="E3448" i="27"/>
  <c r="E3464" i="27"/>
  <c r="E3480" i="27"/>
  <c r="E3496" i="27"/>
  <c r="E3520" i="27"/>
  <c r="E3528" i="27"/>
  <c r="E3536" i="27"/>
  <c r="E3544" i="27"/>
  <c r="E3560" i="27"/>
  <c r="E3584" i="27"/>
  <c r="E3592" i="27"/>
  <c r="E3600" i="27"/>
  <c r="E3608" i="27"/>
  <c r="E3624" i="27"/>
  <c r="E3648" i="27"/>
  <c r="E3656" i="27"/>
  <c r="E3664" i="27"/>
  <c r="E3672" i="27"/>
  <c r="E3688" i="27"/>
  <c r="E3712" i="27"/>
  <c r="E3720" i="27"/>
  <c r="E3728" i="27"/>
  <c r="E3736" i="27"/>
  <c r="E3752" i="27"/>
  <c r="E3760" i="27"/>
  <c r="E3776" i="27"/>
  <c r="E3784" i="27"/>
  <c r="E3792" i="27"/>
  <c r="E3800" i="27"/>
  <c r="E3808" i="27"/>
  <c r="E3816" i="27"/>
  <c r="E3824" i="27"/>
  <c r="E3472" i="27"/>
  <c r="E3640" i="27"/>
  <c r="E3729" i="27"/>
  <c r="E3737" i="27"/>
  <c r="E3753" i="27"/>
  <c r="E3761" i="27"/>
  <c r="E3769" i="27"/>
  <c r="E3777" i="27"/>
  <c r="E3785" i="27"/>
  <c r="E3801" i="27"/>
  <c r="E3809" i="27"/>
  <c r="E3817" i="27"/>
  <c r="E3374" i="27"/>
  <c r="E3440" i="27"/>
  <c r="E3704" i="27"/>
  <c r="E3354" i="27"/>
  <c r="E3370" i="27"/>
  <c r="E3378" i="27"/>
  <c r="E3386" i="27"/>
  <c r="E3394" i="27"/>
  <c r="E3418" i="27"/>
  <c r="E3434" i="27"/>
  <c r="E3442" i="27"/>
  <c r="E3450" i="27"/>
  <c r="E3458" i="27"/>
  <c r="E3466" i="27"/>
  <c r="E3474" i="27"/>
  <c r="E3482" i="27"/>
  <c r="E3490" i="27"/>
  <c r="E3498" i="27"/>
  <c r="E3506" i="27"/>
  <c r="E3514" i="27"/>
  <c r="E3522" i="27"/>
  <c r="E3530" i="27"/>
  <c r="E3538" i="27"/>
  <c r="E3546" i="27"/>
  <c r="E3554" i="27"/>
  <c r="E3562" i="27"/>
  <c r="E3570" i="27"/>
  <c r="E3578" i="27"/>
  <c r="E3586" i="27"/>
  <c r="E3594" i="27"/>
  <c r="E3602" i="27"/>
  <c r="E3610" i="27"/>
  <c r="E3618" i="27"/>
  <c r="E3626" i="27"/>
  <c r="E3634" i="27"/>
  <c r="E3642" i="27"/>
  <c r="E3650" i="27"/>
  <c r="E3658" i="27"/>
  <c r="E3666" i="27"/>
  <c r="E3674" i="27"/>
  <c r="E3682" i="27"/>
  <c r="E3690" i="27"/>
  <c r="E3698" i="27"/>
  <c r="E3706" i="27"/>
  <c r="E3714" i="27"/>
  <c r="E3722" i="27"/>
  <c r="E3730" i="27"/>
  <c r="E3738" i="27"/>
  <c r="E3746" i="27"/>
  <c r="E3754" i="27"/>
  <c r="E3762" i="27"/>
  <c r="E3778" i="27"/>
  <c r="E3786" i="27"/>
  <c r="E3794" i="27"/>
  <c r="E3802" i="27"/>
  <c r="E3810" i="27"/>
  <c r="E3818" i="27"/>
  <c r="E3376" i="27"/>
  <c r="E3410" i="27"/>
  <c r="E3488" i="27"/>
  <c r="E3822" i="27"/>
  <c r="E3507" i="27"/>
  <c r="E3515" i="27"/>
  <c r="E3523" i="27"/>
  <c r="E3531" i="27"/>
  <c r="E3539" i="27"/>
  <c r="E3547" i="27"/>
  <c r="E3555" i="27"/>
  <c r="E3563" i="27"/>
  <c r="E3571" i="27"/>
  <c r="E3579" i="27"/>
  <c r="E3587" i="27"/>
  <c r="E3595" i="27"/>
  <c r="E3603" i="27"/>
  <c r="E3611" i="27"/>
  <c r="E3619" i="27"/>
  <c r="E3627" i="27"/>
  <c r="E3635" i="27"/>
  <c r="E3643" i="27"/>
  <c r="E3651" i="27"/>
  <c r="E3659" i="27"/>
  <c r="E3667" i="27"/>
  <c r="E3675" i="27"/>
  <c r="E3683" i="27"/>
  <c r="E3691" i="27"/>
  <c r="E3699" i="27"/>
  <c r="E3707" i="27"/>
  <c r="E3715" i="27"/>
  <c r="E3723" i="27"/>
  <c r="E3731" i="27"/>
  <c r="E3739" i="27"/>
  <c r="E3747" i="27"/>
  <c r="E3755" i="27"/>
  <c r="E3763" i="27"/>
  <c r="E3771" i="27"/>
  <c r="E3779" i="27"/>
  <c r="E3787" i="27"/>
  <c r="E3795" i="27"/>
  <c r="E3803" i="27"/>
  <c r="E3811" i="27"/>
  <c r="E3346" i="27"/>
  <c r="E3552" i="27"/>
  <c r="F3348" i="27"/>
  <c r="E3348" i="27"/>
  <c r="E3356" i="27"/>
  <c r="E3364" i="27"/>
  <c r="E3372" i="27"/>
  <c r="E3380" i="27"/>
  <c r="E3388" i="27"/>
  <c r="E3396" i="27"/>
  <c r="E3404" i="27"/>
  <c r="E3412" i="27"/>
  <c r="E3420" i="27"/>
  <c r="E3428" i="27"/>
  <c r="E3436" i="27"/>
  <c r="E3444" i="27"/>
  <c r="E3452" i="27"/>
  <c r="E3460" i="27"/>
  <c r="E3468" i="27"/>
  <c r="E3476" i="27"/>
  <c r="E3484" i="27"/>
  <c r="E3492" i="27"/>
  <c r="E3500" i="27"/>
  <c r="E3508" i="27"/>
  <c r="E3516" i="27"/>
  <c r="E3524" i="27"/>
  <c r="E3532" i="27"/>
  <c r="E3540" i="27"/>
  <c r="E3548" i="27"/>
  <c r="E3556" i="27"/>
  <c r="E3564" i="27"/>
  <c r="E3572" i="27"/>
  <c r="E3580" i="27"/>
  <c r="E3588" i="27"/>
  <c r="E3596" i="27"/>
  <c r="E3604" i="27"/>
  <c r="E3612" i="27"/>
  <c r="E3620" i="27"/>
  <c r="E3628" i="27"/>
  <c r="E3636" i="27"/>
  <c r="E3644" i="27"/>
  <c r="E3652" i="27"/>
  <c r="E3660" i="27"/>
  <c r="E3668" i="27"/>
  <c r="E3676" i="27"/>
  <c r="E3684" i="27"/>
  <c r="E3692" i="27"/>
  <c r="E3700" i="27"/>
  <c r="E3708" i="27"/>
  <c r="E3716" i="27"/>
  <c r="E3724" i="27"/>
  <c r="E3732" i="27"/>
  <c r="E3740" i="27"/>
  <c r="E3748" i="27"/>
  <c r="E3756" i="27"/>
  <c r="E3764" i="27"/>
  <c r="E3772" i="27"/>
  <c r="E3780" i="27"/>
  <c r="E3788" i="27"/>
  <c r="E3796" i="27"/>
  <c r="E3804" i="27"/>
  <c r="E3812" i="27"/>
  <c r="E3351" i="27"/>
  <c r="E3416" i="27"/>
  <c r="E3504" i="27"/>
  <c r="E3616" i="27"/>
  <c r="E3744" i="27"/>
  <c r="F3349" i="27"/>
  <c r="E3349" i="27"/>
  <c r="E3357" i="27"/>
  <c r="E3365" i="27"/>
  <c r="E3373" i="27"/>
  <c r="E3381" i="27"/>
  <c r="E3389" i="27"/>
  <c r="E3397" i="27"/>
  <c r="E3405" i="27"/>
  <c r="E3413" i="27"/>
  <c r="E3421" i="27"/>
  <c r="E3429" i="27"/>
  <c r="E3437" i="27"/>
  <c r="E3445" i="27"/>
  <c r="E3453" i="27"/>
  <c r="E3461" i="27"/>
  <c r="E3469" i="27"/>
  <c r="E3477" i="27"/>
  <c r="E3485" i="27"/>
  <c r="E3493" i="27"/>
  <c r="E3501" i="27"/>
  <c r="E3509" i="27"/>
  <c r="E3517" i="27"/>
  <c r="E3525" i="27"/>
  <c r="E3533" i="27"/>
  <c r="E3541" i="27"/>
  <c r="E3549" i="27"/>
  <c r="E3557" i="27"/>
  <c r="E3565" i="27"/>
  <c r="E3573" i="27"/>
  <c r="E3581" i="27"/>
  <c r="E3589" i="27"/>
  <c r="E3597" i="27"/>
  <c r="E3605" i="27"/>
  <c r="E3613" i="27"/>
  <c r="E3621" i="27"/>
  <c r="E3629" i="27"/>
  <c r="E3637" i="27"/>
  <c r="E3645" i="27"/>
  <c r="E3653" i="27"/>
  <c r="E3661" i="27"/>
  <c r="E3669" i="27"/>
  <c r="E3677" i="27"/>
  <c r="E3685" i="27"/>
  <c r="E3693" i="27"/>
  <c r="E3701" i="27"/>
  <c r="E3709" i="27"/>
  <c r="E3717" i="27"/>
  <c r="E3725" i="27"/>
  <c r="E3733" i="27"/>
  <c r="E3741" i="27"/>
  <c r="E3749" i="27"/>
  <c r="E3757" i="27"/>
  <c r="E3765" i="27"/>
  <c r="E3773" i="27"/>
  <c r="E3781" i="27"/>
  <c r="E3789" i="27"/>
  <c r="E3797" i="27"/>
  <c r="E3805" i="27"/>
  <c r="E3813" i="27"/>
  <c r="E3821" i="27"/>
  <c r="E3352" i="27"/>
  <c r="E3424" i="27"/>
  <c r="E3456" i="27"/>
  <c r="E3510" i="27"/>
  <c r="E3568" i="27"/>
  <c r="E3680" i="27"/>
  <c r="E3745" i="27"/>
  <c r="F3350" i="27"/>
  <c r="E3350" i="27"/>
  <c r="E3358" i="27"/>
  <c r="E3382" i="27"/>
  <c r="E3398" i="27"/>
  <c r="E3406" i="27"/>
  <c r="E3414" i="27"/>
  <c r="E3422" i="27"/>
  <c r="E3446" i="27"/>
  <c r="E3454" i="27"/>
  <c r="E3462" i="27"/>
  <c r="E3470" i="27"/>
  <c r="E3478" i="27"/>
  <c r="E3486" i="27"/>
  <c r="E3494" i="27"/>
  <c r="E3502" i="27"/>
  <c r="E3518" i="27"/>
  <c r="E3542" i="27"/>
  <c r="E3550" i="27"/>
  <c r="E3558" i="27"/>
  <c r="E3566" i="27"/>
  <c r="E3582" i="27"/>
  <c r="E3606" i="27"/>
  <c r="E3614" i="27"/>
  <c r="E3622" i="27"/>
  <c r="E3630" i="27"/>
  <c r="E3646" i="27"/>
  <c r="E3670" i="27"/>
  <c r="E3678" i="27"/>
  <c r="E3686" i="27"/>
  <c r="E3694" i="27"/>
  <c r="E3710" i="27"/>
  <c r="E3718" i="27"/>
  <c r="E3734" i="27"/>
  <c r="E3742" i="27"/>
  <c r="E3750" i="27"/>
  <c r="E3758" i="27"/>
  <c r="E3766" i="27"/>
  <c r="E3774" i="27"/>
  <c r="E3782" i="27"/>
  <c r="E3790" i="27"/>
  <c r="E3806" i="27"/>
  <c r="E3814" i="27"/>
  <c r="E3360" i="27"/>
  <c r="E3426" i="27"/>
  <c r="E3512" i="27"/>
  <c r="E3574" i="27"/>
  <c r="E3632" i="27"/>
  <c r="E3768" i="27"/>
  <c r="E3359" i="27"/>
  <c r="E3367" i="27"/>
  <c r="E3375" i="27"/>
  <c r="E3383" i="27"/>
  <c r="E3407" i="27"/>
  <c r="E3423" i="27"/>
  <c r="E3431" i="27"/>
  <c r="E3439" i="27"/>
  <c r="E3447" i="27"/>
  <c r="E3463" i="27"/>
  <c r="E3479" i="27"/>
  <c r="E3487" i="27"/>
  <c r="E3495" i="27"/>
  <c r="E3503" i="27"/>
  <c r="E3511" i="27"/>
  <c r="E3519" i="27"/>
  <c r="E3527" i="27"/>
  <c r="E3535" i="27"/>
  <c r="E3543" i="27"/>
  <c r="E3551" i="27"/>
  <c r="E3559" i="27"/>
  <c r="E3567" i="27"/>
  <c r="E3575" i="27"/>
  <c r="E3583" i="27"/>
  <c r="E3591" i="27"/>
  <c r="E3599" i="27"/>
  <c r="E3607" i="27"/>
  <c r="E3615" i="27"/>
  <c r="E3623" i="27"/>
  <c r="E3631" i="27"/>
  <c r="E3639" i="27"/>
  <c r="E3647" i="27"/>
  <c r="E3655" i="27"/>
  <c r="E3663" i="27"/>
  <c r="E3671" i="27"/>
  <c r="E3679" i="27"/>
  <c r="E3687" i="27"/>
  <c r="E3695" i="27"/>
  <c r="E3703" i="27"/>
  <c r="E3711" i="27"/>
  <c r="E3719" i="27"/>
  <c r="E3727" i="27"/>
  <c r="E3735" i="27"/>
  <c r="E3743" i="27"/>
  <c r="E3751" i="27"/>
  <c r="E3759" i="27"/>
  <c r="E3767" i="27"/>
  <c r="E3775" i="27"/>
  <c r="E3783" i="27"/>
  <c r="E3791" i="27"/>
  <c r="E3799" i="27"/>
  <c r="E3807" i="27"/>
  <c r="E3815" i="27"/>
  <c r="E3823" i="27"/>
  <c r="E3362" i="27"/>
  <c r="E3399" i="27"/>
  <c r="E3430" i="27"/>
  <c r="E3471" i="27"/>
  <c r="E3526" i="27"/>
  <c r="E3576" i="27"/>
  <c r="E3638" i="27"/>
  <c r="E3696" i="27"/>
  <c r="E3770" i="27"/>
  <c r="E3820" i="27"/>
  <c r="E3819" i="27"/>
  <c r="E378" i="27"/>
  <c r="E411" i="27"/>
  <c r="K411" i="27" s="1"/>
  <c r="E421" i="27"/>
  <c r="E383" i="27"/>
  <c r="E386" i="27"/>
  <c r="M386" i="27" s="1"/>
  <c r="E407" i="27"/>
  <c r="E413" i="27"/>
  <c r="E423" i="27"/>
  <c r="L423" i="27" s="1"/>
  <c r="E426" i="27"/>
  <c r="E435" i="27"/>
  <c r="N435" i="27" s="1"/>
  <c r="E441" i="27"/>
  <c r="N441" i="27" s="1"/>
  <c r="E370" i="27"/>
  <c r="E394" i="27"/>
  <c r="E402" i="27"/>
  <c r="E439" i="27"/>
  <c r="E424" i="27"/>
  <c r="E362" i="27"/>
  <c r="M362" i="27" s="1"/>
  <c r="E430" i="27"/>
  <c r="E368" i="27"/>
  <c r="I368" i="27" s="1"/>
  <c r="E376" i="27"/>
  <c r="E384" i="27"/>
  <c r="E392" i="27"/>
  <c r="N392" i="27" s="1"/>
  <c r="E400" i="27"/>
  <c r="E409" i="27"/>
  <c r="E418" i="27"/>
  <c r="E427" i="27"/>
  <c r="E437" i="27"/>
  <c r="E443" i="27"/>
  <c r="E366" i="27"/>
  <c r="E363" i="27"/>
  <c r="E387" i="27"/>
  <c r="E403" i="27"/>
  <c r="E431" i="27"/>
  <c r="E440" i="27"/>
  <c r="E364" i="27"/>
  <c r="E372" i="27"/>
  <c r="E380" i="27"/>
  <c r="E388" i="27"/>
  <c r="E396" i="27"/>
  <c r="E405" i="27"/>
  <c r="E414" i="27"/>
  <c r="E432" i="27"/>
  <c r="E371" i="27"/>
  <c r="E365" i="27"/>
  <c r="E373" i="27"/>
  <c r="E381" i="27"/>
  <c r="E389" i="27"/>
  <c r="E397" i="27"/>
  <c r="E406" i="27"/>
  <c r="E415" i="27"/>
  <c r="E433" i="27"/>
  <c r="E442" i="27"/>
  <c r="E379" i="27"/>
  <c r="E395" i="27"/>
  <c r="E422" i="27"/>
  <c r="E358" i="27"/>
  <c r="E374" i="27"/>
  <c r="E382" i="27"/>
  <c r="E390" i="27"/>
  <c r="E398" i="27"/>
  <c r="E416" i="27"/>
  <c r="E425" i="27"/>
  <c r="E434" i="27"/>
  <c r="E359" i="27"/>
  <c r="E367" i="27"/>
  <c r="E375" i="27"/>
  <c r="E391" i="27"/>
  <c r="E399" i="27"/>
  <c r="E408" i="27"/>
  <c r="E417" i="27"/>
  <c r="E445" i="27"/>
  <c r="E360" i="27"/>
  <c r="E446" i="27"/>
  <c r="E404" i="27"/>
  <c r="E412" i="27"/>
  <c r="E420" i="27"/>
  <c r="E428" i="27"/>
  <c r="E436" i="27"/>
  <c r="E444" i="27"/>
  <c r="E361" i="27"/>
  <c r="E369" i="27"/>
  <c r="E377" i="27"/>
  <c r="E385" i="27"/>
  <c r="E393" i="27"/>
  <c r="E401" i="27"/>
  <c r="E410" i="27"/>
  <c r="E419" i="27"/>
  <c r="E429" i="27"/>
  <c r="E438" i="27"/>
  <c r="E447" i="27"/>
  <c r="E134" i="27"/>
  <c r="E135" i="27"/>
  <c r="E171" i="27"/>
  <c r="E213" i="27"/>
  <c r="E149" i="27"/>
  <c r="E137" i="27"/>
  <c r="E221" i="27"/>
  <c r="E141" i="27"/>
  <c r="E138" i="27"/>
  <c r="E145" i="27"/>
  <c r="H138" i="27"/>
  <c r="E153" i="27"/>
  <c r="E150" i="27"/>
  <c r="E155" i="27"/>
  <c r="E146" i="27"/>
  <c r="E154" i="27"/>
  <c r="E161" i="27"/>
  <c r="E162" i="27"/>
  <c r="E169" i="27"/>
  <c r="E166" i="27"/>
  <c r="E174" i="27"/>
  <c r="E170" i="27"/>
  <c r="E177" i="27"/>
  <c r="E185" i="27"/>
  <c r="E182" i="27"/>
  <c r="E178" i="27"/>
  <c r="E186" i="27"/>
  <c r="E194" i="27"/>
  <c r="E198" i="27"/>
  <c r="E201" i="27"/>
  <c r="E197" i="27"/>
  <c r="E206" i="27"/>
  <c r="E202" i="27"/>
  <c r="E209" i="27"/>
  <c r="E217" i="27"/>
  <c r="E214" i="27"/>
  <c r="E210" i="27"/>
  <c r="E219" i="27"/>
  <c r="E193" i="27"/>
  <c r="E157" i="27"/>
  <c r="E165" i="27"/>
  <c r="E163" i="27"/>
  <c r="E140" i="27"/>
  <c r="E172" i="27"/>
  <c r="E204" i="27"/>
  <c r="E179" i="27"/>
  <c r="E139" i="27"/>
  <c r="E181" i="27"/>
  <c r="E203" i="27"/>
  <c r="E156" i="27"/>
  <c r="E148" i="27"/>
  <c r="E180" i="27"/>
  <c r="E187" i="27"/>
  <c r="E158" i="27"/>
  <c r="E190" i="27"/>
  <c r="E196" i="27"/>
  <c r="E205" i="27"/>
  <c r="E188" i="27"/>
  <c r="E218" i="27"/>
  <c r="E222" i="27"/>
  <c r="E195" i="27"/>
  <c r="E220" i="27"/>
  <c r="E164" i="27"/>
  <c r="E173" i="27"/>
  <c r="E212" i="27"/>
  <c r="E147" i="27"/>
  <c r="E189" i="27"/>
  <c r="E211" i="27"/>
  <c r="E143" i="27"/>
  <c r="E151" i="27"/>
  <c r="E159" i="27"/>
  <c r="E167" i="27"/>
  <c r="E175" i="27"/>
  <c r="E183" i="27"/>
  <c r="E191" i="27"/>
  <c r="E199" i="27"/>
  <c r="E207" i="27"/>
  <c r="E215" i="27"/>
  <c r="E223" i="27"/>
  <c r="E136" i="27"/>
  <c r="E144" i="27"/>
  <c r="E152" i="27"/>
  <c r="E160" i="27"/>
  <c r="E168" i="27"/>
  <c r="E176" i="27"/>
  <c r="E184" i="27"/>
  <c r="E192" i="27"/>
  <c r="E200" i="27"/>
  <c r="E216" i="27"/>
  <c r="E142" i="27"/>
  <c r="H135" i="27"/>
  <c r="E208" i="27"/>
  <c r="C105" i="1"/>
  <c r="G106" i="1"/>
  <c r="G112" i="1"/>
  <c r="E154" i="1"/>
  <c r="U154" i="1" s="1"/>
  <c r="E134" i="1"/>
  <c r="AF134" i="1" s="1"/>
  <c r="E130" i="1"/>
  <c r="AD130" i="1" s="1"/>
  <c r="E146" i="1"/>
  <c r="AD146" i="1" s="1"/>
  <c r="E150" i="1"/>
  <c r="AF150" i="1" s="1"/>
  <c r="E138" i="1"/>
  <c r="AD138" i="1" s="1"/>
  <c r="E141" i="1"/>
  <c r="AF141" i="1" s="1"/>
  <c r="Y138" i="1"/>
  <c r="AF125" i="1"/>
  <c r="E149" i="1"/>
  <c r="AF149" i="1" s="1"/>
  <c r="Y154" i="1"/>
  <c r="E139" i="1"/>
  <c r="U139" i="1" s="1"/>
  <c r="E133" i="1"/>
  <c r="AF133" i="1" s="1"/>
  <c r="C88" i="20"/>
  <c r="D87" i="20"/>
  <c r="C136" i="20"/>
  <c r="D136" i="20" s="1"/>
  <c r="D135" i="20"/>
  <c r="C92" i="20"/>
  <c r="D91" i="20"/>
  <c r="C100" i="20"/>
  <c r="D100" i="20" s="1"/>
  <c r="D99" i="20"/>
  <c r="C125" i="20"/>
  <c r="D124" i="20"/>
  <c r="C103" i="20"/>
  <c r="D102" i="20"/>
  <c r="D90" i="20"/>
  <c r="D31" i="20"/>
  <c r="D55" i="20"/>
  <c r="C143" i="20"/>
  <c r="D123" i="20"/>
  <c r="D139" i="20"/>
  <c r="D58" i="20"/>
  <c r="D84" i="20"/>
  <c r="D132" i="20"/>
  <c r="D70" i="20"/>
  <c r="D101" i="20"/>
  <c r="D38" i="20"/>
  <c r="D95" i="20"/>
  <c r="D119" i="20"/>
  <c r="D96" i="20"/>
  <c r="D120" i="20"/>
  <c r="D111" i="20"/>
  <c r="D29" i="20"/>
  <c r="D53" i="20"/>
  <c r="D78" i="20"/>
  <c r="D113" i="20"/>
  <c r="D121" i="20"/>
  <c r="D129" i="20"/>
  <c r="D137" i="20"/>
  <c r="D130" i="20"/>
  <c r="D116" i="20"/>
  <c r="C57" i="20"/>
  <c r="D57" i="20" s="1"/>
  <c r="D56" i="20"/>
  <c r="C40" i="20"/>
  <c r="D6" i="20"/>
  <c r="C44" i="20"/>
  <c r="C68" i="20"/>
  <c r="D8" i="20"/>
  <c r="D16" i="20"/>
  <c r="D24" i="20"/>
  <c r="D9" i="20"/>
  <c r="D17" i="20"/>
  <c r="D25" i="20"/>
  <c r="D33" i="20"/>
  <c r="D49" i="20"/>
  <c r="D65" i="20"/>
  <c r="D73" i="20"/>
  <c r="D14" i="20"/>
  <c r="D62" i="20"/>
  <c r="D7" i="20"/>
  <c r="D23" i="20"/>
  <c r="D63" i="20"/>
  <c r="D26" i="20"/>
  <c r="D27" i="20"/>
  <c r="D35" i="20"/>
  <c r="D51" i="20"/>
  <c r="D5" i="20"/>
  <c r="D10" i="20"/>
  <c r="D18" i="20"/>
  <c r="D74" i="20"/>
  <c r="D4" i="20"/>
  <c r="D12" i="20"/>
  <c r="D20" i="20"/>
  <c r="D36" i="20"/>
  <c r="D52" i="20"/>
  <c r="D60" i="20"/>
  <c r="D76" i="20"/>
  <c r="D61" i="20"/>
  <c r="D15" i="20"/>
  <c r="E131" i="1"/>
  <c r="AF131" i="1" s="1"/>
  <c r="E147" i="1"/>
  <c r="AF147" i="1" s="1"/>
  <c r="AF143" i="1"/>
  <c r="Y130" i="1"/>
  <c r="AF151" i="1"/>
  <c r="W134" i="1"/>
  <c r="Y146" i="1"/>
  <c r="C117" i="1"/>
  <c r="U128" i="1"/>
  <c r="W142" i="1"/>
  <c r="U136" i="1"/>
  <c r="W150" i="1"/>
  <c r="W126" i="1"/>
  <c r="E126" i="1"/>
  <c r="U126" i="1" s="1"/>
  <c r="E142" i="1"/>
  <c r="AF142" i="1" s="1"/>
  <c r="U144" i="1"/>
  <c r="AF127" i="1"/>
  <c r="C109" i="1"/>
  <c r="U152" i="1"/>
  <c r="AF135" i="1"/>
  <c r="W140" i="1"/>
  <c r="Y140" i="1"/>
  <c r="W132" i="1"/>
  <c r="E132" i="1"/>
  <c r="Y132" i="1"/>
  <c r="E140" i="1"/>
  <c r="G107" i="1"/>
  <c r="I107" i="1"/>
  <c r="W148" i="1"/>
  <c r="E148" i="1"/>
  <c r="Y148" i="1"/>
  <c r="AF154" i="1"/>
  <c r="G115" i="1"/>
  <c r="I115" i="1"/>
  <c r="C115" i="1"/>
  <c r="G114" i="1"/>
  <c r="U129" i="1"/>
  <c r="U137" i="1"/>
  <c r="U145" i="1"/>
  <c r="U153" i="1"/>
  <c r="W127" i="1"/>
  <c r="W135" i="1"/>
  <c r="W143" i="1"/>
  <c r="W151" i="1"/>
  <c r="Y131" i="1"/>
  <c r="Y139" i="1"/>
  <c r="Y147" i="1"/>
  <c r="AF128" i="1"/>
  <c r="AF136" i="1"/>
  <c r="AF144" i="1"/>
  <c r="AF152" i="1"/>
  <c r="G117" i="1"/>
  <c r="W128" i="1"/>
  <c r="W136" i="1"/>
  <c r="W144" i="1"/>
  <c r="W152" i="1"/>
  <c r="AF129" i="1"/>
  <c r="AF137" i="1"/>
  <c r="AF145" i="1"/>
  <c r="AF153" i="1"/>
  <c r="G103" i="1"/>
  <c r="I104" i="1"/>
  <c r="W129" i="1"/>
  <c r="W137" i="1"/>
  <c r="W145" i="1"/>
  <c r="W153" i="1"/>
  <c r="Y125" i="1"/>
  <c r="Y133" i="1"/>
  <c r="Y141" i="1"/>
  <c r="Y149" i="1"/>
  <c r="G104" i="1"/>
  <c r="I112" i="1"/>
  <c r="Y127" i="1"/>
  <c r="Y135" i="1"/>
  <c r="Y143" i="1"/>
  <c r="Y151" i="1"/>
  <c r="AD127" i="1"/>
  <c r="AD135" i="1"/>
  <c r="AD143" i="1"/>
  <c r="AD151" i="1"/>
  <c r="G109" i="1"/>
  <c r="Y128" i="1"/>
  <c r="Y136" i="1"/>
  <c r="Y144" i="1"/>
  <c r="Y152" i="1"/>
  <c r="G111" i="1"/>
  <c r="Y129" i="1"/>
  <c r="Y137" i="1"/>
  <c r="Y145" i="1"/>
  <c r="Y153" i="1"/>
  <c r="I110" i="1"/>
  <c r="C103" i="1"/>
  <c r="C116" i="1"/>
  <c r="G110" i="1"/>
  <c r="I111" i="1"/>
  <c r="I105" i="1"/>
  <c r="I113" i="1"/>
  <c r="C108" i="1"/>
  <c r="G113" i="1"/>
  <c r="I106" i="1"/>
  <c r="I114" i="1"/>
  <c r="I108" i="1"/>
  <c r="I116" i="1"/>
  <c r="AP124" i="1"/>
  <c r="K124" i="1"/>
  <c r="C1423" i="32"/>
  <c r="G8" i="38"/>
  <c r="F8" i="38"/>
  <c r="G6" i="38"/>
  <c r="F6" i="38"/>
  <c r="C162" i="20" l="1"/>
  <c r="D161" i="20"/>
  <c r="C415" i="20"/>
  <c r="D414" i="20"/>
  <c r="C179" i="20"/>
  <c r="D178" i="20"/>
  <c r="D373" i="20"/>
  <c r="C374" i="20"/>
  <c r="C482" i="20"/>
  <c r="D481" i="20"/>
  <c r="C343" i="20"/>
  <c r="D342" i="20"/>
  <c r="D461" i="20"/>
  <c r="C462" i="20"/>
  <c r="C207" i="20"/>
  <c r="D207" i="20" s="1"/>
  <c r="D206" i="20"/>
  <c r="C339" i="20"/>
  <c r="D338" i="20"/>
  <c r="C171" i="20"/>
  <c r="D170" i="20"/>
  <c r="C311" i="20"/>
  <c r="D310" i="20"/>
  <c r="C399" i="20"/>
  <c r="D398" i="20"/>
  <c r="C183" i="20"/>
  <c r="D182" i="20"/>
  <c r="C370" i="20"/>
  <c r="D369" i="20"/>
  <c r="C251" i="20"/>
  <c r="D250" i="20"/>
  <c r="C504" i="20"/>
  <c r="D503" i="20"/>
  <c r="F3352" i="27"/>
  <c r="F3353" i="27" s="1"/>
  <c r="N362" i="27"/>
  <c r="J386" i="27"/>
  <c r="M411" i="27"/>
  <c r="L411" i="27"/>
  <c r="L362" i="27"/>
  <c r="L386" i="27"/>
  <c r="N386" i="27"/>
  <c r="J362" i="27"/>
  <c r="I362" i="27"/>
  <c r="K362" i="27"/>
  <c r="J435" i="27"/>
  <c r="I386" i="27"/>
  <c r="L435" i="27"/>
  <c r="K386" i="27"/>
  <c r="J411" i="27"/>
  <c r="L368" i="27"/>
  <c r="L441" i="27"/>
  <c r="M435" i="27"/>
  <c r="J392" i="27"/>
  <c r="N423" i="27"/>
  <c r="I423" i="27"/>
  <c r="M423" i="27"/>
  <c r="J423" i="27"/>
  <c r="I411" i="27"/>
  <c r="K441" i="27"/>
  <c r="K435" i="27"/>
  <c r="K368" i="27"/>
  <c r="I441" i="27"/>
  <c r="M368" i="27"/>
  <c r="N411" i="27"/>
  <c r="M441" i="27"/>
  <c r="I435" i="27"/>
  <c r="J441" i="27"/>
  <c r="L392" i="27"/>
  <c r="K423" i="27"/>
  <c r="M392" i="27"/>
  <c r="J368" i="27"/>
  <c r="N368" i="27"/>
  <c r="K392" i="27"/>
  <c r="I392" i="27"/>
  <c r="K429" i="27"/>
  <c r="N429" i="27"/>
  <c r="J429" i="27"/>
  <c r="M429" i="27"/>
  <c r="I429" i="27"/>
  <c r="L429" i="27"/>
  <c r="K428" i="27"/>
  <c r="N428" i="27"/>
  <c r="J428" i="27"/>
  <c r="M428" i="27"/>
  <c r="I428" i="27"/>
  <c r="L428" i="27"/>
  <c r="N399" i="27"/>
  <c r="J399" i="27"/>
  <c r="M399" i="27"/>
  <c r="I399" i="27"/>
  <c r="L399" i="27"/>
  <c r="K399" i="27"/>
  <c r="M440" i="27"/>
  <c r="I440" i="27"/>
  <c r="L440" i="27"/>
  <c r="K440" i="27"/>
  <c r="N440" i="27"/>
  <c r="J440" i="27"/>
  <c r="N374" i="27"/>
  <c r="J374" i="27"/>
  <c r="M374" i="27"/>
  <c r="I374" i="27"/>
  <c r="L374" i="27"/>
  <c r="K374" i="27"/>
  <c r="N375" i="27"/>
  <c r="J375" i="27"/>
  <c r="M375" i="27"/>
  <c r="I375" i="27"/>
  <c r="L375" i="27"/>
  <c r="K375" i="27"/>
  <c r="L410" i="27"/>
  <c r="K410" i="27"/>
  <c r="N410" i="27"/>
  <c r="J410" i="27"/>
  <c r="M410" i="27"/>
  <c r="I410" i="27"/>
  <c r="K405" i="27"/>
  <c r="N405" i="27"/>
  <c r="J405" i="27"/>
  <c r="M405" i="27"/>
  <c r="I405" i="27"/>
  <c r="L405" i="27"/>
  <c r="M393" i="27"/>
  <c r="I393" i="27"/>
  <c r="L393" i="27"/>
  <c r="K393" i="27"/>
  <c r="N393" i="27"/>
  <c r="J393" i="27"/>
  <c r="K404" i="27"/>
  <c r="N404" i="27"/>
  <c r="J404" i="27"/>
  <c r="M404" i="27"/>
  <c r="I404" i="27"/>
  <c r="L404" i="27"/>
  <c r="L434" i="27"/>
  <c r="K434" i="27"/>
  <c r="N434" i="27"/>
  <c r="J434" i="27"/>
  <c r="I434" i="27"/>
  <c r="M434" i="27"/>
  <c r="K381" i="27"/>
  <c r="N381" i="27"/>
  <c r="J381" i="27"/>
  <c r="M381" i="27"/>
  <c r="I381" i="27"/>
  <c r="L381" i="27"/>
  <c r="L387" i="27"/>
  <c r="K387" i="27"/>
  <c r="N387" i="27"/>
  <c r="J387" i="27"/>
  <c r="M387" i="27"/>
  <c r="I387" i="27"/>
  <c r="N446" i="27"/>
  <c r="J446" i="27"/>
  <c r="M446" i="27"/>
  <c r="I446" i="27"/>
  <c r="L446" i="27"/>
  <c r="K446" i="27"/>
  <c r="N422" i="27"/>
  <c r="J422" i="27"/>
  <c r="M422" i="27"/>
  <c r="I422" i="27"/>
  <c r="L422" i="27"/>
  <c r="K422" i="27"/>
  <c r="K380" i="27"/>
  <c r="N380" i="27"/>
  <c r="J380" i="27"/>
  <c r="M380" i="27"/>
  <c r="I380" i="27"/>
  <c r="L380" i="27"/>
  <c r="L363" i="27"/>
  <c r="K363" i="27"/>
  <c r="N363" i="27"/>
  <c r="J363" i="27"/>
  <c r="M363" i="27"/>
  <c r="I363" i="27"/>
  <c r="N447" i="27"/>
  <c r="J447" i="27"/>
  <c r="M447" i="27"/>
  <c r="I447" i="27"/>
  <c r="L447" i="27"/>
  <c r="K447" i="27"/>
  <c r="M416" i="27"/>
  <c r="I416" i="27"/>
  <c r="L416" i="27"/>
  <c r="K416" i="27"/>
  <c r="J416" i="27"/>
  <c r="N416" i="27"/>
  <c r="H364" i="27"/>
  <c r="H365" i="27" s="1"/>
  <c r="H366" i="27" s="1"/>
  <c r="H367" i="27" s="1"/>
  <c r="H368" i="27" s="1"/>
  <c r="H369" i="27" s="1"/>
  <c r="M369" i="27"/>
  <c r="I369" i="27"/>
  <c r="L369" i="27"/>
  <c r="K369" i="27"/>
  <c r="N369" i="27"/>
  <c r="J369" i="27"/>
  <c r="M417" i="27"/>
  <c r="I417" i="27"/>
  <c r="L417" i="27"/>
  <c r="K417" i="27"/>
  <c r="N417" i="27"/>
  <c r="J417" i="27"/>
  <c r="N398" i="27"/>
  <c r="J398" i="27"/>
  <c r="M398" i="27"/>
  <c r="I398" i="27"/>
  <c r="L398" i="27"/>
  <c r="K398" i="27"/>
  <c r="H140" i="27"/>
  <c r="H141" i="27" s="1"/>
  <c r="K193" i="27"/>
  <c r="N193" i="27"/>
  <c r="J193" i="27"/>
  <c r="M193" i="27"/>
  <c r="L193" i="27"/>
  <c r="I193" i="27"/>
  <c r="M174" i="27"/>
  <c r="I174" i="27"/>
  <c r="J174" i="27"/>
  <c r="L174" i="27"/>
  <c r="K174" i="27"/>
  <c r="N174" i="27"/>
  <c r="M222" i="27"/>
  <c r="I222" i="27"/>
  <c r="N222" i="27"/>
  <c r="L222" i="27"/>
  <c r="K222" i="27"/>
  <c r="J222" i="27"/>
  <c r="K210" i="27"/>
  <c r="N210" i="27"/>
  <c r="M210" i="27"/>
  <c r="L210" i="27"/>
  <c r="J210" i="27"/>
  <c r="I210" i="27"/>
  <c r="L216" i="27"/>
  <c r="N216" i="27"/>
  <c r="J216" i="27"/>
  <c r="I216" i="27"/>
  <c r="K216" i="27"/>
  <c r="M216" i="27"/>
  <c r="L223" i="27"/>
  <c r="K223" i="27"/>
  <c r="N223" i="27"/>
  <c r="M223" i="27"/>
  <c r="J223" i="27"/>
  <c r="I223" i="27"/>
  <c r="N156" i="27"/>
  <c r="J156" i="27"/>
  <c r="M156" i="27"/>
  <c r="L156" i="27"/>
  <c r="K156" i="27"/>
  <c r="I156" i="27"/>
  <c r="K169" i="27"/>
  <c r="N169" i="27"/>
  <c r="J169" i="27"/>
  <c r="M169" i="27"/>
  <c r="L169" i="27"/>
  <c r="I169" i="27"/>
  <c r="M150" i="27"/>
  <c r="I150" i="27"/>
  <c r="J150" i="27"/>
  <c r="K150" i="27"/>
  <c r="N150" i="27"/>
  <c r="L150" i="27"/>
  <c r="L168" i="27"/>
  <c r="N168" i="27"/>
  <c r="M168" i="27"/>
  <c r="K168" i="27"/>
  <c r="J168" i="27"/>
  <c r="I168" i="27"/>
  <c r="L175" i="27"/>
  <c r="K175" i="27"/>
  <c r="M175" i="27"/>
  <c r="I175" i="27"/>
  <c r="N175" i="27"/>
  <c r="J175" i="27"/>
  <c r="N211" i="27"/>
  <c r="J211" i="27"/>
  <c r="M211" i="27"/>
  <c r="I211" i="27"/>
  <c r="L211" i="27"/>
  <c r="K211" i="27"/>
  <c r="K217" i="27"/>
  <c r="N217" i="27"/>
  <c r="J217" i="27"/>
  <c r="L217" i="27"/>
  <c r="I217" i="27"/>
  <c r="M217" i="27"/>
  <c r="M198" i="27"/>
  <c r="I198" i="27"/>
  <c r="N198" i="27"/>
  <c r="L198" i="27"/>
  <c r="K198" i="27"/>
  <c r="J198" i="27"/>
  <c r="K162" i="27"/>
  <c r="I162" i="27"/>
  <c r="N162" i="27"/>
  <c r="J162" i="27"/>
  <c r="L162" i="27"/>
  <c r="M162" i="27"/>
  <c r="N204" i="27"/>
  <c r="J204" i="27"/>
  <c r="M204" i="27"/>
  <c r="K204" i="27"/>
  <c r="L204" i="27"/>
  <c r="I204" i="27"/>
  <c r="N187" i="27"/>
  <c r="J187" i="27"/>
  <c r="M187" i="27"/>
  <c r="I187" i="27"/>
  <c r="K187" i="27"/>
  <c r="L187" i="27"/>
  <c r="N163" i="27"/>
  <c r="J163" i="27"/>
  <c r="M163" i="27"/>
  <c r="I163" i="27"/>
  <c r="L163" i="27"/>
  <c r="K163" i="27"/>
  <c r="M181" i="27"/>
  <c r="L181" i="27"/>
  <c r="N181" i="27"/>
  <c r="K181" i="27"/>
  <c r="J181" i="27"/>
  <c r="I181" i="27"/>
  <c r="K145" i="27"/>
  <c r="N145" i="27"/>
  <c r="J145" i="27"/>
  <c r="M145" i="27"/>
  <c r="L145" i="27"/>
  <c r="I145" i="27"/>
  <c r="L192" i="27"/>
  <c r="N192" i="27"/>
  <c r="J192" i="27"/>
  <c r="M192" i="27"/>
  <c r="K192" i="27"/>
  <c r="I192" i="27"/>
  <c r="L144" i="27"/>
  <c r="I144" i="27"/>
  <c r="N144" i="27"/>
  <c r="M144" i="27"/>
  <c r="K144" i="27"/>
  <c r="J144" i="27"/>
  <c r="L199" i="27"/>
  <c r="K199" i="27"/>
  <c r="M199" i="27"/>
  <c r="J199" i="27"/>
  <c r="I199" i="27"/>
  <c r="N199" i="27"/>
  <c r="L151" i="27"/>
  <c r="K151" i="27"/>
  <c r="I151" i="27"/>
  <c r="J151" i="27"/>
  <c r="M151" i="27"/>
  <c r="N151" i="27"/>
  <c r="M205" i="27"/>
  <c r="I205" i="27"/>
  <c r="L205" i="27"/>
  <c r="K205" i="27"/>
  <c r="N205" i="27"/>
  <c r="J205" i="27"/>
  <c r="N180" i="27"/>
  <c r="J180" i="27"/>
  <c r="M180" i="27"/>
  <c r="L180" i="27"/>
  <c r="K180" i="27"/>
  <c r="I180" i="27"/>
  <c r="N139" i="27"/>
  <c r="J139" i="27"/>
  <c r="M139" i="27"/>
  <c r="I139" i="27"/>
  <c r="L139" i="27"/>
  <c r="K139" i="27"/>
  <c r="M157" i="27"/>
  <c r="L157" i="27"/>
  <c r="N157" i="27"/>
  <c r="K157" i="27"/>
  <c r="J157" i="27"/>
  <c r="I157" i="27"/>
  <c r="K186" i="27"/>
  <c r="L186" i="27"/>
  <c r="J186" i="27"/>
  <c r="I186" i="27"/>
  <c r="M186" i="27"/>
  <c r="N186" i="27"/>
  <c r="K138" i="27"/>
  <c r="N138" i="27"/>
  <c r="L138" i="27"/>
  <c r="M138" i="27"/>
  <c r="J138" i="27"/>
  <c r="I138" i="27"/>
  <c r="U134" i="1"/>
  <c r="U131" i="1"/>
  <c r="U149" i="1"/>
  <c r="AD131" i="1"/>
  <c r="U130" i="1"/>
  <c r="AD150" i="1"/>
  <c r="AD134" i="1"/>
  <c r="U150" i="1"/>
  <c r="AD149" i="1"/>
  <c r="AD154" i="1"/>
  <c r="AD141" i="1"/>
  <c r="U141" i="1"/>
  <c r="U138" i="1"/>
  <c r="AD126" i="1"/>
  <c r="U125" i="1"/>
  <c r="AD142" i="1"/>
  <c r="AF146" i="1"/>
  <c r="AF138" i="1"/>
  <c r="U142" i="1"/>
  <c r="AF139" i="1"/>
  <c r="AF130" i="1"/>
  <c r="U146" i="1"/>
  <c r="AD139" i="1"/>
  <c r="AF126" i="1"/>
  <c r="AD133" i="1"/>
  <c r="U133" i="1"/>
  <c r="U147" i="1"/>
  <c r="AD125" i="1"/>
  <c r="AD147" i="1"/>
  <c r="C104" i="20"/>
  <c r="D103" i="20"/>
  <c r="C126" i="20"/>
  <c r="D126" i="20" s="1"/>
  <c r="D125" i="20"/>
  <c r="C89" i="20"/>
  <c r="D89" i="20" s="1"/>
  <c r="D88" i="20"/>
  <c r="C144" i="20"/>
  <c r="D143" i="20"/>
  <c r="C93" i="20"/>
  <c r="D93" i="20" s="1"/>
  <c r="D92" i="20"/>
  <c r="C41" i="20"/>
  <c r="D40" i="20"/>
  <c r="C69" i="20"/>
  <c r="D69" i="20" s="1"/>
  <c r="D68" i="20"/>
  <c r="C45" i="20"/>
  <c r="D44" i="20"/>
  <c r="AF148" i="1"/>
  <c r="U148" i="1"/>
  <c r="AD148" i="1"/>
  <c r="AF132" i="1"/>
  <c r="U132" i="1"/>
  <c r="AD132" i="1"/>
  <c r="AF140" i="1"/>
  <c r="U140" i="1"/>
  <c r="AD140" i="1"/>
  <c r="K17" i="41"/>
  <c r="B7" i="40"/>
  <c r="B8" i="40"/>
  <c r="B9" i="40"/>
  <c r="B10" i="40"/>
  <c r="B11" i="40"/>
  <c r="B12" i="40"/>
  <c r="B13" i="40"/>
  <c r="B14" i="40"/>
  <c r="B15" i="40"/>
  <c r="B16" i="40"/>
  <c r="B17" i="40"/>
  <c r="B6" i="40"/>
  <c r="B7" i="39"/>
  <c r="B8" i="39"/>
  <c r="B9" i="39"/>
  <c r="B10" i="39"/>
  <c r="B11" i="39"/>
  <c r="B12" i="39"/>
  <c r="B13" i="39"/>
  <c r="B14" i="39"/>
  <c r="B15" i="39"/>
  <c r="B16" i="39"/>
  <c r="B17" i="39"/>
  <c r="B6" i="39"/>
  <c r="F267" i="27"/>
  <c r="F43" i="27"/>
  <c r="G738" i="27"/>
  <c r="G733" i="27"/>
  <c r="G879" i="27"/>
  <c r="G878" i="27"/>
  <c r="G739" i="27"/>
  <c r="G721" i="27"/>
  <c r="G708" i="27"/>
  <c r="G732" i="27"/>
  <c r="G714" i="27"/>
  <c r="G727" i="27"/>
  <c r="G726" i="27"/>
  <c r="G709" i="27"/>
  <c r="G703" i="27"/>
  <c r="G702" i="27"/>
  <c r="G720" i="27"/>
  <c r="G715" i="27"/>
  <c r="C172" i="20" l="1"/>
  <c r="D171" i="20"/>
  <c r="C375" i="20"/>
  <c r="D374" i="20"/>
  <c r="C371" i="20"/>
  <c r="D371" i="20" s="1"/>
  <c r="D370" i="20"/>
  <c r="C505" i="20"/>
  <c r="D505" i="20" s="1"/>
  <c r="D504" i="20"/>
  <c r="C400" i="20"/>
  <c r="D399" i="20"/>
  <c r="C463" i="20"/>
  <c r="D463" i="20" s="1"/>
  <c r="D462" i="20"/>
  <c r="C252" i="20"/>
  <c r="D251" i="20"/>
  <c r="C312" i="20"/>
  <c r="D312" i="20" s="1"/>
  <c r="D311" i="20"/>
  <c r="C180" i="20"/>
  <c r="D180" i="20" s="1"/>
  <c r="D179" i="20"/>
  <c r="C416" i="20"/>
  <c r="D415" i="20"/>
  <c r="C344" i="20"/>
  <c r="D343" i="20"/>
  <c r="C184" i="20"/>
  <c r="D183" i="20"/>
  <c r="C340" i="20"/>
  <c r="D340" i="20" s="1"/>
  <c r="D339" i="20"/>
  <c r="C483" i="20"/>
  <c r="D483" i="20" s="1"/>
  <c r="D482" i="20"/>
  <c r="C163" i="20"/>
  <c r="D162" i="20"/>
  <c r="F3354" i="27"/>
  <c r="A362" i="27"/>
  <c r="A386" i="27"/>
  <c r="A392" i="27"/>
  <c r="A423" i="27"/>
  <c r="A435" i="27"/>
  <c r="A411" i="27"/>
  <c r="A441" i="27"/>
  <c r="A368" i="27"/>
  <c r="A447" i="27"/>
  <c r="A393" i="27"/>
  <c r="A375" i="27"/>
  <c r="A422" i="27"/>
  <c r="A416" i="27"/>
  <c r="A363" i="27"/>
  <c r="A398" i="27"/>
  <c r="A404" i="27"/>
  <c r="A369" i="27"/>
  <c r="A380" i="27"/>
  <c r="A446" i="27"/>
  <c r="A428" i="27"/>
  <c r="A417" i="27"/>
  <c r="A434" i="27"/>
  <c r="H370" i="27"/>
  <c r="A381" i="27"/>
  <c r="A440" i="27"/>
  <c r="A399" i="27"/>
  <c r="A429" i="27"/>
  <c r="A387" i="27"/>
  <c r="A405" i="27"/>
  <c r="A410" i="27"/>
  <c r="A374" i="27"/>
  <c r="E269" i="27"/>
  <c r="E276" i="27"/>
  <c r="E268" i="27"/>
  <c r="E275" i="27"/>
  <c r="E274" i="27"/>
  <c r="E273" i="27"/>
  <c r="E272" i="27"/>
  <c r="E271" i="27"/>
  <c r="E270" i="27"/>
  <c r="A199" i="27"/>
  <c r="T199" i="27" s="1"/>
  <c r="A157" i="27"/>
  <c r="T157" i="27" s="1"/>
  <c r="A204" i="27"/>
  <c r="T204" i="27" s="1"/>
  <c r="A192" i="27"/>
  <c r="T192" i="27" s="1"/>
  <c r="A151" i="27"/>
  <c r="T151" i="27" s="1"/>
  <c r="A180" i="27"/>
  <c r="T180" i="27" s="1"/>
  <c r="A216" i="27"/>
  <c r="T216" i="27" s="1"/>
  <c r="A174" i="27"/>
  <c r="T174" i="27" s="1"/>
  <c r="A163" i="27"/>
  <c r="T163" i="27" s="1"/>
  <c r="A217" i="27"/>
  <c r="T217" i="27" s="1"/>
  <c r="A168" i="27"/>
  <c r="T168" i="27" s="1"/>
  <c r="A223" i="27"/>
  <c r="T223" i="27" s="1"/>
  <c r="A193" i="27"/>
  <c r="T193" i="27" s="1"/>
  <c r="A139" i="27"/>
  <c r="T139" i="27" s="1"/>
  <c r="A205" i="27"/>
  <c r="T205" i="27" s="1"/>
  <c r="A162" i="27"/>
  <c r="T162" i="27" s="1"/>
  <c r="A156" i="27"/>
  <c r="T156" i="27" s="1"/>
  <c r="H142" i="27"/>
  <c r="A222" i="27"/>
  <c r="T222" i="27" s="1"/>
  <c r="A144" i="27"/>
  <c r="T144" i="27" s="1"/>
  <c r="A145" i="27"/>
  <c r="T145" i="27" s="1"/>
  <c r="A181" i="27"/>
  <c r="T181" i="27" s="1"/>
  <c r="A210" i="27"/>
  <c r="T210" i="27" s="1"/>
  <c r="A186" i="27"/>
  <c r="T186" i="27" s="1"/>
  <c r="A187" i="27"/>
  <c r="T187" i="27" s="1"/>
  <c r="A175" i="27"/>
  <c r="T175" i="27" s="1"/>
  <c r="A150" i="27"/>
  <c r="T150" i="27" s="1"/>
  <c r="A169" i="27"/>
  <c r="T169" i="27" s="1"/>
  <c r="A138" i="27"/>
  <c r="T138" i="27" s="1"/>
  <c r="A198" i="27"/>
  <c r="T198" i="27" s="1"/>
  <c r="A211" i="27"/>
  <c r="T211" i="27" s="1"/>
  <c r="E45" i="27"/>
  <c r="E52" i="27"/>
  <c r="E44" i="27"/>
  <c r="E51" i="27"/>
  <c r="E50" i="27"/>
  <c r="E49" i="27"/>
  <c r="E48" i="27"/>
  <c r="E47" i="27"/>
  <c r="E46" i="27"/>
  <c r="C105" i="20"/>
  <c r="D104" i="20"/>
  <c r="C145" i="20"/>
  <c r="D144" i="20"/>
  <c r="C42" i="20"/>
  <c r="D42" i="20" s="1"/>
  <c r="D41" i="20"/>
  <c r="C46" i="20"/>
  <c r="D45" i="20"/>
  <c r="K47" i="1"/>
  <c r="C185" i="20" l="1"/>
  <c r="D185" i="20" s="1"/>
  <c r="D184" i="20"/>
  <c r="C164" i="20"/>
  <c r="D163" i="20"/>
  <c r="C345" i="20"/>
  <c r="D345" i="20" s="1"/>
  <c r="D344" i="20"/>
  <c r="C253" i="20"/>
  <c r="D252" i="20"/>
  <c r="C417" i="20"/>
  <c r="D417" i="20" s="1"/>
  <c r="D416" i="20"/>
  <c r="C376" i="20"/>
  <c r="D376" i="20" s="1"/>
  <c r="D375" i="20"/>
  <c r="C401" i="20"/>
  <c r="D400" i="20"/>
  <c r="C173" i="20"/>
  <c r="D172" i="20"/>
  <c r="F3355" i="27"/>
  <c r="H274" i="27"/>
  <c r="H275" i="27" s="1"/>
  <c r="H276" i="27" s="1"/>
  <c r="H277" i="27" s="1"/>
  <c r="H278" i="27" s="1"/>
  <c r="H371" i="27"/>
  <c r="H143" i="27"/>
  <c r="H50" i="27"/>
  <c r="H51" i="27" s="1"/>
  <c r="H52" i="27" s="1"/>
  <c r="H53" i="27" s="1"/>
  <c r="H54" i="27" s="1"/>
  <c r="C106" i="20"/>
  <c r="D105" i="20"/>
  <c r="C146" i="20"/>
  <c r="D145" i="20"/>
  <c r="C47" i="20"/>
  <c r="D47" i="20" s="1"/>
  <c r="D46" i="20"/>
  <c r="C1190" i="27"/>
  <c r="C886" i="27"/>
  <c r="C1494" i="27"/>
  <c r="AB2" i="27"/>
  <c r="E22" i="29" s="1"/>
  <c r="AA2" i="27"/>
  <c r="E21" i="29" s="1"/>
  <c r="Z2" i="27"/>
  <c r="C165" i="20" l="1"/>
  <c r="D164" i="20"/>
  <c r="C174" i="20"/>
  <c r="D173" i="20"/>
  <c r="C254" i="20"/>
  <c r="D254" i="20" s="1"/>
  <c r="D253" i="20"/>
  <c r="C402" i="20"/>
  <c r="D401" i="20"/>
  <c r="F3356" i="27"/>
  <c r="H372" i="27"/>
  <c r="H280" i="27"/>
  <c r="H281" i="27" s="1"/>
  <c r="H282" i="27" s="1"/>
  <c r="H283" i="27" s="1"/>
  <c r="H284" i="27" s="1"/>
  <c r="H279" i="27"/>
  <c r="H144" i="27"/>
  <c r="H56" i="27"/>
  <c r="H57" i="27" s="1"/>
  <c r="H58" i="27" s="1"/>
  <c r="H59" i="27" s="1"/>
  <c r="H60" i="27" s="1"/>
  <c r="H55" i="27"/>
  <c r="C147" i="20"/>
  <c r="D146" i="20"/>
  <c r="C107" i="20"/>
  <c r="D106" i="20"/>
  <c r="P43" i="27"/>
  <c r="B21" i="29"/>
  <c r="O519" i="27"/>
  <c r="E519" i="27"/>
  <c r="AU9" i="33"/>
  <c r="C175" i="20" l="1"/>
  <c r="D175" i="20" s="1"/>
  <c r="D174" i="20"/>
  <c r="C166" i="20"/>
  <c r="D165" i="20"/>
  <c r="C403" i="20"/>
  <c r="D403" i="20" s="1"/>
  <c r="D402" i="20"/>
  <c r="F3357" i="27"/>
  <c r="F3358" i="27"/>
  <c r="O520" i="27"/>
  <c r="O521" i="27" s="1"/>
  <c r="O522" i="27" s="1"/>
  <c r="O523" i="27" s="1"/>
  <c r="O524" i="27" s="1"/>
  <c r="O525" i="27" s="1"/>
  <c r="O526" i="27" s="1"/>
  <c r="O527" i="27" s="1"/>
  <c r="O528" i="27" s="1"/>
  <c r="O529" i="27" s="1"/>
  <c r="O530" i="27" s="1"/>
  <c r="O531" i="27" s="1"/>
  <c r="O532" i="27" s="1"/>
  <c r="O533" i="27" s="1"/>
  <c r="O534" i="27" s="1"/>
  <c r="O535" i="27" s="1"/>
  <c r="O536" i="27" s="1"/>
  <c r="O537" i="27" s="1"/>
  <c r="O538" i="27" s="1"/>
  <c r="O539" i="27" s="1"/>
  <c r="O540" i="27" s="1"/>
  <c r="O541" i="27" s="1"/>
  <c r="O542" i="27" s="1"/>
  <c r="O543" i="27" s="1"/>
  <c r="O544" i="27" s="1"/>
  <c r="O545" i="27" s="1"/>
  <c r="O546" i="27" s="1"/>
  <c r="O547" i="27" s="1"/>
  <c r="O548" i="27" s="1"/>
  <c r="O549" i="27" s="1"/>
  <c r="O550" i="27" s="1"/>
  <c r="O551" i="27" s="1"/>
  <c r="O552" i="27" s="1"/>
  <c r="O553" i="27" s="1"/>
  <c r="O554" i="27" s="1"/>
  <c r="O555" i="27" s="1"/>
  <c r="O556" i="27" s="1"/>
  <c r="O557" i="27" s="1"/>
  <c r="O558" i="27" s="1"/>
  <c r="O559" i="27" s="1"/>
  <c r="O560" i="27" s="1"/>
  <c r="O561" i="27" s="1"/>
  <c r="O562" i="27" s="1"/>
  <c r="O563" i="27" s="1"/>
  <c r="O564" i="27" s="1"/>
  <c r="O565" i="27" s="1"/>
  <c r="O566" i="27" s="1"/>
  <c r="O567" i="27" s="1"/>
  <c r="O568" i="27" s="1"/>
  <c r="O569" i="27" s="1"/>
  <c r="O570" i="27" s="1"/>
  <c r="O571" i="27" s="1"/>
  <c r="O572" i="27" s="1"/>
  <c r="O573" i="27" s="1"/>
  <c r="O574" i="27" s="1"/>
  <c r="O575" i="27" s="1"/>
  <c r="O576" i="27" s="1"/>
  <c r="O577" i="27" s="1"/>
  <c r="O578" i="27" s="1"/>
  <c r="O579" i="27" s="1"/>
  <c r="O580" i="27" s="1"/>
  <c r="O581" i="27" s="1"/>
  <c r="O582" i="27" s="1"/>
  <c r="O583" i="27" s="1"/>
  <c r="O584" i="27" s="1"/>
  <c r="O585" i="27" s="1"/>
  <c r="O586" i="27" s="1"/>
  <c r="O587" i="27" s="1"/>
  <c r="O588" i="27" s="1"/>
  <c r="O589" i="27" s="1"/>
  <c r="O590" i="27" s="1"/>
  <c r="O591" i="27" s="1"/>
  <c r="O592" i="27" s="1"/>
  <c r="O593" i="27" s="1"/>
  <c r="O594" i="27" s="1"/>
  <c r="O595" i="27" s="1"/>
  <c r="O596" i="27" s="1"/>
  <c r="O597" i="27" s="1"/>
  <c r="O598" i="27" s="1"/>
  <c r="O599" i="27" s="1"/>
  <c r="O600" i="27" s="1"/>
  <c r="O601" i="27" s="1"/>
  <c r="O602" i="27" s="1"/>
  <c r="O603" i="27" s="1"/>
  <c r="O604" i="27" s="1"/>
  <c r="O605" i="27" s="1"/>
  <c r="O606" i="27" s="1"/>
  <c r="O607" i="27" s="1"/>
  <c r="O608" i="27" s="1"/>
  <c r="O609" i="27" s="1"/>
  <c r="O610" i="27" s="1"/>
  <c r="O611" i="27" s="1"/>
  <c r="O612" i="27" s="1"/>
  <c r="O613" i="27" s="1"/>
  <c r="O614" i="27" s="1"/>
  <c r="O615" i="27" s="1"/>
  <c r="O616" i="27" s="1"/>
  <c r="O617" i="27" s="1"/>
  <c r="O618" i="27" s="1"/>
  <c r="O619" i="27" s="1"/>
  <c r="O620" i="27" s="1"/>
  <c r="O621" i="27" s="1"/>
  <c r="O622" i="27" s="1"/>
  <c r="O623" i="27" s="1"/>
  <c r="O624" i="27" s="1"/>
  <c r="O625" i="27" s="1"/>
  <c r="O626" i="27" s="1"/>
  <c r="O627" i="27" s="1"/>
  <c r="O628" i="27" s="1"/>
  <c r="O629" i="27" s="1"/>
  <c r="O630" i="27" s="1"/>
  <c r="O631" i="27" s="1"/>
  <c r="O632" i="27" s="1"/>
  <c r="O633" i="27" s="1"/>
  <c r="O634" i="27" s="1"/>
  <c r="O635" i="27" s="1"/>
  <c r="O636" i="27" s="1"/>
  <c r="O637" i="27" s="1"/>
  <c r="O638" i="27" s="1"/>
  <c r="O639" i="27" s="1"/>
  <c r="O640" i="27" s="1"/>
  <c r="O641" i="27" s="1"/>
  <c r="O642" i="27" s="1"/>
  <c r="O643" i="27" s="1"/>
  <c r="O644" i="27" s="1"/>
  <c r="O645" i="27" s="1"/>
  <c r="O646" i="27" s="1"/>
  <c r="O647" i="27" s="1"/>
  <c r="O648" i="27" s="1"/>
  <c r="O649" i="27" s="1"/>
  <c r="O650" i="27" s="1"/>
  <c r="O651" i="27" s="1"/>
  <c r="O652" i="27" s="1"/>
  <c r="O653" i="27" s="1"/>
  <c r="O654" i="27" s="1"/>
  <c r="O655" i="27" s="1"/>
  <c r="O656" i="27" s="1"/>
  <c r="O657" i="27" s="1"/>
  <c r="O658" i="27" s="1"/>
  <c r="O659" i="27" s="1"/>
  <c r="O660" i="27" s="1"/>
  <c r="O661" i="27" s="1"/>
  <c r="O662" i="27" s="1"/>
  <c r="O663" i="27" s="1"/>
  <c r="O664" i="27" s="1"/>
  <c r="O665" i="27" s="1"/>
  <c r="O666" i="27" s="1"/>
  <c r="O667" i="27" s="1"/>
  <c r="O668" i="27" s="1"/>
  <c r="O669" i="27" s="1"/>
  <c r="O670" i="27" s="1"/>
  <c r="O671" i="27" s="1"/>
  <c r="O672" i="27" s="1"/>
  <c r="O673" i="27" s="1"/>
  <c r="O674" i="27" s="1"/>
  <c r="O675" i="27" s="1"/>
  <c r="O676" i="27" s="1"/>
  <c r="O677" i="27" s="1"/>
  <c r="O678" i="27" s="1"/>
  <c r="O679" i="27" s="1"/>
  <c r="O680" i="27" s="1"/>
  <c r="O681" i="27" s="1"/>
  <c r="O682" i="27" s="1"/>
  <c r="O683" i="27" s="1"/>
  <c r="O684" i="27" s="1"/>
  <c r="O685" i="27" s="1"/>
  <c r="O686" i="27" s="1"/>
  <c r="O687" i="27" s="1"/>
  <c r="O688" i="27" s="1"/>
  <c r="O689" i="27" s="1"/>
  <c r="O690" i="27" s="1"/>
  <c r="O691" i="27" s="1"/>
  <c r="O692" i="27" s="1"/>
  <c r="O693" i="27" s="1"/>
  <c r="O694" i="27" s="1"/>
  <c r="O695" i="27" s="1"/>
  <c r="O696" i="27" s="1"/>
  <c r="O697" i="27" s="1"/>
  <c r="O698" i="27" s="1"/>
  <c r="O699" i="27" s="1"/>
  <c r="H373" i="27"/>
  <c r="H285" i="27"/>
  <c r="H286" i="27"/>
  <c r="H287" i="27" s="1"/>
  <c r="H288" i="27" s="1"/>
  <c r="H289" i="27" s="1"/>
  <c r="H290" i="27" s="1"/>
  <c r="H145" i="27"/>
  <c r="H146" i="27"/>
  <c r="P44" i="27"/>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P130" i="27" s="1"/>
  <c r="P131" i="27" s="1"/>
  <c r="P132" i="27" s="1"/>
  <c r="P133" i="27" s="1"/>
  <c r="H61" i="27"/>
  <c r="H62" i="27"/>
  <c r="H63" i="27" s="1"/>
  <c r="H64" i="27" s="1"/>
  <c r="H65" i="27" s="1"/>
  <c r="H66" i="27" s="1"/>
  <c r="C108" i="20"/>
  <c r="D108" i="20" s="1"/>
  <c r="D107" i="20"/>
  <c r="C148" i="20"/>
  <c r="D148" i="20" s="1"/>
  <c r="D147" i="20"/>
  <c r="L519" i="27"/>
  <c r="K519" i="27"/>
  <c r="J519" i="27"/>
  <c r="I519" i="27"/>
  <c r="K18" i="41"/>
  <c r="J18" i="41"/>
  <c r="J17" i="41"/>
  <c r="I18" i="41"/>
  <c r="I17" i="41"/>
  <c r="H18" i="41"/>
  <c r="H17" i="41"/>
  <c r="N519" i="27"/>
  <c r="C167" i="20" l="1"/>
  <c r="D167" i="20" s="1"/>
  <c r="D166" i="20"/>
  <c r="F3359" i="27"/>
  <c r="X2" i="27"/>
  <c r="H374" i="27"/>
  <c r="H292" i="27"/>
  <c r="H293" i="27" s="1"/>
  <c r="H294" i="27" s="1"/>
  <c r="H295" i="27" s="1"/>
  <c r="H296" i="27" s="1"/>
  <c r="H291" i="27"/>
  <c r="H147" i="27"/>
  <c r="B22" i="29"/>
  <c r="H68" i="27"/>
  <c r="H69" i="27" s="1"/>
  <c r="H70" i="27" s="1"/>
  <c r="H71" i="27" s="1"/>
  <c r="H72" i="27" s="1"/>
  <c r="H67" i="27"/>
  <c r="G34" i="29"/>
  <c r="G35" i="29"/>
  <c r="G36" i="29"/>
  <c r="G37" i="29"/>
  <c r="G38" i="29"/>
  <c r="G39" i="29"/>
  <c r="G40" i="29"/>
  <c r="G41" i="29"/>
  <c r="G33" i="29"/>
  <c r="G25" i="29"/>
  <c r="G26" i="29"/>
  <c r="G27" i="29"/>
  <c r="G28" i="29"/>
  <c r="G29" i="29"/>
  <c r="G30" i="29"/>
  <c r="G31" i="29"/>
  <c r="G32" i="29"/>
  <c r="G24" i="29"/>
  <c r="G15" i="29"/>
  <c r="G16" i="29"/>
  <c r="G17" i="29"/>
  <c r="G18" i="29"/>
  <c r="G19" i="29"/>
  <c r="G20" i="29"/>
  <c r="G21" i="29"/>
  <c r="G22" i="29"/>
  <c r="G23" i="29"/>
  <c r="E31" i="1"/>
  <c r="F3360" i="27" l="1"/>
  <c r="B26" i="29"/>
  <c r="N2" i="29"/>
  <c r="H376" i="27"/>
  <c r="H375" i="27"/>
  <c r="H298" i="27"/>
  <c r="H299" i="27" s="1"/>
  <c r="H300" i="27" s="1"/>
  <c r="H301" i="27" s="1"/>
  <c r="H302" i="27" s="1"/>
  <c r="H297" i="27"/>
  <c r="H148" i="27"/>
  <c r="H74" i="27"/>
  <c r="H75" i="27" s="1"/>
  <c r="H76" i="27" s="1"/>
  <c r="H77" i="27" s="1"/>
  <c r="H78" i="27" s="1"/>
  <c r="H73" i="27"/>
  <c r="H453" i="27"/>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H475" i="27" s="1"/>
  <c r="H476" i="27" s="1"/>
  <c r="H477" i="27" s="1"/>
  <c r="H478" i="27" s="1"/>
  <c r="H479" i="27" s="1"/>
  <c r="H480" i="27" s="1"/>
  <c r="H481" i="27" s="1"/>
  <c r="H482" i="27" s="1"/>
  <c r="H483" i="27" s="1"/>
  <c r="H484" i="27" s="1"/>
  <c r="B453" i="27"/>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F3361" i="27" l="1"/>
  <c r="B485" i="27"/>
  <c r="C484" i="27"/>
  <c r="H485" i="27"/>
  <c r="H377" i="27"/>
  <c r="H304" i="27"/>
  <c r="H305" i="27" s="1"/>
  <c r="H306" i="27" s="1"/>
  <c r="H307" i="27" s="1"/>
  <c r="H308" i="27" s="1"/>
  <c r="H303" i="27"/>
  <c r="H149" i="27"/>
  <c r="H80" i="27"/>
  <c r="H81" i="27" s="1"/>
  <c r="H82" i="27" s="1"/>
  <c r="H83" i="27" s="1"/>
  <c r="H84" i="27" s="1"/>
  <c r="H79" i="27"/>
  <c r="C453" i="27"/>
  <c r="C2699" i="27"/>
  <c r="W453" i="27"/>
  <c r="F453" i="27"/>
  <c r="O453" i="27"/>
  <c r="D453" i="27"/>
  <c r="L453" i="27"/>
  <c r="P453" i="27"/>
  <c r="G453" i="27"/>
  <c r="N453" i="27"/>
  <c r="I453" i="27"/>
  <c r="R453" i="27"/>
  <c r="E453" i="27"/>
  <c r="J453" i="27" a="1"/>
  <c r="Q453" i="27"/>
  <c r="J453" i="27" l="1"/>
  <c r="F3362" i="27"/>
  <c r="B486" i="27"/>
  <c r="C485" i="27"/>
  <c r="H486" i="27"/>
  <c r="H378" i="27"/>
  <c r="H309" i="27"/>
  <c r="H310" i="27"/>
  <c r="H311" i="27" s="1"/>
  <c r="H312" i="27" s="1"/>
  <c r="H313" i="27" s="1"/>
  <c r="H314" i="27" s="1"/>
  <c r="H150" i="27"/>
  <c r="H85" i="27"/>
  <c r="H86" i="27"/>
  <c r="H87" i="27" s="1"/>
  <c r="H88" i="27" s="1"/>
  <c r="H89" i="27" s="1"/>
  <c r="H90" i="27" s="1"/>
  <c r="O43" i="27"/>
  <c r="I227" i="27"/>
  <c r="I3" i="27"/>
  <c r="I4" i="27" s="1"/>
  <c r="I5" i="27" s="1"/>
  <c r="I6" i="27" s="1"/>
  <c r="I7" i="27" s="1"/>
  <c r="I8" i="27" s="1"/>
  <c r="I9" i="27" s="1"/>
  <c r="I10" i="27" s="1"/>
  <c r="I11" i="27" s="1"/>
  <c r="I12" i="27" s="1"/>
  <c r="I13" i="27" s="1"/>
  <c r="I14" i="27" s="1"/>
  <c r="I15" i="27" s="1"/>
  <c r="I16" i="27" s="1"/>
  <c r="I17" i="27" s="1"/>
  <c r="I18" i="27" s="1"/>
  <c r="I19" i="27" s="1"/>
  <c r="B227" i="27"/>
  <c r="B228" i="27" s="1"/>
  <c r="B229" i="27" s="1"/>
  <c r="B230" i="27" s="1"/>
  <c r="B231" i="27" s="1"/>
  <c r="B232" i="27" s="1"/>
  <c r="B233" i="27" s="1"/>
  <c r="B234" i="27" s="1"/>
  <c r="B235" i="27" s="1"/>
  <c r="B236" i="27" s="1"/>
  <c r="B237" i="27" s="1"/>
  <c r="B238" i="27" s="1"/>
  <c r="B239" i="27" s="1"/>
  <c r="B240" i="27" s="1"/>
  <c r="B241" i="27" s="1"/>
  <c r="B242" i="27" s="1"/>
  <c r="B243" i="27" s="1"/>
  <c r="B3" i="27"/>
  <c r="B4" i="27" s="1"/>
  <c r="B5" i="27" s="1"/>
  <c r="B6" i="27" s="1"/>
  <c r="B7" i="27" s="1"/>
  <c r="B8" i="27" s="1"/>
  <c r="B9" i="27" s="1"/>
  <c r="B10" i="27" s="1"/>
  <c r="B11" i="27" s="1"/>
  <c r="B12" i="27" s="1"/>
  <c r="B13" i="27" s="1"/>
  <c r="B14" i="27" s="1"/>
  <c r="B15" i="27" s="1"/>
  <c r="B16" i="27" s="1"/>
  <c r="B17" i="27" s="1"/>
  <c r="B18" i="27" s="1"/>
  <c r="B19" i="27" s="1"/>
  <c r="B267" i="27"/>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2699" i="27"/>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774" i="27" s="1"/>
  <c r="B2775" i="27" s="1"/>
  <c r="B2776" i="27" s="1"/>
  <c r="B2777" i="27" s="1"/>
  <c r="B2778" i="27" s="1"/>
  <c r="B2779" i="27" s="1"/>
  <c r="B2780" i="27" s="1"/>
  <c r="R2699" i="27"/>
  <c r="M227" i="27" a="1"/>
  <c r="F3363" i="27" l="1"/>
  <c r="F3364" i="27"/>
  <c r="B2781" i="27"/>
  <c r="I228" i="27"/>
  <c r="B487" i="27"/>
  <c r="C486" i="27"/>
  <c r="H487" i="27"/>
  <c r="H379" i="27"/>
  <c r="H316" i="27"/>
  <c r="H317" i="27" s="1"/>
  <c r="H318" i="27" s="1"/>
  <c r="H319" i="27" s="1"/>
  <c r="H320" i="27" s="1"/>
  <c r="H315" i="27"/>
  <c r="B244" i="27"/>
  <c r="H152" i="27"/>
  <c r="H151" i="27"/>
  <c r="H92" i="27"/>
  <c r="H93" i="27" s="1"/>
  <c r="H94" i="27" s="1"/>
  <c r="H95" i="27" s="1"/>
  <c r="H96" i="27" s="1"/>
  <c r="H91" i="27"/>
  <c r="B20" i="27"/>
  <c r="C19" i="27"/>
  <c r="I20" i="27"/>
  <c r="M227" i="27"/>
  <c r="C227" i="27"/>
  <c r="C3" i="27"/>
  <c r="C267" i="27"/>
  <c r="D2699" i="27"/>
  <c r="M3" i="27" a="1"/>
  <c r="J2699" i="27"/>
  <c r="G743" i="27"/>
  <c r="P2699" i="27"/>
  <c r="L19" i="27"/>
  <c r="E19" i="27"/>
  <c r="F19" i="27"/>
  <c r="F2699" i="27"/>
  <c r="M3" i="27" l="1"/>
  <c r="F3365" i="27"/>
  <c r="B2782" i="27"/>
  <c r="I229" i="27"/>
  <c r="B488" i="27"/>
  <c r="C487" i="27"/>
  <c r="H488" i="27"/>
  <c r="H380" i="27"/>
  <c r="H322" i="27"/>
  <c r="H323" i="27" s="1"/>
  <c r="H324" i="27" s="1"/>
  <c r="H325" i="27" s="1"/>
  <c r="H326" i="27" s="1"/>
  <c r="H321" i="27"/>
  <c r="B245" i="27"/>
  <c r="H153" i="27"/>
  <c r="H98" i="27"/>
  <c r="H99" i="27" s="1"/>
  <c r="H100" i="27" s="1"/>
  <c r="H101" i="27" s="1"/>
  <c r="H102" i="27" s="1"/>
  <c r="H97" i="27"/>
  <c r="B21" i="27"/>
  <c r="C20" i="27"/>
  <c r="I21" i="27"/>
  <c r="AS1" i="1"/>
  <c r="G744" i="27"/>
  <c r="F3366" i="27" l="1"/>
  <c r="B2783" i="27"/>
  <c r="I230" i="27"/>
  <c r="B489" i="27"/>
  <c r="H489" i="27"/>
  <c r="C488" i="27"/>
  <c r="H382" i="27"/>
  <c r="H381" i="27"/>
  <c r="H328" i="27"/>
  <c r="H329" i="27" s="1"/>
  <c r="H330" i="27" s="1"/>
  <c r="H331" i="27" s="1"/>
  <c r="H332" i="27" s="1"/>
  <c r="H327" i="27"/>
  <c r="H154" i="27"/>
  <c r="B246" i="27"/>
  <c r="H104" i="27"/>
  <c r="H105" i="27" s="1"/>
  <c r="H106" i="27" s="1"/>
  <c r="H107" i="27" s="1"/>
  <c r="H108" i="27" s="1"/>
  <c r="H103" i="27"/>
  <c r="C21" i="27"/>
  <c r="I22" i="27"/>
  <c r="B22" i="27"/>
  <c r="H508" i="16"/>
  <c r="G745" i="27"/>
  <c r="F3367" i="27" l="1"/>
  <c r="B2784" i="27"/>
  <c r="I231" i="27"/>
  <c r="C489" i="27"/>
  <c r="H490" i="27"/>
  <c r="B490" i="27"/>
  <c r="H383" i="27"/>
  <c r="H333" i="27"/>
  <c r="H334" i="27"/>
  <c r="H335" i="27" s="1"/>
  <c r="H336" i="27" s="1"/>
  <c r="H337" i="27" s="1"/>
  <c r="H338" i="27" s="1"/>
  <c r="H155" i="27"/>
  <c r="B247" i="27"/>
  <c r="H109" i="27"/>
  <c r="H110" i="27"/>
  <c r="H111" i="27" s="1"/>
  <c r="H112" i="27" s="1"/>
  <c r="H113" i="27" s="1"/>
  <c r="H114" i="27" s="1"/>
  <c r="B23" i="27"/>
  <c r="I23" i="27"/>
  <c r="C22" i="27"/>
  <c r="G508" i="16"/>
  <c r="G746" i="27"/>
  <c r="F3368" i="27" l="1"/>
  <c r="B2785" i="27"/>
  <c r="I232" i="27"/>
  <c r="B491" i="27"/>
  <c r="C490" i="27"/>
  <c r="H491" i="27"/>
  <c r="H384" i="27"/>
  <c r="H340" i="27"/>
  <c r="H341" i="27" s="1"/>
  <c r="H342" i="27" s="1"/>
  <c r="H343" i="27" s="1"/>
  <c r="H344" i="27" s="1"/>
  <c r="H339" i="27"/>
  <c r="H156" i="27"/>
  <c r="B248" i="27"/>
  <c r="H116" i="27"/>
  <c r="H117" i="27" s="1"/>
  <c r="H118" i="27" s="1"/>
  <c r="H119" i="27" s="1"/>
  <c r="H120" i="27" s="1"/>
  <c r="H115" i="27"/>
  <c r="B24" i="27"/>
  <c r="I24" i="27"/>
  <c r="C23" i="27"/>
  <c r="H253" i="16"/>
  <c r="G253" i="16"/>
  <c r="I508" i="16"/>
  <c r="F124" i="1"/>
  <c r="G747" i="27"/>
  <c r="F3369" i="27" l="1"/>
  <c r="F3370" i="27"/>
  <c r="B2786" i="27"/>
  <c r="I233" i="27"/>
  <c r="B492" i="27"/>
  <c r="C491" i="27"/>
  <c r="H492" i="27"/>
  <c r="H385" i="27"/>
  <c r="H346" i="27"/>
  <c r="H347" i="27" s="1"/>
  <c r="H348" i="27" s="1"/>
  <c r="H349" i="27" s="1"/>
  <c r="H350" i="27" s="1"/>
  <c r="H345" i="27"/>
  <c r="B249" i="27"/>
  <c r="H158" i="27"/>
  <c r="H157" i="27"/>
  <c r="H122" i="27"/>
  <c r="H123" i="27" s="1"/>
  <c r="H124" i="27" s="1"/>
  <c r="H125" i="27" s="1"/>
  <c r="H126" i="27" s="1"/>
  <c r="H121" i="27"/>
  <c r="B25" i="27"/>
  <c r="I25" i="27"/>
  <c r="C24" i="27"/>
  <c r="L143" i="1"/>
  <c r="L127" i="1"/>
  <c r="L151" i="1"/>
  <c r="L135" i="1"/>
  <c r="L141" i="1"/>
  <c r="L131" i="1"/>
  <c r="L134" i="1"/>
  <c r="L153" i="1"/>
  <c r="L125" i="1"/>
  <c r="L128" i="1"/>
  <c r="L149" i="1"/>
  <c r="L146" i="1"/>
  <c r="L150" i="1"/>
  <c r="L130" i="1"/>
  <c r="L154" i="1"/>
  <c r="L136" i="1"/>
  <c r="L129" i="1"/>
  <c r="L133" i="1"/>
  <c r="L126" i="1"/>
  <c r="L139" i="1"/>
  <c r="L152" i="1"/>
  <c r="L137" i="1"/>
  <c r="L144" i="1"/>
  <c r="L145" i="1"/>
  <c r="L142" i="1"/>
  <c r="L138" i="1"/>
  <c r="L140" i="1"/>
  <c r="L148" i="1"/>
  <c r="L147" i="1"/>
  <c r="L132" i="1"/>
  <c r="AT9" i="33"/>
  <c r="F484" i="27"/>
  <c r="E484" i="27"/>
  <c r="G748" i="27"/>
  <c r="F9" i="33"/>
  <c r="F3371" i="27" l="1"/>
  <c r="B2787" i="27"/>
  <c r="I234" i="27"/>
  <c r="B493" i="27"/>
  <c r="C492" i="27"/>
  <c r="H493" i="27"/>
  <c r="H386" i="27"/>
  <c r="H352" i="27"/>
  <c r="H353" i="27" s="1"/>
  <c r="H354" i="27" s="1"/>
  <c r="H355" i="27" s="1"/>
  <c r="H356" i="27" s="1"/>
  <c r="H357" i="27" s="1"/>
  <c r="H351" i="27"/>
  <c r="B250" i="27"/>
  <c r="H159" i="27"/>
  <c r="H128" i="27"/>
  <c r="H129" i="27" s="1"/>
  <c r="H130" i="27" s="1"/>
  <c r="H131" i="27" s="1"/>
  <c r="H132" i="27" s="1"/>
  <c r="H133" i="27" s="1"/>
  <c r="H127" i="27"/>
  <c r="B26" i="27"/>
  <c r="I26" i="27"/>
  <c r="C25" i="27"/>
  <c r="BW9" i="33"/>
  <c r="M140" i="1"/>
  <c r="AA140" i="1"/>
  <c r="O140" i="1" s="1"/>
  <c r="AC140" i="1"/>
  <c r="AO140" i="1"/>
  <c r="N140" i="1"/>
  <c r="M126" i="1"/>
  <c r="N126" i="1"/>
  <c r="AO126" i="1"/>
  <c r="AC126" i="1"/>
  <c r="AA126" i="1"/>
  <c r="O126" i="1" s="1"/>
  <c r="AO149" i="1"/>
  <c r="AC149" i="1"/>
  <c r="M149" i="1"/>
  <c r="N149" i="1"/>
  <c r="AA149" i="1"/>
  <c r="O149" i="1" s="1"/>
  <c r="M151" i="1"/>
  <c r="AA151" i="1"/>
  <c r="O151" i="1" s="1"/>
  <c r="N151" i="1"/>
  <c r="AO151" i="1"/>
  <c r="AC151" i="1"/>
  <c r="M138" i="1"/>
  <c r="N138" i="1"/>
  <c r="AC138" i="1"/>
  <c r="AO138" i="1"/>
  <c r="AA138" i="1"/>
  <c r="O138" i="1" s="1"/>
  <c r="AC133" i="1"/>
  <c r="M133" i="1"/>
  <c r="N133" i="1"/>
  <c r="AA133" i="1"/>
  <c r="O133" i="1" s="1"/>
  <c r="AO133" i="1"/>
  <c r="AC128" i="1"/>
  <c r="N128" i="1"/>
  <c r="AO128" i="1"/>
  <c r="M128" i="1"/>
  <c r="AA128" i="1"/>
  <c r="O128" i="1" s="1"/>
  <c r="N127" i="1"/>
  <c r="AO127" i="1"/>
  <c r="M127" i="1"/>
  <c r="AC127" i="1"/>
  <c r="AA127" i="1"/>
  <c r="O127" i="1" s="1"/>
  <c r="N142" i="1"/>
  <c r="AO142" i="1"/>
  <c r="M142" i="1"/>
  <c r="AC142" i="1"/>
  <c r="AA142" i="1"/>
  <c r="O142" i="1" s="1"/>
  <c r="M129" i="1"/>
  <c r="N129" i="1"/>
  <c r="AC129" i="1"/>
  <c r="AO129" i="1"/>
  <c r="AA129" i="1"/>
  <c r="O129" i="1" s="1"/>
  <c r="AA125" i="1"/>
  <c r="O125" i="1" s="1"/>
  <c r="N125" i="1"/>
  <c r="AO125" i="1"/>
  <c r="AC125" i="1"/>
  <c r="M125" i="1"/>
  <c r="AO143" i="1"/>
  <c r="N143" i="1"/>
  <c r="AC143" i="1"/>
  <c r="AA143" i="1"/>
  <c r="O143" i="1" s="1"/>
  <c r="M143" i="1"/>
  <c r="M145" i="1"/>
  <c r="N145" i="1"/>
  <c r="AC145" i="1"/>
  <c r="AA145" i="1"/>
  <c r="O145" i="1" s="1"/>
  <c r="AO145" i="1"/>
  <c r="M136" i="1"/>
  <c r="N136" i="1"/>
  <c r="AO136" i="1"/>
  <c r="AC136" i="1"/>
  <c r="AA136" i="1"/>
  <c r="O136" i="1" s="1"/>
  <c r="M153" i="1"/>
  <c r="AC153" i="1"/>
  <c r="AA153" i="1"/>
  <c r="O153" i="1" s="1"/>
  <c r="AO153" i="1"/>
  <c r="N153" i="1"/>
  <c r="M144" i="1"/>
  <c r="N144" i="1"/>
  <c r="AO144" i="1"/>
  <c r="AC144" i="1"/>
  <c r="AA144" i="1"/>
  <c r="O144" i="1" s="1"/>
  <c r="M154" i="1"/>
  <c r="AC154" i="1"/>
  <c r="N154" i="1"/>
  <c r="AA154" i="1"/>
  <c r="O154" i="1" s="1"/>
  <c r="AO154" i="1"/>
  <c r="AO134" i="1"/>
  <c r="N134" i="1"/>
  <c r="AC134" i="1"/>
  <c r="AA134" i="1"/>
  <c r="O134" i="1" s="1"/>
  <c r="M134" i="1"/>
  <c r="AC132" i="1"/>
  <c r="N132" i="1"/>
  <c r="M132" i="1"/>
  <c r="AA132" i="1"/>
  <c r="O132" i="1" s="1"/>
  <c r="AO132" i="1"/>
  <c r="M137" i="1"/>
  <c r="AC137" i="1"/>
  <c r="N137" i="1"/>
  <c r="AA137" i="1"/>
  <c r="O137" i="1" s="1"/>
  <c r="AO137" i="1"/>
  <c r="M130" i="1"/>
  <c r="AA130" i="1"/>
  <c r="O130" i="1" s="1"/>
  <c r="N130" i="1"/>
  <c r="AC130" i="1"/>
  <c r="AO130" i="1"/>
  <c r="N131" i="1"/>
  <c r="M131" i="1"/>
  <c r="AO131" i="1"/>
  <c r="AC131" i="1"/>
  <c r="AA131" i="1"/>
  <c r="O131" i="1" s="1"/>
  <c r="N147" i="1"/>
  <c r="M147" i="1"/>
  <c r="AC147" i="1"/>
  <c r="AA147" i="1"/>
  <c r="O147" i="1" s="1"/>
  <c r="AO147" i="1"/>
  <c r="AC152" i="1"/>
  <c r="N152" i="1"/>
  <c r="AO152" i="1"/>
  <c r="M152" i="1"/>
  <c r="AA152" i="1"/>
  <c r="O152" i="1" s="1"/>
  <c r="M150" i="1"/>
  <c r="AO150" i="1"/>
  <c r="AC150" i="1"/>
  <c r="AA150" i="1"/>
  <c r="O150" i="1" s="1"/>
  <c r="N150" i="1"/>
  <c r="N141" i="1"/>
  <c r="AO141" i="1"/>
  <c r="AC141" i="1"/>
  <c r="M141" i="1"/>
  <c r="AA141" i="1"/>
  <c r="O141" i="1" s="1"/>
  <c r="M148" i="1"/>
  <c r="AA148" i="1"/>
  <c r="O148" i="1" s="1"/>
  <c r="AO148" i="1"/>
  <c r="AC148" i="1"/>
  <c r="N148" i="1"/>
  <c r="N139" i="1"/>
  <c r="M139" i="1"/>
  <c r="AC139" i="1"/>
  <c r="AA139" i="1"/>
  <c r="O139" i="1" s="1"/>
  <c r="AO139" i="1"/>
  <c r="M146" i="1"/>
  <c r="AA146" i="1"/>
  <c r="O146" i="1" s="1"/>
  <c r="AO146" i="1"/>
  <c r="AC146" i="1"/>
  <c r="N146" i="1"/>
  <c r="AA135" i="1"/>
  <c r="O135" i="1" s="1"/>
  <c r="N135" i="1"/>
  <c r="M135" i="1"/>
  <c r="AO135" i="1"/>
  <c r="AC135" i="1"/>
  <c r="AT11" i="33"/>
  <c r="AE9" i="34"/>
  <c r="B27" i="29"/>
  <c r="G749" i="27"/>
  <c r="D484" i="27"/>
  <c r="F3372" i="27" l="1"/>
  <c r="B2788" i="27"/>
  <c r="I235" i="27"/>
  <c r="C493" i="27"/>
  <c r="H494" i="27"/>
  <c r="B494" i="27"/>
  <c r="H387" i="27"/>
  <c r="H388" i="27"/>
  <c r="B251" i="27"/>
  <c r="H160" i="27"/>
  <c r="B27" i="27"/>
  <c r="I27" i="27"/>
  <c r="C26" i="27"/>
  <c r="AT13" i="33"/>
  <c r="AD9" i="34"/>
  <c r="J30" i="1"/>
  <c r="J31" i="1"/>
  <c r="AD9" i="31"/>
  <c r="AE9" i="31"/>
  <c r="J486" i="27" a="1"/>
  <c r="G750" i="27"/>
  <c r="E243" i="27"/>
  <c r="F243" i="27"/>
  <c r="L243" i="27"/>
  <c r="F3373" i="27" l="1"/>
  <c r="B2789" i="27"/>
  <c r="I236" i="27"/>
  <c r="J486" i="27"/>
  <c r="B495" i="27"/>
  <c r="C494" i="27"/>
  <c r="H495" i="27"/>
  <c r="H389" i="27"/>
  <c r="B252" i="27"/>
  <c r="H161" i="27"/>
  <c r="C27" i="27"/>
  <c r="I28" i="27"/>
  <c r="B28" i="27"/>
  <c r="AT15" i="33"/>
  <c r="AE11" i="31"/>
  <c r="AD10" i="34"/>
  <c r="AG9" i="30"/>
  <c r="AH9" i="30"/>
  <c r="L244" i="27"/>
  <c r="E11" i="31"/>
  <c r="G751" i="27"/>
  <c r="F3374" i="27" l="1"/>
  <c r="B2790" i="27"/>
  <c r="I237" i="27"/>
  <c r="B496" i="27"/>
  <c r="C495" i="27"/>
  <c r="H496" i="27"/>
  <c r="H390" i="27"/>
  <c r="B253" i="27"/>
  <c r="H162" i="27"/>
  <c r="B29" i="27"/>
  <c r="C28" i="27"/>
  <c r="I29" i="27"/>
  <c r="AW9" i="30"/>
  <c r="AT17" i="33"/>
  <c r="AE13" i="31"/>
  <c r="AD11" i="34"/>
  <c r="AH11" i="30"/>
  <c r="Q621" i="32"/>
  <c r="Q316" i="32"/>
  <c r="Q318" i="32" s="1"/>
  <c r="Q320" i="32" s="1"/>
  <c r="Q322" i="32" s="1"/>
  <c r="Q324" i="32" s="1"/>
  <c r="Q326" i="32" s="1"/>
  <c r="Q328" i="32" s="1"/>
  <c r="Q330" i="32" s="1"/>
  <c r="Q332" i="32" s="1"/>
  <c r="Q334" i="32" s="1"/>
  <c r="Q336" i="32" s="1"/>
  <c r="Q338" i="32" s="1"/>
  <c r="Q340" i="32" s="1"/>
  <c r="Q342" i="32" s="1"/>
  <c r="Q344" i="32" s="1"/>
  <c r="Q346" i="32" s="1"/>
  <c r="Q348" i="32" s="1"/>
  <c r="Q350" i="32" s="1"/>
  <c r="Q352" i="32" s="1"/>
  <c r="Q354" i="32" s="1"/>
  <c r="Q356" i="32" s="1"/>
  <c r="Q358" i="32" s="1"/>
  <c r="Q360" i="32" s="1"/>
  <c r="Q362" i="32" s="1"/>
  <c r="Q364" i="32" s="1"/>
  <c r="Q366" i="32" s="1"/>
  <c r="Q368" i="32" s="1"/>
  <c r="Q370" i="32" s="1"/>
  <c r="Q372" i="32" s="1"/>
  <c r="Q374" i="32" s="1"/>
  <c r="Q376" i="32" s="1"/>
  <c r="Q378" i="32" s="1"/>
  <c r="Q380" i="32" s="1"/>
  <c r="Q382" i="32" s="1"/>
  <c r="Q384" i="32" s="1"/>
  <c r="Q386" i="32" s="1"/>
  <c r="Q388" i="32" s="1"/>
  <c r="Q390" i="32" s="1"/>
  <c r="Q392" i="32" s="1"/>
  <c r="Q394" i="32" s="1"/>
  <c r="Q396" i="32" s="1"/>
  <c r="Q398" i="32" s="1"/>
  <c r="Q400" i="32" s="1"/>
  <c r="Q402" i="32" s="1"/>
  <c r="Q404" i="32" s="1"/>
  <c r="Q406" i="32" s="1"/>
  <c r="Q408" i="32" s="1"/>
  <c r="Q410" i="32" s="1"/>
  <c r="Q412" i="32" s="1"/>
  <c r="Q414" i="32" s="1"/>
  <c r="Q416" i="32" s="1"/>
  <c r="Q418" i="32" s="1"/>
  <c r="D19" i="27"/>
  <c r="L245" i="27"/>
  <c r="G752" i="27"/>
  <c r="L20" i="27"/>
  <c r="F3375" i="27" l="1"/>
  <c r="F3376" i="27"/>
  <c r="B2791" i="27"/>
  <c r="I238" i="27"/>
  <c r="B497" i="27"/>
  <c r="H497" i="27"/>
  <c r="C496" i="27"/>
  <c r="H391" i="27"/>
  <c r="H163" i="27"/>
  <c r="H164" i="27"/>
  <c r="B254" i="27"/>
  <c r="C29" i="27"/>
  <c r="I30" i="27"/>
  <c r="B30" i="27"/>
  <c r="Q420" i="32"/>
  <c r="Q422" i="32" s="1"/>
  <c r="Q424" i="32" s="1"/>
  <c r="Q426" i="32" s="1"/>
  <c r="Q428" i="32" s="1"/>
  <c r="Q430" i="32" s="1"/>
  <c r="Q432" i="32" s="1"/>
  <c r="Q434" i="32" s="1"/>
  <c r="Q436" i="32" s="1"/>
  <c r="Q438" i="32" s="1"/>
  <c r="Q440" i="32" s="1"/>
  <c r="Q442" i="32" s="1"/>
  <c r="Q444" i="32" s="1"/>
  <c r="Q446" i="32" s="1"/>
  <c r="Q448" i="32" s="1"/>
  <c r="Q450" i="32" s="1"/>
  <c r="Q452" i="32" s="1"/>
  <c r="Q454" i="32" s="1"/>
  <c r="Q456" i="32" s="1"/>
  <c r="Q458" i="32" s="1"/>
  <c r="Q460" i="32" s="1"/>
  <c r="Q462" i="32" s="1"/>
  <c r="Q464" i="32" s="1"/>
  <c r="Q466" i="32" s="1"/>
  <c r="Q468" i="32" s="1"/>
  <c r="Q470" i="32" s="1"/>
  <c r="Q472" i="32" s="1"/>
  <c r="Q474" i="32" s="1"/>
  <c r="Q476" i="32" s="1"/>
  <c r="Q478" i="32" s="1"/>
  <c r="Q480" i="32" s="1"/>
  <c r="Q482" i="32" s="1"/>
  <c r="Q484" i="32" s="1"/>
  <c r="Q486" i="32" s="1"/>
  <c r="Q488" i="32" s="1"/>
  <c r="Q490" i="32" s="1"/>
  <c r="Q492" i="32" s="1"/>
  <c r="Q494" i="32" s="1"/>
  <c r="Q496" i="32" s="1"/>
  <c r="Q498" i="32" s="1"/>
  <c r="Q500" i="32" s="1"/>
  <c r="Q502" i="32" s="1"/>
  <c r="Q504" i="32" s="1"/>
  <c r="Q506" i="32" s="1"/>
  <c r="Q508" i="32" s="1"/>
  <c r="Q510" i="32" s="1"/>
  <c r="Q512" i="32" s="1"/>
  <c r="Q514" i="32" s="1"/>
  <c r="Q516" i="32" s="1"/>
  <c r="Q518" i="32" s="1"/>
  <c r="Q520" i="32" s="1"/>
  <c r="Q522" i="32" s="1"/>
  <c r="Q524" i="32" s="1"/>
  <c r="Q526" i="32" s="1"/>
  <c r="Q528" i="32" s="1"/>
  <c r="Q530" i="32" s="1"/>
  <c r="Q532" i="32" s="1"/>
  <c r="Q534" i="32" s="1"/>
  <c r="Q536" i="32" s="1"/>
  <c r="Q538" i="32" s="1"/>
  <c r="Q540" i="32" s="1"/>
  <c r="Q542" i="32" s="1"/>
  <c r="Q544" i="32" s="1"/>
  <c r="Q546" i="32" s="1"/>
  <c r="Q548" i="32" s="1"/>
  <c r="Q550" i="32" s="1"/>
  <c r="Q552" i="32" s="1"/>
  <c r="Q554" i="32" s="1"/>
  <c r="Q556" i="32" s="1"/>
  <c r="Q558" i="32" s="1"/>
  <c r="Q560" i="32" s="1"/>
  <c r="Q562" i="32" s="1"/>
  <c r="Q564" i="32" s="1"/>
  <c r="Q566" i="32" s="1"/>
  <c r="Q568" i="32" s="1"/>
  <c r="Q570" i="32" s="1"/>
  <c r="Q572" i="32" s="1"/>
  <c r="Q574" i="32" s="1"/>
  <c r="Q576" i="32" s="1"/>
  <c r="Q578" i="32" s="1"/>
  <c r="Q580" i="32" s="1"/>
  <c r="Q582" i="32" s="1"/>
  <c r="Q584" i="32" s="1"/>
  <c r="Q586" i="32" s="1"/>
  <c r="Q588" i="32" s="1"/>
  <c r="Q590" i="32" s="1"/>
  <c r="Q592" i="32" s="1"/>
  <c r="Q594" i="32" s="1"/>
  <c r="Q596" i="32" s="1"/>
  <c r="Q598" i="32" s="1"/>
  <c r="Q600" i="32" s="1"/>
  <c r="Q602" i="32" s="1"/>
  <c r="Q604" i="32" s="1"/>
  <c r="Q606" i="32" s="1"/>
  <c r="Q608" i="32" s="1"/>
  <c r="Q610" i="32" s="1"/>
  <c r="Q612" i="32" s="1"/>
  <c r="Q614" i="32" s="1"/>
  <c r="Q623" i="32"/>
  <c r="AT19" i="33"/>
  <c r="AE15" i="31"/>
  <c r="AD12" i="34"/>
  <c r="AH13" i="30"/>
  <c r="G513" i="16"/>
  <c r="G512" i="16"/>
  <c r="G753" i="27"/>
  <c r="L246" i="27"/>
  <c r="J21" i="27"/>
  <c r="F3377" i="27" l="1"/>
  <c r="B2792" i="27"/>
  <c r="I239" i="27"/>
  <c r="C497" i="27"/>
  <c r="H498" i="27"/>
  <c r="B498" i="27"/>
  <c r="H392" i="27"/>
  <c r="B255" i="27"/>
  <c r="H165" i="27"/>
  <c r="B31" i="27"/>
  <c r="I31" i="27"/>
  <c r="C30" i="27"/>
  <c r="Q625" i="32"/>
  <c r="AT21" i="33"/>
  <c r="AE17" i="31"/>
  <c r="AD13" i="34"/>
  <c r="AH15" i="30"/>
  <c r="H3" i="19"/>
  <c r="H2" i="19"/>
  <c r="Q10" i="32"/>
  <c r="Q12" i="32" s="1"/>
  <c r="J22" i="27"/>
  <c r="G754" i="27"/>
  <c r="L247" i="27"/>
  <c r="F3378" i="27" l="1"/>
  <c r="B2793" i="27"/>
  <c r="I240" i="27"/>
  <c r="B499" i="27"/>
  <c r="C498" i="27"/>
  <c r="H499" i="27"/>
  <c r="H393" i="27"/>
  <c r="H394" i="27"/>
  <c r="B256" i="27"/>
  <c r="H166" i="27"/>
  <c r="B32" i="27"/>
  <c r="I32" i="27"/>
  <c r="C31" i="27"/>
  <c r="Q14" i="32"/>
  <c r="Q627" i="32"/>
  <c r="AT23" i="33"/>
  <c r="AE19" i="31"/>
  <c r="AD14" i="34"/>
  <c r="AH17" i="30"/>
  <c r="L248" i="27"/>
  <c r="G755" i="27"/>
  <c r="J23" i="27"/>
  <c r="F3379" i="27" l="1"/>
  <c r="B2794" i="27"/>
  <c r="I241" i="27"/>
  <c r="B500" i="27"/>
  <c r="C499" i="27"/>
  <c r="H500" i="27"/>
  <c r="H395" i="27"/>
  <c r="B257" i="27"/>
  <c r="H167" i="27"/>
  <c r="B33" i="27"/>
  <c r="I33" i="27"/>
  <c r="C32" i="27"/>
  <c r="Q16" i="32"/>
  <c r="Q629" i="32"/>
  <c r="AT25" i="33"/>
  <c r="AE21" i="31"/>
  <c r="AD15" i="34"/>
  <c r="AH19" i="30"/>
  <c r="G756" i="27"/>
  <c r="J24" i="27"/>
  <c r="L249" i="27"/>
  <c r="F3380" i="27" l="1"/>
  <c r="B2795" i="27"/>
  <c r="I242" i="27"/>
  <c r="B501" i="27"/>
  <c r="C500" i="27"/>
  <c r="H501" i="27"/>
  <c r="H396" i="27"/>
  <c r="H168" i="27"/>
  <c r="C33" i="27"/>
  <c r="Q18" i="32"/>
  <c r="Q631" i="32"/>
  <c r="AT27" i="33"/>
  <c r="AH21" i="30"/>
  <c r="AE23" i="31"/>
  <c r="AD16" i="34"/>
  <c r="G757" i="27"/>
  <c r="J25" i="27"/>
  <c r="L250" i="27"/>
  <c r="F3382" i="27" l="1"/>
  <c r="F3381" i="27"/>
  <c r="B2796" i="27"/>
  <c r="I243" i="27"/>
  <c r="C501" i="27"/>
  <c r="H502" i="27"/>
  <c r="B502" i="27"/>
  <c r="H397" i="27"/>
  <c r="H169" i="27"/>
  <c r="H170" i="27"/>
  <c r="AH23" i="30"/>
  <c r="AH25" i="30" s="1"/>
  <c r="Q20" i="32"/>
  <c r="Q633" i="32"/>
  <c r="AT29" i="33"/>
  <c r="AE25" i="31"/>
  <c r="AD17" i="34"/>
  <c r="G758" i="27"/>
  <c r="L251" i="27"/>
  <c r="F3383" i="27" l="1"/>
  <c r="B2797" i="27"/>
  <c r="I244" i="27"/>
  <c r="C243" i="27"/>
  <c r="B503" i="27"/>
  <c r="C502" i="27"/>
  <c r="H503" i="27"/>
  <c r="H398" i="27"/>
  <c r="H171" i="27"/>
  <c r="Q22" i="32"/>
  <c r="Q635" i="32"/>
  <c r="AT31" i="33"/>
  <c r="AE27" i="31"/>
  <c r="AD18" i="34"/>
  <c r="AH27" i="30"/>
  <c r="G759" i="27"/>
  <c r="F3384" i="27" l="1"/>
  <c r="B2798" i="27"/>
  <c r="I245" i="27"/>
  <c r="C244" i="27"/>
  <c r="B504" i="27"/>
  <c r="C503" i="27"/>
  <c r="H504" i="27"/>
  <c r="H400" i="27"/>
  <c r="H399" i="27"/>
  <c r="H172" i="27"/>
  <c r="Q24" i="32"/>
  <c r="Q637" i="32"/>
  <c r="AT33" i="33"/>
  <c r="AH29" i="30"/>
  <c r="AE29" i="31"/>
  <c r="AD19" i="34"/>
  <c r="L253" i="27"/>
  <c r="G760" i="27"/>
  <c r="F3385" i="27" l="1"/>
  <c r="B2799" i="27"/>
  <c r="C245" i="27"/>
  <c r="I246" i="27"/>
  <c r="B505" i="27"/>
  <c r="H505" i="27"/>
  <c r="C504" i="27"/>
  <c r="H401" i="27"/>
  <c r="H173" i="27"/>
  <c r="AH31" i="30"/>
  <c r="AH33" i="30" s="1"/>
  <c r="Q26" i="32"/>
  <c r="Q28" i="32" s="1"/>
  <c r="Q639" i="32"/>
  <c r="AT35" i="33"/>
  <c r="AE31" i="31"/>
  <c r="AD20" i="34"/>
  <c r="L31" i="27"/>
  <c r="H31" i="27"/>
  <c r="G761" i="27"/>
  <c r="L254" i="27"/>
  <c r="F3386" i="27" l="1"/>
  <c r="B2800" i="27"/>
  <c r="C246" i="27"/>
  <c r="I247" i="27"/>
  <c r="B506" i="27"/>
  <c r="C505" i="27"/>
  <c r="H506" i="27"/>
  <c r="H402" i="27"/>
  <c r="H174" i="27"/>
  <c r="BI33" i="30"/>
  <c r="Q30" i="32"/>
  <c r="Q641" i="32"/>
  <c r="AT37" i="33"/>
  <c r="AE33" i="31"/>
  <c r="AD21" i="34"/>
  <c r="AH35" i="30"/>
  <c r="L255" i="27"/>
  <c r="G762" i="27"/>
  <c r="F3388" i="27" l="1"/>
  <c r="F3387" i="27"/>
  <c r="B2801" i="27"/>
  <c r="C247" i="27"/>
  <c r="I248" i="27"/>
  <c r="B507" i="27"/>
  <c r="C506" i="27"/>
  <c r="H507" i="27"/>
  <c r="H403" i="27"/>
  <c r="H175" i="27"/>
  <c r="H176" i="27"/>
  <c r="Q32" i="32"/>
  <c r="Q643" i="32"/>
  <c r="AT39" i="33"/>
  <c r="AE35" i="31"/>
  <c r="AD22" i="34"/>
  <c r="AH37" i="30"/>
  <c r="J33" i="27"/>
  <c r="L256" i="27"/>
  <c r="G763" i="27"/>
  <c r="F3389" i="27" l="1"/>
  <c r="B2802" i="27"/>
  <c r="I249" i="27"/>
  <c r="C248" i="27"/>
  <c r="B508" i="27"/>
  <c r="C507" i="27"/>
  <c r="H508" i="27"/>
  <c r="H404" i="27"/>
  <c r="H177" i="27"/>
  <c r="Q34" i="32"/>
  <c r="Q645" i="32"/>
  <c r="AT41" i="33"/>
  <c r="AE37" i="31"/>
  <c r="AD23" i="34"/>
  <c r="AG124" i="1"/>
  <c r="G764" i="27"/>
  <c r="L257" i="27"/>
  <c r="F3390" i="27" l="1"/>
  <c r="B2803" i="27"/>
  <c r="C249" i="27"/>
  <c r="I250" i="27"/>
  <c r="B509" i="27"/>
  <c r="C508" i="27"/>
  <c r="H509" i="27"/>
  <c r="H405" i="27"/>
  <c r="H406" i="27"/>
  <c r="H178" i="27"/>
  <c r="Q36" i="32"/>
  <c r="Q647" i="32"/>
  <c r="AT43" i="33"/>
  <c r="AD24" i="34"/>
  <c r="D31" i="1"/>
  <c r="G765" i="27"/>
  <c r="F3391" i="27" l="1"/>
  <c r="B2804" i="27"/>
  <c r="I251" i="27"/>
  <c r="C250" i="27"/>
  <c r="C509" i="27"/>
  <c r="H510" i="27"/>
  <c r="B510" i="27"/>
  <c r="H407" i="27"/>
  <c r="H179" i="27"/>
  <c r="Q38" i="32"/>
  <c r="Q649" i="32"/>
  <c r="AT45" i="33"/>
  <c r="AD25" i="34"/>
  <c r="E102" i="1"/>
  <c r="C102" i="1"/>
  <c r="G766" i="27"/>
  <c r="F3392" i="27" l="1"/>
  <c r="B2805" i="27"/>
  <c r="C251" i="27"/>
  <c r="I252" i="27"/>
  <c r="B511" i="27"/>
  <c r="C510" i="27"/>
  <c r="H511" i="27"/>
  <c r="H408" i="27"/>
  <c r="H180" i="27"/>
  <c r="B102" i="1" a="1"/>
  <c r="B102" i="1" s="1"/>
  <c r="B103" i="1" s="1" a="1"/>
  <c r="B103" i="1" s="1"/>
  <c r="B104" i="1" s="1" a="1"/>
  <c r="B104" i="1" s="1"/>
  <c r="X147" i="1"/>
  <c r="AH147" i="1" s="1"/>
  <c r="X138" i="1"/>
  <c r="AH138" i="1" s="1"/>
  <c r="X149" i="1"/>
  <c r="AH149" i="1" s="1"/>
  <c r="X134" i="1"/>
  <c r="AH134" i="1" s="1"/>
  <c r="X130" i="1"/>
  <c r="AH130" i="1" s="1"/>
  <c r="X131" i="1"/>
  <c r="AH131" i="1" s="1"/>
  <c r="X142" i="1"/>
  <c r="AH142" i="1" s="1"/>
  <c r="X129" i="1"/>
  <c r="AH129" i="1" s="1"/>
  <c r="X146" i="1"/>
  <c r="AH146" i="1" s="1"/>
  <c r="X150" i="1"/>
  <c r="AH150" i="1" s="1"/>
  <c r="X127" i="1"/>
  <c r="AH127" i="1" s="1"/>
  <c r="X126" i="1"/>
  <c r="AH126" i="1" s="1"/>
  <c r="X125" i="1"/>
  <c r="AH125" i="1" s="1"/>
  <c r="X143" i="1"/>
  <c r="AH143" i="1" s="1"/>
  <c r="X136" i="1"/>
  <c r="AH136" i="1" s="1"/>
  <c r="X135" i="1"/>
  <c r="AH135" i="1" s="1"/>
  <c r="X128" i="1"/>
  <c r="AH128" i="1" s="1"/>
  <c r="X154" i="1"/>
  <c r="AH154" i="1" s="1"/>
  <c r="X133" i="1"/>
  <c r="AH133" i="1" s="1"/>
  <c r="X151" i="1"/>
  <c r="AH151" i="1" s="1"/>
  <c r="X144" i="1"/>
  <c r="AH144" i="1" s="1"/>
  <c r="X137" i="1"/>
  <c r="AH137" i="1" s="1"/>
  <c r="X153" i="1"/>
  <c r="AH153" i="1" s="1"/>
  <c r="X139" i="1"/>
  <c r="AH139" i="1" s="1"/>
  <c r="X141" i="1"/>
  <c r="AH141" i="1" s="1"/>
  <c r="X152" i="1"/>
  <c r="AH152" i="1" s="1"/>
  <c r="X145" i="1"/>
  <c r="AH145" i="1" s="1"/>
  <c r="X148" i="1"/>
  <c r="AH148" i="1" s="1"/>
  <c r="X132" i="1"/>
  <c r="AH132" i="1" s="1"/>
  <c r="X140" i="1"/>
  <c r="AH140" i="1" s="1"/>
  <c r="Q40" i="32"/>
  <c r="Q651" i="32"/>
  <c r="AT47" i="33"/>
  <c r="AD26" i="34"/>
  <c r="G767" i="27"/>
  <c r="F3394" i="27" l="1"/>
  <c r="F3393" i="27"/>
  <c r="B2806" i="27"/>
  <c r="I253" i="27"/>
  <c r="C252" i="27"/>
  <c r="B512" i="27"/>
  <c r="C511" i="27"/>
  <c r="H512" i="27"/>
  <c r="H409" i="27"/>
  <c r="H181" i="27"/>
  <c r="H182" i="27"/>
  <c r="B105" i="1" a="1"/>
  <c r="B105" i="1" s="1"/>
  <c r="Q42" i="32"/>
  <c r="Q653" i="32"/>
  <c r="AT49" i="33"/>
  <c r="AD27" i="34"/>
  <c r="C2865" i="27"/>
  <c r="B2865" i="27"/>
  <c r="G768" i="27"/>
  <c r="F3395" i="27" l="1"/>
  <c r="E2865" i="27"/>
  <c r="E3033" i="27"/>
  <c r="E3032" i="27"/>
  <c r="E3031" i="27"/>
  <c r="E3030" i="27"/>
  <c r="E3034" i="27"/>
  <c r="E3026" i="27"/>
  <c r="E2874" i="27"/>
  <c r="E3035" i="27"/>
  <c r="E2965" i="27"/>
  <c r="E2982" i="27"/>
  <c r="E2952" i="27"/>
  <c r="E2957" i="27"/>
  <c r="E2969" i="27"/>
  <c r="E2999" i="27"/>
  <c r="E2955" i="27"/>
  <c r="E3013" i="27"/>
  <c r="E2988" i="27"/>
  <c r="E3002" i="27"/>
  <c r="E2931" i="27"/>
  <c r="E2900" i="27"/>
  <c r="E2954" i="27"/>
  <c r="E2917" i="27"/>
  <c r="E2870" i="27"/>
  <c r="E2934" i="27"/>
  <c r="E2895" i="27"/>
  <c r="E2967" i="27"/>
  <c r="E2912" i="27"/>
  <c r="E2947" i="27"/>
  <c r="E2886" i="27"/>
  <c r="E2890" i="27"/>
  <c r="E2997" i="27"/>
  <c r="E2990" i="27"/>
  <c r="E2976" i="27"/>
  <c r="E3005" i="27"/>
  <c r="E2985" i="27"/>
  <c r="E3010" i="27"/>
  <c r="E2971" i="27"/>
  <c r="E2963" i="27"/>
  <c r="E2996" i="27"/>
  <c r="E2875" i="27"/>
  <c r="E2939" i="27"/>
  <c r="E2908" i="27"/>
  <c r="E2978" i="27"/>
  <c r="E2925" i="27"/>
  <c r="E2878" i="27"/>
  <c r="E2942" i="27"/>
  <c r="E2903" i="27"/>
  <c r="E3015" i="27"/>
  <c r="E2920" i="27"/>
  <c r="E2905" i="27"/>
  <c r="E2916" i="27"/>
  <c r="E2911" i="27"/>
  <c r="E3021" i="27"/>
  <c r="E2998" i="27"/>
  <c r="E2984" i="27"/>
  <c r="E2962" i="27"/>
  <c r="E3001" i="27"/>
  <c r="E2968" i="27"/>
  <c r="E2995" i="27"/>
  <c r="E2979" i="27"/>
  <c r="E3004" i="27"/>
  <c r="E2883" i="27"/>
  <c r="E3029" i="27"/>
  <c r="E3006" i="27"/>
  <c r="E2992" i="27"/>
  <c r="E2991" i="27"/>
  <c r="E3017" i="27"/>
  <c r="E2961" i="27"/>
  <c r="E3003" i="27"/>
  <c r="E2987" i="27"/>
  <c r="E3012" i="27"/>
  <c r="E2891" i="27"/>
  <c r="E2930" i="27"/>
  <c r="E2924" i="27"/>
  <c r="E2877" i="27"/>
  <c r="E2941" i="27"/>
  <c r="E2894" i="27"/>
  <c r="E2922" i="27"/>
  <c r="E2919" i="27"/>
  <c r="E2872" i="27"/>
  <c r="E2936" i="27"/>
  <c r="E2921" i="27"/>
  <c r="E2913" i="27"/>
  <c r="E2945" i="27"/>
  <c r="E3014" i="27"/>
  <c r="E3000" i="27"/>
  <c r="E3007" i="27"/>
  <c r="E3025" i="27"/>
  <c r="E2977" i="27"/>
  <c r="E3011" i="27"/>
  <c r="E2956" i="27"/>
  <c r="E3020" i="27"/>
  <c r="E2899" i="27"/>
  <c r="E2970" i="27"/>
  <c r="E2932" i="27"/>
  <c r="E2885" i="27"/>
  <c r="E2949" i="27"/>
  <c r="E2902" i="27"/>
  <c r="E2986" i="27"/>
  <c r="E2927" i="27"/>
  <c r="E2880" i="27"/>
  <c r="E2944" i="27"/>
  <c r="E2929" i="27"/>
  <c r="E2873" i="27"/>
  <c r="E2958" i="27"/>
  <c r="E3022" i="27"/>
  <c r="E3008" i="27"/>
  <c r="E3023" i="27"/>
  <c r="E2989" i="27"/>
  <c r="E2993" i="27"/>
  <c r="E3019" i="27"/>
  <c r="E2964" i="27"/>
  <c r="E3028" i="27"/>
  <c r="E2907" i="27"/>
  <c r="E2876" i="27"/>
  <c r="E2940" i="27"/>
  <c r="E2893" i="27"/>
  <c r="E2898" i="27"/>
  <c r="E2910" i="27"/>
  <c r="E2871" i="27"/>
  <c r="E2935" i="27"/>
  <c r="E2888" i="27"/>
  <c r="E2937" i="27"/>
  <c r="E2881" i="27"/>
  <c r="E2966" i="27"/>
  <c r="E2914" i="27"/>
  <c r="E3016" i="27"/>
  <c r="E2960" i="27"/>
  <c r="E2959" i="27"/>
  <c r="E3009" i="27"/>
  <c r="E3027" i="27"/>
  <c r="E2972" i="27"/>
  <c r="E2882" i="27"/>
  <c r="E2915" i="27"/>
  <c r="E2884" i="27"/>
  <c r="E2948" i="27"/>
  <c r="E2901" i="27"/>
  <c r="E2946" i="27"/>
  <c r="E2918" i="27"/>
  <c r="E2879" i="27"/>
  <c r="E2943" i="27"/>
  <c r="E2896" i="27"/>
  <c r="E2974" i="27"/>
  <c r="E2983" i="27"/>
  <c r="E3024" i="27"/>
  <c r="E2953" i="27"/>
  <c r="E2975" i="27"/>
  <c r="E2981" i="27"/>
  <c r="E2973" i="27"/>
  <c r="E2980" i="27"/>
  <c r="E2938" i="27"/>
  <c r="E2923" i="27"/>
  <c r="E2892" i="27"/>
  <c r="E2906" i="27"/>
  <c r="E2909" i="27"/>
  <c r="E2994" i="27"/>
  <c r="E2926" i="27"/>
  <c r="E2887" i="27"/>
  <c r="E2951" i="27"/>
  <c r="E2904" i="27"/>
  <c r="E2889" i="27"/>
  <c r="E2897" i="27"/>
  <c r="E3018" i="27"/>
  <c r="E2933" i="27"/>
  <c r="E2950" i="27"/>
  <c r="E2928" i="27"/>
  <c r="E2866" i="27"/>
  <c r="E2869" i="27"/>
  <c r="E2868" i="27"/>
  <c r="E2867" i="27"/>
  <c r="B2807" i="27"/>
  <c r="I254" i="27"/>
  <c r="C253" i="27"/>
  <c r="B513" i="27"/>
  <c r="H513" i="27"/>
  <c r="C512" i="27"/>
  <c r="H410" i="27"/>
  <c r="H183" i="27"/>
  <c r="B106" i="1" a="1"/>
  <c r="B106" i="1" s="1"/>
  <c r="B107" i="1" s="1" a="1"/>
  <c r="B107" i="1" s="1"/>
  <c r="H2865" i="27"/>
  <c r="I2865" i="27"/>
  <c r="Q44" i="32"/>
  <c r="Q655" i="32"/>
  <c r="AT51" i="33"/>
  <c r="AD28" i="34"/>
  <c r="D2865" i="27"/>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D3216" i="27" s="1"/>
  <c r="D3217" i="27" s="1"/>
  <c r="D3218" i="27" s="1"/>
  <c r="D3219" i="27" s="1"/>
  <c r="D3220" i="27" s="1"/>
  <c r="D3221" i="27" s="1"/>
  <c r="D3222" i="27" s="1"/>
  <c r="D3223" i="27" s="1"/>
  <c r="D3224" i="27" s="1"/>
  <c r="D3225" i="27" s="1"/>
  <c r="D3226" i="27" s="1"/>
  <c r="D3227" i="27" s="1"/>
  <c r="D3228" i="27" s="1"/>
  <c r="D3229" i="27" s="1"/>
  <c r="D3230" i="27" s="1"/>
  <c r="D3231" i="27" s="1"/>
  <c r="D3232" i="27" s="1"/>
  <c r="D3233" i="27" s="1"/>
  <c r="D3234" i="27" s="1"/>
  <c r="D3235" i="27" s="1"/>
  <c r="D3236" i="27" s="1"/>
  <c r="D3237" i="27" s="1"/>
  <c r="D3238" i="27" s="1"/>
  <c r="D3239" i="27" s="1"/>
  <c r="D3240" i="27" s="1"/>
  <c r="D3241" i="27" s="1"/>
  <c r="D3242" i="27" s="1"/>
  <c r="D3243" i="27" s="1"/>
  <c r="D3244" i="27" s="1"/>
  <c r="D3245" i="27" s="1"/>
  <c r="D3246" i="27" s="1"/>
  <c r="D3247" i="27" s="1"/>
  <c r="D3248" i="27" s="1"/>
  <c r="D3249" i="27" s="1"/>
  <c r="D3250" i="27" s="1"/>
  <c r="D3251" i="27" s="1"/>
  <c r="D3252" i="27" s="1"/>
  <c r="D3253" i="27" s="1"/>
  <c r="D3254" i="27" s="1"/>
  <c r="D3255" i="27" s="1"/>
  <c r="D3256" i="27" s="1"/>
  <c r="D3257" i="27" s="1"/>
  <c r="D3258" i="27" s="1"/>
  <c r="D3259" i="27" s="1"/>
  <c r="D3260" i="27" s="1"/>
  <c r="D3261" i="27" s="1"/>
  <c r="D3262" i="27" s="1"/>
  <c r="D3263" i="27" s="1"/>
  <c r="D3264" i="27" s="1"/>
  <c r="D3265" i="27" s="1"/>
  <c r="D3266" i="27" s="1"/>
  <c r="D3267" i="27" s="1"/>
  <c r="D3268" i="27" s="1"/>
  <c r="D3269" i="27" s="1"/>
  <c r="D3270" i="27" s="1"/>
  <c r="D3271" i="27" s="1"/>
  <c r="D3272" i="27" s="1"/>
  <c r="D3273" i="27" s="1"/>
  <c r="D3274" i="27" s="1"/>
  <c r="D3275" i="27" s="1"/>
  <c r="D3276" i="27" s="1"/>
  <c r="D3277" i="27" s="1"/>
  <c r="D3278" i="27" s="1"/>
  <c r="D3279" i="27" s="1"/>
  <c r="D3280" i="27" s="1"/>
  <c r="D3281" i="27" s="1"/>
  <c r="D3282" i="27" s="1"/>
  <c r="D3283" i="27" s="1"/>
  <c r="D3284" i="27" s="1"/>
  <c r="D3285" i="27" s="1"/>
  <c r="D3286" i="27" s="1"/>
  <c r="D3287" i="27" s="1"/>
  <c r="D3288" i="27" s="1"/>
  <c r="D3289" i="27" s="1"/>
  <c r="D3290" i="27" s="1"/>
  <c r="D3291" i="27" s="1"/>
  <c r="D3292" i="27" s="1"/>
  <c r="D3293" i="27" s="1"/>
  <c r="D3294" i="27" s="1"/>
  <c r="D3295" i="27" s="1"/>
  <c r="D3296" i="27" s="1"/>
  <c r="D3297" i="27" s="1"/>
  <c r="D3298" i="27" s="1"/>
  <c r="D3299" i="27" s="1"/>
  <c r="D3300" i="27" s="1"/>
  <c r="D3301" i="27" s="1"/>
  <c r="D3302" i="27" s="1"/>
  <c r="D3303" i="27" s="1"/>
  <c r="D3304" i="27" s="1"/>
  <c r="D3305" i="27" s="1"/>
  <c r="D3306" i="27" s="1"/>
  <c r="D3307" i="27" s="1"/>
  <c r="D3308" i="27" s="1"/>
  <c r="D3309" i="27" s="1"/>
  <c r="D3310" i="27" s="1"/>
  <c r="D3311" i="27" s="1"/>
  <c r="D3312" i="27" s="1"/>
  <c r="D3313" i="27" s="1"/>
  <c r="D3314" i="27" s="1"/>
  <c r="D3315" i="27" s="1"/>
  <c r="D3316" i="27" s="1"/>
  <c r="D3317" i="27" s="1"/>
  <c r="D3318" i="27" s="1"/>
  <c r="D3319" i="27" s="1"/>
  <c r="D3320" i="27" s="1"/>
  <c r="D3321" i="27" s="1"/>
  <c r="D3322" i="27" s="1"/>
  <c r="D3323" i="27" s="1"/>
  <c r="D3324" i="27" s="1"/>
  <c r="D3325" i="27" s="1"/>
  <c r="D3326" i="27" s="1"/>
  <c r="D3327" i="27" s="1"/>
  <c r="D3328" i="27" s="1"/>
  <c r="D3329" i="27" s="1"/>
  <c r="D3330" i="27" s="1"/>
  <c r="D3331" i="27" s="1"/>
  <c r="D3332" i="27" s="1"/>
  <c r="D3333" i="27" s="1"/>
  <c r="D3334" i="27" s="1"/>
  <c r="D3335" i="27" s="1"/>
  <c r="D3336" i="27" s="1"/>
  <c r="D3337" i="27" s="1"/>
  <c r="D3338" i="27" s="1"/>
  <c r="D3339" i="27" s="1"/>
  <c r="D3340" i="27" s="1"/>
  <c r="D3341" i="27" s="1"/>
  <c r="D3342" i="27" s="1"/>
  <c r="D3343" i="27" s="1"/>
  <c r="D3344" i="27" s="1"/>
  <c r="D3345" i="27" s="1"/>
  <c r="D3346" i="27" s="1"/>
  <c r="D3347" i="27" s="1"/>
  <c r="D3348" i="27" s="1"/>
  <c r="D3349" i="27" s="1"/>
  <c r="D3350" i="27" s="1"/>
  <c r="D3351" i="27" s="1"/>
  <c r="D3352" i="27" s="1"/>
  <c r="D3353" i="27" s="1"/>
  <c r="D3354" i="27" s="1"/>
  <c r="D3355" i="27" s="1"/>
  <c r="D3356" i="27" s="1"/>
  <c r="D3357" i="27" s="1"/>
  <c r="D3358" i="27" s="1"/>
  <c r="D3359" i="27" s="1"/>
  <c r="D3360" i="27" s="1"/>
  <c r="D3361" i="27" s="1"/>
  <c r="D3362" i="27" s="1"/>
  <c r="D3363" i="27" s="1"/>
  <c r="D3364" i="27" s="1"/>
  <c r="D3365" i="27" s="1"/>
  <c r="D3366" i="27" s="1"/>
  <c r="D3367" i="27" s="1"/>
  <c r="D3368" i="27" s="1"/>
  <c r="D3369" i="27" s="1"/>
  <c r="D3370" i="27" s="1"/>
  <c r="D3371" i="27" s="1"/>
  <c r="D3372" i="27" s="1"/>
  <c r="D3373" i="27" s="1"/>
  <c r="D3374" i="27" s="1"/>
  <c r="D3375" i="27" s="1"/>
  <c r="D3376" i="27" s="1"/>
  <c r="D3377" i="27" s="1"/>
  <c r="D3378" i="27" s="1"/>
  <c r="D3379" i="27" s="1"/>
  <c r="D3380" i="27" s="1"/>
  <c r="D3381" i="27" s="1"/>
  <c r="D3382" i="27" s="1"/>
  <c r="D3383" i="27" s="1"/>
  <c r="D3384" i="27" s="1"/>
  <c r="D3385" i="27" s="1"/>
  <c r="D3386" i="27" s="1"/>
  <c r="D3387" i="27" s="1"/>
  <c r="D3388" i="27" s="1"/>
  <c r="D3389" i="27" s="1"/>
  <c r="D3390" i="27" s="1"/>
  <c r="D3391" i="27" s="1"/>
  <c r="D3392" i="27" s="1"/>
  <c r="D3393" i="27" s="1"/>
  <c r="D3394" i="27" s="1"/>
  <c r="D3395" i="27" s="1"/>
  <c r="D3396" i="27" s="1"/>
  <c r="D3397" i="27" s="1"/>
  <c r="D3398" i="27" s="1"/>
  <c r="D3399" i="27" s="1"/>
  <c r="D3400" i="27" s="1"/>
  <c r="D3401" i="27" s="1"/>
  <c r="D3402" i="27" s="1"/>
  <c r="D3403" i="27" s="1"/>
  <c r="D3404" i="27" s="1"/>
  <c r="D3405" i="27" s="1"/>
  <c r="D3406" i="27" s="1"/>
  <c r="D3407" i="27" s="1"/>
  <c r="D3408" i="27" s="1"/>
  <c r="D3409" i="27" s="1"/>
  <c r="D3410" i="27" s="1"/>
  <c r="D3411" i="27" s="1"/>
  <c r="D3412" i="27" s="1"/>
  <c r="D3413" i="27" s="1"/>
  <c r="D3414" i="27" s="1"/>
  <c r="D3415" i="27" s="1"/>
  <c r="D3416" i="27" s="1"/>
  <c r="D3417" i="27" s="1"/>
  <c r="D3418" i="27" s="1"/>
  <c r="D3419" i="27" s="1"/>
  <c r="D3420" i="27" s="1"/>
  <c r="D3421" i="27" s="1"/>
  <c r="D3422" i="27" s="1"/>
  <c r="D3423" i="27" s="1"/>
  <c r="D3424" i="27" s="1"/>
  <c r="D3425" i="27" s="1"/>
  <c r="D3426" i="27" s="1"/>
  <c r="D3427" i="27" s="1"/>
  <c r="D3428" i="27" s="1"/>
  <c r="D3429" i="27" s="1"/>
  <c r="D3430" i="27" s="1"/>
  <c r="D3431" i="27" s="1"/>
  <c r="D3432" i="27" s="1"/>
  <c r="D3433" i="27" s="1"/>
  <c r="D3434" i="27" s="1"/>
  <c r="D3435" i="27" s="1"/>
  <c r="D3436" i="27" s="1"/>
  <c r="D3437" i="27" s="1"/>
  <c r="D3438" i="27" s="1"/>
  <c r="D3439" i="27" s="1"/>
  <c r="D3440" i="27" s="1"/>
  <c r="D3441" i="27" s="1"/>
  <c r="D3442" i="27" s="1"/>
  <c r="D3443" i="27" s="1"/>
  <c r="D3444" i="27" s="1"/>
  <c r="D3445" i="27" s="1"/>
  <c r="D3446" i="27" s="1"/>
  <c r="D3447" i="27" s="1"/>
  <c r="D3448" i="27" s="1"/>
  <c r="D3449" i="27" s="1"/>
  <c r="D3450" i="27" s="1"/>
  <c r="D3451" i="27" s="1"/>
  <c r="D3452" i="27" s="1"/>
  <c r="D3453" i="27" s="1"/>
  <c r="D3454" i="27" s="1"/>
  <c r="D3455" i="27" s="1"/>
  <c r="D3456" i="27" s="1"/>
  <c r="D3457" i="27" s="1"/>
  <c r="D3458" i="27" s="1"/>
  <c r="D3459" i="27" s="1"/>
  <c r="D3460" i="27" s="1"/>
  <c r="D3461" i="27" s="1"/>
  <c r="D3462" i="27" s="1"/>
  <c r="D3463" i="27" s="1"/>
  <c r="D3464" i="27" s="1"/>
  <c r="D3465" i="27" s="1"/>
  <c r="D3466" i="27" s="1"/>
  <c r="D3467" i="27" s="1"/>
  <c r="D3468" i="27" s="1"/>
  <c r="D3469" i="27" s="1"/>
  <c r="D3470" i="27" s="1"/>
  <c r="D3471" i="27" s="1"/>
  <c r="D3472" i="27" s="1"/>
  <c r="D3473" i="27" s="1"/>
  <c r="D3474" i="27" s="1"/>
  <c r="D3475" i="27" s="1"/>
  <c r="D3476" i="27" s="1"/>
  <c r="D3477" i="27" s="1"/>
  <c r="D3478" i="27" s="1"/>
  <c r="D3479" i="27" s="1"/>
  <c r="D3480" i="27" s="1"/>
  <c r="D3481" i="27" s="1"/>
  <c r="D3482" i="27" s="1"/>
  <c r="D3483" i="27" s="1"/>
  <c r="D3484" i="27" s="1"/>
  <c r="D3485" i="27" s="1"/>
  <c r="D3486" i="27" s="1"/>
  <c r="D3487" i="27" s="1"/>
  <c r="D3488" i="27" s="1"/>
  <c r="D3489" i="27" s="1"/>
  <c r="D3490" i="27" s="1"/>
  <c r="D3491" i="27" s="1"/>
  <c r="D3492" i="27" s="1"/>
  <c r="D3493" i="27" s="1"/>
  <c r="D3494" i="27" s="1"/>
  <c r="D3495" i="27" s="1"/>
  <c r="D3496" i="27" s="1"/>
  <c r="D3497" i="27" s="1"/>
  <c r="D3498" i="27" s="1"/>
  <c r="D3499" i="27" s="1"/>
  <c r="D3500" i="27" s="1"/>
  <c r="D3501" i="27" s="1"/>
  <c r="D3502" i="27" s="1"/>
  <c r="D3503" i="27" s="1"/>
  <c r="D3504" i="27" s="1"/>
  <c r="D3505" i="27" s="1"/>
  <c r="D3506" i="27" s="1"/>
  <c r="D3507" i="27" s="1"/>
  <c r="D3508" i="27" s="1"/>
  <c r="D3509" i="27" s="1"/>
  <c r="D3510" i="27" s="1"/>
  <c r="D3511" i="27" s="1"/>
  <c r="D3512" i="27" s="1"/>
  <c r="D3513" i="27" s="1"/>
  <c r="D3514" i="27" s="1"/>
  <c r="D3515" i="27" s="1"/>
  <c r="D3516" i="27" s="1"/>
  <c r="D3517" i="27" s="1"/>
  <c r="D3518" i="27" s="1"/>
  <c r="D3519" i="27" s="1"/>
  <c r="D3520" i="27" s="1"/>
  <c r="D3521" i="27" s="1"/>
  <c r="D3522" i="27" s="1"/>
  <c r="D3523" i="27" s="1"/>
  <c r="D3524" i="27" s="1"/>
  <c r="D3525" i="27" s="1"/>
  <c r="D3526" i="27" s="1"/>
  <c r="D3527" i="27" s="1"/>
  <c r="D3528" i="27" s="1"/>
  <c r="D3529" i="27" s="1"/>
  <c r="D3530" i="27" s="1"/>
  <c r="D3531" i="27" s="1"/>
  <c r="D3532" i="27" s="1"/>
  <c r="D3533" i="27" s="1"/>
  <c r="D3534" i="27" s="1"/>
  <c r="D3535" i="27" s="1"/>
  <c r="D3536" i="27" s="1"/>
  <c r="D3537" i="27" s="1"/>
  <c r="D3538" i="27" s="1"/>
  <c r="D3539" i="27" s="1"/>
  <c r="D3540" i="27" s="1"/>
  <c r="D3541" i="27" s="1"/>
  <c r="D3542" i="27" s="1"/>
  <c r="D3543" i="27" s="1"/>
  <c r="D3544" i="27" s="1"/>
  <c r="D3545" i="27" s="1"/>
  <c r="D3546" i="27" s="1"/>
  <c r="D3547" i="27" s="1"/>
  <c r="D3548" i="27" s="1"/>
  <c r="D3549" i="27" s="1"/>
  <c r="D3550" i="27" s="1"/>
  <c r="D3551" i="27" s="1"/>
  <c r="D3552" i="27" s="1"/>
  <c r="D3553" i="27" s="1"/>
  <c r="D3554" i="27" s="1"/>
  <c r="D3555" i="27" s="1"/>
  <c r="D3556" i="27" s="1"/>
  <c r="D3557" i="27" s="1"/>
  <c r="D3558" i="27" s="1"/>
  <c r="D3559" i="27" s="1"/>
  <c r="D3560" i="27" s="1"/>
  <c r="D3561" i="27" s="1"/>
  <c r="D3562" i="27" s="1"/>
  <c r="D3563" i="27" s="1"/>
  <c r="D3564" i="27" s="1"/>
  <c r="D3565" i="27" s="1"/>
  <c r="D3566" i="27" s="1"/>
  <c r="D3567" i="27" s="1"/>
  <c r="D3568" i="27" s="1"/>
  <c r="D3569" i="27" s="1"/>
  <c r="D3570" i="27" s="1"/>
  <c r="D3571" i="27" s="1"/>
  <c r="D3572" i="27" s="1"/>
  <c r="D3573" i="27" s="1"/>
  <c r="D3574" i="27" s="1"/>
  <c r="D3575" i="27" s="1"/>
  <c r="D3576" i="27" s="1"/>
  <c r="D3577" i="27" s="1"/>
  <c r="D3578" i="27" s="1"/>
  <c r="D3579" i="27" s="1"/>
  <c r="D3580" i="27" s="1"/>
  <c r="D3581" i="27" s="1"/>
  <c r="D3582" i="27" s="1"/>
  <c r="D3583" i="27" s="1"/>
  <c r="D3584" i="27" s="1"/>
  <c r="D3585" i="27" s="1"/>
  <c r="D3586" i="27" s="1"/>
  <c r="D3587" i="27" s="1"/>
  <c r="D3588" i="27" s="1"/>
  <c r="D3589" i="27" s="1"/>
  <c r="D3590" i="27" s="1"/>
  <c r="D3591" i="27" s="1"/>
  <c r="D3592" i="27" s="1"/>
  <c r="D3593" i="27" s="1"/>
  <c r="D3594" i="27" s="1"/>
  <c r="D3595" i="27" s="1"/>
  <c r="D3596" i="27" s="1"/>
  <c r="D3597" i="27" s="1"/>
  <c r="D3598" i="27" s="1"/>
  <c r="D3599" i="27" s="1"/>
  <c r="D3600" i="27" s="1"/>
  <c r="D3601" i="27" s="1"/>
  <c r="D3602" i="27" s="1"/>
  <c r="D3603" i="27" s="1"/>
  <c r="D3604" i="27" s="1"/>
  <c r="D3605" i="27" s="1"/>
  <c r="D3606" i="27" s="1"/>
  <c r="D3607" i="27" s="1"/>
  <c r="D3608" i="27" s="1"/>
  <c r="D3609" i="27" s="1"/>
  <c r="D3610" i="27" s="1"/>
  <c r="D3611" i="27" s="1"/>
  <c r="D3612" i="27" s="1"/>
  <c r="D3613" i="27" s="1"/>
  <c r="D3614" i="27" s="1"/>
  <c r="D3615" i="27" s="1"/>
  <c r="D3616" i="27" s="1"/>
  <c r="D3617" i="27" s="1"/>
  <c r="D3618" i="27" s="1"/>
  <c r="D3619" i="27" s="1"/>
  <c r="D3620" i="27" s="1"/>
  <c r="D3621" i="27" s="1"/>
  <c r="D3622" i="27" s="1"/>
  <c r="D3623" i="27" s="1"/>
  <c r="D3624" i="27" s="1"/>
  <c r="D3625" i="27" s="1"/>
  <c r="D3626" i="27" s="1"/>
  <c r="D3627" i="27" s="1"/>
  <c r="D3628" i="27" s="1"/>
  <c r="D3629" i="27" s="1"/>
  <c r="D3630" i="27" s="1"/>
  <c r="D3631" i="27" s="1"/>
  <c r="D3632" i="27" s="1"/>
  <c r="D3633" i="27" s="1"/>
  <c r="D3634" i="27" s="1"/>
  <c r="D3635" i="27" s="1"/>
  <c r="D3636" i="27" s="1"/>
  <c r="D3637" i="27" s="1"/>
  <c r="D3638" i="27" s="1"/>
  <c r="D3639" i="27" s="1"/>
  <c r="D3640" i="27" s="1"/>
  <c r="D3641" i="27" s="1"/>
  <c r="D3642" i="27" s="1"/>
  <c r="D3643" i="27" s="1"/>
  <c r="D3644" i="27" s="1"/>
  <c r="D3645" i="27" s="1"/>
  <c r="D3646" i="27" s="1"/>
  <c r="D3647" i="27" s="1"/>
  <c r="D3648" i="27" s="1"/>
  <c r="D3649" i="27" s="1"/>
  <c r="D3650" i="27" s="1"/>
  <c r="D3651" i="27" s="1"/>
  <c r="D3652" i="27" s="1"/>
  <c r="D3653" i="27" s="1"/>
  <c r="D3654" i="27" s="1"/>
  <c r="D3655" i="27" s="1"/>
  <c r="D3656" i="27" s="1"/>
  <c r="D3657" i="27" s="1"/>
  <c r="D3658" i="27" s="1"/>
  <c r="D3659" i="27" s="1"/>
  <c r="D3660" i="27" s="1"/>
  <c r="D3661" i="27" s="1"/>
  <c r="D3662" i="27" s="1"/>
  <c r="D3663" i="27" s="1"/>
  <c r="D3664" i="27" s="1"/>
  <c r="D3665" i="27" s="1"/>
  <c r="D3666" i="27" s="1"/>
  <c r="D3667" i="27" s="1"/>
  <c r="D3668" i="27" s="1"/>
  <c r="D3669" i="27" s="1"/>
  <c r="D3670" i="27" s="1"/>
  <c r="D3671" i="27" s="1"/>
  <c r="D3672" i="27" s="1"/>
  <c r="D3673" i="27" s="1"/>
  <c r="D3674" i="27" s="1"/>
  <c r="D3675" i="27" s="1"/>
  <c r="D3676" i="27" s="1"/>
  <c r="D3677" i="27" s="1"/>
  <c r="D3678" i="27" s="1"/>
  <c r="D3679" i="27" s="1"/>
  <c r="D3680" i="27" s="1"/>
  <c r="D3681" i="27" s="1"/>
  <c r="D3682" i="27" s="1"/>
  <c r="D3683" i="27" s="1"/>
  <c r="D3684" i="27" s="1"/>
  <c r="D3685" i="27" s="1"/>
  <c r="D3686" i="27" s="1"/>
  <c r="D3687" i="27" s="1"/>
  <c r="D3688" i="27" s="1"/>
  <c r="D3689" i="27" s="1"/>
  <c r="D3690" i="27" s="1"/>
  <c r="D3691" i="27" s="1"/>
  <c r="D3692" i="27" s="1"/>
  <c r="D3693" i="27" s="1"/>
  <c r="D3694" i="27" s="1"/>
  <c r="D3695" i="27" s="1"/>
  <c r="D3696" i="27" s="1"/>
  <c r="D3697" i="27" s="1"/>
  <c r="D3698" i="27" s="1"/>
  <c r="D3699" i="27" s="1"/>
  <c r="D3700" i="27" s="1"/>
  <c r="D3701" i="27" s="1"/>
  <c r="D3702" i="27" s="1"/>
  <c r="D3703" i="27" s="1"/>
  <c r="D3704" i="27" s="1"/>
  <c r="D3705" i="27" s="1"/>
  <c r="D3706" i="27" s="1"/>
  <c r="D3707" i="27" s="1"/>
  <c r="D3708" i="27" s="1"/>
  <c r="D3709" i="27" s="1"/>
  <c r="D3710" i="27" s="1"/>
  <c r="D3711" i="27" s="1"/>
  <c r="D3712" i="27" s="1"/>
  <c r="D3713" i="27" s="1"/>
  <c r="D3714" i="27" s="1"/>
  <c r="D3715" i="27" s="1"/>
  <c r="D3716" i="27" s="1"/>
  <c r="D3717" i="27" s="1"/>
  <c r="D3718" i="27" s="1"/>
  <c r="D3719" i="27" s="1"/>
  <c r="D3720" i="27" s="1"/>
  <c r="D3721" i="27" s="1"/>
  <c r="D3722" i="27" s="1"/>
  <c r="D3723" i="27" s="1"/>
  <c r="D3724" i="27" s="1"/>
  <c r="D3725" i="27" s="1"/>
  <c r="D3726" i="27" s="1"/>
  <c r="D3727" i="27" s="1"/>
  <c r="D3728" i="27" s="1"/>
  <c r="D3729" i="27" s="1"/>
  <c r="D3730" i="27" s="1"/>
  <c r="D3731" i="27" s="1"/>
  <c r="D3732" i="27" s="1"/>
  <c r="D3733" i="27" s="1"/>
  <c r="D3734" i="27" s="1"/>
  <c r="D3735" i="27" s="1"/>
  <c r="D3736" i="27" s="1"/>
  <c r="D3737" i="27" s="1"/>
  <c r="D3738" i="27" s="1"/>
  <c r="D3739" i="27" s="1"/>
  <c r="D3740" i="27" s="1"/>
  <c r="D3741" i="27" s="1"/>
  <c r="D3742" i="27" s="1"/>
  <c r="D3743" i="27" s="1"/>
  <c r="D3744" i="27" s="1"/>
  <c r="D3745" i="27" s="1"/>
  <c r="D3746" i="27" s="1"/>
  <c r="D3747" i="27" s="1"/>
  <c r="D3748" i="27" s="1"/>
  <c r="D3749" i="27" s="1"/>
  <c r="D3750" i="27" s="1"/>
  <c r="D3751" i="27" s="1"/>
  <c r="D3752" i="27" s="1"/>
  <c r="D3753" i="27" s="1"/>
  <c r="D3754" i="27" s="1"/>
  <c r="D3755" i="27" s="1"/>
  <c r="D3756" i="27" s="1"/>
  <c r="D3757" i="27" s="1"/>
  <c r="D3758" i="27" s="1"/>
  <c r="D3759" i="27" s="1"/>
  <c r="D3760" i="27" s="1"/>
  <c r="D3761" i="27" s="1"/>
  <c r="D3762" i="27" s="1"/>
  <c r="D3763" i="27" s="1"/>
  <c r="D3764" i="27" s="1"/>
  <c r="D3765" i="27" s="1"/>
  <c r="D3766" i="27" s="1"/>
  <c r="D3767" i="27" s="1"/>
  <c r="D3768" i="27" s="1"/>
  <c r="D3769" i="27" s="1"/>
  <c r="D3770" i="27" s="1"/>
  <c r="D3771" i="27" s="1"/>
  <c r="D3772" i="27" s="1"/>
  <c r="D3773" i="27" s="1"/>
  <c r="D3774" i="27" s="1"/>
  <c r="D3775" i="27" s="1"/>
  <c r="D3776" i="27" s="1"/>
  <c r="D3777" i="27" s="1"/>
  <c r="D3778" i="27" s="1"/>
  <c r="D3779" i="27" s="1"/>
  <c r="D3780" i="27" s="1"/>
  <c r="D3781" i="27" s="1"/>
  <c r="D3782" i="27" s="1"/>
  <c r="D3783" i="27" s="1"/>
  <c r="D3784" i="27" s="1"/>
  <c r="D3785" i="27" s="1"/>
  <c r="D3786" i="27" s="1"/>
  <c r="D3787" i="27" s="1"/>
  <c r="D3788" i="27" s="1"/>
  <c r="D3789" i="27" s="1"/>
  <c r="D3790" i="27" s="1"/>
  <c r="D3791" i="27" s="1"/>
  <c r="D3792" i="27" s="1"/>
  <c r="D3793" i="27" s="1"/>
  <c r="D3794" i="27" s="1"/>
  <c r="D3795" i="27" s="1"/>
  <c r="D3796" i="27" s="1"/>
  <c r="D3797" i="27" s="1"/>
  <c r="D3798" i="27" s="1"/>
  <c r="D3799" i="27" s="1"/>
  <c r="D3800" i="27" s="1"/>
  <c r="D3801" i="27" s="1"/>
  <c r="D3802" i="27" s="1"/>
  <c r="D3803" i="27" s="1"/>
  <c r="D3804" i="27" s="1"/>
  <c r="D3805" i="27" s="1"/>
  <c r="D3806" i="27" s="1"/>
  <c r="D3807" i="27" s="1"/>
  <c r="D3808" i="27" s="1"/>
  <c r="D3809" i="27" s="1"/>
  <c r="D3810" i="27" s="1"/>
  <c r="D3811" i="27" s="1"/>
  <c r="D3812" i="27" s="1"/>
  <c r="D3813" i="27" s="1"/>
  <c r="D3814" i="27" s="1"/>
  <c r="D3815" i="27" s="1"/>
  <c r="D3816" i="27" s="1"/>
  <c r="D3817" i="27" s="1"/>
  <c r="D3818" i="27" s="1"/>
  <c r="D3819" i="27" s="1"/>
  <c r="D3820" i="27" s="1"/>
  <c r="D3821" i="27" s="1"/>
  <c r="D3822" i="27" s="1"/>
  <c r="D3823" i="27" s="1"/>
  <c r="D3824" i="27" s="1"/>
  <c r="D3825" i="27" s="1"/>
  <c r="G769" i="27"/>
  <c r="F2872" i="27" l="1"/>
  <c r="F2873" i="27" s="1"/>
  <c r="F2874" i="27" s="1"/>
  <c r="F2875" i="27" s="1"/>
  <c r="F2876" i="27" s="1"/>
  <c r="F3396" i="27"/>
  <c r="B2808" i="27"/>
  <c r="I255" i="27"/>
  <c r="C254" i="27"/>
  <c r="C513" i="27"/>
  <c r="V2" i="27" s="1"/>
  <c r="H411" i="27"/>
  <c r="H412" i="27"/>
  <c r="H184" i="27"/>
  <c r="B108" i="1" a="1"/>
  <c r="B108" i="1" s="1"/>
  <c r="B109" i="1" s="1" a="1"/>
  <c r="B109" i="1" s="1"/>
  <c r="B110" i="1" s="1" a="1"/>
  <c r="B110" i="1" s="1"/>
  <c r="B111" i="1" s="1" a="1"/>
  <c r="B111" i="1" s="1"/>
  <c r="B112" i="1" s="1" a="1"/>
  <c r="B112" i="1" s="1"/>
  <c r="B113" i="1" s="1" a="1"/>
  <c r="B113" i="1" s="1"/>
  <c r="B114" i="1" s="1" a="1"/>
  <c r="B114" i="1" s="1"/>
  <c r="B115" i="1" s="1" a="1"/>
  <c r="B115" i="1" s="1"/>
  <c r="B116" i="1" s="1" a="1"/>
  <c r="B116" i="1" s="1"/>
  <c r="B117" i="1" s="1" a="1"/>
  <c r="B117" i="1" s="1"/>
  <c r="Q46" i="32"/>
  <c r="Q657" i="32"/>
  <c r="AT53" i="33"/>
  <c r="AD29" i="34"/>
  <c r="F3" i="19"/>
  <c r="G770" i="27"/>
  <c r="F3397" i="27" l="1"/>
  <c r="F2877" i="27"/>
  <c r="F2878" i="27"/>
  <c r="F2879" i="27" s="1"/>
  <c r="F2880" i="27" s="1"/>
  <c r="F2881" i="27" s="1"/>
  <c r="F2882" i="27" s="1"/>
  <c r="B2809" i="27"/>
  <c r="C255" i="27"/>
  <c r="I256" i="27"/>
  <c r="T2" i="27"/>
  <c r="AU11" i="33" s="1"/>
  <c r="AU13" i="33" s="1"/>
  <c r="AU15" i="33" s="1"/>
  <c r="W2" i="27"/>
  <c r="E520" i="27" s="1"/>
  <c r="E521" i="27" s="1"/>
  <c r="E522" i="27" s="1"/>
  <c r="E523" i="27" s="1"/>
  <c r="E524" i="27" s="1"/>
  <c r="E525" i="27" s="1"/>
  <c r="E526" i="27" s="1"/>
  <c r="E527" i="27" s="1"/>
  <c r="E528" i="27" s="1"/>
  <c r="E529" i="27" s="1"/>
  <c r="E530" i="27" s="1"/>
  <c r="E531" i="27" s="1"/>
  <c r="E532" i="27" s="1"/>
  <c r="E533" i="27" s="1"/>
  <c r="E534" i="27" s="1"/>
  <c r="E535" i="27" s="1"/>
  <c r="E536" i="27" s="1"/>
  <c r="E537" i="27" s="1"/>
  <c r="E538" i="27" s="1"/>
  <c r="E539" i="27" s="1"/>
  <c r="E540" i="27" s="1"/>
  <c r="E541" i="27" s="1"/>
  <c r="E542" i="27" s="1"/>
  <c r="E543" i="27" s="1"/>
  <c r="E544" i="27" s="1"/>
  <c r="E545" i="27" s="1"/>
  <c r="E546" i="27" s="1"/>
  <c r="E547" i="27" s="1"/>
  <c r="E548" i="27" s="1"/>
  <c r="E549" i="27" s="1"/>
  <c r="E550" i="27" s="1"/>
  <c r="E551" i="27" s="1"/>
  <c r="E552" i="27" s="1"/>
  <c r="E553" i="27" s="1"/>
  <c r="E554" i="27" s="1"/>
  <c r="E555" i="27" s="1"/>
  <c r="E556" i="27" s="1"/>
  <c r="E557" i="27" s="1"/>
  <c r="E558" i="27" s="1"/>
  <c r="E559" i="27" s="1"/>
  <c r="E560" i="27" s="1"/>
  <c r="E561" i="27" s="1"/>
  <c r="E562" i="27" s="1"/>
  <c r="E563" i="27" s="1"/>
  <c r="E564" i="27" s="1"/>
  <c r="E565" i="27" s="1"/>
  <c r="E566" i="27" s="1"/>
  <c r="E567" i="27" s="1"/>
  <c r="E568" i="27" s="1"/>
  <c r="E569" i="27" s="1"/>
  <c r="E570" i="27" s="1"/>
  <c r="E571" i="27" s="1"/>
  <c r="E572" i="27" s="1"/>
  <c r="E573" i="27" s="1"/>
  <c r="E574" i="27" s="1"/>
  <c r="E575" i="27" s="1"/>
  <c r="E576" i="27" s="1"/>
  <c r="E577" i="27" s="1"/>
  <c r="E578" i="27" s="1"/>
  <c r="E579" i="27" s="1"/>
  <c r="E580" i="27" s="1"/>
  <c r="E581" i="27" s="1"/>
  <c r="E582" i="27" s="1"/>
  <c r="E583" i="27" s="1"/>
  <c r="E584" i="27" s="1"/>
  <c r="E585" i="27" s="1"/>
  <c r="E586" i="27" s="1"/>
  <c r="E587" i="27" s="1"/>
  <c r="E588" i="27" s="1"/>
  <c r="E589" i="27" s="1"/>
  <c r="E590" i="27" s="1"/>
  <c r="E591" i="27" s="1"/>
  <c r="E592" i="27" s="1"/>
  <c r="E593" i="27" s="1"/>
  <c r="E594" i="27" s="1"/>
  <c r="E595" i="27" s="1"/>
  <c r="E596" i="27" s="1"/>
  <c r="E597" i="27" s="1"/>
  <c r="E598" i="27" s="1"/>
  <c r="E599" i="27" s="1"/>
  <c r="E600" i="27" s="1"/>
  <c r="E601" i="27" s="1"/>
  <c r="E602" i="27" s="1"/>
  <c r="E603" i="27" s="1"/>
  <c r="E604" i="27" s="1"/>
  <c r="E605" i="27" s="1"/>
  <c r="E606" i="27" s="1"/>
  <c r="E607" i="27" s="1"/>
  <c r="E608" i="27" s="1"/>
  <c r="E609" i="27" s="1"/>
  <c r="E610" i="27" s="1"/>
  <c r="E611" i="27" s="1"/>
  <c r="E612" i="27" s="1"/>
  <c r="E613" i="27" s="1"/>
  <c r="E614" i="27" s="1"/>
  <c r="E615" i="27" s="1"/>
  <c r="E616" i="27" s="1"/>
  <c r="E617" i="27" s="1"/>
  <c r="E618" i="27" s="1"/>
  <c r="E619" i="27" s="1"/>
  <c r="E620" i="27" s="1"/>
  <c r="E621" i="27" s="1"/>
  <c r="E622" i="27" s="1"/>
  <c r="E623" i="27" s="1"/>
  <c r="E624" i="27" s="1"/>
  <c r="E625" i="27" s="1"/>
  <c r="E626" i="27" s="1"/>
  <c r="E627" i="27" s="1"/>
  <c r="E628" i="27" s="1"/>
  <c r="E629" i="27" s="1"/>
  <c r="E630" i="27" s="1"/>
  <c r="E631" i="27" s="1"/>
  <c r="E632" i="27" s="1"/>
  <c r="E633" i="27" s="1"/>
  <c r="E634" i="27" s="1"/>
  <c r="E635" i="27" s="1"/>
  <c r="E636" i="27" s="1"/>
  <c r="E637" i="27" s="1"/>
  <c r="E638" i="27" s="1"/>
  <c r="E639" i="27" s="1"/>
  <c r="E640" i="27" s="1"/>
  <c r="E641" i="27" s="1"/>
  <c r="E642" i="27" s="1"/>
  <c r="E643" i="27" s="1"/>
  <c r="E644" i="27" s="1"/>
  <c r="E645" i="27" s="1"/>
  <c r="E646" i="27" s="1"/>
  <c r="E647" i="27" s="1"/>
  <c r="E648" i="27" s="1"/>
  <c r="E649" i="27" s="1"/>
  <c r="E650" i="27" s="1"/>
  <c r="E651" i="27" s="1"/>
  <c r="E652" i="27" s="1"/>
  <c r="E653" i="27" s="1"/>
  <c r="E654" i="27" s="1"/>
  <c r="E655" i="27" s="1"/>
  <c r="E656" i="27" s="1"/>
  <c r="E657" i="27" s="1"/>
  <c r="E658" i="27" s="1"/>
  <c r="E659" i="27" s="1"/>
  <c r="E660" i="27" s="1"/>
  <c r="E661" i="27" s="1"/>
  <c r="E662" i="27" s="1"/>
  <c r="E663" i="27" s="1"/>
  <c r="E664" i="27" s="1"/>
  <c r="E665" i="27" s="1"/>
  <c r="E666" i="27" s="1"/>
  <c r="E667" i="27" s="1"/>
  <c r="E668" i="27" s="1"/>
  <c r="E669" i="27" s="1"/>
  <c r="E670" i="27" s="1"/>
  <c r="E671" i="27" s="1"/>
  <c r="E672" i="27" s="1"/>
  <c r="E673" i="27" s="1"/>
  <c r="E674" i="27" s="1"/>
  <c r="E675" i="27" s="1"/>
  <c r="E676" i="27" s="1"/>
  <c r="E677" i="27" s="1"/>
  <c r="E678" i="27" s="1"/>
  <c r="E679" i="27" s="1"/>
  <c r="E680" i="27" s="1"/>
  <c r="E681" i="27" s="1"/>
  <c r="E682" i="27" s="1"/>
  <c r="E683" i="27" s="1"/>
  <c r="E684" i="27" s="1"/>
  <c r="E685" i="27" s="1"/>
  <c r="E686" i="27" s="1"/>
  <c r="E687" i="27" s="1"/>
  <c r="E688" i="27" s="1"/>
  <c r="E689" i="27" s="1"/>
  <c r="E690" i="27" s="1"/>
  <c r="E691" i="27" s="1"/>
  <c r="E692" i="27" s="1"/>
  <c r="E693" i="27" s="1"/>
  <c r="E694" i="27" s="1"/>
  <c r="E695" i="27" s="1"/>
  <c r="E696" i="27" s="1"/>
  <c r="E697" i="27" s="1"/>
  <c r="E698" i="27" s="1"/>
  <c r="E699" i="27" s="1"/>
  <c r="E700" i="27" s="1"/>
  <c r="H413" i="27"/>
  <c r="H185" i="27"/>
  <c r="Q48" i="32"/>
  <c r="Q659" i="32"/>
  <c r="AT55" i="33"/>
  <c r="AD30" i="34"/>
  <c r="G771" i="27"/>
  <c r="AU17" i="33" l="1"/>
  <c r="AU19" i="33" s="1"/>
  <c r="AU21" i="33" s="1"/>
  <c r="AU23" i="33" s="1"/>
  <c r="AU25" i="33" s="1"/>
  <c r="AU27" i="33" s="1"/>
  <c r="AU29" i="33" s="1"/>
  <c r="AU31" i="33" s="1"/>
  <c r="AU33" i="33" s="1"/>
  <c r="AU35" i="33" s="1"/>
  <c r="AU37" i="33" s="1"/>
  <c r="AU39" i="33" s="1"/>
  <c r="AU41" i="33" s="1"/>
  <c r="AU43" i="33" s="1"/>
  <c r="AU45" i="33" s="1"/>
  <c r="AU47" i="33" s="1"/>
  <c r="AU49" i="33" s="1"/>
  <c r="AU51" i="33" s="1"/>
  <c r="AU53" i="33" s="1"/>
  <c r="AU55" i="33" s="1"/>
  <c r="AU57" i="33" s="1"/>
  <c r="AU59" i="33" s="1"/>
  <c r="AU61" i="33" s="1"/>
  <c r="AU63" i="33" s="1"/>
  <c r="AU65" i="33" s="1"/>
  <c r="AU67" i="33" s="1"/>
  <c r="F3398" i="27"/>
  <c r="F2883" i="27"/>
  <c r="F2884" i="27"/>
  <c r="F2885" i="27" s="1"/>
  <c r="F2886" i="27" s="1"/>
  <c r="F2887" i="27" s="1"/>
  <c r="F2888" i="27" s="1"/>
  <c r="B2810" i="27"/>
  <c r="E701" i="27"/>
  <c r="C256" i="27"/>
  <c r="I257" i="27"/>
  <c r="H414" i="27"/>
  <c r="H186" i="27"/>
  <c r="Q50" i="32"/>
  <c r="Q661" i="32"/>
  <c r="AT57" i="33"/>
  <c r="AD31" i="34"/>
  <c r="F2" i="19"/>
  <c r="O15" i="33"/>
  <c r="G772" i="27"/>
  <c r="F3399" i="27" l="1"/>
  <c r="F3400" i="27"/>
  <c r="F2889" i="27"/>
  <c r="F2890" i="27"/>
  <c r="F2891" i="27" s="1"/>
  <c r="F2892" i="27" s="1"/>
  <c r="F2893" i="27" s="1"/>
  <c r="F2894" i="27" s="1"/>
  <c r="B2811" i="27"/>
  <c r="C257" i="27"/>
  <c r="E702" i="27"/>
  <c r="H415" i="27"/>
  <c r="H187" i="27"/>
  <c r="H188" i="27"/>
  <c r="Q52" i="32"/>
  <c r="Q663" i="32"/>
  <c r="AT59" i="33"/>
  <c r="AD32" i="34"/>
  <c r="A33" i="29"/>
  <c r="G773" i="27"/>
  <c r="F3401" i="27" l="1"/>
  <c r="F2895" i="27"/>
  <c r="F2896" i="27"/>
  <c r="F2897" i="27" s="1"/>
  <c r="F2898" i="27" s="1"/>
  <c r="F2899" i="27" s="1"/>
  <c r="F2900" i="27" s="1"/>
  <c r="B2812" i="27"/>
  <c r="E703" i="27"/>
  <c r="H416" i="27"/>
  <c r="H189" i="27"/>
  <c r="Q54" i="32"/>
  <c r="Q665" i="32"/>
  <c r="AT61" i="33"/>
  <c r="AD33" i="34"/>
  <c r="F3402" i="27" l="1"/>
  <c r="F2901" i="27"/>
  <c r="F2902" i="27"/>
  <c r="F2903" i="27" s="1"/>
  <c r="F2904" i="27" s="1"/>
  <c r="F2905" i="27" s="1"/>
  <c r="F2906" i="27" s="1"/>
  <c r="B2813" i="27"/>
  <c r="E704" i="27"/>
  <c r="H417" i="27"/>
  <c r="H418" i="27"/>
  <c r="H190" i="27"/>
  <c r="Q56" i="32"/>
  <c r="Q667" i="32"/>
  <c r="AT63" i="33"/>
  <c r="AD34" i="34"/>
  <c r="K227" i="27"/>
  <c r="F3403" i="27" l="1"/>
  <c r="F2908" i="27"/>
  <c r="F2909" i="27" s="1"/>
  <c r="F2910" i="27" s="1"/>
  <c r="F2911" i="27" s="1"/>
  <c r="F2912" i="27" s="1"/>
  <c r="F2907" i="27"/>
  <c r="B2814" i="27"/>
  <c r="E705" i="27"/>
  <c r="H419" i="27"/>
  <c r="H191" i="27"/>
  <c r="Q58" i="32"/>
  <c r="Q669" i="32"/>
  <c r="AT65" i="33"/>
  <c r="AD35" i="34"/>
  <c r="F3404" i="27" l="1"/>
  <c r="F2914" i="27"/>
  <c r="F2915" i="27" s="1"/>
  <c r="F2916" i="27" s="1"/>
  <c r="F2917" i="27" s="1"/>
  <c r="F2918" i="27" s="1"/>
  <c r="F2913" i="27"/>
  <c r="B2815" i="27"/>
  <c r="E706" i="27"/>
  <c r="H420" i="27"/>
  <c r="H192" i="27"/>
  <c r="Q60" i="32"/>
  <c r="Q671" i="32"/>
  <c r="AT67" i="33"/>
  <c r="AD36" i="34"/>
  <c r="F3406" i="27" l="1"/>
  <c r="F3405" i="27"/>
  <c r="F2919" i="27"/>
  <c r="F2920" i="27"/>
  <c r="F2921" i="27" s="1"/>
  <c r="F2922" i="27" s="1"/>
  <c r="F2923" i="27" s="1"/>
  <c r="F2924" i="27" s="1"/>
  <c r="B2816" i="27"/>
  <c r="E707" i="27"/>
  <c r="H421" i="27"/>
  <c r="H194" i="27"/>
  <c r="H193" i="27"/>
  <c r="Q62" i="32"/>
  <c r="Q673" i="32"/>
  <c r="AD37" i="34"/>
  <c r="F3407" i="27" l="1"/>
  <c r="F2925" i="27"/>
  <c r="F2926" i="27"/>
  <c r="F2927" i="27" s="1"/>
  <c r="F2928" i="27" s="1"/>
  <c r="F2929" i="27" s="1"/>
  <c r="F2930" i="27" s="1"/>
  <c r="B2817" i="27"/>
  <c r="E708" i="27"/>
  <c r="H422" i="27"/>
  <c r="H195" i="27"/>
  <c r="Q64" i="32"/>
  <c r="Q675" i="32"/>
  <c r="AD38" i="34"/>
  <c r="F3408" i="27" l="1"/>
  <c r="F2931" i="27"/>
  <c r="F2932" i="27"/>
  <c r="F2933" i="27" s="1"/>
  <c r="F2934" i="27" s="1"/>
  <c r="F2935" i="27" s="1"/>
  <c r="F2936" i="27" s="1"/>
  <c r="B2818" i="27"/>
  <c r="E709" i="27"/>
  <c r="H424" i="27"/>
  <c r="H423" i="27"/>
  <c r="H196" i="27"/>
  <c r="Q66" i="32"/>
  <c r="Q677" i="32"/>
  <c r="AD39" i="34"/>
  <c r="F3409" i="27" l="1"/>
  <c r="F2938" i="27"/>
  <c r="F2939" i="27" s="1"/>
  <c r="F2940" i="27" s="1"/>
  <c r="F2941" i="27" s="1"/>
  <c r="F2942" i="27" s="1"/>
  <c r="F2937" i="27"/>
  <c r="B2819" i="27"/>
  <c r="E710" i="27"/>
  <c r="H425" i="27"/>
  <c r="H197" i="27"/>
  <c r="Q68" i="32"/>
  <c r="Q679" i="32"/>
  <c r="AD40" i="34"/>
  <c r="E43" i="27"/>
  <c r="F3410" i="27" l="1"/>
  <c r="F2944" i="27"/>
  <c r="F2945" i="27" s="1"/>
  <c r="F2946" i="27" s="1"/>
  <c r="F2947" i="27" s="1"/>
  <c r="F2948" i="27" s="1"/>
  <c r="F2943" i="27"/>
  <c r="B2820" i="27"/>
  <c r="E711" i="27"/>
  <c r="H426" i="27"/>
  <c r="H198" i="27"/>
  <c r="Q70" i="32"/>
  <c r="N43" i="27"/>
  <c r="I43" i="27"/>
  <c r="K43" i="27"/>
  <c r="M43" i="27"/>
  <c r="J43" i="27"/>
  <c r="Q681" i="32"/>
  <c r="AD41" i="34"/>
  <c r="H43" i="27"/>
  <c r="L27" i="16"/>
  <c r="L26" i="16"/>
  <c r="F3412" i="27" l="1"/>
  <c r="F3411" i="27"/>
  <c r="F2949" i="27"/>
  <c r="F2950" i="27"/>
  <c r="F2951" i="27" s="1"/>
  <c r="F2952" i="27" s="1"/>
  <c r="F2953" i="27" s="1"/>
  <c r="F2954" i="27" s="1"/>
  <c r="B2821" i="27"/>
  <c r="E712" i="27"/>
  <c r="H427" i="27"/>
  <c r="H200" i="27"/>
  <c r="H199" i="27"/>
  <c r="Q72" i="32"/>
  <c r="A43" i="27"/>
  <c r="Q683" i="32"/>
  <c r="AD42" i="34"/>
  <c r="F3413" i="27" l="1"/>
  <c r="F2956" i="27"/>
  <c r="F2957" i="27" s="1"/>
  <c r="F2958" i="27" s="1"/>
  <c r="F2959" i="27" s="1"/>
  <c r="F2960" i="27" s="1"/>
  <c r="F2955" i="27"/>
  <c r="B2822" i="27"/>
  <c r="E713" i="27"/>
  <c r="H428" i="27"/>
  <c r="H201" i="27"/>
  <c r="Q74" i="32"/>
  <c r="Q685" i="32"/>
  <c r="AD43" i="34"/>
  <c r="F3414" i="27" l="1"/>
  <c r="F2962" i="27"/>
  <c r="F2963" i="27" s="1"/>
  <c r="F2964" i="27" s="1"/>
  <c r="F2965" i="27" s="1"/>
  <c r="F2966" i="27" s="1"/>
  <c r="F2961" i="27"/>
  <c r="B2823" i="27"/>
  <c r="E714" i="27"/>
  <c r="H430" i="27"/>
  <c r="H429" i="27"/>
  <c r="H202" i="27"/>
  <c r="Q76" i="32"/>
  <c r="Q687" i="32"/>
  <c r="AD44" i="34"/>
  <c r="F3415" i="27" l="1"/>
  <c r="F2967" i="27"/>
  <c r="F2968" i="27"/>
  <c r="F2969" i="27" s="1"/>
  <c r="F2970" i="27" s="1"/>
  <c r="F2971" i="27" s="1"/>
  <c r="F2972" i="27" s="1"/>
  <c r="B2824" i="27"/>
  <c r="E715" i="27"/>
  <c r="H431" i="27"/>
  <c r="H203" i="27"/>
  <c r="Q78" i="32"/>
  <c r="Q689" i="32"/>
  <c r="AD45" i="34"/>
  <c r="F3416" i="27" l="1"/>
  <c r="F2973" i="27"/>
  <c r="F2974" i="27"/>
  <c r="F2975" i="27" s="1"/>
  <c r="F2976" i="27" s="1"/>
  <c r="F2977" i="27" s="1"/>
  <c r="F2978" i="27" s="1"/>
  <c r="B2825" i="27"/>
  <c r="E716" i="27"/>
  <c r="H432" i="27"/>
  <c r="H204" i="27"/>
  <c r="Q80" i="32"/>
  <c r="Q691" i="32"/>
  <c r="AD46" i="34"/>
  <c r="F87" i="16"/>
  <c r="F3417" i="27" l="1"/>
  <c r="F3418" i="27"/>
  <c r="F2980" i="27"/>
  <c r="F2981" i="27" s="1"/>
  <c r="F2982" i="27" s="1"/>
  <c r="F2983" i="27" s="1"/>
  <c r="F2984" i="27" s="1"/>
  <c r="F2979" i="27"/>
  <c r="B2826" i="27"/>
  <c r="E717" i="27"/>
  <c r="H433" i="27"/>
  <c r="H205" i="27"/>
  <c r="H206" i="27"/>
  <c r="Q82" i="32"/>
  <c r="Q693" i="32"/>
  <c r="AD47" i="34"/>
  <c r="F253" i="16"/>
  <c r="I253" i="16" s="1"/>
  <c r="F3419" i="27" l="1"/>
  <c r="F2986" i="27"/>
  <c r="F2987" i="27" s="1"/>
  <c r="F2988" i="27" s="1"/>
  <c r="F2989" i="27" s="1"/>
  <c r="F2990" i="27" s="1"/>
  <c r="F2985" i="27"/>
  <c r="B2827" i="27"/>
  <c r="E718" i="27"/>
  <c r="H434" i="27"/>
  <c r="H207" i="27"/>
  <c r="Q84" i="32"/>
  <c r="Q695" i="32"/>
  <c r="AD48" i="34"/>
  <c r="F3420" i="27" l="1"/>
  <c r="F2991" i="27"/>
  <c r="F2992" i="27"/>
  <c r="F2993" i="27" s="1"/>
  <c r="F2994" i="27" s="1"/>
  <c r="F2995" i="27" s="1"/>
  <c r="F2996" i="27" s="1"/>
  <c r="B2828" i="27"/>
  <c r="E719" i="27"/>
  <c r="H435" i="27"/>
  <c r="H436" i="27"/>
  <c r="H208" i="27"/>
  <c r="Q86" i="32"/>
  <c r="Q697" i="32"/>
  <c r="AD49" i="34"/>
  <c r="F3421" i="27" l="1"/>
  <c r="F2997" i="27"/>
  <c r="F2998" i="27"/>
  <c r="F2999" i="27" s="1"/>
  <c r="F3000" i="27" s="1"/>
  <c r="F3001" i="27" s="1"/>
  <c r="F3002" i="27" s="1"/>
  <c r="B2829" i="27"/>
  <c r="E720" i="27"/>
  <c r="H437" i="27"/>
  <c r="H209" i="27"/>
  <c r="Q88" i="32"/>
  <c r="Q699" i="32"/>
  <c r="AD50" i="34"/>
  <c r="B25" i="29"/>
  <c r="F3422" i="27" l="1"/>
  <c r="F3004" i="27"/>
  <c r="F3005" i="27" s="1"/>
  <c r="F3006" i="27" s="1"/>
  <c r="F3007" i="27" s="1"/>
  <c r="F3008" i="27" s="1"/>
  <c r="F3003" i="27"/>
  <c r="B2830" i="27"/>
  <c r="E721" i="27"/>
  <c r="H438" i="27"/>
  <c r="H210" i="27"/>
  <c r="Q90" i="32"/>
  <c r="Q701" i="32"/>
  <c r="AD51" i="34"/>
  <c r="F3423" i="27" l="1"/>
  <c r="F3424" i="27"/>
  <c r="F3010" i="27"/>
  <c r="F3011" i="27" s="1"/>
  <c r="F3012" i="27" s="1"/>
  <c r="F3013" i="27" s="1"/>
  <c r="F3014" i="27" s="1"/>
  <c r="F3009" i="27"/>
  <c r="B2831" i="27"/>
  <c r="E722" i="27"/>
  <c r="H439" i="27"/>
  <c r="H212" i="27"/>
  <c r="H211" i="27"/>
  <c r="Q92" i="32"/>
  <c r="Q703" i="32"/>
  <c r="AD52" i="34"/>
  <c r="F3425" i="27" l="1"/>
  <c r="F3016" i="27"/>
  <c r="F3017" i="27" s="1"/>
  <c r="F3018" i="27" s="1"/>
  <c r="F3019" i="27" s="1"/>
  <c r="F3020" i="27" s="1"/>
  <c r="F3015" i="27"/>
  <c r="B2832" i="27"/>
  <c r="E723" i="27"/>
  <c r="H440" i="27"/>
  <c r="H213" i="27"/>
  <c r="Q94" i="32"/>
  <c r="Q705" i="32"/>
  <c r="AD53" i="34"/>
  <c r="H2" i="29"/>
  <c r="F3426" i="27" l="1"/>
  <c r="F3022" i="27"/>
  <c r="F3023" i="27" s="1"/>
  <c r="F3024" i="27" s="1"/>
  <c r="F3025" i="27" s="1"/>
  <c r="F3026" i="27" s="1"/>
  <c r="F3021" i="27"/>
  <c r="B2833" i="27"/>
  <c r="E724" i="27"/>
  <c r="H441" i="27"/>
  <c r="H442" i="27"/>
  <c r="H214" i="27"/>
  <c r="Q96" i="32"/>
  <c r="Q707" i="32"/>
  <c r="AD54" i="34"/>
  <c r="G2" i="29"/>
  <c r="F2" i="29"/>
  <c r="F3427" i="27" l="1"/>
  <c r="F3028" i="27"/>
  <c r="F3029" i="27" s="1"/>
  <c r="F3030" i="27" s="1"/>
  <c r="F3031" i="27" s="1"/>
  <c r="F3032" i="27" s="1"/>
  <c r="F3027" i="27"/>
  <c r="B2834" i="27"/>
  <c r="E725" i="27"/>
  <c r="H443" i="27"/>
  <c r="H215" i="27"/>
  <c r="Q98" i="32"/>
  <c r="Q709" i="32"/>
  <c r="AD55" i="34"/>
  <c r="G3" i="29"/>
  <c r="F3" i="29"/>
  <c r="E2" i="29"/>
  <c r="D2" i="29"/>
  <c r="D3" i="29" s="1"/>
  <c r="F3428" i="27" l="1"/>
  <c r="F3034" i="27"/>
  <c r="F3035" i="27" s="1"/>
  <c r="F3036" i="27" s="1"/>
  <c r="F3037" i="27" s="1"/>
  <c r="F3038" i="27" s="1"/>
  <c r="F3033" i="27"/>
  <c r="B2835" i="27"/>
  <c r="E726" i="27"/>
  <c r="H444" i="27"/>
  <c r="H216" i="27"/>
  <c r="Q100" i="32"/>
  <c r="Q711" i="32"/>
  <c r="AD56" i="34"/>
  <c r="B9" i="29"/>
  <c r="E3" i="29"/>
  <c r="C2" i="29"/>
  <c r="C3" i="29" s="1"/>
  <c r="F3429" i="27" l="1"/>
  <c r="F3430" i="27"/>
  <c r="F3040" i="27"/>
  <c r="F3041" i="27" s="1"/>
  <c r="F3042" i="27" s="1"/>
  <c r="F3043" i="27" s="1"/>
  <c r="F3044" i="27" s="1"/>
  <c r="F3039" i="27"/>
  <c r="B2836" i="27"/>
  <c r="E727" i="27"/>
  <c r="H445" i="27"/>
  <c r="H218" i="27"/>
  <c r="H217" i="27"/>
  <c r="Q102" i="32"/>
  <c r="Q713" i="32"/>
  <c r="AD57" i="34"/>
  <c r="B10" i="29"/>
  <c r="C10" i="29" s="1"/>
  <c r="C9" i="29"/>
  <c r="B2" i="29"/>
  <c r="B3" i="29" s="1"/>
  <c r="F3431" i="27" l="1"/>
  <c r="F3046" i="27"/>
  <c r="F3047" i="27" s="1"/>
  <c r="F3048" i="27" s="1"/>
  <c r="F3049" i="27" s="1"/>
  <c r="F3050" i="27" s="1"/>
  <c r="F3045" i="27"/>
  <c r="B2837" i="27"/>
  <c r="E728" i="27"/>
  <c r="H446" i="27"/>
  <c r="H447" i="27" s="1"/>
  <c r="H219" i="27"/>
  <c r="Q104" i="32"/>
  <c r="Q715" i="32"/>
  <c r="AD58" i="34"/>
  <c r="B23" i="29"/>
  <c r="F3432" i="27" l="1"/>
  <c r="F3052" i="27"/>
  <c r="F3053" i="27" s="1"/>
  <c r="F3054" i="27" s="1"/>
  <c r="F3055" i="27" s="1"/>
  <c r="F3056" i="27" s="1"/>
  <c r="F3051" i="27"/>
  <c r="B2838" i="27"/>
  <c r="E729" i="27"/>
  <c r="H220" i="27"/>
  <c r="Q106" i="32"/>
  <c r="Q717" i="32"/>
  <c r="AD59" i="34"/>
  <c r="F3433" i="27" l="1"/>
  <c r="F3057" i="27"/>
  <c r="F3058" i="27"/>
  <c r="F3059" i="27" s="1"/>
  <c r="F3060" i="27" s="1"/>
  <c r="F3061" i="27" s="1"/>
  <c r="F3062" i="27" s="1"/>
  <c r="B2839" i="27"/>
  <c r="E730" i="27"/>
  <c r="H221" i="27"/>
  <c r="Q108" i="32"/>
  <c r="Q719" i="32"/>
  <c r="AD60" i="34"/>
  <c r="F3434" i="27" l="1"/>
  <c r="F3064" i="27"/>
  <c r="F3065" i="27" s="1"/>
  <c r="F3066" i="27" s="1"/>
  <c r="F3067" i="27" s="1"/>
  <c r="F3068" i="27" s="1"/>
  <c r="F3063" i="27"/>
  <c r="B2840" i="27"/>
  <c r="E731" i="27"/>
  <c r="H222" i="27"/>
  <c r="H223" i="27" s="1"/>
  <c r="Q110" i="32"/>
  <c r="Q721" i="32"/>
  <c r="AD61" i="34"/>
  <c r="R2" i="28"/>
  <c r="E2" i="28" s="1"/>
  <c r="F3435" i="27" l="1"/>
  <c r="F3436" i="27"/>
  <c r="F3070" i="27"/>
  <c r="F3071" i="27" s="1"/>
  <c r="F3072" i="27" s="1"/>
  <c r="F3073" i="27" s="1"/>
  <c r="F3074" i="27" s="1"/>
  <c r="F3069" i="27"/>
  <c r="B2841" i="27"/>
  <c r="E732" i="27"/>
  <c r="C2" i="28"/>
  <c r="N2" i="28" s="1"/>
  <c r="A2" i="28" s="1"/>
  <c r="Q112" i="32"/>
  <c r="F2" i="28"/>
  <c r="Q723" i="32"/>
  <c r="AD62" i="34"/>
  <c r="D2" i="28"/>
  <c r="F3437" i="27" l="1"/>
  <c r="F3076" i="27"/>
  <c r="F3077" i="27" s="1"/>
  <c r="F3078" i="27" s="1"/>
  <c r="F3079" i="27" s="1"/>
  <c r="F3080" i="27" s="1"/>
  <c r="F3075" i="27"/>
  <c r="B2842" i="27"/>
  <c r="E733" i="27"/>
  <c r="K2" i="28"/>
  <c r="I2" i="28"/>
  <c r="J2" i="28"/>
  <c r="H2" i="28"/>
  <c r="B2" i="28"/>
  <c r="Q114" i="32"/>
  <c r="Q725" i="32"/>
  <c r="AD63" i="34"/>
  <c r="F3438" i="27" l="1"/>
  <c r="F3081" i="27"/>
  <c r="F3082" i="27"/>
  <c r="F3083" i="27" s="1"/>
  <c r="F3084" i="27" s="1"/>
  <c r="F3085" i="27" s="1"/>
  <c r="F3086" i="27" s="1"/>
  <c r="B2843" i="27"/>
  <c r="E734" i="27"/>
  <c r="Q116" i="32"/>
  <c r="Q727" i="32"/>
  <c r="AD64" i="34"/>
  <c r="J41" i="27"/>
  <c r="J224" i="27"/>
  <c r="J225" i="27"/>
  <c r="J264" i="27"/>
  <c r="J265" i="27"/>
  <c r="J450" i="27"/>
  <c r="J451" i="27"/>
  <c r="J516" i="27"/>
  <c r="J517" i="27"/>
  <c r="J881" i="27"/>
  <c r="J2695" i="27"/>
  <c r="J2696" i="27"/>
  <c r="J2697" i="27"/>
  <c r="J2860" i="27"/>
  <c r="J2861" i="27"/>
  <c r="J2862" i="27"/>
  <c r="J2863" i="27"/>
  <c r="J2864" i="27"/>
  <c r="J2865" i="27"/>
  <c r="J3826" i="27"/>
  <c r="J3827" i="27"/>
  <c r="J3828" i="27"/>
  <c r="J3829" i="27"/>
  <c r="J3830" i="27"/>
  <c r="J3831" i="27"/>
  <c r="J3832" i="27"/>
  <c r="J3833" i="27"/>
  <c r="J3834" i="27"/>
  <c r="J3835" i="27"/>
  <c r="J3836" i="27"/>
  <c r="J3837" i="27"/>
  <c r="J3838" i="27"/>
  <c r="J3839" i="27"/>
  <c r="J3840" i="27"/>
  <c r="J3841" i="27"/>
  <c r="J3842" i="27"/>
  <c r="J3843" i="27"/>
  <c r="J3844" i="27"/>
  <c r="J3845" i="27"/>
  <c r="J3846" i="27"/>
  <c r="J3847" i="27"/>
  <c r="J3848" i="27"/>
  <c r="J3849" i="27"/>
  <c r="J3850" i="27"/>
  <c r="J3851" i="27"/>
  <c r="J3852" i="27"/>
  <c r="J3853" i="27"/>
  <c r="J3854" i="27"/>
  <c r="J3855" i="27"/>
  <c r="J3856" i="27"/>
  <c r="J3857" i="27"/>
  <c r="J3858" i="27"/>
  <c r="J3859" i="27"/>
  <c r="J3860" i="27"/>
  <c r="J3861" i="27"/>
  <c r="J3862" i="27"/>
  <c r="J3863" i="27"/>
  <c r="J3864" i="27"/>
  <c r="J3865" i="27"/>
  <c r="J3866" i="27"/>
  <c r="J3867" i="27"/>
  <c r="J3868" i="27"/>
  <c r="J3869" i="27"/>
  <c r="J3870" i="27"/>
  <c r="J3871" i="27"/>
  <c r="J3872" i="27"/>
  <c r="J3873" i="27"/>
  <c r="J3874" i="27"/>
  <c r="J3875" i="27"/>
  <c r="J3876" i="27"/>
  <c r="J3877" i="27"/>
  <c r="J3878" i="27"/>
  <c r="J3879" i="27"/>
  <c r="J3880" i="27"/>
  <c r="J3881" i="27"/>
  <c r="J3882" i="27"/>
  <c r="J3883" i="27"/>
  <c r="J3884" i="27"/>
  <c r="J3885" i="27"/>
  <c r="J3886" i="27"/>
  <c r="J3887" i="27"/>
  <c r="J3888" i="27"/>
  <c r="J3889" i="27"/>
  <c r="J3890" i="27"/>
  <c r="J3891" i="27"/>
  <c r="J3892" i="27"/>
  <c r="J3893" i="27"/>
  <c r="J3894" i="27"/>
  <c r="J3895" i="27"/>
  <c r="J3896" i="27"/>
  <c r="J3897" i="27"/>
  <c r="J3898" i="27"/>
  <c r="J3899" i="27"/>
  <c r="J3900" i="27"/>
  <c r="J3901" i="27"/>
  <c r="J3902" i="27"/>
  <c r="J3903" i="27"/>
  <c r="J3904" i="27"/>
  <c r="J3905" i="27"/>
  <c r="J3906" i="27"/>
  <c r="J3907" i="27"/>
  <c r="J3908" i="27"/>
  <c r="J3909" i="27"/>
  <c r="J3910" i="27"/>
  <c r="J3911" i="27"/>
  <c r="J3912" i="27"/>
  <c r="J3913" i="27"/>
  <c r="J3914" i="27"/>
  <c r="J3915" i="27"/>
  <c r="J3916" i="27"/>
  <c r="J3917" i="27"/>
  <c r="J3918" i="27"/>
  <c r="J3919" i="27"/>
  <c r="J3920" i="27"/>
  <c r="J3921" i="27"/>
  <c r="J3922" i="27"/>
  <c r="J3923" i="27"/>
  <c r="J3924" i="27"/>
  <c r="J3925" i="27"/>
  <c r="J3926" i="27"/>
  <c r="J3927" i="27"/>
  <c r="J3928" i="27"/>
  <c r="J3929" i="27"/>
  <c r="J3930" i="27"/>
  <c r="J3931" i="27"/>
  <c r="J3932" i="27"/>
  <c r="J3933" i="27"/>
  <c r="J3934" i="27"/>
  <c r="J3935" i="27"/>
  <c r="J3936" i="27"/>
  <c r="J3937" i="27"/>
  <c r="J3938" i="27"/>
  <c r="J3939" i="27"/>
  <c r="J3940" i="27"/>
  <c r="J3941" i="27"/>
  <c r="J3942" i="27"/>
  <c r="J3943" i="27"/>
  <c r="J3944" i="27"/>
  <c r="J3945" i="27"/>
  <c r="J3946" i="27"/>
  <c r="J3947" i="27"/>
  <c r="J3948" i="27"/>
  <c r="J3949" i="27"/>
  <c r="J3950" i="27"/>
  <c r="J3951" i="27"/>
  <c r="J3952" i="27"/>
  <c r="J3953" i="27"/>
  <c r="J3954" i="27"/>
  <c r="J3955" i="27"/>
  <c r="J3956" i="27"/>
  <c r="J3957" i="27"/>
  <c r="J3958" i="27"/>
  <c r="J3959" i="27"/>
  <c r="J3960" i="27"/>
  <c r="J3961" i="27"/>
  <c r="J3962" i="27"/>
  <c r="J3963" i="27"/>
  <c r="J3964" i="27"/>
  <c r="J3965" i="27"/>
  <c r="J3966" i="27"/>
  <c r="J3967" i="27"/>
  <c r="J3968" i="27"/>
  <c r="J3969" i="27"/>
  <c r="J3970" i="27"/>
  <c r="J3971" i="27"/>
  <c r="J3972" i="27"/>
  <c r="J3973" i="27"/>
  <c r="J3974" i="27"/>
  <c r="J3975" i="27"/>
  <c r="J3976" i="27"/>
  <c r="J3977" i="27"/>
  <c r="J3978" i="27"/>
  <c r="J3979" i="27"/>
  <c r="J3980" i="27"/>
  <c r="J3981" i="27"/>
  <c r="J3982" i="27"/>
  <c r="J3983" i="27"/>
  <c r="J3984" i="27"/>
  <c r="J3985" i="27"/>
  <c r="J3986" i="27"/>
  <c r="J3987" i="27"/>
  <c r="J3988" i="27"/>
  <c r="J3989" i="27"/>
  <c r="J3990" i="27"/>
  <c r="J3991" i="27"/>
  <c r="J3992" i="27"/>
  <c r="J3993" i="27"/>
  <c r="J3994" i="27"/>
  <c r="J3995" i="27"/>
  <c r="J3996" i="27"/>
  <c r="J3997" i="27"/>
  <c r="J3998" i="27"/>
  <c r="J3999" i="27"/>
  <c r="J4000" i="27"/>
  <c r="J4001" i="27"/>
  <c r="J4002" i="27"/>
  <c r="J4003" i="27"/>
  <c r="J4004" i="27"/>
  <c r="J4005" i="27"/>
  <c r="J4006" i="27"/>
  <c r="J4007" i="27"/>
  <c r="J4008" i="27"/>
  <c r="J4009" i="27"/>
  <c r="J4010" i="27"/>
  <c r="J4011" i="27"/>
  <c r="J4012" i="27"/>
  <c r="J4013" i="27"/>
  <c r="J4014" i="27"/>
  <c r="J4015" i="27"/>
  <c r="J4016" i="27"/>
  <c r="J4017" i="27"/>
  <c r="J4018" i="27"/>
  <c r="J4019" i="27"/>
  <c r="J4020" i="27"/>
  <c r="J4021" i="27"/>
  <c r="J4022" i="27"/>
  <c r="J4023" i="27"/>
  <c r="J4024" i="27"/>
  <c r="J4025" i="27"/>
  <c r="J4026" i="27"/>
  <c r="J4027" i="27"/>
  <c r="J4028" i="27"/>
  <c r="J4029" i="27"/>
  <c r="J4030" i="27"/>
  <c r="J4031" i="27"/>
  <c r="J4032" i="27"/>
  <c r="J4033" i="27"/>
  <c r="J4034" i="27"/>
  <c r="J4035" i="27"/>
  <c r="J4036" i="27"/>
  <c r="J4037" i="27"/>
  <c r="J4038" i="27"/>
  <c r="J4039" i="27"/>
  <c r="J4040" i="27"/>
  <c r="J4041" i="27"/>
  <c r="J4042" i="27"/>
  <c r="J4043" i="27"/>
  <c r="J4044" i="27"/>
  <c r="J4045" i="27"/>
  <c r="J4046" i="27"/>
  <c r="J4047" i="27"/>
  <c r="J4048" i="27"/>
  <c r="J4049" i="27"/>
  <c r="J4050" i="27"/>
  <c r="J4051" i="27"/>
  <c r="J4052" i="27"/>
  <c r="J4053" i="27"/>
  <c r="J4054" i="27"/>
  <c r="J4055" i="27"/>
  <c r="J4056" i="27"/>
  <c r="J4057" i="27"/>
  <c r="J4058" i="27"/>
  <c r="J4059" i="27"/>
  <c r="J4060" i="27"/>
  <c r="J4061" i="27"/>
  <c r="J4062" i="27"/>
  <c r="J4063" i="27"/>
  <c r="J4064" i="27"/>
  <c r="J4065" i="27"/>
  <c r="J4066" i="27"/>
  <c r="J4067" i="27"/>
  <c r="J4068" i="27"/>
  <c r="J4069" i="27"/>
  <c r="J4070" i="27"/>
  <c r="J4071" i="27"/>
  <c r="J4072" i="27"/>
  <c r="J4073" i="27"/>
  <c r="J4074" i="27"/>
  <c r="J4075" i="27"/>
  <c r="J4076" i="27"/>
  <c r="J4077" i="27"/>
  <c r="J4078" i="27"/>
  <c r="J4079" i="27"/>
  <c r="J4080" i="27"/>
  <c r="J4081" i="27"/>
  <c r="J4082" i="27"/>
  <c r="J4083" i="27"/>
  <c r="J4084" i="27"/>
  <c r="J4085" i="27"/>
  <c r="J4086" i="27"/>
  <c r="J4087" i="27"/>
  <c r="J4088" i="27"/>
  <c r="J4089" i="27"/>
  <c r="J4090" i="27"/>
  <c r="J4091" i="27"/>
  <c r="J4092" i="27"/>
  <c r="J4093" i="27"/>
  <c r="J4094" i="27"/>
  <c r="J4095" i="27"/>
  <c r="J4096" i="27"/>
  <c r="J4097" i="27"/>
  <c r="J4098" i="27"/>
  <c r="J4099" i="27"/>
  <c r="J4100" i="27"/>
  <c r="J4101" i="27"/>
  <c r="J4102" i="27"/>
  <c r="J4103" i="27"/>
  <c r="J4104" i="27"/>
  <c r="J4105" i="27"/>
  <c r="J4106" i="27"/>
  <c r="J4107" i="27"/>
  <c r="J4108" i="27"/>
  <c r="J4109" i="27"/>
  <c r="J4110" i="27"/>
  <c r="J4111" i="27"/>
  <c r="J4112" i="27"/>
  <c r="J4113" i="27"/>
  <c r="J4114" i="27"/>
  <c r="J4115" i="27"/>
  <c r="J4116" i="27"/>
  <c r="J4117" i="27"/>
  <c r="J4118" i="27"/>
  <c r="J4119" i="27"/>
  <c r="J4120" i="27"/>
  <c r="J4121" i="27"/>
  <c r="J4122" i="27"/>
  <c r="J4123" i="27"/>
  <c r="J4124" i="27"/>
  <c r="J4125" i="27"/>
  <c r="J4126" i="27"/>
  <c r="J4127" i="27"/>
  <c r="J4128" i="27"/>
  <c r="J4129" i="27"/>
  <c r="J4130" i="27"/>
  <c r="J4131" i="27"/>
  <c r="J4132" i="27"/>
  <c r="J4133" i="27"/>
  <c r="J4134" i="27"/>
  <c r="J4135" i="27"/>
  <c r="J4136" i="27"/>
  <c r="J4137" i="27"/>
  <c r="J4138" i="27"/>
  <c r="J4139" i="27"/>
  <c r="J4140" i="27"/>
  <c r="J4141" i="27"/>
  <c r="J4142" i="27"/>
  <c r="J4143" i="27"/>
  <c r="J4144" i="27"/>
  <c r="J4145" i="27"/>
  <c r="J4146" i="27"/>
  <c r="J4147" i="27"/>
  <c r="J4148" i="27"/>
  <c r="J4149" i="27"/>
  <c r="J4150" i="27"/>
  <c r="J4151" i="27"/>
  <c r="J4152" i="27"/>
  <c r="J4153" i="27"/>
  <c r="J4154" i="27"/>
  <c r="J4155" i="27"/>
  <c r="J4156" i="27"/>
  <c r="J4157" i="27"/>
  <c r="J4158" i="27"/>
  <c r="J4159" i="27"/>
  <c r="J4160" i="27"/>
  <c r="J4161" i="27"/>
  <c r="J4162" i="27"/>
  <c r="J4163" i="27"/>
  <c r="J4164" i="27"/>
  <c r="J4165" i="27"/>
  <c r="J4166" i="27"/>
  <c r="J4167" i="27"/>
  <c r="J4168" i="27"/>
  <c r="J4169" i="27"/>
  <c r="J4170" i="27"/>
  <c r="J4171" i="27"/>
  <c r="J4172" i="27"/>
  <c r="J4173" i="27"/>
  <c r="J4174" i="27"/>
  <c r="J4175" i="27"/>
  <c r="J4176" i="27"/>
  <c r="J4177" i="27"/>
  <c r="J4178" i="27"/>
  <c r="J4179" i="27"/>
  <c r="J4180" i="27"/>
  <c r="J4181" i="27"/>
  <c r="J4182" i="27"/>
  <c r="J4183" i="27"/>
  <c r="J4184" i="27"/>
  <c r="J4185" i="27"/>
  <c r="J4186" i="27"/>
  <c r="J4187" i="27"/>
  <c r="J4188" i="27"/>
  <c r="J4189" i="27"/>
  <c r="J4190" i="27"/>
  <c r="J4191" i="27"/>
  <c r="J4192" i="27"/>
  <c r="J4193" i="27"/>
  <c r="J4194" i="27"/>
  <c r="J4195" i="27"/>
  <c r="J4196" i="27"/>
  <c r="J4197" i="27"/>
  <c r="J4198" i="27"/>
  <c r="J4199" i="27"/>
  <c r="J4200" i="27"/>
  <c r="J4201" i="27"/>
  <c r="J4202" i="27"/>
  <c r="J4203" i="27"/>
  <c r="J4204" i="27"/>
  <c r="J4205" i="27"/>
  <c r="J4206" i="27"/>
  <c r="J4207" i="27"/>
  <c r="J4208" i="27"/>
  <c r="J4209" i="27"/>
  <c r="J4210" i="27"/>
  <c r="J4211" i="27"/>
  <c r="J4212" i="27"/>
  <c r="J4213" i="27"/>
  <c r="J4214" i="27"/>
  <c r="J4215" i="27"/>
  <c r="J4216" i="27"/>
  <c r="J4217" i="27"/>
  <c r="J4218" i="27"/>
  <c r="J4219" i="27"/>
  <c r="J4220" i="27"/>
  <c r="J4221" i="27"/>
  <c r="J4222" i="27"/>
  <c r="J4223" i="27"/>
  <c r="J4224" i="27"/>
  <c r="J4225" i="27"/>
  <c r="J4226" i="27"/>
  <c r="J4227" i="27"/>
  <c r="J4228" i="27"/>
  <c r="J4229" i="27"/>
  <c r="J4230" i="27"/>
  <c r="J4231" i="27"/>
  <c r="J4232" i="27"/>
  <c r="J4233" i="27"/>
  <c r="J4234" i="27"/>
  <c r="J4235" i="27"/>
  <c r="J4236" i="27"/>
  <c r="J4237" i="27"/>
  <c r="J4238" i="27"/>
  <c r="J4239" i="27"/>
  <c r="J4240" i="27"/>
  <c r="J4241" i="27"/>
  <c r="J4242" i="27"/>
  <c r="J4243" i="27"/>
  <c r="J4244" i="27"/>
  <c r="J4245" i="27"/>
  <c r="J4246" i="27"/>
  <c r="J4247" i="27"/>
  <c r="J4248" i="27"/>
  <c r="J4249" i="27"/>
  <c r="J4250" i="27"/>
  <c r="J4251" i="27"/>
  <c r="J4252" i="27"/>
  <c r="J4253" i="27"/>
  <c r="J4254" i="27"/>
  <c r="J4255" i="27"/>
  <c r="J4256" i="27"/>
  <c r="J4257" i="27"/>
  <c r="J4258" i="27"/>
  <c r="J4259" i="27"/>
  <c r="J4260" i="27"/>
  <c r="J4261" i="27"/>
  <c r="J4262" i="27"/>
  <c r="J4263" i="27"/>
  <c r="J4264" i="27"/>
  <c r="J4265" i="27"/>
  <c r="J4266" i="27"/>
  <c r="J4267" i="27"/>
  <c r="J4268" i="27"/>
  <c r="J4269" i="27"/>
  <c r="J4270" i="27"/>
  <c r="J4271" i="27"/>
  <c r="J4272" i="27"/>
  <c r="J4273" i="27"/>
  <c r="J4274" i="27"/>
  <c r="J4275" i="27"/>
  <c r="J4276" i="27"/>
  <c r="J4277" i="27"/>
  <c r="J4278" i="27"/>
  <c r="J4279" i="27"/>
  <c r="J4280" i="27"/>
  <c r="J4281" i="27"/>
  <c r="J4282" i="27"/>
  <c r="J4283" i="27"/>
  <c r="J4284" i="27"/>
  <c r="J4285" i="27"/>
  <c r="J4286" i="27"/>
  <c r="J4287" i="27"/>
  <c r="J4288" i="27"/>
  <c r="J4289" i="27"/>
  <c r="J4290" i="27"/>
  <c r="J4291" i="27"/>
  <c r="J4292" i="27"/>
  <c r="J4293" i="27"/>
  <c r="J4294" i="27"/>
  <c r="J4295" i="27"/>
  <c r="J4296" i="27"/>
  <c r="J4297" i="27"/>
  <c r="J4298" i="27"/>
  <c r="J4299" i="27"/>
  <c r="J4300" i="27"/>
  <c r="J4301" i="27"/>
  <c r="J4302" i="27"/>
  <c r="J4303" i="27"/>
  <c r="J4304" i="27"/>
  <c r="J4305" i="27"/>
  <c r="J4306" i="27"/>
  <c r="J4307" i="27"/>
  <c r="J4308" i="27"/>
  <c r="J4309" i="27"/>
  <c r="J4310" i="27"/>
  <c r="J4311" i="27"/>
  <c r="J4312" i="27"/>
  <c r="J4313" i="27"/>
  <c r="J4314" i="27"/>
  <c r="J4315" i="27"/>
  <c r="J4316" i="27"/>
  <c r="J4317" i="27"/>
  <c r="J4318" i="27"/>
  <c r="J4319" i="27"/>
  <c r="J4320" i="27"/>
  <c r="J4321" i="27"/>
  <c r="J4322" i="27"/>
  <c r="J4323" i="27"/>
  <c r="J4324" i="27"/>
  <c r="J4325" i="27"/>
  <c r="J4326" i="27"/>
  <c r="J4327" i="27"/>
  <c r="J4328" i="27"/>
  <c r="J4329" i="27"/>
  <c r="J4330" i="27"/>
  <c r="J4331" i="27"/>
  <c r="J4332" i="27"/>
  <c r="J4333" i="27"/>
  <c r="J4334" i="27"/>
  <c r="J4335" i="27"/>
  <c r="J4336" i="27"/>
  <c r="J4337" i="27"/>
  <c r="J4338" i="27"/>
  <c r="J4339" i="27"/>
  <c r="J4340" i="27"/>
  <c r="J4341" i="27"/>
  <c r="J4342" i="27"/>
  <c r="J4343" i="27"/>
  <c r="J4344" i="27"/>
  <c r="J4345" i="27"/>
  <c r="J4346" i="27"/>
  <c r="J4347" i="27"/>
  <c r="J4348" i="27"/>
  <c r="J4349" i="27"/>
  <c r="J4350" i="27"/>
  <c r="J4351" i="27"/>
  <c r="J4352" i="27"/>
  <c r="J4353" i="27"/>
  <c r="J4354" i="27"/>
  <c r="J4355" i="27"/>
  <c r="J4356" i="27"/>
  <c r="J4357" i="27"/>
  <c r="J4358" i="27"/>
  <c r="J4359" i="27"/>
  <c r="J4360" i="27"/>
  <c r="J4361" i="27"/>
  <c r="J4362" i="27"/>
  <c r="J4363" i="27"/>
  <c r="J4364" i="27"/>
  <c r="J4365" i="27"/>
  <c r="J4366" i="27"/>
  <c r="J4367" i="27"/>
  <c r="J4368" i="27"/>
  <c r="J4369" i="27"/>
  <c r="J4370" i="27"/>
  <c r="J4371" i="27"/>
  <c r="J4372" i="27"/>
  <c r="J4373" i="27"/>
  <c r="J4374" i="27"/>
  <c r="J4375" i="27"/>
  <c r="J4376" i="27"/>
  <c r="J4377" i="27"/>
  <c r="J4378" i="27"/>
  <c r="J4379" i="27"/>
  <c r="J4380" i="27"/>
  <c r="J4381" i="27"/>
  <c r="J4382" i="27"/>
  <c r="J4383" i="27"/>
  <c r="J4384" i="27"/>
  <c r="J4385" i="27"/>
  <c r="J4386" i="27"/>
  <c r="J4387" i="27"/>
  <c r="J4388" i="27"/>
  <c r="J4389" i="27"/>
  <c r="J4390" i="27"/>
  <c r="J4391" i="27"/>
  <c r="J4392" i="27"/>
  <c r="J4393" i="27"/>
  <c r="J4394" i="27"/>
  <c r="J4395" i="27"/>
  <c r="J4396" i="27"/>
  <c r="J4397" i="27"/>
  <c r="J4398" i="27"/>
  <c r="J4399" i="27"/>
  <c r="J4400" i="27"/>
  <c r="J4401" i="27"/>
  <c r="J4402" i="27"/>
  <c r="J4403" i="27"/>
  <c r="J4404" i="27"/>
  <c r="J4405" i="27"/>
  <c r="J4406" i="27"/>
  <c r="J4407" i="27"/>
  <c r="J4408" i="27"/>
  <c r="J4409" i="27"/>
  <c r="J4410" i="27"/>
  <c r="J4411" i="27"/>
  <c r="J4412" i="27"/>
  <c r="J4413" i="27"/>
  <c r="J4414" i="27"/>
  <c r="J4415" i="27"/>
  <c r="F3439" i="27" l="1"/>
  <c r="F3088" i="27"/>
  <c r="F3089" i="27" s="1"/>
  <c r="F3090" i="27" s="1"/>
  <c r="F3091" i="27" s="1"/>
  <c r="F3092" i="27" s="1"/>
  <c r="F3087" i="27"/>
  <c r="B2844" i="27"/>
  <c r="E735" i="27"/>
  <c r="Q118" i="32"/>
  <c r="Q729" i="32"/>
  <c r="AD65" i="34"/>
  <c r="L2" i="28"/>
  <c r="P2" i="28" s="1"/>
  <c r="F3440" i="27" l="1"/>
  <c r="F3094" i="27"/>
  <c r="F3095" i="27" s="1"/>
  <c r="F3096" i="27" s="1"/>
  <c r="F3097" i="27" s="1"/>
  <c r="F3098" i="27" s="1"/>
  <c r="F3093" i="27"/>
  <c r="B2845" i="27"/>
  <c r="E736" i="27"/>
  <c r="Q120" i="32"/>
  <c r="Q731" i="32"/>
  <c r="AD66" i="34"/>
  <c r="B192" i="16" a="1"/>
  <c r="B192" i="16" s="1"/>
  <c r="I192" i="16" a="1"/>
  <c r="I192" i="16" s="1"/>
  <c r="H27" i="16" a="1"/>
  <c r="H27" i="16" s="1"/>
  <c r="H4" i="16" a="1"/>
  <c r="H4" i="16" s="1"/>
  <c r="F3442" i="27" l="1"/>
  <c r="F3441" i="27"/>
  <c r="F3100" i="27"/>
  <c r="F3101" i="27" s="1"/>
  <c r="F3102" i="27" s="1"/>
  <c r="F3103" i="27" s="1"/>
  <c r="F3104" i="27" s="1"/>
  <c r="F3099" i="27"/>
  <c r="B2846" i="27"/>
  <c r="E737" i="27"/>
  <c r="I193" i="16" a="1"/>
  <c r="I193" i="16" s="1"/>
  <c r="J193" i="16" s="1" a="1"/>
  <c r="J193" i="16" s="1"/>
  <c r="H28" i="16" a="1"/>
  <c r="H28" i="16" s="1"/>
  <c r="I28" i="16" s="1" a="1"/>
  <c r="I28" i="16" s="1"/>
  <c r="H5" i="16" a="1"/>
  <c r="H5" i="16" s="1"/>
  <c r="I5" i="16" s="1" a="1"/>
  <c r="I5" i="16" s="1"/>
  <c r="Q122" i="32"/>
  <c r="Q733" i="32"/>
  <c r="AD67" i="34"/>
  <c r="J192" i="16" a="1"/>
  <c r="J192" i="16" s="1"/>
  <c r="I27" i="16" a="1"/>
  <c r="I27" i="16" s="1"/>
  <c r="I4" i="16" a="1"/>
  <c r="I4" i="16" s="1"/>
  <c r="F3443" i="27" l="1"/>
  <c r="F3105" i="27"/>
  <c r="F3106" i="27"/>
  <c r="F3107" i="27" s="1"/>
  <c r="F3108" i="27" s="1"/>
  <c r="F3109" i="27" s="1"/>
  <c r="F3110" i="27" s="1"/>
  <c r="B2847" i="27"/>
  <c r="E738" i="27"/>
  <c r="I194" i="16" a="1"/>
  <c r="I194" i="16" s="1"/>
  <c r="H29" i="16" a="1"/>
  <c r="H29" i="16" s="1"/>
  <c r="I29" i="16" s="1" a="1"/>
  <c r="I29" i="16" s="1"/>
  <c r="H6" i="16" a="1"/>
  <c r="H6" i="16" s="1"/>
  <c r="I6" i="16" s="1" a="1"/>
  <c r="I6" i="16" s="1"/>
  <c r="Q124" i="32"/>
  <c r="Q735" i="32"/>
  <c r="AD68" i="34"/>
  <c r="B504" i="16"/>
  <c r="F3444" i="27" l="1"/>
  <c r="F3112" i="27"/>
  <c r="F3113" i="27" s="1"/>
  <c r="F3114" i="27" s="1"/>
  <c r="F3115" i="27" s="1"/>
  <c r="F3116" i="27" s="1"/>
  <c r="F3111" i="27"/>
  <c r="B2848" i="27"/>
  <c r="E739" i="27"/>
  <c r="I195" i="16" a="1"/>
  <c r="I195" i="16" s="1"/>
  <c r="J195" i="16" s="1" a="1"/>
  <c r="J195" i="16" s="1"/>
  <c r="J194" i="16" a="1"/>
  <c r="J194" i="16" s="1"/>
  <c r="H30" i="16" a="1"/>
  <c r="H30" i="16" s="1"/>
  <c r="I30" i="16" s="1" a="1"/>
  <c r="I30" i="16" s="1"/>
  <c r="H7" i="16" a="1"/>
  <c r="H7" i="16" s="1"/>
  <c r="I7" i="16" s="1" a="1"/>
  <c r="I7" i="16" s="1"/>
  <c r="K170" i="1"/>
  <c r="K162" i="1"/>
  <c r="K173" i="1"/>
  <c r="K155" i="1"/>
  <c r="K169" i="1"/>
  <c r="K161" i="1"/>
  <c r="K165" i="1"/>
  <c r="K168" i="1"/>
  <c r="K160" i="1"/>
  <c r="K157" i="1"/>
  <c r="K167" i="1"/>
  <c r="K159" i="1"/>
  <c r="K163" i="1"/>
  <c r="K174" i="1"/>
  <c r="K166" i="1"/>
  <c r="K158" i="1"/>
  <c r="K171" i="1"/>
  <c r="K172" i="1"/>
  <c r="K164" i="1"/>
  <c r="K156" i="1"/>
  <c r="Q126" i="32"/>
  <c r="Q737" i="32"/>
  <c r="AD69" i="34"/>
  <c r="A27" i="1"/>
  <c r="F3445" i="27" l="1"/>
  <c r="F3118" i="27"/>
  <c r="F3119" i="27" s="1"/>
  <c r="F3120" i="27" s="1"/>
  <c r="F3121" i="27" s="1"/>
  <c r="F3122" i="27" s="1"/>
  <c r="F3117" i="27"/>
  <c r="B2849" i="27"/>
  <c r="E740" i="27"/>
  <c r="I196" i="16" a="1"/>
  <c r="I196" i="16" s="1"/>
  <c r="H31" i="16" a="1"/>
  <c r="H31" i="16" s="1"/>
  <c r="I31" i="16" s="1" a="1"/>
  <c r="I31" i="16" s="1"/>
  <c r="H8" i="16" a="1"/>
  <c r="H8" i="16" s="1"/>
  <c r="I8" i="16" s="1" a="1"/>
  <c r="I8" i="16" s="1"/>
  <c r="Y158" i="1"/>
  <c r="W158" i="1"/>
  <c r="E158" i="1"/>
  <c r="E168" i="1"/>
  <c r="W168" i="1"/>
  <c r="Y168" i="1"/>
  <c r="Y166" i="1"/>
  <c r="E166" i="1"/>
  <c r="W166" i="1"/>
  <c r="W165" i="1"/>
  <c r="E165" i="1"/>
  <c r="Y165" i="1"/>
  <c r="Y174" i="1"/>
  <c r="W174" i="1"/>
  <c r="E174" i="1"/>
  <c r="E161" i="1"/>
  <c r="Y161" i="1"/>
  <c r="W161" i="1"/>
  <c r="W163" i="1"/>
  <c r="E163" i="1"/>
  <c r="Y163" i="1"/>
  <c r="E169" i="1"/>
  <c r="W169" i="1"/>
  <c r="Y169" i="1"/>
  <c r="Y156" i="1"/>
  <c r="E156" i="1"/>
  <c r="W156" i="1"/>
  <c r="E159" i="1"/>
  <c r="Y159" i="1"/>
  <c r="W159" i="1"/>
  <c r="W155" i="1"/>
  <c r="E155" i="1"/>
  <c r="Y155" i="1"/>
  <c r="W164" i="1"/>
  <c r="Y164" i="1"/>
  <c r="E164" i="1"/>
  <c r="E167" i="1"/>
  <c r="W167" i="1"/>
  <c r="Y167" i="1"/>
  <c r="W173" i="1"/>
  <c r="E173" i="1"/>
  <c r="Y173" i="1"/>
  <c r="W172" i="1"/>
  <c r="Y172" i="1"/>
  <c r="E172" i="1"/>
  <c r="W157" i="1"/>
  <c r="E157" i="1"/>
  <c r="Y157" i="1"/>
  <c r="W162" i="1"/>
  <c r="E162" i="1"/>
  <c r="Y162" i="1"/>
  <c r="W171" i="1"/>
  <c r="E171" i="1"/>
  <c r="Y171" i="1"/>
  <c r="E160" i="1"/>
  <c r="Y160" i="1"/>
  <c r="W160" i="1"/>
  <c r="W170" i="1"/>
  <c r="E170" i="1"/>
  <c r="Y170" i="1"/>
  <c r="Q128" i="32"/>
  <c r="Q739" i="32"/>
  <c r="AD70" i="34"/>
  <c r="F3446" i="27" l="1"/>
  <c r="F3124" i="27"/>
  <c r="F3125" i="27" s="1"/>
  <c r="F3126" i="27" s="1"/>
  <c r="F3127" i="27" s="1"/>
  <c r="F3128" i="27" s="1"/>
  <c r="F3123" i="27"/>
  <c r="B2850" i="27"/>
  <c r="E741" i="27"/>
  <c r="J196" i="16" a="1"/>
  <c r="J196" i="16" s="1"/>
  <c r="I197" i="16" a="1"/>
  <c r="I197" i="16" s="1"/>
  <c r="H32" i="16" a="1"/>
  <c r="H32" i="16" s="1"/>
  <c r="I32" i="16" s="1" a="1"/>
  <c r="I32" i="16" s="1"/>
  <c r="H9" i="16" a="1"/>
  <c r="H9" i="16" s="1"/>
  <c r="I9" i="16" s="1" a="1"/>
  <c r="I9" i="16" s="1"/>
  <c r="AD171" i="1"/>
  <c r="U171" i="1"/>
  <c r="L171" i="1" s="1"/>
  <c r="AF171" i="1"/>
  <c r="X171" i="1"/>
  <c r="AH171" i="1" s="1"/>
  <c r="AF172" i="1"/>
  <c r="AD172" i="1"/>
  <c r="U172" i="1"/>
  <c r="L172" i="1" s="1"/>
  <c r="X172" i="1"/>
  <c r="AH172" i="1" s="1"/>
  <c r="U167" i="1"/>
  <c r="L167" i="1" s="1"/>
  <c r="AD167" i="1"/>
  <c r="AF167" i="1"/>
  <c r="X167" i="1"/>
  <c r="AH167" i="1" s="1"/>
  <c r="AD163" i="1"/>
  <c r="AF163" i="1"/>
  <c r="U163" i="1"/>
  <c r="L163" i="1" s="1"/>
  <c r="X163" i="1"/>
  <c r="AH163" i="1" s="1"/>
  <c r="AD170" i="1"/>
  <c r="AF170" i="1"/>
  <c r="U170" i="1"/>
  <c r="L170" i="1" s="1"/>
  <c r="X170" i="1"/>
  <c r="AH170" i="1" s="1"/>
  <c r="AD162" i="1"/>
  <c r="U162" i="1"/>
  <c r="L162" i="1" s="1"/>
  <c r="AF162" i="1"/>
  <c r="X162" i="1"/>
  <c r="AH162" i="1" s="1"/>
  <c r="AF156" i="1"/>
  <c r="U156" i="1"/>
  <c r="L156" i="1" s="1"/>
  <c r="AD156" i="1"/>
  <c r="X156" i="1"/>
  <c r="AH156" i="1" s="1"/>
  <c r="AF173" i="1"/>
  <c r="AD173" i="1"/>
  <c r="U173" i="1"/>
  <c r="L173" i="1" s="1"/>
  <c r="X173" i="1"/>
  <c r="AH173" i="1" s="1"/>
  <c r="AF165" i="1"/>
  <c r="U165" i="1"/>
  <c r="L165" i="1" s="1"/>
  <c r="AD165" i="1"/>
  <c r="X165" i="1"/>
  <c r="AH165" i="1" s="1"/>
  <c r="AD168" i="1"/>
  <c r="AF168" i="1"/>
  <c r="U168" i="1"/>
  <c r="L168" i="1" s="1"/>
  <c r="X168" i="1"/>
  <c r="AH168" i="1" s="1"/>
  <c r="U155" i="1"/>
  <c r="L155" i="1" s="1"/>
  <c r="AF155" i="1"/>
  <c r="AD155" i="1"/>
  <c r="X155" i="1"/>
  <c r="AH155" i="1" s="1"/>
  <c r="AD161" i="1"/>
  <c r="U161" i="1"/>
  <c r="L161" i="1" s="1"/>
  <c r="AF161" i="1"/>
  <c r="X161" i="1"/>
  <c r="AH161" i="1" s="1"/>
  <c r="AF158" i="1"/>
  <c r="AD158" i="1"/>
  <c r="U158" i="1"/>
  <c r="L158" i="1" s="1"/>
  <c r="X158" i="1"/>
  <c r="AH158" i="1" s="1"/>
  <c r="U164" i="1"/>
  <c r="L164" i="1" s="1"/>
  <c r="AD164" i="1"/>
  <c r="AF164" i="1"/>
  <c r="X164" i="1"/>
  <c r="AH164" i="1" s="1"/>
  <c r="AD160" i="1"/>
  <c r="AF160" i="1"/>
  <c r="U160" i="1"/>
  <c r="L160" i="1" s="1"/>
  <c r="X160" i="1"/>
  <c r="AH160" i="1" s="1"/>
  <c r="AF157" i="1"/>
  <c r="U157" i="1"/>
  <c r="L157" i="1" s="1"/>
  <c r="AD157" i="1"/>
  <c r="X157" i="1"/>
  <c r="AH157" i="1" s="1"/>
  <c r="AF174" i="1"/>
  <c r="U174" i="1"/>
  <c r="L174" i="1" s="1"/>
  <c r="AD174" i="1"/>
  <c r="X174" i="1"/>
  <c r="AH174" i="1" s="1"/>
  <c r="U159" i="1"/>
  <c r="L159" i="1" s="1"/>
  <c r="AF159" i="1"/>
  <c r="AD159" i="1"/>
  <c r="X159" i="1"/>
  <c r="AH159" i="1" s="1"/>
  <c r="AD169" i="1"/>
  <c r="U169" i="1"/>
  <c r="L169" i="1" s="1"/>
  <c r="AF169" i="1"/>
  <c r="X169" i="1"/>
  <c r="AH169" i="1" s="1"/>
  <c r="AF166" i="1"/>
  <c r="AD166" i="1"/>
  <c r="U166" i="1"/>
  <c r="L166" i="1" s="1"/>
  <c r="X166" i="1"/>
  <c r="AH166" i="1" s="1"/>
  <c r="Q130" i="32"/>
  <c r="Q741" i="32"/>
  <c r="AD71" i="34"/>
  <c r="F3448" i="27" l="1"/>
  <c r="F3447" i="27"/>
  <c r="F3129" i="27"/>
  <c r="F3130" i="27"/>
  <c r="F3131" i="27" s="1"/>
  <c r="F3132" i="27" s="1"/>
  <c r="F3133" i="27" s="1"/>
  <c r="F3134" i="27" s="1"/>
  <c r="B2851" i="27"/>
  <c r="E742" i="27"/>
  <c r="J197" i="16" a="1"/>
  <c r="J197" i="16" s="1"/>
  <c r="I198" i="16" a="1"/>
  <c r="I198" i="16" s="1"/>
  <c r="H33" i="16" a="1"/>
  <c r="H33" i="16" s="1"/>
  <c r="H10" i="16" a="1"/>
  <c r="H10" i="16" s="1"/>
  <c r="AO173" i="1"/>
  <c r="AC173" i="1"/>
  <c r="M173" i="1"/>
  <c r="AA173" i="1"/>
  <c r="O173" i="1" s="1"/>
  <c r="N173" i="1"/>
  <c r="N163" i="1"/>
  <c r="M163" i="1"/>
  <c r="AA163" i="1"/>
  <c r="O163" i="1" s="1"/>
  <c r="AC163" i="1"/>
  <c r="AO163" i="1"/>
  <c r="M172" i="1"/>
  <c r="AA172" i="1"/>
  <c r="O172" i="1" s="1"/>
  <c r="AC172" i="1"/>
  <c r="AO172" i="1"/>
  <c r="N172" i="1"/>
  <c r="M168" i="1"/>
  <c r="AC168" i="1"/>
  <c r="AA168" i="1"/>
  <c r="O168" i="1" s="1"/>
  <c r="AO168" i="1"/>
  <c r="N168" i="1"/>
  <c r="M161" i="1"/>
  <c r="N161" i="1"/>
  <c r="AO161" i="1"/>
  <c r="AC161" i="1"/>
  <c r="AA161" i="1"/>
  <c r="O161" i="1" s="1"/>
  <c r="M162" i="1"/>
  <c r="AC162" i="1"/>
  <c r="AA162" i="1"/>
  <c r="O162" i="1" s="1"/>
  <c r="AO162" i="1"/>
  <c r="N162" i="1"/>
  <c r="M157" i="1"/>
  <c r="AA157" i="1"/>
  <c r="O157" i="1" s="1"/>
  <c r="N157" i="1"/>
  <c r="AO157" i="1"/>
  <c r="AC157" i="1"/>
  <c r="N159" i="1"/>
  <c r="AO159" i="1"/>
  <c r="M159" i="1"/>
  <c r="AC159" i="1"/>
  <c r="AA159" i="1"/>
  <c r="O159" i="1" s="1"/>
  <c r="N164" i="1"/>
  <c r="M164" i="1"/>
  <c r="AA164" i="1"/>
  <c r="O164" i="1" s="1"/>
  <c r="AO164" i="1"/>
  <c r="AC164" i="1"/>
  <c r="M166" i="1"/>
  <c r="AC166" i="1"/>
  <c r="AO166" i="1"/>
  <c r="N166" i="1"/>
  <c r="AA166" i="1"/>
  <c r="O166" i="1" s="1"/>
  <c r="N160" i="1"/>
  <c r="AO160" i="1"/>
  <c r="M160" i="1"/>
  <c r="AC160" i="1"/>
  <c r="AA160" i="1"/>
  <c r="O160" i="1" s="1"/>
  <c r="AC158" i="1"/>
  <c r="N158" i="1"/>
  <c r="AA158" i="1"/>
  <c r="O158" i="1" s="1"/>
  <c r="AO158" i="1"/>
  <c r="M158" i="1"/>
  <c r="M170" i="1"/>
  <c r="AA170" i="1"/>
  <c r="O170" i="1" s="1"/>
  <c r="AO170" i="1"/>
  <c r="N170" i="1"/>
  <c r="AC170" i="1"/>
  <c r="M169" i="1"/>
  <c r="AA169" i="1"/>
  <c r="O169" i="1" s="1"/>
  <c r="N169" i="1"/>
  <c r="AC169" i="1"/>
  <c r="AO169" i="1"/>
  <c r="M165" i="1"/>
  <c r="AO165" i="1"/>
  <c r="AA165" i="1"/>
  <c r="O165" i="1" s="1"/>
  <c r="N165" i="1"/>
  <c r="AC165" i="1"/>
  <c r="AO156" i="1"/>
  <c r="AC156" i="1"/>
  <c r="N156" i="1"/>
  <c r="M156" i="1"/>
  <c r="AA156" i="1"/>
  <c r="O156" i="1" s="1"/>
  <c r="N171" i="1"/>
  <c r="AC171" i="1"/>
  <c r="M171" i="1"/>
  <c r="AA171" i="1"/>
  <c r="O171" i="1" s="1"/>
  <c r="AO171" i="1"/>
  <c r="AO174" i="1"/>
  <c r="AC174" i="1"/>
  <c r="M174" i="1"/>
  <c r="N174" i="1"/>
  <c r="AA174" i="1"/>
  <c r="O174" i="1" s="1"/>
  <c r="N155" i="1"/>
  <c r="M155" i="1"/>
  <c r="AC155" i="1"/>
  <c r="AA155" i="1"/>
  <c r="O155" i="1" s="1"/>
  <c r="AO155" i="1"/>
  <c r="M167" i="1"/>
  <c r="AO167" i="1"/>
  <c r="AC167" i="1"/>
  <c r="AA167" i="1"/>
  <c r="O167" i="1" s="1"/>
  <c r="N167" i="1"/>
  <c r="Q132" i="32"/>
  <c r="Q743" i="32"/>
  <c r="AD72" i="34"/>
  <c r="F3449" i="27" l="1"/>
  <c r="F3136" i="27"/>
  <c r="F3137" i="27" s="1"/>
  <c r="F3138" i="27" s="1"/>
  <c r="F3139" i="27" s="1"/>
  <c r="F3140" i="27" s="1"/>
  <c r="F3135" i="27"/>
  <c r="B2852" i="27"/>
  <c r="E743" i="27"/>
  <c r="J198" i="16" a="1"/>
  <c r="J198" i="16" s="1"/>
  <c r="I199" i="16" a="1"/>
  <c r="I199" i="16" s="1"/>
  <c r="J199" i="16" s="1" a="1"/>
  <c r="J199" i="16" s="1"/>
  <c r="I33" i="16" a="1"/>
  <c r="I33" i="16" s="1"/>
  <c r="H34" i="16" a="1"/>
  <c r="H34" i="16" s="1"/>
  <c r="H11" i="16" a="1"/>
  <c r="H11" i="16" s="1"/>
  <c r="I10" i="16" a="1"/>
  <c r="I10" i="16" s="1"/>
  <c r="Q134" i="32"/>
  <c r="Q745" i="32"/>
  <c r="AD73" i="34"/>
  <c r="I102" i="1"/>
  <c r="F3450" i="27" l="1"/>
  <c r="F3142" i="27"/>
  <c r="F3143" i="27" s="1"/>
  <c r="F3144" i="27" s="1"/>
  <c r="F3145" i="27" s="1"/>
  <c r="F3146" i="27" s="1"/>
  <c r="F3141" i="27"/>
  <c r="B2853" i="27"/>
  <c r="E744" i="27"/>
  <c r="I200" i="16" a="1"/>
  <c r="I200" i="16" s="1"/>
  <c r="I34" i="16" a="1"/>
  <c r="I34" i="16" s="1"/>
  <c r="H35" i="16" a="1"/>
  <c r="H35" i="16" s="1"/>
  <c r="H12" i="16" a="1"/>
  <c r="H12" i="16" s="1"/>
  <c r="I11" i="16" a="1"/>
  <c r="I11" i="16" s="1"/>
  <c r="Q136" i="32"/>
  <c r="Q747" i="32"/>
  <c r="AD74" i="34"/>
  <c r="F3451" i="27" l="1"/>
  <c r="F3148" i="27"/>
  <c r="F3149" i="27" s="1"/>
  <c r="F3150" i="27" s="1"/>
  <c r="F3151" i="27" s="1"/>
  <c r="F3152" i="27" s="1"/>
  <c r="F3147" i="27"/>
  <c r="B2854" i="27"/>
  <c r="E745" i="27"/>
  <c r="J200" i="16" a="1"/>
  <c r="J200" i="16" s="1"/>
  <c r="I201" i="16" a="1"/>
  <c r="I201" i="16" s="1"/>
  <c r="I35" i="16" a="1"/>
  <c r="I35" i="16" s="1"/>
  <c r="H36" i="16" a="1"/>
  <c r="H36" i="16" s="1"/>
  <c r="H13" i="16" a="1"/>
  <c r="H13" i="16" s="1"/>
  <c r="I12" i="16" a="1"/>
  <c r="I12" i="16" s="1"/>
  <c r="Q138" i="32"/>
  <c r="Q749" i="32"/>
  <c r="AD75" i="34"/>
  <c r="L47" i="1"/>
  <c r="F3452" i="27" l="1"/>
  <c r="F3153" i="27"/>
  <c r="F3154" i="27"/>
  <c r="F3155" i="27" s="1"/>
  <c r="F3156" i="27" s="1"/>
  <c r="F3157" i="27" s="1"/>
  <c r="F3158" i="27" s="1"/>
  <c r="B2855" i="27"/>
  <c r="E746" i="27"/>
  <c r="J201" i="16" a="1"/>
  <c r="J201" i="16" s="1"/>
  <c r="I202" i="16" a="1"/>
  <c r="I202" i="16" s="1"/>
  <c r="I36" i="16" a="1"/>
  <c r="I36" i="16" s="1"/>
  <c r="H37" i="16" a="1"/>
  <c r="H37" i="16" s="1"/>
  <c r="H14" i="16" a="1"/>
  <c r="H14" i="16" s="1"/>
  <c r="I13" i="16" a="1"/>
  <c r="I13" i="16" s="1"/>
  <c r="Q140" i="32"/>
  <c r="Q751" i="32"/>
  <c r="AD76" i="34"/>
  <c r="F3454" i="27" l="1"/>
  <c r="F3453" i="27"/>
  <c r="F3160" i="27"/>
  <c r="F3161" i="27" s="1"/>
  <c r="F3162" i="27" s="1"/>
  <c r="F3163" i="27" s="1"/>
  <c r="F3164" i="27" s="1"/>
  <c r="F3159" i="27"/>
  <c r="B2856" i="27"/>
  <c r="E747" i="27"/>
  <c r="J202" i="16" a="1"/>
  <c r="J202" i="16" s="1"/>
  <c r="I203" i="16" a="1"/>
  <c r="I203" i="16" s="1"/>
  <c r="I37" i="16" a="1"/>
  <c r="I37" i="16" s="1"/>
  <c r="H38" i="16" a="1"/>
  <c r="H38" i="16" s="1"/>
  <c r="H15" i="16" a="1"/>
  <c r="H15" i="16" s="1"/>
  <c r="I14" i="16" a="1"/>
  <c r="I14" i="16" s="1"/>
  <c r="Q142" i="32"/>
  <c r="Q753" i="32"/>
  <c r="AD77" i="34"/>
  <c r="E6" i="1"/>
  <c r="E5" i="1"/>
  <c r="B6" i="38" s="1"/>
  <c r="F3455" i="27" l="1"/>
  <c r="F3166" i="27"/>
  <c r="F3167" i="27" s="1"/>
  <c r="F3168" i="27" s="1"/>
  <c r="F3169" i="27" s="1"/>
  <c r="F3170" i="27" s="1"/>
  <c r="F3165" i="27"/>
  <c r="B2857" i="27"/>
  <c r="E748" i="27"/>
  <c r="I204" i="16" a="1"/>
  <c r="I204" i="16" s="1"/>
  <c r="J203" i="16" a="1"/>
  <c r="J203" i="16" s="1"/>
  <c r="H39" i="16" a="1"/>
  <c r="H39" i="16" s="1"/>
  <c r="I38" i="16" a="1"/>
  <c r="I38" i="16" s="1"/>
  <c r="H16" i="16" a="1"/>
  <c r="H16" i="16" s="1"/>
  <c r="I15" i="16" a="1"/>
  <c r="I15" i="16" s="1"/>
  <c r="AN12" i="1"/>
  <c r="B8" i="38"/>
  <c r="Q144" i="32"/>
  <c r="Q755" i="32"/>
  <c r="AD78" i="34"/>
  <c r="AN11" i="1"/>
  <c r="F3456" i="27" l="1"/>
  <c r="F3172" i="27"/>
  <c r="F3173" i="27" s="1"/>
  <c r="F3174" i="27" s="1"/>
  <c r="F3175" i="27" s="1"/>
  <c r="F3176" i="27" s="1"/>
  <c r="F3171" i="27"/>
  <c r="B2858" i="27"/>
  <c r="E749" i="27"/>
  <c r="I205" i="16" a="1"/>
  <c r="I205" i="16" s="1"/>
  <c r="J204" i="16" a="1"/>
  <c r="J204" i="16" s="1"/>
  <c r="H40" i="16" a="1"/>
  <c r="H40" i="16" s="1"/>
  <c r="I39" i="16" a="1"/>
  <c r="I39" i="16" s="1"/>
  <c r="H17" i="16" a="1"/>
  <c r="H17" i="16" s="1"/>
  <c r="I16" i="16" a="1"/>
  <c r="I16" i="16" s="1"/>
  <c r="Q146" i="32"/>
  <c r="Q757" i="32"/>
  <c r="AD79" i="34"/>
  <c r="AN9" i="1"/>
  <c r="F3457" i="27" l="1"/>
  <c r="F3177" i="27"/>
  <c r="F3178" i="27"/>
  <c r="F3179" i="27" s="1"/>
  <c r="F3180" i="27" s="1"/>
  <c r="F3181" i="27" s="1"/>
  <c r="F3182" i="27" s="1"/>
  <c r="B2859" i="27"/>
  <c r="E750" i="27"/>
  <c r="I206" i="16" a="1"/>
  <c r="I206" i="16" s="1"/>
  <c r="J205" i="16" a="1"/>
  <c r="J205" i="16" s="1"/>
  <c r="H41" i="16" a="1"/>
  <c r="H41" i="16" s="1"/>
  <c r="I40" i="16" a="1"/>
  <c r="I40" i="16" s="1"/>
  <c r="H18" i="16" a="1"/>
  <c r="H18" i="16" s="1"/>
  <c r="I17" i="16" a="1"/>
  <c r="I17" i="16" s="1"/>
  <c r="Q148" i="32"/>
  <c r="Q759" i="32"/>
  <c r="AD80" i="34"/>
  <c r="F192" i="16"/>
  <c r="F3458" i="27" l="1"/>
  <c r="F3184" i="27"/>
  <c r="F3185" i="27" s="1"/>
  <c r="F3186" i="27" s="1"/>
  <c r="F3187" i="27" s="1"/>
  <c r="F3188" i="27" s="1"/>
  <c r="F3183" i="27"/>
  <c r="E751" i="27"/>
  <c r="I207" i="16" a="1"/>
  <c r="I207" i="16" s="1"/>
  <c r="J206" i="16" a="1"/>
  <c r="J206" i="16" s="1"/>
  <c r="H42" i="16" a="1"/>
  <c r="H42" i="16" s="1"/>
  <c r="I41" i="16" a="1"/>
  <c r="I41" i="16" s="1"/>
  <c r="H19" i="16" a="1"/>
  <c r="H19" i="16" s="1"/>
  <c r="I18" i="16" a="1"/>
  <c r="I18" i="16" s="1"/>
  <c r="Q150" i="32"/>
  <c r="Q761" i="32"/>
  <c r="AD81" i="34"/>
  <c r="AR199" i="1"/>
  <c r="E9" i="1"/>
  <c r="B10" i="38" s="1"/>
  <c r="F3460" i="27" l="1"/>
  <c r="F3459" i="27"/>
  <c r="F3190" i="27"/>
  <c r="F3191" i="27" s="1"/>
  <c r="F3192" i="27" s="1"/>
  <c r="F3193" i="27" s="1"/>
  <c r="F3194" i="27" s="1"/>
  <c r="F3189" i="27"/>
  <c r="E752" i="27"/>
  <c r="I208" i="16" a="1"/>
  <c r="I208" i="16" s="1"/>
  <c r="J207" i="16" a="1"/>
  <c r="J207" i="16" s="1"/>
  <c r="H43" i="16" a="1"/>
  <c r="H43" i="16" s="1"/>
  <c r="I42" i="16" a="1"/>
  <c r="I42" i="16" s="1"/>
  <c r="H20" i="16" a="1"/>
  <c r="H20" i="16" s="1"/>
  <c r="I20" i="16" s="1" a="1"/>
  <c r="I20" i="16" s="1"/>
  <c r="I19" i="16" a="1"/>
  <c r="I19" i="16" s="1"/>
  <c r="Q152" i="32"/>
  <c r="Q763" i="32"/>
  <c r="AD82" i="34"/>
  <c r="B47" i="1"/>
  <c r="B48" i="1" s="1"/>
  <c r="B49" i="1" s="1"/>
  <c r="B50" i="1" s="1"/>
  <c r="B51" i="1" s="1"/>
  <c r="B52" i="1" s="1"/>
  <c r="B53" i="1" s="1"/>
  <c r="F3461" i="27" l="1"/>
  <c r="F3196" i="27"/>
  <c r="F3197" i="27" s="1"/>
  <c r="F3198" i="27" s="1"/>
  <c r="F3199" i="27" s="1"/>
  <c r="F3200" i="27" s="1"/>
  <c r="F3195" i="27"/>
  <c r="E753" i="27"/>
  <c r="I209" i="16" a="1"/>
  <c r="I209" i="16" s="1"/>
  <c r="J208" i="16" a="1"/>
  <c r="J208" i="16" s="1"/>
  <c r="H44" i="16" a="1"/>
  <c r="H44" i="16" s="1"/>
  <c r="I43" i="16" a="1"/>
  <c r="I43" i="16" s="1"/>
  <c r="BD20" i="30"/>
  <c r="AP29" i="30" a="1"/>
  <c r="AP29" i="30" s="1"/>
  <c r="BD32" i="30"/>
  <c r="AP23" i="30" a="1"/>
  <c r="AP23" i="30" s="1"/>
  <c r="BD14" i="30"/>
  <c r="AP33" i="30" a="1"/>
  <c r="AP33" i="30" s="1"/>
  <c r="BD22" i="30"/>
  <c r="BD12" i="30"/>
  <c r="BD38" i="30"/>
  <c r="BD18" i="30"/>
  <c r="AP27" i="30" a="1"/>
  <c r="AP27" i="30" s="1"/>
  <c r="BD16" i="30"/>
  <c r="AP19" i="30" a="1"/>
  <c r="AP19" i="30" s="1"/>
  <c r="BD26" i="30"/>
  <c r="AP15" i="30" a="1"/>
  <c r="AP15" i="30" s="1"/>
  <c r="AP35" i="30" a="1"/>
  <c r="AP35" i="30" s="1"/>
  <c r="BD36" i="30"/>
  <c r="BD34" i="30"/>
  <c r="BD10" i="30"/>
  <c r="BD24" i="30"/>
  <c r="AP25" i="30" a="1"/>
  <c r="AP25" i="30" s="1"/>
  <c r="AP37" i="30" a="1"/>
  <c r="AP37" i="30" s="1"/>
  <c r="AP21" i="30" a="1"/>
  <c r="AP21" i="30" s="1"/>
  <c r="AP13" i="30" a="1"/>
  <c r="AP13" i="30" s="1"/>
  <c r="AP17" i="30" a="1"/>
  <c r="AP17" i="30" s="1"/>
  <c r="AP31" i="30" a="1"/>
  <c r="AP31" i="30" s="1"/>
  <c r="BD30" i="30"/>
  <c r="BD28" i="30"/>
  <c r="K660" i="41"/>
  <c r="K436" i="41"/>
  <c r="K212" i="41"/>
  <c r="J800" i="41"/>
  <c r="J576" i="41"/>
  <c r="J352" i="41"/>
  <c r="J128" i="41"/>
  <c r="B194" i="42"/>
  <c r="B238" i="42"/>
  <c r="AF7" i="33"/>
  <c r="B145" i="42"/>
  <c r="K632" i="41"/>
  <c r="K408" i="41"/>
  <c r="K184" i="41"/>
  <c r="J772" i="41"/>
  <c r="J548" i="41"/>
  <c r="J324" i="41"/>
  <c r="J100" i="41"/>
  <c r="K828" i="41"/>
  <c r="K604" i="41"/>
  <c r="K380" i="41"/>
  <c r="K156" i="41"/>
  <c r="J744" i="41"/>
  <c r="J520" i="41"/>
  <c r="J296" i="41"/>
  <c r="J72" i="41"/>
  <c r="K16" i="41"/>
  <c r="B488" i="42"/>
  <c r="B96" i="42"/>
  <c r="B140" i="42"/>
  <c r="B47" i="42"/>
  <c r="AI7" i="33"/>
  <c r="B189" i="42"/>
  <c r="K800" i="41"/>
  <c r="K576" i="41"/>
  <c r="K352" i="41"/>
  <c r="K128" i="41"/>
  <c r="J716" i="41"/>
  <c r="J492" i="41"/>
  <c r="J268" i="41"/>
  <c r="J44" i="41"/>
  <c r="J16" i="41"/>
  <c r="B439" i="42"/>
  <c r="B483" i="42"/>
  <c r="B91" i="42"/>
  <c r="B42" i="42"/>
  <c r="B385" i="42"/>
  <c r="S7" i="34"/>
  <c r="K772" i="41"/>
  <c r="K548" i="41"/>
  <c r="K324" i="41"/>
  <c r="K100" i="41"/>
  <c r="J688" i="41"/>
  <c r="J464" i="41"/>
  <c r="J240" i="41"/>
  <c r="B390" i="42"/>
  <c r="B434" i="42"/>
  <c r="K744" i="41"/>
  <c r="K520" i="41"/>
  <c r="K296" i="41"/>
  <c r="K72" i="41"/>
  <c r="J660" i="41"/>
  <c r="J436" i="41"/>
  <c r="J212" i="41"/>
  <c r="B341" i="42"/>
  <c r="B287" i="42"/>
  <c r="K716" i="41"/>
  <c r="K492" i="41"/>
  <c r="K268" i="41"/>
  <c r="K44" i="41"/>
  <c r="J632" i="41"/>
  <c r="J408" i="41"/>
  <c r="J184" i="41"/>
  <c r="B292" i="42"/>
  <c r="B336" i="42"/>
  <c r="K688" i="41"/>
  <c r="K464" i="41"/>
  <c r="K240" i="41"/>
  <c r="J828" i="41"/>
  <c r="J604" i="41"/>
  <c r="J380" i="41"/>
  <c r="J156" i="41"/>
  <c r="B243" i="42"/>
  <c r="G17" i="38"/>
  <c r="F17" i="38"/>
  <c r="G16" i="38"/>
  <c r="F16" i="38"/>
  <c r="R2" i="27"/>
  <c r="AG11" i="30" s="1"/>
  <c r="S2" i="27"/>
  <c r="Q154" i="32"/>
  <c r="Q765" i="32"/>
  <c r="AD83" i="34"/>
  <c r="A47" i="1"/>
  <c r="F3462" i="27" l="1"/>
  <c r="F3201" i="27"/>
  <c r="F3202" i="27"/>
  <c r="F3203" i="27" s="1"/>
  <c r="F3204" i="27" s="1"/>
  <c r="F3205" i="27" s="1"/>
  <c r="F3206" i="27" s="1"/>
  <c r="E754" i="27"/>
  <c r="I210" i="16" a="1"/>
  <c r="I210" i="16" s="1"/>
  <c r="J209" i="16" a="1"/>
  <c r="J209" i="16" s="1"/>
  <c r="H45" i="16" a="1"/>
  <c r="H45" i="16" s="1"/>
  <c r="I44" i="16" a="1"/>
  <c r="I44" i="16" s="1"/>
  <c r="BG12" i="30"/>
  <c r="BF12" i="30"/>
  <c r="BF22" i="30"/>
  <c r="BG22" i="30"/>
  <c r="BG26" i="30"/>
  <c r="BF26" i="30"/>
  <c r="BG14" i="30"/>
  <c r="BF14" i="30"/>
  <c r="BG28" i="30"/>
  <c r="BF28" i="30"/>
  <c r="BG24" i="30"/>
  <c r="BF24" i="30"/>
  <c r="BG16" i="30"/>
  <c r="BF16" i="30"/>
  <c r="BE16" i="30" s="1"/>
  <c r="BG30" i="30"/>
  <c r="BF30" i="30"/>
  <c r="BG10" i="30"/>
  <c r="BF10" i="30"/>
  <c r="BG32" i="30"/>
  <c r="BF32" i="30"/>
  <c r="BF34" i="30"/>
  <c r="BG34" i="30"/>
  <c r="BG18" i="30"/>
  <c r="BF18" i="30"/>
  <c r="BF36" i="30"/>
  <c r="BG36" i="30"/>
  <c r="BG38" i="30"/>
  <c r="BF38" i="30"/>
  <c r="BG20" i="30"/>
  <c r="BF20" i="30"/>
  <c r="Q156" i="32"/>
  <c r="AG13" i="30"/>
  <c r="Q767" i="32"/>
  <c r="AD84" i="34"/>
  <c r="E47" i="1"/>
  <c r="N31" i="1"/>
  <c r="L31" i="1"/>
  <c r="BE38" i="30" l="1"/>
  <c r="BE20" i="30"/>
  <c r="BE18" i="30"/>
  <c r="BE30" i="30"/>
  <c r="BE32" i="30"/>
  <c r="F3463" i="27"/>
  <c r="F3208" i="27"/>
  <c r="F3209" i="27" s="1"/>
  <c r="F3210" i="27" s="1"/>
  <c r="F3211" i="27" s="1"/>
  <c r="F3212" i="27" s="1"/>
  <c r="F3207" i="27"/>
  <c r="E755" i="27"/>
  <c r="BE24" i="30"/>
  <c r="I211" i="16" a="1"/>
  <c r="I211" i="16" s="1"/>
  <c r="J210" i="16" a="1"/>
  <c r="J210" i="16" s="1"/>
  <c r="BE10" i="30"/>
  <c r="BE28" i="30"/>
  <c r="BE12" i="30"/>
  <c r="H46" i="16" a="1"/>
  <c r="H46" i="16" s="1"/>
  <c r="I45" i="16" a="1"/>
  <c r="I45" i="16" s="1"/>
  <c r="BE14" i="30"/>
  <c r="BE26" i="30"/>
  <c r="BE34" i="30"/>
  <c r="BE22" i="30"/>
  <c r="BE36" i="30"/>
  <c r="T47" i="1"/>
  <c r="A48" i="1"/>
  <c r="E48" i="1" s="1"/>
  <c r="BL9" i="33"/>
  <c r="BM10" i="33"/>
  <c r="BM9" i="33"/>
  <c r="BL10" i="33"/>
  <c r="BK10" i="33"/>
  <c r="BK9" i="33"/>
  <c r="BJ9" i="33"/>
  <c r="BJ10" i="33"/>
  <c r="AG15" i="30"/>
  <c r="Q158" i="32"/>
  <c r="Q769" i="32"/>
  <c r="I15" i="29"/>
  <c r="B12" i="38" s="1"/>
  <c r="AD85" i="34"/>
  <c r="M31" i="1"/>
  <c r="I2699" i="27"/>
  <c r="S453" i="27"/>
  <c r="F3464" i="27" l="1"/>
  <c r="F3214" i="27"/>
  <c r="F3215" i="27" s="1"/>
  <c r="F3216" i="27" s="1"/>
  <c r="F3217" i="27" s="1"/>
  <c r="F3218" i="27" s="1"/>
  <c r="F3213" i="27"/>
  <c r="E756" i="27"/>
  <c r="I212" i="16" a="1"/>
  <c r="I212" i="16" s="1"/>
  <c r="J211" i="16" a="1"/>
  <c r="J211" i="16" s="1"/>
  <c r="H47" i="16" a="1"/>
  <c r="H47" i="16" s="1"/>
  <c r="I46" i="16" a="1"/>
  <c r="I46" i="16" s="1"/>
  <c r="N48" i="1"/>
  <c r="T48" i="1"/>
  <c r="A49" i="1"/>
  <c r="G10" i="38"/>
  <c r="D247" i="40"/>
  <c r="E247" i="40" s="1"/>
  <c r="F247" i="40" s="1"/>
  <c r="G247" i="40" s="1"/>
  <c r="D409" i="40"/>
  <c r="E409" i="40" s="1"/>
  <c r="F409" i="40" s="1"/>
  <c r="G409" i="40" s="1"/>
  <c r="D212" i="41"/>
  <c r="D408" i="41"/>
  <c r="D744" i="41"/>
  <c r="D31" i="40"/>
  <c r="E31" i="40" s="1"/>
  <c r="F31" i="40" s="1"/>
  <c r="G31" i="40" s="1"/>
  <c r="D193" i="40"/>
  <c r="E193" i="40" s="1"/>
  <c r="F193" i="40" s="1"/>
  <c r="G193" i="40" s="1"/>
  <c r="D548" i="41"/>
  <c r="D520" i="41"/>
  <c r="D688" i="41"/>
  <c r="D382" i="39"/>
  <c r="E382" i="39" s="1"/>
  <c r="F382" i="39" s="1"/>
  <c r="G382" i="39" s="1"/>
  <c r="B61" i="42"/>
  <c r="B355" i="42"/>
  <c r="D492" i="41"/>
  <c r="B257" i="42"/>
  <c r="B159" i="42"/>
  <c r="D604" i="41"/>
  <c r="D128" i="41"/>
  <c r="G7" i="34"/>
  <c r="D380" i="41"/>
  <c r="D328" i="39"/>
  <c r="E328" i="39" s="1"/>
  <c r="F328" i="39" s="1"/>
  <c r="G328" i="39" s="1"/>
  <c r="D409" i="39"/>
  <c r="E409" i="39" s="1"/>
  <c r="F409" i="39" s="1"/>
  <c r="G409" i="39" s="1"/>
  <c r="D296" i="41"/>
  <c r="D464" i="41"/>
  <c r="D166" i="39"/>
  <c r="E166" i="39" s="1"/>
  <c r="F166" i="39" s="1"/>
  <c r="G166" i="39" s="1"/>
  <c r="D139" i="40"/>
  <c r="E139" i="40" s="1"/>
  <c r="F139" i="40" s="1"/>
  <c r="G139" i="40" s="1"/>
  <c r="B306" i="42"/>
  <c r="D112" i="40"/>
  <c r="E112" i="40" s="1"/>
  <c r="F112" i="40" s="1"/>
  <c r="G112" i="40" s="1"/>
  <c r="D31" i="39"/>
  <c r="E31" i="39" s="1"/>
  <c r="F31" i="39" s="1"/>
  <c r="G31" i="39" s="1"/>
  <c r="D268" i="41"/>
  <c r="N7" i="33"/>
  <c r="D85" i="39"/>
  <c r="E85" i="39" s="1"/>
  <c r="F85" i="39" s="1"/>
  <c r="G85" i="39" s="1"/>
  <c r="D220" i="39"/>
  <c r="E220" i="39" s="1"/>
  <c r="F220" i="39" s="1"/>
  <c r="G220" i="39" s="1"/>
  <c r="D576" i="41"/>
  <c r="D274" i="39"/>
  <c r="E274" i="39" s="1"/>
  <c r="F274" i="39" s="1"/>
  <c r="G274" i="39" s="1"/>
  <c r="D58" i="39"/>
  <c r="E58" i="39" s="1"/>
  <c r="F58" i="39" s="1"/>
  <c r="G58" i="39" s="1"/>
  <c r="D72" i="41"/>
  <c r="D240" i="41"/>
  <c r="D382" i="40"/>
  <c r="E382" i="40" s="1"/>
  <c r="F382" i="40" s="1"/>
  <c r="G382" i="40" s="1"/>
  <c r="D112" i="39"/>
  <c r="E112" i="39" s="1"/>
  <c r="F112" i="39" s="1"/>
  <c r="G112" i="39" s="1"/>
  <c r="D301" i="39"/>
  <c r="E301" i="39" s="1"/>
  <c r="F301" i="39" s="1"/>
  <c r="G301" i="39" s="1"/>
  <c r="B12" i="42"/>
  <c r="D355" i="40"/>
  <c r="E355" i="40" s="1"/>
  <c r="F355" i="40" s="1"/>
  <c r="G355" i="40" s="1"/>
  <c r="D324" i="41"/>
  <c r="B208" i="42"/>
  <c r="D772" i="41"/>
  <c r="D716" i="41"/>
  <c r="D166" i="40"/>
  <c r="E166" i="40" s="1"/>
  <c r="F166" i="40" s="1"/>
  <c r="G166" i="40" s="1"/>
  <c r="K7" i="31"/>
  <c r="D220" i="40"/>
  <c r="E220" i="40" s="1"/>
  <c r="F220" i="40" s="1"/>
  <c r="G220" i="40" s="1"/>
  <c r="F10" i="38"/>
  <c r="D58" i="40"/>
  <c r="E58" i="40" s="1"/>
  <c r="F58" i="40" s="1"/>
  <c r="G58" i="40" s="1"/>
  <c r="D184" i="41"/>
  <c r="D352" i="41"/>
  <c r="B110" i="42"/>
  <c r="B453" i="42"/>
  <c r="D16" i="41"/>
  <c r="B404" i="42"/>
  <c r="D660" i="41"/>
  <c r="D355" i="39"/>
  <c r="E355" i="39" s="1"/>
  <c r="F355" i="39" s="1"/>
  <c r="G355" i="39" s="1"/>
  <c r="D828" i="41"/>
  <c r="D247" i="39"/>
  <c r="E247" i="39" s="1"/>
  <c r="F247" i="39" s="1"/>
  <c r="G247" i="39" s="1"/>
  <c r="D44" i="41"/>
  <c r="D301" i="40"/>
  <c r="E301" i="40" s="1"/>
  <c r="F301" i="40" s="1"/>
  <c r="G301" i="40" s="1"/>
  <c r="D193" i="39"/>
  <c r="E193" i="39" s="1"/>
  <c r="F193" i="39" s="1"/>
  <c r="G193" i="39" s="1"/>
  <c r="K7" i="30"/>
  <c r="D436" i="41"/>
  <c r="D139" i="39"/>
  <c r="E139" i="39" s="1"/>
  <c r="F139" i="39" s="1"/>
  <c r="G139" i="39" s="1"/>
  <c r="D632" i="41"/>
  <c r="D156" i="41"/>
  <c r="D328" i="40"/>
  <c r="E328" i="40" s="1"/>
  <c r="F328" i="40" s="1"/>
  <c r="G328" i="40" s="1"/>
  <c r="D274" i="40"/>
  <c r="E274" i="40" s="1"/>
  <c r="F274" i="40" s="1"/>
  <c r="G274" i="40" s="1"/>
  <c r="D800" i="41"/>
  <c r="D85" i="40"/>
  <c r="E85" i="40" s="1"/>
  <c r="F85" i="40" s="1"/>
  <c r="G85" i="40" s="1"/>
  <c r="D100" i="41"/>
  <c r="Q160" i="32"/>
  <c r="AG17" i="30"/>
  <c r="Q771" i="32"/>
  <c r="I16" i="29"/>
  <c r="B13" i="38" s="1"/>
  <c r="AD86" i="34"/>
  <c r="F3466" i="27" l="1"/>
  <c r="F3465" i="27"/>
  <c r="F3220" i="27"/>
  <c r="F3221" i="27" s="1"/>
  <c r="F3222" i="27" s="1"/>
  <c r="F3223" i="27" s="1"/>
  <c r="F3224" i="27" s="1"/>
  <c r="F3219" i="27"/>
  <c r="E757" i="27"/>
  <c r="O7" i="31"/>
  <c r="L376" i="27"/>
  <c r="L418" i="27"/>
  <c r="L424" i="27"/>
  <c r="L394" i="27"/>
  <c r="L430" i="27"/>
  <c r="L370" i="27"/>
  <c r="L400" i="27"/>
  <c r="L436" i="27"/>
  <c r="L406" i="27"/>
  <c r="L442" i="27"/>
  <c r="L382" i="27"/>
  <c r="L388" i="27"/>
  <c r="L358" i="27"/>
  <c r="L364" i="27"/>
  <c r="L412" i="27"/>
  <c r="O7" i="30"/>
  <c r="L134" i="27"/>
  <c r="L146" i="27"/>
  <c r="L218" i="27"/>
  <c r="L152" i="27"/>
  <c r="L194" i="27"/>
  <c r="L206" i="27"/>
  <c r="L176" i="27"/>
  <c r="L182" i="27"/>
  <c r="L170" i="27"/>
  <c r="L212" i="27"/>
  <c r="L188" i="27"/>
  <c r="L164" i="27"/>
  <c r="L158" i="27"/>
  <c r="L140" i="27"/>
  <c r="L200" i="27"/>
  <c r="I213" i="16" a="1"/>
  <c r="I213" i="16" s="1"/>
  <c r="J212" i="16" a="1"/>
  <c r="J212" i="16" s="1"/>
  <c r="H48" i="16" a="1"/>
  <c r="H48" i="16" s="1"/>
  <c r="I47" i="16" a="1"/>
  <c r="I47" i="16" s="1"/>
  <c r="E49" i="1"/>
  <c r="E156" i="41" s="1"/>
  <c r="F11" i="38"/>
  <c r="AG19" i="30"/>
  <c r="AG21" i="30" s="1"/>
  <c r="Q162" i="32"/>
  <c r="Q773" i="32"/>
  <c r="I17" i="29"/>
  <c r="B14" i="38" s="1"/>
  <c r="AD87" i="34"/>
  <c r="L43" i="27"/>
  <c r="J315" i="22"/>
  <c r="J159" i="22"/>
  <c r="B458" i="42" l="1"/>
  <c r="F3467" i="27"/>
  <c r="F3225" i="27"/>
  <c r="F3226" i="27"/>
  <c r="F3227" i="27" s="1"/>
  <c r="F3228" i="27" s="1"/>
  <c r="F3229" i="27" s="1"/>
  <c r="F3230" i="27" s="1"/>
  <c r="E828" i="41"/>
  <c r="E758" i="27"/>
  <c r="S7" i="31"/>
  <c r="L437" i="27"/>
  <c r="L413" i="27"/>
  <c r="L443" i="27"/>
  <c r="L407" i="27"/>
  <c r="L383" i="27"/>
  <c r="L371" i="27"/>
  <c r="L425" i="27"/>
  <c r="L377" i="27"/>
  <c r="L401" i="27"/>
  <c r="L359" i="27"/>
  <c r="L419" i="27"/>
  <c r="L389" i="27"/>
  <c r="L395" i="27"/>
  <c r="L365" i="27"/>
  <c r="L431" i="27"/>
  <c r="S7" i="30"/>
  <c r="L171" i="27"/>
  <c r="L213" i="27"/>
  <c r="L135" i="27"/>
  <c r="L195" i="27"/>
  <c r="L207" i="27"/>
  <c r="L189" i="27"/>
  <c r="L147" i="27"/>
  <c r="L219" i="27"/>
  <c r="L141" i="27"/>
  <c r="L165" i="27"/>
  <c r="L159" i="27"/>
  <c r="L201" i="27"/>
  <c r="L183" i="27"/>
  <c r="L153" i="27"/>
  <c r="L177" i="27"/>
  <c r="B213" i="42"/>
  <c r="E604" i="41"/>
  <c r="E548" i="41"/>
  <c r="B409" i="42"/>
  <c r="E100" i="41"/>
  <c r="E212" i="41"/>
  <c r="E128" i="41"/>
  <c r="B115" i="42"/>
  <c r="B66" i="42"/>
  <c r="E380" i="41"/>
  <c r="E772" i="41"/>
  <c r="B164" i="42"/>
  <c r="E436" i="41"/>
  <c r="E296" i="41"/>
  <c r="E744" i="41"/>
  <c r="Q7" i="33"/>
  <c r="E324" i="41"/>
  <c r="E800" i="41"/>
  <c r="E184" i="41"/>
  <c r="E72" i="41"/>
  <c r="E576" i="41"/>
  <c r="E660" i="41"/>
  <c r="E268" i="41"/>
  <c r="B360" i="42"/>
  <c r="B262" i="42"/>
  <c r="E44" i="41"/>
  <c r="E16" i="41"/>
  <c r="E352" i="41"/>
  <c r="E464" i="41"/>
  <c r="B311" i="42"/>
  <c r="E240" i="41"/>
  <c r="I7" i="34"/>
  <c r="E520" i="41"/>
  <c r="B17" i="42"/>
  <c r="E492" i="41"/>
  <c r="E716" i="41"/>
  <c r="E408" i="41"/>
  <c r="E688" i="41"/>
  <c r="E632" i="41"/>
  <c r="I214" i="16" a="1"/>
  <c r="I214" i="16" s="1"/>
  <c r="J213" i="16" a="1"/>
  <c r="J213" i="16" s="1"/>
  <c r="H49" i="16" a="1"/>
  <c r="H49" i="16" s="1"/>
  <c r="I48" i="16" a="1"/>
  <c r="I48" i="16" s="1"/>
  <c r="N49" i="1"/>
  <c r="T49" i="1"/>
  <c r="A50" i="1"/>
  <c r="G11" i="38"/>
  <c r="I18" i="29"/>
  <c r="AG23" i="30"/>
  <c r="Q164" i="32"/>
  <c r="Q775" i="32"/>
  <c r="AD88" i="34"/>
  <c r="J3" i="22"/>
  <c r="F3468" i="27" l="1"/>
  <c r="F3232" i="27"/>
  <c r="F3233" i="27" s="1"/>
  <c r="F3234" i="27" s="1"/>
  <c r="F3235" i="27" s="1"/>
  <c r="F3236" i="27" s="1"/>
  <c r="F3231" i="27"/>
  <c r="E759" i="27"/>
  <c r="W7" i="31"/>
  <c r="L384" i="27"/>
  <c r="L366" i="27"/>
  <c r="L426" i="27"/>
  <c r="L378" i="27"/>
  <c r="L402" i="27"/>
  <c r="L414" i="27"/>
  <c r="L396" i="27"/>
  <c r="L360" i="27"/>
  <c r="L444" i="27"/>
  <c r="L432" i="27"/>
  <c r="L372" i="27"/>
  <c r="L438" i="27"/>
  <c r="L408" i="27"/>
  <c r="L390" i="27"/>
  <c r="L420" i="27"/>
  <c r="W7" i="30"/>
  <c r="L190" i="27"/>
  <c r="L208" i="27"/>
  <c r="L154" i="27"/>
  <c r="L148" i="27"/>
  <c r="L142" i="27"/>
  <c r="L172" i="27"/>
  <c r="L178" i="27"/>
  <c r="L160" i="27"/>
  <c r="L214" i="27"/>
  <c r="L202" i="27"/>
  <c r="L184" i="27"/>
  <c r="L166" i="27"/>
  <c r="L220" i="27"/>
  <c r="L196" i="27"/>
  <c r="L136" i="27"/>
  <c r="J214" i="16" a="1"/>
  <c r="J214" i="16" s="1"/>
  <c r="I215" i="16" a="1"/>
  <c r="I215" i="16" s="1"/>
  <c r="H50" i="16" a="1"/>
  <c r="H50" i="16" s="1"/>
  <c r="I49" i="16" a="1"/>
  <c r="I49" i="16" s="1"/>
  <c r="E50" i="1"/>
  <c r="B71" i="42" s="1"/>
  <c r="F12" i="38"/>
  <c r="I19" i="29"/>
  <c r="B16" i="38" s="1"/>
  <c r="B15" i="38"/>
  <c r="AG25" i="30"/>
  <c r="Q166" i="32"/>
  <c r="Q777" i="32"/>
  <c r="F27" i="16" a="1"/>
  <c r="F27" i="16" s="1"/>
  <c r="F184" i="41" l="1"/>
  <c r="T7" i="33"/>
  <c r="F576" i="41"/>
  <c r="F3469" i="27"/>
  <c r="F3238" i="27"/>
  <c r="F3239" i="27" s="1"/>
  <c r="F3240" i="27" s="1"/>
  <c r="F3241" i="27" s="1"/>
  <c r="F3242" i="27" s="1"/>
  <c r="F3237" i="27"/>
  <c r="E760" i="27"/>
  <c r="B414" i="42"/>
  <c r="F520" i="41"/>
  <c r="L427" i="27"/>
  <c r="L439" i="27"/>
  <c r="L409" i="27"/>
  <c r="L421" i="27"/>
  <c r="L397" i="27"/>
  <c r="L373" i="27"/>
  <c r="L433" i="27"/>
  <c r="L403" i="27"/>
  <c r="L445" i="27"/>
  <c r="L391" i="27"/>
  <c r="L361" i="27"/>
  <c r="L415" i="27"/>
  <c r="L367" i="27"/>
  <c r="L385" i="27"/>
  <c r="L379" i="27"/>
  <c r="L137" i="27"/>
  <c r="L149" i="27"/>
  <c r="L221" i="27"/>
  <c r="L185" i="27"/>
  <c r="L167" i="27"/>
  <c r="L203" i="27"/>
  <c r="L143" i="27"/>
  <c r="L179" i="27"/>
  <c r="L161" i="27"/>
  <c r="L215" i="27"/>
  <c r="L191" i="27"/>
  <c r="L173" i="27"/>
  <c r="L197" i="27"/>
  <c r="L155" i="27"/>
  <c r="L209" i="27"/>
  <c r="K7" i="34"/>
  <c r="F716" i="41"/>
  <c r="F436" i="41"/>
  <c r="F660" i="41"/>
  <c r="B120" i="42"/>
  <c r="F324" i="41"/>
  <c r="F548" i="41"/>
  <c r="F380" i="41"/>
  <c r="B365" i="42"/>
  <c r="F492" i="41"/>
  <c r="B316" i="42"/>
  <c r="F772" i="41"/>
  <c r="F128" i="41"/>
  <c r="B22" i="42"/>
  <c r="F800" i="41"/>
  <c r="B463" i="42"/>
  <c r="F156" i="41"/>
  <c r="F240" i="41"/>
  <c r="B169" i="42"/>
  <c r="F296" i="41"/>
  <c r="F604" i="41"/>
  <c r="F100" i="41"/>
  <c r="F352" i="41"/>
  <c r="F464" i="41"/>
  <c r="F212" i="41"/>
  <c r="B218" i="42"/>
  <c r="F688" i="41"/>
  <c r="I216" i="16" a="1"/>
  <c r="I216" i="16" s="1"/>
  <c r="J215" i="16" a="1"/>
  <c r="J215" i="16" s="1"/>
  <c r="F28" i="16" a="1"/>
  <c r="F28" i="16" s="1"/>
  <c r="H51" i="16" a="1"/>
  <c r="H51" i="16" s="1"/>
  <c r="I50" i="16" a="1"/>
  <c r="I50" i="16" s="1"/>
  <c r="F828" i="41"/>
  <c r="F408" i="41"/>
  <c r="F44" i="41"/>
  <c r="F744" i="41"/>
  <c r="F268" i="41"/>
  <c r="F16" i="41"/>
  <c r="F72" i="41"/>
  <c r="B267" i="42"/>
  <c r="F632" i="41"/>
  <c r="N50" i="1"/>
  <c r="T50" i="1"/>
  <c r="A51" i="1"/>
  <c r="G12" i="38"/>
  <c r="I20" i="29"/>
  <c r="B17" i="38" s="1"/>
  <c r="AG27" i="30"/>
  <c r="Q168" i="32"/>
  <c r="Q779" i="32"/>
  <c r="F4" i="16" a="1"/>
  <c r="F4" i="16" s="1"/>
  <c r="F3470" i="27" l="1"/>
  <c r="F3244" i="27"/>
  <c r="F3245" i="27" s="1"/>
  <c r="F3246" i="27" s="1"/>
  <c r="F3247" i="27" s="1"/>
  <c r="F3248" i="27" s="1"/>
  <c r="F3243" i="27"/>
  <c r="E761" i="27"/>
  <c r="I217" i="16" a="1"/>
  <c r="I217" i="16" s="1"/>
  <c r="J216" i="16" a="1"/>
  <c r="J216" i="16" s="1"/>
  <c r="H52" i="16" a="1"/>
  <c r="H52" i="16" s="1"/>
  <c r="I51" i="16" a="1"/>
  <c r="I51" i="16" s="1"/>
  <c r="F29" i="16" a="1"/>
  <c r="F29" i="16" s="1"/>
  <c r="F5" i="16" a="1"/>
  <c r="F5" i="16" s="1"/>
  <c r="F6" i="16" s="1" a="1"/>
  <c r="F6" i="16" s="1"/>
  <c r="E51" i="1"/>
  <c r="G324" i="41"/>
  <c r="G44" i="41"/>
  <c r="G464" i="41"/>
  <c r="B223" i="42"/>
  <c r="G660" i="41"/>
  <c r="G800" i="41"/>
  <c r="G408" i="41"/>
  <c r="G100" i="41"/>
  <c r="G240" i="41"/>
  <c r="G436" i="41"/>
  <c r="B174" i="42"/>
  <c r="G184" i="41"/>
  <c r="B272" i="42"/>
  <c r="G632" i="41"/>
  <c r="G744" i="41"/>
  <c r="G212" i="41"/>
  <c r="G828" i="41"/>
  <c r="B468" i="42"/>
  <c r="G520" i="41"/>
  <c r="F13" i="38"/>
  <c r="G156" i="41"/>
  <c r="G72" i="41"/>
  <c r="B321" i="42"/>
  <c r="G604" i="41"/>
  <c r="B76" i="42"/>
  <c r="G296" i="41"/>
  <c r="M7" i="34"/>
  <c r="G576" i="41"/>
  <c r="G380" i="41"/>
  <c r="G352" i="41"/>
  <c r="W7" i="33"/>
  <c r="G16" i="41"/>
  <c r="B27" i="42"/>
  <c r="G688" i="41"/>
  <c r="G128" i="41"/>
  <c r="B419" i="42"/>
  <c r="G716" i="41"/>
  <c r="G772" i="41"/>
  <c r="B370" i="42"/>
  <c r="G492" i="41"/>
  <c r="B125" i="42"/>
  <c r="G268" i="41"/>
  <c r="G548" i="41"/>
  <c r="I21" i="29"/>
  <c r="I22" i="29" s="1"/>
  <c r="Q170" i="32"/>
  <c r="AG29" i="30"/>
  <c r="Q781" i="32"/>
  <c r="C20" i="19" a="1"/>
  <c r="C20" i="19" s="1"/>
  <c r="C3" i="19" a="1"/>
  <c r="C3" i="19" s="1"/>
  <c r="C21" i="19" l="1" a="1"/>
  <c r="C21" i="19" s="1"/>
  <c r="C22" i="19" s="1" a="1"/>
  <c r="C22" i="19" s="1"/>
  <c r="F3471" i="27"/>
  <c r="F3472" i="27"/>
  <c r="F3249" i="27"/>
  <c r="F3250" i="27"/>
  <c r="F3251" i="27" s="1"/>
  <c r="F3252" i="27" s="1"/>
  <c r="F3253" i="27" s="1"/>
  <c r="F3254" i="27" s="1"/>
  <c r="E762" i="27"/>
  <c r="C4" i="19" a="1"/>
  <c r="C4" i="19" s="1"/>
  <c r="C5" i="19" s="1" a="1"/>
  <c r="C5" i="19" s="1"/>
  <c r="I218" i="16" a="1"/>
  <c r="I218" i="16" s="1"/>
  <c r="J217" i="16" a="1"/>
  <c r="J217" i="16" s="1"/>
  <c r="H53" i="16" a="1"/>
  <c r="H53" i="16" s="1"/>
  <c r="I52" i="16" a="1"/>
  <c r="I52" i="16" s="1"/>
  <c r="F30" i="16" a="1"/>
  <c r="F30" i="16" s="1"/>
  <c r="F7" i="16" a="1"/>
  <c r="F7" i="16" s="1"/>
  <c r="N51" i="1"/>
  <c r="T51" i="1"/>
  <c r="A52" i="1"/>
  <c r="G13" i="38"/>
  <c r="I23" i="29"/>
  <c r="AG31" i="30"/>
  <c r="Q172" i="32"/>
  <c r="Q783" i="32"/>
  <c r="Z124" i="1"/>
  <c r="G102" i="1"/>
  <c r="G78" i="1"/>
  <c r="G60" i="1"/>
  <c r="C23" i="19" l="1" a="1"/>
  <c r="C23" i="19" s="1"/>
  <c r="F3473" i="27"/>
  <c r="F3256" i="27"/>
  <c r="F3257" i="27" s="1"/>
  <c r="F3258" i="27" s="1"/>
  <c r="F3259" i="27" s="1"/>
  <c r="F3260" i="27" s="1"/>
  <c r="F3255" i="27"/>
  <c r="E763" i="27"/>
  <c r="C6" i="19" a="1"/>
  <c r="C6" i="19" s="1"/>
  <c r="C7" i="19" s="1" a="1"/>
  <c r="C7" i="19" s="1"/>
  <c r="I219" i="16" a="1"/>
  <c r="I219" i="16" s="1"/>
  <c r="J218" i="16" a="1"/>
  <c r="J218" i="16" s="1"/>
  <c r="H54" i="16" a="1"/>
  <c r="H54" i="16" s="1"/>
  <c r="I53" i="16" a="1"/>
  <c r="I53" i="16" s="1"/>
  <c r="F31" i="16" a="1"/>
  <c r="F31" i="16" s="1"/>
  <c r="F8" i="16" a="1"/>
  <c r="F8" i="16" s="1"/>
  <c r="F9" i="16" s="1" a="1"/>
  <c r="F9" i="16" s="1"/>
  <c r="E52" i="1"/>
  <c r="H16" i="41"/>
  <c r="B130" i="42"/>
  <c r="H828" i="41"/>
  <c r="H800" i="41"/>
  <c r="H156" i="41"/>
  <c r="H240" i="41"/>
  <c r="B424" i="42"/>
  <c r="H520" i="41"/>
  <c r="H268" i="41"/>
  <c r="H380" i="41"/>
  <c r="H688" i="41"/>
  <c r="H576" i="41"/>
  <c r="O7" i="34"/>
  <c r="B81" i="42"/>
  <c r="B473" i="42"/>
  <c r="H660" i="41"/>
  <c r="H44" i="41"/>
  <c r="H464" i="41"/>
  <c r="H632" i="41"/>
  <c r="H352" i="41"/>
  <c r="Z7" i="33"/>
  <c r="H772" i="41"/>
  <c r="B375" i="42"/>
  <c r="H716" i="41"/>
  <c r="H436" i="41"/>
  <c r="H324" i="41"/>
  <c r="H296" i="41"/>
  <c r="B179" i="42"/>
  <c r="H72" i="41"/>
  <c r="H408" i="41"/>
  <c r="H128" i="41"/>
  <c r="H548" i="41"/>
  <c r="B32" i="42"/>
  <c r="H744" i="41"/>
  <c r="H604" i="41"/>
  <c r="H492" i="41"/>
  <c r="B277" i="42"/>
  <c r="F14" i="38"/>
  <c r="H184" i="41"/>
  <c r="B326" i="42"/>
  <c r="B228" i="42"/>
  <c r="H100" i="41"/>
  <c r="H212" i="41"/>
  <c r="I24" i="29"/>
  <c r="AG33" i="30"/>
  <c r="Q174" i="32"/>
  <c r="Q785" i="32"/>
  <c r="C24" i="19" l="1" a="1"/>
  <c r="C24" i="19" s="1"/>
  <c r="F3474" i="27"/>
  <c r="F3262" i="27"/>
  <c r="F3263" i="27" s="1"/>
  <c r="F3264" i="27" s="1"/>
  <c r="F3265" i="27" s="1"/>
  <c r="F3266" i="27" s="1"/>
  <c r="F3261" i="27"/>
  <c r="E764" i="27"/>
  <c r="C8" i="19" a="1"/>
  <c r="C8" i="19" s="1"/>
  <c r="C9" i="19" s="1" a="1"/>
  <c r="C9" i="19" s="1"/>
  <c r="C10" i="19" s="1" a="1"/>
  <c r="C10" i="19" s="1"/>
  <c r="C11" i="19" s="1" a="1"/>
  <c r="C11" i="19" s="1"/>
  <c r="I220" i="16" a="1"/>
  <c r="I220" i="16" s="1"/>
  <c r="J219" i="16" a="1"/>
  <c r="J219" i="16" s="1"/>
  <c r="F32" i="16" a="1"/>
  <c r="F32" i="16" s="1"/>
  <c r="F33" i="16" s="1" a="1"/>
  <c r="F33" i="16" s="1"/>
  <c r="H55" i="16" a="1"/>
  <c r="H55" i="16" s="1"/>
  <c r="I54" i="16" a="1"/>
  <c r="I54" i="16" s="1"/>
  <c r="F10" i="16" a="1"/>
  <c r="F10" i="16" s="1"/>
  <c r="N52" i="1"/>
  <c r="T52" i="1"/>
  <c r="A53" i="1"/>
  <c r="G14" i="38"/>
  <c r="I25" i="29"/>
  <c r="I26" i="29" s="1"/>
  <c r="I27" i="29" s="1"/>
  <c r="I28" i="29" s="1"/>
  <c r="I29" i="29" s="1"/>
  <c r="I30" i="29" s="1"/>
  <c r="I31" i="29" s="1"/>
  <c r="I32" i="29" s="1"/>
  <c r="I33" i="29" s="1"/>
  <c r="I34" i="29" s="1"/>
  <c r="I35" i="29" s="1"/>
  <c r="I36" i="29" s="1"/>
  <c r="I37" i="29" s="1"/>
  <c r="I38" i="29" s="1"/>
  <c r="I39" i="29" s="1"/>
  <c r="I40" i="29" s="1"/>
  <c r="I41" i="29" s="1"/>
  <c r="Q176" i="32"/>
  <c r="AG35" i="30"/>
  <c r="Q787" i="32"/>
  <c r="A1113" i="19" a="1"/>
  <c r="A1113" i="19" s="1"/>
  <c r="A1114" i="19" s="1" a="1"/>
  <c r="A1114" i="19" s="1"/>
  <c r="A1115" i="19" s="1" a="1"/>
  <c r="A1115" i="19" s="1"/>
  <c r="A1116" i="19" s="1" a="1"/>
  <c r="A1116" i="19" s="1"/>
  <c r="C152" i="20"/>
  <c r="D152" i="20" s="1"/>
  <c r="C83" i="20"/>
  <c r="D83" i="20" s="1"/>
  <c r="C3" i="20"/>
  <c r="D3" i="20" s="1"/>
  <c r="C25" i="19" l="1" a="1"/>
  <c r="C25" i="19" s="1"/>
  <c r="F3475" i="27"/>
  <c r="F3268" i="27"/>
  <c r="F3269" i="27" s="1"/>
  <c r="F3270" i="27" s="1"/>
  <c r="F3271" i="27" s="1"/>
  <c r="F3272" i="27" s="1"/>
  <c r="F3267" i="27"/>
  <c r="E765" i="27"/>
  <c r="I221" i="16" a="1"/>
  <c r="I221" i="16" s="1"/>
  <c r="J220" i="16" a="1"/>
  <c r="J220" i="16" s="1"/>
  <c r="H56" i="16" a="1"/>
  <c r="H56" i="16" s="1"/>
  <c r="I55" i="16" a="1"/>
  <c r="I55" i="16" s="1"/>
  <c r="F34" i="16" a="1"/>
  <c r="F34" i="16" s="1"/>
  <c r="F35" i="16" s="1" a="1"/>
  <c r="F35" i="16" s="1"/>
  <c r="F36" i="16" s="1" a="1"/>
  <c r="F36" i="16" s="1"/>
  <c r="F37" i="16" s="1"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F57" i="16" s="1" a="1"/>
  <c r="F57" i="16" s="1"/>
  <c r="F58" i="16" s="1" a="1"/>
  <c r="F58" i="16" s="1"/>
  <c r="F59" i="16" s="1" a="1"/>
  <c r="F59" i="16" s="1"/>
  <c r="F60" i="16" s="1" a="1"/>
  <c r="F60" i="16" s="1"/>
  <c r="F61" i="16" s="1" a="1"/>
  <c r="F61" i="16" s="1"/>
  <c r="F62" i="16" s="1" a="1"/>
  <c r="F62" i="16" s="1"/>
  <c r="F63" i="16" s="1" a="1"/>
  <c r="F63" i="16" s="1"/>
  <c r="F64" i="16" s="1" a="1"/>
  <c r="F64" i="16" s="1"/>
  <c r="F65" i="16" s="1" a="1"/>
  <c r="F65" i="16" s="1"/>
  <c r="F66" i="16" s="1" a="1"/>
  <c r="F66" i="16" s="1"/>
  <c r="F67" i="16" s="1" a="1"/>
  <c r="F67" i="16" s="1"/>
  <c r="F68" i="16" s="1" a="1"/>
  <c r="F68" i="16" s="1"/>
  <c r="F69" i="16" s="1" a="1"/>
  <c r="F69" i="16" s="1"/>
  <c r="F70" i="16" s="1" a="1"/>
  <c r="F70" i="16" s="1"/>
  <c r="F71" i="16" s="1" a="1"/>
  <c r="F71" i="16" s="1"/>
  <c r="F72" i="16" s="1" a="1"/>
  <c r="F72" i="16" s="1"/>
  <c r="F73" i="16" s="1" a="1"/>
  <c r="F73" i="16" s="1"/>
  <c r="F74" i="16" s="1" a="1"/>
  <c r="F74" i="16" s="1"/>
  <c r="F75" i="16" s="1" a="1"/>
  <c r="F75" i="16" s="1"/>
  <c r="F76" i="16" s="1" a="1"/>
  <c r="F76" i="16" s="1"/>
  <c r="F77" i="16" s="1" a="1"/>
  <c r="F77" i="16" s="1"/>
  <c r="F78" i="16" s="1" a="1"/>
  <c r="F78" i="16" s="1"/>
  <c r="F79" i="16" s="1" a="1"/>
  <c r="F79" i="16" s="1"/>
  <c r="F80" i="16" s="1" a="1"/>
  <c r="F80" i="16" s="1"/>
  <c r="F11" i="16" a="1"/>
  <c r="F11" i="16" s="1"/>
  <c r="F12" i="16" s="1" a="1"/>
  <c r="F12" i="16" s="1"/>
  <c r="F13" i="16" s="1" a="1"/>
  <c r="F13" i="16" s="1"/>
  <c r="F14" i="16" s="1" a="1"/>
  <c r="F14" i="16" s="1"/>
  <c r="F15" i="16" s="1" a="1"/>
  <c r="F15" i="16" s="1"/>
  <c r="F16" i="16" s="1" a="1"/>
  <c r="F16" i="16" s="1"/>
  <c r="F17" i="16" s="1" a="1"/>
  <c r="F17" i="16" s="1"/>
  <c r="F18" i="16" s="1" a="1"/>
  <c r="F18" i="16" s="1"/>
  <c r="F19" i="16" s="1" a="1"/>
  <c r="F19" i="16" s="1"/>
  <c r="F20" i="16" s="1" a="1"/>
  <c r="F20" i="16" s="1"/>
  <c r="E53" i="1"/>
  <c r="T53" i="1" s="1"/>
  <c r="I492" i="41"/>
  <c r="I240" i="41"/>
  <c r="I212" i="41"/>
  <c r="I632" i="41"/>
  <c r="B233" i="42"/>
  <c r="I828" i="41"/>
  <c r="I576" i="41"/>
  <c r="I268" i="41"/>
  <c r="I408" i="41"/>
  <c r="I604" i="41"/>
  <c r="I352" i="41"/>
  <c r="I72" i="41"/>
  <c r="B429" i="42"/>
  <c r="B135" i="42"/>
  <c r="B478" i="42"/>
  <c r="I520" i="41"/>
  <c r="B380" i="42"/>
  <c r="F15" i="38"/>
  <c r="I44" i="41"/>
  <c r="I184" i="41"/>
  <c r="B331" i="42"/>
  <c r="I380" i="41"/>
  <c r="I128" i="41"/>
  <c r="I100" i="41"/>
  <c r="I744" i="41"/>
  <c r="I436" i="41"/>
  <c r="B86" i="42"/>
  <c r="I156" i="41"/>
  <c r="I16" i="41"/>
  <c r="I772" i="41"/>
  <c r="I324" i="41"/>
  <c r="AC7" i="33"/>
  <c r="I296" i="41"/>
  <c r="B282" i="42"/>
  <c r="B184" i="42"/>
  <c r="I548" i="41"/>
  <c r="B37" i="42"/>
  <c r="I464" i="41"/>
  <c r="I800" i="41"/>
  <c r="I688" i="41"/>
  <c r="I660" i="41"/>
  <c r="Q7" i="34"/>
  <c r="I716" i="41"/>
  <c r="Q178" i="32"/>
  <c r="AG37" i="30"/>
  <c r="O1821" i="32" a="1"/>
  <c r="O1821" i="32" s="1"/>
  <c r="N1821" i="32" a="1"/>
  <c r="N1821" i="32" s="1"/>
  <c r="Q789" i="32"/>
  <c r="B1113" i="19"/>
  <c r="B1114" i="19" s="1"/>
  <c r="B1115" i="19" s="1"/>
  <c r="B1116" i="19" s="1"/>
  <c r="J218" i="27"/>
  <c r="I218" i="27"/>
  <c r="C26" i="19" l="1" a="1"/>
  <c r="C26" i="19" s="1"/>
  <c r="C27" i="19" s="1" a="1"/>
  <c r="C27" i="19" s="1"/>
  <c r="C28" i="19" s="1" a="1"/>
  <c r="C28" i="19" s="1"/>
  <c r="C29" i="19" s="1" a="1"/>
  <c r="C29" i="19" s="1"/>
  <c r="C30" i="19" s="1" a="1"/>
  <c r="C30" i="19" s="1"/>
  <c r="C31" i="19" s="1" a="1"/>
  <c r="C31" i="19" s="1"/>
  <c r="C32" i="19" s="1" a="1"/>
  <c r="C32" i="19" s="1"/>
  <c r="C33" i="19" s="1" a="1"/>
  <c r="C33" i="19" s="1"/>
  <c r="C34" i="19" s="1"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C256" i="19" s="1" a="1"/>
  <c r="C256" i="19" s="1"/>
  <c r="C257" i="19" s="1" a="1"/>
  <c r="C257" i="19" s="1"/>
  <c r="C258" i="19" s="1" a="1"/>
  <c r="C258" i="19" s="1"/>
  <c r="C259" i="19" s="1" a="1"/>
  <c r="C259" i="19" s="1"/>
  <c r="C260" i="19" s="1" a="1"/>
  <c r="C260" i="19" s="1"/>
  <c r="C261" i="19" s="1" a="1"/>
  <c r="C261" i="19" s="1"/>
  <c r="C262" i="19" s="1" a="1"/>
  <c r="C262" i="19" s="1"/>
  <c r="C263" i="19" s="1" a="1"/>
  <c r="C263" i="19" s="1"/>
  <c r="C264" i="19" s="1" a="1"/>
  <c r="C264" i="19" s="1"/>
  <c r="C265" i="19" s="1" a="1"/>
  <c r="C265" i="19" s="1"/>
  <c r="C266" i="19" s="1" a="1"/>
  <c r="C266" i="19" s="1"/>
  <c r="C267" i="19" s="1" a="1"/>
  <c r="C267" i="19" s="1"/>
  <c r="C268" i="19" s="1" a="1"/>
  <c r="C268" i="19" s="1"/>
  <c r="C269" i="19" s="1" a="1"/>
  <c r="C269" i="19" s="1"/>
  <c r="C270" i="19" s="1" a="1"/>
  <c r="C270" i="19" s="1"/>
  <c r="C271" i="19" s="1" a="1"/>
  <c r="C271" i="19" s="1"/>
  <c r="C272" i="19" s="1" a="1"/>
  <c r="C272" i="19" s="1"/>
  <c r="C273" i="19" s="1" a="1"/>
  <c r="C273" i="19" s="1"/>
  <c r="C274" i="19" s="1" a="1"/>
  <c r="C274" i="19" s="1"/>
  <c r="C275" i="19" s="1" a="1"/>
  <c r="C275" i="19" s="1"/>
  <c r="C276" i="19" s="1" a="1"/>
  <c r="C276" i="19" s="1"/>
  <c r="C277" i="19" s="1" a="1"/>
  <c r="C277" i="19" s="1"/>
  <c r="C278" i="19" s="1" a="1"/>
  <c r="C278" i="19" s="1"/>
  <c r="C279" i="19" s="1" a="1"/>
  <c r="C279" i="19" s="1"/>
  <c r="C280" i="19" s="1" a="1"/>
  <c r="C280" i="19" s="1"/>
  <c r="C281" i="19" s="1" a="1"/>
  <c r="C281" i="19" s="1"/>
  <c r="C282" i="19" s="1" a="1"/>
  <c r="C282" i="19" s="1"/>
  <c r="C283" i="19" s="1" a="1"/>
  <c r="C283" i="19" s="1"/>
  <c r="C284" i="19" s="1" a="1"/>
  <c r="C284" i="19" s="1"/>
  <c r="C285" i="19" s="1" a="1"/>
  <c r="C285" i="19" s="1"/>
  <c r="C286" i="19" s="1" a="1"/>
  <c r="C286" i="19" s="1"/>
  <c r="C287" i="19" s="1" a="1"/>
  <c r="C287" i="19" s="1"/>
  <c r="C288" i="19" s="1" a="1"/>
  <c r="C288" i="19" s="1"/>
  <c r="C289" i="19" s="1" a="1"/>
  <c r="C289" i="19" s="1"/>
  <c r="C290" i="19" s="1" a="1"/>
  <c r="C290" i="19" s="1"/>
  <c r="C291" i="19" s="1" a="1"/>
  <c r="C291" i="19" s="1"/>
  <c r="C292" i="19" s="1" a="1"/>
  <c r="C292" i="19" s="1"/>
  <c r="C293" i="19" s="1" a="1"/>
  <c r="C293" i="19" s="1"/>
  <c r="C294" i="19" s="1" a="1"/>
  <c r="C294" i="19" s="1"/>
  <c r="C295" i="19" s="1" a="1"/>
  <c r="C295" i="19" s="1"/>
  <c r="C296" i="19" s="1" a="1"/>
  <c r="C296" i="19" s="1"/>
  <c r="C297" i="19" s="1" a="1"/>
  <c r="C297" i="19" s="1"/>
  <c r="C298" i="19" s="1" a="1"/>
  <c r="C298" i="19" s="1"/>
  <c r="C299" i="19" s="1" a="1"/>
  <c r="C299" i="19" s="1"/>
  <c r="F3476" i="27"/>
  <c r="F3273" i="27"/>
  <c r="F3274" i="27"/>
  <c r="F3275" i="27" s="1"/>
  <c r="F3276" i="27" s="1"/>
  <c r="F3277" i="27" s="1"/>
  <c r="F3278" i="27" s="1"/>
  <c r="E766" i="27"/>
  <c r="I222" i="16" a="1"/>
  <c r="I222" i="16" s="1"/>
  <c r="J221" i="16" a="1"/>
  <c r="J221" i="16" s="1"/>
  <c r="H57" i="16" a="1"/>
  <c r="H57" i="16" s="1"/>
  <c r="I56" i="16" a="1"/>
  <c r="I56" i="16" s="1"/>
  <c r="G15" i="38"/>
  <c r="N53" i="1"/>
  <c r="Q180" i="32"/>
  <c r="Q791" i="32"/>
  <c r="G734" i="27"/>
  <c r="F3477" i="27" l="1"/>
  <c r="F3478" i="27"/>
  <c r="F3280" i="27"/>
  <c r="F3281" i="27" s="1"/>
  <c r="F3282" i="27" s="1"/>
  <c r="F3283" i="27" s="1"/>
  <c r="F3284" i="27" s="1"/>
  <c r="F3279" i="27"/>
  <c r="E767" i="27"/>
  <c r="I223" i="16" a="1"/>
  <c r="I223" i="16" s="1"/>
  <c r="J222" i="16" a="1"/>
  <c r="J222" i="16" s="1"/>
  <c r="H58" i="16" a="1"/>
  <c r="H58" i="16" s="1"/>
  <c r="I57" i="16" a="1"/>
  <c r="I57" i="16" s="1"/>
  <c r="Q182" i="32"/>
  <c r="Q793" i="32"/>
  <c r="N47" i="1"/>
  <c r="F3479" i="27" l="1"/>
  <c r="F3286" i="27"/>
  <c r="F3287" i="27" s="1"/>
  <c r="F3288" i="27" s="1"/>
  <c r="F3289" i="27" s="1"/>
  <c r="F3290" i="27" s="1"/>
  <c r="F3285" i="27"/>
  <c r="E768" i="27"/>
  <c r="I224" i="16" a="1"/>
  <c r="I224" i="16" s="1"/>
  <c r="J223" i="16" a="1"/>
  <c r="J223" i="16" s="1"/>
  <c r="H59" i="16" a="1"/>
  <c r="H59" i="16" s="1"/>
  <c r="I58" i="16" a="1"/>
  <c r="I58" i="16" s="1"/>
  <c r="Q184" i="32"/>
  <c r="Q795" i="32"/>
  <c r="U2" i="28"/>
  <c r="F3480" i="27" l="1"/>
  <c r="F3292" i="27"/>
  <c r="F3293" i="27" s="1"/>
  <c r="F3294" i="27" s="1"/>
  <c r="F3295" i="27" s="1"/>
  <c r="F3296" i="27" s="1"/>
  <c r="F3291" i="27"/>
  <c r="E769" i="27"/>
  <c r="I225" i="16" a="1"/>
  <c r="I225" i="16" s="1"/>
  <c r="J224" i="16" a="1"/>
  <c r="J224" i="16" s="1"/>
  <c r="H60" i="16" a="1"/>
  <c r="H60" i="16" s="1"/>
  <c r="I59" i="16" a="1"/>
  <c r="I59" i="16" s="1"/>
  <c r="Q186" i="32"/>
  <c r="Q797" i="32"/>
  <c r="T43" i="27"/>
  <c r="F3481" i="27" l="1"/>
  <c r="F3297" i="27"/>
  <c r="F3298" i="27"/>
  <c r="F3299" i="27" s="1"/>
  <c r="F3300" i="27" s="1"/>
  <c r="F3301" i="27" s="1"/>
  <c r="F3302" i="27" s="1"/>
  <c r="E770" i="27"/>
  <c r="I226" i="16" a="1"/>
  <c r="I226" i="16" s="1"/>
  <c r="J225" i="16" a="1"/>
  <c r="J225" i="16" s="1"/>
  <c r="H61" i="16" a="1"/>
  <c r="H61" i="16" s="1"/>
  <c r="I60" i="16" a="1"/>
  <c r="I60" i="16" s="1"/>
  <c r="Q188" i="32"/>
  <c r="Q799" i="32"/>
  <c r="F3482" i="27" l="1"/>
  <c r="F3304" i="27"/>
  <c r="F3305" i="27" s="1"/>
  <c r="F3306" i="27" s="1"/>
  <c r="F3307" i="27" s="1"/>
  <c r="F3308" i="27" s="1"/>
  <c r="F3303" i="27"/>
  <c r="E771" i="27"/>
  <c r="I227" i="16" a="1"/>
  <c r="I227" i="16" s="1"/>
  <c r="J226" i="16" a="1"/>
  <c r="J226" i="16" s="1"/>
  <c r="H62" i="16" a="1"/>
  <c r="H62" i="16" s="1"/>
  <c r="I61" i="16" a="1"/>
  <c r="I61" i="16" s="1"/>
  <c r="B414" i="39"/>
  <c r="D411" i="39"/>
  <c r="D410" i="39"/>
  <c r="E346" i="39"/>
  <c r="B198" i="39"/>
  <c r="B171" i="39"/>
  <c r="B144" i="39"/>
  <c r="B117" i="39"/>
  <c r="B90" i="39"/>
  <c r="AS37" i="30"/>
  <c r="AS38" i="30"/>
  <c r="Q190" i="32"/>
  <c r="Q801" i="32"/>
  <c r="F3484" i="27" l="1"/>
  <c r="F3483" i="27"/>
  <c r="F3310" i="27"/>
  <c r="F3311" i="27" s="1"/>
  <c r="F3312" i="27" s="1"/>
  <c r="F3313" i="27" s="1"/>
  <c r="F3314" i="27" s="1"/>
  <c r="F3309" i="27"/>
  <c r="E772" i="27"/>
  <c r="I228" i="16" a="1"/>
  <c r="I228" i="16" s="1"/>
  <c r="J227" i="16" a="1"/>
  <c r="J227" i="16" s="1"/>
  <c r="H63" i="16" a="1"/>
  <c r="H63" i="16" s="1"/>
  <c r="I62" i="16" a="1"/>
  <c r="I62" i="16" s="1"/>
  <c r="Q192" i="32"/>
  <c r="Q803" i="32"/>
  <c r="F3485" i="27" l="1"/>
  <c r="F3316" i="27"/>
  <c r="F3317" i="27" s="1"/>
  <c r="F3318" i="27" s="1"/>
  <c r="F3319" i="27" s="1"/>
  <c r="F3320" i="27" s="1"/>
  <c r="F3315" i="27"/>
  <c r="E773" i="27"/>
  <c r="I229" i="16" a="1"/>
  <c r="I229" i="16" s="1"/>
  <c r="J228" i="16" a="1"/>
  <c r="J228" i="16" s="1"/>
  <c r="H64" i="16" a="1"/>
  <c r="H64" i="16" s="1"/>
  <c r="I63" i="16" a="1"/>
  <c r="I63" i="16" s="1"/>
  <c r="Q194" i="32"/>
  <c r="Q805" i="32"/>
  <c r="F3486" i="27" l="1"/>
  <c r="F3321" i="27"/>
  <c r="F3322" i="27"/>
  <c r="F3323" i="27" s="1"/>
  <c r="F3324" i="27" s="1"/>
  <c r="F3325" i="27" s="1"/>
  <c r="F3326" i="27" s="1"/>
  <c r="E774" i="27"/>
  <c r="I230" i="16" a="1"/>
  <c r="I230" i="16" s="1"/>
  <c r="J229" i="16" a="1"/>
  <c r="J229" i="16" s="1"/>
  <c r="H65" i="16" a="1"/>
  <c r="H65" i="16" s="1"/>
  <c r="I64" i="16" a="1"/>
  <c r="I64" i="16" s="1"/>
  <c r="Q196" i="32"/>
  <c r="Q807" i="32"/>
  <c r="U2" i="27"/>
  <c r="F2865" i="27"/>
  <c r="F3487" i="27" l="1"/>
  <c r="F3328" i="27"/>
  <c r="F3329" i="27" s="1"/>
  <c r="F3330" i="27" s="1"/>
  <c r="F3331" i="27" s="1"/>
  <c r="F3332" i="27" s="1"/>
  <c r="F3327" i="27"/>
  <c r="E775" i="27"/>
  <c r="I231" i="16" a="1"/>
  <c r="I231" i="16" s="1"/>
  <c r="J230" i="16" a="1"/>
  <c r="J230" i="16" s="1"/>
  <c r="H66" i="16" a="1"/>
  <c r="H66" i="16" s="1"/>
  <c r="I65" i="16" a="1"/>
  <c r="I65" i="16" s="1"/>
  <c r="Q198" i="32"/>
  <c r="Q809" i="32"/>
  <c r="F3488" i="27" l="1"/>
  <c r="F3334" i="27"/>
  <c r="F3335" i="27" s="1"/>
  <c r="F3336" i="27" s="1"/>
  <c r="F3337" i="27" s="1"/>
  <c r="F3338" i="27" s="1"/>
  <c r="F3333" i="27"/>
  <c r="E776" i="27"/>
  <c r="I232" i="16" a="1"/>
  <c r="I232" i="16" s="1"/>
  <c r="J231" i="16" a="1"/>
  <c r="J231" i="16" s="1"/>
  <c r="H67" i="16" a="1"/>
  <c r="H67" i="16" s="1"/>
  <c r="I66" i="16" a="1"/>
  <c r="I66" i="16" s="1"/>
  <c r="Q200" i="32"/>
  <c r="Q811" i="32"/>
  <c r="F3490" i="27" l="1"/>
  <c r="F3489" i="27"/>
  <c r="F3340" i="27"/>
  <c r="F3341" i="27" s="1"/>
  <c r="F3342" i="27" s="1"/>
  <c r="F3343" i="27" s="1"/>
  <c r="F3344" i="27" s="1"/>
  <c r="F3345" i="27" s="1"/>
  <c r="F3339" i="27"/>
  <c r="E777" i="27"/>
  <c r="I233" i="16" a="1"/>
  <c r="I233" i="16" s="1"/>
  <c r="J232" i="16" a="1"/>
  <c r="J232" i="16" s="1"/>
  <c r="H68" i="16" a="1"/>
  <c r="H68" i="16" s="1"/>
  <c r="I67" i="16" a="1"/>
  <c r="I67" i="16" s="1"/>
  <c r="AE19" i="30" a="1"/>
  <c r="AE19" i="30" s="1"/>
  <c r="AB19" i="30" a="1"/>
  <c r="AB19" i="30" s="1"/>
  <c r="H19" i="30" s="1"/>
  <c r="B157" i="39"/>
  <c r="BD19" i="30"/>
  <c r="AE13" i="30" a="1"/>
  <c r="AE13" i="30" s="1"/>
  <c r="AB13" i="30" a="1"/>
  <c r="AB13" i="30" s="1"/>
  <c r="H13" i="30" s="1"/>
  <c r="B80" i="39" s="1"/>
  <c r="BD13" i="30"/>
  <c r="B76" i="39"/>
  <c r="BD23" i="30"/>
  <c r="AE23" i="30" a="1"/>
  <c r="AE23" i="30" s="1"/>
  <c r="AB23" i="30" a="1"/>
  <c r="AB23" i="30" s="1"/>
  <c r="H23" i="30" s="1"/>
  <c r="B211" i="39"/>
  <c r="BD31" i="30"/>
  <c r="B319" i="39"/>
  <c r="AB31" i="30" a="1"/>
  <c r="AB31" i="30" s="1"/>
  <c r="H31" i="30" s="1"/>
  <c r="AE31" i="30" a="1"/>
  <c r="AE31" i="30" s="1"/>
  <c r="AE35" i="30" a="1"/>
  <c r="AE35" i="30" s="1"/>
  <c r="BD35" i="30"/>
  <c r="B373" i="39"/>
  <c r="AB35" i="30" a="1"/>
  <c r="AB35" i="30" s="1"/>
  <c r="H35" i="30" s="1"/>
  <c r="B377" i="39" s="1"/>
  <c r="AE37" i="30" a="1"/>
  <c r="AE37" i="30" s="1"/>
  <c r="BD37" i="30"/>
  <c r="B400" i="39"/>
  <c r="AB37" i="30" a="1"/>
  <c r="AB37" i="30" s="1"/>
  <c r="H37" i="30" s="1"/>
  <c r="B184" i="39"/>
  <c r="AE21" i="30" a="1"/>
  <c r="AE21" i="30" s="1"/>
  <c r="AB21" i="30" a="1"/>
  <c r="AB21" i="30" s="1"/>
  <c r="H21" i="30" s="1"/>
  <c r="B188" i="39" s="1"/>
  <c r="BD21" i="30"/>
  <c r="AE29" i="30" a="1"/>
  <c r="AE29" i="30" s="1"/>
  <c r="BD29" i="30"/>
  <c r="AB29" i="30" a="1"/>
  <c r="AB29" i="30" s="1"/>
  <c r="H29" i="30" s="1"/>
  <c r="AC29" i="30" s="1"/>
  <c r="C220" i="32" s="1"/>
  <c r="L220" i="32" s="1"/>
  <c r="B292" i="39"/>
  <c r="B265" i="39"/>
  <c r="AB27" i="30" a="1"/>
  <c r="AB27" i="30" s="1"/>
  <c r="H27" i="30" s="1"/>
  <c r="B269" i="39" s="1"/>
  <c r="AE27" i="30" a="1"/>
  <c r="AE27" i="30" s="1"/>
  <c r="BD27" i="30"/>
  <c r="B103" i="39"/>
  <c r="BD15" i="30"/>
  <c r="AB15" i="30" a="1"/>
  <c r="AB15" i="30" s="1"/>
  <c r="H15" i="30" s="1"/>
  <c r="AE15" i="30" a="1"/>
  <c r="AE15" i="30" s="1"/>
  <c r="B238" i="39"/>
  <c r="AB25" i="30" a="1"/>
  <c r="AB25" i="30" s="1"/>
  <c r="H25" i="30" s="1"/>
  <c r="AC25" i="30" s="1"/>
  <c r="AE25" i="30" a="1"/>
  <c r="AE25" i="30" s="1"/>
  <c r="BD25" i="30"/>
  <c r="AB17" i="30" a="1"/>
  <c r="AB17" i="30" s="1"/>
  <c r="H17" i="30" s="1"/>
  <c r="BD17" i="30"/>
  <c r="B130" i="39"/>
  <c r="AE17" i="30" a="1"/>
  <c r="AE17" i="30" s="1"/>
  <c r="AB33" i="30" a="1"/>
  <c r="AB33" i="30" s="1"/>
  <c r="H33" i="30" s="1"/>
  <c r="B350" i="39" s="1"/>
  <c r="B346" i="39"/>
  <c r="BD33" i="30"/>
  <c r="AD33" i="30"/>
  <c r="AE33" i="30" a="1"/>
  <c r="AE33" i="30" s="1"/>
  <c r="Q202" i="32"/>
  <c r="Q813" i="32"/>
  <c r="M30" i="27" a="1"/>
  <c r="M33" i="27" a="1"/>
  <c r="M28" i="27" a="1"/>
  <c r="M31" i="27" a="1"/>
  <c r="M27" i="27" a="1"/>
  <c r="M29" i="27" a="1"/>
  <c r="M24" i="27" a="1"/>
  <c r="M21" i="27" a="1"/>
  <c r="M22" i="27" a="1"/>
  <c r="M25" i="27" a="1"/>
  <c r="M26" i="27" a="1"/>
  <c r="M32" i="27" a="1"/>
  <c r="M23" i="27" a="1"/>
  <c r="F3491" i="27" l="1"/>
  <c r="E778" i="27"/>
  <c r="M27" i="27"/>
  <c r="M28" i="27"/>
  <c r="M25" i="27"/>
  <c r="M26" i="27"/>
  <c r="M32" i="27"/>
  <c r="M24" i="27"/>
  <c r="M23" i="27"/>
  <c r="M22" i="27"/>
  <c r="M30" i="27"/>
  <c r="M31" i="27"/>
  <c r="A31" i="27" s="1"/>
  <c r="M29" i="27"/>
  <c r="M33" i="27"/>
  <c r="M21" i="27"/>
  <c r="I234" i="16" a="1"/>
  <c r="I234" i="16" s="1"/>
  <c r="J233" i="16" a="1"/>
  <c r="J233" i="16" s="1"/>
  <c r="H69" i="16" a="1"/>
  <c r="H69" i="16" s="1"/>
  <c r="I68" i="16" a="1"/>
  <c r="I68" i="16" s="1"/>
  <c r="AC35" i="30"/>
  <c r="C278" i="32" s="1"/>
  <c r="L278" i="32" s="1"/>
  <c r="B323" i="39"/>
  <c r="B107" i="39"/>
  <c r="AC13" i="30"/>
  <c r="C66" i="32" s="1"/>
  <c r="AC31" i="30"/>
  <c r="C238" i="32" s="1"/>
  <c r="L238" i="32" s="1"/>
  <c r="AC27" i="30"/>
  <c r="C194" i="32" s="1"/>
  <c r="L194" i="32" s="1"/>
  <c r="AC33" i="30"/>
  <c r="C262" i="32" s="1"/>
  <c r="L262" i="32" s="1"/>
  <c r="AC15" i="30"/>
  <c r="C84" i="32" s="1"/>
  <c r="C214" i="32"/>
  <c r="L214" i="32" s="1"/>
  <c r="M214" i="32" s="1" a="1"/>
  <c r="M214" i="32" s="1"/>
  <c r="D214" i="32" s="1"/>
  <c r="C226" i="32"/>
  <c r="L226" i="32" s="1"/>
  <c r="N226" i="32" s="1" a="1"/>
  <c r="N226" i="32" s="1"/>
  <c r="E226" i="32" s="1"/>
  <c r="C224" i="32"/>
  <c r="L224" i="32" s="1"/>
  <c r="M224" i="32" s="1" a="1"/>
  <c r="M224" i="32" s="1"/>
  <c r="D224" i="32" s="1"/>
  <c r="AC21" i="30"/>
  <c r="C228" i="32"/>
  <c r="L228" i="32" s="1"/>
  <c r="O228" i="32" s="1" a="1"/>
  <c r="O228" i="32" s="1"/>
  <c r="C210" i="32"/>
  <c r="L210" i="32" s="1"/>
  <c r="N210" i="32" s="1" a="1"/>
  <c r="N210" i="32" s="1"/>
  <c r="E210" i="32" s="1"/>
  <c r="B242" i="39"/>
  <c r="AC17" i="30"/>
  <c r="C98" i="32" s="1"/>
  <c r="C222" i="32"/>
  <c r="L222" i="32" s="1"/>
  <c r="O222" i="32" s="1" a="1"/>
  <c r="O222" i="32" s="1"/>
  <c r="C212" i="32"/>
  <c r="L212" i="32" s="1"/>
  <c r="O212" i="32" s="1" a="1"/>
  <c r="O212" i="32" s="1"/>
  <c r="C218" i="32"/>
  <c r="L218" i="32" s="1"/>
  <c r="M218" i="32" s="1" a="1"/>
  <c r="M218" i="32" s="1"/>
  <c r="D218" i="32" s="1"/>
  <c r="C216" i="32"/>
  <c r="L216" i="32" s="1"/>
  <c r="O216" i="32" s="1" a="1"/>
  <c r="O216" i="32" s="1"/>
  <c r="B134" i="39"/>
  <c r="B296" i="39"/>
  <c r="AC37" i="30"/>
  <c r="B404" i="39"/>
  <c r="AC23" i="30"/>
  <c r="B215" i="39"/>
  <c r="AC19" i="30"/>
  <c r="B161" i="39"/>
  <c r="C170" i="32"/>
  <c r="L170" i="32" s="1"/>
  <c r="C180" i="32"/>
  <c r="L180" i="32" s="1"/>
  <c r="C178" i="32"/>
  <c r="L178" i="32" s="1"/>
  <c r="C176" i="32"/>
  <c r="L176" i="32" s="1"/>
  <c r="C184" i="32"/>
  <c r="L184" i="32" s="1"/>
  <c r="C188" i="32"/>
  <c r="L188" i="32" s="1"/>
  <c r="C186" i="32"/>
  <c r="L186" i="32" s="1"/>
  <c r="C182" i="32"/>
  <c r="L182" i="32" s="1"/>
  <c r="C174" i="32"/>
  <c r="L174" i="32" s="1"/>
  <c r="C172" i="32"/>
  <c r="L172" i="32" s="1"/>
  <c r="M220" i="32" a="1"/>
  <c r="M220" i="32" s="1"/>
  <c r="D220" i="32" s="1"/>
  <c r="O220" i="32" a="1"/>
  <c r="O220" i="32" s="1"/>
  <c r="N220" i="32" a="1"/>
  <c r="N220" i="32" s="1"/>
  <c r="E220" i="32" s="1"/>
  <c r="Q204" i="32"/>
  <c r="Q815" i="32"/>
  <c r="F3492" i="27" l="1"/>
  <c r="E779" i="27"/>
  <c r="I235" i="16" a="1"/>
  <c r="I235" i="16" s="1"/>
  <c r="J234" i="16" a="1"/>
  <c r="J234" i="16" s="1"/>
  <c r="H70" i="16" a="1"/>
  <c r="H70" i="16" s="1"/>
  <c r="I69" i="16" a="1"/>
  <c r="I69" i="16" s="1"/>
  <c r="C286" i="32"/>
  <c r="L286" i="32" s="1"/>
  <c r="N286" i="32" s="1" a="1"/>
  <c r="N286" i="32" s="1"/>
  <c r="E286" i="32" s="1"/>
  <c r="C260" i="32"/>
  <c r="L260" i="32" s="1"/>
  <c r="N260" i="32" s="1" a="1"/>
  <c r="N260" i="32" s="1"/>
  <c r="E260" i="32" s="1"/>
  <c r="O214" i="32" a="1"/>
  <c r="O214" i="32" s="1"/>
  <c r="C272" i="32"/>
  <c r="L272" i="32" s="1"/>
  <c r="M272" i="32" s="1" a="1"/>
  <c r="M272" i="32" s="1"/>
  <c r="D272" i="32" s="1"/>
  <c r="C274" i="32"/>
  <c r="L274" i="32" s="1"/>
  <c r="O274" i="32" s="1" a="1"/>
  <c r="O274" i="32" s="1"/>
  <c r="C288" i="32"/>
  <c r="L288" i="32" s="1"/>
  <c r="M288" i="32" s="1" a="1"/>
  <c r="M288" i="32" s="1"/>
  <c r="D288" i="32" s="1"/>
  <c r="C282" i="32"/>
  <c r="L282" i="32" s="1"/>
  <c r="N282" i="32" s="1" a="1"/>
  <c r="N282" i="32" s="1"/>
  <c r="E282" i="32" s="1"/>
  <c r="C264" i="32"/>
  <c r="L264" i="32" s="1"/>
  <c r="N264" i="32" s="1" a="1"/>
  <c r="N264" i="32" s="1"/>
  <c r="E264" i="32" s="1"/>
  <c r="C232" i="32"/>
  <c r="L232" i="32" s="1"/>
  <c r="O232" i="32" s="1" a="1"/>
  <c r="O232" i="32" s="1"/>
  <c r="C82" i="32"/>
  <c r="N216" i="32" a="1"/>
  <c r="N216" i="32" s="1"/>
  <c r="E216" i="32" s="1"/>
  <c r="C280" i="32"/>
  <c r="L280" i="32" s="1"/>
  <c r="N280" i="32" s="1" a="1"/>
  <c r="N280" i="32" s="1"/>
  <c r="E280" i="32" s="1"/>
  <c r="C284" i="32"/>
  <c r="L284" i="32" s="1"/>
  <c r="N284" i="32" s="1" a="1"/>
  <c r="N284" i="32" s="1"/>
  <c r="E284" i="32" s="1"/>
  <c r="C270" i="32"/>
  <c r="L270" i="32" s="1"/>
  <c r="O270" i="32" s="1" a="1"/>
  <c r="O270" i="32" s="1"/>
  <c r="C276" i="32"/>
  <c r="L276" i="32" s="1"/>
  <c r="N276" i="32" s="1" a="1"/>
  <c r="N276" i="32" s="1"/>
  <c r="E276" i="32" s="1"/>
  <c r="C68" i="32"/>
  <c r="C70" i="32"/>
  <c r="C64" i="32"/>
  <c r="AR10" i="30"/>
  <c r="C33" i="39"/>
  <c r="AR9" i="30"/>
  <c r="C32" i="39"/>
  <c r="N214" i="32" a="1"/>
  <c r="N214" i="32" s="1"/>
  <c r="E214" i="32" s="1"/>
  <c r="O226" i="32" a="1"/>
  <c r="O226" i="32" s="1"/>
  <c r="C248" i="32"/>
  <c r="L248" i="32" s="1"/>
  <c r="O248" i="32" s="1" a="1"/>
  <c r="O248" i="32" s="1"/>
  <c r="O210" i="32" a="1"/>
  <c r="O210" i="32" s="1"/>
  <c r="C106" i="32"/>
  <c r="C206" i="32"/>
  <c r="L206" i="32" s="1"/>
  <c r="O206" i="32" s="1" a="1"/>
  <c r="O206" i="32" s="1"/>
  <c r="C102" i="32"/>
  <c r="C208" i="32"/>
  <c r="L208" i="32" s="1"/>
  <c r="M208" i="32" s="1" a="1"/>
  <c r="M208" i="32" s="1"/>
  <c r="D208" i="32" s="1"/>
  <c r="C78" i="32"/>
  <c r="C88" i="32"/>
  <c r="C74" i="32"/>
  <c r="C76" i="32"/>
  <c r="C86" i="32"/>
  <c r="C256" i="32"/>
  <c r="L256" i="32" s="1"/>
  <c r="M256" i="32" s="1" a="1"/>
  <c r="M256" i="32" s="1"/>
  <c r="D256" i="32" s="1"/>
  <c r="C268" i="32"/>
  <c r="L268" i="32" s="1"/>
  <c r="M268" i="32" s="1" a="1"/>
  <c r="M268" i="32" s="1"/>
  <c r="D268" i="32" s="1"/>
  <c r="C250" i="32"/>
  <c r="L250" i="32" s="1"/>
  <c r="O250" i="32" s="1" a="1"/>
  <c r="O250" i="32" s="1"/>
  <c r="C254" i="32"/>
  <c r="L254" i="32" s="1"/>
  <c r="N254" i="32" s="1" a="1"/>
  <c r="N254" i="32" s="1"/>
  <c r="E254" i="32" s="1"/>
  <c r="C258" i="32"/>
  <c r="L258" i="32" s="1"/>
  <c r="O258" i="32" s="1" a="1"/>
  <c r="O258" i="32" s="1"/>
  <c r="C234" i="32"/>
  <c r="L234" i="32" s="1"/>
  <c r="O234" i="32" s="1" a="1"/>
  <c r="O234" i="32" s="1"/>
  <c r="C242" i="32"/>
  <c r="L242" i="32" s="1"/>
  <c r="O242" i="32" s="1" a="1"/>
  <c r="O242" i="32" s="1"/>
  <c r="C230" i="32"/>
  <c r="L230" i="32" s="1"/>
  <c r="N230" i="32" s="1" a="1"/>
  <c r="N230" i="32" s="1"/>
  <c r="E230" i="32" s="1"/>
  <c r="C236" i="32"/>
  <c r="L236" i="32" s="1"/>
  <c r="M236" i="32" s="1" a="1"/>
  <c r="M236" i="32" s="1"/>
  <c r="D236" i="32" s="1"/>
  <c r="C246" i="32"/>
  <c r="L246" i="32" s="1"/>
  <c r="M246" i="32" s="1" a="1"/>
  <c r="M246" i="32" s="1"/>
  <c r="D246" i="32" s="1"/>
  <c r="C60" i="32"/>
  <c r="C54" i="32"/>
  <c r="C56" i="32"/>
  <c r="C58" i="32"/>
  <c r="C62" i="32"/>
  <c r="N212" i="32" a="1"/>
  <c r="N212" i="32" s="1"/>
  <c r="E212" i="32" s="1"/>
  <c r="M226" i="32" a="1"/>
  <c r="M226" i="32" s="1"/>
  <c r="D226" i="32" s="1"/>
  <c r="C244" i="32"/>
  <c r="L244" i="32" s="1"/>
  <c r="M244" i="32" s="1" a="1"/>
  <c r="M244" i="32" s="1"/>
  <c r="D244" i="32" s="1"/>
  <c r="C240" i="32"/>
  <c r="L240" i="32" s="1"/>
  <c r="M240" i="32" s="1" a="1"/>
  <c r="M240" i="32" s="1"/>
  <c r="D240" i="32" s="1"/>
  <c r="C52" i="32"/>
  <c r="C50" i="32"/>
  <c r="C72" i="32"/>
  <c r="C80" i="32"/>
  <c r="C266" i="32"/>
  <c r="L266" i="32" s="1"/>
  <c r="N266" i="32" s="1" a="1"/>
  <c r="N266" i="32" s="1"/>
  <c r="E266" i="32" s="1"/>
  <c r="C252" i="32"/>
  <c r="L252" i="32" s="1"/>
  <c r="M252" i="32" s="1" a="1"/>
  <c r="M252" i="32" s="1"/>
  <c r="D252" i="32" s="1"/>
  <c r="N218" i="32" a="1"/>
  <c r="N218" i="32" s="1"/>
  <c r="E218" i="32" s="1"/>
  <c r="N222" i="32" a="1"/>
  <c r="N222" i="32" s="1"/>
  <c r="E222" i="32" s="1"/>
  <c r="O224" i="32" a="1"/>
  <c r="O224" i="32" s="1"/>
  <c r="C104" i="32"/>
  <c r="C204" i="32"/>
  <c r="L204" i="32" s="1"/>
  <c r="N204" i="32" s="1" a="1"/>
  <c r="N204" i="32" s="1"/>
  <c r="E204" i="32" s="1"/>
  <c r="C196" i="32"/>
  <c r="L196" i="32" s="1"/>
  <c r="M196" i="32" s="1" a="1"/>
  <c r="M196" i="32" s="1"/>
  <c r="D196" i="32" s="1"/>
  <c r="C202" i="32"/>
  <c r="L202" i="32" s="1"/>
  <c r="M202" i="32" s="1" a="1"/>
  <c r="M202" i="32" s="1"/>
  <c r="D202" i="32" s="1"/>
  <c r="M210" i="32" a="1"/>
  <c r="M210" i="32" s="1"/>
  <c r="D210" i="32" s="1"/>
  <c r="C192" i="32"/>
  <c r="L192" i="32" s="1"/>
  <c r="N192" i="32" s="1" a="1"/>
  <c r="N192" i="32" s="1"/>
  <c r="E192" i="32" s="1"/>
  <c r="C198" i="32"/>
  <c r="L198" i="32" s="1"/>
  <c r="N198" i="32" s="1" a="1"/>
  <c r="N198" i="32" s="1"/>
  <c r="E198" i="32" s="1"/>
  <c r="C200" i="32"/>
  <c r="L200" i="32" s="1"/>
  <c r="N200" i="32" s="1" a="1"/>
  <c r="N200" i="32" s="1"/>
  <c r="E200" i="32" s="1"/>
  <c r="C190" i="32"/>
  <c r="L190" i="32" s="1"/>
  <c r="N190" i="32" s="1" a="1"/>
  <c r="N190" i="32" s="1"/>
  <c r="E190" i="32" s="1"/>
  <c r="O218" i="32" a="1"/>
  <c r="O218" i="32" s="1"/>
  <c r="M222" i="32" a="1"/>
  <c r="M222" i="32" s="1"/>
  <c r="D222" i="32" s="1"/>
  <c r="N224" i="32" a="1"/>
  <c r="N224" i="32" s="1"/>
  <c r="E224" i="32" s="1"/>
  <c r="N228" i="32" a="1"/>
  <c r="N228" i="32" s="1"/>
  <c r="E228" i="32" s="1"/>
  <c r="C100" i="32"/>
  <c r="C92" i="32"/>
  <c r="M228" i="32" a="1"/>
  <c r="M228" i="32" s="1"/>
  <c r="D228" i="32" s="1"/>
  <c r="C90" i="32"/>
  <c r="C108" i="32"/>
  <c r="C96" i="32"/>
  <c r="C94" i="32"/>
  <c r="C140" i="32"/>
  <c r="C130" i="32"/>
  <c r="C132" i="32"/>
  <c r="C138" i="32"/>
  <c r="C134" i="32"/>
  <c r="C136" i="32"/>
  <c r="C148" i="32"/>
  <c r="C142" i="32"/>
  <c r="C144" i="32"/>
  <c r="C146" i="32"/>
  <c r="M216" i="32" a="1"/>
  <c r="M216" i="32" s="1"/>
  <c r="D216" i="32" s="1"/>
  <c r="M212" i="32" a="1"/>
  <c r="M212" i="32" s="1"/>
  <c r="D212" i="32" s="1"/>
  <c r="C152" i="32"/>
  <c r="L152" i="32" s="1"/>
  <c r="C150" i="32"/>
  <c r="L150" i="32" s="1"/>
  <c r="C154" i="32"/>
  <c r="L154" i="32" s="1"/>
  <c r="C162" i="32"/>
  <c r="L162" i="32" s="1"/>
  <c r="C168" i="32"/>
  <c r="L168" i="32" s="1"/>
  <c r="C166" i="32"/>
  <c r="L166" i="32" s="1"/>
  <c r="C160" i="32"/>
  <c r="L160" i="32" s="1"/>
  <c r="C156" i="32"/>
  <c r="L156" i="32" s="1"/>
  <c r="C164" i="32"/>
  <c r="L164" i="32" s="1"/>
  <c r="C158" i="32"/>
  <c r="L158" i="32" s="1"/>
  <c r="C296" i="32"/>
  <c r="L296" i="32" s="1"/>
  <c r="C290" i="32"/>
  <c r="L290" i="32" s="1"/>
  <c r="C298" i="32"/>
  <c r="L298" i="32" s="1"/>
  <c r="C300" i="32"/>
  <c r="L300" i="32" s="1"/>
  <c r="C304" i="32"/>
  <c r="L304" i="32" s="1"/>
  <c r="C302" i="32"/>
  <c r="L302" i="32" s="1"/>
  <c r="C308" i="32"/>
  <c r="L308" i="32" s="1"/>
  <c r="C306" i="32"/>
  <c r="L306" i="32" s="1"/>
  <c r="C294" i="32"/>
  <c r="L294" i="32" s="1"/>
  <c r="C292" i="32"/>
  <c r="L292" i="32" s="1"/>
  <c r="C118" i="32"/>
  <c r="L118" i="32" s="1"/>
  <c r="C128" i="32"/>
  <c r="L128" i="32" s="1"/>
  <c r="C120" i="32"/>
  <c r="L120" i="32" s="1"/>
  <c r="C126" i="32"/>
  <c r="L126" i="32" s="1"/>
  <c r="C112" i="32"/>
  <c r="L112" i="32" s="1"/>
  <c r="C116" i="32"/>
  <c r="L116" i="32" s="1"/>
  <c r="C110" i="32"/>
  <c r="L110" i="32" s="1"/>
  <c r="C114" i="32"/>
  <c r="L114" i="32" s="1"/>
  <c r="C122" i="32"/>
  <c r="L122" i="32" s="1"/>
  <c r="C124" i="32"/>
  <c r="L124" i="32" s="1"/>
  <c r="N172" i="32" a="1"/>
  <c r="N172" i="32" s="1"/>
  <c r="E172" i="32" s="1"/>
  <c r="O172" i="32" a="1"/>
  <c r="O172" i="32" s="1"/>
  <c r="M172" i="32" a="1"/>
  <c r="M172" i="32" s="1"/>
  <c r="D172" i="32" s="1"/>
  <c r="M182" i="32" a="1"/>
  <c r="M182" i="32" s="1"/>
  <c r="D182" i="32" s="1"/>
  <c r="O182" i="32" a="1"/>
  <c r="O182" i="32" s="1"/>
  <c r="N182" i="32" a="1"/>
  <c r="N182" i="32" s="1"/>
  <c r="E182" i="32" s="1"/>
  <c r="M188" i="32" a="1"/>
  <c r="M188" i="32" s="1"/>
  <c r="D188" i="32" s="1"/>
  <c r="O188" i="32" a="1"/>
  <c r="O188" i="32" s="1"/>
  <c r="N188" i="32" a="1"/>
  <c r="N188" i="32" s="1"/>
  <c r="E188" i="32" s="1"/>
  <c r="M176" i="32" a="1"/>
  <c r="M176" i="32" s="1"/>
  <c r="D176" i="32" s="1"/>
  <c r="O176" i="32" a="1"/>
  <c r="O176" i="32" s="1"/>
  <c r="N176" i="32" a="1"/>
  <c r="N176" i="32" s="1"/>
  <c r="E176" i="32" s="1"/>
  <c r="O180" i="32" a="1"/>
  <c r="O180" i="32" s="1"/>
  <c r="N180" i="32" a="1"/>
  <c r="N180" i="32" s="1"/>
  <c r="E180" i="32" s="1"/>
  <c r="M180" i="32" a="1"/>
  <c r="M180" i="32" s="1"/>
  <c r="D180" i="32" s="1"/>
  <c r="N262" i="32" a="1"/>
  <c r="N262" i="32" s="1"/>
  <c r="E262" i="32" s="1"/>
  <c r="M262" i="32" a="1"/>
  <c r="M262" i="32" s="1"/>
  <c r="D262" i="32" s="1"/>
  <c r="O262" i="32" a="1"/>
  <c r="O262" i="32" s="1"/>
  <c r="O194" i="32" a="1"/>
  <c r="O194" i="32" s="1"/>
  <c r="M194" i="32" a="1"/>
  <c r="M194" i="32" s="1"/>
  <c r="D194" i="32" s="1"/>
  <c r="N194" i="32" a="1"/>
  <c r="N194" i="32" s="1"/>
  <c r="E194" i="32" s="1"/>
  <c r="O278" i="32" a="1"/>
  <c r="O278" i="32" s="1"/>
  <c r="M278" i="32" a="1"/>
  <c r="M278" i="32" s="1"/>
  <c r="D278" i="32" s="1"/>
  <c r="N278" i="32" a="1"/>
  <c r="N278" i="32" s="1"/>
  <c r="E278" i="32" s="1"/>
  <c r="M174" i="32" a="1"/>
  <c r="M174" i="32" s="1"/>
  <c r="D174" i="32" s="1"/>
  <c r="N174" i="32" a="1"/>
  <c r="N174" i="32" s="1"/>
  <c r="E174" i="32" s="1"/>
  <c r="O174" i="32" a="1"/>
  <c r="O174" i="32" s="1"/>
  <c r="O186" i="32" a="1"/>
  <c r="O186" i="32" s="1"/>
  <c r="N186" i="32" a="1"/>
  <c r="N186" i="32" s="1"/>
  <c r="E186" i="32" s="1"/>
  <c r="M186" i="32" a="1"/>
  <c r="M186" i="32" s="1"/>
  <c r="D186" i="32" s="1"/>
  <c r="M184" i="32" a="1"/>
  <c r="M184" i="32" s="1"/>
  <c r="D184" i="32" s="1"/>
  <c r="O184" i="32" a="1"/>
  <c r="O184" i="32" s="1"/>
  <c r="N184" i="32" a="1"/>
  <c r="N184" i="32" s="1"/>
  <c r="E184" i="32" s="1"/>
  <c r="O178" i="32" a="1"/>
  <c r="O178" i="32" s="1"/>
  <c r="N178" i="32" a="1"/>
  <c r="N178" i="32" s="1"/>
  <c r="E178" i="32" s="1"/>
  <c r="M178" i="32" a="1"/>
  <c r="M178" i="32" s="1"/>
  <c r="D178" i="32" s="1"/>
  <c r="N170" i="32" a="1"/>
  <c r="N170" i="32" s="1"/>
  <c r="E170" i="32" s="1"/>
  <c r="O170" i="32" a="1"/>
  <c r="O170" i="32" s="1"/>
  <c r="M170" i="32" a="1"/>
  <c r="M170" i="32" s="1"/>
  <c r="D170" i="32" s="1"/>
  <c r="N238" i="32" a="1"/>
  <c r="N238" i="32" s="1"/>
  <c r="E238" i="32" s="1"/>
  <c r="O238" i="32" a="1"/>
  <c r="O238" i="32" s="1"/>
  <c r="M238" i="32" a="1"/>
  <c r="M238" i="32" s="1"/>
  <c r="D238" i="32" s="1"/>
  <c r="Q206" i="32"/>
  <c r="Q817" i="32"/>
  <c r="F3493" i="27" l="1"/>
  <c r="E780" i="27"/>
  <c r="I236" i="16" a="1"/>
  <c r="I236" i="16" s="1"/>
  <c r="J235" i="16" a="1"/>
  <c r="J235" i="16" s="1"/>
  <c r="H71" i="16" a="1"/>
  <c r="H71" i="16" s="1"/>
  <c r="I70" i="16" a="1"/>
  <c r="I70" i="16" s="1"/>
  <c r="M286" i="32" a="1"/>
  <c r="M286" i="32" s="1"/>
  <c r="D286" i="32" s="1"/>
  <c r="N272" i="32" a="1"/>
  <c r="N272" i="32" s="1"/>
  <c r="E272" i="32" s="1"/>
  <c r="N274" i="32" a="1"/>
  <c r="N274" i="32" s="1"/>
  <c r="E274" i="32" s="1"/>
  <c r="O286" i="32" a="1"/>
  <c r="O286" i="32" s="1"/>
  <c r="O260" i="32" a="1"/>
  <c r="O260" i="32" s="1"/>
  <c r="M260" i="32" a="1"/>
  <c r="M260" i="32" s="1"/>
  <c r="D260" i="32" s="1"/>
  <c r="O272" i="32" a="1"/>
  <c r="O272" i="32" s="1"/>
  <c r="O264" i="32" a="1"/>
  <c r="O264" i="32" s="1"/>
  <c r="M204" i="32" a="1"/>
  <c r="M204" i="32" s="1"/>
  <c r="D204" i="32" s="1"/>
  <c r="M276" i="32" a="1"/>
  <c r="M276" i="32" s="1"/>
  <c r="D276" i="32" s="1"/>
  <c r="O284" i="32" a="1"/>
  <c r="O284" i="32" s="1"/>
  <c r="N246" i="32" a="1"/>
  <c r="N246" i="32" s="1"/>
  <c r="E246" i="32" s="1"/>
  <c r="M282" i="32" a="1"/>
  <c r="M282" i="32" s="1"/>
  <c r="D282" i="32" s="1"/>
  <c r="O280" i="32" a="1"/>
  <c r="O280" i="32" s="1"/>
  <c r="N288" i="32" a="1"/>
  <c r="N288" i="32" s="1"/>
  <c r="E288" i="32" s="1"/>
  <c r="M232" i="32" a="1"/>
  <c r="M232" i="32" s="1"/>
  <c r="D232" i="32" s="1"/>
  <c r="O276" i="32" a="1"/>
  <c r="O276" i="32" s="1"/>
  <c r="M284" i="32" a="1"/>
  <c r="M284" i="32" s="1"/>
  <c r="D284" i="32" s="1"/>
  <c r="O282" i="32" a="1"/>
  <c r="O282" i="32" s="1"/>
  <c r="M274" i="32" a="1"/>
  <c r="M274" i="32" s="1"/>
  <c r="D274" i="32" s="1"/>
  <c r="M270" i="32" a="1"/>
  <c r="M270" i="32" s="1"/>
  <c r="D270" i="32" s="1"/>
  <c r="M264" i="32" a="1"/>
  <c r="M264" i="32" s="1"/>
  <c r="D264" i="32" s="1"/>
  <c r="N232" i="32" a="1"/>
  <c r="N232" i="32" s="1"/>
  <c r="E232" i="32" s="1"/>
  <c r="N270" i="32" a="1"/>
  <c r="N270" i="32" s="1"/>
  <c r="E270" i="32" s="1"/>
  <c r="M280" i="32" a="1"/>
  <c r="M280" i="32" s="1"/>
  <c r="D280" i="32" s="1"/>
  <c r="O288" i="32" a="1"/>
  <c r="O288" i="32" s="1"/>
  <c r="M192" i="32" a="1"/>
  <c r="M192" i="32" s="1"/>
  <c r="D192" i="32" s="1"/>
  <c r="M248" i="32" a="1"/>
  <c r="M248" i="32" s="1"/>
  <c r="D248" i="32" s="1"/>
  <c r="N208" i="32" a="1"/>
  <c r="N208" i="32" s="1"/>
  <c r="E208" i="32" s="1"/>
  <c r="N248" i="32" a="1"/>
  <c r="N248" i="32" s="1"/>
  <c r="E248" i="32" s="1"/>
  <c r="N202" i="32" a="1"/>
  <c r="N202" i="32" s="1"/>
  <c r="E202" i="32" s="1"/>
  <c r="N206" i="32" a="1"/>
  <c r="N206" i="32" s="1"/>
  <c r="E206" i="32" s="1"/>
  <c r="O268" i="32" a="1"/>
  <c r="O268" i="32" s="1"/>
  <c r="M200" i="32" a="1"/>
  <c r="M200" i="32" s="1"/>
  <c r="D200" i="32" s="1"/>
  <c r="M266" i="32" a="1"/>
  <c r="M266" i="32" s="1"/>
  <c r="D266" i="32" s="1"/>
  <c r="M230" i="32" a="1"/>
  <c r="M230" i="32" s="1"/>
  <c r="D230" i="32" s="1"/>
  <c r="O240" i="32" a="1"/>
  <c r="O240" i="32" s="1"/>
  <c r="N258" i="32" a="1"/>
  <c r="N258" i="32" s="1"/>
  <c r="E258" i="32" s="1"/>
  <c r="O252" i="32" a="1"/>
  <c r="O252" i="32" s="1"/>
  <c r="O256" i="32" a="1"/>
  <c r="O256" i="32" s="1"/>
  <c r="M250" i="32" a="1"/>
  <c r="M250" i="32" s="1"/>
  <c r="D250" i="32" s="1"/>
  <c r="M190" i="32" a="1"/>
  <c r="M190" i="32" s="1"/>
  <c r="D190" i="32" s="1"/>
  <c r="O198" i="32" a="1"/>
  <c r="O198" i="32" s="1"/>
  <c r="M242" i="32" a="1"/>
  <c r="M242" i="32" s="1"/>
  <c r="D242" i="32" s="1"/>
  <c r="N236" i="32" a="1"/>
  <c r="N236" i="32" s="1"/>
  <c r="E236" i="32" s="1"/>
  <c r="O208" i="32" a="1"/>
  <c r="O208" i="32" s="1"/>
  <c r="N196" i="32" a="1"/>
  <c r="N196" i="32" s="1"/>
  <c r="E196" i="32" s="1"/>
  <c r="M206" i="32" a="1"/>
  <c r="M206" i="32" s="1"/>
  <c r="D206" i="32" s="1"/>
  <c r="N268" i="32" a="1"/>
  <c r="N268" i="32" s="1"/>
  <c r="E268" i="32" s="1"/>
  <c r="O254" i="32" a="1"/>
  <c r="O254" i="32" s="1"/>
  <c r="O244" i="32" a="1"/>
  <c r="O244" i="32" s="1"/>
  <c r="O266" i="32" a="1"/>
  <c r="O266" i="32" s="1"/>
  <c r="M234" i="32" a="1"/>
  <c r="M234" i="32" s="1"/>
  <c r="D234" i="32" s="1"/>
  <c r="O230" i="32" a="1"/>
  <c r="O230" i="32" s="1"/>
  <c r="N256" i="32" a="1"/>
  <c r="N256" i="32" s="1"/>
  <c r="E256" i="32" s="1"/>
  <c r="N250" i="32" a="1"/>
  <c r="N250" i="32" s="1"/>
  <c r="E250" i="32" s="1"/>
  <c r="M258" i="32" a="1"/>
  <c r="M258" i="32" s="1"/>
  <c r="D258" i="32" s="1"/>
  <c r="N240" i="32" a="1"/>
  <c r="N240" i="32" s="1"/>
  <c r="E240" i="32" s="1"/>
  <c r="N242" i="32" a="1"/>
  <c r="N242" i="32" s="1"/>
  <c r="E242" i="32" s="1"/>
  <c r="O236" i="32" a="1"/>
  <c r="O236" i="32" s="1"/>
  <c r="O196" i="32" a="1"/>
  <c r="O196" i="32" s="1"/>
  <c r="M254" i="32" a="1"/>
  <c r="M254" i="32" s="1"/>
  <c r="D254" i="32" s="1"/>
  <c r="N244" i="32" a="1"/>
  <c r="N244" i="32" s="1"/>
  <c r="E244" i="32" s="1"/>
  <c r="O190" i="32" a="1"/>
  <c r="O190" i="32" s="1"/>
  <c r="M198" i="32" a="1"/>
  <c r="M198" i="32" s="1"/>
  <c r="D198" i="32" s="1"/>
  <c r="N234" i="32" a="1"/>
  <c r="N234" i="32" s="1"/>
  <c r="E234" i="32" s="1"/>
  <c r="O246" i="32" a="1"/>
  <c r="O246" i="32" s="1"/>
  <c r="O202" i="32" a="1"/>
  <c r="O202" i="32" s="1"/>
  <c r="O204" i="32" a="1"/>
  <c r="O204" i="32" s="1"/>
  <c r="O200" i="32" a="1"/>
  <c r="O200" i="32" s="1"/>
  <c r="O192" i="32" a="1"/>
  <c r="O192" i="32" s="1"/>
  <c r="N252" i="32" a="1"/>
  <c r="N252" i="32" s="1"/>
  <c r="E252" i="32" s="1"/>
  <c r="M124" i="32" a="1"/>
  <c r="M124" i="32" s="1"/>
  <c r="D124" i="32" s="1"/>
  <c r="N124" i="32" a="1"/>
  <c r="N124" i="32" s="1"/>
  <c r="E124" i="32" s="1"/>
  <c r="O124" i="32" a="1"/>
  <c r="O124" i="32" s="1"/>
  <c r="N114" i="32" a="1"/>
  <c r="N114" i="32" s="1"/>
  <c r="E114" i="32" s="1"/>
  <c r="O114" i="32" a="1"/>
  <c r="O114" i="32" s="1"/>
  <c r="M114" i="32" a="1"/>
  <c r="M114" i="32" s="1"/>
  <c r="D114" i="32" s="1"/>
  <c r="O116" i="32" a="1"/>
  <c r="O116" i="32" s="1"/>
  <c r="N116" i="32" a="1"/>
  <c r="N116" i="32" s="1"/>
  <c r="E116" i="32" s="1"/>
  <c r="M116" i="32" a="1"/>
  <c r="M116" i="32" s="1"/>
  <c r="D116" i="32" s="1"/>
  <c r="O126" i="32" a="1"/>
  <c r="O126" i="32" s="1"/>
  <c r="M126" i="32" a="1"/>
  <c r="M126" i="32" s="1"/>
  <c r="D126" i="32" s="1"/>
  <c r="N126" i="32" a="1"/>
  <c r="N126" i="32" s="1"/>
  <c r="E126" i="32" s="1"/>
  <c r="O128" i="32" a="1"/>
  <c r="O128" i="32" s="1"/>
  <c r="M128" i="32" a="1"/>
  <c r="M128" i="32" s="1"/>
  <c r="D128" i="32" s="1"/>
  <c r="N128" i="32" a="1"/>
  <c r="N128" i="32" s="1"/>
  <c r="E128" i="32" s="1"/>
  <c r="O294" i="32" a="1"/>
  <c r="O294" i="32" s="1"/>
  <c r="M294" i="32" a="1"/>
  <c r="M294" i="32" s="1"/>
  <c r="D294" i="32" s="1"/>
  <c r="N294" i="32" a="1"/>
  <c r="N294" i="32" s="1"/>
  <c r="E294" i="32" s="1"/>
  <c r="N308" i="32" a="1"/>
  <c r="N308" i="32" s="1"/>
  <c r="E308" i="32" s="1"/>
  <c r="O308" i="32" a="1"/>
  <c r="O308" i="32" s="1"/>
  <c r="M308" i="32" a="1"/>
  <c r="M308" i="32" s="1"/>
  <c r="D308" i="32" s="1"/>
  <c r="O304" i="32" a="1"/>
  <c r="O304" i="32" s="1"/>
  <c r="N304" i="32" a="1"/>
  <c r="N304" i="32" s="1"/>
  <c r="E304" i="32" s="1"/>
  <c r="M304" i="32" a="1"/>
  <c r="M304" i="32" s="1"/>
  <c r="D304" i="32" s="1"/>
  <c r="O298" i="32" a="1"/>
  <c r="O298" i="32" s="1"/>
  <c r="N298" i="32" a="1"/>
  <c r="N298" i="32" s="1"/>
  <c r="E298" i="32" s="1"/>
  <c r="M298" i="32" a="1"/>
  <c r="M298" i="32" s="1"/>
  <c r="D298" i="32" s="1"/>
  <c r="O296" i="32" a="1"/>
  <c r="O296" i="32" s="1"/>
  <c r="M296" i="32" a="1"/>
  <c r="M296" i="32" s="1"/>
  <c r="D296" i="32" s="1"/>
  <c r="N296" i="32" a="1"/>
  <c r="N296" i="32" s="1"/>
  <c r="E296" i="32" s="1"/>
  <c r="N158" i="32" a="1"/>
  <c r="N158" i="32" s="1"/>
  <c r="E158" i="32" s="1"/>
  <c r="O158" i="32" a="1"/>
  <c r="O158" i="32" s="1"/>
  <c r="M158" i="32" a="1"/>
  <c r="M158" i="32" s="1"/>
  <c r="D158" i="32" s="1"/>
  <c r="O156" i="32" a="1"/>
  <c r="O156" i="32" s="1"/>
  <c r="N156" i="32" a="1"/>
  <c r="N156" i="32" s="1"/>
  <c r="E156" i="32" s="1"/>
  <c r="M156" i="32" a="1"/>
  <c r="M156" i="32" s="1"/>
  <c r="D156" i="32" s="1"/>
  <c r="N166" i="32" a="1"/>
  <c r="N166" i="32" s="1"/>
  <c r="E166" i="32" s="1"/>
  <c r="M166" i="32" a="1"/>
  <c r="M166" i="32" s="1"/>
  <c r="D166" i="32" s="1"/>
  <c r="O166" i="32" a="1"/>
  <c r="O166" i="32" s="1"/>
  <c r="M162" i="32" a="1"/>
  <c r="M162" i="32" s="1"/>
  <c r="D162" i="32" s="1"/>
  <c r="N162" i="32" a="1"/>
  <c r="N162" i="32" s="1"/>
  <c r="E162" i="32" s="1"/>
  <c r="O162" i="32" a="1"/>
  <c r="O162" i="32" s="1"/>
  <c r="N150" i="32" a="1"/>
  <c r="N150" i="32" s="1"/>
  <c r="E150" i="32" s="1"/>
  <c r="M150" i="32" a="1"/>
  <c r="M150" i="32" s="1"/>
  <c r="D150" i="32" s="1"/>
  <c r="O150" i="32" a="1"/>
  <c r="O150" i="32" s="1"/>
  <c r="M122" i="32" a="1"/>
  <c r="M122" i="32" s="1"/>
  <c r="D122" i="32" s="1"/>
  <c r="N122" i="32" a="1"/>
  <c r="N122" i="32" s="1"/>
  <c r="E122" i="32" s="1"/>
  <c r="O122" i="32" a="1"/>
  <c r="O122" i="32" s="1"/>
  <c r="M110" i="32" a="1"/>
  <c r="M110" i="32" s="1"/>
  <c r="D110" i="32" s="1"/>
  <c r="N110" i="32" a="1"/>
  <c r="N110" i="32" s="1"/>
  <c r="E110" i="32" s="1"/>
  <c r="O110" i="32" a="1"/>
  <c r="O110" i="32" s="1"/>
  <c r="O112" i="32" a="1"/>
  <c r="O112" i="32" s="1"/>
  <c r="M112" i="32" a="1"/>
  <c r="M112" i="32" s="1"/>
  <c r="D112" i="32" s="1"/>
  <c r="N112" i="32" a="1"/>
  <c r="N112" i="32" s="1"/>
  <c r="E112" i="32" s="1"/>
  <c r="N120" i="32" a="1"/>
  <c r="N120" i="32" s="1"/>
  <c r="E120" i="32" s="1"/>
  <c r="M120" i="32" a="1"/>
  <c r="M120" i="32" s="1"/>
  <c r="D120" i="32" s="1"/>
  <c r="O120" i="32" a="1"/>
  <c r="O120" i="32" s="1"/>
  <c r="M118" i="32" a="1"/>
  <c r="M118" i="32" s="1"/>
  <c r="D118" i="32" s="1"/>
  <c r="N118" i="32" a="1"/>
  <c r="N118" i="32" s="1"/>
  <c r="E118" i="32" s="1"/>
  <c r="O118" i="32" a="1"/>
  <c r="O118" i="32" s="1"/>
  <c r="M292" i="32" a="1"/>
  <c r="M292" i="32" s="1"/>
  <c r="D292" i="32" s="1"/>
  <c r="O292" i="32" a="1"/>
  <c r="O292" i="32" s="1"/>
  <c r="N292" i="32" a="1"/>
  <c r="N292" i="32" s="1"/>
  <c r="E292" i="32" s="1"/>
  <c r="M306" i="32" a="1"/>
  <c r="M306" i="32" s="1"/>
  <c r="D306" i="32" s="1"/>
  <c r="O306" i="32" a="1"/>
  <c r="O306" i="32" s="1"/>
  <c r="N306" i="32" a="1"/>
  <c r="N306" i="32" s="1"/>
  <c r="E306" i="32" s="1"/>
  <c r="O302" i="32" a="1"/>
  <c r="O302" i="32" s="1"/>
  <c r="M302" i="32" a="1"/>
  <c r="M302" i="32" s="1"/>
  <c r="D302" i="32" s="1"/>
  <c r="N302" i="32" a="1"/>
  <c r="N302" i="32" s="1"/>
  <c r="E302" i="32" s="1"/>
  <c r="M300" i="32" a="1"/>
  <c r="M300" i="32" s="1"/>
  <c r="D300" i="32" s="1"/>
  <c r="N300" i="32" a="1"/>
  <c r="N300" i="32" s="1"/>
  <c r="E300" i="32" s="1"/>
  <c r="O300" i="32" a="1"/>
  <c r="O300" i="32" s="1"/>
  <c r="M290" i="32" a="1"/>
  <c r="M290" i="32" s="1"/>
  <c r="D290" i="32" s="1"/>
  <c r="O290" i="32" a="1"/>
  <c r="O290" i="32" s="1"/>
  <c r="N290" i="32" a="1"/>
  <c r="N290" i="32" s="1"/>
  <c r="E290" i="32" s="1"/>
  <c r="N164" i="32" a="1"/>
  <c r="N164" i="32" s="1"/>
  <c r="E164" i="32" s="1"/>
  <c r="M164" i="32" a="1"/>
  <c r="M164" i="32" s="1"/>
  <c r="D164" i="32" s="1"/>
  <c r="O164" i="32" a="1"/>
  <c r="O164" i="32" s="1"/>
  <c r="O160" i="32" a="1"/>
  <c r="O160" i="32" s="1"/>
  <c r="N160" i="32" a="1"/>
  <c r="N160" i="32" s="1"/>
  <c r="E160" i="32" s="1"/>
  <c r="M160" i="32" a="1"/>
  <c r="M160" i="32" s="1"/>
  <c r="D160" i="32" s="1"/>
  <c r="M168" i="32" a="1"/>
  <c r="M168" i="32" s="1"/>
  <c r="D168" i="32" s="1"/>
  <c r="O168" i="32" a="1"/>
  <c r="O168" i="32" s="1"/>
  <c r="N168" i="32" a="1"/>
  <c r="N168" i="32" s="1"/>
  <c r="E168" i="32" s="1"/>
  <c r="O154" i="32" a="1"/>
  <c r="O154" i="32" s="1"/>
  <c r="N154" i="32" a="1"/>
  <c r="N154" i="32" s="1"/>
  <c r="E154" i="32" s="1"/>
  <c r="M154" i="32" a="1"/>
  <c r="M154" i="32" s="1"/>
  <c r="D154" i="32" s="1"/>
  <c r="O152" i="32" a="1"/>
  <c r="O152" i="32" s="1"/>
  <c r="M152" i="32" a="1"/>
  <c r="M152" i="32" s="1"/>
  <c r="D152" i="32" s="1"/>
  <c r="N152" i="32" a="1"/>
  <c r="N152" i="32" s="1"/>
  <c r="E152" i="32" s="1"/>
  <c r="Q208" i="32"/>
  <c r="A2865" i="27"/>
  <c r="Q819" i="32"/>
  <c r="F3494" i="27" l="1"/>
  <c r="E781" i="27"/>
  <c r="I237" i="16" a="1"/>
  <c r="I237" i="16" s="1"/>
  <c r="J236" i="16" a="1"/>
  <c r="J236" i="16" s="1"/>
  <c r="H72" i="16" a="1"/>
  <c r="H72" i="16" s="1"/>
  <c r="I71" i="16" a="1"/>
  <c r="I71" i="16" s="1"/>
  <c r="Q210" i="32"/>
  <c r="Q821" i="32"/>
  <c r="F3495" i="27" l="1"/>
  <c r="F3496" i="27"/>
  <c r="E782" i="27"/>
  <c r="I238" i="16" a="1"/>
  <c r="I238" i="16" s="1"/>
  <c r="J237" i="16" a="1"/>
  <c r="J237" i="16" s="1"/>
  <c r="H73" i="16" a="1"/>
  <c r="H73" i="16" s="1"/>
  <c r="I72" i="16" a="1"/>
  <c r="I72" i="16" s="1"/>
  <c r="Q212" i="32"/>
  <c r="Q823" i="32"/>
  <c r="F3497" i="27" l="1"/>
  <c r="E783" i="27"/>
  <c r="I239" i="16" a="1"/>
  <c r="I239" i="16" s="1"/>
  <c r="J238" i="16" a="1"/>
  <c r="J238" i="16" s="1"/>
  <c r="H74" i="16" a="1"/>
  <c r="H74" i="16" s="1"/>
  <c r="I73" i="16" a="1"/>
  <c r="I73" i="16" s="1"/>
  <c r="Q214" i="32"/>
  <c r="Q825" i="32"/>
  <c r="F3498" i="27" l="1"/>
  <c r="E784" i="27"/>
  <c r="I240" i="16" a="1"/>
  <c r="I240" i="16" s="1"/>
  <c r="J239" i="16" a="1"/>
  <c r="J239" i="16" s="1"/>
  <c r="H75" i="16" a="1"/>
  <c r="H75" i="16" s="1"/>
  <c r="I74" i="16" a="1"/>
  <c r="I74" i="16" s="1"/>
  <c r="Q216" i="32"/>
  <c r="Q827" i="32"/>
  <c r="F3499" i="27" l="1"/>
  <c r="E785" i="27"/>
  <c r="I241" i="16" a="1"/>
  <c r="I241" i="16" s="1"/>
  <c r="J240" i="16" a="1"/>
  <c r="J240" i="16" s="1"/>
  <c r="H76" i="16" a="1"/>
  <c r="H76" i="16" s="1"/>
  <c r="I75" i="16" a="1"/>
  <c r="I75" i="16" s="1"/>
  <c r="Q218" i="32"/>
  <c r="Q829" i="32"/>
  <c r="F3500" i="27" l="1"/>
  <c r="E786" i="27"/>
  <c r="I242" i="16" a="1"/>
  <c r="I242" i="16" s="1"/>
  <c r="J242" i="16" s="1" a="1"/>
  <c r="J242" i="16" s="1"/>
  <c r="J241" i="16" a="1"/>
  <c r="J241" i="16" s="1"/>
  <c r="H77" i="16" a="1"/>
  <c r="H77" i="16" s="1"/>
  <c r="I76" i="16" a="1"/>
  <c r="I76" i="16" s="1"/>
  <c r="Q220" i="32"/>
  <c r="Q831" i="32"/>
  <c r="F3502" i="27" l="1"/>
  <c r="F3501" i="27"/>
  <c r="E787" i="27"/>
  <c r="H78" i="16" a="1"/>
  <c r="H78" i="16" s="1"/>
  <c r="I77" i="16" a="1"/>
  <c r="I77" i="16" s="1"/>
  <c r="Q222" i="32"/>
  <c r="Q833" i="32"/>
  <c r="F3503" i="27" l="1"/>
  <c r="E788" i="27"/>
  <c r="H79" i="16" a="1"/>
  <c r="H79" i="16" s="1"/>
  <c r="I78" i="16" a="1"/>
  <c r="I78" i="16" s="1"/>
  <c r="Q224" i="32"/>
  <c r="Q835" i="32"/>
  <c r="F3504" i="27" l="1"/>
  <c r="E789" i="27"/>
  <c r="H80" i="16" a="1"/>
  <c r="H80" i="16" s="1"/>
  <c r="I80" i="16" s="1" a="1"/>
  <c r="I80" i="16" s="1"/>
  <c r="I79" i="16" a="1"/>
  <c r="I79" i="16" s="1"/>
  <c r="Q226" i="32"/>
  <c r="Q837" i="32"/>
  <c r="F3505" i="27" l="1"/>
  <c r="E790" i="27"/>
  <c r="BP24" i="31"/>
  <c r="BP16" i="31"/>
  <c r="BP26" i="31"/>
  <c r="BP38" i="31"/>
  <c r="BP34" i="31"/>
  <c r="BP18" i="31"/>
  <c r="BP12" i="31"/>
  <c r="BP30" i="31"/>
  <c r="BP22" i="31"/>
  <c r="BP36" i="31"/>
  <c r="BP20" i="31"/>
  <c r="BP10" i="31"/>
  <c r="BP14" i="31"/>
  <c r="BP28" i="31"/>
  <c r="BP32" i="31"/>
  <c r="Q228" i="32"/>
  <c r="Q839" i="32"/>
  <c r="F3506" i="27" l="1"/>
  <c r="E791" i="27"/>
  <c r="BQ32" i="31"/>
  <c r="BR32" i="31"/>
  <c r="BQ12" i="31"/>
  <c r="BR12" i="31"/>
  <c r="BQ34" i="31"/>
  <c r="BR34" i="31"/>
  <c r="BQ30" i="31"/>
  <c r="BR30" i="31"/>
  <c r="BR14" i="31"/>
  <c r="BQ14" i="31"/>
  <c r="BQ10" i="31"/>
  <c r="BR10" i="31"/>
  <c r="BR38" i="31"/>
  <c r="BQ38" i="31"/>
  <c r="BQ18" i="31"/>
  <c r="BR18" i="31"/>
  <c r="BR26" i="31"/>
  <c r="BQ26" i="31"/>
  <c r="BQ36" i="31"/>
  <c r="BR36" i="31"/>
  <c r="BQ16" i="31"/>
  <c r="BR16" i="31"/>
  <c r="BQ28" i="31"/>
  <c r="BR28" i="31"/>
  <c r="BQ20" i="31"/>
  <c r="BR20" i="31"/>
  <c r="BR22" i="31"/>
  <c r="BQ22" i="31"/>
  <c r="BR24" i="31"/>
  <c r="BQ24" i="31"/>
  <c r="Q230" i="32"/>
  <c r="Q841" i="32"/>
  <c r="BS38" i="31" l="1"/>
  <c r="BS24" i="31"/>
  <c r="F3507" i="27"/>
  <c r="F3508" i="27"/>
  <c r="E792" i="27"/>
  <c r="BS20" i="31"/>
  <c r="BS32" i="31"/>
  <c r="BS22" i="31"/>
  <c r="BS28" i="31"/>
  <c r="BS18" i="31"/>
  <c r="BS30" i="31"/>
  <c r="BS34" i="31"/>
  <c r="BS16" i="31"/>
  <c r="BS36" i="31"/>
  <c r="BS10" i="31"/>
  <c r="BS12" i="31"/>
  <c r="BS26" i="31"/>
  <c r="BS14" i="31"/>
  <c r="Q232" i="32"/>
  <c r="Q843" i="32"/>
  <c r="F3509" i="27" l="1"/>
  <c r="E793" i="27"/>
  <c r="Q234" i="32"/>
  <c r="Q845" i="32"/>
  <c r="F3510" i="27" l="1"/>
  <c r="E794" i="27"/>
  <c r="Q236" i="32"/>
  <c r="Q847" i="32"/>
  <c r="F3511" i="27" l="1"/>
  <c r="E795" i="27"/>
  <c r="Q238" i="32"/>
  <c r="Q849" i="32"/>
  <c r="F3512" i="27" l="1"/>
  <c r="E796" i="27"/>
  <c r="Q240" i="32"/>
  <c r="Q851" i="32"/>
  <c r="F3513" i="27" l="1"/>
  <c r="F3514" i="27"/>
  <c r="E797" i="27"/>
  <c r="Q242" i="32"/>
  <c r="Q853" i="32"/>
  <c r="F3515" i="27" l="1"/>
  <c r="E798" i="27"/>
  <c r="Q244" i="32"/>
  <c r="Q855" i="32"/>
  <c r="F3516" i="27" l="1"/>
  <c r="E799" i="27"/>
  <c r="Q246" i="32"/>
  <c r="Q857" i="32"/>
  <c r="F3517" i="27" l="1"/>
  <c r="E800" i="27"/>
  <c r="A2699" i="27"/>
  <c r="Q248" i="32"/>
  <c r="A519" i="27"/>
  <c r="Q859" i="32"/>
  <c r="F3518" i="27" l="1"/>
  <c r="E801" i="27"/>
  <c r="Q250" i="32"/>
  <c r="Q861" i="32"/>
  <c r="F3519" i="27" l="1"/>
  <c r="F3520" i="27"/>
  <c r="E802" i="27"/>
  <c r="Q252" i="32"/>
  <c r="Q863" i="32"/>
  <c r="F3521" i="27" l="1"/>
  <c r="E803" i="27"/>
  <c r="Q254" i="32"/>
  <c r="Q865" i="32"/>
  <c r="F3522" i="27" l="1"/>
  <c r="E804" i="27"/>
  <c r="Q256" i="32"/>
  <c r="Q867" i="32"/>
  <c r="F3523" i="27" l="1"/>
  <c r="E805" i="27"/>
  <c r="Q258" i="32"/>
  <c r="Q869" i="32"/>
  <c r="F3524" i="27" l="1"/>
  <c r="E806" i="27"/>
  <c r="Q260" i="32"/>
  <c r="Q871" i="32"/>
  <c r="F3526" i="27" l="1"/>
  <c r="F3525" i="27"/>
  <c r="E807" i="27"/>
  <c r="Q262" i="32"/>
  <c r="Q873" i="32"/>
  <c r="F3527" i="27" l="1"/>
  <c r="E808" i="27"/>
  <c r="Q264" i="32"/>
  <c r="Q875" i="32"/>
  <c r="F3528" i="27" l="1"/>
  <c r="E809" i="27"/>
  <c r="Q266" i="32"/>
  <c r="Q877" i="32"/>
  <c r="F3529" i="27" l="1"/>
  <c r="E810" i="27"/>
  <c r="Q268" i="32"/>
  <c r="Q879" i="32"/>
  <c r="F3530" i="27" l="1"/>
  <c r="E811" i="27"/>
  <c r="Q270" i="32"/>
  <c r="Q881" i="32"/>
  <c r="F3532" i="27" l="1"/>
  <c r="F3531" i="27"/>
  <c r="E812" i="27"/>
  <c r="BE9" i="33"/>
  <c r="E49" i="39"/>
  <c r="E22" i="39"/>
  <c r="C34" i="39"/>
  <c r="C17" i="41"/>
  <c r="C18" i="41"/>
  <c r="BE10" i="33"/>
  <c r="BD9" i="31"/>
  <c r="C32" i="40"/>
  <c r="Q272" i="32"/>
  <c r="Q883" i="32"/>
  <c r="F3533" i="27" l="1"/>
  <c r="E813" i="27"/>
  <c r="C19" i="41"/>
  <c r="Q274" i="32"/>
  <c r="Q885" i="32"/>
  <c r="F3534" i="27" l="1"/>
  <c r="E814" i="27"/>
  <c r="Q276" i="32"/>
  <c r="Q887" i="32"/>
  <c r="F3535" i="27" l="1"/>
  <c r="E815" i="27"/>
  <c r="Q278" i="32"/>
  <c r="Q889" i="32"/>
  <c r="F3536" i="27" l="1"/>
  <c r="E816" i="27"/>
  <c r="Q280" i="32"/>
  <c r="Q891" i="32"/>
  <c r="C43" i="27"/>
  <c r="F3538" i="27" l="1"/>
  <c r="F3537" i="27"/>
  <c r="E817" i="27"/>
  <c r="O133" i="27"/>
  <c r="O125" i="27"/>
  <c r="O117" i="27"/>
  <c r="O109" i="27"/>
  <c r="O101" i="27"/>
  <c r="O93" i="27"/>
  <c r="O85" i="27"/>
  <c r="O77" i="27"/>
  <c r="O69" i="27"/>
  <c r="O61" i="27"/>
  <c r="O53" i="27"/>
  <c r="O45" i="27"/>
  <c r="O94" i="27"/>
  <c r="O132" i="27"/>
  <c r="O124" i="27"/>
  <c r="O116" i="27"/>
  <c r="O108" i="27"/>
  <c r="O100" i="27"/>
  <c r="O92" i="27"/>
  <c r="O84" i="27"/>
  <c r="O76" i="27"/>
  <c r="O68" i="27"/>
  <c r="O60" i="27"/>
  <c r="O52" i="27"/>
  <c r="O44" i="27"/>
  <c r="O78" i="27"/>
  <c r="O70" i="27"/>
  <c r="O131" i="27"/>
  <c r="O123" i="27"/>
  <c r="O115" i="27"/>
  <c r="O107" i="27"/>
  <c r="O99" i="27"/>
  <c r="O91" i="27"/>
  <c r="O83" i="27"/>
  <c r="O75" i="27"/>
  <c r="O67" i="27"/>
  <c r="O59" i="27"/>
  <c r="O51" i="27"/>
  <c r="O102" i="27"/>
  <c r="O46" i="27"/>
  <c r="O130" i="27"/>
  <c r="O122" i="27"/>
  <c r="O114" i="27"/>
  <c r="O106" i="27"/>
  <c r="O98" i="27"/>
  <c r="O90" i="27"/>
  <c r="O82" i="27"/>
  <c r="O74" i="27"/>
  <c r="O66" i="27"/>
  <c r="O58" i="27"/>
  <c r="O50" i="27"/>
  <c r="O86" i="27"/>
  <c r="O62" i="27"/>
  <c r="O129" i="27"/>
  <c r="O121" i="27"/>
  <c r="O113" i="27"/>
  <c r="O105" i="27"/>
  <c r="O97" i="27"/>
  <c r="O89" i="27"/>
  <c r="O81" i="27"/>
  <c r="O73" i="27"/>
  <c r="O65" i="27"/>
  <c r="O57" i="27"/>
  <c r="O49" i="27"/>
  <c r="O110" i="27"/>
  <c r="O54" i="27"/>
  <c r="O128" i="27"/>
  <c r="O120" i="27"/>
  <c r="O112" i="27"/>
  <c r="O104" i="27"/>
  <c r="O96" i="27"/>
  <c r="O88" i="27"/>
  <c r="O80" i="27"/>
  <c r="O72" i="27"/>
  <c r="O64" i="27"/>
  <c r="O56" i="27"/>
  <c r="O48" i="27"/>
  <c r="O118" i="27"/>
  <c r="O127" i="27"/>
  <c r="O119" i="27"/>
  <c r="O111" i="27"/>
  <c r="O103" i="27"/>
  <c r="O95" i="27"/>
  <c r="O87" i="27"/>
  <c r="O79" i="27"/>
  <c r="O71" i="27"/>
  <c r="O63" i="27"/>
  <c r="O55" i="27"/>
  <c r="O47" i="27"/>
  <c r="O126" i="27"/>
  <c r="Q282" i="32"/>
  <c r="Q893" i="32"/>
  <c r="F3539" i="27" l="1"/>
  <c r="E818" i="27"/>
  <c r="Q284" i="32"/>
  <c r="Q895" i="32"/>
  <c r="F3540" i="27" l="1"/>
  <c r="E819" i="27"/>
  <c r="Q286" i="32"/>
  <c r="Q897" i="32"/>
  <c r="L2" i="29" a="1"/>
  <c r="L2" i="29" s="1"/>
  <c r="F3541" i="27" l="1"/>
  <c r="E820" i="27"/>
  <c r="Q288" i="32"/>
  <c r="Q899" i="32"/>
  <c r="L3" i="29" a="1"/>
  <c r="L3" i="29" s="1"/>
  <c r="L4" i="29" s="1" a="1"/>
  <c r="L4" i="29" s="1"/>
  <c r="F3542" i="27" l="1"/>
  <c r="E821" i="27"/>
  <c r="Q290" i="32"/>
  <c r="Q901" i="32"/>
  <c r="L5" i="29" a="1"/>
  <c r="L5" i="29" s="1"/>
  <c r="F3543" i="27" l="1"/>
  <c r="F3544" i="27"/>
  <c r="E822" i="27"/>
  <c r="A453" i="27"/>
  <c r="Q292" i="32"/>
  <c r="Q903" i="32"/>
  <c r="L6" i="29" a="1"/>
  <c r="L6" i="29" s="1"/>
  <c r="L7" i="29" s="1" a="1"/>
  <c r="L7" i="29" s="1"/>
  <c r="F3545" i="27" l="1"/>
  <c r="E823" i="27"/>
  <c r="Q294" i="32"/>
  <c r="Q905" i="32"/>
  <c r="L8" i="29" a="1"/>
  <c r="L8" i="29" s="1"/>
  <c r="L9" i="29" s="1" a="1"/>
  <c r="L9" i="29" s="1"/>
  <c r="F3546" i="27" l="1"/>
  <c r="E824" i="27"/>
  <c r="C33" i="40"/>
  <c r="BD10" i="31"/>
  <c r="E22" i="40"/>
  <c r="Q296" i="32"/>
  <c r="Q907" i="32"/>
  <c r="L10" i="29" a="1"/>
  <c r="L10" i="29" s="1"/>
  <c r="F3547" i="27" l="1"/>
  <c r="E825" i="27"/>
  <c r="L1423" i="32"/>
  <c r="N1423" i="32" s="1" a="1"/>
  <c r="N1423" i="32" s="1"/>
  <c r="E1423" i="32" s="1"/>
  <c r="Q298" i="32"/>
  <c r="Q909" i="32"/>
  <c r="L11" i="29" a="1"/>
  <c r="L11" i="29" s="1"/>
  <c r="L12" i="29" s="1" a="1"/>
  <c r="L12" i="29" s="1"/>
  <c r="L13" i="29" s="1"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F3548" i="27" l="1"/>
  <c r="E826" i="27"/>
  <c r="M1423" i="32" a="1"/>
  <c r="M1423" i="32" s="1"/>
  <c r="D1423" i="32" s="1"/>
  <c r="O1423" i="32" a="1"/>
  <c r="O1423" i="32" s="1"/>
  <c r="Q300" i="32"/>
  <c r="Q911" i="32"/>
  <c r="F3549" i="27" l="1"/>
  <c r="F3550" i="27"/>
  <c r="E827" i="27"/>
  <c r="Q302" i="32"/>
  <c r="Q913" i="32"/>
  <c r="F3551" i="27" l="1"/>
  <c r="E828" i="27"/>
  <c r="Q304" i="32"/>
  <c r="Q915" i="32"/>
  <c r="F3552" i="27" l="1"/>
  <c r="E829" i="27"/>
  <c r="Q306" i="32"/>
  <c r="Q917" i="32"/>
  <c r="F3553" i="27" l="1"/>
  <c r="E830" i="27"/>
  <c r="Q308" i="32"/>
  <c r="Q919" i="32"/>
  <c r="F3554" i="27" l="1"/>
  <c r="E831" i="27"/>
  <c r="Q921" i="32"/>
  <c r="F3556" i="27" l="1"/>
  <c r="F3555" i="27"/>
  <c r="E832" i="27"/>
  <c r="Q923" i="32"/>
  <c r="F3557" i="27" l="1"/>
  <c r="E833" i="27"/>
  <c r="Q925" i="32"/>
  <c r="F3558" i="27" l="1"/>
  <c r="E834" i="27"/>
  <c r="Q927" i="32"/>
  <c r="F3559" i="27" l="1"/>
  <c r="E835" i="27"/>
  <c r="Q929" i="32"/>
  <c r="F3560" i="27" l="1"/>
  <c r="E836" i="27"/>
  <c r="Q931" i="32"/>
  <c r="F3562" i="27" l="1"/>
  <c r="F3561" i="27"/>
  <c r="E837" i="27"/>
  <c r="Q933" i="32"/>
  <c r="F3563" i="27" l="1"/>
  <c r="E838" i="27"/>
  <c r="Q935" i="32"/>
  <c r="F3564" i="27" l="1"/>
  <c r="E839" i="27"/>
  <c r="Q937" i="32"/>
  <c r="F3565" i="27" l="1"/>
  <c r="E840" i="27"/>
  <c r="Q939" i="32"/>
  <c r="F3566" i="27" l="1"/>
  <c r="E841" i="27"/>
  <c r="Q941" i="32"/>
  <c r="F3567" i="27" l="1"/>
  <c r="F3568" i="27"/>
  <c r="E842" i="27"/>
  <c r="Q943" i="32"/>
  <c r="F3569" i="27" l="1"/>
  <c r="E843" i="27"/>
  <c r="Q945" i="32"/>
  <c r="F3570" i="27" l="1"/>
  <c r="E844" i="27"/>
  <c r="Q947" i="32"/>
  <c r="F3571" i="27" l="1"/>
  <c r="E845" i="27"/>
  <c r="Q949" i="32"/>
  <c r="F3572" i="27" l="1"/>
  <c r="E846" i="27"/>
  <c r="Q951" i="32"/>
  <c r="F3573" i="27" l="1"/>
  <c r="F3574" i="27"/>
  <c r="E847" i="27"/>
  <c r="Q953" i="32"/>
  <c r="F3575" i="27" l="1"/>
  <c r="E848" i="27"/>
  <c r="Q955" i="32"/>
  <c r="F3576" i="27" l="1"/>
  <c r="E849" i="27"/>
  <c r="Q957" i="32"/>
  <c r="F3577" i="27" l="1"/>
  <c r="E850" i="27"/>
  <c r="Q959" i="32"/>
  <c r="F3578" i="27" l="1"/>
  <c r="E851" i="27"/>
  <c r="Q961" i="32"/>
  <c r="F3579" i="27" l="1"/>
  <c r="F3580" i="27"/>
  <c r="E852" i="27"/>
  <c r="Q963" i="32"/>
  <c r="F3581" i="27" l="1"/>
  <c r="E853" i="27"/>
  <c r="Q965" i="32"/>
  <c r="F3582" i="27" l="1"/>
  <c r="E854" i="27"/>
  <c r="Q967" i="32"/>
  <c r="F3583" i="27" l="1"/>
  <c r="E855" i="27"/>
  <c r="Q969" i="32"/>
  <c r="F3584" i="27" l="1"/>
  <c r="E856" i="27"/>
  <c r="Q971" i="32"/>
  <c r="F3585" i="27" l="1"/>
  <c r="F3586" i="27"/>
  <c r="E857" i="27"/>
  <c r="Q973" i="32"/>
  <c r="F3587" i="27" l="1"/>
  <c r="E858" i="27"/>
  <c r="Q975" i="32"/>
  <c r="F3588" i="27" l="1"/>
  <c r="E859" i="27"/>
  <c r="Q977" i="32"/>
  <c r="F3589" i="27" l="1"/>
  <c r="E860" i="27"/>
  <c r="Q979" i="32"/>
  <c r="F3590" i="27" l="1"/>
  <c r="E861" i="27"/>
  <c r="Q981" i="32"/>
  <c r="F3592" i="27" l="1"/>
  <c r="F3591" i="27"/>
  <c r="E862" i="27"/>
  <c r="Q983" i="32"/>
  <c r="F3593" i="27" l="1"/>
  <c r="E863" i="27"/>
  <c r="Q985" i="32"/>
  <c r="F3594" i="27" l="1"/>
  <c r="E864" i="27"/>
  <c r="Q987" i="32"/>
  <c r="F3595" i="27" l="1"/>
  <c r="E865" i="27"/>
  <c r="Q989" i="32"/>
  <c r="F3596" i="27" l="1"/>
  <c r="E866" i="27"/>
  <c r="Q991" i="32"/>
  <c r="F3597" i="27" l="1"/>
  <c r="F3598" i="27"/>
  <c r="E867" i="27"/>
  <c r="Q993" i="32"/>
  <c r="E267" i="27"/>
  <c r="F3599" i="27" l="1"/>
  <c r="E868" i="27"/>
  <c r="K267" i="27"/>
  <c r="N267" i="27"/>
  <c r="I267" i="27"/>
  <c r="M267" i="27"/>
  <c r="J267" i="27"/>
  <c r="AD11" i="31"/>
  <c r="Q995" i="32"/>
  <c r="H267" i="27"/>
  <c r="L267" i="27"/>
  <c r="L252" i="27"/>
  <c r="G783" i="27"/>
  <c r="F3600" i="27" l="1"/>
  <c r="E869" i="27"/>
  <c r="AD13" i="31"/>
  <c r="AD15" i="31" s="1"/>
  <c r="Q997" i="32"/>
  <c r="B518" i="27"/>
  <c r="AE10" i="34"/>
  <c r="F3601" i="27" l="1"/>
  <c r="E870" i="27"/>
  <c r="E265" i="40"/>
  <c r="E157" i="40"/>
  <c r="E238" i="40"/>
  <c r="E211" i="40"/>
  <c r="E292" i="40"/>
  <c r="E346" i="40"/>
  <c r="E184" i="40"/>
  <c r="E49" i="40"/>
  <c r="E76" i="40"/>
  <c r="E103" i="40"/>
  <c r="E373" i="40"/>
  <c r="E400" i="40"/>
  <c r="E130" i="40"/>
  <c r="E319" i="40"/>
  <c r="A267" i="27"/>
  <c r="Q999" i="32"/>
  <c r="AE11" i="34"/>
  <c r="B519" i="27"/>
  <c r="M519" i="27"/>
  <c r="F519" i="27"/>
  <c r="AD17" i="31"/>
  <c r="F3602" i="27" l="1"/>
  <c r="E871" i="27"/>
  <c r="H519" i="27"/>
  <c r="B520" i="27"/>
  <c r="N520" i="27"/>
  <c r="Q1001" i="32"/>
  <c r="C519" i="27"/>
  <c r="M520" i="27" s="1"/>
  <c r="AE12" i="34"/>
  <c r="AD19" i="31"/>
  <c r="F3603" i="27" l="1"/>
  <c r="F3604" i="27"/>
  <c r="E872" i="27"/>
  <c r="N521" i="27"/>
  <c r="B521" i="27"/>
  <c r="H520" i="27"/>
  <c r="M521" i="27"/>
  <c r="AY13" i="33" a="1"/>
  <c r="AY13" i="33" s="1"/>
  <c r="B63" i="41"/>
  <c r="BV13" i="33"/>
  <c r="AZ13" i="33" s="1"/>
  <c r="AP13" i="33" a="1"/>
  <c r="AP13" i="33" s="1"/>
  <c r="AN13" i="33" a="1"/>
  <c r="AN13" i="33" s="1"/>
  <c r="I13" i="33" s="1"/>
  <c r="B67" i="41" s="1"/>
  <c r="Q1003" i="32"/>
  <c r="AE13" i="34"/>
  <c r="AD21" i="31"/>
  <c r="BC13" i="33" a="1"/>
  <c r="W486" i="27"/>
  <c r="BC13" i="33" l="1"/>
  <c r="F3605" i="27"/>
  <c r="E873" i="27"/>
  <c r="N522" i="27"/>
  <c r="B522" i="27"/>
  <c r="N523" i="27" s="1"/>
  <c r="M522" i="27"/>
  <c r="H521" i="27"/>
  <c r="AV13" i="33"/>
  <c r="AW13" i="33"/>
  <c r="AX13" i="33"/>
  <c r="AQ13" i="33"/>
  <c r="AR13" i="33"/>
  <c r="Q1005" i="32"/>
  <c r="AE14" i="34"/>
  <c r="AD23" i="31"/>
  <c r="F3606" i="27" l="1"/>
  <c r="M523" i="27"/>
  <c r="H522" i="27"/>
  <c r="E874" i="27"/>
  <c r="B523" i="27"/>
  <c r="Q1007" i="32"/>
  <c r="AE15" i="34"/>
  <c r="AD25" i="31"/>
  <c r="F3607" i="27" l="1"/>
  <c r="E875" i="27"/>
  <c r="M524" i="27"/>
  <c r="H523" i="27"/>
  <c r="B524" i="27"/>
  <c r="M525" i="27" s="1"/>
  <c r="N525" i="27"/>
  <c r="N524" i="27"/>
  <c r="Q1009" i="32"/>
  <c r="AE16" i="34"/>
  <c r="AD27" i="31"/>
  <c r="F3608" i="27" l="1"/>
  <c r="H524" i="27"/>
  <c r="E876" i="27"/>
  <c r="B525" i="27"/>
  <c r="Q1011" i="32"/>
  <c r="AE17" i="34"/>
  <c r="AD29" i="31"/>
  <c r="F3610" i="27" l="1"/>
  <c r="F3609" i="27"/>
  <c r="E877" i="27"/>
  <c r="H525" i="27"/>
  <c r="B526" i="27"/>
  <c r="H526" i="27" s="1"/>
  <c r="N526" i="27"/>
  <c r="M526" i="27"/>
  <c r="Q1013" i="32"/>
  <c r="AE18" i="34"/>
  <c r="AD31" i="31"/>
  <c r="F3611" i="27" l="1"/>
  <c r="E878" i="27"/>
  <c r="B527" i="27"/>
  <c r="N527" i="27"/>
  <c r="M527" i="27"/>
  <c r="Q1015" i="32"/>
  <c r="AE19" i="34"/>
  <c r="AD33" i="31"/>
  <c r="F3612" i="27" l="1"/>
  <c r="E879" i="27"/>
  <c r="B528" i="27"/>
  <c r="M528" i="27"/>
  <c r="N528" i="27"/>
  <c r="H527" i="27"/>
  <c r="Q1017" i="32"/>
  <c r="AE20" i="34"/>
  <c r="AD35" i="31"/>
  <c r="F3613" i="27" l="1"/>
  <c r="H528" i="27"/>
  <c r="B529" i="27"/>
  <c r="M529" i="27"/>
  <c r="N529" i="27"/>
  <c r="Q1019" i="32"/>
  <c r="AE21" i="34"/>
  <c r="AD37" i="31"/>
  <c r="F3614" i="27" l="1"/>
  <c r="B530" i="27"/>
  <c r="N530" i="27"/>
  <c r="M530" i="27"/>
  <c r="H529" i="27"/>
  <c r="Q1021" i="32"/>
  <c r="AE22" i="34"/>
  <c r="F3616" i="27" l="1"/>
  <c r="F3615" i="27"/>
  <c r="H530" i="27"/>
  <c r="B531" i="27"/>
  <c r="M531" i="27"/>
  <c r="N531" i="27"/>
  <c r="Q1023" i="32"/>
  <c r="AE23" i="34"/>
  <c r="F3617" i="27" l="1"/>
  <c r="B532" i="27"/>
  <c r="N532" i="27"/>
  <c r="M532" i="27"/>
  <c r="H531" i="27"/>
  <c r="Q1025" i="32"/>
  <c r="AE24" i="34"/>
  <c r="F3618" i="27" l="1"/>
  <c r="H532" i="27"/>
  <c r="B533" i="27"/>
  <c r="M533" i="27"/>
  <c r="N533" i="27"/>
  <c r="Q1027" i="32"/>
  <c r="AE25" i="34"/>
  <c r="F3619" i="27" l="1"/>
  <c r="B534" i="27"/>
  <c r="N534" i="27"/>
  <c r="M534" i="27"/>
  <c r="H533" i="27"/>
  <c r="Q1029" i="32"/>
  <c r="AE26" i="34"/>
  <c r="F3620" i="27" l="1"/>
  <c r="H534" i="27"/>
  <c r="B535" i="27"/>
  <c r="N535" i="27"/>
  <c r="M535" i="27"/>
  <c r="Q1031" i="32"/>
  <c r="AE27" i="34"/>
  <c r="F3622" i="27" l="1"/>
  <c r="F3621" i="27"/>
  <c r="B536" i="27"/>
  <c r="N536" i="27"/>
  <c r="M536" i="27"/>
  <c r="H535" i="27"/>
  <c r="Q1033" i="32"/>
  <c r="AE28" i="34"/>
  <c r="F3623" i="27" l="1"/>
  <c r="H536" i="27"/>
  <c r="B537" i="27"/>
  <c r="N537" i="27"/>
  <c r="M537" i="27"/>
  <c r="Q1035" i="32"/>
  <c r="AE29" i="34"/>
  <c r="F3624" i="27" l="1"/>
  <c r="B538" i="27"/>
  <c r="M538" i="27"/>
  <c r="N538" i="27"/>
  <c r="H537" i="27"/>
  <c r="Q1037" i="32"/>
  <c r="AE30" i="34"/>
  <c r="F3625" i="27" l="1"/>
  <c r="H538" i="27"/>
  <c r="B539" i="27"/>
  <c r="N539" i="27"/>
  <c r="M539" i="27"/>
  <c r="Q1039" i="32"/>
  <c r="AE31" i="34"/>
  <c r="F3626" i="27" l="1"/>
  <c r="B540" i="27"/>
  <c r="M540" i="27"/>
  <c r="N540" i="27"/>
  <c r="H539" i="27"/>
  <c r="Q1041" i="32"/>
  <c r="AE32" i="34"/>
  <c r="F3627" i="27" l="1"/>
  <c r="F3628" i="27"/>
  <c r="H540" i="27"/>
  <c r="B541" i="27"/>
  <c r="N541" i="27"/>
  <c r="M541" i="27"/>
  <c r="Q1043" i="32"/>
  <c r="AE33" i="34"/>
  <c r="F3629" i="27" l="1"/>
  <c r="B542" i="27"/>
  <c r="N542" i="27"/>
  <c r="M542" i="27"/>
  <c r="H541" i="27"/>
  <c r="Q1045" i="32"/>
  <c r="AE34" i="34"/>
  <c r="F3630" i="27" l="1"/>
  <c r="H542" i="27"/>
  <c r="B543" i="27"/>
  <c r="N543" i="27"/>
  <c r="M543" i="27"/>
  <c r="Q1047" i="32"/>
  <c r="AE35" i="34"/>
  <c r="F3631" i="27" l="1"/>
  <c r="B544" i="27"/>
  <c r="M544" i="27"/>
  <c r="N544" i="27"/>
  <c r="H543" i="27"/>
  <c r="H544" i="27" s="1"/>
  <c r="Q1049" i="32"/>
  <c r="AE36" i="34"/>
  <c r="F3632" i="27" l="1"/>
  <c r="B545" i="27"/>
  <c r="H545" i="27" s="1"/>
  <c r="M545" i="27"/>
  <c r="N545" i="27"/>
  <c r="Q1051" i="32"/>
  <c r="AE37" i="34"/>
  <c r="F3633" i="27" l="1"/>
  <c r="F3634" i="27"/>
  <c r="B546" i="27"/>
  <c r="N546" i="27"/>
  <c r="M546" i="27"/>
  <c r="H546" i="27"/>
  <c r="Q1053" i="32"/>
  <c r="AE38" i="34"/>
  <c r="F3635" i="27" l="1"/>
  <c r="B547" i="27"/>
  <c r="N547" i="27"/>
  <c r="M547" i="27"/>
  <c r="Q1055" i="32"/>
  <c r="AE39" i="34"/>
  <c r="F3636" i="27" l="1"/>
  <c r="B548" i="27"/>
  <c r="M548" i="27"/>
  <c r="N548" i="27"/>
  <c r="H547" i="27"/>
  <c r="H548" i="27" s="1"/>
  <c r="Q1057" i="32"/>
  <c r="AE40" i="34"/>
  <c r="F3637" i="27" l="1"/>
  <c r="B549" i="27"/>
  <c r="M549" i="27"/>
  <c r="N549" i="27"/>
  <c r="Q1059" i="32"/>
  <c r="AE41" i="34"/>
  <c r="F3638" i="27" l="1"/>
  <c r="B550" i="27"/>
  <c r="M550" i="27"/>
  <c r="N550" i="27"/>
  <c r="H549" i="27"/>
  <c r="H550" i="27" s="1"/>
  <c r="Q1061" i="32"/>
  <c r="AE42" i="34"/>
  <c r="F3639" i="27" l="1"/>
  <c r="F3640" i="27"/>
  <c r="B551" i="27"/>
  <c r="H551" i="27" s="1"/>
  <c r="N551" i="27"/>
  <c r="M551" i="27"/>
  <c r="Q1063" i="32"/>
  <c r="AE43" i="34"/>
  <c r="F3641" i="27" l="1"/>
  <c r="B552" i="27"/>
  <c r="H552" i="27" s="1"/>
  <c r="N552" i="27"/>
  <c r="M552" i="27"/>
  <c r="Q1065" i="32"/>
  <c r="AE44" i="34"/>
  <c r="F3642" i="27" l="1"/>
  <c r="B553" i="27"/>
  <c r="M553" i="27"/>
  <c r="N553" i="27"/>
  <c r="Q1067" i="32"/>
  <c r="AE45" i="34"/>
  <c r="F3643" i="27" l="1"/>
  <c r="B554" i="27"/>
  <c r="M554" i="27"/>
  <c r="N554" i="27"/>
  <c r="H553" i="27"/>
  <c r="H554" i="27" s="1"/>
  <c r="Q1069" i="32"/>
  <c r="AE46" i="34"/>
  <c r="F3644" i="27" l="1"/>
  <c r="B555" i="27"/>
  <c r="M555" i="27"/>
  <c r="N555" i="27"/>
  <c r="Q1071" i="32"/>
  <c r="AE47" i="34"/>
  <c r="F3645" i="27" l="1"/>
  <c r="F3646" i="27"/>
  <c r="B556" i="27"/>
  <c r="N556" i="27"/>
  <c r="M556" i="27"/>
  <c r="H555" i="27"/>
  <c r="H556" i="27" s="1"/>
  <c r="Q1073" i="32"/>
  <c r="AE48" i="34"/>
  <c r="F3647" i="27" l="1"/>
  <c r="B557" i="27"/>
  <c r="N557" i="27"/>
  <c r="M557" i="27"/>
  <c r="Q1075" i="32"/>
  <c r="AE49" i="34"/>
  <c r="F3648" i="27" l="1"/>
  <c r="B558" i="27"/>
  <c r="N558" i="27"/>
  <c r="M558" i="27"/>
  <c r="H557" i="27"/>
  <c r="H558" i="27" s="1"/>
  <c r="Q1077" i="32"/>
  <c r="AE50" i="34"/>
  <c r="F3649" i="27" l="1"/>
  <c r="B559" i="27"/>
  <c r="N559" i="27"/>
  <c r="M559" i="27"/>
  <c r="Q1079" i="32"/>
  <c r="AE51" i="34"/>
  <c r="F3650" i="27" l="1"/>
  <c r="B560" i="27"/>
  <c r="N560" i="27"/>
  <c r="M560" i="27"/>
  <c r="H559" i="27"/>
  <c r="H560" i="27" s="1"/>
  <c r="Q1081" i="32"/>
  <c r="AE52" i="34"/>
  <c r="F3651" i="27" l="1"/>
  <c r="F3652" i="27"/>
  <c r="B561" i="27"/>
  <c r="M561" i="27"/>
  <c r="N561" i="27"/>
  <c r="Q1083" i="32"/>
  <c r="AE53" i="34"/>
  <c r="F3653" i="27" l="1"/>
  <c r="B562" i="27"/>
  <c r="M562" i="27"/>
  <c r="N562" i="27"/>
  <c r="H561" i="27"/>
  <c r="Q1085" i="32"/>
  <c r="AE54" i="34"/>
  <c r="F3654" i="27" l="1"/>
  <c r="H562" i="27"/>
  <c r="B563" i="27"/>
  <c r="N563" i="27"/>
  <c r="M563" i="27"/>
  <c r="Q1087" i="32"/>
  <c r="AE55" i="34"/>
  <c r="F3655" i="27" l="1"/>
  <c r="B564" i="27"/>
  <c r="M564" i="27"/>
  <c r="N564" i="27"/>
  <c r="H563" i="27"/>
  <c r="Q1089" i="32"/>
  <c r="AE56" i="34"/>
  <c r="F3656" i="27" l="1"/>
  <c r="H564" i="27"/>
  <c r="B565" i="27"/>
  <c r="N565" i="27"/>
  <c r="M565" i="27"/>
  <c r="Q1091" i="32"/>
  <c r="AE57" i="34"/>
  <c r="F3658" i="27" l="1"/>
  <c r="F3657" i="27"/>
  <c r="B566" i="27"/>
  <c r="N566" i="27"/>
  <c r="M566" i="27"/>
  <c r="H565" i="27"/>
  <c r="Q1093" i="32"/>
  <c r="AE58" i="34"/>
  <c r="F3659" i="27" l="1"/>
  <c r="H566" i="27"/>
  <c r="B567" i="27"/>
  <c r="M567" i="27"/>
  <c r="N567" i="27"/>
  <c r="Q1095" i="32"/>
  <c r="AE59" i="34"/>
  <c r="H567" i="27" l="1"/>
  <c r="F3660" i="27"/>
  <c r="B568" i="27"/>
  <c r="M568" i="27"/>
  <c r="N568" i="27"/>
  <c r="H568" i="27"/>
  <c r="Q1097" i="32"/>
  <c r="AE60" i="34"/>
  <c r="F3661" i="27" l="1"/>
  <c r="B569" i="27"/>
  <c r="N569" i="27"/>
  <c r="M569" i="27"/>
  <c r="Q1099" i="32"/>
  <c r="AE61" i="34"/>
  <c r="F3662" i="27" l="1"/>
  <c r="B570" i="27"/>
  <c r="M570" i="27"/>
  <c r="N570" i="27"/>
  <c r="H569" i="27"/>
  <c r="H570" i="27" s="1"/>
  <c r="Q1101" i="32"/>
  <c r="AE62" i="34"/>
  <c r="F3664" i="27" l="1"/>
  <c r="F3663" i="27"/>
  <c r="B571" i="27"/>
  <c r="M571" i="27"/>
  <c r="N571" i="27"/>
  <c r="Q1103" i="32"/>
  <c r="AE63" i="34"/>
  <c r="F3665" i="27" l="1"/>
  <c r="B572" i="27"/>
  <c r="M572" i="27"/>
  <c r="N572" i="27"/>
  <c r="H571" i="27"/>
  <c r="Q1105" i="32"/>
  <c r="AE64" i="34"/>
  <c r="F3666" i="27" l="1"/>
  <c r="H572" i="27"/>
  <c r="B573" i="27"/>
  <c r="M573" i="27"/>
  <c r="N573" i="27"/>
  <c r="Q1107" i="32"/>
  <c r="AE65" i="34"/>
  <c r="F3667" i="27" l="1"/>
  <c r="B574" i="27"/>
  <c r="N574" i="27"/>
  <c r="M574" i="27"/>
  <c r="H573" i="27"/>
  <c r="Q1109" i="32"/>
  <c r="AE66" i="34"/>
  <c r="F3668" i="27" l="1"/>
  <c r="H574" i="27"/>
  <c r="B575" i="27"/>
  <c r="N575" i="27"/>
  <c r="M575" i="27"/>
  <c r="Q1111" i="32"/>
  <c r="AE67" i="34"/>
  <c r="F3669" i="27" l="1"/>
  <c r="F3670" i="27"/>
  <c r="B576" i="27"/>
  <c r="N576" i="27"/>
  <c r="M576" i="27"/>
  <c r="H575" i="27"/>
  <c r="H576" i="27" s="1"/>
  <c r="Q1113" i="32"/>
  <c r="AE68" i="34"/>
  <c r="F3671" i="27" l="1"/>
  <c r="B577" i="27"/>
  <c r="N577" i="27"/>
  <c r="M577" i="27"/>
  <c r="Q1115" i="32"/>
  <c r="AE69" i="34"/>
  <c r="F3672" i="27" l="1"/>
  <c r="B578" i="27"/>
  <c r="M578" i="27"/>
  <c r="N578" i="27"/>
  <c r="H577" i="27"/>
  <c r="H578" i="27" s="1"/>
  <c r="Q1117" i="32"/>
  <c r="AE70" i="34"/>
  <c r="F3673" i="27" l="1"/>
  <c r="B579" i="27"/>
  <c r="M579" i="27"/>
  <c r="N579" i="27"/>
  <c r="Q1119" i="32"/>
  <c r="AE71" i="34"/>
  <c r="F3674" i="27" l="1"/>
  <c r="B580" i="27"/>
  <c r="M580" i="27"/>
  <c r="N580" i="27"/>
  <c r="H579" i="27"/>
  <c r="H580" i="27" s="1"/>
  <c r="Q1121" i="32"/>
  <c r="AE72" i="34"/>
  <c r="F3675" i="27" l="1"/>
  <c r="F3676" i="27"/>
  <c r="B581" i="27"/>
  <c r="N581" i="27"/>
  <c r="M581" i="27"/>
  <c r="Q1123" i="32"/>
  <c r="AE73" i="34"/>
  <c r="F3677" i="27" l="1"/>
  <c r="B582" i="27"/>
  <c r="N582" i="27"/>
  <c r="M582" i="27"/>
  <c r="H581" i="27"/>
  <c r="Q1125" i="32"/>
  <c r="AE74" i="34"/>
  <c r="F3678" i="27" l="1"/>
  <c r="H582" i="27"/>
  <c r="B583" i="27"/>
  <c r="N583" i="27"/>
  <c r="M583" i="27"/>
  <c r="Q1127" i="32"/>
  <c r="AE75" i="34"/>
  <c r="F3679" i="27" l="1"/>
  <c r="B584" i="27"/>
  <c r="M584" i="27"/>
  <c r="N584" i="27"/>
  <c r="H583" i="27"/>
  <c r="H584" i="27" s="1"/>
  <c r="Q1129" i="32"/>
  <c r="AE76" i="34"/>
  <c r="F3680" i="27" l="1"/>
  <c r="B585" i="27"/>
  <c r="N585" i="27"/>
  <c r="M585" i="27"/>
  <c r="Q1131" i="32"/>
  <c r="AE77" i="34"/>
  <c r="F3681" i="27" l="1"/>
  <c r="F3682" i="27"/>
  <c r="B586" i="27"/>
  <c r="N586" i="27"/>
  <c r="M586" i="27"/>
  <c r="H585" i="27"/>
  <c r="H586" i="27" s="1"/>
  <c r="Q1133" i="32"/>
  <c r="AE78" i="34"/>
  <c r="F3683" i="27" l="1"/>
  <c r="B587" i="27"/>
  <c r="N587" i="27"/>
  <c r="M587" i="27"/>
  <c r="Q1135" i="32"/>
  <c r="AE79" i="34"/>
  <c r="F3684" i="27" l="1"/>
  <c r="B588" i="27"/>
  <c r="N588" i="27"/>
  <c r="M588" i="27"/>
  <c r="H587" i="27"/>
  <c r="Q1137" i="32"/>
  <c r="AE80" i="34"/>
  <c r="H588" i="27" l="1"/>
  <c r="F3685" i="27"/>
  <c r="B589" i="27"/>
  <c r="N589" i="27"/>
  <c r="M589" i="27"/>
  <c r="Q1139" i="32"/>
  <c r="AE81" i="34"/>
  <c r="F3686" i="27" l="1"/>
  <c r="B590" i="27"/>
  <c r="N590" i="27"/>
  <c r="M590" i="27"/>
  <c r="H589" i="27"/>
  <c r="H590" i="27" s="1"/>
  <c r="Q1141" i="32"/>
  <c r="AE82" i="34"/>
  <c r="F3687" i="27" l="1"/>
  <c r="F3688" i="27"/>
  <c r="B591" i="27"/>
  <c r="N591" i="27"/>
  <c r="M591" i="27"/>
  <c r="Q1143" i="32"/>
  <c r="AE83" i="34"/>
  <c r="F3689" i="27" l="1"/>
  <c r="B592" i="27"/>
  <c r="M592" i="27"/>
  <c r="N592" i="27"/>
  <c r="H591" i="27"/>
  <c r="BF35" i="30"/>
  <c r="BF33" i="30"/>
  <c r="BF25" i="30"/>
  <c r="BF29" i="30"/>
  <c r="BF37" i="30"/>
  <c r="BF31" i="30"/>
  <c r="BF15" i="30"/>
  <c r="BF27" i="30"/>
  <c r="BF17" i="30"/>
  <c r="BF23" i="30"/>
  <c r="BF19" i="30"/>
  <c r="BF13" i="30"/>
  <c r="AV19" i="30"/>
  <c r="G167" i="39"/>
  <c r="AV36" i="30"/>
  <c r="G384" i="39"/>
  <c r="G276" i="39"/>
  <c r="AV28" i="30"/>
  <c r="AV14" i="30"/>
  <c r="G87" i="39"/>
  <c r="G357" i="39"/>
  <c r="AV34" i="30"/>
  <c r="G141" i="39"/>
  <c r="AV18" i="30"/>
  <c r="G248" i="39"/>
  <c r="AV25" i="30"/>
  <c r="G411" i="39"/>
  <c r="AV38" i="30"/>
  <c r="AV29" i="30"/>
  <c r="G302" i="39"/>
  <c r="AV17" i="30"/>
  <c r="G140" i="39"/>
  <c r="AV37" i="30"/>
  <c r="G410" i="39"/>
  <c r="G222" i="39"/>
  <c r="AV24" i="30"/>
  <c r="AV31" i="30"/>
  <c r="G329" i="39"/>
  <c r="C152" i="42"/>
  <c r="AB12" i="34"/>
  <c r="AV27" i="30"/>
  <c r="G275" i="39"/>
  <c r="C282" i="42"/>
  <c r="B136" i="39"/>
  <c r="E211" i="39"/>
  <c r="E217" i="39" s="1"/>
  <c r="BI23" i="30"/>
  <c r="AD23" i="30"/>
  <c r="K403" i="41"/>
  <c r="J46" i="41"/>
  <c r="BL12" i="33"/>
  <c r="G168" i="39"/>
  <c r="AV20" i="30"/>
  <c r="E67" i="41"/>
  <c r="B153" i="41"/>
  <c r="C383" i="39"/>
  <c r="AR35" i="30"/>
  <c r="Y45" i="34"/>
  <c r="E323" i="40"/>
  <c r="C436" i="41"/>
  <c r="H291" i="41"/>
  <c r="E218" i="42"/>
  <c r="D60" i="40"/>
  <c r="BE12" i="31"/>
  <c r="E689" i="41"/>
  <c r="BG57" i="33"/>
  <c r="B90" i="40"/>
  <c r="G114" i="39"/>
  <c r="AV16" i="30"/>
  <c r="G86" i="39"/>
  <c r="AV13" i="30"/>
  <c r="BE35" i="31"/>
  <c r="D383" i="40"/>
  <c r="Y82" i="34"/>
  <c r="Z82" i="34" s="1"/>
  <c r="BF26" i="31"/>
  <c r="E249" i="40"/>
  <c r="D141" i="40"/>
  <c r="BE18" i="31"/>
  <c r="H711" i="41"/>
  <c r="D114" i="39"/>
  <c r="AS16" i="30"/>
  <c r="K207" i="41"/>
  <c r="AB72" i="34"/>
  <c r="B237" i="41"/>
  <c r="BL42" i="33"/>
  <c r="J466" i="41"/>
  <c r="E71" i="42"/>
  <c r="AR29" i="30"/>
  <c r="C302" i="39"/>
  <c r="E571" i="41"/>
  <c r="AV22" i="30"/>
  <c r="G195" i="39"/>
  <c r="H123" i="41"/>
  <c r="F167" i="40"/>
  <c r="BG19" i="31"/>
  <c r="C287" i="42"/>
  <c r="F168" i="39"/>
  <c r="AU20" i="30"/>
  <c r="BF46" i="33"/>
  <c r="D522" i="41"/>
  <c r="BM53" i="33"/>
  <c r="K633" i="41"/>
  <c r="BM37" i="33"/>
  <c r="K409" i="41"/>
  <c r="E135" i="42"/>
  <c r="AV26" i="30"/>
  <c r="G249" i="39"/>
  <c r="I354" i="41"/>
  <c r="BK34" i="33"/>
  <c r="E33" i="40"/>
  <c r="BF10" i="31"/>
  <c r="G343" i="41"/>
  <c r="BA33" i="33"/>
  <c r="AV9" i="30"/>
  <c r="G32" i="39"/>
  <c r="K102" i="41"/>
  <c r="BM16" i="33"/>
  <c r="BF28" i="33"/>
  <c r="D270" i="41"/>
  <c r="BH61" i="33"/>
  <c r="F745" i="41"/>
  <c r="I241" i="41"/>
  <c r="BK25" i="33"/>
  <c r="BI35" i="30"/>
  <c r="E373" i="39"/>
  <c r="E379" i="39" s="1"/>
  <c r="AD35" i="30"/>
  <c r="F384" i="40"/>
  <c r="BG36" i="31"/>
  <c r="AB33" i="34"/>
  <c r="BH42" i="33"/>
  <c r="F466" i="41"/>
  <c r="F410" i="41"/>
  <c r="BH38" i="33"/>
  <c r="D275" i="39"/>
  <c r="AS27" i="30"/>
  <c r="E414" i="42"/>
  <c r="BA9" i="33"/>
  <c r="G7" i="41"/>
  <c r="AT11" i="30"/>
  <c r="E59" i="39"/>
  <c r="BR47" i="33" a="1"/>
  <c r="BR47" i="33" s="1"/>
  <c r="AM47" i="33"/>
  <c r="D537" i="41"/>
  <c r="AB40" i="34"/>
  <c r="BH46" i="33"/>
  <c r="F522" i="41"/>
  <c r="C576" i="41"/>
  <c r="B387" i="40"/>
  <c r="BA45" i="33"/>
  <c r="G511" i="41"/>
  <c r="AB76" i="34"/>
  <c r="C382" i="39"/>
  <c r="AM29" i="33"/>
  <c r="D285" i="41"/>
  <c r="AB22" i="34"/>
  <c r="B352" i="39"/>
  <c r="C355" i="39"/>
  <c r="AV12" i="30"/>
  <c r="G60" i="39"/>
  <c r="BF37" i="33"/>
  <c r="D409" i="41"/>
  <c r="BI9" i="33"/>
  <c r="G17" i="41"/>
  <c r="BM28" i="33"/>
  <c r="K270" i="41"/>
  <c r="K95" i="41"/>
  <c r="E352" i="39"/>
  <c r="Y24" i="34"/>
  <c r="Y37" i="34"/>
  <c r="BM39" i="33"/>
  <c r="K437" i="41"/>
  <c r="AU30" i="30"/>
  <c r="F303" i="39"/>
  <c r="Y26" i="34"/>
  <c r="Z26" i="34" s="1"/>
  <c r="H494" i="41"/>
  <c r="BJ44" i="33"/>
  <c r="BH14" i="31"/>
  <c r="G87" i="40"/>
  <c r="BL66" i="33"/>
  <c r="J802" i="41"/>
  <c r="Y73" i="34"/>
  <c r="Z73" i="34" s="1"/>
  <c r="Y75" i="34"/>
  <c r="AA75" i="34" s="1"/>
  <c r="BC65" i="33" a="1"/>
  <c r="BC65" i="33" s="1"/>
  <c r="BV65" i="33"/>
  <c r="AZ65" i="33" s="1"/>
  <c r="AP65" i="33" a="1"/>
  <c r="AP65" i="33" s="1"/>
  <c r="AN65" i="33" a="1"/>
  <c r="AN65" i="33" s="1"/>
  <c r="I65" i="33" s="1"/>
  <c r="B795" i="41" s="1"/>
  <c r="AS65" i="33"/>
  <c r="B791" i="41"/>
  <c r="BT65" i="33"/>
  <c r="BN65" i="33"/>
  <c r="AY65" i="33" a="1"/>
  <c r="AY65" i="33" s="1"/>
  <c r="AX65" i="33" s="1"/>
  <c r="AO65" i="33"/>
  <c r="C1759" i="32" s="1"/>
  <c r="L1759" i="32" s="1"/>
  <c r="B629" i="41"/>
  <c r="AB37" i="34"/>
  <c r="BI67" i="33"/>
  <c r="G829" i="41"/>
  <c r="I298" i="41"/>
  <c r="BK30" i="33"/>
  <c r="E115" i="42"/>
  <c r="BF60" i="33"/>
  <c r="D718" i="41"/>
  <c r="E42" i="42"/>
  <c r="G356" i="39"/>
  <c r="AV33" i="30"/>
  <c r="C96" i="42"/>
  <c r="J521" i="41"/>
  <c r="BL45" i="33"/>
  <c r="BH12" i="33"/>
  <c r="F46" i="41"/>
  <c r="C140" i="40"/>
  <c r="BD17" i="31"/>
  <c r="C437" i="41"/>
  <c r="BE39" i="33"/>
  <c r="B7" i="41"/>
  <c r="AY9" i="33" a="1"/>
  <c r="AY9" i="33" s="1"/>
  <c r="AO9" i="33"/>
  <c r="C653" i="32" s="1"/>
  <c r="BV9" i="33"/>
  <c r="AZ9" i="33" s="1"/>
  <c r="AN9" i="33" a="1"/>
  <c r="AN9" i="33" s="1"/>
  <c r="I9" i="33" s="1"/>
  <c r="B11" i="41" s="1"/>
  <c r="AP9" i="33" a="1"/>
  <c r="AP9" i="33" s="1"/>
  <c r="AR9" i="33" s="1"/>
  <c r="AS9" i="33"/>
  <c r="BT9" i="33"/>
  <c r="H74" i="41"/>
  <c r="BJ14" i="33"/>
  <c r="AB54" i="34"/>
  <c r="G33" i="40"/>
  <c r="BH10" i="31"/>
  <c r="C272" i="42"/>
  <c r="BH28" i="31"/>
  <c r="G276" i="40"/>
  <c r="BH53" i="33"/>
  <c r="F633" i="41"/>
  <c r="D298" i="41"/>
  <c r="BF30" i="33"/>
  <c r="BD19" i="31"/>
  <c r="C167" i="40"/>
  <c r="AB23" i="34"/>
  <c r="E303" i="40"/>
  <c r="BF30" i="31"/>
  <c r="BF61" i="33"/>
  <c r="D745" i="41"/>
  <c r="E385" i="42"/>
  <c r="G33" i="39"/>
  <c r="AV10" i="30"/>
  <c r="B117" i="40"/>
  <c r="G113" i="39"/>
  <c r="AV15" i="30"/>
  <c r="K375" i="41"/>
  <c r="AN51" i="33" a="1"/>
  <c r="AN51" i="33" s="1"/>
  <c r="I51" i="33" s="1"/>
  <c r="B599" i="41" s="1"/>
  <c r="BC51" i="33" a="1"/>
  <c r="BC51" i="33" s="1"/>
  <c r="AY51" i="33" a="1"/>
  <c r="AY51" i="33" s="1"/>
  <c r="AS51" i="33"/>
  <c r="BT51" i="33"/>
  <c r="AP51" i="33" a="1"/>
  <c r="AP51" i="33" s="1"/>
  <c r="AO51" i="33"/>
  <c r="C1465" i="32" s="1"/>
  <c r="BV51" i="33"/>
  <c r="AZ51" i="33" s="1"/>
  <c r="BN51" i="33"/>
  <c r="B595" i="41"/>
  <c r="E96" i="42"/>
  <c r="Y31" i="34"/>
  <c r="Z31" i="34" s="1"/>
  <c r="BG11" i="31"/>
  <c r="F59" i="40"/>
  <c r="G194" i="39"/>
  <c r="AV21" i="30"/>
  <c r="I494" i="41"/>
  <c r="BK44" i="33"/>
  <c r="BL54" i="33"/>
  <c r="J634" i="41"/>
  <c r="D141" i="39"/>
  <c r="AS18" i="30"/>
  <c r="B163" i="39"/>
  <c r="C110" i="42"/>
  <c r="G73" i="41"/>
  <c r="BI13" i="33"/>
  <c r="AB20" i="34"/>
  <c r="BR49" i="33" a="1"/>
  <c r="BR49" i="33" s="1"/>
  <c r="AM49" i="33"/>
  <c r="D565" i="41"/>
  <c r="F383" i="40"/>
  <c r="BG35" i="31"/>
  <c r="AT25" i="30"/>
  <c r="E248" i="39"/>
  <c r="BG53" i="33"/>
  <c r="E633" i="41"/>
  <c r="E353" i="41"/>
  <c r="BG33" i="33"/>
  <c r="E46" i="41"/>
  <c r="BG12" i="33"/>
  <c r="J801" i="41"/>
  <c r="BL65" i="33"/>
  <c r="G411" i="40"/>
  <c r="BH38" i="31"/>
  <c r="AV23" i="30"/>
  <c r="G221" i="39"/>
  <c r="G303" i="39"/>
  <c r="AV30" i="30"/>
  <c r="J662" i="41"/>
  <c r="BL56" i="33"/>
  <c r="G483" i="41"/>
  <c r="BA43" i="33"/>
  <c r="E400" i="39"/>
  <c r="E406" i="39" s="1"/>
  <c r="BI37" i="30"/>
  <c r="AD37" i="30"/>
  <c r="F275" i="39"/>
  <c r="AU27" i="30"/>
  <c r="BK18" i="33"/>
  <c r="I130" i="41"/>
  <c r="G59" i="39"/>
  <c r="AV11" i="30"/>
  <c r="F195" i="39"/>
  <c r="AU22" i="30"/>
  <c r="F384" i="39"/>
  <c r="AU36" i="30"/>
  <c r="G383" i="39"/>
  <c r="AV35" i="30"/>
  <c r="F269" i="41"/>
  <c r="BH27" i="33"/>
  <c r="K157" i="41"/>
  <c r="BM19" i="33"/>
  <c r="BG32" i="31"/>
  <c r="F330" i="40"/>
  <c r="E370" i="42"/>
  <c r="C660" i="41"/>
  <c r="B387" i="39"/>
  <c r="BJ33" i="33"/>
  <c r="H353" i="41"/>
  <c r="F222" i="40"/>
  <c r="BG24" i="31"/>
  <c r="Y21" i="34"/>
  <c r="Z21" i="34" s="1"/>
  <c r="BE36" i="33"/>
  <c r="C382" i="41"/>
  <c r="F157" i="42"/>
  <c r="E465" i="41"/>
  <c r="BG41" i="33"/>
  <c r="E95" i="41"/>
  <c r="BH19" i="33"/>
  <c r="F157" i="41"/>
  <c r="F270" i="41"/>
  <c r="BH28" i="33"/>
  <c r="E61" i="42"/>
  <c r="AB18" i="34"/>
  <c r="C446" i="42"/>
  <c r="E134" i="39"/>
  <c r="BF20" i="31"/>
  <c r="E168" i="40"/>
  <c r="E275" i="40"/>
  <c r="BF27" i="31"/>
  <c r="D761" i="41"/>
  <c r="AM63" i="33"/>
  <c r="BR63" i="33" a="1"/>
  <c r="BR63" i="33" s="1"/>
  <c r="E12" i="42"/>
  <c r="E522" i="41"/>
  <c r="BG46" i="33"/>
  <c r="Y11" i="34"/>
  <c r="C104" i="42"/>
  <c r="C716" i="41"/>
  <c r="G539" i="41"/>
  <c r="D168" i="40"/>
  <c r="BE20" i="31"/>
  <c r="B136" i="40"/>
  <c r="C240" i="41"/>
  <c r="E32" i="39"/>
  <c r="AT9" i="30"/>
  <c r="C419" i="42"/>
  <c r="AR36" i="30"/>
  <c r="C384" i="39"/>
  <c r="C223" i="42"/>
  <c r="K297" i="41"/>
  <c r="BM29" i="33"/>
  <c r="AR23" i="30"/>
  <c r="C221" i="39"/>
  <c r="C409" i="40"/>
  <c r="E825" i="41"/>
  <c r="E319" i="41"/>
  <c r="Y53" i="34"/>
  <c r="AA53" i="34" s="1"/>
  <c r="BJ31" i="33"/>
  <c r="H325" i="41"/>
  <c r="E17" i="41"/>
  <c r="BG9" i="33"/>
  <c r="Y76" i="34"/>
  <c r="J829" i="41"/>
  <c r="BL67" i="33"/>
  <c r="H213" i="41"/>
  <c r="BJ23" i="33"/>
  <c r="G595" i="41"/>
  <c r="BA51" i="33"/>
  <c r="C125" i="42"/>
  <c r="E69" i="41"/>
  <c r="K67" i="41"/>
  <c r="B198" i="40"/>
  <c r="E717" i="41"/>
  <c r="BG59" i="33"/>
  <c r="B545" i="41"/>
  <c r="K185" i="41"/>
  <c r="BM21" i="33"/>
  <c r="I270" i="41"/>
  <c r="BK28" i="33"/>
  <c r="G819" i="41"/>
  <c r="BA67" i="33"/>
  <c r="BJ17" i="33"/>
  <c r="H129" i="41"/>
  <c r="AB85" i="34"/>
  <c r="BG31" i="31"/>
  <c r="F329" i="40"/>
  <c r="C382" i="40"/>
  <c r="B13" i="41"/>
  <c r="AS31" i="33"/>
  <c r="AN31" i="33" a="1"/>
  <c r="AN31" i="33" s="1"/>
  <c r="I31" i="33" s="1"/>
  <c r="B319" i="41" s="1"/>
  <c r="AP31" i="33" a="1"/>
  <c r="AP31" i="33" s="1"/>
  <c r="AQ31" i="33" s="1"/>
  <c r="B315" i="41"/>
  <c r="BT31" i="33"/>
  <c r="BV31" i="33"/>
  <c r="AZ31" i="33" s="1"/>
  <c r="AO31" i="33"/>
  <c r="C1071" i="32" s="1"/>
  <c r="AY31" i="33" a="1"/>
  <c r="AY31" i="33" s="1"/>
  <c r="F801" i="41"/>
  <c r="BH65" i="33"/>
  <c r="E458" i="42"/>
  <c r="C268" i="41"/>
  <c r="B351" i="42"/>
  <c r="BT67" i="33"/>
  <c r="BV67" i="33"/>
  <c r="AZ67" i="33" s="1"/>
  <c r="AO67" i="33"/>
  <c r="C1791" i="32" s="1"/>
  <c r="L1791" i="32" s="1"/>
  <c r="BC67" i="33" a="1"/>
  <c r="BC67" i="33" s="1"/>
  <c r="AY67" i="33" a="1"/>
  <c r="AY67" i="33" s="1"/>
  <c r="AW67" i="33" s="1"/>
  <c r="AP67" i="33" a="1"/>
  <c r="AP67" i="33" s="1"/>
  <c r="AR67" i="33" s="1"/>
  <c r="B819" i="41"/>
  <c r="BN67" i="33"/>
  <c r="AN67" i="33" a="1"/>
  <c r="AN67" i="33" s="1"/>
  <c r="I67" i="33" s="1"/>
  <c r="B823" i="41" s="1"/>
  <c r="AS67" i="33"/>
  <c r="C357" i="39"/>
  <c r="AR34" i="30"/>
  <c r="BK64" i="33"/>
  <c r="I774" i="41"/>
  <c r="B252" i="40"/>
  <c r="C194" i="40"/>
  <c r="BD21" i="31"/>
  <c r="E483" i="42"/>
  <c r="C46" i="41"/>
  <c r="BE12" i="33"/>
  <c r="I605" i="41"/>
  <c r="BK51" i="33"/>
  <c r="Y28" i="34"/>
  <c r="F168" i="40"/>
  <c r="BG20" i="31"/>
  <c r="C47" i="42"/>
  <c r="B298" i="40"/>
  <c r="AS12" i="30"/>
  <c r="D60" i="39"/>
  <c r="E306" i="42"/>
  <c r="E238" i="42"/>
  <c r="J438" i="41"/>
  <c r="BL40" i="33"/>
  <c r="B833" i="41"/>
  <c r="E221" i="39"/>
  <c r="AT23" i="30"/>
  <c r="AB11" i="34"/>
  <c r="C103" i="42"/>
  <c r="F550" i="41"/>
  <c r="BH48" i="33"/>
  <c r="B360" i="39"/>
  <c r="BD18" i="31"/>
  <c r="C141" i="40"/>
  <c r="H655" i="41"/>
  <c r="BM63" i="33"/>
  <c r="K773" i="41"/>
  <c r="B144" i="40"/>
  <c r="D774" i="41"/>
  <c r="BF64" i="33"/>
  <c r="C297" i="41"/>
  <c r="BE29" i="33"/>
  <c r="E350" i="39"/>
  <c r="I242" i="41"/>
  <c r="BK26" i="33"/>
  <c r="BF16" i="33"/>
  <c r="D102" i="41"/>
  <c r="AB53" i="34"/>
  <c r="BF65" i="33"/>
  <c r="D801" i="41"/>
  <c r="Y55" i="34"/>
  <c r="Z55" i="34" s="1"/>
  <c r="B406" i="39"/>
  <c r="E459" i="41"/>
  <c r="B805" i="41"/>
  <c r="H746" i="41"/>
  <c r="BJ62" i="33"/>
  <c r="H459" i="41"/>
  <c r="C16" i="41"/>
  <c r="BE23" i="33"/>
  <c r="C213" i="41"/>
  <c r="BF13" i="33"/>
  <c r="D73" i="41"/>
  <c r="AB63" i="34"/>
  <c r="K179" i="41"/>
  <c r="B449" i="42"/>
  <c r="C66" i="42"/>
  <c r="BE13" i="33"/>
  <c r="C73" i="41"/>
  <c r="AB59" i="34"/>
  <c r="AB69" i="34"/>
  <c r="C718" i="41"/>
  <c r="BE60" i="33"/>
  <c r="AB29" i="34"/>
  <c r="Y9" i="34"/>
  <c r="Z9" i="34" s="1"/>
  <c r="C6" i="42"/>
  <c r="C113" i="40"/>
  <c r="BD15" i="31"/>
  <c r="C520" i="41"/>
  <c r="AB39" i="34"/>
  <c r="C355" i="40"/>
  <c r="Y41" i="34"/>
  <c r="AA41" i="34" s="1"/>
  <c r="C492" i="41"/>
  <c r="AU13" i="30"/>
  <c r="F86" i="39"/>
  <c r="G119" i="41"/>
  <c r="C306" i="42"/>
  <c r="E208" i="42"/>
  <c r="C463" i="42"/>
  <c r="Y86" i="34"/>
  <c r="Z86" i="34" s="1"/>
  <c r="AS43" i="33"/>
  <c r="AY43" i="33" a="1"/>
  <c r="AY43" i="33" s="1"/>
  <c r="AX43" i="33" s="1"/>
  <c r="AO43" i="33"/>
  <c r="C1305" i="32" s="1"/>
  <c r="BC43" i="33" a="1"/>
  <c r="BC43" i="33" s="1"/>
  <c r="B483" i="41"/>
  <c r="BV43" i="33"/>
  <c r="AZ43" i="33" s="1"/>
  <c r="BT43" i="33"/>
  <c r="BN43" i="33"/>
  <c r="AP43" i="33" a="1"/>
  <c r="AP43" i="33" s="1"/>
  <c r="AQ43" i="33" s="1"/>
  <c r="AN43" i="33" a="1"/>
  <c r="AN43" i="33" s="1"/>
  <c r="I43" i="33" s="1"/>
  <c r="B487" i="41" s="1"/>
  <c r="B77" i="41"/>
  <c r="BK37" i="33"/>
  <c r="I409" i="41"/>
  <c r="Y66" i="34"/>
  <c r="Z66" i="34" s="1"/>
  <c r="BL20" i="33"/>
  <c r="J158" i="41"/>
  <c r="E141" i="39"/>
  <c r="AT18" i="30"/>
  <c r="E17" i="42"/>
  <c r="B55" i="39"/>
  <c r="H179" i="41"/>
  <c r="K101" i="41"/>
  <c r="BM15" i="33"/>
  <c r="BG25" i="33"/>
  <c r="E241" i="41"/>
  <c r="E114" i="40"/>
  <c r="BF16" i="31"/>
  <c r="C303" i="39"/>
  <c r="AR30" i="30"/>
  <c r="H739" i="41"/>
  <c r="AB27" i="34"/>
  <c r="E262" i="42"/>
  <c r="BF48" i="33"/>
  <c r="D550" i="41"/>
  <c r="C72" i="41"/>
  <c r="J101" i="41"/>
  <c r="BL15" i="33"/>
  <c r="C302" i="40"/>
  <c r="BD29" i="31"/>
  <c r="AO59" i="33"/>
  <c r="C1649" i="32" s="1"/>
  <c r="BN59" i="33"/>
  <c r="AN59" i="33" a="1"/>
  <c r="AN59" i="33" s="1"/>
  <c r="I59" i="33" s="1"/>
  <c r="B711" i="41" s="1"/>
  <c r="AS59" i="33"/>
  <c r="BT59" i="33"/>
  <c r="BV59" i="33"/>
  <c r="AZ59" i="33" s="1"/>
  <c r="AP59" i="33" a="1"/>
  <c r="AP59" i="33" s="1"/>
  <c r="BC59" i="33" a="1"/>
  <c r="BC59" i="33" s="1"/>
  <c r="B707" i="41"/>
  <c r="AY59" i="33" a="1"/>
  <c r="AY59" i="33" s="1"/>
  <c r="AV59" i="33" s="1"/>
  <c r="E194" i="42"/>
  <c r="E11" i="41"/>
  <c r="C321" i="42"/>
  <c r="AO39" i="33"/>
  <c r="C1225" i="32" s="1"/>
  <c r="AN39" i="33" a="1"/>
  <c r="AN39" i="33" s="1"/>
  <c r="I39" i="33" s="1"/>
  <c r="B431" i="41" s="1"/>
  <c r="BV39" i="33"/>
  <c r="AZ39" i="33" s="1"/>
  <c r="AS39" i="33"/>
  <c r="B427" i="41"/>
  <c r="AY39" i="33" a="1"/>
  <c r="AY39" i="33" s="1"/>
  <c r="BT39" i="33"/>
  <c r="AP39" i="33" a="1"/>
  <c r="AP39" i="33" s="1"/>
  <c r="E161" i="39"/>
  <c r="E267" i="42"/>
  <c r="BE11" i="33"/>
  <c r="C45" i="41"/>
  <c r="C488" i="42"/>
  <c r="AD21" i="30"/>
  <c r="BI21" i="30"/>
  <c r="E184" i="39"/>
  <c r="E190" i="39" s="1"/>
  <c r="B63" i="40"/>
  <c r="E86" i="42"/>
  <c r="E655" i="41"/>
  <c r="I297" i="41"/>
  <c r="BK29" i="33"/>
  <c r="AB28" i="34"/>
  <c r="D577" i="41"/>
  <c r="BF49" i="33"/>
  <c r="D221" i="39"/>
  <c r="AS23" i="30"/>
  <c r="BF33" i="31"/>
  <c r="E356" i="40"/>
  <c r="BM14" i="33"/>
  <c r="K74" i="41"/>
  <c r="F186" i="41"/>
  <c r="BH22" i="33"/>
  <c r="G679" i="41"/>
  <c r="B741" i="41"/>
  <c r="B379" i="40"/>
  <c r="H375" i="41"/>
  <c r="BM33" i="33"/>
  <c r="K353" i="41"/>
  <c r="E265" i="41"/>
  <c r="C37" i="42"/>
  <c r="Y62" i="34"/>
  <c r="AA62" i="34" s="1"/>
  <c r="D382" i="41"/>
  <c r="BF36" i="33"/>
  <c r="AO17" i="33"/>
  <c r="C817" i="32" s="1"/>
  <c r="AS17" i="33"/>
  <c r="AP17" i="33" a="1"/>
  <c r="AP17" i="33" s="1"/>
  <c r="AR17" i="33" s="1"/>
  <c r="BV17" i="33"/>
  <c r="AZ17" i="33" s="1"/>
  <c r="BT17" i="33"/>
  <c r="AN17" i="33" a="1"/>
  <c r="AN17" i="33" s="1"/>
  <c r="I17" i="33" s="1"/>
  <c r="B123" i="41" s="1"/>
  <c r="B119" i="41"/>
  <c r="AY17" i="33" a="1"/>
  <c r="AY17" i="33" s="1"/>
  <c r="AX17" i="33" s="1"/>
  <c r="Y46" i="34"/>
  <c r="E194" i="40"/>
  <c r="BF21" i="31"/>
  <c r="AB81" i="34"/>
  <c r="G326" i="41"/>
  <c r="BI32" i="33"/>
  <c r="F275" i="40"/>
  <c r="BG27" i="31"/>
  <c r="B184" i="40"/>
  <c r="E190" i="40" s="1"/>
  <c r="BP21" i="31"/>
  <c r="AB21" i="31" a="1"/>
  <c r="AB21" i="31" s="1"/>
  <c r="H21" i="31" s="1"/>
  <c r="B188" i="40" s="1"/>
  <c r="BU21" i="31"/>
  <c r="BB21" i="31" a="1"/>
  <c r="BB21" i="31" s="1"/>
  <c r="AC21" i="31"/>
  <c r="C438" i="32" s="1"/>
  <c r="C365" i="42"/>
  <c r="BL53" i="33"/>
  <c r="J633" i="41"/>
  <c r="C414" i="42"/>
  <c r="D140" i="40"/>
  <c r="BE17" i="31"/>
  <c r="C301" i="40"/>
  <c r="E140" i="42"/>
  <c r="C74" i="41"/>
  <c r="BE14" i="33"/>
  <c r="D33" i="41"/>
  <c r="AM11" i="33"/>
  <c r="J409" i="41"/>
  <c r="BL37" i="33"/>
  <c r="BF34" i="31"/>
  <c r="E357" i="40"/>
  <c r="H207" i="41"/>
  <c r="E287" i="42"/>
  <c r="AT29" i="30"/>
  <c r="E302" i="39"/>
  <c r="B721" i="41"/>
  <c r="B109" i="39"/>
  <c r="H270" i="41"/>
  <c r="BJ28" i="33"/>
  <c r="C772" i="41"/>
  <c r="BJ20" i="33"/>
  <c r="H158" i="41"/>
  <c r="BH10" i="33"/>
  <c r="F18" i="41"/>
  <c r="B279" i="39"/>
  <c r="G623" i="41"/>
  <c r="BA53" i="33"/>
  <c r="BH29" i="31"/>
  <c r="G302" i="40"/>
  <c r="F773" i="41"/>
  <c r="BH63" i="33"/>
  <c r="C326" i="42"/>
  <c r="BF33" i="33"/>
  <c r="D353" i="41"/>
  <c r="C434" i="42"/>
  <c r="E167" i="40"/>
  <c r="BF19" i="31"/>
  <c r="D195" i="40"/>
  <c r="BE22" i="31"/>
  <c r="BG61" i="33"/>
  <c r="E745" i="41"/>
  <c r="D86" i="39"/>
  <c r="AS13" i="30"/>
  <c r="AU23" i="30"/>
  <c r="F221" i="39"/>
  <c r="C634" i="41"/>
  <c r="BE54" i="33"/>
  <c r="C411" i="39"/>
  <c r="AR38" i="30"/>
  <c r="E113" i="40"/>
  <c r="BF15" i="31"/>
  <c r="BG67" i="33"/>
  <c r="E829" i="41"/>
  <c r="G605" i="41"/>
  <c r="BI51" i="33"/>
  <c r="BH47" i="33"/>
  <c r="F549" i="41"/>
  <c r="BT37" i="33"/>
  <c r="B399" i="41"/>
  <c r="AY37" i="33" a="1"/>
  <c r="AY37" i="33" s="1"/>
  <c r="AS37" i="33"/>
  <c r="AP37" i="33" a="1"/>
  <c r="AP37" i="33" s="1"/>
  <c r="AR37" i="33" s="1"/>
  <c r="BV37" i="33"/>
  <c r="AZ37" i="33" s="1"/>
  <c r="AO37" i="33"/>
  <c r="C1217" i="32" s="1"/>
  <c r="AN37" i="33" a="1"/>
  <c r="AN37" i="33" s="1"/>
  <c r="I37" i="33" s="1"/>
  <c r="B403" i="41" s="1"/>
  <c r="BK17" i="33"/>
  <c r="I129" i="41"/>
  <c r="AR11" i="30"/>
  <c r="C59" i="39"/>
  <c r="E543" i="41"/>
  <c r="E773" i="41"/>
  <c r="BG63" i="33"/>
  <c r="F242" i="41"/>
  <c r="BH26" i="33"/>
  <c r="F32" i="39"/>
  <c r="AU9" i="30"/>
  <c r="H577" i="41"/>
  <c r="BJ49" i="33"/>
  <c r="BH68" i="33"/>
  <c r="F830" i="41"/>
  <c r="I633" i="41"/>
  <c r="BK53" i="33"/>
  <c r="BE25" i="31"/>
  <c r="D248" i="40"/>
  <c r="E276" i="40"/>
  <c r="BF28" i="31"/>
  <c r="B69" i="41"/>
  <c r="BH39" i="33"/>
  <c r="F437" i="41"/>
  <c r="E269" i="40"/>
  <c r="C384" i="40"/>
  <c r="BD36" i="31"/>
  <c r="G74" i="41"/>
  <c r="BI14" i="33"/>
  <c r="BL55" i="33"/>
  <c r="J661" i="41"/>
  <c r="K123" i="41"/>
  <c r="H102" i="41"/>
  <c r="BJ16" i="33"/>
  <c r="AT24" i="30"/>
  <c r="E222" i="39"/>
  <c r="H269" i="41"/>
  <c r="BJ27" i="33"/>
  <c r="F87" i="39"/>
  <c r="AU14" i="30"/>
  <c r="E157" i="41"/>
  <c r="BG19" i="33"/>
  <c r="BH14" i="33"/>
  <c r="F74" i="41"/>
  <c r="E325" i="41"/>
  <c r="BG31" i="33"/>
  <c r="AT37" i="30"/>
  <c r="E410" i="39"/>
  <c r="E802" i="41"/>
  <c r="BG66" i="33"/>
  <c r="E657" i="41"/>
  <c r="C360" i="42"/>
  <c r="BF50" i="33"/>
  <c r="D578" i="41"/>
  <c r="BJ46" i="33"/>
  <c r="H522" i="41"/>
  <c r="E336" i="42"/>
  <c r="BE16" i="31"/>
  <c r="D114" i="40"/>
  <c r="AB46" i="34"/>
  <c r="E179" i="42"/>
  <c r="BM24" i="33"/>
  <c r="K214" i="41"/>
  <c r="E110" i="42"/>
  <c r="AP49" i="33" a="1"/>
  <c r="AP49" i="33" s="1"/>
  <c r="B567" i="41"/>
  <c r="BC49" i="33" a="1"/>
  <c r="BC49" i="33" s="1"/>
  <c r="BN49" i="33"/>
  <c r="AY49" i="33" a="1"/>
  <c r="AY49" i="33" s="1"/>
  <c r="AN49" i="33" a="1"/>
  <c r="AN49" i="33" s="1"/>
  <c r="I49" i="33" s="1"/>
  <c r="B571" i="41" s="1"/>
  <c r="BV49" i="33"/>
  <c r="AZ49" i="33" s="1"/>
  <c r="BA61" i="33"/>
  <c r="G735" i="41"/>
  <c r="BJ57" i="33"/>
  <c r="H689" i="41"/>
  <c r="E22" i="42"/>
  <c r="F353" i="42"/>
  <c r="Y19" i="34"/>
  <c r="AA19" i="34" s="1"/>
  <c r="AB68" i="34"/>
  <c r="BG24" i="33"/>
  <c r="E214" i="41"/>
  <c r="G717" i="41"/>
  <c r="BI59" i="33"/>
  <c r="BI53" i="33"/>
  <c r="G633" i="41"/>
  <c r="F449" i="42"/>
  <c r="BF40" i="33"/>
  <c r="D438" i="41"/>
  <c r="BF12" i="33"/>
  <c r="D46" i="41"/>
  <c r="BG20" i="33"/>
  <c r="E158" i="41"/>
  <c r="AB34" i="34"/>
  <c r="B49" i="41"/>
  <c r="BA11" i="33"/>
  <c r="G35" i="41"/>
  <c r="Y49" i="34"/>
  <c r="Z49" i="34" s="1"/>
  <c r="AM25" i="33"/>
  <c r="D229" i="41"/>
  <c r="E207" i="41"/>
  <c r="G763" i="41"/>
  <c r="BA63" i="33"/>
  <c r="E601" i="41"/>
  <c r="BM48" i="33"/>
  <c r="K550" i="41"/>
  <c r="F108" i="42"/>
  <c r="BJ65" i="33"/>
  <c r="H801" i="41"/>
  <c r="B273" i="41"/>
  <c r="AB26" i="34"/>
  <c r="E489" i="41"/>
  <c r="E329" i="40"/>
  <c r="BF31" i="31"/>
  <c r="E186" i="41"/>
  <c r="BG22" i="33"/>
  <c r="BA39" i="33"/>
  <c r="G427" i="41"/>
  <c r="E411" i="40"/>
  <c r="BF38" i="31"/>
  <c r="BD9" i="30"/>
  <c r="BF9" i="30" s="1"/>
  <c r="BI9" i="30"/>
  <c r="AE9" i="30" a="1"/>
  <c r="AE9" i="30" s="1"/>
  <c r="AB9" i="30" a="1"/>
  <c r="AB9" i="30" s="1"/>
  <c r="H9" i="30" s="1"/>
  <c r="B26" i="39" s="1"/>
  <c r="AD9" i="30"/>
  <c r="B22" i="39"/>
  <c r="E28" i="39" s="1"/>
  <c r="AP9" i="30" a="1"/>
  <c r="AP9" i="30" s="1"/>
  <c r="C27" i="42"/>
  <c r="D59" i="39"/>
  <c r="AS11" i="30"/>
  <c r="K830" i="41"/>
  <c r="BM68" i="33"/>
  <c r="E323" i="39"/>
  <c r="F60" i="40"/>
  <c r="BG12" i="31"/>
  <c r="Y44" i="34"/>
  <c r="AA44" i="34" s="1"/>
  <c r="J605" i="41"/>
  <c r="BL51" i="33"/>
  <c r="AT10" i="30"/>
  <c r="E33" i="39"/>
  <c r="C140" i="39"/>
  <c r="AR17" i="30"/>
  <c r="B105" i="41"/>
  <c r="F329" i="39"/>
  <c r="AU31" i="30"/>
  <c r="BJ67" i="33"/>
  <c r="H829" i="41"/>
  <c r="F276" i="40"/>
  <c r="BG28" i="31"/>
  <c r="H67" i="41"/>
  <c r="E27" i="42"/>
  <c r="AB48" i="34"/>
  <c r="G577" i="41"/>
  <c r="BI49" i="33"/>
  <c r="E606" i="41"/>
  <c r="BG52" i="33"/>
  <c r="BE15" i="31"/>
  <c r="D113" i="40"/>
  <c r="H235" i="41"/>
  <c r="B433" i="41"/>
  <c r="G114" i="40"/>
  <c r="BH16" i="31"/>
  <c r="C85" i="39"/>
  <c r="J270" i="41"/>
  <c r="BL28" i="33"/>
  <c r="BF14" i="31"/>
  <c r="E87" i="40"/>
  <c r="J74" i="41"/>
  <c r="BL14" i="33"/>
  <c r="B97" i="41"/>
  <c r="G147" i="41"/>
  <c r="AU25" i="30"/>
  <c r="F248" i="39"/>
  <c r="G222" i="40"/>
  <c r="BH24" i="31"/>
  <c r="BH21" i="31"/>
  <c r="G194" i="40"/>
  <c r="C830" i="41"/>
  <c r="BE68" i="33"/>
  <c r="C156" i="41"/>
  <c r="D275" i="40"/>
  <c r="BE27" i="31"/>
  <c r="J465" i="41"/>
  <c r="BL41" i="33"/>
  <c r="AR31" i="30"/>
  <c r="C329" i="39"/>
  <c r="G45" i="41"/>
  <c r="BI11" i="33"/>
  <c r="G773" i="41"/>
  <c r="BI63" i="33"/>
  <c r="D383" i="39"/>
  <c r="AS35" i="30"/>
  <c r="B306" i="40"/>
  <c r="E331" i="42"/>
  <c r="F249" i="40"/>
  <c r="BG26" i="31"/>
  <c r="AS29" i="30"/>
  <c r="D302" i="39"/>
  <c r="BH35" i="33"/>
  <c r="F381" i="41"/>
  <c r="K151" i="41"/>
  <c r="B225" i="39"/>
  <c r="E404" i="39"/>
  <c r="C71" i="42"/>
  <c r="AB51" i="34"/>
  <c r="I214" i="41"/>
  <c r="BK24" i="33"/>
  <c r="K823" i="41"/>
  <c r="BH15" i="33"/>
  <c r="F101" i="41"/>
  <c r="J410" i="41"/>
  <c r="BL38" i="33"/>
  <c r="G231" i="41"/>
  <c r="BA25" i="33"/>
  <c r="D241" i="41"/>
  <c r="BF25" i="33"/>
  <c r="B749" i="41"/>
  <c r="J45" i="41"/>
  <c r="BL11" i="33"/>
  <c r="F356" i="40"/>
  <c r="BG33" i="31"/>
  <c r="B271" i="40"/>
  <c r="G384" i="40"/>
  <c r="BH36" i="31"/>
  <c r="C380" i="41"/>
  <c r="H45" i="41"/>
  <c r="BJ11" i="33"/>
  <c r="K802" i="41"/>
  <c r="BM66" i="33"/>
  <c r="E32" i="42"/>
  <c r="C31" i="40"/>
  <c r="G213" i="41"/>
  <c r="BI23" i="33"/>
  <c r="B306" i="39"/>
  <c r="BH62" i="33"/>
  <c r="F746" i="41"/>
  <c r="BM49" i="33"/>
  <c r="K577" i="41"/>
  <c r="G791" i="41"/>
  <c r="BA65" i="33"/>
  <c r="BH20" i="31"/>
  <c r="G168" i="40"/>
  <c r="BU35" i="31"/>
  <c r="B373" i="40"/>
  <c r="E379" i="40" s="1"/>
  <c r="AC35" i="31"/>
  <c r="C576" i="32" s="1"/>
  <c r="L576" i="32" s="1"/>
  <c r="AB35" i="31" a="1"/>
  <c r="AB35" i="31" s="1"/>
  <c r="H35" i="31" s="1"/>
  <c r="B377" i="40" s="1"/>
  <c r="BB35" i="31" a="1"/>
  <c r="BB35" i="31" s="1"/>
  <c r="BP35" i="31"/>
  <c r="BR35" i="31" s="1"/>
  <c r="F57" i="42"/>
  <c r="K627" i="41"/>
  <c r="K213" i="41"/>
  <c r="BM23" i="33"/>
  <c r="E66" i="42"/>
  <c r="B55" i="40"/>
  <c r="BK57" i="33"/>
  <c r="I689" i="41"/>
  <c r="BI64" i="33"/>
  <c r="G774" i="41"/>
  <c r="AU11" i="30"/>
  <c r="F59" i="39"/>
  <c r="E797" i="41"/>
  <c r="BI27" i="33"/>
  <c r="G269" i="41"/>
  <c r="AB55" i="34"/>
  <c r="C744" i="41"/>
  <c r="E213" i="41"/>
  <c r="BG23" i="33"/>
  <c r="BG16" i="33"/>
  <c r="E102" i="41"/>
  <c r="Y40" i="34"/>
  <c r="Z40" i="34" s="1"/>
  <c r="BE47" i="33"/>
  <c r="C549" i="41"/>
  <c r="C370" i="42"/>
  <c r="G521" i="41"/>
  <c r="BI45" i="33"/>
  <c r="BJ26" i="33"/>
  <c r="H242" i="41"/>
  <c r="F578" i="41"/>
  <c r="BH50" i="33"/>
  <c r="I578" i="41"/>
  <c r="BK50" i="33"/>
  <c r="C115" i="42"/>
  <c r="BV21" i="33"/>
  <c r="AZ21" i="33" s="1"/>
  <c r="AP21" i="33" a="1"/>
  <c r="AP21" i="33" s="1"/>
  <c r="AO21" i="33"/>
  <c r="C891" i="32" s="1"/>
  <c r="BT21" i="33"/>
  <c r="B175" i="41"/>
  <c r="AN21" i="33" a="1"/>
  <c r="AN21" i="33" s="1"/>
  <c r="I21" i="33" s="1"/>
  <c r="B179" i="41" s="1"/>
  <c r="AS21" i="33"/>
  <c r="AY21" i="33" a="1"/>
  <c r="AY21" i="33" s="1"/>
  <c r="C274" i="40"/>
  <c r="B57" i="42"/>
  <c r="C473" i="42"/>
  <c r="H297" i="41"/>
  <c r="BJ29" i="33"/>
  <c r="BM44" i="33"/>
  <c r="K494" i="41"/>
  <c r="K319" i="41"/>
  <c r="BJ64" i="33"/>
  <c r="H774" i="41"/>
  <c r="B405" i="41"/>
  <c r="BH17" i="31"/>
  <c r="G140" i="40"/>
  <c r="C330" i="39"/>
  <c r="AR32" i="30"/>
  <c r="Y87" i="34"/>
  <c r="AA87" i="34" s="1"/>
  <c r="E347" i="41"/>
  <c r="Y20" i="34"/>
  <c r="Z20" i="34" s="1"/>
  <c r="C404" i="42"/>
  <c r="D18" i="41"/>
  <c r="BF10" i="33"/>
  <c r="C22" i="42"/>
  <c r="G195" i="40"/>
  <c r="BH22" i="31"/>
  <c r="B414" i="40"/>
  <c r="E161" i="40"/>
  <c r="C409" i="39"/>
  <c r="C12" i="42"/>
  <c r="C381" i="41"/>
  <c r="BE35" i="33"/>
  <c r="E233" i="42"/>
  <c r="BI16" i="33"/>
  <c r="G102" i="41"/>
  <c r="BG64" i="33"/>
  <c r="E774" i="41"/>
  <c r="H795" i="41"/>
  <c r="C5" i="42"/>
  <c r="AB9" i="34"/>
  <c r="BJ59" i="33"/>
  <c r="H717" i="41"/>
  <c r="BI66" i="33"/>
  <c r="G802" i="41"/>
  <c r="K515" i="41"/>
  <c r="BG13" i="33"/>
  <c r="E73" i="41"/>
  <c r="Y61" i="34"/>
  <c r="Z61" i="34" s="1"/>
  <c r="G303" i="40"/>
  <c r="BH30" i="31"/>
  <c r="G287" i="41"/>
  <c r="BA29" i="33"/>
  <c r="BL59" i="33"/>
  <c r="J717" i="41"/>
  <c r="K438" i="41"/>
  <c r="BM40" i="33"/>
  <c r="B155" i="42"/>
  <c r="C86" i="42"/>
  <c r="D690" i="41"/>
  <c r="BF58" i="33"/>
  <c r="AB15" i="34"/>
  <c r="C299" i="42"/>
  <c r="BI10" i="33"/>
  <c r="G18" i="41"/>
  <c r="BH36" i="33"/>
  <c r="F382" i="41"/>
  <c r="E248" i="40"/>
  <c r="BF25" i="31"/>
  <c r="K683" i="41"/>
  <c r="AP41" i="33" a="1"/>
  <c r="AP41" i="33" s="1"/>
  <c r="AR41" i="33" s="1"/>
  <c r="B455" i="41"/>
  <c r="AS41" i="33"/>
  <c r="AY41" i="33" a="1"/>
  <c r="AY41" i="33" s="1"/>
  <c r="AN41" i="33" a="1"/>
  <c r="AN41" i="33" s="1"/>
  <c r="I41" i="33" s="1"/>
  <c r="B459" i="41" s="1"/>
  <c r="BV41" i="33"/>
  <c r="AZ41" i="33" s="1"/>
  <c r="AO41" i="33"/>
  <c r="C1275" i="32" s="1"/>
  <c r="BT41" i="33"/>
  <c r="AB44" i="34"/>
  <c r="AS15" i="30"/>
  <c r="D113" i="39"/>
  <c r="AB11" i="31" a="1"/>
  <c r="AB11" i="31" s="1"/>
  <c r="H11" i="31" s="1"/>
  <c r="B53" i="40" s="1"/>
  <c r="AC11" i="31"/>
  <c r="C342" i="32" s="1"/>
  <c r="BB11" i="31" a="1"/>
  <c r="BB11" i="31" s="1"/>
  <c r="BU11" i="31"/>
  <c r="B49" i="40"/>
  <c r="E55" i="40" s="1"/>
  <c r="BP11" i="31"/>
  <c r="BR11" i="31" s="1"/>
  <c r="BG27" i="33"/>
  <c r="E269" i="41"/>
  <c r="C356" i="39"/>
  <c r="AR33" i="30"/>
  <c r="C397" i="42"/>
  <c r="AB17" i="34"/>
  <c r="C169" i="42"/>
  <c r="Y12" i="34"/>
  <c r="Z12" i="34" s="1"/>
  <c r="C153" i="42"/>
  <c r="BF57" i="33"/>
  <c r="D689" i="41"/>
  <c r="H11" i="41"/>
  <c r="C91" i="42"/>
  <c r="C195" i="39"/>
  <c r="AR22" i="30"/>
  <c r="BF32" i="31"/>
  <c r="E330" i="40"/>
  <c r="F86" i="40"/>
  <c r="BG13" i="31"/>
  <c r="Y59" i="34"/>
  <c r="AA59" i="34" s="1"/>
  <c r="E410" i="40"/>
  <c r="BF37" i="31"/>
  <c r="E316" i="42"/>
  <c r="E488" i="42"/>
  <c r="AP25" i="33" a="1"/>
  <c r="AP25" i="33" s="1"/>
  <c r="AQ25" i="33" s="1"/>
  <c r="AN25" i="33" a="1"/>
  <c r="AN25" i="33" s="1"/>
  <c r="I25" i="33" s="1"/>
  <c r="B235" i="41" s="1"/>
  <c r="BT25" i="33"/>
  <c r="BV25" i="33"/>
  <c r="AZ25" i="33" s="1"/>
  <c r="AO25" i="33"/>
  <c r="C941" i="32" s="1"/>
  <c r="AS25" i="33"/>
  <c r="B231" i="41"/>
  <c r="AY25" i="33" a="1"/>
  <c r="AY25" i="33" s="1"/>
  <c r="AV25" i="33" s="1"/>
  <c r="D313" i="41"/>
  <c r="AM31" i="33"/>
  <c r="D140" i="39"/>
  <c r="AS17" i="30"/>
  <c r="K662" i="41"/>
  <c r="BM56" i="33"/>
  <c r="E573" i="41"/>
  <c r="C174" i="42"/>
  <c r="C690" i="41"/>
  <c r="BE58" i="33"/>
  <c r="J381" i="41"/>
  <c r="BL35" i="33"/>
  <c r="BJ30" i="33"/>
  <c r="H298" i="41"/>
  <c r="D593" i="41"/>
  <c r="BR51" i="33" a="1"/>
  <c r="BR51" i="33" s="1"/>
  <c r="AM51" i="33"/>
  <c r="BI58" i="33"/>
  <c r="G690" i="41"/>
  <c r="E473" i="42"/>
  <c r="B265" i="41"/>
  <c r="C494" i="41"/>
  <c r="BE44" i="33"/>
  <c r="C357" i="40"/>
  <c r="BD34" i="31"/>
  <c r="BK46" i="33"/>
  <c r="I522" i="41"/>
  <c r="E377" i="41"/>
  <c r="Y81" i="34"/>
  <c r="Z81" i="34" s="1"/>
  <c r="B379" i="39"/>
  <c r="D733" i="41"/>
  <c r="AM61" i="33"/>
  <c r="BR61" i="33" a="1"/>
  <c r="BR61" i="33" s="1"/>
  <c r="BF63" i="33"/>
  <c r="D773" i="41"/>
  <c r="E235" i="41"/>
  <c r="C247" i="40"/>
  <c r="F167" i="39"/>
  <c r="AU19" i="30"/>
  <c r="B203" i="41"/>
  <c r="AO23" i="33"/>
  <c r="C905" i="32" s="1"/>
  <c r="BV23" i="33"/>
  <c r="AZ23" i="33" s="1"/>
  <c r="AN23" i="33" a="1"/>
  <c r="AN23" i="33" s="1"/>
  <c r="I23" i="33" s="1"/>
  <c r="B207" i="41" s="1"/>
  <c r="AP23" i="33" a="1"/>
  <c r="AP23" i="33" s="1"/>
  <c r="AR23" i="33" s="1"/>
  <c r="AY23" i="33" a="1"/>
  <c r="AY23" i="33" s="1"/>
  <c r="AV23" i="33" s="1"/>
  <c r="AS23" i="33"/>
  <c r="BT23" i="33"/>
  <c r="Y35" i="34"/>
  <c r="E326" i="41"/>
  <c r="BG32" i="33"/>
  <c r="H571" i="41"/>
  <c r="D59" i="40"/>
  <c r="BE11" i="31"/>
  <c r="J522" i="41"/>
  <c r="BL46" i="33"/>
  <c r="J354" i="41"/>
  <c r="BL34" i="33"/>
  <c r="BJ35" i="33"/>
  <c r="H381" i="41"/>
  <c r="E151" i="41"/>
  <c r="E319" i="39"/>
  <c r="E325" i="39" s="1"/>
  <c r="AD31" i="30"/>
  <c r="BI31" i="30"/>
  <c r="BJ60" i="33"/>
  <c r="H718" i="41"/>
  <c r="BM42" i="33"/>
  <c r="K466" i="41"/>
  <c r="BG43" i="33"/>
  <c r="E493" i="41"/>
  <c r="C355" i="42"/>
  <c r="BE26" i="31"/>
  <c r="D249" i="40"/>
  <c r="AT19" i="30"/>
  <c r="E167" i="39"/>
  <c r="BH18" i="31"/>
  <c r="G141" i="40"/>
  <c r="AB35" i="34"/>
  <c r="E157" i="39"/>
  <c r="E163" i="39" s="1"/>
  <c r="AD19" i="30"/>
  <c r="BI19" i="30"/>
  <c r="F60" i="39"/>
  <c r="AU12" i="30"/>
  <c r="E185" i="41"/>
  <c r="BG21" i="33"/>
  <c r="BF22" i="31"/>
  <c r="E195" i="40"/>
  <c r="E478" i="42"/>
  <c r="D649" i="41"/>
  <c r="AM55" i="33"/>
  <c r="BR55" i="33" a="1"/>
  <c r="BR55" i="33" s="1"/>
  <c r="AB21" i="34"/>
  <c r="BK65" i="33"/>
  <c r="I801" i="41"/>
  <c r="BF55" i="33"/>
  <c r="D661" i="41"/>
  <c r="BK23" i="33"/>
  <c r="I213" i="41"/>
  <c r="E53" i="39"/>
  <c r="G129" i="41"/>
  <c r="BI17" i="33"/>
  <c r="E76" i="42"/>
  <c r="K655" i="41"/>
  <c r="E711" i="41"/>
  <c r="B125" i="41"/>
  <c r="BG15" i="31"/>
  <c r="F113" i="40"/>
  <c r="BF26" i="33"/>
  <c r="D242" i="41"/>
  <c r="AU26" i="30"/>
  <c r="F249" i="39"/>
  <c r="BH49" i="33"/>
  <c r="F577" i="41"/>
  <c r="BK58" i="33"/>
  <c r="I690" i="41"/>
  <c r="BE23" i="31"/>
  <c r="D221" i="40"/>
  <c r="C222" i="40"/>
  <c r="BD24" i="31"/>
  <c r="C390" i="42"/>
  <c r="AU38" i="30"/>
  <c r="F411" i="39"/>
  <c r="AB84" i="34"/>
  <c r="AT36" i="30"/>
  <c r="E384" i="39"/>
  <c r="B279" i="40"/>
  <c r="G578" i="41"/>
  <c r="BI50" i="33"/>
  <c r="D425" i="41"/>
  <c r="AM39" i="33"/>
  <c r="H578" i="41"/>
  <c r="BJ50" i="33"/>
  <c r="D354" i="41"/>
  <c r="BF34" i="33"/>
  <c r="E365" i="42"/>
  <c r="AB36" i="34"/>
  <c r="AR16" i="30"/>
  <c r="C114" i="39"/>
  <c r="BE24" i="31"/>
  <c r="D222" i="40"/>
  <c r="BE62" i="33"/>
  <c r="C746" i="41"/>
  <c r="BD20" i="31"/>
  <c r="C168" i="40"/>
  <c r="E293" i="41"/>
  <c r="H745" i="41"/>
  <c r="BJ61" i="33"/>
  <c r="B685" i="41"/>
  <c r="Y78" i="34"/>
  <c r="AA78" i="34" s="1"/>
  <c r="E713" i="41"/>
  <c r="C447" i="42"/>
  <c r="Y18" i="34"/>
  <c r="AA18" i="34" s="1"/>
  <c r="BH26" i="31"/>
  <c r="G249" i="40"/>
  <c r="Y88" i="34"/>
  <c r="BD33" i="31"/>
  <c r="C356" i="40"/>
  <c r="E517" i="41"/>
  <c r="E13" i="41"/>
  <c r="B301" i="41"/>
  <c r="AT14" i="30"/>
  <c r="E87" i="39"/>
  <c r="Y36" i="34"/>
  <c r="AA36" i="34" s="1"/>
  <c r="D214" i="41"/>
  <c r="BF24" i="33"/>
  <c r="B329" i="41"/>
  <c r="E277" i="42"/>
  <c r="E272" i="42"/>
  <c r="AR37" i="30"/>
  <c r="C410" i="39"/>
  <c r="E174" i="42"/>
  <c r="C189" i="42"/>
  <c r="BF38" i="33"/>
  <c r="D410" i="41"/>
  <c r="F400" i="42"/>
  <c r="BL26" i="33"/>
  <c r="J242" i="41"/>
  <c r="BF11" i="31"/>
  <c r="E59" i="40"/>
  <c r="AB64" i="34"/>
  <c r="D381" i="41"/>
  <c r="BF35" i="33"/>
  <c r="E463" i="42"/>
  <c r="E383" i="39"/>
  <c r="AT35" i="30"/>
  <c r="AU29" i="30"/>
  <c r="F302" i="39"/>
  <c r="F73" i="41"/>
  <c r="BH13" i="33"/>
  <c r="K774" i="41"/>
  <c r="BM64" i="33"/>
  <c r="D621" i="41"/>
  <c r="BR53" i="33" a="1"/>
  <c r="BR53" i="33" s="1"/>
  <c r="AM53" i="33"/>
  <c r="BF67" i="33"/>
  <c r="D829" i="41"/>
  <c r="BM27" i="33"/>
  <c r="K269" i="41"/>
  <c r="BE21" i="33"/>
  <c r="C185" i="41"/>
  <c r="C42" i="42"/>
  <c r="BJ58" i="33"/>
  <c r="H690" i="41"/>
  <c r="C330" i="40"/>
  <c r="BD32" i="31"/>
  <c r="I74" i="41"/>
  <c r="BK14" i="33"/>
  <c r="C166" i="40"/>
  <c r="BJ36" i="33"/>
  <c r="H382" i="41"/>
  <c r="BA27" i="33"/>
  <c r="G259" i="41"/>
  <c r="BF23" i="31"/>
  <c r="E221" i="40"/>
  <c r="B225" i="40"/>
  <c r="BD25" i="31"/>
  <c r="C248" i="40"/>
  <c r="C274" i="39"/>
  <c r="BG10" i="31"/>
  <c r="F33" i="40"/>
  <c r="BI52" i="33"/>
  <c r="G606" i="41"/>
  <c r="AB31" i="34"/>
  <c r="AR25" i="30"/>
  <c r="C248" i="39"/>
  <c r="E741" i="41"/>
  <c r="AS29" i="33"/>
  <c r="BV29" i="33"/>
  <c r="AZ29" i="33" s="1"/>
  <c r="AN29" i="33" a="1"/>
  <c r="AN29" i="33" s="1"/>
  <c r="I29" i="33" s="1"/>
  <c r="B291" i="41" s="1"/>
  <c r="AO29" i="33"/>
  <c r="C1053" i="32" s="1"/>
  <c r="BT29" i="33"/>
  <c r="AY29" i="33" a="1"/>
  <c r="AY29" i="33" s="1"/>
  <c r="AW29" i="33" s="1"/>
  <c r="AP29" i="33" a="1"/>
  <c r="AP29" i="33" s="1"/>
  <c r="AQ29" i="33" s="1"/>
  <c r="B287" i="41"/>
  <c r="BK12" i="33"/>
  <c r="I46" i="41"/>
  <c r="AP15" i="33" a="1"/>
  <c r="AP15" i="33" s="1"/>
  <c r="AR15" i="33" s="1"/>
  <c r="BT15" i="33"/>
  <c r="AO15" i="33"/>
  <c r="C761" i="32" s="1"/>
  <c r="AS15" i="33"/>
  <c r="AN15" i="33" a="1"/>
  <c r="AN15" i="33" s="1"/>
  <c r="I15" i="33" s="1"/>
  <c r="B95" i="41" s="1"/>
  <c r="B91" i="41"/>
  <c r="BV15" i="33"/>
  <c r="AZ15" i="33" s="1"/>
  <c r="AY15" i="33" a="1"/>
  <c r="AY15" i="33" s="1"/>
  <c r="AO27" i="33"/>
  <c r="BT27" i="33"/>
  <c r="AN27" i="33" a="1"/>
  <c r="AN27" i="33" s="1"/>
  <c r="I27" i="33" s="1"/>
  <c r="B263" i="41" s="1"/>
  <c r="B259" i="41"/>
  <c r="AS27" i="33"/>
  <c r="AP27" i="33" a="1"/>
  <c r="AP27" i="33" s="1"/>
  <c r="AR27" i="33" s="1"/>
  <c r="AY27" i="33" a="1"/>
  <c r="AY27" i="33" s="1"/>
  <c r="AX27" i="33" s="1"/>
  <c r="BV27" i="33"/>
  <c r="AZ27" i="33" s="1"/>
  <c r="B36" i="40"/>
  <c r="BL57" i="33"/>
  <c r="J689" i="41"/>
  <c r="D330" i="40"/>
  <c r="BE32" i="31"/>
  <c r="C276" i="40"/>
  <c r="BD28" i="31"/>
  <c r="K493" i="41"/>
  <c r="BM43" i="33"/>
  <c r="C773" i="41"/>
  <c r="BE63" i="33"/>
  <c r="E188" i="40"/>
  <c r="B489" i="41"/>
  <c r="BI22" i="33"/>
  <c r="G186" i="41"/>
  <c r="BH59" i="33"/>
  <c r="F717" i="41"/>
  <c r="H683" i="41"/>
  <c r="G399" i="41"/>
  <c r="BA37" i="33"/>
  <c r="K739" i="41"/>
  <c r="AU28" i="30"/>
  <c r="F276" i="39"/>
  <c r="BK33" i="33"/>
  <c r="I353" i="41"/>
  <c r="BM26" i="33"/>
  <c r="K242" i="41"/>
  <c r="Y43" i="34"/>
  <c r="Z43" i="34" s="1"/>
  <c r="AB52" i="34"/>
  <c r="J437" i="41"/>
  <c r="BL39" i="33"/>
  <c r="E189" i="42"/>
  <c r="BG39" i="33"/>
  <c r="E437" i="41"/>
  <c r="AU34" i="30"/>
  <c r="F357" i="39"/>
  <c r="F829" i="41"/>
  <c r="BH67" i="33"/>
  <c r="BM57" i="33"/>
  <c r="K689" i="41"/>
  <c r="H157" i="41"/>
  <c r="BJ19" i="33"/>
  <c r="C662" i="41"/>
  <c r="BE56" i="33"/>
  <c r="E242" i="40"/>
  <c r="BE53" i="33"/>
  <c r="C633" i="41"/>
  <c r="C135" i="42"/>
  <c r="AB47" i="34"/>
  <c r="BL48" i="33"/>
  <c r="J550" i="41"/>
  <c r="E515" i="41"/>
  <c r="G113" i="40"/>
  <c r="BH15" i="31"/>
  <c r="BG40" i="33"/>
  <c r="E438" i="41"/>
  <c r="BA23" i="33"/>
  <c r="G203" i="41"/>
  <c r="AB77" i="34"/>
  <c r="B171" i="40"/>
  <c r="F351" i="42"/>
  <c r="AB45" i="34"/>
  <c r="C139" i="39"/>
  <c r="D410" i="40"/>
  <c r="BE37" i="31"/>
  <c r="BM36" i="33"/>
  <c r="K382" i="41"/>
  <c r="BL36" i="33"/>
  <c r="J382" i="41"/>
  <c r="BI35" i="33"/>
  <c r="G381" i="41"/>
  <c r="BE57" i="33"/>
  <c r="C689" i="41"/>
  <c r="F302" i="42"/>
  <c r="E134" i="40"/>
  <c r="BI25" i="33"/>
  <c r="G241" i="41"/>
  <c r="E265" i="39"/>
  <c r="E271" i="39" s="1"/>
  <c r="BI27" i="30"/>
  <c r="AD27" i="30"/>
  <c r="AB87" i="34"/>
  <c r="BG60" i="33"/>
  <c r="E718" i="41"/>
  <c r="C688" i="41"/>
  <c r="C58" i="40"/>
  <c r="AB62" i="34"/>
  <c r="BJ25" i="33"/>
  <c r="H241" i="41"/>
  <c r="D357" i="40"/>
  <c r="BE34" i="31"/>
  <c r="C380" i="42"/>
  <c r="BH35" i="31"/>
  <c r="G383" i="40"/>
  <c r="E81" i="42"/>
  <c r="Y17" i="34"/>
  <c r="Z17" i="34" s="1"/>
  <c r="C398" i="42"/>
  <c r="BK60" i="33"/>
  <c r="I718" i="41"/>
  <c r="J606" i="41"/>
  <c r="BL52" i="33"/>
  <c r="AO57" i="33"/>
  <c r="C1617" i="32" s="1"/>
  <c r="AS57" i="33"/>
  <c r="BN57" i="33"/>
  <c r="B679" i="41"/>
  <c r="BT57" i="33"/>
  <c r="AP57" i="33" a="1"/>
  <c r="AP57" i="33" s="1"/>
  <c r="AR57" i="33" s="1"/>
  <c r="AN57" i="33" a="1"/>
  <c r="AN57" i="33" s="1"/>
  <c r="I57" i="33" s="1"/>
  <c r="B683" i="41" s="1"/>
  <c r="AY57" i="33" a="1"/>
  <c r="AY57" i="33" s="1"/>
  <c r="AW57" i="33" s="1"/>
  <c r="BV57" i="33"/>
  <c r="AZ57" i="33" s="1"/>
  <c r="BC57" i="33" a="1"/>
  <c r="BC57" i="33" s="1"/>
  <c r="D87" i="39"/>
  <c r="AS14" i="30"/>
  <c r="AB79" i="34"/>
  <c r="D213" i="41"/>
  <c r="BF23" i="33"/>
  <c r="D167" i="39"/>
  <c r="AS19" i="30"/>
  <c r="E80" i="39"/>
  <c r="D330" i="39"/>
  <c r="AS32" i="30"/>
  <c r="BE45" i="33"/>
  <c r="C521" i="41"/>
  <c r="BI48" i="33"/>
  <c r="G550" i="41"/>
  <c r="C439" i="42"/>
  <c r="BL33" i="33"/>
  <c r="J353" i="41"/>
  <c r="B825" i="41"/>
  <c r="BH30" i="33"/>
  <c r="F298" i="41"/>
  <c r="B252" i="39"/>
  <c r="Y48" i="34"/>
  <c r="Z48" i="34" s="1"/>
  <c r="C233" i="42"/>
  <c r="C548" i="41"/>
  <c r="C195" i="40"/>
  <c r="BD22" i="31"/>
  <c r="B204" i="42"/>
  <c r="E683" i="41"/>
  <c r="E383" i="40"/>
  <c r="BF35" i="31"/>
  <c r="BA21" i="33"/>
  <c r="G175" i="41"/>
  <c r="BF21" i="33"/>
  <c r="D185" i="41"/>
  <c r="C193" i="40"/>
  <c r="BG17" i="33"/>
  <c r="E129" i="41"/>
  <c r="B325" i="39"/>
  <c r="C228" i="42"/>
  <c r="K235" i="41"/>
  <c r="C61" i="42"/>
  <c r="BH51" i="33"/>
  <c r="F605" i="41"/>
  <c r="BK47" i="33"/>
  <c r="I549" i="41"/>
  <c r="AB86" i="34"/>
  <c r="BK42" i="33"/>
  <c r="I466" i="41"/>
  <c r="BF53" i="33"/>
  <c r="D633" i="41"/>
  <c r="C164" i="42"/>
  <c r="AB32" i="34"/>
  <c r="AB66" i="34"/>
  <c r="BE9" i="31"/>
  <c r="D32" i="40"/>
  <c r="AB74" i="34"/>
  <c r="B797" i="41"/>
  <c r="C31" i="39"/>
  <c r="E47" i="42"/>
  <c r="D493" i="41"/>
  <c r="BF43" i="33"/>
  <c r="AU24" i="30"/>
  <c r="F222" i="39"/>
  <c r="I438" i="41"/>
  <c r="BK40" i="33"/>
  <c r="BI55" i="33"/>
  <c r="G661" i="41"/>
  <c r="B497" i="41"/>
  <c r="E120" i="42"/>
  <c r="C17" i="42"/>
  <c r="J773" i="41"/>
  <c r="BL63" i="33"/>
  <c r="B777" i="41"/>
  <c r="BE30" i="31"/>
  <c r="D303" i="40"/>
  <c r="C385" i="42"/>
  <c r="E311" i="42"/>
  <c r="D89" i="41"/>
  <c r="AM15" i="33"/>
  <c r="I521" i="41"/>
  <c r="BK45" i="33"/>
  <c r="BJ55" i="33"/>
  <c r="H661" i="41"/>
  <c r="Y34" i="34"/>
  <c r="AA34" i="34" s="1"/>
  <c r="B769" i="41"/>
  <c r="I158" i="41"/>
  <c r="BK20" i="33"/>
  <c r="C251" i="42"/>
  <c r="Y14" i="34"/>
  <c r="AA14" i="34" s="1"/>
  <c r="F130" i="41"/>
  <c r="BH18" i="33"/>
  <c r="BH11" i="33"/>
  <c r="F45" i="41"/>
  <c r="BH24" i="33"/>
  <c r="F214" i="41"/>
  <c r="BE10" i="31"/>
  <c r="D33" i="40"/>
  <c r="I661" i="41"/>
  <c r="BK55" i="33"/>
  <c r="B352" i="40"/>
  <c r="C453" i="42"/>
  <c r="E439" i="42"/>
  <c r="BF18" i="33"/>
  <c r="D130" i="41"/>
  <c r="B665" i="41"/>
  <c r="J493" i="41"/>
  <c r="BL43" i="33"/>
  <c r="B109" i="40"/>
  <c r="I746" i="41"/>
  <c r="BK62" i="33"/>
  <c r="BP25" i="31"/>
  <c r="BR25" i="31" s="1"/>
  <c r="B238" i="40"/>
  <c r="E244" i="40" s="1"/>
  <c r="BB25" i="31" a="1"/>
  <c r="BB25" i="31" s="1"/>
  <c r="AB25" i="31" a="1"/>
  <c r="AB25" i="31" s="1"/>
  <c r="H25" i="31" s="1"/>
  <c r="B242" i="40" s="1"/>
  <c r="AC25" i="31"/>
  <c r="BU25" i="31"/>
  <c r="E74" i="41"/>
  <c r="BG14" i="33"/>
  <c r="C341" i="42"/>
  <c r="BF68" i="33"/>
  <c r="D830" i="41"/>
  <c r="E404" i="42"/>
  <c r="E140" i="40"/>
  <c r="BF17" i="31"/>
  <c r="AS26" i="30"/>
  <c r="D249" i="39"/>
  <c r="Y79" i="34"/>
  <c r="AA79" i="34" s="1"/>
  <c r="C267" i="42"/>
  <c r="E213" i="42"/>
  <c r="E243" i="42"/>
  <c r="AB58" i="34"/>
  <c r="C60" i="40"/>
  <c r="BD12" i="31"/>
  <c r="K431" i="41"/>
  <c r="C328" i="40"/>
  <c r="Y29" i="34"/>
  <c r="AA29" i="34" s="1"/>
  <c r="E181" i="41"/>
  <c r="E188" i="39"/>
  <c r="E32" i="40"/>
  <c r="BF9" i="31"/>
  <c r="BH58" i="33"/>
  <c r="F690" i="41"/>
  <c r="C243" i="42"/>
  <c r="BL30" i="33"/>
  <c r="J298" i="41"/>
  <c r="BI19" i="33"/>
  <c r="G157" i="41"/>
  <c r="D662" i="41"/>
  <c r="BF56" i="33"/>
  <c r="AO13" i="33"/>
  <c r="C711" i="32" s="1"/>
  <c r="AS13" i="33"/>
  <c r="BT13" i="33"/>
  <c r="BA13" i="33"/>
  <c r="BP13" i="33" s="1"/>
  <c r="G63" i="41"/>
  <c r="H69" i="41" s="1"/>
  <c r="D437" i="41"/>
  <c r="BF39" i="33"/>
  <c r="AR26" i="30"/>
  <c r="C249" i="39"/>
  <c r="K711" i="41"/>
  <c r="BE29" i="31"/>
  <c r="D302" i="40"/>
  <c r="BG23" i="31"/>
  <c r="F221" i="40"/>
  <c r="BH43" i="33"/>
  <c r="F493" i="41"/>
  <c r="C44" i="41"/>
  <c r="E145" i="42"/>
  <c r="BA41" i="33"/>
  <c r="G455" i="41"/>
  <c r="C212" i="41"/>
  <c r="B8" i="42"/>
  <c r="J157" i="41"/>
  <c r="BL19" i="33"/>
  <c r="B41" i="41"/>
  <c r="C166" i="39"/>
  <c r="C112" i="39"/>
  <c r="K661" i="41"/>
  <c r="BM55" i="33"/>
  <c r="D201" i="41"/>
  <c r="AM23" i="33"/>
  <c r="AC17" i="31"/>
  <c r="C412" i="32" s="1"/>
  <c r="BP17" i="31"/>
  <c r="BR17" i="31" s="1"/>
  <c r="BU17" i="31"/>
  <c r="BB17" i="31" a="1"/>
  <c r="BB17" i="31" s="1"/>
  <c r="B130" i="40"/>
  <c r="E136" i="40" s="1"/>
  <c r="AB17" i="31" a="1"/>
  <c r="AB17" i="31" s="1"/>
  <c r="H17" i="31" s="1"/>
  <c r="B134" i="40" s="1"/>
  <c r="F206" i="42"/>
  <c r="AU33" i="30"/>
  <c r="F356" i="39"/>
  <c r="B517" i="41"/>
  <c r="BK66" i="33"/>
  <c r="I802" i="41"/>
  <c r="B525" i="41"/>
  <c r="BE40" i="33"/>
  <c r="C438" i="41"/>
  <c r="BF11" i="33"/>
  <c r="D45" i="41"/>
  <c r="Y47" i="34"/>
  <c r="BM60" i="33"/>
  <c r="K718" i="41"/>
  <c r="BI60" i="33"/>
  <c r="G718" i="41"/>
  <c r="G522" i="41"/>
  <c r="BI46" i="33"/>
  <c r="K605" i="41"/>
  <c r="BM51" i="33"/>
  <c r="F185" i="41"/>
  <c r="BH21" i="33"/>
  <c r="Y77" i="34"/>
  <c r="AA77" i="34" s="1"/>
  <c r="C140" i="42"/>
  <c r="C250" i="42"/>
  <c r="AB14" i="34"/>
  <c r="J241" i="41"/>
  <c r="BL25" i="33"/>
  <c r="C522" i="41"/>
  <c r="BE46" i="33"/>
  <c r="AS30" i="30"/>
  <c r="D303" i="39"/>
  <c r="C220" i="39"/>
  <c r="D194" i="40"/>
  <c r="BE21" i="31"/>
  <c r="D605" i="41"/>
  <c r="BF51" i="33"/>
  <c r="BI18" i="33"/>
  <c r="G130" i="41"/>
  <c r="BR45" i="33" a="1"/>
  <c r="BR45" i="33" s="1"/>
  <c r="D509" i="41"/>
  <c r="AM45" i="33"/>
  <c r="BN45" i="33" s="1"/>
  <c r="G493" i="41"/>
  <c r="BI43" i="33"/>
  <c r="AM59" i="33"/>
  <c r="D705" i="41"/>
  <c r="BR59" i="33" a="1"/>
  <c r="BR59" i="33" s="1"/>
  <c r="BD13" i="31"/>
  <c r="C86" i="40"/>
  <c r="Y32" i="34"/>
  <c r="Z32" i="34" s="1"/>
  <c r="D186" i="41"/>
  <c r="BF22" i="33"/>
  <c r="BE30" i="33"/>
  <c r="C298" i="41"/>
  <c r="BH12" i="31"/>
  <c r="G60" i="40"/>
  <c r="E209" i="41"/>
  <c r="E153" i="41"/>
  <c r="C186" i="41"/>
  <c r="BE22" i="33"/>
  <c r="BK27" i="33"/>
  <c r="I269" i="41"/>
  <c r="C194" i="39"/>
  <c r="AR21" i="30"/>
  <c r="Y56" i="34"/>
  <c r="Z56" i="34" s="1"/>
  <c r="B190" i="40"/>
  <c r="K690" i="41"/>
  <c r="BM58" i="33"/>
  <c r="H773" i="41"/>
  <c r="BJ63" i="33"/>
  <c r="G707" i="41"/>
  <c r="BM25" i="33"/>
  <c r="K241" i="41"/>
  <c r="Y83" i="34"/>
  <c r="AA83" i="34" s="1"/>
  <c r="BE27" i="33"/>
  <c r="C269" i="41"/>
  <c r="C218" i="42"/>
  <c r="Y22" i="34"/>
  <c r="Z22" i="34" s="1"/>
  <c r="C277" i="42"/>
  <c r="E292" i="42"/>
  <c r="H263" i="41"/>
  <c r="B693" i="41"/>
  <c r="E801" i="41"/>
  <c r="BG65" i="33"/>
  <c r="E169" i="42"/>
  <c r="J549" i="41"/>
  <c r="BL47" i="33"/>
  <c r="C292" i="42"/>
  <c r="C458" i="42"/>
  <c r="BD23" i="31"/>
  <c r="C221" i="40"/>
  <c r="B36" i="39"/>
  <c r="G101" i="41"/>
  <c r="BI15" i="33"/>
  <c r="AB75" i="34"/>
  <c r="H543" i="41"/>
  <c r="AB42" i="34"/>
  <c r="D101" i="41"/>
  <c r="BF15" i="33"/>
  <c r="BM17" i="33"/>
  <c r="K129" i="41"/>
  <c r="BJ68" i="33"/>
  <c r="H830" i="41"/>
  <c r="F521" i="41"/>
  <c r="BH45" i="33"/>
  <c r="G801" i="41"/>
  <c r="BI65" i="33"/>
  <c r="AR28" i="30"/>
  <c r="C276" i="39"/>
  <c r="BE61" i="33"/>
  <c r="C745" i="41"/>
  <c r="E257" i="42"/>
  <c r="BM47" i="33"/>
  <c r="K549" i="41"/>
  <c r="D276" i="39"/>
  <c r="AS28" i="30"/>
  <c r="C213" i="42"/>
  <c r="BI29" i="30"/>
  <c r="AD29" i="30"/>
  <c r="E292" i="39"/>
  <c r="E298" i="39" s="1"/>
  <c r="I717" i="41"/>
  <c r="BK59" i="33"/>
  <c r="D606" i="41"/>
  <c r="BF52" i="33"/>
  <c r="D5" i="41"/>
  <c r="AM9" i="33"/>
  <c r="BB9" i="31" a="1"/>
  <c r="BB9" i="31" s="1"/>
  <c r="AB9" i="31" a="1"/>
  <c r="AB9" i="31" s="1"/>
  <c r="H9" i="31" s="1"/>
  <c r="B26" i="40" s="1"/>
  <c r="BP9" i="31"/>
  <c r="BU9" i="31"/>
  <c r="AC9" i="31"/>
  <c r="C328" i="32" s="1"/>
  <c r="B22" i="40"/>
  <c r="E28" i="40" s="1"/>
  <c r="H409" i="41"/>
  <c r="BJ37" i="33"/>
  <c r="B601" i="41"/>
  <c r="AB13" i="31" a="1"/>
  <c r="AB13" i="31" s="1"/>
  <c r="H13" i="31" s="1"/>
  <c r="B80" i="40" s="1"/>
  <c r="BU13" i="31"/>
  <c r="AC13" i="31"/>
  <c r="C360" i="32" s="1"/>
  <c r="BP13" i="31"/>
  <c r="BR13" i="31" s="1"/>
  <c r="BB13" i="31" a="1"/>
  <c r="BB13" i="31" s="1"/>
  <c r="B76" i="40"/>
  <c r="E82" i="40" s="1"/>
  <c r="E355" i="42"/>
  <c r="AB78" i="34"/>
  <c r="C120" i="42"/>
  <c r="C410" i="40"/>
  <c r="BD37" i="31"/>
  <c r="F718" i="41"/>
  <c r="BH60" i="33"/>
  <c r="BF29" i="31"/>
  <c r="E302" i="40"/>
  <c r="AT31" i="30"/>
  <c r="E329" i="39"/>
  <c r="E321" i="42"/>
  <c r="BE26" i="33"/>
  <c r="C242" i="41"/>
  <c r="D384" i="39"/>
  <c r="AS36" i="30"/>
  <c r="E140" i="39"/>
  <c r="AT17" i="30"/>
  <c r="F410" i="39"/>
  <c r="AU37" i="30"/>
  <c r="Y71" i="34"/>
  <c r="Z71" i="34" s="1"/>
  <c r="BG54" i="33"/>
  <c r="E634" i="41"/>
  <c r="BH41" i="33"/>
  <c r="F465" i="41"/>
  <c r="E375" i="41"/>
  <c r="AT27" i="30"/>
  <c r="E275" i="39"/>
  <c r="H662" i="41"/>
  <c r="BJ56" i="33"/>
  <c r="B217" i="40"/>
  <c r="AD25" i="30"/>
  <c r="E238" i="39"/>
  <c r="E244" i="39" s="1"/>
  <c r="BI25" i="30"/>
  <c r="J185" i="41"/>
  <c r="BL21" i="33"/>
  <c r="C802" i="41"/>
  <c r="BE66" i="33"/>
  <c r="C194" i="42"/>
  <c r="AB82" i="34"/>
  <c r="E627" i="41"/>
  <c r="BH27" i="31"/>
  <c r="G275" i="40"/>
  <c r="B609" i="41"/>
  <c r="BF66" i="33"/>
  <c r="D802" i="41"/>
  <c r="BI21" i="33"/>
  <c r="G185" i="41"/>
  <c r="I157" i="41"/>
  <c r="BK19" i="33"/>
  <c r="B293" i="41"/>
  <c r="Y85" i="34"/>
  <c r="AB70" i="34"/>
  <c r="E269" i="39"/>
  <c r="BK49" i="33"/>
  <c r="I577" i="41"/>
  <c r="BF14" i="33"/>
  <c r="D74" i="41"/>
  <c r="AB24" i="34"/>
  <c r="G270" i="41"/>
  <c r="BI28" i="33"/>
  <c r="AM21" i="33"/>
  <c r="D173" i="41"/>
  <c r="AN11" i="33" a="1"/>
  <c r="AN11" i="33" s="1"/>
  <c r="I11" i="33" s="1"/>
  <c r="B39" i="41" s="1"/>
  <c r="BT11" i="33"/>
  <c r="BV11" i="33"/>
  <c r="AZ11" i="33" s="1"/>
  <c r="AO11" i="33"/>
  <c r="C667" i="32" s="1"/>
  <c r="B35" i="41"/>
  <c r="AS11" i="33"/>
  <c r="AY11" i="33" a="1"/>
  <c r="AY11" i="33" s="1"/>
  <c r="AV11" i="33" s="1"/>
  <c r="AP11" i="33" a="1"/>
  <c r="AP11" i="33" s="1"/>
  <c r="AM35" i="33"/>
  <c r="D369" i="41"/>
  <c r="D384" i="40"/>
  <c r="BE36" i="31"/>
  <c r="C331" i="42"/>
  <c r="Y57" i="34"/>
  <c r="AA57" i="34" s="1"/>
  <c r="BG47" i="33"/>
  <c r="E549" i="41"/>
  <c r="E599" i="41"/>
  <c r="AT20" i="30"/>
  <c r="E168" i="39"/>
  <c r="BI24" i="33"/>
  <c r="G214" i="41"/>
  <c r="E354" i="41"/>
  <c r="BG34" i="33"/>
  <c r="E521" i="41"/>
  <c r="BG45" i="33"/>
  <c r="BL32" i="33"/>
  <c r="J326" i="41"/>
  <c r="AT22" i="30"/>
  <c r="E195" i="39"/>
  <c r="F194" i="39"/>
  <c r="AU21" i="30"/>
  <c r="AB60" i="34"/>
  <c r="BF17" i="33"/>
  <c r="D129" i="41"/>
  <c r="F411" i="40"/>
  <c r="BG38" i="31"/>
  <c r="H606" i="41"/>
  <c r="BJ52" i="33"/>
  <c r="G634" i="41"/>
  <c r="BI54" i="33"/>
  <c r="B406" i="40"/>
  <c r="G32" i="40"/>
  <c r="BH9" i="31"/>
  <c r="B28" i="39"/>
  <c r="Y27" i="34"/>
  <c r="Z27" i="34" s="1"/>
  <c r="BH37" i="33"/>
  <c r="F409" i="41"/>
  <c r="I45" i="41"/>
  <c r="BK11" i="33"/>
  <c r="AB61" i="34"/>
  <c r="C167" i="39"/>
  <c r="AR19" i="30"/>
  <c r="B360" i="40"/>
  <c r="G46" i="41"/>
  <c r="BI12" i="33"/>
  <c r="E390" i="42"/>
  <c r="C262" i="42"/>
  <c r="G221" i="40"/>
  <c r="BH23" i="31"/>
  <c r="BK67" i="33"/>
  <c r="I829" i="41"/>
  <c r="E349" i="41"/>
  <c r="Y52" i="34"/>
  <c r="Z52" i="34" s="1"/>
  <c r="E297" i="41"/>
  <c r="BG29" i="33"/>
  <c r="AB41" i="34"/>
  <c r="E159" i="42"/>
  <c r="BG56" i="33"/>
  <c r="E662" i="41"/>
  <c r="BD30" i="31"/>
  <c r="C303" i="40"/>
  <c r="F253" i="42"/>
  <c r="F102" i="41"/>
  <c r="BH16" i="33"/>
  <c r="BK39" i="33"/>
  <c r="I437" i="41"/>
  <c r="BK41" i="33"/>
  <c r="I465" i="41"/>
  <c r="G465" i="41"/>
  <c r="BI41" i="33"/>
  <c r="E26" i="40"/>
  <c r="AR13" i="30"/>
  <c r="C86" i="39"/>
  <c r="E321" i="41"/>
  <c r="I73" i="41"/>
  <c r="BK13" i="33"/>
  <c r="E53" i="40"/>
  <c r="C129" i="41"/>
  <c r="BE17" i="33"/>
  <c r="C349" i="42"/>
  <c r="Y16" i="34"/>
  <c r="AA16" i="34" s="1"/>
  <c r="K291" i="41"/>
  <c r="C145" i="42"/>
  <c r="AT28" i="30"/>
  <c r="E276" i="39"/>
  <c r="AB25" i="34"/>
  <c r="Y63" i="34"/>
  <c r="AA63" i="34" s="1"/>
  <c r="B82" i="39"/>
  <c r="BF18" i="31"/>
  <c r="E141" i="40"/>
  <c r="E86" i="40"/>
  <c r="BF13" i="31"/>
  <c r="AB83" i="34"/>
  <c r="BF12" i="31"/>
  <c r="E60" i="40"/>
  <c r="BK21" i="33"/>
  <c r="I185" i="41"/>
  <c r="B189" i="41"/>
  <c r="BF20" i="33"/>
  <c r="D158" i="41"/>
  <c r="BM12" i="33"/>
  <c r="K46" i="41"/>
  <c r="H487" i="41"/>
  <c r="E403" i="41"/>
  <c r="E130" i="42"/>
  <c r="F140" i="39"/>
  <c r="AU17" i="30"/>
  <c r="K73" i="41"/>
  <c r="BM13" i="33"/>
  <c r="BE67" i="33"/>
  <c r="C829" i="41"/>
  <c r="BP15" i="31"/>
  <c r="BQ15" i="31" s="1"/>
  <c r="AB15" i="31" a="1"/>
  <c r="AB15" i="31" s="1"/>
  <c r="H15" i="31" s="1"/>
  <c r="B107" i="40" s="1"/>
  <c r="BB15" i="31" a="1"/>
  <c r="BB15" i="31" s="1"/>
  <c r="B103" i="40"/>
  <c r="E109" i="40" s="1"/>
  <c r="BU15" i="31"/>
  <c r="AC15" i="31"/>
  <c r="C376" i="32" s="1"/>
  <c r="H466" i="41"/>
  <c r="BJ42" i="33"/>
  <c r="Y54" i="34"/>
  <c r="F106" i="42"/>
  <c r="AY33" i="33" a="1"/>
  <c r="AY33" i="33" s="1"/>
  <c r="AX33" i="33" s="1"/>
  <c r="AO33" i="33"/>
  <c r="C1101" i="32" s="1"/>
  <c r="AP33" i="33" a="1"/>
  <c r="AP33" i="33" s="1"/>
  <c r="AR33" i="33" s="1"/>
  <c r="B343" i="41"/>
  <c r="AS33" i="33"/>
  <c r="AN33" i="33" a="1"/>
  <c r="AN33" i="33" s="1"/>
  <c r="I33" i="33" s="1"/>
  <c r="B347" i="41" s="1"/>
  <c r="BT33" i="33"/>
  <c r="BV33" i="33"/>
  <c r="AZ33" i="33" s="1"/>
  <c r="C208" i="42"/>
  <c r="BI62" i="33"/>
  <c r="G746" i="41"/>
  <c r="BU29" i="31"/>
  <c r="BB29" i="31" a="1"/>
  <c r="BB29" i="31" s="1"/>
  <c r="BP29" i="31"/>
  <c r="B292" i="40"/>
  <c r="E298" i="40" s="1"/>
  <c r="AB29" i="31" a="1"/>
  <c r="AB29" i="31" s="1"/>
  <c r="H29" i="31" s="1"/>
  <c r="B296" i="40" s="1"/>
  <c r="AC29" i="31"/>
  <c r="C518" i="32" s="1"/>
  <c r="L518" i="32" s="1"/>
  <c r="E434" i="42"/>
  <c r="F204" i="42"/>
  <c r="G91" i="41"/>
  <c r="E80" i="40"/>
  <c r="E360" i="42"/>
  <c r="B82" i="40"/>
  <c r="C409" i="41"/>
  <c r="BE37" i="33"/>
  <c r="AB88" i="34"/>
  <c r="BH29" i="33"/>
  <c r="F297" i="41"/>
  <c r="C141" i="39"/>
  <c r="AR18" i="30"/>
  <c r="E468" i="42"/>
  <c r="BE28" i="33"/>
  <c r="C270" i="41"/>
  <c r="F158" i="41"/>
  <c r="BH20" i="33"/>
  <c r="AS10" i="30"/>
  <c r="D33" i="39"/>
  <c r="C222" i="39"/>
  <c r="AR24" i="30"/>
  <c r="G315" i="41"/>
  <c r="BA31" i="33"/>
  <c r="D297" i="41"/>
  <c r="BF29" i="33"/>
  <c r="E39" i="41"/>
  <c r="C429" i="42"/>
  <c r="AB65" i="34"/>
  <c r="G549" i="41"/>
  <c r="BI47" i="33"/>
  <c r="E237" i="41"/>
  <c r="BR43" i="33" a="1"/>
  <c r="BR43" i="33" s="1"/>
  <c r="D481" i="41"/>
  <c r="AM43" i="33"/>
  <c r="I186" i="41"/>
  <c r="BK22" i="33"/>
  <c r="C184" i="42"/>
  <c r="E228" i="42"/>
  <c r="BJ38" i="33"/>
  <c r="H410" i="41"/>
  <c r="Y70" i="34"/>
  <c r="AA70" i="34" s="1"/>
  <c r="D269" i="41"/>
  <c r="BF27" i="33"/>
  <c r="AP61" i="33" a="1"/>
  <c r="AP61" i="33" s="1"/>
  <c r="AQ61" i="33" s="1"/>
  <c r="AN61" i="33" a="1"/>
  <c r="AN61" i="33" s="1"/>
  <c r="I61" i="33" s="1"/>
  <c r="B739" i="41" s="1"/>
  <c r="BN61" i="33"/>
  <c r="AY61" i="33" a="1"/>
  <c r="AY61" i="33" s="1"/>
  <c r="BC61" i="33" a="1"/>
  <c r="BC61" i="33" s="1"/>
  <c r="B735" i="41"/>
  <c r="BV61" i="33"/>
  <c r="AZ61" i="33" s="1"/>
  <c r="BT61" i="33"/>
  <c r="AO61" i="33"/>
  <c r="C1677" i="32" s="1"/>
  <c r="L1677" i="32" s="1"/>
  <c r="AS61" i="33"/>
  <c r="F383" i="39"/>
  <c r="AU35" i="30"/>
  <c r="Y30" i="34"/>
  <c r="Z30" i="34" s="1"/>
  <c r="AS19" i="33"/>
  <c r="BV19" i="33"/>
  <c r="AZ19" i="33" s="1"/>
  <c r="AP19" i="33" a="1"/>
  <c r="AP19" i="33" s="1"/>
  <c r="AN19" i="33" a="1"/>
  <c r="AN19" i="33" s="1"/>
  <c r="I19" i="33" s="1"/>
  <c r="B151" i="41" s="1"/>
  <c r="B147" i="41"/>
  <c r="H153" i="41" s="1"/>
  <c r="AO19" i="33"/>
  <c r="C839" i="32" s="1"/>
  <c r="AY19" i="33" a="1"/>
  <c r="AY19" i="33" s="1"/>
  <c r="AV19" i="33" s="1"/>
  <c r="BT19" i="33"/>
  <c r="E164" i="42"/>
  <c r="E296" i="39"/>
  <c r="H151" i="41"/>
  <c r="BL61" i="33"/>
  <c r="J745" i="41"/>
  <c r="E45" i="41"/>
  <c r="BG11" i="33"/>
  <c r="C605" i="41"/>
  <c r="BE51" i="33"/>
  <c r="E746" i="41"/>
  <c r="BG62" i="33"/>
  <c r="D325" i="41"/>
  <c r="BF31" i="33"/>
  <c r="C800" i="41"/>
  <c r="Y38" i="34"/>
  <c r="E769" i="41"/>
  <c r="BF19" i="33"/>
  <c r="D157" i="41"/>
  <c r="I493" i="41"/>
  <c r="BK43" i="33"/>
  <c r="F410" i="40"/>
  <c r="BG37" i="31"/>
  <c r="C159" i="42"/>
  <c r="C114" i="40"/>
  <c r="BD16" i="31"/>
  <c r="K795" i="41"/>
  <c r="Y65" i="34"/>
  <c r="B49" i="39"/>
  <c r="E55" i="39" s="1"/>
  <c r="BD11" i="30"/>
  <c r="AB11" i="30" a="1"/>
  <c r="AB11" i="30" s="1"/>
  <c r="H11" i="30" s="1"/>
  <c r="B53" i="39" s="1"/>
  <c r="BI11" i="30"/>
  <c r="AD11" i="30"/>
  <c r="AP11" i="30" a="1"/>
  <c r="AP11" i="30" s="1"/>
  <c r="AE11" i="30" a="1"/>
  <c r="AE11" i="30" s="1"/>
  <c r="AT21" i="30"/>
  <c r="E194" i="39"/>
  <c r="BJ47" i="33"/>
  <c r="H549" i="41"/>
  <c r="F606" i="41"/>
  <c r="BH52" i="33"/>
  <c r="H101" i="41"/>
  <c r="BJ15" i="33"/>
  <c r="BF9" i="33"/>
  <c r="D17" i="41"/>
  <c r="D717" i="41"/>
  <c r="BF59" i="33"/>
  <c r="C81" i="42"/>
  <c r="C301" i="39"/>
  <c r="E263" i="41"/>
  <c r="C483" i="42"/>
  <c r="B637" i="41"/>
  <c r="D168" i="39"/>
  <c r="AS20" i="30"/>
  <c r="BK48" i="33"/>
  <c r="I550" i="41"/>
  <c r="BM32" i="33"/>
  <c r="K326" i="41"/>
  <c r="BL23" i="33"/>
  <c r="J213" i="41"/>
  <c r="G354" i="41"/>
  <c r="BI34" i="33"/>
  <c r="K745" i="41"/>
  <c r="BM61" i="33"/>
  <c r="BH64" i="33"/>
  <c r="F774" i="41"/>
  <c r="BI31" i="33"/>
  <c r="G325" i="41"/>
  <c r="Y13" i="34"/>
  <c r="AA13" i="34" s="1"/>
  <c r="C202" i="42"/>
  <c r="D677" i="41"/>
  <c r="BR57" i="33" a="1"/>
  <c r="BR57" i="33" s="1"/>
  <c r="AM57" i="33"/>
  <c r="B302" i="42"/>
  <c r="J73" i="41"/>
  <c r="BL13" i="33"/>
  <c r="C139" i="40"/>
  <c r="AT34" i="30"/>
  <c r="E357" i="39"/>
  <c r="AB49" i="34"/>
  <c r="E767" i="41"/>
  <c r="C828" i="41"/>
  <c r="BH13" i="31"/>
  <c r="G86" i="40"/>
  <c r="K39" i="41"/>
  <c r="BG44" i="33"/>
  <c r="E494" i="41"/>
  <c r="BL50" i="33"/>
  <c r="J578" i="41"/>
  <c r="H465" i="41"/>
  <c r="BJ41" i="33"/>
  <c r="BE48" i="33"/>
  <c r="C550" i="41"/>
  <c r="BH25" i="31"/>
  <c r="G248" i="40"/>
  <c r="D789" i="41"/>
  <c r="AM65" i="33"/>
  <c r="BR65" i="33" a="1"/>
  <c r="BR65" i="33" s="1"/>
  <c r="BI26" i="33"/>
  <c r="G242" i="41"/>
  <c r="BG22" i="31"/>
  <c r="F195" i="40"/>
  <c r="E60" i="39"/>
  <c r="AT12" i="30"/>
  <c r="BL29" i="33"/>
  <c r="J297" i="41"/>
  <c r="C55" i="42"/>
  <c r="Y10" i="34"/>
  <c r="Z10" i="34" s="1"/>
  <c r="BE31" i="31"/>
  <c r="D329" i="40"/>
  <c r="AM17" i="33"/>
  <c r="BN17" i="33" s="1"/>
  <c r="D117" i="41"/>
  <c r="G662" i="41"/>
  <c r="BI56" i="33"/>
  <c r="K521" i="41"/>
  <c r="BM45" i="33"/>
  <c r="E123" i="41"/>
  <c r="BE31" i="33"/>
  <c r="C325" i="41"/>
  <c r="D521" i="41"/>
  <c r="BF45" i="33"/>
  <c r="C348" i="42"/>
  <c r="AB16" i="34"/>
  <c r="AB71" i="34"/>
  <c r="E91" i="42"/>
  <c r="B298" i="39"/>
  <c r="F114" i="40"/>
  <c r="BG16" i="31"/>
  <c r="Y50" i="34"/>
  <c r="BL22" i="33"/>
  <c r="J186" i="41"/>
  <c r="E282" i="42"/>
  <c r="BH32" i="33"/>
  <c r="F326" i="41"/>
  <c r="BH40" i="33"/>
  <c r="F438" i="41"/>
  <c r="BG37" i="33"/>
  <c r="E409" i="41"/>
  <c r="E103" i="39"/>
  <c r="E109" i="39" s="1"/>
  <c r="BI15" i="30"/>
  <c r="AD15" i="30"/>
  <c r="D494" i="41"/>
  <c r="BF44" i="33"/>
  <c r="BH11" i="31"/>
  <c r="G59" i="40"/>
  <c r="BK63" i="33"/>
  <c r="I773" i="41"/>
  <c r="C85" i="40"/>
  <c r="G437" i="41"/>
  <c r="BI39" i="33"/>
  <c r="BG29" i="31"/>
  <c r="F302" i="40"/>
  <c r="H438" i="41"/>
  <c r="BJ40" i="33"/>
  <c r="BH19" i="31"/>
  <c r="G167" i="40"/>
  <c r="E215" i="40"/>
  <c r="Y51" i="34"/>
  <c r="BB31" i="31" a="1"/>
  <c r="BB31" i="31" s="1"/>
  <c r="B319" i="40"/>
  <c r="E325" i="40" s="1"/>
  <c r="AB31" i="31" a="1"/>
  <c r="AB31" i="31" s="1"/>
  <c r="H31" i="31" s="1"/>
  <c r="B323" i="40" s="1"/>
  <c r="AC31" i="31"/>
  <c r="C542" i="32" s="1"/>
  <c r="L542" i="32" s="1"/>
  <c r="BU31" i="31"/>
  <c r="BP31" i="31"/>
  <c r="BQ31" i="31" s="1"/>
  <c r="E215" i="39"/>
  <c r="BH55" i="33"/>
  <c r="F661" i="41"/>
  <c r="C300" i="42"/>
  <c r="Y15" i="34"/>
  <c r="Z15" i="34" s="1"/>
  <c r="BM30" i="33"/>
  <c r="K298" i="41"/>
  <c r="C58" i="39"/>
  <c r="C179" i="42"/>
  <c r="BD26" i="31"/>
  <c r="C249" i="40"/>
  <c r="E577" i="41"/>
  <c r="BG49" i="33"/>
  <c r="I606" i="41"/>
  <c r="BK52" i="33"/>
  <c r="E41" i="41"/>
  <c r="BL60" i="33"/>
  <c r="J718" i="41"/>
  <c r="E419" i="42"/>
  <c r="BL62" i="33"/>
  <c r="J746" i="41"/>
  <c r="I745" i="41"/>
  <c r="BK61" i="33"/>
  <c r="B333" i="40"/>
  <c r="C336" i="42"/>
  <c r="E296" i="40"/>
  <c r="Y80" i="34"/>
  <c r="AA80" i="34" s="1"/>
  <c r="B713" i="41"/>
  <c r="H214" i="41"/>
  <c r="BJ24" i="33"/>
  <c r="C168" i="39"/>
  <c r="AR20" i="30"/>
  <c r="J494" i="41"/>
  <c r="BL44" i="33"/>
  <c r="BU37" i="31"/>
  <c r="B400" i="40"/>
  <c r="E406" i="40" s="1"/>
  <c r="AC37" i="31"/>
  <c r="C598" i="32" s="1"/>
  <c r="BB37" i="31" a="1"/>
  <c r="BB37" i="31" s="1"/>
  <c r="BP37" i="31"/>
  <c r="BQ37" i="31" s="1"/>
  <c r="AB37" i="31" a="1"/>
  <c r="AB37" i="31" s="1"/>
  <c r="H37" i="31" s="1"/>
  <c r="B404" i="40" s="1"/>
  <c r="BE43" i="33"/>
  <c r="C493" i="41"/>
  <c r="AB19" i="34"/>
  <c r="B441" i="41"/>
  <c r="H39" i="41"/>
  <c r="C157" i="41"/>
  <c r="BE19" i="33"/>
  <c r="C324" i="41"/>
  <c r="BF54" i="33"/>
  <c r="D634" i="41"/>
  <c r="E18" i="41"/>
  <c r="BG10" i="33"/>
  <c r="E381" i="41"/>
  <c r="BG35" i="33"/>
  <c r="AS9" i="30"/>
  <c r="D32" i="39"/>
  <c r="BE52" i="33"/>
  <c r="C606" i="41"/>
  <c r="C193" i="39"/>
  <c r="BE38" i="31"/>
  <c r="D411" i="40"/>
  <c r="BM54" i="33"/>
  <c r="K634" i="41"/>
  <c r="Y72" i="34"/>
  <c r="BM31" i="33"/>
  <c r="K325" i="41"/>
  <c r="AR15" i="30"/>
  <c r="C113" i="39"/>
  <c r="K829" i="41"/>
  <c r="BM67" i="33"/>
  <c r="AO47" i="33"/>
  <c r="C1411" i="32" s="1"/>
  <c r="AY47" i="33" a="1"/>
  <c r="AY47" i="33" s="1"/>
  <c r="AX47" i="33" s="1"/>
  <c r="BT47" i="33"/>
  <c r="BU47" i="33" s="1"/>
  <c r="B539" i="41"/>
  <c r="AN47" i="33" a="1"/>
  <c r="AN47" i="33" s="1"/>
  <c r="I47" i="33" s="1"/>
  <c r="B543" i="41" s="1"/>
  <c r="BV47" i="33"/>
  <c r="AZ47" i="33" s="1"/>
  <c r="AS47" i="33"/>
  <c r="BC47" i="33" a="1"/>
  <c r="BC47" i="33" s="1"/>
  <c r="AP47" i="33" a="1"/>
  <c r="AP47" i="33" s="1"/>
  <c r="BN47" i="33"/>
  <c r="F87" i="40"/>
  <c r="BG14" i="31"/>
  <c r="E429" i="42"/>
  <c r="C54" i="42"/>
  <c r="AB10" i="34"/>
  <c r="C130" i="42"/>
  <c r="B161" i="41"/>
  <c r="E291" i="41"/>
  <c r="B217" i="39"/>
  <c r="BJ18" i="33"/>
  <c r="H130" i="41"/>
  <c r="C774" i="41"/>
  <c r="BE64" i="33"/>
  <c r="AS31" i="30"/>
  <c r="D329" i="39"/>
  <c r="C468" i="42"/>
  <c r="G410" i="40"/>
  <c r="BH37" i="31"/>
  <c r="AB30" i="34"/>
  <c r="E101" i="41"/>
  <c r="BG15" i="33"/>
  <c r="E37" i="42"/>
  <c r="K543" i="41"/>
  <c r="B106" i="42"/>
  <c r="K746" i="41"/>
  <c r="BM62" i="33"/>
  <c r="E605" i="41"/>
  <c r="BG51" i="33"/>
  <c r="H521" i="41"/>
  <c r="BJ45" i="33"/>
  <c r="AU32" i="30"/>
  <c r="F330" i="39"/>
  <c r="BG28" i="33"/>
  <c r="E270" i="41"/>
  <c r="BK54" i="33"/>
  <c r="I634" i="41"/>
  <c r="BG34" i="31"/>
  <c r="F357" i="40"/>
  <c r="K606" i="41"/>
  <c r="BM52" i="33"/>
  <c r="B333" i="39"/>
  <c r="F634" i="41"/>
  <c r="BH54" i="33"/>
  <c r="F8" i="42"/>
  <c r="E97" i="41"/>
  <c r="BM34" i="33"/>
  <c r="K354" i="41"/>
  <c r="H493" i="41"/>
  <c r="BJ43" i="33"/>
  <c r="BD14" i="31"/>
  <c r="C87" i="40"/>
  <c r="Y25" i="34"/>
  <c r="B157" i="40"/>
  <c r="E163" i="40" s="1"/>
  <c r="BU19" i="31"/>
  <c r="BP19" i="31"/>
  <c r="AB19" i="31" a="1"/>
  <c r="AB19" i="31" s="1"/>
  <c r="H19" i="31" s="1"/>
  <c r="B161" i="40" s="1"/>
  <c r="BB19" i="31" a="1"/>
  <c r="BB19" i="31" s="1"/>
  <c r="AC19" i="31"/>
  <c r="C428" i="32" s="1"/>
  <c r="E184" i="42"/>
  <c r="BM41" i="33"/>
  <c r="K465" i="41"/>
  <c r="BK16" i="33"/>
  <c r="I102" i="41"/>
  <c r="BL68" i="33"/>
  <c r="J830" i="41"/>
  <c r="E739" i="41"/>
  <c r="BH31" i="31"/>
  <c r="G329" i="40"/>
  <c r="B163" i="40"/>
  <c r="J690" i="41"/>
  <c r="BL58" i="33"/>
  <c r="E487" i="41"/>
  <c r="H550" i="41"/>
  <c r="BJ48" i="33"/>
  <c r="E179" i="41"/>
  <c r="B657" i="41"/>
  <c r="Y23" i="34"/>
  <c r="C257" i="42"/>
  <c r="B321" i="41"/>
  <c r="K522" i="41"/>
  <c r="BM46" i="33"/>
  <c r="H767" i="41"/>
  <c r="AN55" i="33" a="1"/>
  <c r="AN55" i="33" s="1"/>
  <c r="I55" i="33" s="1"/>
  <c r="B655" i="41" s="1"/>
  <c r="BN55" i="33"/>
  <c r="B651" i="41"/>
  <c r="BV55" i="33"/>
  <c r="AZ55" i="33" s="1"/>
  <c r="BC55" i="33" a="1"/>
  <c r="BC55" i="33" s="1"/>
  <c r="BT55" i="33"/>
  <c r="AS55" i="33"/>
  <c r="AP55" i="33" a="1"/>
  <c r="AP55" i="33" s="1"/>
  <c r="AO55" i="33"/>
  <c r="C1579" i="32" s="1"/>
  <c r="AY55" i="33" a="1"/>
  <c r="AY55" i="33" s="1"/>
  <c r="D465" i="41"/>
  <c r="BF41" i="33"/>
  <c r="F304" i="42"/>
  <c r="BE25" i="33"/>
  <c r="C241" i="41"/>
  <c r="AS25" i="30"/>
  <c r="D248" i="39"/>
  <c r="H515" i="41"/>
  <c r="AB56" i="34"/>
  <c r="AU10" i="30"/>
  <c r="F33" i="39"/>
  <c r="B253" i="42"/>
  <c r="K767" i="41"/>
  <c r="G357" i="40"/>
  <c r="BH34" i="31"/>
  <c r="Y84" i="34"/>
  <c r="Z84" i="34" s="1"/>
  <c r="Y58" i="34"/>
  <c r="Z58" i="34" s="1"/>
  <c r="B28" i="40"/>
  <c r="C408" i="41"/>
  <c r="F802" i="41"/>
  <c r="BH66" i="33"/>
  <c r="Y60" i="34"/>
  <c r="AA60" i="34" s="1"/>
  <c r="AM27" i="33"/>
  <c r="D257" i="41"/>
  <c r="C410" i="41"/>
  <c r="BE38" i="33"/>
  <c r="B217" i="41"/>
  <c r="B245" i="41"/>
  <c r="BL49" i="33"/>
  <c r="J577" i="41"/>
  <c r="BM11" i="33"/>
  <c r="K45" i="41"/>
  <c r="BG48" i="33"/>
  <c r="E550" i="41"/>
  <c r="E545" i="41"/>
  <c r="F325" i="41"/>
  <c r="BH31" i="33"/>
  <c r="B190" i="39"/>
  <c r="F662" i="41"/>
  <c r="BH56" i="33"/>
  <c r="B133" i="41"/>
  <c r="BI33" i="33"/>
  <c r="G353" i="41"/>
  <c r="BV45" i="33"/>
  <c r="AZ45" i="33" s="1"/>
  <c r="BT45" i="33"/>
  <c r="AO45" i="33"/>
  <c r="C1349" i="32" s="1"/>
  <c r="AS45" i="33"/>
  <c r="AY45" i="33" a="1"/>
  <c r="AY45" i="33" s="1"/>
  <c r="AX45" i="33" s="1"/>
  <c r="BC45" i="33" a="1"/>
  <c r="BC45" i="33" s="1"/>
  <c r="AN45" i="33" a="1"/>
  <c r="AN45" i="33" s="1"/>
  <c r="I45" i="33" s="1"/>
  <c r="B515" i="41" s="1"/>
  <c r="B511" i="41"/>
  <c r="AP45" i="33" a="1"/>
  <c r="AP45" i="33" s="1"/>
  <c r="D357" i="39"/>
  <c r="AS34" i="30"/>
  <c r="I325" i="41"/>
  <c r="BK31" i="33"/>
  <c r="BH57" i="33"/>
  <c r="F689" i="41"/>
  <c r="BE32" i="33"/>
  <c r="C326" i="41"/>
  <c r="Y64" i="34"/>
  <c r="E125" i="41"/>
  <c r="H605" i="41"/>
  <c r="BJ51" i="33"/>
  <c r="F114" i="39"/>
  <c r="AU16" i="30"/>
  <c r="F402" i="42"/>
  <c r="Y74" i="34"/>
  <c r="E223" i="42"/>
  <c r="H633" i="41"/>
  <c r="BJ53" i="33"/>
  <c r="I381" i="41"/>
  <c r="BK35" i="33"/>
  <c r="C112" i="40"/>
  <c r="BF24" i="31"/>
  <c r="E222" i="40"/>
  <c r="H186" i="41"/>
  <c r="BJ22" i="33"/>
  <c r="C76" i="42"/>
  <c r="E453" i="42"/>
  <c r="BK56" i="33"/>
  <c r="I662" i="41"/>
  <c r="BD31" i="31"/>
  <c r="C329" i="40"/>
  <c r="F354" i="41"/>
  <c r="BH34" i="33"/>
  <c r="BE28" i="31"/>
  <c r="D276" i="40"/>
  <c r="G356" i="40"/>
  <c r="BH33" i="31"/>
  <c r="E461" i="41"/>
  <c r="C59" i="40"/>
  <c r="BD11" i="31"/>
  <c r="BG58" i="33"/>
  <c r="E690" i="41"/>
  <c r="C311" i="42"/>
  <c r="BI36" i="33"/>
  <c r="G382" i="41"/>
  <c r="BJ21" i="33"/>
  <c r="H185" i="41"/>
  <c r="J102" i="41"/>
  <c r="BL16" i="33"/>
  <c r="BE18" i="33"/>
  <c r="C130" i="41"/>
  <c r="BE24" i="33"/>
  <c r="C214" i="41"/>
  <c r="D817" i="41"/>
  <c r="AM67" i="33"/>
  <c r="BR67" i="33" a="1"/>
  <c r="BR67" i="33" s="1"/>
  <c r="E384" i="40"/>
  <c r="BF36" i="31"/>
  <c r="D222" i="39"/>
  <c r="AS24" i="30"/>
  <c r="F10" i="42"/>
  <c r="I410" i="41"/>
  <c r="BK38" i="33"/>
  <c r="B271" i="39"/>
  <c r="I326" i="41"/>
  <c r="BK32" i="33"/>
  <c r="E26" i="39"/>
  <c r="K487" i="41"/>
  <c r="BA55" i="33"/>
  <c r="G651" i="41"/>
  <c r="E578" i="41"/>
  <c r="BG50" i="33"/>
  <c r="BM59" i="33"/>
  <c r="K717" i="41"/>
  <c r="AT33" i="30"/>
  <c r="E356" i="39"/>
  <c r="C409" i="42"/>
  <c r="C424" i="42"/>
  <c r="F32" i="40"/>
  <c r="BG9" i="31"/>
  <c r="BF32" i="33"/>
  <c r="D326" i="41"/>
  <c r="D466" i="41"/>
  <c r="BF42" i="33"/>
  <c r="AB50" i="34"/>
  <c r="BM50" i="33"/>
  <c r="K578" i="41"/>
  <c r="C87" i="39"/>
  <c r="AR14" i="30"/>
  <c r="AS63" i="33"/>
  <c r="AP63" i="33" a="1"/>
  <c r="AP63" i="33" s="1"/>
  <c r="BT63" i="33"/>
  <c r="B763" i="41"/>
  <c r="AO63" i="33"/>
  <c r="C1703" i="32" s="1"/>
  <c r="L1703" i="32" s="1"/>
  <c r="BC63" i="33" a="1"/>
  <c r="BC63" i="33" s="1"/>
  <c r="AY63" i="33" a="1"/>
  <c r="AY63" i="33" s="1"/>
  <c r="BV63" i="33"/>
  <c r="AZ63" i="33" s="1"/>
  <c r="AN63" i="33" a="1"/>
  <c r="AN63" i="33" s="1"/>
  <c r="I63" i="33" s="1"/>
  <c r="B767" i="41" s="1"/>
  <c r="BN63" i="33"/>
  <c r="BI42" i="33"/>
  <c r="G466" i="41"/>
  <c r="BJ66" i="33"/>
  <c r="H802" i="41"/>
  <c r="F155" i="42"/>
  <c r="D356" i="39"/>
  <c r="AS33" i="30"/>
  <c r="BI44" i="33"/>
  <c r="G494" i="41"/>
  <c r="B63" i="39"/>
  <c r="AB38" i="34"/>
  <c r="AU18" i="30"/>
  <c r="F141" i="39"/>
  <c r="BL18" i="33"/>
  <c r="J130" i="41"/>
  <c r="F248" i="40"/>
  <c r="BG25" i="31"/>
  <c r="H95" i="41"/>
  <c r="F494" i="41"/>
  <c r="BH44" i="33"/>
  <c r="BE15" i="33"/>
  <c r="C101" i="41"/>
  <c r="BG30" i="33"/>
  <c r="E298" i="41"/>
  <c r="BH25" i="33"/>
  <c r="F241" i="41"/>
  <c r="G745" i="41"/>
  <c r="BI61" i="33"/>
  <c r="BM38" i="33"/>
  <c r="K410" i="41"/>
  <c r="BU33" i="31"/>
  <c r="AC33" i="31"/>
  <c r="C562" i="32" s="1"/>
  <c r="L562" i="32" s="1"/>
  <c r="M562" i="32" s="1" a="1"/>
  <c r="M562" i="32" s="1"/>
  <c r="D562" i="32" s="1"/>
  <c r="AB33" i="31" a="1"/>
  <c r="AB33" i="31" s="1"/>
  <c r="H33" i="31" s="1"/>
  <c r="B350" i="40" s="1"/>
  <c r="BP33" i="31"/>
  <c r="BR33" i="31" s="1"/>
  <c r="BB33" i="31" a="1"/>
  <c r="BB33" i="31" s="1"/>
  <c r="B346" i="40"/>
  <c r="E352" i="40" s="1"/>
  <c r="J325" i="41"/>
  <c r="BL31" i="33"/>
  <c r="G158" i="41"/>
  <c r="BI20" i="33"/>
  <c r="Y68" i="34"/>
  <c r="AA68" i="34" s="1"/>
  <c r="H627" i="41"/>
  <c r="AT30" i="30"/>
  <c r="E303" i="39"/>
  <c r="E326" i="42"/>
  <c r="K130" i="41"/>
  <c r="BM18" i="33"/>
  <c r="AB73" i="34"/>
  <c r="BM35" i="33"/>
  <c r="K381" i="41"/>
  <c r="C478" i="42"/>
  <c r="C632" i="41"/>
  <c r="K263" i="41"/>
  <c r="C184" i="41"/>
  <c r="D61" i="41"/>
  <c r="AM13" i="33"/>
  <c r="BN13" i="33" s="1"/>
  <c r="E113" i="39"/>
  <c r="AT15" i="30"/>
  <c r="D549" i="41"/>
  <c r="BF47" i="33"/>
  <c r="E114" i="39"/>
  <c r="AT16" i="30"/>
  <c r="AB80" i="34"/>
  <c r="Y69" i="34"/>
  <c r="E377" i="40"/>
  <c r="AB13" i="34"/>
  <c r="C201" i="42"/>
  <c r="BA35" i="33"/>
  <c r="G371" i="41"/>
  <c r="BH17" i="33"/>
  <c r="F129" i="41"/>
  <c r="BM22" i="33"/>
  <c r="K186" i="41"/>
  <c r="D746" i="41"/>
  <c r="BF62" i="33"/>
  <c r="J129" i="41"/>
  <c r="BL17" i="33"/>
  <c r="C100" i="41"/>
  <c r="F353" i="41"/>
  <c r="BH33" i="33"/>
  <c r="BE55" i="33"/>
  <c r="C661" i="41"/>
  <c r="H319" i="41"/>
  <c r="BE33" i="31"/>
  <c r="D356" i="40"/>
  <c r="E431" i="41"/>
  <c r="G330" i="40"/>
  <c r="BH32" i="31"/>
  <c r="AD13" i="30"/>
  <c r="BI13" i="30"/>
  <c r="E76" i="39"/>
  <c r="E82" i="39" s="1"/>
  <c r="AM41" i="33"/>
  <c r="D453" i="41"/>
  <c r="K599" i="41"/>
  <c r="C353" i="41"/>
  <c r="BE33" i="33"/>
  <c r="Y39" i="34"/>
  <c r="AA39" i="34" s="1"/>
  <c r="E350" i="40"/>
  <c r="E795" i="41"/>
  <c r="E685" i="41"/>
  <c r="C383" i="40"/>
  <c r="BD35" i="31"/>
  <c r="F451" i="42"/>
  <c r="G830" i="41"/>
  <c r="BI68" i="33"/>
  <c r="BG55" i="33"/>
  <c r="E661" i="41"/>
  <c r="D87" i="40"/>
  <c r="BE14" i="31"/>
  <c r="K158" i="41"/>
  <c r="BM20" i="33"/>
  <c r="K801" i="41"/>
  <c r="BM65" i="33"/>
  <c r="G410" i="41"/>
  <c r="BI38" i="33"/>
  <c r="AM19" i="33"/>
  <c r="D145" i="41"/>
  <c r="B325" i="40"/>
  <c r="C316" i="42"/>
  <c r="E404" i="40"/>
  <c r="B181" i="41"/>
  <c r="D86" i="40"/>
  <c r="BE13" i="31"/>
  <c r="C296" i="41"/>
  <c r="H326" i="41"/>
  <c r="BJ32" i="33"/>
  <c r="C247" i="39"/>
  <c r="BK68" i="33"/>
  <c r="I830" i="41"/>
  <c r="H431" i="41"/>
  <c r="BJ12" i="33"/>
  <c r="H46" i="41"/>
  <c r="BG21" i="31"/>
  <c r="F194" i="40"/>
  <c r="F255" i="42"/>
  <c r="AB67" i="34"/>
  <c r="BJ13" i="33"/>
  <c r="H73" i="41"/>
  <c r="AB43" i="34"/>
  <c r="BG36" i="33"/>
  <c r="E382" i="41"/>
  <c r="D167" i="40"/>
  <c r="BE19" i="31"/>
  <c r="H403" i="41"/>
  <c r="AT26" i="30"/>
  <c r="E249" i="39"/>
  <c r="BJ34" i="33"/>
  <c r="H354" i="41"/>
  <c r="BL64" i="33"/>
  <c r="J774" i="41"/>
  <c r="BE16" i="33"/>
  <c r="C102" i="41"/>
  <c r="B413" i="41"/>
  <c r="E375" i="42"/>
  <c r="G689" i="41"/>
  <c r="BI57" i="33"/>
  <c r="BE20" i="33"/>
  <c r="C158" i="41"/>
  <c r="E380" i="42"/>
  <c r="E107" i="40"/>
  <c r="BI37" i="33"/>
  <c r="G409" i="41"/>
  <c r="BD27" i="31"/>
  <c r="C275" i="40"/>
  <c r="BT53" i="33"/>
  <c r="B623" i="41"/>
  <c r="BV53" i="33"/>
  <c r="AZ53" i="33" s="1"/>
  <c r="BN53" i="33"/>
  <c r="BC53" i="33" a="1"/>
  <c r="BC53" i="33" s="1"/>
  <c r="AN53" i="33" a="1"/>
  <c r="AN53" i="33" s="1"/>
  <c r="I53" i="33" s="1"/>
  <c r="B627" i="41" s="1"/>
  <c r="AS53" i="33"/>
  <c r="AO53" i="33"/>
  <c r="C1501" i="32" s="1"/>
  <c r="AP53" i="33" a="1"/>
  <c r="AP53" i="33" s="1"/>
  <c r="AY53" i="33" a="1"/>
  <c r="AY53" i="33" s="1"/>
  <c r="AX53" i="33" s="1"/>
  <c r="J214" i="41"/>
  <c r="BL24" i="33"/>
  <c r="H437" i="41"/>
  <c r="BJ39" i="33"/>
  <c r="C375" i="42"/>
  <c r="F303" i="40"/>
  <c r="BG30" i="31"/>
  <c r="C220" i="40"/>
  <c r="G297" i="41"/>
  <c r="BI29" i="33"/>
  <c r="C411" i="40"/>
  <c r="BD38" i="31"/>
  <c r="Y33" i="34"/>
  <c r="Z33" i="34" s="1"/>
  <c r="H823" i="41"/>
  <c r="E433" i="41"/>
  <c r="BI30" i="33"/>
  <c r="G298" i="41"/>
  <c r="B400" i="42"/>
  <c r="B209" i="41"/>
  <c r="E125" i="42"/>
  <c r="B244" i="39"/>
  <c r="E341" i="42"/>
  <c r="BH9" i="33"/>
  <c r="F17" i="41"/>
  <c r="B377" i="41"/>
  <c r="E466" i="41"/>
  <c r="BG42" i="33"/>
  <c r="H634" i="41"/>
  <c r="BJ54" i="33"/>
  <c r="E377" i="39"/>
  <c r="B21" i="41"/>
  <c r="E107" i="39"/>
  <c r="B553" i="41"/>
  <c r="H347" i="41"/>
  <c r="C60" i="39"/>
  <c r="AR12" i="30"/>
  <c r="E823" i="41"/>
  <c r="F213" i="41"/>
  <c r="BH23" i="33"/>
  <c r="AT13" i="30"/>
  <c r="E86" i="39"/>
  <c r="E409" i="42"/>
  <c r="D397" i="41"/>
  <c r="AM37" i="33"/>
  <c r="BE59" i="33"/>
  <c r="C717" i="41"/>
  <c r="AU15" i="30"/>
  <c r="F113" i="39"/>
  <c r="E830" i="41"/>
  <c r="BG68" i="33"/>
  <c r="B244" i="40"/>
  <c r="AD17" i="30"/>
  <c r="E130" i="39"/>
  <c r="E136" i="39" s="1"/>
  <c r="BI17" i="30"/>
  <c r="C238" i="42"/>
  <c r="AM33" i="33"/>
  <c r="BN33" i="33" s="1"/>
  <c r="D341" i="41"/>
  <c r="Y67" i="34"/>
  <c r="Z67" i="34" s="1"/>
  <c r="AB57" i="34"/>
  <c r="BB27" i="31" a="1"/>
  <c r="BB27" i="31" s="1"/>
  <c r="BP27" i="31"/>
  <c r="AB27" i="31" a="1"/>
  <c r="AB27" i="31" s="1"/>
  <c r="H27" i="31" s="1"/>
  <c r="B269" i="40" s="1"/>
  <c r="B265" i="40"/>
  <c r="E271" i="40" s="1"/>
  <c r="BU27" i="31"/>
  <c r="AC27" i="31"/>
  <c r="C512" i="32" s="1"/>
  <c r="E424" i="42"/>
  <c r="E410" i="41"/>
  <c r="BG38" i="33"/>
  <c r="C128" i="41"/>
  <c r="C801" i="41"/>
  <c r="BE65" i="33"/>
  <c r="AT32" i="30"/>
  <c r="E330" i="39"/>
  <c r="Y42" i="34"/>
  <c r="BI40" i="33"/>
  <c r="G438" i="41"/>
  <c r="C328" i="39"/>
  <c r="E629" i="41"/>
  <c r="B385" i="41"/>
  <c r="BL27" i="33"/>
  <c r="J269" i="41"/>
  <c r="K11" i="41"/>
  <c r="C604" i="41"/>
  <c r="E130" i="41"/>
  <c r="BG18" i="33"/>
  <c r="C275" i="39"/>
  <c r="AR27" i="30"/>
  <c r="AC23" i="31"/>
  <c r="C468" i="32" s="1"/>
  <c r="BP23" i="31"/>
  <c r="BR23" i="31" s="1"/>
  <c r="B211" i="40"/>
  <c r="E217" i="40" s="1"/>
  <c r="AB23" i="31" a="1"/>
  <c r="AB23" i="31" s="1"/>
  <c r="H23" i="31" s="1"/>
  <c r="B215" i="40" s="1"/>
  <c r="BB23" i="31" a="1"/>
  <c r="BB23" i="31" s="1"/>
  <c r="BU23" i="31"/>
  <c r="E405" i="41"/>
  <c r="H599" i="41"/>
  <c r="C32" i="42"/>
  <c r="E242" i="39"/>
  <c r="BK15" i="33"/>
  <c r="I101" i="41"/>
  <c r="F59" i="42"/>
  <c r="AN35" i="33" a="1"/>
  <c r="AN35" i="33" s="1"/>
  <c r="I35" i="33" s="1"/>
  <c r="B375" i="41" s="1"/>
  <c r="B371" i="41"/>
  <c r="BV35" i="33"/>
  <c r="AZ35" i="33" s="1"/>
  <c r="AY35" i="33" a="1"/>
  <c r="AY35" i="33" s="1"/>
  <c r="AX35" i="33" s="1"/>
  <c r="AP35" i="33" a="1"/>
  <c r="AP35" i="33" s="1"/>
  <c r="BT35" i="33"/>
  <c r="AS35" i="33"/>
  <c r="AO35" i="33"/>
  <c r="C1167" i="32" s="1"/>
  <c r="E411" i="39"/>
  <c r="AT38" i="30"/>
  <c r="BK36" i="33"/>
  <c r="I382" i="41"/>
  <c r="E242" i="41"/>
  <c r="BG26" i="33"/>
  <c r="AV32" i="30"/>
  <c r="G330" i="39"/>
  <c r="C1239" i="32"/>
  <c r="C1495" i="32"/>
  <c r="C1483" i="32"/>
  <c r="C1467" i="32"/>
  <c r="Q1145" i="32"/>
  <c r="AE84" i="34"/>
  <c r="BA47" i="33"/>
  <c r="BA19" i="33"/>
  <c r="BA59" i="33"/>
  <c r="BA17" i="33"/>
  <c r="BA57" i="33"/>
  <c r="BN41" i="33"/>
  <c r="BC41" i="33" a="1"/>
  <c r="BR41" i="33" a="1"/>
  <c r="BR29" i="33" a="1"/>
  <c r="BN25" i="33"/>
  <c r="BC25" i="33" a="1"/>
  <c r="BN31" i="33"/>
  <c r="BR39" i="33" a="1"/>
  <c r="BC27" i="33" a="1"/>
  <c r="BR23" i="33" a="1"/>
  <c r="BN19" i="33"/>
  <c r="BR27" i="33" a="1"/>
  <c r="BC31" i="33" a="1"/>
  <c r="BC37" i="33" a="1"/>
  <c r="BR25" i="33" a="1"/>
  <c r="BC21" i="33" a="1"/>
  <c r="BN21" i="33"/>
  <c r="BN29" i="33"/>
  <c r="BN27" i="33"/>
  <c r="BR35" i="33" a="1"/>
  <c r="BC33" i="33" a="1"/>
  <c r="BR17" i="33" a="1"/>
  <c r="BR37" i="33" a="1"/>
  <c r="BN37" i="33"/>
  <c r="BN35" i="33"/>
  <c r="BC9" i="33" a="1"/>
  <c r="BC39" i="33" a="1"/>
  <c r="BC17" i="33" a="1"/>
  <c r="BR31" i="33" a="1"/>
  <c r="BN23" i="33"/>
  <c r="BN39" i="33"/>
  <c r="BN15" i="33"/>
  <c r="BN9" i="33"/>
  <c r="BR21" i="33" a="1"/>
  <c r="BC11" i="33" a="1"/>
  <c r="BR33" i="33" a="1"/>
  <c r="BR11" i="33" a="1"/>
  <c r="BC23" i="33" a="1"/>
  <c r="BC29" i="33" a="1"/>
  <c r="BC15" i="33" a="1"/>
  <c r="BR15" i="33" a="1"/>
  <c r="BR9" i="33" a="1"/>
  <c r="BN11" i="33"/>
  <c r="BC19" i="33" a="1"/>
  <c r="BR13" i="33" a="1"/>
  <c r="BR19" i="33" a="1"/>
  <c r="BC35" i="33" a="1"/>
  <c r="BC41" i="33" l="1"/>
  <c r="BR41" i="33"/>
  <c r="BC35" i="33"/>
  <c r="BR19" i="33"/>
  <c r="BR13" i="33"/>
  <c r="BC19" i="33"/>
  <c r="BR9" i="33"/>
  <c r="BR15" i="33"/>
  <c r="BC15" i="33"/>
  <c r="BC29" i="33"/>
  <c r="BC23" i="33"/>
  <c r="BR11" i="33"/>
  <c r="BR33" i="33"/>
  <c r="BU33" i="33" s="1"/>
  <c r="BC11" i="33"/>
  <c r="BR21" i="33"/>
  <c r="BR31" i="33"/>
  <c r="BU31" i="33" s="1"/>
  <c r="BC17" i="33"/>
  <c r="BC39" i="33"/>
  <c r="BC9" i="33"/>
  <c r="BR37" i="33"/>
  <c r="BR17" i="33"/>
  <c r="BC33" i="33"/>
  <c r="BR35" i="33"/>
  <c r="BC21" i="33"/>
  <c r="BR25" i="33"/>
  <c r="BC37" i="33"/>
  <c r="BC31" i="33"/>
  <c r="BR27" i="33"/>
  <c r="BR23" i="33"/>
  <c r="BC27" i="33"/>
  <c r="BR39" i="33"/>
  <c r="BU39" i="33" s="1"/>
  <c r="BC25" i="33"/>
  <c r="BR29" i="33"/>
  <c r="C1229" i="32"/>
  <c r="AQ9" i="33"/>
  <c r="AA73" i="34"/>
  <c r="F3690" i="27"/>
  <c r="AQ17" i="33"/>
  <c r="C1471" i="32"/>
  <c r="C1237" i="32"/>
  <c r="C1479" i="32"/>
  <c r="Z78" i="34"/>
  <c r="C424" i="32"/>
  <c r="H592" i="27"/>
  <c r="AQ67" i="33"/>
  <c r="B593" i="27"/>
  <c r="N593" i="27"/>
  <c r="M593" i="27"/>
  <c r="C1243" i="32"/>
  <c r="C1223" i="32"/>
  <c r="C1245" i="32"/>
  <c r="C1233" i="32"/>
  <c r="C1247" i="32"/>
  <c r="C1221" i="32"/>
  <c r="C1227" i="32"/>
  <c r="C1241" i="32"/>
  <c r="BQ11" i="31"/>
  <c r="BS11" i="31" s="1"/>
  <c r="AA61" i="34"/>
  <c r="AR25" i="33"/>
  <c r="BP25" i="33"/>
  <c r="BP67" i="33"/>
  <c r="Z80" i="34"/>
  <c r="C1319" i="32"/>
  <c r="Z70" i="34"/>
  <c r="BG33" i="30"/>
  <c r="BE33" i="30" s="1"/>
  <c r="BG25" i="30"/>
  <c r="BE25" i="30" s="1"/>
  <c r="BG35" i="30"/>
  <c r="BE35" i="30" s="1"/>
  <c r="AW25" i="33"/>
  <c r="AX25" i="33"/>
  <c r="Z14" i="34"/>
  <c r="Z68" i="34"/>
  <c r="BG27" i="30"/>
  <c r="BG17" i="30"/>
  <c r="BE17" i="30" s="1"/>
  <c r="BG15" i="30"/>
  <c r="BE15" i="30" s="1"/>
  <c r="BG31" i="30"/>
  <c r="BE31" i="30" s="1"/>
  <c r="BG29" i="30"/>
  <c r="BE29" i="30" s="1"/>
  <c r="BG37" i="30"/>
  <c r="BE37" i="30" s="1"/>
  <c r="BG23" i="30"/>
  <c r="BE23" i="30" s="1"/>
  <c r="BG13" i="30"/>
  <c r="BE13" i="30" s="1"/>
  <c r="BE27" i="30"/>
  <c r="C1329" i="32"/>
  <c r="AX67" i="33"/>
  <c r="C1331" i="32"/>
  <c r="C683" i="32"/>
  <c r="C675" i="32"/>
  <c r="AA31" i="34"/>
  <c r="BU41" i="33"/>
  <c r="AV43" i="33"/>
  <c r="H461" i="41"/>
  <c r="Z60" i="34"/>
  <c r="AR29" i="33"/>
  <c r="BR15" i="31"/>
  <c r="BS15" i="31" s="1"/>
  <c r="C1339" i="32"/>
  <c r="C1301" i="32"/>
  <c r="AR31" i="33"/>
  <c r="C1315" i="32"/>
  <c r="C1333" i="32"/>
  <c r="C1303" i="32"/>
  <c r="C1335" i="32"/>
  <c r="C1311" i="32"/>
  <c r="C1313" i="32"/>
  <c r="C1323" i="32"/>
  <c r="C1337" i="32"/>
  <c r="AV67" i="33"/>
  <c r="C1325" i="32"/>
  <c r="BU57" i="33"/>
  <c r="BU27" i="33"/>
  <c r="Z77" i="34"/>
  <c r="C324" i="32"/>
  <c r="C939" i="32"/>
  <c r="C332" i="32"/>
  <c r="C851" i="32"/>
  <c r="AQ41" i="33"/>
  <c r="C1183" i="32"/>
  <c r="C1211" i="32"/>
  <c r="BU65" i="33"/>
  <c r="C699" i="32"/>
  <c r="C833" i="32"/>
  <c r="C687" i="32"/>
  <c r="C827" i="32"/>
  <c r="C855" i="32"/>
  <c r="H97" i="41"/>
  <c r="C1635" i="32"/>
  <c r="AA82" i="34"/>
  <c r="C1643" i="32"/>
  <c r="C1647" i="32"/>
  <c r="C887" i="32"/>
  <c r="C853" i="32"/>
  <c r="C859" i="32"/>
  <c r="C326" i="32"/>
  <c r="C661" i="32"/>
  <c r="C841" i="32"/>
  <c r="BQ13" i="31"/>
  <c r="BS13" i="31" s="1"/>
  <c r="C689" i="32"/>
  <c r="C829" i="32"/>
  <c r="C685" i="32"/>
  <c r="C1215" i="32"/>
  <c r="C1201" i="32"/>
  <c r="C867" i="32"/>
  <c r="C334" i="32"/>
  <c r="C695" i="32"/>
  <c r="C857" i="32"/>
  <c r="AA40" i="34"/>
  <c r="C1477" i="32"/>
  <c r="AC9" i="30"/>
  <c r="C12" i="32" s="1"/>
  <c r="C1089" i="32"/>
  <c r="C1469" i="32"/>
  <c r="C1259" i="32"/>
  <c r="C1253" i="32"/>
  <c r="BP31" i="33"/>
  <c r="Z87" i="34"/>
  <c r="C1067" i="32"/>
  <c r="C1481" i="32"/>
  <c r="AA66" i="34"/>
  <c r="AQ37" i="33"/>
  <c r="BD25" i="33"/>
  <c r="C877" i="32"/>
  <c r="AW19" i="33"/>
  <c r="C1097" i="32"/>
  <c r="C1493" i="32"/>
  <c r="C1497" i="32"/>
  <c r="C1499" i="32"/>
  <c r="C1181" i="32"/>
  <c r="AA86" i="34"/>
  <c r="Z53" i="34"/>
  <c r="Z19" i="34"/>
  <c r="C1189" i="32"/>
  <c r="BU45" i="33"/>
  <c r="AA21" i="34"/>
  <c r="AA20" i="34"/>
  <c r="Z41" i="34"/>
  <c r="H293" i="41"/>
  <c r="C1143" i="32"/>
  <c r="C584" i="32"/>
  <c r="C911" i="32"/>
  <c r="C1157" i="32"/>
  <c r="C903" i="32"/>
  <c r="AA49" i="34"/>
  <c r="C869" i="32"/>
  <c r="C899" i="32"/>
  <c r="AA43" i="34"/>
  <c r="C897" i="32"/>
  <c r="C1767" i="32"/>
  <c r="L1767" i="32" s="1"/>
  <c r="M1767" i="32" s="1" a="1"/>
  <c r="M1767" i="32" s="1"/>
  <c r="D1767" i="32" s="1"/>
  <c r="C1171" i="32"/>
  <c r="BP43" i="33"/>
  <c r="AC11" i="30"/>
  <c r="C46" i="32" s="1"/>
  <c r="AA30" i="34"/>
  <c r="BP9" i="33"/>
  <c r="C1655" i="32"/>
  <c r="C338" i="32"/>
  <c r="BU17" i="33"/>
  <c r="C1197" i="32"/>
  <c r="C1651" i="32"/>
  <c r="Z18" i="34"/>
  <c r="C893" i="32"/>
  <c r="C871" i="32"/>
  <c r="AW65" i="33"/>
  <c r="C1185" i="32"/>
  <c r="C336" i="32"/>
  <c r="C1621" i="32"/>
  <c r="C873" i="32"/>
  <c r="C875" i="32"/>
  <c r="AV65" i="33"/>
  <c r="C1213" i="32"/>
  <c r="C865" i="32"/>
  <c r="C879" i="32"/>
  <c r="C1195" i="32"/>
  <c r="Z34" i="34"/>
  <c r="BP39" i="33"/>
  <c r="C1177" i="32"/>
  <c r="Z57" i="34"/>
  <c r="C590" i="32"/>
  <c r="Z75" i="34"/>
  <c r="C592" i="32"/>
  <c r="C925" i="32"/>
  <c r="C901" i="32"/>
  <c r="C614" i="32"/>
  <c r="C1491" i="32"/>
  <c r="C1485" i="32"/>
  <c r="Z62" i="34"/>
  <c r="C582" i="32"/>
  <c r="H797" i="41"/>
  <c r="C594" i="32"/>
  <c r="BC35" i="31"/>
  <c r="BT35" i="31" s="1"/>
  <c r="C929" i="32"/>
  <c r="C578" i="32"/>
  <c r="Z59" i="34"/>
  <c r="BU67" i="33"/>
  <c r="BP33" i="33"/>
  <c r="BU11" i="33"/>
  <c r="AA26" i="34"/>
  <c r="AX19" i="33"/>
  <c r="C1251" i="32"/>
  <c r="BU63" i="33"/>
  <c r="H517" i="41"/>
  <c r="BP45" i="33"/>
  <c r="H545" i="41"/>
  <c r="BU43" i="33"/>
  <c r="H349" i="41"/>
  <c r="BP15" i="33"/>
  <c r="H237" i="41"/>
  <c r="H489" i="41"/>
  <c r="BQ35" i="31"/>
  <c r="BS35" i="31" s="1"/>
  <c r="C923" i="32"/>
  <c r="C825" i="32"/>
  <c r="C821" i="32"/>
  <c r="Z63" i="34"/>
  <c r="C679" i="32"/>
  <c r="C677" i="32"/>
  <c r="C568" i="32"/>
  <c r="C849" i="32"/>
  <c r="H433" i="41"/>
  <c r="C917" i="32"/>
  <c r="C935" i="32"/>
  <c r="AQ11" i="30"/>
  <c r="AA55" i="34"/>
  <c r="AA81" i="34"/>
  <c r="C785" i="32"/>
  <c r="AQ23" i="33"/>
  <c r="C811" i="32"/>
  <c r="AQ29" i="30"/>
  <c r="AW17" i="33"/>
  <c r="Z44" i="34"/>
  <c r="BP53" i="33"/>
  <c r="C809" i="32"/>
  <c r="C789" i="32"/>
  <c r="AA12" i="34"/>
  <c r="AV17" i="33"/>
  <c r="C1803" i="32"/>
  <c r="L1803" i="32" s="1"/>
  <c r="N1803" i="32" s="1" a="1"/>
  <c r="N1803" i="32" s="1"/>
  <c r="E1803" i="32" s="1"/>
  <c r="C625" i="32"/>
  <c r="C1783" i="32"/>
  <c r="L1783" i="32" s="1"/>
  <c r="O1783" i="32" s="1" a="1"/>
  <c r="O1783" i="32" s="1"/>
  <c r="C1751" i="32"/>
  <c r="L1751" i="32" s="1"/>
  <c r="M1751" i="32" s="1" a="1"/>
  <c r="M1751" i="32" s="1"/>
  <c r="D1751" i="32" s="1"/>
  <c r="C643" i="32"/>
  <c r="C1747" i="32"/>
  <c r="L1747" i="32" s="1"/>
  <c r="M1747" i="32" s="1" a="1"/>
  <c r="M1747" i="32" s="1"/>
  <c r="D1747" i="32" s="1"/>
  <c r="C1763" i="32"/>
  <c r="L1763" i="32" s="1"/>
  <c r="N1763" i="32" s="1" a="1"/>
  <c r="N1763" i="32" s="1"/>
  <c r="E1763" i="32" s="1"/>
  <c r="H181" i="41"/>
  <c r="C1345" i="32"/>
  <c r="C843" i="32"/>
  <c r="C823" i="32"/>
  <c r="C673" i="32"/>
  <c r="C671" i="32"/>
  <c r="C845" i="32"/>
  <c r="BU59" i="33"/>
  <c r="BU51" i="33"/>
  <c r="C1161" i="32"/>
  <c r="C1777" i="32"/>
  <c r="L1777" i="32" s="1"/>
  <c r="N1777" i="32" s="1" a="1"/>
  <c r="N1777" i="32" s="1"/>
  <c r="E1777" i="32" s="1"/>
  <c r="AR43" i="33"/>
  <c r="C627" i="32"/>
  <c r="C921" i="32"/>
  <c r="C1557" i="32"/>
  <c r="C637" i="32"/>
  <c r="AA9" i="34"/>
  <c r="C1589" i="32"/>
  <c r="C645" i="32"/>
  <c r="C913" i="32"/>
  <c r="C919" i="32"/>
  <c r="C629" i="32"/>
  <c r="C1801" i="32"/>
  <c r="L1801" i="32" s="1"/>
  <c r="O1801" i="32" s="1" a="1"/>
  <c r="O1801" i="32" s="1"/>
  <c r="BU29" i="33"/>
  <c r="BC33" i="31"/>
  <c r="BT33" i="31" s="1"/>
  <c r="BU21" i="33"/>
  <c r="C787" i="32"/>
  <c r="C907" i="32"/>
  <c r="C330" i="32"/>
  <c r="C669" i="32"/>
  <c r="C693" i="32"/>
  <c r="AW43" i="33"/>
  <c r="C835" i="32"/>
  <c r="BP61" i="33"/>
  <c r="AQ57" i="33"/>
  <c r="AA22" i="34"/>
  <c r="C1163" i="32"/>
  <c r="C1555" i="32"/>
  <c r="C1569" i="32"/>
  <c r="AQ27" i="33"/>
  <c r="C1135" i="32"/>
  <c r="C1707" i="32"/>
  <c r="L1707" i="32" s="1"/>
  <c r="M1707" i="32" s="1" a="1"/>
  <c r="M1707" i="32" s="1"/>
  <c r="D1707" i="32" s="1"/>
  <c r="Z16" i="34"/>
  <c r="C1731" i="32"/>
  <c r="L1731" i="32" s="1"/>
  <c r="M1731" i="32" s="1" a="1"/>
  <c r="M1731" i="32" s="1"/>
  <c r="D1731" i="32" s="1"/>
  <c r="BR31" i="31"/>
  <c r="BS31" i="31" s="1"/>
  <c r="C386" i="32"/>
  <c r="C1577" i="32"/>
  <c r="Z79" i="34"/>
  <c r="C1149" i="32"/>
  <c r="C1155" i="32"/>
  <c r="C388" i="32"/>
  <c r="C1373" i="32"/>
  <c r="C1165" i="32"/>
  <c r="C1147" i="32"/>
  <c r="C977" i="32"/>
  <c r="C1047" i="32"/>
  <c r="C1269" i="32"/>
  <c r="C392" i="32"/>
  <c r="C1729" i="32"/>
  <c r="L1729" i="32" s="1"/>
  <c r="O1729" i="32" s="1" a="1"/>
  <c r="O1729" i="32" s="1"/>
  <c r="C1285" i="32"/>
  <c r="BQ17" i="31"/>
  <c r="BS17" i="31" s="1"/>
  <c r="C705" i="32"/>
  <c r="C398" i="32"/>
  <c r="C1561" i="32"/>
  <c r="C1709" i="32"/>
  <c r="L1709" i="32" s="1"/>
  <c r="N1709" i="32" s="1" a="1"/>
  <c r="N1709" i="32" s="1"/>
  <c r="E1709" i="32" s="1"/>
  <c r="C1559" i="32"/>
  <c r="C681" i="32"/>
  <c r="AA15" i="34"/>
  <c r="C572" i="32"/>
  <c r="C847" i="32"/>
  <c r="BU15" i="33"/>
  <c r="H601" i="41"/>
  <c r="BP65" i="33"/>
  <c r="BD45" i="33"/>
  <c r="AW33" i="33"/>
  <c r="C1291" i="32"/>
  <c r="C725" i="32"/>
  <c r="C1289" i="32"/>
  <c r="C1055" i="32"/>
  <c r="C739" i="32"/>
  <c r="AW59" i="33"/>
  <c r="C1265" i="32"/>
  <c r="C1059" i="32"/>
  <c r="C715" i="32"/>
  <c r="C452" i="32"/>
  <c r="C1585" i="32"/>
  <c r="C1399" i="32"/>
  <c r="C604" i="32"/>
  <c r="C1715" i="32"/>
  <c r="L1715" i="32" s="1"/>
  <c r="M1715" i="32" s="1" a="1"/>
  <c r="M1715" i="32" s="1"/>
  <c r="D1715" i="32" s="1"/>
  <c r="C657" i="32"/>
  <c r="AX59" i="33"/>
  <c r="C961" i="32"/>
  <c r="C1279" i="32"/>
  <c r="C1263" i="32"/>
  <c r="C1029" i="32"/>
  <c r="C1043" i="32"/>
  <c r="C713" i="32"/>
  <c r="H629" i="41"/>
  <c r="C1593" i="32"/>
  <c r="C1403" i="32"/>
  <c r="C659" i="32"/>
  <c r="C979" i="32"/>
  <c r="C1295" i="32"/>
  <c r="C1037" i="32"/>
  <c r="AW11" i="33"/>
  <c r="C1591" i="32"/>
  <c r="C1417" i="32"/>
  <c r="C1711" i="32"/>
  <c r="L1711" i="32" s="1"/>
  <c r="O1711" i="32" s="1" a="1"/>
  <c r="O1711" i="32" s="1"/>
  <c r="C1809" i="32"/>
  <c r="L1809" i="32" s="1"/>
  <c r="O1809" i="32" s="1" a="1"/>
  <c r="O1809" i="32" s="1"/>
  <c r="C945" i="32"/>
  <c r="C1287" i="32"/>
  <c r="C1281" i="32"/>
  <c r="C1057" i="32"/>
  <c r="C723" i="32"/>
  <c r="C733" i="32"/>
  <c r="C410" i="32"/>
  <c r="C975" i="32"/>
  <c r="C402" i="32"/>
  <c r="C951" i="32"/>
  <c r="C1583" i="32"/>
  <c r="C1277" i="32"/>
  <c r="C1023" i="32"/>
  <c r="BU35" i="33"/>
  <c r="BU55" i="33"/>
  <c r="AQ35" i="30"/>
  <c r="BC9" i="31"/>
  <c r="BD21" i="33"/>
  <c r="C1271" i="32"/>
  <c r="C1039" i="32"/>
  <c r="AQ15" i="33"/>
  <c r="C1267" i="32"/>
  <c r="C404" i="32"/>
  <c r="C1393" i="32"/>
  <c r="C947" i="32"/>
  <c r="C737" i="32"/>
  <c r="C731" i="32"/>
  <c r="C396" i="32"/>
  <c r="C1599" i="32"/>
  <c r="AV33" i="33"/>
  <c r="C1273" i="32"/>
  <c r="C1051" i="32"/>
  <c r="C735" i="32"/>
  <c r="C701" i="32"/>
  <c r="BU37" i="33"/>
  <c r="BD11" i="33"/>
  <c r="BC23" i="31"/>
  <c r="BT23" i="31" s="1"/>
  <c r="C1105" i="32"/>
  <c r="C1363" i="32"/>
  <c r="C1173" i="32"/>
  <c r="C1341" i="32"/>
  <c r="AA52" i="34"/>
  <c r="C456" i="32"/>
  <c r="AA32" i="34"/>
  <c r="C390" i="32"/>
  <c r="BU61" i="33"/>
  <c r="BU9" i="33"/>
  <c r="C1673" i="32"/>
  <c r="L1673" i="32" s="1"/>
  <c r="N1673" i="32" s="1" a="1"/>
  <c r="N1673" i="32" s="1"/>
  <c r="E1673" i="32" s="1"/>
  <c r="C1685" i="32"/>
  <c r="L1685" i="32" s="1"/>
  <c r="M1685" i="32" s="1" a="1"/>
  <c r="M1685" i="32" s="1"/>
  <c r="D1685" i="32" s="1"/>
  <c r="C747" i="32"/>
  <c r="C1687" i="32"/>
  <c r="L1687" i="32" s="1"/>
  <c r="O1687" i="32" s="1" a="1"/>
  <c r="O1687" i="32" s="1"/>
  <c r="C1739" i="32"/>
  <c r="L1739" i="32" s="1"/>
  <c r="O1739" i="32" s="1" a="1"/>
  <c r="O1739" i="32" s="1"/>
  <c r="C1683" i="32"/>
  <c r="L1683" i="32" s="1"/>
  <c r="N1683" i="32" s="1" a="1"/>
  <c r="N1683" i="32" s="1"/>
  <c r="E1683" i="32" s="1"/>
  <c r="AA10" i="34"/>
  <c r="C1693" i="32"/>
  <c r="L1693" i="32" s="1"/>
  <c r="O1693" i="32" s="1" a="1"/>
  <c r="O1693" i="32" s="1"/>
  <c r="C755" i="32"/>
  <c r="C743" i="32"/>
  <c r="C1679" i="32"/>
  <c r="L1679" i="32" s="1"/>
  <c r="O1679" i="32" s="1" a="1"/>
  <c r="O1679" i="32" s="1"/>
  <c r="C1701" i="32"/>
  <c r="L1701" i="32" s="1"/>
  <c r="N1701" i="32" s="1" a="1"/>
  <c r="N1701" i="32" s="1"/>
  <c r="E1701" i="32" s="1"/>
  <c r="Z39" i="34"/>
  <c r="BQ23" i="31"/>
  <c r="BS23" i="31" s="1"/>
  <c r="C1667" i="32"/>
  <c r="L1667" i="32" s="1"/>
  <c r="M1667" i="32" s="1" a="1"/>
  <c r="M1667" i="32" s="1"/>
  <c r="D1667" i="32" s="1"/>
  <c r="C1413" i="32"/>
  <c r="C949" i="32"/>
  <c r="C1035" i="32"/>
  <c r="C721" i="32"/>
  <c r="C538" i="32"/>
  <c r="H657" i="41"/>
  <c r="BR37" i="31"/>
  <c r="BS37" i="31" s="1"/>
  <c r="C1419" i="32"/>
  <c r="C400" i="32"/>
  <c r="C504" i="32"/>
  <c r="C1367" i="32"/>
  <c r="C727" i="32"/>
  <c r="AX11" i="33"/>
  <c r="C406" i="32"/>
  <c r="C1601" i="32"/>
  <c r="AA27" i="34"/>
  <c r="C1383" i="32"/>
  <c r="C498" i="32"/>
  <c r="C1379" i="32"/>
  <c r="C971" i="32"/>
  <c r="C1045" i="32"/>
  <c r="C1031" i="32"/>
  <c r="C717" i="32"/>
  <c r="C719" i="32"/>
  <c r="C703" i="32"/>
  <c r="C530" i="32"/>
  <c r="C548" i="32"/>
  <c r="H769" i="41"/>
  <c r="C1595" i="32"/>
  <c r="C1385" i="32"/>
  <c r="C709" i="32"/>
  <c r="C520" i="32"/>
  <c r="C1389" i="32"/>
  <c r="Z13" i="34"/>
  <c r="C464" i="32"/>
  <c r="C963" i="32"/>
  <c r="C1041" i="32"/>
  <c r="C707" i="32"/>
  <c r="C729" i="32"/>
  <c r="C524" i="32"/>
  <c r="C536" i="32"/>
  <c r="BD9" i="33"/>
  <c r="AQ23" i="30"/>
  <c r="BC21" i="31"/>
  <c r="BT21" i="31" s="1"/>
  <c r="BC13" i="31"/>
  <c r="BT13" i="31" s="1"/>
  <c r="BD19" i="33"/>
  <c r="AQ17" i="30"/>
  <c r="C1571" i="32"/>
  <c r="C1705" i="32"/>
  <c r="L1705" i="32" s="1"/>
  <c r="O1705" i="32" s="1" a="1"/>
  <c r="O1705" i="32" s="1"/>
  <c r="C1733" i="32"/>
  <c r="L1733" i="32" s="1"/>
  <c r="N1733" i="32" s="1" a="1"/>
  <c r="N1733" i="32" s="1"/>
  <c r="E1733" i="32" s="1"/>
  <c r="C1369" i="32"/>
  <c r="BQ33" i="31"/>
  <c r="BS33" i="31" s="1"/>
  <c r="C1663" i="32"/>
  <c r="L1663" i="32" s="1"/>
  <c r="N1663" i="32" s="1" a="1"/>
  <c r="N1663" i="32" s="1"/>
  <c r="E1663" i="32" s="1"/>
  <c r="C546" i="32"/>
  <c r="C1563" i="32"/>
  <c r="C1737" i="32"/>
  <c r="L1737" i="32" s="1"/>
  <c r="O1737" i="32" s="1" a="1"/>
  <c r="O1737" i="32" s="1"/>
  <c r="C1717" i="32"/>
  <c r="L1717" i="32" s="1"/>
  <c r="M1717" i="32" s="1" a="1"/>
  <c r="M1717" i="32" s="1"/>
  <c r="D1717" i="32" s="1"/>
  <c r="AV29" i="33"/>
  <c r="BD39" i="33"/>
  <c r="BD43" i="33"/>
  <c r="BD67" i="33"/>
  <c r="BD65" i="33"/>
  <c r="BD27" i="33"/>
  <c r="C757" i="32"/>
  <c r="C374" i="32"/>
  <c r="C1395" i="32"/>
  <c r="C1391" i="32"/>
  <c r="Z36" i="34"/>
  <c r="C378" i="32"/>
  <c r="AA58" i="34"/>
  <c r="AR61" i="33"/>
  <c r="AQ37" i="30"/>
  <c r="C1381" i="32"/>
  <c r="C1107" i="32"/>
  <c r="C1371" i="32"/>
  <c r="C1357" i="32"/>
  <c r="C1691" i="32"/>
  <c r="L1691" i="32" s="1"/>
  <c r="Z83" i="34"/>
  <c r="C544" i="32"/>
  <c r="C769" i="32"/>
  <c r="BQ25" i="31"/>
  <c r="BS25" i="31" s="1"/>
  <c r="C1409" i="32"/>
  <c r="C1405" i="32"/>
  <c r="AV47" i="33"/>
  <c r="C1541" i="32"/>
  <c r="C500" i="32"/>
  <c r="C1727" i="32"/>
  <c r="L1727" i="32" s="1"/>
  <c r="M1727" i="32" s="1" a="1"/>
  <c r="M1727" i="32" s="1"/>
  <c r="D1727" i="32" s="1"/>
  <c r="C1721" i="32"/>
  <c r="L1721" i="32" s="1"/>
  <c r="M1721" i="32" s="1" a="1"/>
  <c r="M1721" i="32" s="1"/>
  <c r="D1721" i="32" s="1"/>
  <c r="C1359" i="32"/>
  <c r="C1351" i="32"/>
  <c r="AA84" i="34"/>
  <c r="C1669" i="32"/>
  <c r="L1669" i="32" s="1"/>
  <c r="N1669" i="32" s="1" a="1"/>
  <c r="N1669" i="32" s="1"/>
  <c r="E1669" i="32" s="1"/>
  <c r="AW35" i="33"/>
  <c r="AA48" i="34"/>
  <c r="C394" i="32"/>
  <c r="C528" i="32"/>
  <c r="C540" i="32"/>
  <c r="C550" i="32"/>
  <c r="BD51" i="33"/>
  <c r="AW45" i="33"/>
  <c r="C745" i="32"/>
  <c r="AA17" i="34"/>
  <c r="BD15" i="33"/>
  <c r="C765" i="32"/>
  <c r="C767" i="32"/>
  <c r="C1387" i="32"/>
  <c r="C1129" i="32"/>
  <c r="C1681" i="32"/>
  <c r="L1681" i="32" s="1"/>
  <c r="N1681" i="32" s="1" a="1"/>
  <c r="N1681" i="32" s="1"/>
  <c r="E1681" i="32" s="1"/>
  <c r="C552" i="32"/>
  <c r="C749" i="32"/>
  <c r="C1397" i="32"/>
  <c r="AW47" i="33"/>
  <c r="C534" i="32"/>
  <c r="C773" i="32"/>
  <c r="C1401" i="32"/>
  <c r="C506" i="32"/>
  <c r="C1719" i="32"/>
  <c r="L1719" i="32" s="1"/>
  <c r="M1719" i="32" s="1" a="1"/>
  <c r="M1719" i="32" s="1"/>
  <c r="D1719" i="32" s="1"/>
  <c r="C1353" i="32"/>
  <c r="C1375" i="32"/>
  <c r="C1675" i="32"/>
  <c r="L1675" i="32" s="1"/>
  <c r="O1675" i="32" s="1" a="1"/>
  <c r="O1675" i="32" s="1"/>
  <c r="AA67" i="34"/>
  <c r="C384" i="32"/>
  <c r="C554" i="32"/>
  <c r="C358" i="32"/>
  <c r="C372" i="32"/>
  <c r="BC37" i="31"/>
  <c r="BT37" i="31" s="1"/>
  <c r="BD31" i="33"/>
  <c r="BD47" i="33"/>
  <c r="AQ27" i="30"/>
  <c r="BU53" i="33"/>
  <c r="BD37" i="33"/>
  <c r="AV35" i="33"/>
  <c r="H265" i="41"/>
  <c r="AQ31" i="30"/>
  <c r="BP37" i="33"/>
  <c r="BD35" i="33"/>
  <c r="AV27" i="33"/>
  <c r="AW27" i="33"/>
  <c r="C364" i="32"/>
  <c r="C1519" i="32"/>
  <c r="BP35" i="33"/>
  <c r="BD53" i="33"/>
  <c r="C1507" i="32"/>
  <c r="BD61" i="33"/>
  <c r="C370" i="32"/>
  <c r="C1527" i="32"/>
  <c r="C741" i="32"/>
  <c r="C502" i="32"/>
  <c r="AA33" i="34"/>
  <c r="C777" i="32"/>
  <c r="C496" i="32"/>
  <c r="AA71" i="34"/>
  <c r="BC25" i="31"/>
  <c r="BT25" i="31" s="1"/>
  <c r="AQ25" i="30"/>
  <c r="H741" i="41"/>
  <c r="H41" i="41"/>
  <c r="H209" i="41"/>
  <c r="C508" i="32"/>
  <c r="C771" i="32"/>
  <c r="Z29" i="34"/>
  <c r="C759" i="32"/>
  <c r="C356" i="32"/>
  <c r="AQ33" i="33"/>
  <c r="C1521" i="32"/>
  <c r="C763" i="32"/>
  <c r="C1377" i="32"/>
  <c r="C1151" i="32"/>
  <c r="AX29" i="33"/>
  <c r="BD23" i="33"/>
  <c r="BC29" i="31"/>
  <c r="BT29" i="31" s="1"/>
  <c r="BU13" i="33"/>
  <c r="K347" i="41"/>
  <c r="K571" i="41"/>
  <c r="C464" i="41"/>
  <c r="AO49" i="33"/>
  <c r="C1455" i="32" s="1"/>
  <c r="BT49" i="33"/>
  <c r="BU49" i="33" s="1"/>
  <c r="AS49" i="33"/>
  <c r="G567" i="41"/>
  <c r="H573" i="41" s="1"/>
  <c r="BP57" i="33"/>
  <c r="BP17" i="33"/>
  <c r="B573" i="41"/>
  <c r="B581" i="41"/>
  <c r="BP59" i="33"/>
  <c r="BP19" i="33"/>
  <c r="BP47" i="33"/>
  <c r="AV57" i="33"/>
  <c r="AX57" i="33"/>
  <c r="N562" i="32" a="1"/>
  <c r="N562" i="32" s="1"/>
  <c r="E562" i="32" s="1"/>
  <c r="O562" i="32" a="1"/>
  <c r="O562" i="32" s="1"/>
  <c r="AX23" i="33"/>
  <c r="AW23" i="33"/>
  <c r="C1133" i="32"/>
  <c r="C1127" i="32"/>
  <c r="C462" i="32"/>
  <c r="C566" i="32"/>
  <c r="C1517" i="32"/>
  <c r="C1523" i="32"/>
  <c r="C514" i="32"/>
  <c r="C510" i="32"/>
  <c r="BD63" i="33"/>
  <c r="BD55" i="33"/>
  <c r="BD29" i="33"/>
  <c r="Z25" i="34"/>
  <c r="AA25" i="34"/>
  <c r="C1113" i="32"/>
  <c r="C460" i="32"/>
  <c r="C1511" i="32"/>
  <c r="C1525" i="32"/>
  <c r="AV63" i="33"/>
  <c r="AX63" i="33"/>
  <c r="AW63" i="33"/>
  <c r="AQ21" i="33"/>
  <c r="AR21" i="33"/>
  <c r="AQ15" i="30"/>
  <c r="C1137" i="32"/>
  <c r="C1109" i="32"/>
  <c r="C1123" i="32"/>
  <c r="C1125" i="32"/>
  <c r="C1117" i="32"/>
  <c r="C1513" i="32"/>
  <c r="AV53" i="33"/>
  <c r="AW53" i="33"/>
  <c r="C1119" i="32"/>
  <c r="AA56" i="34"/>
  <c r="C1537" i="32"/>
  <c r="C1121" i="32"/>
  <c r="C1111" i="32"/>
  <c r="AV45" i="33"/>
  <c r="C1509" i="32"/>
  <c r="BC11" i="31"/>
  <c r="BT11" i="31" s="1"/>
  <c r="BD57" i="33"/>
  <c r="BP55" i="33"/>
  <c r="C466" i="32"/>
  <c r="C474" i="32"/>
  <c r="C470" i="32"/>
  <c r="C458" i="32"/>
  <c r="C1539" i="32"/>
  <c r="C1505" i="32"/>
  <c r="C1515" i="32"/>
  <c r="C1529" i="32"/>
  <c r="C1533" i="32"/>
  <c r="C1535" i="32"/>
  <c r="C1531" i="32"/>
  <c r="Z64" i="34"/>
  <c r="AA64" i="34"/>
  <c r="C1103" i="32"/>
  <c r="AV55" i="33"/>
  <c r="AW55" i="33"/>
  <c r="AX55" i="33"/>
  <c r="Z23" i="34"/>
  <c r="AA23" i="34"/>
  <c r="AW15" i="33"/>
  <c r="AX15" i="33"/>
  <c r="AV15" i="33"/>
  <c r="C1139" i="32"/>
  <c r="Z42" i="34"/>
  <c r="AA42" i="34"/>
  <c r="AA69" i="34"/>
  <c r="Z69" i="34"/>
  <c r="C560" i="32"/>
  <c r="C558" i="32"/>
  <c r="C556" i="32"/>
  <c r="C564" i="32"/>
  <c r="C570" i="32"/>
  <c r="C574" i="32"/>
  <c r="C1131" i="32"/>
  <c r="C1115" i="32"/>
  <c r="C472" i="32"/>
  <c r="C1503" i="32"/>
  <c r="AQ63" i="33"/>
  <c r="AR63" i="33"/>
  <c r="C1343" i="32"/>
  <c r="C1347" i="32"/>
  <c r="C1355" i="32"/>
  <c r="C1361" i="32"/>
  <c r="C1365" i="32"/>
  <c r="C1549" i="32"/>
  <c r="C1573" i="32"/>
  <c r="C1543" i="32"/>
  <c r="C1553" i="32"/>
  <c r="C1575" i="32"/>
  <c r="C1565" i="32"/>
  <c r="C1551" i="32"/>
  <c r="C1567" i="32"/>
  <c r="C1547" i="32"/>
  <c r="C1545" i="32"/>
  <c r="Z51" i="34"/>
  <c r="AA51" i="34"/>
  <c r="C352" i="32"/>
  <c r="C346" i="32"/>
  <c r="C344" i="32"/>
  <c r="C350" i="32"/>
  <c r="C340" i="32"/>
  <c r="C348" i="32"/>
  <c r="C354" i="32"/>
  <c r="Z38" i="34"/>
  <c r="AA38" i="34"/>
  <c r="AQ13" i="30"/>
  <c r="AQ19" i="30"/>
  <c r="BP29" i="33"/>
  <c r="C927" i="32"/>
  <c r="C937" i="32"/>
  <c r="C909" i="32"/>
  <c r="C915" i="32"/>
  <c r="C931" i="32"/>
  <c r="C933" i="32"/>
  <c r="AX41" i="33"/>
  <c r="AV41" i="33"/>
  <c r="AW41" i="33"/>
  <c r="Z46" i="34"/>
  <c r="AA46" i="34"/>
  <c r="H825" i="41"/>
  <c r="C1473" i="32"/>
  <c r="C1463" i="32"/>
  <c r="C1489" i="32"/>
  <c r="C1487" i="32"/>
  <c r="C1475" i="32"/>
  <c r="C1461" i="32"/>
  <c r="Z37" i="34"/>
  <c r="AA37" i="34"/>
  <c r="Z50" i="34"/>
  <c r="AA50" i="34"/>
  <c r="AA65" i="34"/>
  <c r="Z65" i="34"/>
  <c r="C837" i="32"/>
  <c r="C831" i="32"/>
  <c r="C1699" i="32"/>
  <c r="L1699" i="32" s="1"/>
  <c r="C1665" i="32"/>
  <c r="L1665" i="32" s="1"/>
  <c r="C1671" i="32"/>
  <c r="L1671" i="32" s="1"/>
  <c r="C1695" i="32"/>
  <c r="L1695" i="32" s="1"/>
  <c r="C1697" i="32"/>
  <c r="L1697" i="32" s="1"/>
  <c r="C1689" i="32"/>
  <c r="L1689" i="32" s="1"/>
  <c r="C1661" i="32"/>
  <c r="L1661" i="32" s="1"/>
  <c r="C408" i="32"/>
  <c r="C414" i="32"/>
  <c r="C588" i="32"/>
  <c r="C580" i="32"/>
  <c r="C586" i="32"/>
  <c r="C1307" i="32"/>
  <c r="C1317" i="32"/>
  <c r="C1327" i="32"/>
  <c r="C1321" i="32"/>
  <c r="C1309" i="32"/>
  <c r="AQ51" i="33"/>
  <c r="AR51" i="33"/>
  <c r="AA24" i="34"/>
  <c r="Z24" i="34"/>
  <c r="AR35" i="33"/>
  <c r="AQ35" i="33"/>
  <c r="AQ53" i="33"/>
  <c r="AR53" i="33"/>
  <c r="BC31" i="31"/>
  <c r="BT31" i="31" s="1"/>
  <c r="BP63" i="33"/>
  <c r="C416" i="32"/>
  <c r="C426" i="32"/>
  <c r="C420" i="32"/>
  <c r="C430" i="32"/>
  <c r="C434" i="32"/>
  <c r="C418" i="32"/>
  <c r="C432" i="32"/>
  <c r="C422" i="32"/>
  <c r="AQ9" i="30"/>
  <c r="AA54" i="34"/>
  <c r="Z54" i="34"/>
  <c r="C691" i="32"/>
  <c r="C697" i="32"/>
  <c r="C665" i="32"/>
  <c r="C663" i="32"/>
  <c r="C316" i="32"/>
  <c r="C322" i="32"/>
  <c r="C318" i="32"/>
  <c r="C320" i="32"/>
  <c r="Z47" i="34"/>
  <c r="AA47" i="34"/>
  <c r="C1605" i="32"/>
  <c r="C1603" i="32"/>
  <c r="C1611" i="32"/>
  <c r="C1613" i="32"/>
  <c r="C1597" i="32"/>
  <c r="C1581" i="32"/>
  <c r="C1609" i="32"/>
  <c r="C1615" i="32"/>
  <c r="C1619" i="32"/>
  <c r="C1587" i="32"/>
  <c r="C1607" i="32"/>
  <c r="C779" i="32"/>
  <c r="C751" i="32"/>
  <c r="C775" i="32"/>
  <c r="C753" i="32"/>
  <c r="C943" i="32"/>
  <c r="C973" i="32"/>
  <c r="C955" i="32"/>
  <c r="C959" i="32"/>
  <c r="C967" i="32"/>
  <c r="C969" i="32"/>
  <c r="C953" i="32"/>
  <c r="C965" i="32"/>
  <c r="C957" i="32"/>
  <c r="C885" i="32"/>
  <c r="C895" i="32"/>
  <c r="C883" i="32"/>
  <c r="C889" i="32"/>
  <c r="C861" i="32"/>
  <c r="C881" i="32"/>
  <c r="C863" i="32"/>
  <c r="C1187" i="32"/>
  <c r="C1205" i="32"/>
  <c r="C1193" i="32"/>
  <c r="C1207" i="32"/>
  <c r="C1199" i="32"/>
  <c r="C1209" i="32"/>
  <c r="C1191" i="32"/>
  <c r="C1219" i="32"/>
  <c r="C1203" i="32"/>
  <c r="H125" i="41"/>
  <c r="C815" i="32"/>
  <c r="C783" i="32"/>
  <c r="C791" i="32"/>
  <c r="C805" i="32"/>
  <c r="C795" i="32"/>
  <c r="C807" i="32"/>
  <c r="C781" i="32"/>
  <c r="C813" i="32"/>
  <c r="C799" i="32"/>
  <c r="C803" i="32"/>
  <c r="C793" i="32"/>
  <c r="C797" i="32"/>
  <c r="C801" i="32"/>
  <c r="C819" i="32"/>
  <c r="AQ39" i="33"/>
  <c r="AR39" i="33"/>
  <c r="H713" i="41"/>
  <c r="C1639" i="32"/>
  <c r="C1627" i="32"/>
  <c r="C1641" i="32"/>
  <c r="C1657" i="32"/>
  <c r="C1625" i="32"/>
  <c r="C1629" i="32"/>
  <c r="C1645" i="32"/>
  <c r="C1659" i="32"/>
  <c r="C1637" i="32"/>
  <c r="C1623" i="32"/>
  <c r="C1653" i="32"/>
  <c r="C1631" i="32"/>
  <c r="C1633" i="32"/>
  <c r="BC15" i="31"/>
  <c r="BT15" i="31" s="1"/>
  <c r="AX49" i="33"/>
  <c r="AW49" i="33"/>
  <c r="AV49" i="33"/>
  <c r="BR21" i="31"/>
  <c r="BQ21" i="31"/>
  <c r="C1231" i="32"/>
  <c r="C1257" i="32"/>
  <c r="C1255" i="32"/>
  <c r="C1235" i="32"/>
  <c r="C1249" i="32"/>
  <c r="H321" i="41"/>
  <c r="Z11" i="34"/>
  <c r="AA11" i="34"/>
  <c r="AQ65" i="33"/>
  <c r="AR65" i="33"/>
  <c r="C516" i="32"/>
  <c r="C526" i="32"/>
  <c r="C532" i="32"/>
  <c r="C522" i="32"/>
  <c r="BQ9" i="31"/>
  <c r="BR9" i="31"/>
  <c r="C494" i="32"/>
  <c r="C476" i="32"/>
  <c r="C484" i="32"/>
  <c r="C492" i="32"/>
  <c r="C478" i="32"/>
  <c r="C482" i="32"/>
  <c r="C486" i="32"/>
  <c r="C490" i="32"/>
  <c r="C488" i="32"/>
  <c r="C480" i="32"/>
  <c r="AQ33" i="30"/>
  <c r="AW21" i="33"/>
  <c r="AV21" i="33"/>
  <c r="AX21" i="33"/>
  <c r="BP21" i="33"/>
  <c r="AQ59" i="33"/>
  <c r="AR59" i="33"/>
  <c r="C1785" i="32"/>
  <c r="L1785" i="32" s="1"/>
  <c r="C1807" i="32"/>
  <c r="L1807" i="32" s="1"/>
  <c r="C1781" i="32"/>
  <c r="L1781" i="32" s="1"/>
  <c r="C1793" i="32"/>
  <c r="L1793" i="32" s="1"/>
  <c r="C1819" i="32"/>
  <c r="L1819" i="32" s="1"/>
  <c r="C1799" i="32"/>
  <c r="L1799" i="32" s="1"/>
  <c r="C1805" i="32"/>
  <c r="L1805" i="32" s="1"/>
  <c r="C1813" i="32"/>
  <c r="L1813" i="32" s="1"/>
  <c r="C1815" i="32"/>
  <c r="L1815" i="32" s="1"/>
  <c r="C1797" i="32"/>
  <c r="L1797" i="32" s="1"/>
  <c r="C1789" i="32"/>
  <c r="L1789" i="32" s="1"/>
  <c r="C1787" i="32"/>
  <c r="L1787" i="32" s="1"/>
  <c r="C1811" i="32"/>
  <c r="L1811" i="32" s="1"/>
  <c r="C1817" i="32"/>
  <c r="L1817" i="32" s="1"/>
  <c r="C1795" i="32"/>
  <c r="L1795" i="32" s="1"/>
  <c r="AW51" i="33"/>
  <c r="AV51" i="33"/>
  <c r="AX51" i="33"/>
  <c r="C1773" i="32"/>
  <c r="L1773" i="32" s="1"/>
  <c r="C1761" i="32"/>
  <c r="L1761" i="32" s="1"/>
  <c r="C1745" i="32"/>
  <c r="L1745" i="32" s="1"/>
  <c r="C1769" i="32"/>
  <c r="L1769" i="32" s="1"/>
  <c r="C1775" i="32"/>
  <c r="L1775" i="32" s="1"/>
  <c r="C1771" i="32"/>
  <c r="L1771" i="32" s="1"/>
  <c r="C1757" i="32"/>
  <c r="L1757" i="32" s="1"/>
  <c r="C1749" i="32"/>
  <c r="L1749" i="32" s="1"/>
  <c r="C1755" i="32"/>
  <c r="L1755" i="32" s="1"/>
  <c r="C1765" i="32"/>
  <c r="L1765" i="32" s="1"/>
  <c r="C1741" i="32"/>
  <c r="L1741" i="32" s="1"/>
  <c r="C1753" i="32"/>
  <c r="L1753" i="32" s="1"/>
  <c r="C1743" i="32"/>
  <c r="L1743" i="32" s="1"/>
  <c r="C1779" i="32"/>
  <c r="L1779" i="32" s="1"/>
  <c r="BR27" i="31"/>
  <c r="BQ27" i="31"/>
  <c r="BD59" i="33"/>
  <c r="BC27" i="31"/>
  <c r="BT27" i="31" s="1"/>
  <c r="C1713" i="32"/>
  <c r="L1713" i="32" s="1"/>
  <c r="C1725" i="32"/>
  <c r="L1725" i="32" s="1"/>
  <c r="C1735" i="32"/>
  <c r="L1735" i="32" s="1"/>
  <c r="C1723" i="32"/>
  <c r="L1723" i="32" s="1"/>
  <c r="AA74" i="34"/>
  <c r="Z74" i="34"/>
  <c r="AR45" i="33"/>
  <c r="AQ45" i="33"/>
  <c r="AQ55" i="33"/>
  <c r="AR55" i="33"/>
  <c r="BQ19" i="31"/>
  <c r="BR19" i="31"/>
  <c r="AR47" i="33"/>
  <c r="AQ47" i="33"/>
  <c r="C1407" i="32"/>
  <c r="C1415" i="32"/>
  <c r="C600" i="32"/>
  <c r="C610" i="32"/>
  <c r="C606" i="32"/>
  <c r="C602" i="32"/>
  <c r="C612" i="32"/>
  <c r="C596" i="32"/>
  <c r="C608" i="32"/>
  <c r="C380" i="32"/>
  <c r="C382" i="32"/>
  <c r="BD17" i="33"/>
  <c r="BP11" i="33"/>
  <c r="BU23" i="33"/>
  <c r="C1033" i="32"/>
  <c r="C1027" i="32"/>
  <c r="C1021" i="32"/>
  <c r="C1025" i="32"/>
  <c r="C1049" i="32"/>
  <c r="C1293" i="32"/>
  <c r="C1261" i="32"/>
  <c r="C1283" i="32"/>
  <c r="C1299" i="32"/>
  <c r="C1297" i="32"/>
  <c r="AW39" i="33"/>
  <c r="AV39" i="33"/>
  <c r="AX39" i="33"/>
  <c r="BD13" i="33"/>
  <c r="Z28" i="34"/>
  <c r="AA28" i="34"/>
  <c r="C631" i="32"/>
  <c r="C649" i="32"/>
  <c r="C635" i="32"/>
  <c r="C623" i="32"/>
  <c r="C647" i="32"/>
  <c r="C641" i="32"/>
  <c r="C639" i="32"/>
  <c r="C633" i="32"/>
  <c r="C651" i="32"/>
  <c r="C621" i="32"/>
  <c r="C655" i="32"/>
  <c r="AA45" i="34"/>
  <c r="Z45" i="34"/>
  <c r="AR19" i="33"/>
  <c r="AQ19" i="33"/>
  <c r="AW61" i="33"/>
  <c r="AV61" i="33"/>
  <c r="AX61" i="33"/>
  <c r="AR11" i="33"/>
  <c r="AQ11" i="33"/>
  <c r="AA85" i="34"/>
  <c r="Z85" i="34"/>
  <c r="BP41" i="33"/>
  <c r="AX37" i="33"/>
  <c r="AW37" i="33"/>
  <c r="AV37" i="33"/>
  <c r="AW31" i="33"/>
  <c r="AX31" i="33"/>
  <c r="AV31" i="33"/>
  <c r="Z76" i="34"/>
  <c r="AA76" i="34"/>
  <c r="AW9" i="33"/>
  <c r="AV9" i="33"/>
  <c r="AX9" i="33"/>
  <c r="C1159" i="32"/>
  <c r="C1153" i="32"/>
  <c r="C1179" i="32"/>
  <c r="C1145" i="32"/>
  <c r="C1141" i="32"/>
  <c r="C1169" i="32"/>
  <c r="C1175" i="32"/>
  <c r="H377" i="41"/>
  <c r="BC19" i="31"/>
  <c r="BT19" i="31" s="1"/>
  <c r="AA72" i="34"/>
  <c r="Z72" i="34"/>
  <c r="BF11" i="30"/>
  <c r="BG11" i="30"/>
  <c r="BU19" i="33"/>
  <c r="BQ29" i="31"/>
  <c r="BR29" i="31"/>
  <c r="C366" i="32"/>
  <c r="C368" i="32"/>
  <c r="C362" i="32"/>
  <c r="H685" i="41"/>
  <c r="BP27" i="33"/>
  <c r="C987" i="32"/>
  <c r="C981" i="32"/>
  <c r="C989" i="32"/>
  <c r="C1019" i="32"/>
  <c r="C983" i="32"/>
  <c r="C991" i="32"/>
  <c r="C1001" i="32"/>
  <c r="C1003" i="32"/>
  <c r="C1005" i="32"/>
  <c r="C985" i="32"/>
  <c r="C999" i="32"/>
  <c r="C1015" i="32"/>
  <c r="C1013" i="32"/>
  <c r="C997" i="32"/>
  <c r="C1007" i="32"/>
  <c r="C993" i="32"/>
  <c r="C1009" i="32"/>
  <c r="C1011" i="32"/>
  <c r="C995" i="32"/>
  <c r="C1017" i="32"/>
  <c r="Z88" i="34"/>
  <c r="AA88" i="34"/>
  <c r="Z35" i="34"/>
  <c r="AA35" i="34"/>
  <c r="BP23" i="33"/>
  <c r="BU25" i="33"/>
  <c r="AR49" i="33"/>
  <c r="AQ49" i="33"/>
  <c r="H405" i="41"/>
  <c r="C450" i="32"/>
  <c r="C440" i="32"/>
  <c r="C446" i="32"/>
  <c r="C436" i="32"/>
  <c r="C454" i="32"/>
  <c r="C442" i="32"/>
  <c r="C448" i="32"/>
  <c r="C444" i="32"/>
  <c r="C1065" i="32"/>
  <c r="C1091" i="32"/>
  <c r="C1073" i="32"/>
  <c r="C1095" i="32"/>
  <c r="C1061" i="32"/>
  <c r="C1081" i="32"/>
  <c r="C1099" i="32"/>
  <c r="C1075" i="32"/>
  <c r="C1083" i="32"/>
  <c r="C1077" i="32"/>
  <c r="C1063" i="32"/>
  <c r="C1069" i="32"/>
  <c r="C1093" i="32"/>
  <c r="C1087" i="32"/>
  <c r="C1079" i="32"/>
  <c r="C1085" i="32"/>
  <c r="BP51" i="33"/>
  <c r="H13" i="41"/>
  <c r="N1759" i="32" a="1"/>
  <c r="N1759" i="32" s="1"/>
  <c r="E1759" i="32" s="1"/>
  <c r="M1759" i="32" a="1"/>
  <c r="M1759" i="32" s="1"/>
  <c r="D1759" i="32" s="1"/>
  <c r="O1759" i="32" a="1"/>
  <c r="O1759" i="32" s="1"/>
  <c r="O1703" i="32" a="1"/>
  <c r="O1703" i="32" s="1"/>
  <c r="M1703" i="32" a="1"/>
  <c r="M1703" i="32" s="1"/>
  <c r="D1703" i="32" s="1"/>
  <c r="N1703" i="32" a="1"/>
  <c r="N1703" i="32" s="1"/>
  <c r="E1703" i="32" s="1"/>
  <c r="M518" i="32" a="1"/>
  <c r="M518" i="32" s="1"/>
  <c r="D518" i="32" s="1"/>
  <c r="O518" i="32" a="1"/>
  <c r="O518" i="32" s="1"/>
  <c r="N518" i="32" a="1"/>
  <c r="N518" i="32" s="1"/>
  <c r="E518" i="32" s="1"/>
  <c r="N1677" i="32" a="1"/>
  <c r="N1677" i="32" s="1"/>
  <c r="E1677" i="32" s="1"/>
  <c r="O1677" i="32" a="1"/>
  <c r="O1677" i="32" s="1"/>
  <c r="M1677" i="32" a="1"/>
  <c r="M1677" i="32" s="1"/>
  <c r="D1677" i="32" s="1"/>
  <c r="O542" i="32" a="1"/>
  <c r="O542" i="32" s="1"/>
  <c r="N542" i="32" a="1"/>
  <c r="N542" i="32" s="1"/>
  <c r="E542" i="32" s="1"/>
  <c r="M542" i="32" a="1"/>
  <c r="M542" i="32" s="1"/>
  <c r="D542" i="32" s="1"/>
  <c r="O1791" i="32" a="1"/>
  <c r="O1791" i="32" s="1"/>
  <c r="N1791" i="32" a="1"/>
  <c r="N1791" i="32" s="1"/>
  <c r="E1791" i="32" s="1"/>
  <c r="M1791" i="32" a="1"/>
  <c r="M1791" i="32" s="1"/>
  <c r="D1791" i="32" s="1"/>
  <c r="N576" i="32" a="1"/>
  <c r="N576" i="32" s="1"/>
  <c r="E576" i="32" s="1"/>
  <c r="O576" i="32" a="1"/>
  <c r="O576" i="32" s="1"/>
  <c r="M576" i="32" a="1"/>
  <c r="M576" i="32" s="1"/>
  <c r="D576" i="32" s="1"/>
  <c r="Q1147" i="32"/>
  <c r="AE85" i="34"/>
  <c r="BA49" i="33"/>
  <c r="F34" i="39" l="1"/>
  <c r="AZ9" i="30"/>
  <c r="BJ19" i="31"/>
  <c r="D169" i="40"/>
  <c r="E196" i="40"/>
  <c r="BK21" i="31"/>
  <c r="AY9" i="30"/>
  <c r="E34" i="39"/>
  <c r="E383" i="41"/>
  <c r="BY35" i="33"/>
  <c r="BK19" i="31"/>
  <c r="E169" i="40"/>
  <c r="C88" i="39"/>
  <c r="AW13" i="30"/>
  <c r="C61" i="39"/>
  <c r="AW11" i="30"/>
  <c r="AW17" i="30"/>
  <c r="C142" i="39"/>
  <c r="BK13" i="31"/>
  <c r="E88" i="40"/>
  <c r="BI21" i="31"/>
  <c r="F196" i="40"/>
  <c r="BL21" i="31"/>
  <c r="AY11" i="30"/>
  <c r="E61" i="39"/>
  <c r="F439" i="41"/>
  <c r="BZ39" i="33"/>
  <c r="D61" i="39"/>
  <c r="AX11" i="30"/>
  <c r="D34" i="39"/>
  <c r="AX9" i="30"/>
  <c r="D196" i="40"/>
  <c r="BJ21" i="31"/>
  <c r="BJ9" i="31"/>
  <c r="D34" i="40"/>
  <c r="BK15" i="31"/>
  <c r="E115" i="40"/>
  <c r="D439" i="41"/>
  <c r="BX39" i="33"/>
  <c r="E142" i="39"/>
  <c r="AY17" i="30"/>
  <c r="C223" i="40"/>
  <c r="C115" i="40"/>
  <c r="BI15" i="31"/>
  <c r="AZ15" i="30"/>
  <c r="F115" i="39"/>
  <c r="E34" i="40"/>
  <c r="BK9" i="31"/>
  <c r="BI19" i="31"/>
  <c r="C169" i="40"/>
  <c r="BL19" i="31"/>
  <c r="F169" i="40"/>
  <c r="D383" i="41"/>
  <c r="BX35" i="33"/>
  <c r="E439" i="41"/>
  <c r="BY39" i="33"/>
  <c r="AZ13" i="30"/>
  <c r="F88" i="39"/>
  <c r="C115" i="39"/>
  <c r="AW15" i="30"/>
  <c r="C169" i="39"/>
  <c r="AW19" i="30"/>
  <c r="D223" i="40"/>
  <c r="BJ23" i="31"/>
  <c r="F383" i="41"/>
  <c r="BZ35" i="33"/>
  <c r="BI9" i="31"/>
  <c r="C34" i="40"/>
  <c r="F3691" i="27"/>
  <c r="L586" i="32"/>
  <c r="M586" i="32" s="1" a="1"/>
  <c r="M586" i="32" s="1"/>
  <c r="D586" i="32" s="1"/>
  <c r="L582" i="32"/>
  <c r="N582" i="32" s="1" a="1"/>
  <c r="N582" i="32" s="1"/>
  <c r="E582" i="32" s="1"/>
  <c r="L522" i="32"/>
  <c r="N522" i="32" s="1" a="1"/>
  <c r="N522" i="32" s="1"/>
  <c r="E522" i="32" s="1"/>
  <c r="L580" i="32"/>
  <c r="M580" i="32" s="1" a="1"/>
  <c r="M580" i="32" s="1"/>
  <c r="D580" i="32" s="1"/>
  <c r="L574" i="32"/>
  <c r="O574" i="32" s="1" a="1"/>
  <c r="O574" i="32" s="1"/>
  <c r="L554" i="32"/>
  <c r="O554" i="32" s="1" a="1"/>
  <c r="O554" i="32" s="1"/>
  <c r="L538" i="32"/>
  <c r="N538" i="32" s="1" a="1"/>
  <c r="N538" i="32" s="1"/>
  <c r="E538" i="32" s="1"/>
  <c r="L590" i="32"/>
  <c r="N590" i="32" s="1" a="1"/>
  <c r="N590" i="32" s="1"/>
  <c r="E590" i="32" s="1"/>
  <c r="L532" i="32"/>
  <c r="M532" i="32" s="1" a="1"/>
  <c r="M532" i="32" s="1"/>
  <c r="D532" i="32" s="1"/>
  <c r="L588" i="32"/>
  <c r="M588" i="32" s="1" a="1"/>
  <c r="M588" i="32" s="1"/>
  <c r="D588" i="32" s="1"/>
  <c r="L570" i="32"/>
  <c r="N570" i="32" s="1" a="1"/>
  <c r="N570" i="32" s="1"/>
  <c r="E570" i="32" s="1"/>
  <c r="L550" i="32"/>
  <c r="M550" i="32" s="1" a="1"/>
  <c r="M550" i="32" s="1"/>
  <c r="D550" i="32" s="1"/>
  <c r="L526" i="32"/>
  <c r="O526" i="32" s="1" a="1"/>
  <c r="O526" i="32" s="1"/>
  <c r="L564" i="32"/>
  <c r="M564" i="32" s="1" a="1"/>
  <c r="M564" i="32" s="1"/>
  <c r="D564" i="32" s="1"/>
  <c r="L534" i="32"/>
  <c r="N534" i="32" s="1" a="1"/>
  <c r="N534" i="32" s="1"/>
  <c r="E534" i="32" s="1"/>
  <c r="L540" i="32"/>
  <c r="N540" i="32" s="1" a="1"/>
  <c r="N540" i="32" s="1"/>
  <c r="E540" i="32" s="1"/>
  <c r="L548" i="32"/>
  <c r="M548" i="32" s="1" a="1"/>
  <c r="M548" i="32" s="1"/>
  <c r="D548" i="32" s="1"/>
  <c r="L568" i="32"/>
  <c r="N568" i="32" s="1" a="1"/>
  <c r="N568" i="32" s="1"/>
  <c r="E568" i="32" s="1"/>
  <c r="L578" i="32"/>
  <c r="O578" i="32" s="1" a="1"/>
  <c r="O578" i="32" s="1"/>
  <c r="L516" i="32"/>
  <c r="M516" i="32" s="1" a="1"/>
  <c r="M516" i="32" s="1"/>
  <c r="D516" i="32" s="1"/>
  <c r="L556" i="32"/>
  <c r="O556" i="32" s="1" a="1"/>
  <c r="O556" i="32" s="1"/>
  <c r="L528" i="32"/>
  <c r="O528" i="32" s="1" a="1"/>
  <c r="O528" i="32" s="1"/>
  <c r="L536" i="32"/>
  <c r="O536" i="32" s="1" a="1"/>
  <c r="O536" i="32" s="1"/>
  <c r="L530" i="32"/>
  <c r="O530" i="32" s="1" a="1"/>
  <c r="O530" i="32" s="1"/>
  <c r="L572" i="32"/>
  <c r="M572" i="32" s="1" a="1"/>
  <c r="M572" i="32" s="1"/>
  <c r="D572" i="32" s="1"/>
  <c r="L558" i="32"/>
  <c r="M558" i="32" s="1" a="1"/>
  <c r="M558" i="32" s="1"/>
  <c r="D558" i="32" s="1"/>
  <c r="L544" i="32"/>
  <c r="N544" i="32" s="1" a="1"/>
  <c r="N544" i="32" s="1"/>
  <c r="E544" i="32" s="1"/>
  <c r="L524" i="32"/>
  <c r="N524" i="32" s="1" a="1"/>
  <c r="N524" i="32" s="1"/>
  <c r="E524" i="32" s="1"/>
  <c r="L560" i="32"/>
  <c r="N560" i="32" s="1" a="1"/>
  <c r="N560" i="32" s="1"/>
  <c r="E560" i="32" s="1"/>
  <c r="L546" i="32"/>
  <c r="N546" i="32" s="1" a="1"/>
  <c r="N546" i="32" s="1"/>
  <c r="E546" i="32" s="1"/>
  <c r="L520" i="32"/>
  <c r="M520" i="32" s="1" a="1"/>
  <c r="M520" i="32" s="1"/>
  <c r="D520" i="32" s="1"/>
  <c r="L566" i="32"/>
  <c r="N566" i="32" s="1" a="1"/>
  <c r="N566" i="32" s="1"/>
  <c r="E566" i="32" s="1"/>
  <c r="L552" i="32"/>
  <c r="O552" i="32" s="1" a="1"/>
  <c r="O552" i="32" s="1"/>
  <c r="L592" i="32"/>
  <c r="O592" i="32" s="1" a="1"/>
  <c r="O592" i="32" s="1"/>
  <c r="L584" i="32"/>
  <c r="O584" i="32" s="1" a="1"/>
  <c r="O584" i="32" s="1"/>
  <c r="B594" i="27"/>
  <c r="M594" i="27"/>
  <c r="N594" i="27"/>
  <c r="H593" i="27"/>
  <c r="N1809" i="32" a="1"/>
  <c r="N1809" i="32" s="1"/>
  <c r="E1809" i="32" s="1"/>
  <c r="N1751" i="32" a="1"/>
  <c r="N1751" i="32" s="1"/>
  <c r="E1751" i="32" s="1"/>
  <c r="C18" i="32"/>
  <c r="O1751" i="32" a="1"/>
  <c r="O1751" i="32" s="1"/>
  <c r="C16" i="32"/>
  <c r="C38" i="32"/>
  <c r="C24" i="32"/>
  <c r="C42" i="32"/>
  <c r="C28" i="32"/>
  <c r="C32" i="32"/>
  <c r="C14" i="32"/>
  <c r="C30" i="32"/>
  <c r="M1809" i="32" a="1"/>
  <c r="M1809" i="32" s="1"/>
  <c r="D1809" i="32" s="1"/>
  <c r="C44" i="32"/>
  <c r="N1739" i="32" a="1"/>
  <c r="N1739" i="32" s="1"/>
  <c r="E1739" i="32" s="1"/>
  <c r="M1693" i="32" a="1"/>
  <c r="M1693" i="32" s="1"/>
  <c r="D1693" i="32" s="1"/>
  <c r="C26" i="32"/>
  <c r="C20" i="32"/>
  <c r="C36" i="32"/>
  <c r="C10" i="32"/>
  <c r="C22" i="32"/>
  <c r="C48" i="32"/>
  <c r="C34" i="32"/>
  <c r="C40" i="32"/>
  <c r="N1783" i="32" a="1"/>
  <c r="N1783" i="32" s="1"/>
  <c r="E1783" i="32" s="1"/>
  <c r="N1693" i="32" a="1"/>
  <c r="N1693" i="32" s="1"/>
  <c r="E1693" i="32" s="1"/>
  <c r="N1767" i="32" a="1"/>
  <c r="N1767" i="32" s="1"/>
  <c r="E1767" i="32" s="1"/>
  <c r="O1767" i="32" a="1"/>
  <c r="O1767" i="32" s="1"/>
  <c r="N1801" i="32" a="1"/>
  <c r="N1801" i="32" s="1"/>
  <c r="E1801" i="32" s="1"/>
  <c r="M1679" i="32" a="1"/>
  <c r="M1679" i="32" s="1"/>
  <c r="D1679" i="32" s="1"/>
  <c r="O1803" i="32" a="1"/>
  <c r="O1803" i="32" s="1"/>
  <c r="M1803" i="32" a="1"/>
  <c r="M1803" i="32" s="1"/>
  <c r="D1803" i="32" s="1"/>
  <c r="O1707" i="32" a="1"/>
  <c r="O1707" i="32" s="1"/>
  <c r="O1731" i="32" a="1"/>
  <c r="O1731" i="32" s="1"/>
  <c r="N1731" i="32" a="1"/>
  <c r="N1731" i="32" s="1"/>
  <c r="E1731" i="32" s="1"/>
  <c r="M1783" i="32" a="1"/>
  <c r="M1783" i="32" s="1"/>
  <c r="D1783" i="32" s="1"/>
  <c r="M1801" i="32" a="1"/>
  <c r="M1801" i="32" s="1"/>
  <c r="D1801" i="32" s="1"/>
  <c r="N1705" i="32" a="1"/>
  <c r="N1705" i="32" s="1"/>
  <c r="E1705" i="32" s="1"/>
  <c r="O1685" i="32" a="1"/>
  <c r="O1685" i="32" s="1"/>
  <c r="M1705" i="32" a="1"/>
  <c r="M1705" i="32" s="1"/>
  <c r="D1705" i="32" s="1"/>
  <c r="O1747" i="32" a="1"/>
  <c r="O1747" i="32" s="1"/>
  <c r="N1747" i="32" a="1"/>
  <c r="N1747" i="32" s="1"/>
  <c r="E1747" i="32" s="1"/>
  <c r="O1717" i="32" a="1"/>
  <c r="O1717" i="32" s="1"/>
  <c r="N1717" i="32" a="1"/>
  <c r="N1717" i="32" s="1"/>
  <c r="E1717" i="32" s="1"/>
  <c r="BV37" i="31"/>
  <c r="BA37" i="31" s="1"/>
  <c r="M1777" i="32" a="1"/>
  <c r="M1777" i="32" s="1"/>
  <c r="D1777" i="32" s="1"/>
  <c r="O1777" i="32" a="1"/>
  <c r="O1777" i="32" s="1"/>
  <c r="N1729" i="32" a="1"/>
  <c r="N1729" i="32" s="1"/>
  <c r="E1729" i="32" s="1"/>
  <c r="N1721" i="32" a="1"/>
  <c r="N1721" i="32" s="1"/>
  <c r="E1721" i="32" s="1"/>
  <c r="C1437" i="32"/>
  <c r="M1673" i="32" a="1"/>
  <c r="M1673" i="32" s="1"/>
  <c r="D1673" i="32" s="1"/>
  <c r="N1737" i="32" a="1"/>
  <c r="N1737" i="32" s="1"/>
  <c r="E1737" i="32" s="1"/>
  <c r="M1763" i="32" a="1"/>
  <c r="M1763" i="32" s="1"/>
  <c r="D1763" i="32" s="1"/>
  <c r="N1679" i="32" a="1"/>
  <c r="N1679" i="32" s="1"/>
  <c r="E1679" i="32" s="1"/>
  <c r="O1763" i="32" a="1"/>
  <c r="O1763" i="32" s="1"/>
  <c r="O1663" i="32" a="1"/>
  <c r="O1663" i="32" s="1"/>
  <c r="M1701" i="32" a="1"/>
  <c r="M1701" i="32" s="1"/>
  <c r="D1701" i="32" s="1"/>
  <c r="M1709" i="32" a="1"/>
  <c r="M1709" i="32" s="1"/>
  <c r="D1709" i="32" s="1"/>
  <c r="O1701" i="32" a="1"/>
  <c r="O1701" i="32" s="1"/>
  <c r="O1709" i="32" a="1"/>
  <c r="O1709" i="32" s="1"/>
  <c r="N1715" i="32" a="1"/>
  <c r="N1715" i="32" s="1"/>
  <c r="E1715" i="32" s="1"/>
  <c r="O1715" i="32" a="1"/>
  <c r="O1715" i="32" s="1"/>
  <c r="M1729" i="32" a="1"/>
  <c r="M1729" i="32" s="1"/>
  <c r="D1729" i="32" s="1"/>
  <c r="BV33" i="31"/>
  <c r="BA33" i="31" s="1"/>
  <c r="BV13" i="31"/>
  <c r="BA13" i="31" s="1"/>
  <c r="M1739" i="32" a="1"/>
  <c r="M1739" i="32" s="1"/>
  <c r="D1739" i="32" s="1"/>
  <c r="N1707" i="32" a="1"/>
  <c r="N1707" i="32" s="1"/>
  <c r="E1707" i="32" s="1"/>
  <c r="BV35" i="31"/>
  <c r="BA35" i="31" s="1"/>
  <c r="M1663" i="32" a="1"/>
  <c r="M1663" i="32" s="1"/>
  <c r="D1663" i="32" s="1"/>
  <c r="N1727" i="32" a="1"/>
  <c r="N1727" i="32" s="1"/>
  <c r="E1727" i="32" s="1"/>
  <c r="O1727" i="32" a="1"/>
  <c r="O1727" i="32" s="1"/>
  <c r="N1685" i="32" a="1"/>
  <c r="N1685" i="32" s="1"/>
  <c r="E1685" i="32" s="1"/>
  <c r="N1667" i="32" a="1"/>
  <c r="N1667" i="32" s="1"/>
  <c r="E1667" i="32" s="1"/>
  <c r="O1667" i="32" a="1"/>
  <c r="O1667" i="32" s="1"/>
  <c r="N1711" i="32" a="1"/>
  <c r="N1711" i="32" s="1"/>
  <c r="E1711" i="32" s="1"/>
  <c r="M1711" i="32" a="1"/>
  <c r="M1711" i="32" s="1"/>
  <c r="D1711" i="32" s="1"/>
  <c r="N1687" i="32" a="1"/>
  <c r="N1687" i="32" s="1"/>
  <c r="E1687" i="32" s="1"/>
  <c r="M1687" i="32" a="1"/>
  <c r="M1687" i="32" s="1"/>
  <c r="D1687" i="32" s="1"/>
  <c r="O1673" i="32" a="1"/>
  <c r="O1673" i="32" s="1"/>
  <c r="O1669" i="32" a="1"/>
  <c r="O1669" i="32" s="1"/>
  <c r="BE11" i="30"/>
  <c r="M1669" i="32" a="1"/>
  <c r="M1669" i="32" s="1"/>
  <c r="D1669" i="32" s="1"/>
  <c r="BV23" i="31"/>
  <c r="BA23" i="31" s="1"/>
  <c r="C1457" i="32"/>
  <c r="M1737" i="32" a="1"/>
  <c r="M1737" i="32" s="1"/>
  <c r="D1737" i="32" s="1"/>
  <c r="C1445" i="32"/>
  <c r="O1733" i="32" a="1"/>
  <c r="O1733" i="32" s="1"/>
  <c r="C1435" i="32"/>
  <c r="C1439" i="32"/>
  <c r="M1733" i="32" a="1"/>
  <c r="M1733" i="32" s="1"/>
  <c r="D1733" i="32" s="1"/>
  <c r="C1433" i="32"/>
  <c r="C1427" i="32"/>
  <c r="O1719" i="32" a="1"/>
  <c r="O1719" i="32" s="1"/>
  <c r="C1453" i="32"/>
  <c r="C1431" i="32"/>
  <c r="N1719" i="32" a="1"/>
  <c r="N1719" i="32" s="1"/>
  <c r="E1719" i="32" s="1"/>
  <c r="O1721" i="32" a="1"/>
  <c r="O1721" i="32" s="1"/>
  <c r="C1447" i="32"/>
  <c r="M1683" i="32" a="1"/>
  <c r="M1683" i="32" s="1"/>
  <c r="D1683" i="32" s="1"/>
  <c r="O1683" i="32" a="1"/>
  <c r="O1683" i="32" s="1"/>
  <c r="BV15" i="31"/>
  <c r="BA15" i="31" s="1"/>
  <c r="M1675" i="32" a="1"/>
  <c r="M1675" i="32" s="1"/>
  <c r="D1675" i="32" s="1"/>
  <c r="N1675" i="32" a="1"/>
  <c r="N1675" i="32" s="1"/>
  <c r="E1675" i="32" s="1"/>
  <c r="M1691" i="32" a="1"/>
  <c r="M1691" i="32" s="1"/>
  <c r="D1691" i="32" s="1"/>
  <c r="N1691" i="32" a="1"/>
  <c r="N1691" i="32" s="1"/>
  <c r="E1691" i="32" s="1"/>
  <c r="O1691" i="32" a="1"/>
  <c r="O1691" i="32" s="1"/>
  <c r="M1681" i="32" a="1"/>
  <c r="M1681" i="32" s="1"/>
  <c r="D1681" i="32" s="1"/>
  <c r="O1681" i="32" a="1"/>
  <c r="O1681" i="32" s="1"/>
  <c r="BV25" i="31"/>
  <c r="BA25" i="31" s="1"/>
  <c r="BS27" i="31"/>
  <c r="BV27" i="31" s="1"/>
  <c r="BA27" i="31" s="1"/>
  <c r="BS21" i="31"/>
  <c r="BV21" i="31" s="1"/>
  <c r="BA21" i="31" s="1"/>
  <c r="BV31" i="31"/>
  <c r="BA31" i="31" s="1"/>
  <c r="BS29" i="31"/>
  <c r="BV29" i="31" s="1"/>
  <c r="BA29" i="31" s="1"/>
  <c r="BV11" i="31"/>
  <c r="BA11" i="31" s="1"/>
  <c r="BE50" i="33"/>
  <c r="C578" i="41"/>
  <c r="BP49" i="33"/>
  <c r="B469" i="41"/>
  <c r="B461" i="41"/>
  <c r="C352" i="41"/>
  <c r="N1749" i="32" a="1"/>
  <c r="N1749" i="32" s="1"/>
  <c r="E1749" i="32" s="1"/>
  <c r="M1749" i="32" a="1"/>
  <c r="M1749" i="32" s="1"/>
  <c r="D1749" i="32" s="1"/>
  <c r="O1749" i="32" a="1"/>
  <c r="O1749" i="32" s="1"/>
  <c r="O1797" i="32" a="1"/>
  <c r="O1797" i="32" s="1"/>
  <c r="N1797" i="32" a="1"/>
  <c r="N1797" i="32" s="1"/>
  <c r="E1797" i="32" s="1"/>
  <c r="M1797" i="32" a="1"/>
  <c r="M1797" i="32" s="1"/>
  <c r="D1797" i="32" s="1"/>
  <c r="N1807" i="32" a="1"/>
  <c r="N1807" i="32" s="1"/>
  <c r="E1807" i="32" s="1"/>
  <c r="O1807" i="32" a="1"/>
  <c r="O1807" i="32" s="1"/>
  <c r="M1807" i="32" a="1"/>
  <c r="M1807" i="32" s="1"/>
  <c r="D1807" i="32" s="1"/>
  <c r="N1757" i="32" a="1"/>
  <c r="N1757" i="32" s="1"/>
  <c r="E1757" i="32" s="1"/>
  <c r="O1757" i="32" a="1"/>
  <c r="O1757" i="32" s="1"/>
  <c r="M1757" i="32" a="1"/>
  <c r="M1757" i="32" s="1"/>
  <c r="D1757" i="32" s="1"/>
  <c r="N1815" i="32" a="1"/>
  <c r="N1815" i="32" s="1"/>
  <c r="E1815" i="32" s="1"/>
  <c r="M1815" i="32" a="1"/>
  <c r="M1815" i="32" s="1"/>
  <c r="D1815" i="32" s="1"/>
  <c r="O1815" i="32" a="1"/>
  <c r="O1815" i="32" s="1"/>
  <c r="N1785" i="32" a="1"/>
  <c r="N1785" i="32" s="1"/>
  <c r="E1785" i="32" s="1"/>
  <c r="O1785" i="32" a="1"/>
  <c r="O1785" i="32" s="1"/>
  <c r="M1785" i="32" a="1"/>
  <c r="M1785" i="32" s="1"/>
  <c r="D1785" i="32" s="1"/>
  <c r="O1661" i="32" a="1"/>
  <c r="O1661" i="32" s="1"/>
  <c r="M1661" i="32" a="1"/>
  <c r="M1661" i="32" s="1"/>
  <c r="D1661" i="32" s="1"/>
  <c r="N1661" i="32" a="1"/>
  <c r="N1661" i="32" s="1"/>
  <c r="E1661" i="32" s="1"/>
  <c r="N1723" i="32" a="1"/>
  <c r="N1723" i="32" s="1"/>
  <c r="E1723" i="32" s="1"/>
  <c r="O1723" i="32" a="1"/>
  <c r="O1723" i="32" s="1"/>
  <c r="M1723" i="32" a="1"/>
  <c r="M1723" i="32" s="1"/>
  <c r="D1723" i="32" s="1"/>
  <c r="M1779" i="32" a="1"/>
  <c r="M1779" i="32" s="1"/>
  <c r="D1779" i="32" s="1"/>
  <c r="O1779" i="32" a="1"/>
  <c r="O1779" i="32" s="1"/>
  <c r="N1779" i="32" a="1"/>
  <c r="N1779" i="32" s="1"/>
  <c r="E1779" i="32" s="1"/>
  <c r="O1771" i="32" a="1"/>
  <c r="O1771" i="32" s="1"/>
  <c r="M1771" i="32" a="1"/>
  <c r="M1771" i="32" s="1"/>
  <c r="D1771" i="32" s="1"/>
  <c r="N1771" i="32" a="1"/>
  <c r="N1771" i="32" s="1"/>
  <c r="E1771" i="32" s="1"/>
  <c r="O1813" i="32" a="1"/>
  <c r="O1813" i="32" s="1"/>
  <c r="M1813" i="32" a="1"/>
  <c r="M1813" i="32" s="1"/>
  <c r="D1813" i="32" s="1"/>
  <c r="N1813" i="32" a="1"/>
  <c r="N1813" i="32" s="1"/>
  <c r="E1813" i="32" s="1"/>
  <c r="N1689" i="32" a="1"/>
  <c r="N1689" i="32" s="1"/>
  <c r="E1689" i="32" s="1"/>
  <c r="M1689" i="32" a="1"/>
  <c r="M1689" i="32" s="1"/>
  <c r="D1689" i="32" s="1"/>
  <c r="O1689" i="32" a="1"/>
  <c r="O1689" i="32" s="1"/>
  <c r="BS19" i="31"/>
  <c r="BV19" i="31" s="1"/>
  <c r="BA19" i="31" s="1"/>
  <c r="N1735" i="32" a="1"/>
  <c r="N1735" i="32" s="1"/>
  <c r="E1735" i="32" s="1"/>
  <c r="O1735" i="32" a="1"/>
  <c r="O1735" i="32" s="1"/>
  <c r="M1735" i="32" a="1"/>
  <c r="M1735" i="32" s="1"/>
  <c r="D1735" i="32" s="1"/>
  <c r="M1743" i="32" a="1"/>
  <c r="M1743" i="32" s="1"/>
  <c r="D1743" i="32" s="1"/>
  <c r="N1743" i="32" a="1"/>
  <c r="N1743" i="32" s="1"/>
  <c r="E1743" i="32" s="1"/>
  <c r="O1743" i="32" a="1"/>
  <c r="O1743" i="32" s="1"/>
  <c r="M1775" i="32" a="1"/>
  <c r="M1775" i="32" s="1"/>
  <c r="D1775" i="32" s="1"/>
  <c r="O1775" i="32" a="1"/>
  <c r="O1775" i="32" s="1"/>
  <c r="N1775" i="32" a="1"/>
  <c r="N1775" i="32" s="1"/>
  <c r="E1775" i="32" s="1"/>
  <c r="M1795" i="32" a="1"/>
  <c r="M1795" i="32" s="1"/>
  <c r="D1795" i="32" s="1"/>
  <c r="N1795" i="32" a="1"/>
  <c r="N1795" i="32" s="1"/>
  <c r="E1795" i="32" s="1"/>
  <c r="O1795" i="32" a="1"/>
  <c r="O1795" i="32" s="1"/>
  <c r="M1805" i="32" a="1"/>
  <c r="M1805" i="32" s="1"/>
  <c r="D1805" i="32" s="1"/>
  <c r="O1805" i="32" a="1"/>
  <c r="O1805" i="32" s="1"/>
  <c r="N1805" i="32" a="1"/>
  <c r="N1805" i="32" s="1"/>
  <c r="E1805" i="32" s="1"/>
  <c r="M1697" i="32" a="1"/>
  <c r="M1697" i="32" s="1"/>
  <c r="D1697" i="32" s="1"/>
  <c r="O1697" i="32" a="1"/>
  <c r="O1697" i="32" s="1"/>
  <c r="N1697" i="32" a="1"/>
  <c r="N1697" i="32" s="1"/>
  <c r="E1697" i="32" s="1"/>
  <c r="C1441" i="32"/>
  <c r="C1421" i="32"/>
  <c r="C1449" i="32"/>
  <c r="C1429" i="32"/>
  <c r="C1459" i="32"/>
  <c r="C1451" i="32"/>
  <c r="C1443" i="32"/>
  <c r="C1425" i="32"/>
  <c r="M1725" i="32" a="1"/>
  <c r="M1725" i="32" s="1"/>
  <c r="D1725" i="32" s="1"/>
  <c r="O1725" i="32" a="1"/>
  <c r="O1725" i="32" s="1"/>
  <c r="N1725" i="32" a="1"/>
  <c r="N1725" i="32" s="1"/>
  <c r="E1725" i="32" s="1"/>
  <c r="M1753" i="32" a="1"/>
  <c r="M1753" i="32" s="1"/>
  <c r="D1753" i="32" s="1"/>
  <c r="N1753" i="32" a="1"/>
  <c r="N1753" i="32" s="1"/>
  <c r="E1753" i="32" s="1"/>
  <c r="O1753" i="32" a="1"/>
  <c r="O1753" i="32" s="1"/>
  <c r="M1769" i="32" a="1"/>
  <c r="M1769" i="32" s="1"/>
  <c r="D1769" i="32" s="1"/>
  <c r="N1769" i="32" a="1"/>
  <c r="N1769" i="32" s="1"/>
  <c r="E1769" i="32" s="1"/>
  <c r="O1769" i="32" a="1"/>
  <c r="O1769" i="32" s="1"/>
  <c r="N1817" i="32" a="1"/>
  <c r="N1817" i="32" s="1"/>
  <c r="E1817" i="32" s="1"/>
  <c r="O1817" i="32" a="1"/>
  <c r="O1817" i="32" s="1"/>
  <c r="M1817" i="32" a="1"/>
  <c r="M1817" i="32" s="1"/>
  <c r="D1817" i="32" s="1"/>
  <c r="O1799" i="32" a="1"/>
  <c r="O1799" i="32" s="1"/>
  <c r="M1799" i="32" a="1"/>
  <c r="M1799" i="32" s="1"/>
  <c r="D1799" i="32" s="1"/>
  <c r="N1799" i="32" a="1"/>
  <c r="N1799" i="32" s="1"/>
  <c r="E1799" i="32" s="1"/>
  <c r="BS9" i="31"/>
  <c r="N1695" i="32" a="1"/>
  <c r="N1695" i="32" s="1"/>
  <c r="E1695" i="32" s="1"/>
  <c r="O1695" i="32" a="1"/>
  <c r="O1695" i="32" s="1"/>
  <c r="M1695" i="32" a="1"/>
  <c r="M1695" i="32" s="1"/>
  <c r="D1695" i="32" s="1"/>
  <c r="O1713" i="32" a="1"/>
  <c r="O1713" i="32" s="1"/>
  <c r="N1713" i="32" a="1"/>
  <c r="N1713" i="32" s="1"/>
  <c r="E1713" i="32" s="1"/>
  <c r="M1713" i="32" a="1"/>
  <c r="M1713" i="32" s="1"/>
  <c r="D1713" i="32" s="1"/>
  <c r="O1741" i="32" a="1"/>
  <c r="O1741" i="32" s="1"/>
  <c r="M1741" i="32" a="1"/>
  <c r="M1741" i="32" s="1"/>
  <c r="D1741" i="32" s="1"/>
  <c r="N1741" i="32" a="1"/>
  <c r="N1741" i="32" s="1"/>
  <c r="E1741" i="32" s="1"/>
  <c r="N1745" i="32" a="1"/>
  <c r="N1745" i="32" s="1"/>
  <c r="E1745" i="32" s="1"/>
  <c r="M1745" i="32" a="1"/>
  <c r="M1745" i="32" s="1"/>
  <c r="D1745" i="32" s="1"/>
  <c r="O1745" i="32" a="1"/>
  <c r="O1745" i="32" s="1"/>
  <c r="N1811" i="32" a="1"/>
  <c r="N1811" i="32" s="1"/>
  <c r="E1811" i="32" s="1"/>
  <c r="O1811" i="32" a="1"/>
  <c r="O1811" i="32" s="1"/>
  <c r="M1811" i="32" a="1"/>
  <c r="M1811" i="32" s="1"/>
  <c r="D1811" i="32" s="1"/>
  <c r="N1819" i="32" a="1"/>
  <c r="N1819" i="32" s="1"/>
  <c r="E1819" i="32" s="1"/>
  <c r="M1819" i="32" a="1"/>
  <c r="M1819" i="32" s="1"/>
  <c r="D1819" i="32" s="1"/>
  <c r="O1819" i="32" a="1"/>
  <c r="O1819" i="32" s="1"/>
  <c r="K316" i="32"/>
  <c r="K318" i="32" s="1"/>
  <c r="K320" i="32" s="1"/>
  <c r="K322" i="32" s="1"/>
  <c r="K324" i="32" s="1"/>
  <c r="K326" i="32" s="1"/>
  <c r="K328" i="32" s="1"/>
  <c r="M1671" i="32" a="1"/>
  <c r="M1671" i="32" s="1"/>
  <c r="D1671" i="32" s="1"/>
  <c r="N1671" i="32" a="1"/>
  <c r="N1671" i="32" s="1"/>
  <c r="E1671" i="32" s="1"/>
  <c r="O1671" i="32" a="1"/>
  <c r="O1671" i="32" s="1"/>
  <c r="O1765" i="32" a="1"/>
  <c r="O1765" i="32" s="1"/>
  <c r="M1765" i="32" a="1"/>
  <c r="M1765" i="32" s="1"/>
  <c r="D1765" i="32" s="1"/>
  <c r="N1765" i="32" a="1"/>
  <c r="N1765" i="32" s="1"/>
  <c r="E1765" i="32" s="1"/>
  <c r="N1761" i="32" a="1"/>
  <c r="N1761" i="32" s="1"/>
  <c r="E1761" i="32" s="1"/>
  <c r="O1761" i="32" a="1"/>
  <c r="O1761" i="32" s="1"/>
  <c r="M1761" i="32" a="1"/>
  <c r="M1761" i="32" s="1"/>
  <c r="D1761" i="32" s="1"/>
  <c r="M1787" i="32" a="1"/>
  <c r="M1787" i="32" s="1"/>
  <c r="D1787" i="32" s="1"/>
  <c r="O1787" i="32" a="1"/>
  <c r="O1787" i="32" s="1"/>
  <c r="N1787" i="32" a="1"/>
  <c r="N1787" i="32" s="1"/>
  <c r="E1787" i="32" s="1"/>
  <c r="N1793" i="32" a="1"/>
  <c r="N1793" i="32" s="1"/>
  <c r="E1793" i="32" s="1"/>
  <c r="M1793" i="32" a="1"/>
  <c r="M1793" i="32" s="1"/>
  <c r="D1793" i="32" s="1"/>
  <c r="O1793" i="32" a="1"/>
  <c r="O1793" i="32" s="1"/>
  <c r="O1665" i="32" a="1"/>
  <c r="O1665" i="32" s="1"/>
  <c r="M1665" i="32" a="1"/>
  <c r="M1665" i="32" s="1"/>
  <c r="D1665" i="32" s="1"/>
  <c r="N1665" i="32" a="1"/>
  <c r="N1665" i="32" s="1"/>
  <c r="E1665" i="32" s="1"/>
  <c r="K621" i="32"/>
  <c r="K623" i="32" s="1"/>
  <c r="K625" i="32" s="1"/>
  <c r="K627" i="32" s="1"/>
  <c r="K629" i="32" s="1"/>
  <c r="K631" i="32" s="1"/>
  <c r="K633" i="32" s="1"/>
  <c r="K635" i="32" s="1"/>
  <c r="K637" i="32" s="1"/>
  <c r="K639" i="32" s="1"/>
  <c r="K641" i="32" s="1"/>
  <c r="K643" i="32" s="1"/>
  <c r="K645" i="32" s="1"/>
  <c r="K647" i="32" s="1"/>
  <c r="K649" i="32" s="1"/>
  <c r="K651" i="32" s="1"/>
  <c r="K653" i="32" s="1"/>
  <c r="M1755" i="32" a="1"/>
  <c r="M1755" i="32" s="1"/>
  <c r="D1755" i="32" s="1"/>
  <c r="O1755" i="32" a="1"/>
  <c r="O1755" i="32" s="1"/>
  <c r="N1755" i="32" a="1"/>
  <c r="N1755" i="32" s="1"/>
  <c r="E1755" i="32" s="1"/>
  <c r="N1773" i="32" a="1"/>
  <c r="N1773" i="32" s="1"/>
  <c r="E1773" i="32" s="1"/>
  <c r="M1773" i="32" a="1"/>
  <c r="M1773" i="32" s="1"/>
  <c r="D1773" i="32" s="1"/>
  <c r="O1773" i="32" a="1"/>
  <c r="O1773" i="32" s="1"/>
  <c r="N1789" i="32" a="1"/>
  <c r="N1789" i="32" s="1"/>
  <c r="E1789" i="32" s="1"/>
  <c r="O1789" i="32" a="1"/>
  <c r="O1789" i="32" s="1"/>
  <c r="M1789" i="32" a="1"/>
  <c r="M1789" i="32" s="1"/>
  <c r="D1789" i="32" s="1"/>
  <c r="M1781" i="32" a="1"/>
  <c r="M1781" i="32" s="1"/>
  <c r="D1781" i="32" s="1"/>
  <c r="N1781" i="32" a="1"/>
  <c r="N1781" i="32" s="1"/>
  <c r="E1781" i="32" s="1"/>
  <c r="O1781" i="32" a="1"/>
  <c r="O1781" i="32" s="1"/>
  <c r="M1699" i="32" a="1"/>
  <c r="M1699" i="32" s="1"/>
  <c r="D1699" i="32" s="1"/>
  <c r="O1699" i="32" a="1"/>
  <c r="O1699" i="32" s="1"/>
  <c r="N1699" i="32" a="1"/>
  <c r="N1699" i="32" s="1"/>
  <c r="E1699" i="32" s="1"/>
  <c r="Q1149" i="32"/>
  <c r="AE86" i="34"/>
  <c r="BX41" i="33" l="1"/>
  <c r="D467" i="41"/>
  <c r="G159" i="41"/>
  <c r="CA19" i="33"/>
  <c r="C88" i="40"/>
  <c r="BI13" i="31"/>
  <c r="E467" i="41"/>
  <c r="BY41" i="33"/>
  <c r="BZ41" i="33"/>
  <c r="F467" i="41"/>
  <c r="BI11" i="31"/>
  <c r="C61" i="40"/>
  <c r="BN21" i="31"/>
  <c r="BO21" i="31" s="1"/>
  <c r="M574" i="32" a="1"/>
  <c r="M574" i="32" s="1"/>
  <c r="D574" i="32" s="1"/>
  <c r="N586" i="32" a="1"/>
  <c r="N586" i="32" s="1"/>
  <c r="E586" i="32" s="1"/>
  <c r="O522" i="32" a="1"/>
  <c r="O522" i="32" s="1"/>
  <c r="N574" i="32" a="1"/>
  <c r="N574" i="32" s="1"/>
  <c r="E574" i="32" s="1"/>
  <c r="O580" i="32" a="1"/>
  <c r="O580" i="32" s="1"/>
  <c r="O586" i="32" a="1"/>
  <c r="O586" i="32" s="1"/>
  <c r="O588" i="32" a="1"/>
  <c r="O588" i="32" s="1"/>
  <c r="M570" i="32" a="1"/>
  <c r="M570" i="32" s="1"/>
  <c r="D570" i="32" s="1"/>
  <c r="O570" i="32" a="1"/>
  <c r="O570" i="32" s="1"/>
  <c r="N580" i="32" a="1"/>
  <c r="N580" i="32" s="1"/>
  <c r="E580" i="32" s="1"/>
  <c r="K655" i="32"/>
  <c r="L653" i="32"/>
  <c r="L621" i="32"/>
  <c r="M621" i="32" s="1" a="1"/>
  <c r="M621" i="32" s="1"/>
  <c r="D621" i="32" s="1"/>
  <c r="L647" i="32"/>
  <c r="L629" i="32"/>
  <c r="M629" i="32" s="1" a="1"/>
  <c r="M629" i="32" s="1"/>
  <c r="D629" i="32" s="1"/>
  <c r="L639" i="32"/>
  <c r="L627" i="32"/>
  <c r="L637" i="32"/>
  <c r="O637" i="32" s="1" a="1"/>
  <c r="O637" i="32" s="1"/>
  <c r="L625" i="32"/>
  <c r="L649" i="32"/>
  <c r="L641" i="32"/>
  <c r="L633" i="32"/>
  <c r="L645" i="32"/>
  <c r="M645" i="32" s="1" a="1"/>
  <c r="M645" i="32" s="1"/>
  <c r="D645" i="32" s="1"/>
  <c r="L631" i="32"/>
  <c r="L643" i="32"/>
  <c r="L623" i="32"/>
  <c r="L651" i="32"/>
  <c r="N651" i="32" s="1" a="1"/>
  <c r="N651" i="32" s="1"/>
  <c r="E651" i="32" s="1"/>
  <c r="L635" i="32"/>
  <c r="M526" i="32" a="1"/>
  <c r="M526" i="32" s="1"/>
  <c r="D526" i="32" s="1"/>
  <c r="N532" i="32" a="1"/>
  <c r="N532" i="32" s="1"/>
  <c r="E532" i="32" s="1"/>
  <c r="O532" i="32" a="1"/>
  <c r="O532" i="32" s="1"/>
  <c r="N556" i="32" a="1"/>
  <c r="N556" i="32" s="1"/>
  <c r="E556" i="32" s="1"/>
  <c r="N548" i="32" a="1"/>
  <c r="N548" i="32" s="1"/>
  <c r="E548" i="32" s="1"/>
  <c r="O564" i="32" a="1"/>
  <c r="O564" i="32" s="1"/>
  <c r="N564" i="32" a="1"/>
  <c r="N564" i="32" s="1"/>
  <c r="E564" i="32" s="1"/>
  <c r="N558" i="32" a="1"/>
  <c r="N558" i="32" s="1"/>
  <c r="E558" i="32" s="1"/>
  <c r="L322" i="32"/>
  <c r="N322" i="32" s="1" a="1"/>
  <c r="N322" i="32" s="1"/>
  <c r="E322" i="32" s="1"/>
  <c r="L316" i="32"/>
  <c r="N316" i="32" s="1" a="1"/>
  <c r="N316" i="32" s="1"/>
  <c r="E316" i="32" s="1"/>
  <c r="O558" i="32" a="1"/>
  <c r="O558" i="32" s="1"/>
  <c r="M522" i="32" a="1"/>
  <c r="M522" i="32" s="1"/>
  <c r="D522" i="32" s="1"/>
  <c r="O560" i="32" a="1"/>
  <c r="O560" i="32" s="1"/>
  <c r="O550" i="32" a="1"/>
  <c r="O550" i="32" s="1"/>
  <c r="N588" i="32" a="1"/>
  <c r="N588" i="32" s="1"/>
  <c r="E588" i="32" s="1"/>
  <c r="M566" i="32" a="1"/>
  <c r="M566" i="32" s="1"/>
  <c r="D566" i="32" s="1"/>
  <c r="O572" i="32" a="1"/>
  <c r="O572" i="32" s="1"/>
  <c r="L326" i="32"/>
  <c r="O326" i="32" s="1" a="1"/>
  <c r="O326" i="32" s="1"/>
  <c r="O566" i="32" a="1"/>
  <c r="O566" i="32" s="1"/>
  <c r="L320" i="32"/>
  <c r="N320" i="32" s="1" a="1"/>
  <c r="N320" i="32" s="1"/>
  <c r="E320" i="32" s="1"/>
  <c r="N526" i="32" a="1"/>
  <c r="N526" i="32" s="1"/>
  <c r="E526" i="32" s="1"/>
  <c r="K330" i="32"/>
  <c r="L328" i="32"/>
  <c r="M560" i="32" a="1"/>
  <c r="M560" i="32" s="1"/>
  <c r="D560" i="32" s="1"/>
  <c r="L324" i="32"/>
  <c r="O324" i="32" s="1" a="1"/>
  <c r="O324" i="32" s="1"/>
  <c r="N572" i="32" a="1"/>
  <c r="N572" i="32" s="1"/>
  <c r="E572" i="32" s="1"/>
  <c r="M544" i="32" a="1"/>
  <c r="M544" i="32" s="1"/>
  <c r="D544" i="32" s="1"/>
  <c r="M556" i="32" a="1"/>
  <c r="M556" i="32" s="1"/>
  <c r="D556" i="32" s="1"/>
  <c r="L318" i="32"/>
  <c r="M590" i="32" a="1"/>
  <c r="M590" i="32" s="1"/>
  <c r="D590" i="32" s="1"/>
  <c r="N592" i="32" a="1"/>
  <c r="N592" i="32" s="1"/>
  <c r="E592" i="32" s="1"/>
  <c r="O590" i="32" a="1"/>
  <c r="O590" i="32" s="1"/>
  <c r="F3692" i="27"/>
  <c r="O548" i="32" a="1"/>
  <c r="O548" i="32" s="1"/>
  <c r="N550" i="32" a="1"/>
  <c r="N550" i="32" s="1"/>
  <c r="E550" i="32" s="1"/>
  <c r="N578" i="32" a="1"/>
  <c r="N578" i="32" s="1"/>
  <c r="E578" i="32" s="1"/>
  <c r="N530" i="32" a="1"/>
  <c r="N530" i="32" s="1"/>
  <c r="E530" i="32" s="1"/>
  <c r="M530" i="32" a="1"/>
  <c r="M530" i="32" s="1"/>
  <c r="D530" i="32" s="1"/>
  <c r="O544" i="32" a="1"/>
  <c r="O544" i="32" s="1"/>
  <c r="O520" i="32" a="1"/>
  <c r="O520" i="32" s="1"/>
  <c r="N516" i="32" a="1"/>
  <c r="N516" i="32" s="1"/>
  <c r="E516" i="32" s="1"/>
  <c r="N520" i="32" a="1"/>
  <c r="N520" i="32" s="1"/>
  <c r="E520" i="32" s="1"/>
  <c r="M538" i="32" a="1"/>
  <c r="M538" i="32" s="1"/>
  <c r="D538" i="32" s="1"/>
  <c r="O516" i="32" a="1"/>
  <c r="O516" i="32" s="1"/>
  <c r="O568" i="32" a="1"/>
  <c r="O568" i="32" s="1"/>
  <c r="O538" i="32" a="1"/>
  <c r="O538" i="32" s="1"/>
  <c r="M536" i="32" a="1"/>
  <c r="M536" i="32" s="1"/>
  <c r="D536" i="32" s="1"/>
  <c r="M568" i="32" a="1"/>
  <c r="M568" i="32" s="1"/>
  <c r="D568" i="32" s="1"/>
  <c r="M578" i="32" a="1"/>
  <c r="M578" i="32" s="1"/>
  <c r="D578" i="32" s="1"/>
  <c r="O534" i="32" a="1"/>
  <c r="O534" i="32" s="1"/>
  <c r="N536" i="32" a="1"/>
  <c r="N536" i="32" s="1"/>
  <c r="E536" i="32" s="1"/>
  <c r="M524" i="32" a="1"/>
  <c r="M524" i="32" s="1"/>
  <c r="D524" i="32" s="1"/>
  <c r="M584" i="32" a="1"/>
  <c r="M584" i="32" s="1"/>
  <c r="D584" i="32" s="1"/>
  <c r="O524" i="32" a="1"/>
  <c r="O524" i="32" s="1"/>
  <c r="N584" i="32" a="1"/>
  <c r="N584" i="32" s="1"/>
  <c r="E584" i="32" s="1"/>
  <c r="M534" i="32" a="1"/>
  <c r="M534" i="32" s="1"/>
  <c r="D534" i="32" s="1"/>
  <c r="N528" i="32" a="1"/>
  <c r="N528" i="32" s="1"/>
  <c r="E528" i="32" s="1"/>
  <c r="M540" i="32" a="1"/>
  <c r="M540" i="32" s="1"/>
  <c r="D540" i="32" s="1"/>
  <c r="N554" i="32" a="1"/>
  <c r="N554" i="32" s="1"/>
  <c r="E554" i="32" s="1"/>
  <c r="M554" i="32" a="1"/>
  <c r="M554" i="32" s="1"/>
  <c r="D554" i="32" s="1"/>
  <c r="N552" i="32" a="1"/>
  <c r="N552" i="32" s="1"/>
  <c r="E552" i="32" s="1"/>
  <c r="O546" i="32" a="1"/>
  <c r="O546" i="32" s="1"/>
  <c r="M592" i="32" a="1"/>
  <c r="M592" i="32" s="1"/>
  <c r="D592" i="32" s="1"/>
  <c r="O582" i="32" a="1"/>
  <c r="O582" i="32" s="1"/>
  <c r="M552" i="32" a="1"/>
  <c r="M552" i="32" s="1"/>
  <c r="D552" i="32" s="1"/>
  <c r="M546" i="32" a="1"/>
  <c r="M546" i="32" s="1"/>
  <c r="D546" i="32" s="1"/>
  <c r="M582" i="32" a="1"/>
  <c r="M582" i="32" s="1"/>
  <c r="D582" i="32" s="1"/>
  <c r="M528" i="32" a="1"/>
  <c r="M528" i="32" s="1"/>
  <c r="D528" i="32" s="1"/>
  <c r="O540" i="32" a="1"/>
  <c r="O540" i="32" s="1"/>
  <c r="H594" i="27"/>
  <c r="K10" i="32"/>
  <c r="L10" i="32" s="1"/>
  <c r="N10" i="32" s="1" a="1"/>
  <c r="N10" i="32" s="1"/>
  <c r="E10" i="32" s="1"/>
  <c r="B595" i="27"/>
  <c r="N595" i="27"/>
  <c r="M595" i="27"/>
  <c r="D115" i="40"/>
  <c r="BJ15" i="31"/>
  <c r="B349" i="41"/>
  <c r="B357" i="41"/>
  <c r="C466" i="41"/>
  <c r="BE42" i="33"/>
  <c r="L1581" i="32"/>
  <c r="Q1151" i="32"/>
  <c r="AE87" i="34"/>
  <c r="F271" i="41" l="1"/>
  <c r="BZ27" i="33"/>
  <c r="E215" i="41"/>
  <c r="BY23" i="33"/>
  <c r="D187" i="41"/>
  <c r="BX21" i="33"/>
  <c r="BZ19" i="33"/>
  <c r="F159" i="41"/>
  <c r="BY25" i="33"/>
  <c r="E243" i="41"/>
  <c r="D215" i="41"/>
  <c r="BX23" i="33"/>
  <c r="E159" i="41"/>
  <c r="BY19" i="33"/>
  <c r="BZ25" i="33"/>
  <c r="F243" i="41"/>
  <c r="D271" i="41"/>
  <c r="BX27" i="33"/>
  <c r="D159" i="41"/>
  <c r="BX19" i="33"/>
  <c r="BX25" i="33"/>
  <c r="D243" i="41"/>
  <c r="BY27" i="33"/>
  <c r="E271" i="41"/>
  <c r="BX15" i="33"/>
  <c r="D103" i="41"/>
  <c r="BY21" i="33"/>
  <c r="E187" i="41"/>
  <c r="F187" i="41"/>
  <c r="BZ21" i="33"/>
  <c r="BZ23" i="33"/>
  <c r="F215" i="41"/>
  <c r="M316" i="32" a="1"/>
  <c r="M316" i="32" s="1"/>
  <c r="D316" i="32" s="1"/>
  <c r="O316" i="32" a="1"/>
  <c r="O316" i="32" s="1"/>
  <c r="O322" i="32" a="1"/>
  <c r="O322" i="32" s="1"/>
  <c r="M322" i="32" a="1"/>
  <c r="M322" i="32" s="1"/>
  <c r="D322" i="32" s="1"/>
  <c r="O621" i="32" a="1"/>
  <c r="O621" i="32" s="1"/>
  <c r="N621" i="32" a="1"/>
  <c r="N621" i="32" s="1"/>
  <c r="E621" i="32" s="1"/>
  <c r="N629" i="32" a="1"/>
  <c r="N629" i="32" s="1"/>
  <c r="E629" i="32" s="1"/>
  <c r="O629" i="32" a="1"/>
  <c r="O629" i="32" s="1"/>
  <c r="O623" i="32" a="1"/>
  <c r="O623" i="32" s="1"/>
  <c r="N623" i="32" a="1"/>
  <c r="N623" i="32" s="1"/>
  <c r="E623" i="32" s="1"/>
  <c r="M623" i="32" a="1"/>
  <c r="M623" i="32" s="1"/>
  <c r="D623" i="32" s="1"/>
  <c r="N637" i="32" a="1"/>
  <c r="N637" i="32" s="1"/>
  <c r="E637" i="32" s="1"/>
  <c r="M637" i="32" a="1"/>
  <c r="M637" i="32" s="1"/>
  <c r="D637" i="32" s="1"/>
  <c r="O643" i="32" a="1"/>
  <c r="O643" i="32" s="1"/>
  <c r="N643" i="32" a="1"/>
  <c r="N643" i="32" s="1"/>
  <c r="E643" i="32" s="1"/>
  <c r="M643" i="32" a="1"/>
  <c r="M643" i="32" s="1"/>
  <c r="D643" i="32" s="1"/>
  <c r="O627" i="32" a="1"/>
  <c r="O627" i="32" s="1"/>
  <c r="N627" i="32" a="1"/>
  <c r="N627" i="32" s="1"/>
  <c r="E627" i="32" s="1"/>
  <c r="M627" i="32" a="1"/>
  <c r="M627" i="32" s="1"/>
  <c r="D627" i="32" s="1"/>
  <c r="O631" i="32" a="1"/>
  <c r="O631" i="32" s="1"/>
  <c r="M631" i="32" a="1"/>
  <c r="M631" i="32" s="1"/>
  <c r="D631" i="32" s="1"/>
  <c r="N631" i="32" a="1"/>
  <c r="N631" i="32" s="1"/>
  <c r="E631" i="32" s="1"/>
  <c r="N639" i="32" a="1"/>
  <c r="N639" i="32" s="1"/>
  <c r="E639" i="32" s="1"/>
  <c r="O639" i="32" a="1"/>
  <c r="O639" i="32" s="1"/>
  <c r="M639" i="32" a="1"/>
  <c r="M639" i="32" s="1"/>
  <c r="D639" i="32" s="1"/>
  <c r="N645" i="32" a="1"/>
  <c r="N645" i="32" s="1"/>
  <c r="E645" i="32" s="1"/>
  <c r="O645" i="32" a="1"/>
  <c r="O645" i="32" s="1"/>
  <c r="M633" i="32" a="1"/>
  <c r="M633" i="32" s="1"/>
  <c r="D633" i="32" s="1"/>
  <c r="N633" i="32" a="1"/>
  <c r="N633" i="32" s="1"/>
  <c r="E633" i="32" s="1"/>
  <c r="O633" i="32" a="1"/>
  <c r="O633" i="32" s="1"/>
  <c r="O647" i="32" a="1"/>
  <c r="O647" i="32" s="1"/>
  <c r="M647" i="32" a="1"/>
  <c r="M647" i="32" s="1"/>
  <c r="D647" i="32" s="1"/>
  <c r="N647" i="32" a="1"/>
  <c r="N647" i="32" s="1"/>
  <c r="E647" i="32" s="1"/>
  <c r="O641" i="32" a="1"/>
  <c r="O641" i="32" s="1"/>
  <c r="N641" i="32" a="1"/>
  <c r="N641" i="32" s="1"/>
  <c r="E641" i="32" s="1"/>
  <c r="M641" i="32" a="1"/>
  <c r="M641" i="32" s="1"/>
  <c r="D641" i="32" s="1"/>
  <c r="M635" i="32" a="1"/>
  <c r="M635" i="32" s="1"/>
  <c r="D635" i="32" s="1"/>
  <c r="O635" i="32" a="1"/>
  <c r="O635" i="32" s="1"/>
  <c r="N635" i="32" a="1"/>
  <c r="N635" i="32" s="1"/>
  <c r="E635" i="32" s="1"/>
  <c r="N649" i="32" a="1"/>
  <c r="N649" i="32" s="1"/>
  <c r="E649" i="32" s="1"/>
  <c r="M649" i="32" a="1"/>
  <c r="M649" i="32" s="1"/>
  <c r="D649" i="32" s="1"/>
  <c r="O649" i="32" a="1"/>
  <c r="O649" i="32" s="1"/>
  <c r="O653" i="32" a="1"/>
  <c r="O653" i="32" s="1"/>
  <c r="M653" i="32" a="1"/>
  <c r="M653" i="32" s="1"/>
  <c r="D653" i="32" s="1"/>
  <c r="N653" i="32" a="1"/>
  <c r="N653" i="32" s="1"/>
  <c r="E653" i="32" s="1"/>
  <c r="O651" i="32" a="1"/>
  <c r="O651" i="32" s="1"/>
  <c r="M651" i="32" a="1"/>
  <c r="M651" i="32" s="1"/>
  <c r="D651" i="32" s="1"/>
  <c r="M625" i="32" a="1"/>
  <c r="M625" i="32" s="1"/>
  <c r="D625" i="32" s="1"/>
  <c r="N625" i="32" a="1"/>
  <c r="N625" i="32" s="1"/>
  <c r="E625" i="32" s="1"/>
  <c r="O625" i="32" a="1"/>
  <c r="O625" i="32" s="1"/>
  <c r="K657" i="32"/>
  <c r="L655" i="32"/>
  <c r="M320" i="32" a="1"/>
  <c r="M320" i="32" s="1"/>
  <c r="D320" i="32" s="1"/>
  <c r="M326" i="32" a="1"/>
  <c r="M326" i="32" s="1"/>
  <c r="D326" i="32" s="1"/>
  <c r="N326" i="32" a="1"/>
  <c r="N326" i="32" s="1"/>
  <c r="E326" i="32" s="1"/>
  <c r="O320" i="32" a="1"/>
  <c r="O320" i="32" s="1"/>
  <c r="N324" i="32" a="1"/>
  <c r="N324" i="32" s="1"/>
  <c r="E324" i="32" s="1"/>
  <c r="M324" i="32" a="1"/>
  <c r="M324" i="32" s="1"/>
  <c r="D324" i="32" s="1"/>
  <c r="M328" i="32" a="1"/>
  <c r="M328" i="32" s="1"/>
  <c r="D328" i="32" s="1"/>
  <c r="N328" i="32" a="1"/>
  <c r="N328" i="32" s="1"/>
  <c r="E328" i="32" s="1"/>
  <c r="O328" i="32" a="1"/>
  <c r="O328" i="32" s="1"/>
  <c r="K332" i="32"/>
  <c r="L330" i="32"/>
  <c r="N318" i="32" a="1"/>
  <c r="N318" i="32" s="1"/>
  <c r="E318" i="32" s="1"/>
  <c r="O318" i="32" a="1"/>
  <c r="O318" i="32" s="1"/>
  <c r="M318" i="32" a="1"/>
  <c r="M318" i="32" s="1"/>
  <c r="D318" i="32" s="1"/>
  <c r="F3693" i="27"/>
  <c r="F3694" i="27"/>
  <c r="M10" i="32" a="1"/>
  <c r="M10" i="32" s="1"/>
  <c r="D10" i="32" s="1"/>
  <c r="K12" i="32"/>
  <c r="O10" i="32" a="1"/>
  <c r="O10" i="32" s="1"/>
  <c r="B596" i="27"/>
  <c r="N596" i="27"/>
  <c r="M596" i="27"/>
  <c r="H595" i="27"/>
  <c r="BG21" i="30"/>
  <c r="BF21" i="30"/>
  <c r="D195" i="39"/>
  <c r="AS22" i="30"/>
  <c r="D194" i="39"/>
  <c r="AS21" i="30"/>
  <c r="BG18" i="31"/>
  <c r="F141" i="40"/>
  <c r="BG17" i="31"/>
  <c r="F140" i="40"/>
  <c r="BE49" i="33"/>
  <c r="BD49" i="33" s="1"/>
  <c r="C577" i="41"/>
  <c r="BE34" i="33"/>
  <c r="BD33" i="33" s="1"/>
  <c r="C354" i="41"/>
  <c r="L1583" i="32"/>
  <c r="O1581" i="32" a="1"/>
  <c r="O1581" i="32" s="1"/>
  <c r="M1581" i="32" a="1"/>
  <c r="M1581" i="32" s="1"/>
  <c r="D1581" i="32" s="1"/>
  <c r="N1581" i="32" a="1"/>
  <c r="N1581" i="32" s="1"/>
  <c r="E1581" i="32" s="1"/>
  <c r="C465" i="41"/>
  <c r="BE41" i="33"/>
  <c r="BD41" i="33" s="1"/>
  <c r="Q1153" i="32"/>
  <c r="AE88" i="34"/>
  <c r="BY45" i="33" l="1"/>
  <c r="E523" i="41"/>
  <c r="BX45" i="33"/>
  <c r="D523" i="41"/>
  <c r="BZ31" i="33"/>
  <c r="F327" i="41"/>
  <c r="BZ45" i="33"/>
  <c r="F523" i="41"/>
  <c r="E355" i="41"/>
  <c r="BY33" i="33"/>
  <c r="BW43" i="33"/>
  <c r="C495" i="41"/>
  <c r="BX43" i="33"/>
  <c r="D495" i="41"/>
  <c r="F355" i="41"/>
  <c r="BZ33" i="33"/>
  <c r="F61" i="40"/>
  <c r="BL11" i="31"/>
  <c r="D327" i="41"/>
  <c r="BX31" i="33"/>
  <c r="E327" i="41"/>
  <c r="BY31" i="33"/>
  <c r="BJ11" i="31"/>
  <c r="D61" i="40"/>
  <c r="D355" i="41"/>
  <c r="BX33" i="33"/>
  <c r="O655" i="32" a="1"/>
  <c r="O655" i="32" s="1"/>
  <c r="N655" i="32" a="1"/>
  <c r="N655" i="32" s="1"/>
  <c r="E655" i="32" s="1"/>
  <c r="M655" i="32" a="1"/>
  <c r="M655" i="32" s="1"/>
  <c r="D655" i="32" s="1"/>
  <c r="K659" i="32"/>
  <c r="L657" i="32"/>
  <c r="O330" i="32" a="1"/>
  <c r="O330" i="32" s="1"/>
  <c r="M330" i="32" a="1"/>
  <c r="M330" i="32" s="1"/>
  <c r="D330" i="32" s="1"/>
  <c r="N330" i="32" a="1"/>
  <c r="N330" i="32" s="1"/>
  <c r="E330" i="32" s="1"/>
  <c r="K334" i="32"/>
  <c r="L332" i="32"/>
  <c r="K14" i="32"/>
  <c r="L12" i="32"/>
  <c r="F3695" i="27"/>
  <c r="H596" i="27"/>
  <c r="B597" i="27"/>
  <c r="N597" i="27"/>
  <c r="M597" i="27"/>
  <c r="BE21" i="30"/>
  <c r="AQ21" i="30"/>
  <c r="BC17" i="31"/>
  <c r="BT17" i="31" s="1"/>
  <c r="BV17" i="31" s="1"/>
  <c r="BA17" i="31" s="1"/>
  <c r="K459" i="41"/>
  <c r="L1625" i="32"/>
  <c r="N1625" i="32" s="1" a="1"/>
  <c r="N1625" i="32" s="1"/>
  <c r="E1625" i="32" s="1"/>
  <c r="L1585" i="32"/>
  <c r="M1583" i="32" a="1"/>
  <c r="M1583" i="32" s="1"/>
  <c r="D1583" i="32" s="1"/>
  <c r="N1583" i="32" a="1"/>
  <c r="N1583" i="32" s="1"/>
  <c r="E1583" i="32" s="1"/>
  <c r="O1583" i="32" a="1"/>
  <c r="O1583" i="32" s="1"/>
  <c r="L1627" i="32"/>
  <c r="Q1155" i="32"/>
  <c r="E142" i="40" l="1"/>
  <c r="BK17" i="31"/>
  <c r="BL17" i="31"/>
  <c r="F142" i="40"/>
  <c r="BJ17" i="31"/>
  <c r="D142" i="40"/>
  <c r="O657" i="32" a="1"/>
  <c r="O657" i="32" s="1"/>
  <c r="N657" i="32" a="1"/>
  <c r="N657" i="32" s="1"/>
  <c r="E657" i="32" s="1"/>
  <c r="M657" i="32" a="1"/>
  <c r="M657" i="32" s="1"/>
  <c r="D657" i="32" s="1"/>
  <c r="K661" i="32"/>
  <c r="L659" i="32"/>
  <c r="N332" i="32" a="1"/>
  <c r="N332" i="32" s="1"/>
  <c r="E332" i="32" s="1"/>
  <c r="O332" i="32" a="1"/>
  <c r="O332" i="32" s="1"/>
  <c r="M332" i="32" a="1"/>
  <c r="M332" i="32" s="1"/>
  <c r="D332" i="32" s="1"/>
  <c r="K336" i="32"/>
  <c r="L334" i="32"/>
  <c r="N12" i="32" a="1"/>
  <c r="N12" i="32" s="1"/>
  <c r="E12" i="32" s="1"/>
  <c r="M12" i="32" a="1"/>
  <c r="M12" i="32" s="1"/>
  <c r="D12" i="32" s="1"/>
  <c r="O12" i="32" a="1"/>
  <c r="O12" i="32" s="1"/>
  <c r="K16" i="32"/>
  <c r="L14" i="32"/>
  <c r="F3696" i="27"/>
  <c r="B598" i="27"/>
  <c r="N598" i="27"/>
  <c r="M598" i="27"/>
  <c r="H597" i="27"/>
  <c r="L602" i="32"/>
  <c r="O602" i="32" s="1" a="1"/>
  <c r="O602" i="32" s="1"/>
  <c r="M1625" i="32" a="1"/>
  <c r="M1625" i="32" s="1"/>
  <c r="D1625" i="32" s="1"/>
  <c r="O1625" i="32" a="1"/>
  <c r="O1625" i="32" s="1"/>
  <c r="L604" i="32"/>
  <c r="M1585" i="32" a="1"/>
  <c r="M1585" i="32" s="1"/>
  <c r="D1585" i="32" s="1"/>
  <c r="O1585" i="32" a="1"/>
  <c r="O1585" i="32" s="1"/>
  <c r="N1585" i="32" a="1"/>
  <c r="N1585" i="32" s="1"/>
  <c r="E1585" i="32" s="1"/>
  <c r="L1587" i="32"/>
  <c r="L1629" i="32"/>
  <c r="N1627" i="32" a="1"/>
  <c r="N1627" i="32" s="1"/>
  <c r="E1627" i="32" s="1"/>
  <c r="O1627" i="32" a="1"/>
  <c r="O1627" i="32" s="1"/>
  <c r="M1627" i="32" a="1"/>
  <c r="M1627" i="32" s="1"/>
  <c r="D1627" i="32" s="1"/>
  <c r="Q1157" i="32"/>
  <c r="K663" i="32" l="1"/>
  <c r="L661" i="32"/>
  <c r="O659" i="32" a="1"/>
  <c r="O659" i="32" s="1"/>
  <c r="M659" i="32" a="1"/>
  <c r="M659" i="32" s="1"/>
  <c r="D659" i="32" s="1"/>
  <c r="N659" i="32" a="1"/>
  <c r="N659" i="32" s="1"/>
  <c r="E659" i="32" s="1"/>
  <c r="K338" i="32"/>
  <c r="L336" i="32"/>
  <c r="M334" i="32" a="1"/>
  <c r="M334" i="32" s="1"/>
  <c r="D334" i="32" s="1"/>
  <c r="O334" i="32" a="1"/>
  <c r="O334" i="32" s="1"/>
  <c r="N334" i="32" a="1"/>
  <c r="N334" i="32" s="1"/>
  <c r="E334" i="32" s="1"/>
  <c r="N14" i="32" a="1"/>
  <c r="N14" i="32" s="1"/>
  <c r="E14" i="32" s="1"/>
  <c r="M14" i="32" a="1"/>
  <c r="M14" i="32" s="1"/>
  <c r="D14" i="32" s="1"/>
  <c r="O14" i="32" a="1"/>
  <c r="O14" i="32" s="1"/>
  <c r="K18" i="32"/>
  <c r="L16" i="32"/>
  <c r="F3697" i="27"/>
  <c r="H598" i="27"/>
  <c r="B599" i="27"/>
  <c r="M599" i="27"/>
  <c r="N599" i="27"/>
  <c r="M602" i="32" a="1"/>
  <c r="M602" i="32" s="1"/>
  <c r="D602" i="32" s="1"/>
  <c r="N602" i="32" a="1"/>
  <c r="N602" i="32" s="1"/>
  <c r="E602" i="32" s="1"/>
  <c r="N1587" i="32" a="1"/>
  <c r="N1587" i="32" s="1"/>
  <c r="E1587" i="32" s="1"/>
  <c r="O1587" i="32" a="1"/>
  <c r="O1587" i="32" s="1"/>
  <c r="M1587" i="32" a="1"/>
  <c r="M1587" i="32" s="1"/>
  <c r="D1587" i="32" s="1"/>
  <c r="L606" i="32"/>
  <c r="L1589" i="32"/>
  <c r="N604" i="32" a="1"/>
  <c r="N604" i="32" s="1"/>
  <c r="E604" i="32" s="1"/>
  <c r="M604" i="32" a="1"/>
  <c r="M604" i="32" s="1"/>
  <c r="D604" i="32" s="1"/>
  <c r="O604" i="32" a="1"/>
  <c r="O604" i="32" s="1"/>
  <c r="N1629" i="32" a="1"/>
  <c r="N1629" i="32" s="1"/>
  <c r="E1629" i="32" s="1"/>
  <c r="O1629" i="32" a="1"/>
  <c r="O1629" i="32" s="1"/>
  <c r="M1629" i="32" a="1"/>
  <c r="M1629" i="32" s="1"/>
  <c r="D1629" i="32" s="1"/>
  <c r="L1631" i="32"/>
  <c r="Q1159" i="32"/>
  <c r="H3681" i="27"/>
  <c r="F28" i="27"/>
  <c r="A54" i="32"/>
  <c r="N358" i="27"/>
  <c r="F506" i="27"/>
  <c r="H3519" i="27"/>
  <c r="G28" i="27"/>
  <c r="O245" i="27"/>
  <c r="I3453" i="27"/>
  <c r="I206" i="27"/>
  <c r="E491" i="27"/>
  <c r="G817" i="32"/>
  <c r="I3566" i="27"/>
  <c r="A88" i="32"/>
  <c r="A759" i="32"/>
  <c r="M370" i="27"/>
  <c r="A1023" i="32"/>
  <c r="A1025" i="32"/>
  <c r="H3385" i="27"/>
  <c r="M253" i="27" a="1"/>
  <c r="H3464" i="27"/>
  <c r="H254" i="27"/>
  <c r="G493" i="27"/>
  <c r="K388" i="27"/>
  <c r="I3573" i="27"/>
  <c r="A1071" i="32"/>
  <c r="A266" i="32"/>
  <c r="I3565" i="27"/>
  <c r="N248" i="27"/>
  <c r="A925" i="32"/>
  <c r="F2833" i="27"/>
  <c r="A12" i="32"/>
  <c r="E248" i="27"/>
  <c r="J2840" i="27"/>
  <c r="H3398" i="27"/>
  <c r="I372" i="27"/>
  <c r="J2859" i="27"/>
  <c r="N27" i="27"/>
  <c r="I3492" i="27"/>
  <c r="H3465" i="27"/>
  <c r="A641" i="32"/>
  <c r="J201" i="27"/>
  <c r="I2780" i="27"/>
  <c r="N182" i="27"/>
  <c r="G965" i="32"/>
  <c r="N135" i="27"/>
  <c r="A388" i="32"/>
  <c r="G3" i="27"/>
  <c r="H3581" i="27"/>
  <c r="A887" i="32"/>
  <c r="A785" i="32"/>
  <c r="A126" i="32"/>
  <c r="F23" i="27"/>
  <c r="F3" i="27"/>
  <c r="J379" i="27"/>
  <c r="P2834" i="27"/>
  <c r="N433" i="27"/>
  <c r="J194" i="27"/>
  <c r="I178" i="27"/>
  <c r="A1005" i="32"/>
  <c r="I3670" i="27"/>
  <c r="A196" i="32"/>
  <c r="I397" i="27"/>
  <c r="O499" i="27"/>
  <c r="H3460" i="27"/>
  <c r="A338" i="32"/>
  <c r="P504" i="27"/>
  <c r="I395" i="27"/>
  <c r="H3441" i="27"/>
  <c r="I154" i="27"/>
  <c r="I3652" i="27"/>
  <c r="E511" i="27"/>
  <c r="J497" i="27" a="1"/>
  <c r="A514" i="32"/>
  <c r="A881" i="32"/>
  <c r="N164" i="27"/>
  <c r="L23" i="27"/>
  <c r="N415" i="27"/>
  <c r="H25" i="27"/>
  <c r="A444" i="32"/>
  <c r="I3686" i="27"/>
  <c r="H3437" i="27"/>
  <c r="A949" i="32"/>
  <c r="R2839" i="27"/>
  <c r="G789" i="32"/>
  <c r="A20" i="32"/>
  <c r="O492" i="27"/>
  <c r="H3574" i="27"/>
  <c r="A166" i="32"/>
  <c r="I3480" i="27"/>
  <c r="H3648" i="27"/>
  <c r="A550" i="32"/>
  <c r="F256" i="27"/>
  <c r="I3443" i="27"/>
  <c r="L505" i="27"/>
  <c r="N140" i="27"/>
  <c r="R2810" i="27"/>
  <c r="AA25" i="33"/>
  <c r="E249" i="27"/>
  <c r="P2791" i="27"/>
  <c r="P2804" i="27"/>
  <c r="N507" i="27"/>
  <c r="H3387" i="27"/>
  <c r="P496" i="27"/>
  <c r="A466" i="32"/>
  <c r="A148" i="32"/>
  <c r="J166" i="27"/>
  <c r="H3469" i="27"/>
  <c r="I3384" i="27"/>
  <c r="A554" i="32"/>
  <c r="Q501" i="27"/>
  <c r="A879" i="32"/>
  <c r="H3576" i="27"/>
  <c r="A612" i="32"/>
  <c r="R2831" i="27"/>
  <c r="R489" i="27"/>
  <c r="J196" i="27"/>
  <c r="H3590" i="27"/>
  <c r="I3399" i="27"/>
  <c r="A130" i="32"/>
  <c r="G546" i="32"/>
  <c r="I3371" i="27"/>
  <c r="R2786" i="27"/>
  <c r="F2851" i="27"/>
  <c r="H19" i="27"/>
  <c r="H3379" i="27"/>
  <c r="N33" i="27"/>
  <c r="A440" i="32"/>
  <c r="H29" i="27"/>
  <c r="I3368" i="27"/>
  <c r="F494" i="27"/>
  <c r="M418" i="27"/>
  <c r="A933" i="32"/>
  <c r="J497" i="27" l="1"/>
  <c r="A2833" i="27"/>
  <c r="CB25" i="33"/>
  <c r="H243" i="41"/>
  <c r="A23" i="27"/>
  <c r="A2851" i="27"/>
  <c r="M253" i="27"/>
  <c r="A253" i="27" s="1"/>
  <c r="N661" i="32" a="1"/>
  <c r="N661" i="32" s="1"/>
  <c r="E661" i="32" s="1"/>
  <c r="O661" i="32" a="1"/>
  <c r="O661" i="32" s="1"/>
  <c r="M661" i="32" a="1"/>
  <c r="M661" i="32" s="1"/>
  <c r="D661" i="32" s="1"/>
  <c r="K665" i="32"/>
  <c r="L663" i="32"/>
  <c r="N336" i="32" a="1"/>
  <c r="N336" i="32" s="1"/>
  <c r="E336" i="32" s="1"/>
  <c r="O336" i="32" a="1"/>
  <c r="O336" i="32" s="1"/>
  <c r="M336" i="32" a="1"/>
  <c r="M336" i="32" s="1"/>
  <c r="D336" i="32" s="1"/>
  <c r="K340" i="32"/>
  <c r="L338" i="32"/>
  <c r="N16" i="32" a="1"/>
  <c r="N16" i="32" s="1"/>
  <c r="E16" i="32" s="1"/>
  <c r="O16" i="32" a="1"/>
  <c r="O16" i="32" s="1"/>
  <c r="M16" i="32" a="1"/>
  <c r="M16" i="32" s="1"/>
  <c r="D16" i="32" s="1"/>
  <c r="K20" i="32"/>
  <c r="L18" i="32"/>
  <c r="F3698" i="27"/>
  <c r="B600" i="27"/>
  <c r="N600" i="27"/>
  <c r="M600" i="27"/>
  <c r="H599" i="27"/>
  <c r="M1589" i="32" a="1"/>
  <c r="M1589" i="32" s="1"/>
  <c r="D1589" i="32" s="1"/>
  <c r="N1589" i="32" a="1"/>
  <c r="N1589" i="32" s="1"/>
  <c r="E1589" i="32" s="1"/>
  <c r="O1589" i="32" a="1"/>
  <c r="O1589" i="32" s="1"/>
  <c r="L1591" i="32"/>
  <c r="O606" i="32" a="1"/>
  <c r="O606" i="32" s="1"/>
  <c r="M606" i="32" a="1"/>
  <c r="M606" i="32" s="1"/>
  <c r="D606" i="32" s="1"/>
  <c r="N606" i="32" a="1"/>
  <c r="N606" i="32" s="1"/>
  <c r="E606" i="32" s="1"/>
  <c r="L608" i="32"/>
  <c r="O1631" i="32" a="1"/>
  <c r="O1631" i="32" s="1"/>
  <c r="M1631" i="32" a="1"/>
  <c r="M1631" i="32" s="1"/>
  <c r="D1631" i="32" s="1"/>
  <c r="N1631" i="32" a="1"/>
  <c r="N1631" i="32" s="1"/>
  <c r="E1631" i="32" s="1"/>
  <c r="L1633" i="32"/>
  <c r="Q1161" i="32"/>
  <c r="BZ53" i="33" l="1"/>
  <c r="F635" i="41"/>
  <c r="D635" i="41"/>
  <c r="BX53" i="33"/>
  <c r="E663" i="41"/>
  <c r="BY55" i="33"/>
  <c r="BX49" i="33"/>
  <c r="D579" i="41"/>
  <c r="D663" i="41"/>
  <c r="BX55" i="33"/>
  <c r="F663" i="41"/>
  <c r="BZ55" i="33"/>
  <c r="D607" i="41"/>
  <c r="BX51" i="33"/>
  <c r="AY21" i="30"/>
  <c r="E196" i="39"/>
  <c r="BY53" i="33"/>
  <c r="E635" i="41"/>
  <c r="F250" i="40"/>
  <c r="BL25" i="31"/>
  <c r="E250" i="40"/>
  <c r="BK25" i="31"/>
  <c r="AX21" i="30"/>
  <c r="D196" i="39"/>
  <c r="E607" i="41"/>
  <c r="BY51" i="33"/>
  <c r="D250" i="40"/>
  <c r="BJ25" i="31"/>
  <c r="F607" i="41"/>
  <c r="BZ51" i="33"/>
  <c r="E579" i="41"/>
  <c r="BY49" i="33"/>
  <c r="F223" i="40"/>
  <c r="BL23" i="31"/>
  <c r="AZ21" i="30"/>
  <c r="F196" i="39"/>
  <c r="BK23" i="31"/>
  <c r="E223" i="40"/>
  <c r="F579" i="41"/>
  <c r="BZ49" i="33"/>
  <c r="O663" i="32" a="1"/>
  <c r="O663" i="32" s="1"/>
  <c r="N663" i="32" a="1"/>
  <c r="N663" i="32" s="1"/>
  <c r="E663" i="32" s="1"/>
  <c r="M663" i="32" a="1"/>
  <c r="M663" i="32" s="1"/>
  <c r="D663" i="32" s="1"/>
  <c r="K667" i="32"/>
  <c r="L665" i="32"/>
  <c r="N338" i="32" a="1"/>
  <c r="N338" i="32" s="1"/>
  <c r="E338" i="32" s="1"/>
  <c r="O338" i="32" a="1"/>
  <c r="O338" i="32" s="1"/>
  <c r="M338" i="32" a="1"/>
  <c r="M338" i="32" s="1"/>
  <c r="D338" i="32" s="1"/>
  <c r="K342" i="32"/>
  <c r="L340" i="32"/>
  <c r="M18" i="32" a="1"/>
  <c r="M18" i="32" s="1"/>
  <c r="D18" i="32" s="1"/>
  <c r="N18" i="32" a="1"/>
  <c r="N18" i="32" s="1"/>
  <c r="E18" i="32" s="1"/>
  <c r="O18" i="32" a="1"/>
  <c r="O18" i="32" s="1"/>
  <c r="K22" i="32"/>
  <c r="L20" i="32"/>
  <c r="F3700" i="27"/>
  <c r="F3699" i="27"/>
  <c r="H600" i="27"/>
  <c r="B601" i="27"/>
  <c r="M601" i="27"/>
  <c r="N601" i="27"/>
  <c r="L1593" i="32"/>
  <c r="N608" i="32" a="1"/>
  <c r="N608" i="32" s="1"/>
  <c r="E608" i="32" s="1"/>
  <c r="M608" i="32" a="1"/>
  <c r="M608" i="32" s="1"/>
  <c r="D608" i="32" s="1"/>
  <c r="O608" i="32" a="1"/>
  <c r="O608" i="32" s="1"/>
  <c r="L610" i="32"/>
  <c r="N1591" i="32" a="1"/>
  <c r="N1591" i="32" s="1"/>
  <c r="E1591" i="32" s="1"/>
  <c r="M1591" i="32" a="1"/>
  <c r="M1591" i="32" s="1"/>
  <c r="D1591" i="32" s="1"/>
  <c r="O1591" i="32" a="1"/>
  <c r="O1591" i="32" s="1"/>
  <c r="O1633" i="32" a="1"/>
  <c r="O1633" i="32" s="1"/>
  <c r="M1633" i="32" a="1"/>
  <c r="M1633" i="32" s="1"/>
  <c r="D1633" i="32" s="1"/>
  <c r="N1633" i="32" a="1"/>
  <c r="N1633" i="32" s="1"/>
  <c r="E1633" i="32" s="1"/>
  <c r="L1635" i="32"/>
  <c r="Q1163" i="32"/>
  <c r="J396" i="27"/>
  <c r="E247" i="27"/>
  <c r="I171" i="27"/>
  <c r="A993" i="32"/>
  <c r="J172" i="27"/>
  <c r="H3573" i="27"/>
  <c r="I3679" i="27"/>
  <c r="J2819" i="27"/>
  <c r="K491" i="27"/>
  <c r="J2796" i="27"/>
  <c r="I3681" i="27"/>
  <c r="F2784" i="27"/>
  <c r="I3599" i="27"/>
  <c r="A474" i="32"/>
  <c r="F2837" i="27"/>
  <c r="X17" i="33"/>
  <c r="F2783" i="27"/>
  <c r="J2837" i="27"/>
  <c r="P2855" i="27"/>
  <c r="J26" i="27"/>
  <c r="I3518" i="27"/>
  <c r="N158" i="27"/>
  <c r="H3657" i="27"/>
  <c r="I141" i="27"/>
  <c r="I3523" i="27"/>
  <c r="I3601" i="27"/>
  <c r="A230" i="32"/>
  <c r="A1045" i="32"/>
  <c r="H3364" i="27"/>
  <c r="R503" i="27"/>
  <c r="E489" i="27"/>
  <c r="F490" i="27"/>
  <c r="A915" i="32"/>
  <c r="F501" i="27"/>
  <c r="A532" i="32"/>
  <c r="E255" i="27"/>
  <c r="A895" i="32"/>
  <c r="I3439" i="27"/>
  <c r="I3376" i="27"/>
  <c r="H3369" i="27"/>
  <c r="J433" i="27"/>
  <c r="A833" i="32"/>
  <c r="J142" i="27"/>
  <c r="G1099" i="32"/>
  <c r="G32" i="27"/>
  <c r="X67" i="33"/>
  <c r="G717" i="32"/>
  <c r="E513" i="27"/>
  <c r="A558" i="32"/>
  <c r="P508" i="27"/>
  <c r="F2832" i="27"/>
  <c r="R2787" i="27"/>
  <c r="F2798" i="27"/>
  <c r="A961" i="32"/>
  <c r="I3442" i="27"/>
  <c r="H3365" i="27"/>
  <c r="G248" i="27"/>
  <c r="I3528" i="27"/>
  <c r="O490" i="27"/>
  <c r="E492" i="27"/>
  <c r="G497" i="27"/>
  <c r="M412" i="27"/>
  <c r="I396" i="27"/>
  <c r="M200" i="27"/>
  <c r="M371" i="27"/>
  <c r="S509" i="27"/>
  <c r="H3446" i="27"/>
  <c r="G1133" i="32"/>
  <c r="J395" i="27"/>
  <c r="N495" i="27"/>
  <c r="J2794" i="27"/>
  <c r="I3513" i="27"/>
  <c r="A346" i="32"/>
  <c r="L513" i="27"/>
  <c r="H20" i="27"/>
  <c r="Q511" i="27"/>
  <c r="J418" i="27"/>
  <c r="H3651" i="27"/>
  <c r="K501" i="27"/>
  <c r="A803" i="32"/>
  <c r="A655" i="32"/>
  <c r="I443" i="27"/>
  <c r="I3447" i="27"/>
  <c r="H3591" i="27"/>
  <c r="H3585" i="27"/>
  <c r="H3" i="27"/>
  <c r="N373" i="27"/>
  <c r="H3388" i="27"/>
  <c r="F2781" i="27"/>
  <c r="J28" i="27"/>
  <c r="H3611" i="27"/>
  <c r="H22" i="27"/>
  <c r="N215" i="27"/>
  <c r="A997" i="32"/>
  <c r="A971" i="32"/>
  <c r="I3462" i="27"/>
  <c r="A699" i="32"/>
  <c r="S508" i="27"/>
  <c r="E20" i="27"/>
  <c r="H255" i="27"/>
  <c r="P2815" i="27"/>
  <c r="J484" i="27" a="1"/>
  <c r="I3588" i="27"/>
  <c r="G21" i="27"/>
  <c r="J407" i="27"/>
  <c r="J400" i="27"/>
  <c r="G246" i="27"/>
  <c r="H3613" i="27"/>
  <c r="H244" i="27"/>
  <c r="F2813" i="27"/>
  <c r="R2803" i="27"/>
  <c r="A394" i="32"/>
  <c r="N503" i="27"/>
  <c r="I3544" i="27"/>
  <c r="P2822" i="27"/>
  <c r="S501" i="27"/>
  <c r="I3577" i="27"/>
  <c r="G507" i="27"/>
  <c r="F493" i="27"/>
  <c r="E246" i="27"/>
  <c r="H3522" i="27"/>
  <c r="J2784" i="27"/>
  <c r="I3463" i="27"/>
  <c r="I212" i="27"/>
  <c r="J426" i="27"/>
  <c r="I3591" i="27"/>
  <c r="H3529" i="27"/>
  <c r="J437" i="27"/>
  <c r="L22" i="27"/>
  <c r="J254" i="27"/>
  <c r="I3380" i="27"/>
  <c r="A917" i="32"/>
  <c r="H26" i="27"/>
  <c r="R2829" i="27"/>
  <c r="I412" i="27"/>
  <c r="J445" i="27"/>
  <c r="A288" i="32"/>
  <c r="N401" i="27"/>
  <c r="I137" i="27"/>
  <c r="I373" i="27"/>
  <c r="J191" i="27"/>
  <c r="H3564" i="27"/>
  <c r="K498" i="27"/>
  <c r="A625" i="32"/>
  <c r="H3630" i="27"/>
  <c r="I3377" i="27"/>
  <c r="I420" i="27"/>
  <c r="H3543" i="27"/>
  <c r="A422" i="32"/>
  <c r="A893" i="32"/>
  <c r="A254" i="32"/>
  <c r="N414" i="27"/>
  <c r="M203" i="27"/>
  <c r="N397" i="27"/>
  <c r="I503" i="27"/>
  <c r="M154" i="27"/>
  <c r="J2847" i="27"/>
  <c r="H3477" i="27"/>
  <c r="J365" i="27"/>
  <c r="N485" i="27"/>
  <c r="P2848" i="27"/>
  <c r="A1065" i="32"/>
  <c r="A751" i="32"/>
  <c r="F2814" i="27"/>
  <c r="H3577" i="27"/>
  <c r="Q512" i="27"/>
  <c r="H3664" i="27"/>
  <c r="F2852" i="27"/>
  <c r="N494" i="27"/>
  <c r="K32" i="27"/>
  <c r="H3683" i="27"/>
  <c r="A436" i="32"/>
  <c r="K505" i="27"/>
  <c r="I401" i="27"/>
  <c r="G250" i="27"/>
  <c r="A526" i="32"/>
  <c r="A604" i="32"/>
  <c r="I3527" i="27"/>
  <c r="A835" i="32"/>
  <c r="I3575" i="27"/>
  <c r="J510" i="27" a="1"/>
  <c r="H3433" i="27"/>
  <c r="I495" i="27"/>
  <c r="A715" i="32"/>
  <c r="A1021" i="32"/>
  <c r="Q499" i="27"/>
  <c r="E488" i="27"/>
  <c r="H3427" i="27"/>
  <c r="N253" i="27"/>
  <c r="F2855" i="27"/>
  <c r="H3459" i="27"/>
  <c r="A510" i="32"/>
  <c r="J154" i="27"/>
  <c r="N436" i="27"/>
  <c r="A44" i="32"/>
  <c r="H3670" i="27"/>
  <c r="I3418" i="27"/>
  <c r="I3478" i="27"/>
  <c r="I3475" i="27"/>
  <c r="J415" i="27"/>
  <c r="A106" i="32"/>
  <c r="G647" i="32"/>
  <c r="A697" i="32"/>
  <c r="H3461" i="27"/>
  <c r="M147" i="27"/>
  <c r="F2788" i="27"/>
  <c r="A741" i="32"/>
  <c r="H3485" i="27"/>
  <c r="R2794" i="27"/>
  <c r="J496" i="27" a="1"/>
  <c r="I3455" i="27"/>
  <c r="R2834" i="27"/>
  <c r="A1115" i="32"/>
  <c r="A30" i="32"/>
  <c r="H3376" i="27"/>
  <c r="H3633" i="27"/>
  <c r="K497" i="27"/>
  <c r="R2833" i="27"/>
  <c r="A162" i="32"/>
  <c r="A232" i="32"/>
  <c r="J2783" i="27"/>
  <c r="N153" i="27"/>
  <c r="N243" i="27"/>
  <c r="I436" i="27"/>
  <c r="A522" i="32"/>
  <c r="I3387" i="27"/>
  <c r="I3636" i="27"/>
  <c r="O485" i="27"/>
  <c r="H251" i="27"/>
  <c r="K488" i="27"/>
  <c r="H246" i="27"/>
  <c r="G841" i="32"/>
  <c r="P2808" i="27"/>
  <c r="X31" i="31"/>
  <c r="G1035" i="32"/>
  <c r="I3667" i="27"/>
  <c r="P505" i="27"/>
  <c r="I208" i="27"/>
  <c r="A506" i="32"/>
  <c r="A855" i="32"/>
  <c r="J499" i="27" a="1"/>
  <c r="N359" i="27"/>
  <c r="G519" i="27"/>
  <c r="N246" i="27"/>
  <c r="G118" i="32"/>
  <c r="K484" i="27"/>
  <c r="I3391" i="27"/>
  <c r="G29" i="27"/>
  <c r="M206" i="27"/>
  <c r="K504" i="27"/>
  <c r="N396" i="27"/>
  <c r="A274" i="32"/>
  <c r="P2795" i="27"/>
  <c r="F2836" i="27"/>
  <c r="A1079" i="32"/>
  <c r="I188" i="27"/>
  <c r="F22" i="27"/>
  <c r="H3556" i="27"/>
  <c r="R506" i="27"/>
  <c r="S512" i="27"/>
  <c r="J370" i="27"/>
  <c r="J188" i="27"/>
  <c r="A74" i="32"/>
  <c r="F2782" i="27"/>
  <c r="I3441" i="27"/>
  <c r="R2801" i="27"/>
  <c r="O501" i="27"/>
  <c r="H3526" i="27"/>
  <c r="W511" i="27"/>
  <c r="H252" i="27"/>
  <c r="H3511" i="27"/>
  <c r="A935" i="32"/>
  <c r="I3398" i="27"/>
  <c r="R2855" i="27"/>
  <c r="N497" i="27"/>
  <c r="I3665" i="27"/>
  <c r="H3654" i="27"/>
  <c r="P2812" i="27"/>
  <c r="AA49" i="33"/>
  <c r="A404" i="32"/>
  <c r="E490" i="27"/>
  <c r="G689" i="32"/>
  <c r="R497" i="27"/>
  <c r="A1109" i="32"/>
  <c r="E29" i="31"/>
  <c r="I3553" i="27"/>
  <c r="I3457" i="27"/>
  <c r="I3548" i="27"/>
  <c r="M361" i="27"/>
  <c r="R2854" i="27"/>
  <c r="M153" i="27"/>
  <c r="E493" i="27"/>
  <c r="A1101" i="32"/>
  <c r="H3353" i="27"/>
  <c r="H21" i="27"/>
  <c r="I194" i="27"/>
  <c r="I508" i="27"/>
  <c r="J250" i="27"/>
  <c r="K494" i="27"/>
  <c r="H3521" i="27"/>
  <c r="A578" i="32"/>
  <c r="J2824" i="27"/>
  <c r="J183" i="27"/>
  <c r="N445" i="27"/>
  <c r="N257" i="27"/>
  <c r="A594" i="32"/>
  <c r="F2785" i="27"/>
  <c r="H3362" i="27"/>
  <c r="I3497" i="27"/>
  <c r="A482" i="32"/>
  <c r="J2817" i="27"/>
  <c r="R2820" i="27"/>
  <c r="H3431" i="27"/>
  <c r="H3429" i="27"/>
  <c r="R2811" i="27"/>
  <c r="H3589" i="27"/>
  <c r="O495" i="27"/>
  <c r="N206" i="27"/>
  <c r="A86" i="32"/>
  <c r="G26" i="27"/>
  <c r="P2800" i="27"/>
  <c r="G76" i="32"/>
  <c r="N171" i="27"/>
  <c r="I220" i="27"/>
  <c r="A10" i="32"/>
  <c r="O255" i="27"/>
  <c r="H3416" i="27"/>
  <c r="J255" i="27"/>
  <c r="A975" i="32"/>
  <c r="R2852" i="27"/>
  <c r="A420" i="32"/>
  <c r="A124" i="32"/>
  <c r="F2830" i="27"/>
  <c r="I3491" i="27"/>
  <c r="H3423" i="27"/>
  <c r="G512" i="27"/>
  <c r="H3532" i="27"/>
  <c r="A142" i="32"/>
  <c r="H24" i="27"/>
  <c r="J383" i="27"/>
  <c r="R2836" i="27"/>
  <c r="I3555" i="27"/>
  <c r="P11" i="31"/>
  <c r="G1115" i="32"/>
  <c r="Q494" i="27"/>
  <c r="M178" i="27"/>
  <c r="A711" i="32"/>
  <c r="A1095" i="32"/>
  <c r="A260" i="32"/>
  <c r="I437" i="27"/>
  <c r="M373" i="27"/>
  <c r="H3430" i="27"/>
  <c r="F497" i="27"/>
  <c r="R2789" i="27"/>
  <c r="I3537" i="27"/>
  <c r="G244" i="27"/>
  <c r="E503" i="27"/>
  <c r="A945" i="32"/>
  <c r="M191" i="27"/>
  <c r="M135" i="27"/>
  <c r="N22" i="27"/>
  <c r="M359" i="27"/>
  <c r="A1073" i="32"/>
  <c r="R2812" i="27"/>
  <c r="H3618" i="27"/>
  <c r="G935" i="32"/>
  <c r="R2792" i="27"/>
  <c r="J419" i="27"/>
  <c r="M19" i="27" a="1"/>
  <c r="A937" i="32"/>
  <c r="J420" i="27"/>
  <c r="F2817" i="27"/>
  <c r="A476" i="32"/>
  <c r="H3552" i="27"/>
  <c r="A464" i="32"/>
  <c r="I3576" i="27"/>
  <c r="P2780" i="27"/>
  <c r="A160" i="32"/>
  <c r="G72" i="32"/>
  <c r="N202" i="27"/>
  <c r="I3568" i="27"/>
  <c r="J147" i="27"/>
  <c r="M248" i="27" a="1"/>
  <c r="H3480" i="27"/>
  <c r="F2834" i="27"/>
  <c r="I3351" i="27"/>
  <c r="A661" i="32"/>
  <c r="R2781" i="27"/>
  <c r="H3579" i="27"/>
  <c r="A428" i="32"/>
  <c r="M243" i="27" a="1"/>
  <c r="I491" i="27"/>
  <c r="H3586" i="27"/>
  <c r="O513" i="27"/>
  <c r="N408" i="27"/>
  <c r="M218" i="27"/>
  <c r="I377" i="27"/>
  <c r="H3615" i="27"/>
  <c r="R509" i="27"/>
  <c r="H3533" i="27"/>
  <c r="H3366" i="27"/>
  <c r="R508" i="27"/>
  <c r="J2829" i="27"/>
  <c r="A829" i="32"/>
  <c r="I3629" i="27"/>
  <c r="G245" i="27"/>
  <c r="A673" i="32"/>
  <c r="H257" i="27"/>
  <c r="R501" i="27"/>
  <c r="H3458" i="27"/>
  <c r="H3371" i="27"/>
  <c r="A564" i="32"/>
  <c r="I3623" i="27"/>
  <c r="S486" i="27"/>
  <c r="H3682" i="27"/>
  <c r="R511" i="27"/>
  <c r="R2821" i="27"/>
  <c r="I3416" i="27"/>
  <c r="M378" i="27"/>
  <c r="R2845" i="27"/>
  <c r="I3432" i="27"/>
  <c r="A190" i="32"/>
  <c r="F2841" i="27"/>
  <c r="J391" i="27"/>
  <c r="A841" i="32"/>
  <c r="A927" i="32"/>
  <c r="G639" i="32"/>
  <c r="L27" i="31"/>
  <c r="T29" i="31"/>
  <c r="K489" i="27"/>
  <c r="I493" i="27"/>
  <c r="H3426" i="27"/>
  <c r="E498" i="27"/>
  <c r="R2783" i="27"/>
  <c r="A454" i="32"/>
  <c r="H3478" i="27"/>
  <c r="I3378" i="27"/>
  <c r="E487" i="27"/>
  <c r="A284" i="32"/>
  <c r="P2828" i="27"/>
  <c r="A36" i="32"/>
  <c r="A500" i="32"/>
  <c r="R2796" i="27"/>
  <c r="H27" i="27"/>
  <c r="J359" i="27"/>
  <c r="I3458" i="27"/>
  <c r="P2785" i="27"/>
  <c r="I3506" i="27"/>
  <c r="AD53" i="33"/>
  <c r="F26" i="27"/>
  <c r="J427" i="27"/>
  <c r="N385" i="27"/>
  <c r="N388" i="27"/>
  <c r="S499" i="27"/>
  <c r="I490" i="27"/>
  <c r="H3617" i="27"/>
  <c r="A931" i="32"/>
  <c r="A58" i="32"/>
  <c r="I433" i="27"/>
  <c r="I3348" i="27"/>
  <c r="I3526" i="27"/>
  <c r="F2845" i="27"/>
  <c r="G206" i="32"/>
  <c r="M358" i="27"/>
  <c r="G240" i="32"/>
  <c r="A492" i="32"/>
  <c r="H3454" i="27"/>
  <c r="E250" i="27"/>
  <c r="H3432" i="27"/>
  <c r="P485" i="27"/>
  <c r="F2795" i="27"/>
  <c r="A685" i="32"/>
  <c r="Q491" i="27"/>
  <c r="J2845" i="27"/>
  <c r="A324" i="32"/>
  <c r="P37" i="30"/>
  <c r="F61" i="33"/>
  <c r="A863" i="32"/>
  <c r="G679" i="32"/>
  <c r="A606" i="32"/>
  <c r="J487" i="27" a="1"/>
  <c r="J214" i="27"/>
  <c r="A112" i="32"/>
  <c r="F2829" i="27"/>
  <c r="H3448" i="27"/>
  <c r="A478" i="32"/>
  <c r="S495" i="27"/>
  <c r="A598" i="32"/>
  <c r="I364" i="27"/>
  <c r="P2799" i="27"/>
  <c r="P484" i="27"/>
  <c r="H3587" i="27"/>
  <c r="A136" i="32"/>
  <c r="P25" i="30"/>
  <c r="N201" i="27"/>
  <c r="A128" i="32"/>
  <c r="J2802" i="27"/>
  <c r="P2816" i="27"/>
  <c r="A1103" i="32"/>
  <c r="E502" i="27"/>
  <c r="I3370" i="27"/>
  <c r="A831" i="32"/>
  <c r="Q498" i="27"/>
  <c r="M143" i="27"/>
  <c r="I3445" i="27"/>
  <c r="A761" i="32"/>
  <c r="A779" i="32"/>
  <c r="P2824" i="27"/>
  <c r="M414" i="27"/>
  <c r="H3436" i="27"/>
  <c r="A494" i="32"/>
  <c r="A64" i="32"/>
  <c r="L30" i="27"/>
  <c r="R2818" i="27"/>
  <c r="H3449" i="27"/>
  <c r="G505" i="27"/>
  <c r="N189" i="27"/>
  <c r="M360" i="27"/>
  <c r="I3350" i="27"/>
  <c r="M219" i="27"/>
  <c r="G911" i="32"/>
  <c r="I3395" i="27"/>
  <c r="N249" i="27"/>
  <c r="P494" i="27"/>
  <c r="I3419" i="27"/>
  <c r="S513" i="27"/>
  <c r="S485" i="27"/>
  <c r="G252" i="27"/>
  <c r="A22" i="32"/>
  <c r="I487" i="27"/>
  <c r="O254" i="27"/>
  <c r="I3488" i="27"/>
  <c r="K486" i="27"/>
  <c r="H3386" i="27"/>
  <c r="K496" i="27"/>
  <c r="K20" i="27"/>
  <c r="M134" i="27"/>
  <c r="A14" i="32"/>
  <c r="I3666" i="27"/>
  <c r="H3616" i="27"/>
  <c r="I378" i="27"/>
  <c r="M406" i="27"/>
  <c r="L502" i="27"/>
  <c r="P500" i="27"/>
  <c r="H3393" i="27"/>
  <c r="A224" i="32"/>
  <c r="A865" i="32"/>
  <c r="A1085" i="32"/>
  <c r="H3642" i="27"/>
  <c r="A238" i="32"/>
  <c r="U43" i="33"/>
  <c r="M382" i="27"/>
  <c r="N252" i="27"/>
  <c r="F2811" i="27"/>
  <c r="I3417" i="27"/>
  <c r="A134" i="32"/>
  <c r="N245" i="27"/>
  <c r="M391" i="27"/>
  <c r="A328" i="32"/>
  <c r="P509" i="27"/>
  <c r="P2839" i="27"/>
  <c r="A488" i="32"/>
  <c r="H3381" i="27"/>
  <c r="A1061" i="32"/>
  <c r="E227" i="27"/>
  <c r="I3357" i="27"/>
  <c r="S492" i="27"/>
  <c r="G27" i="27"/>
  <c r="I176" i="27"/>
  <c r="I3414" i="27"/>
  <c r="N134" i="27"/>
  <c r="I3530" i="27"/>
  <c r="J424" i="27"/>
  <c r="I3597" i="27"/>
  <c r="P2859" i="27"/>
  <c r="I3444" i="27"/>
  <c r="R2842" i="27"/>
  <c r="I425" i="27"/>
  <c r="M2" i="28"/>
  <c r="H3569" i="27"/>
  <c r="A677" i="32"/>
  <c r="E251" i="27"/>
  <c r="F2819" i="27"/>
  <c r="F2807" i="27"/>
  <c r="E23" i="27"/>
  <c r="P2798" i="27"/>
  <c r="H3400" i="27"/>
  <c r="A1033" i="32"/>
  <c r="R2843" i="27"/>
  <c r="I3677" i="27"/>
  <c r="H3646" i="27"/>
  <c r="O496" i="27"/>
  <c r="G1037" i="32"/>
  <c r="J2843" i="27"/>
  <c r="J2846" i="27"/>
  <c r="A1019" i="32"/>
  <c r="I3422" i="27"/>
  <c r="I499" i="27"/>
  <c r="P506" i="27"/>
  <c r="O506" i="27"/>
  <c r="H3472" i="27"/>
  <c r="H3503" i="27"/>
  <c r="N407" i="27"/>
  <c r="E26" i="27"/>
  <c r="J221" i="27"/>
  <c r="J361" i="27"/>
  <c r="A176" i="32"/>
  <c r="H3361" i="27"/>
  <c r="N438" i="27"/>
  <c r="I3539" i="27"/>
  <c r="H3351" i="27"/>
  <c r="A100" i="32"/>
  <c r="F2823" i="27"/>
  <c r="I3498" i="27"/>
  <c r="I201" i="27"/>
  <c r="N443" i="27"/>
  <c r="Q485" i="27"/>
  <c r="I3437" i="27"/>
  <c r="I134" i="27"/>
  <c r="G667" i="32"/>
  <c r="A721" i="32"/>
  <c r="F492" i="27"/>
  <c r="A540" i="32"/>
  <c r="A184" i="32"/>
  <c r="M415" i="27"/>
  <c r="I3415" i="27"/>
  <c r="F2849" i="27"/>
  <c r="H3527" i="27"/>
  <c r="I3559" i="27"/>
  <c r="I3401" i="27"/>
  <c r="P2781" i="27"/>
  <c r="I3635" i="27"/>
  <c r="P511" i="27"/>
  <c r="I370" i="27"/>
  <c r="A1027" i="32"/>
  <c r="G855" i="32"/>
  <c r="S511" i="27"/>
  <c r="H3583" i="27"/>
  <c r="Q506" i="27"/>
  <c r="P2825" i="27"/>
  <c r="S505" i="27"/>
  <c r="J2834" i="27"/>
  <c r="H3492" i="27"/>
  <c r="N437" i="27"/>
  <c r="I3486" i="27"/>
  <c r="M419" i="27"/>
  <c r="G262" i="32"/>
  <c r="G985" i="32"/>
  <c r="A344" i="32"/>
  <c r="R505" i="27"/>
  <c r="I3392" i="27"/>
  <c r="H3541" i="27"/>
  <c r="R2841" i="27"/>
  <c r="K22" i="27"/>
  <c r="A382" i="32"/>
  <c r="O504" i="27"/>
  <c r="J2800" i="27"/>
  <c r="I421" i="27"/>
  <c r="I358" i="27"/>
  <c r="N190" i="27"/>
  <c r="A813" i="32"/>
  <c r="A52" i="32"/>
  <c r="A26" i="32"/>
  <c r="M257" i="27" a="1"/>
  <c r="J30" i="27"/>
  <c r="R2806" i="27"/>
  <c r="A208" i="32"/>
  <c r="I3593" i="27"/>
  <c r="I207" i="27"/>
  <c r="A1029" i="32"/>
  <c r="A40" i="32"/>
  <c r="J2832" i="27"/>
  <c r="M159" i="27"/>
  <c r="I3369" i="27"/>
  <c r="P503" i="27"/>
  <c r="A859" i="32"/>
  <c r="A608" i="32"/>
  <c r="I3355" i="27"/>
  <c r="L506" i="27"/>
  <c r="I3619" i="27"/>
  <c r="J2831" i="27"/>
  <c r="M202" i="27"/>
  <c r="P492" i="27"/>
  <c r="N513" i="27"/>
  <c r="G406" i="32"/>
  <c r="G364" i="32"/>
  <c r="A907" i="32"/>
  <c r="J489" i="27" a="1"/>
  <c r="P2858" i="27"/>
  <c r="I484" i="27"/>
  <c r="H3563" i="27"/>
  <c r="H3434" i="27"/>
  <c r="M220" i="27"/>
  <c r="P499" i="27"/>
  <c r="A799" i="32"/>
  <c r="A757" i="32"/>
  <c r="I3598" i="27"/>
  <c r="A316" i="32"/>
  <c r="A1077" i="32"/>
  <c r="N409" i="27"/>
  <c r="I415" i="27"/>
  <c r="A703" i="32"/>
  <c r="A783" i="32"/>
  <c r="N177" i="27"/>
  <c r="A1093" i="32"/>
  <c r="I3456" i="27"/>
  <c r="A318" i="32"/>
  <c r="J2849" i="27"/>
  <c r="G498" i="27"/>
  <c r="A645" i="32"/>
  <c r="A210" i="32"/>
  <c r="I3431" i="27"/>
  <c r="H250" i="27"/>
  <c r="E494" i="27"/>
  <c r="Q508" i="27"/>
  <c r="S497" i="27"/>
  <c r="A623" i="32"/>
  <c r="I402" i="27"/>
  <c r="P498" i="27"/>
  <c r="E508" i="27"/>
  <c r="H3554" i="27"/>
  <c r="A286" i="32"/>
  <c r="A416" i="32"/>
  <c r="A222" i="32"/>
  <c r="Q500" i="27"/>
  <c r="A1039" i="32"/>
  <c r="R67" i="33"/>
  <c r="P2821" i="27"/>
  <c r="K502" i="27"/>
  <c r="H3504" i="27"/>
  <c r="H3652" i="27"/>
  <c r="A911" i="32"/>
  <c r="K29" i="27"/>
  <c r="I3449" i="27"/>
  <c r="L494" i="27"/>
  <c r="J491" i="27" a="1"/>
  <c r="O252" i="27"/>
  <c r="E501" i="27"/>
  <c r="H3422" i="27"/>
  <c r="A973" i="32"/>
  <c r="J2791" i="27"/>
  <c r="F254" i="27"/>
  <c r="M445" i="27"/>
  <c r="E22" i="27"/>
  <c r="H3406" i="27"/>
  <c r="M437" i="27"/>
  <c r="A116" i="32"/>
  <c r="A408" i="32"/>
  <c r="I444" i="27"/>
  <c r="A132" i="32"/>
  <c r="I3349" i="27"/>
  <c r="H3653" i="27"/>
  <c r="H3414" i="27"/>
  <c r="A212" i="32"/>
  <c r="P2844" i="27"/>
  <c r="I3505" i="27"/>
  <c r="K508" i="27"/>
  <c r="A857" i="32"/>
  <c r="I489" i="27"/>
  <c r="R499" i="27"/>
  <c r="I200" i="27"/>
  <c r="A80" i="32"/>
  <c r="A635" i="32"/>
  <c r="A280" i="32"/>
  <c r="M149" i="27"/>
  <c r="I202" i="27"/>
  <c r="J2828" i="27"/>
  <c r="I3642" i="27"/>
  <c r="H3621" i="27"/>
  <c r="H3453" i="27"/>
  <c r="R2828" i="27"/>
  <c r="I3581" i="27"/>
  <c r="R502" i="27"/>
  <c r="A709" i="32"/>
  <c r="H3483" i="27"/>
  <c r="I3405" i="27"/>
  <c r="A378" i="32"/>
  <c r="A50" i="32"/>
  <c r="M444" i="27"/>
  <c r="A68" i="32"/>
  <c r="I3485" i="27"/>
  <c r="I3543" i="27"/>
  <c r="J244" i="27"/>
  <c r="I3472" i="27"/>
  <c r="A322" i="32"/>
  <c r="H3471" i="27"/>
  <c r="I3531" i="27"/>
  <c r="H3412" i="27"/>
  <c r="N188" i="27"/>
  <c r="P2847" i="27"/>
  <c r="J501" i="27" a="1"/>
  <c r="R2857" i="27"/>
  <c r="A749" i="32"/>
  <c r="AA43" i="33"/>
  <c r="P2811" i="27"/>
  <c r="R2848" i="27"/>
  <c r="J27" i="27"/>
  <c r="A432" i="32"/>
  <c r="H3505" i="27"/>
  <c r="H3517" i="27"/>
  <c r="O502" i="27"/>
  <c r="I3482" i="27"/>
  <c r="J20" i="27"/>
  <c r="K513" i="27"/>
  <c r="A793" i="32"/>
  <c r="N136" i="27"/>
  <c r="H249" i="27"/>
  <c r="AD59" i="33"/>
  <c r="J2810" i="27"/>
  <c r="I507" i="27"/>
  <c r="I179" i="27"/>
  <c r="R2823" i="27"/>
  <c r="H3643" i="27"/>
  <c r="A1053" i="32"/>
  <c r="K507" i="27"/>
  <c r="M364" i="27"/>
  <c r="M426" i="27"/>
  <c r="A955" i="32"/>
  <c r="A999" i="32"/>
  <c r="A691" i="32"/>
  <c r="I3632" i="27"/>
  <c r="AD55" i="33"/>
  <c r="H3486" i="27"/>
  <c r="N402" i="27"/>
  <c r="H3403" i="27"/>
  <c r="I3641" i="27"/>
  <c r="H248" i="27"/>
  <c r="G947" i="32"/>
  <c r="I3653" i="27"/>
  <c r="A486" i="32"/>
  <c r="A414" i="32"/>
  <c r="M390" i="27"/>
  <c r="X37" i="33"/>
  <c r="I164" i="27"/>
  <c r="N28" i="27"/>
  <c r="H23" i="27"/>
  <c r="J189" i="27"/>
  <c r="AJ43" i="33"/>
  <c r="I3522" i="27"/>
  <c r="A220" i="32"/>
  <c r="M252" i="27" a="1"/>
  <c r="R63" i="33"/>
  <c r="E25" i="31"/>
  <c r="R2790" i="27"/>
  <c r="A713" i="32"/>
  <c r="J141" i="27"/>
  <c r="J2855" i="27"/>
  <c r="M148" i="27"/>
  <c r="M182" i="27"/>
  <c r="A342" i="32"/>
  <c r="A562" i="32"/>
  <c r="J152" i="27"/>
  <c r="H3417" i="27"/>
  <c r="D23" i="27"/>
  <c r="R2850" i="27"/>
  <c r="H3656" i="27"/>
  <c r="J2823" i="27"/>
  <c r="A34" i="32"/>
  <c r="N421" i="27"/>
  <c r="S493" i="27"/>
  <c r="J155" i="27"/>
  <c r="AJ9" i="33"/>
  <c r="I3633" i="27"/>
  <c r="E27" i="27"/>
  <c r="N439" i="27"/>
  <c r="I3446" i="27"/>
  <c r="K495" i="27"/>
  <c r="H3389" i="27"/>
  <c r="H3466" i="27"/>
  <c r="J2793" i="27"/>
  <c r="I3578" i="27"/>
  <c r="A290" i="32"/>
  <c r="N511" i="27"/>
  <c r="G491" i="27"/>
  <c r="I3496" i="27"/>
  <c r="F502" i="27"/>
  <c r="I3616" i="27"/>
  <c r="K25" i="27"/>
  <c r="A282" i="32"/>
  <c r="M212" i="27"/>
  <c r="A302" i="32"/>
  <c r="A1015" i="32"/>
  <c r="I3649" i="27"/>
  <c r="N143" i="27"/>
  <c r="A929" i="32"/>
  <c r="F2831" i="27"/>
  <c r="I3574" i="27"/>
  <c r="H3641" i="27"/>
  <c r="F510" i="27"/>
  <c r="A334" i="32"/>
  <c r="A921" i="32"/>
  <c r="X47" i="33"/>
  <c r="A192" i="32"/>
  <c r="M389" i="27"/>
  <c r="I3661" i="27"/>
  <c r="H3475" i="27"/>
  <c r="H3584" i="27"/>
  <c r="I3521" i="27"/>
  <c r="G1073" i="32"/>
  <c r="M164" i="27"/>
  <c r="G31" i="27"/>
  <c r="A773" i="32"/>
  <c r="I3495" i="27"/>
  <c r="H3390" i="27"/>
  <c r="R2795" i="27"/>
  <c r="H3420" i="27"/>
  <c r="H3530" i="27"/>
  <c r="H3509" i="27"/>
  <c r="H3623" i="27"/>
  <c r="H3673" i="27"/>
  <c r="H3539" i="27"/>
  <c r="A38" i="32"/>
  <c r="J2839" i="27"/>
  <c r="N148" i="27"/>
  <c r="H3399" i="27"/>
  <c r="L19" i="30"/>
  <c r="A1089" i="32"/>
  <c r="F505" i="27"/>
  <c r="H3592" i="27"/>
  <c r="J143" i="27"/>
  <c r="I3606" i="27"/>
  <c r="Q490" i="27"/>
  <c r="R2858" i="27"/>
  <c r="H3582" i="27"/>
  <c r="I3589" i="27"/>
  <c r="G226" i="32"/>
  <c r="N247" i="27"/>
  <c r="J403" i="27"/>
  <c r="R2785" i="27"/>
  <c r="I382" i="27"/>
  <c r="A452" i="32"/>
  <c r="E21" i="27"/>
  <c r="F2820" i="27"/>
  <c r="I3572" i="27"/>
  <c r="P2794" i="27"/>
  <c r="F2787" i="27"/>
  <c r="K512" i="27"/>
  <c r="E254" i="27"/>
  <c r="O256" i="27"/>
  <c r="L25" i="27"/>
  <c r="H3358" i="27"/>
  <c r="I488" i="27"/>
  <c r="M376" i="27"/>
  <c r="A811" i="32"/>
  <c r="H3535" i="27"/>
  <c r="A1123" i="32"/>
  <c r="H3428" i="27"/>
  <c r="A683" i="32"/>
  <c r="I166" i="27"/>
  <c r="A753" i="32"/>
  <c r="H3578" i="27"/>
  <c r="M431" i="27"/>
  <c r="A358" i="32"/>
  <c r="R2849" i="27"/>
  <c r="S502" i="27"/>
  <c r="H3502" i="27"/>
  <c r="A1013" i="32"/>
  <c r="J492" i="27" a="1"/>
  <c r="H3685" i="27"/>
  <c r="G909" i="32"/>
  <c r="A396" i="32"/>
  <c r="M250" i="27" a="1"/>
  <c r="A368" i="32"/>
  <c r="A576" i="32"/>
  <c r="N430" i="27"/>
  <c r="L510" i="27"/>
  <c r="I3644" i="27"/>
  <c r="H3455" i="27"/>
  <c r="A873" i="32"/>
  <c r="J408" i="27"/>
  <c r="A1119" i="32"/>
  <c r="I3600" i="27"/>
  <c r="J253" i="27"/>
  <c r="A669" i="32"/>
  <c r="J439" i="27"/>
  <c r="L21" i="27"/>
  <c r="I3347" i="27"/>
  <c r="H3604" i="27"/>
  <c r="A462" i="32"/>
  <c r="G719" i="32"/>
  <c r="J19" i="27"/>
  <c r="A70" i="32"/>
  <c r="G484" i="32"/>
  <c r="I3484" i="27"/>
  <c r="N183" i="27"/>
  <c r="P2831" i="27"/>
  <c r="R2835" i="27"/>
  <c r="G606" i="32"/>
  <c r="G1075" i="32"/>
  <c r="A582" i="32"/>
  <c r="J213" i="27"/>
  <c r="F247" i="27"/>
  <c r="L3" i="27"/>
  <c r="I365" i="27"/>
  <c r="A1055" i="32"/>
  <c r="H3559" i="27"/>
  <c r="N21" i="27"/>
  <c r="I3362" i="27"/>
  <c r="F2858" i="27"/>
  <c r="N509" i="27"/>
  <c r="J173" i="27"/>
  <c r="J2812" i="27"/>
  <c r="J2786" i="27"/>
  <c r="O498" i="27"/>
  <c r="A1011" i="32"/>
  <c r="G518" i="32"/>
  <c r="J438" i="27"/>
  <c r="H32" i="27"/>
  <c r="A695" i="32"/>
  <c r="I504" i="27"/>
  <c r="M176" i="27"/>
  <c r="I3658" i="27"/>
  <c r="O484" i="27"/>
  <c r="H3507" i="27"/>
  <c r="I3628" i="27"/>
  <c r="G560" i="32"/>
  <c r="N213" i="27"/>
  <c r="AJ31" i="33"/>
  <c r="A538" i="32"/>
  <c r="M377" i="27"/>
  <c r="A909" i="32"/>
  <c r="A923" i="32"/>
  <c r="R2784" i="27"/>
  <c r="H3438" i="27"/>
  <c r="A32" i="32"/>
  <c r="I3646" i="27"/>
  <c r="K500" i="27"/>
  <c r="J2809" i="27"/>
  <c r="F508" i="27"/>
  <c r="H3649" i="27"/>
  <c r="H3395" i="27"/>
  <c r="N185" i="27"/>
  <c r="A418" i="32"/>
  <c r="I3403" i="27"/>
  <c r="A943" i="32"/>
  <c r="I3582" i="27"/>
  <c r="G16" i="32"/>
  <c r="G227" i="27"/>
  <c r="O227" i="27"/>
  <c r="A392" i="32"/>
  <c r="A1051" i="32"/>
  <c r="I442" i="27"/>
  <c r="X29" i="33"/>
  <c r="G889" i="32"/>
  <c r="G511" i="27"/>
  <c r="A981" i="32"/>
  <c r="H3619" i="27"/>
  <c r="A693" i="32"/>
  <c r="I3563" i="27"/>
  <c r="R492" i="27"/>
  <c r="L512" i="27"/>
  <c r="J367" i="27"/>
  <c r="A508" i="32"/>
  <c r="G34" i="32"/>
  <c r="M408" i="27"/>
  <c r="A172" i="32"/>
  <c r="M188" i="27"/>
  <c r="I3519" i="27"/>
  <c r="I158" i="27"/>
  <c r="K493" i="27"/>
  <c r="I497" i="27"/>
  <c r="F2844" i="27"/>
  <c r="A430" i="32"/>
  <c r="L28" i="27"/>
  <c r="N496" i="27"/>
  <c r="M190" i="27"/>
  <c r="I3620" i="27"/>
  <c r="A114" i="32"/>
  <c r="G522" i="32"/>
  <c r="M172" i="27"/>
  <c r="K31" i="27"/>
  <c r="A214" i="32"/>
  <c r="A819" i="32"/>
  <c r="N30" i="27"/>
  <c r="T37" i="30"/>
  <c r="I3664" i="27"/>
  <c r="A580" i="32"/>
  <c r="A434" i="32"/>
  <c r="A90" i="32"/>
  <c r="G602" i="32"/>
  <c r="H3547" i="27"/>
  <c r="F513" i="27"/>
  <c r="N361" i="27"/>
  <c r="G509" i="27"/>
  <c r="A717" i="32"/>
  <c r="G949" i="32"/>
  <c r="J442" i="27"/>
  <c r="F2859" i="27"/>
  <c r="F511" i="27"/>
  <c r="L27" i="30"/>
  <c r="K33" i="27"/>
  <c r="O257" i="27"/>
  <c r="A480" i="32"/>
  <c r="N419" i="27"/>
  <c r="Q493" i="27"/>
  <c r="A592" i="32"/>
  <c r="I432" i="27"/>
  <c r="A256" i="32"/>
  <c r="R2815" i="27"/>
  <c r="P2823" i="27"/>
  <c r="I3674" i="27"/>
  <c r="A94" i="32"/>
  <c r="Q496" i="27"/>
  <c r="G1059" i="32"/>
  <c r="F2780" i="27"/>
  <c r="A372" i="32"/>
  <c r="I3554" i="27"/>
  <c r="I167" i="27"/>
  <c r="G478" i="32"/>
  <c r="L499" i="27"/>
  <c r="G867" i="32"/>
  <c r="A354" i="32"/>
  <c r="H3666" i="27"/>
  <c r="A639" i="32"/>
  <c r="H3419" i="27"/>
  <c r="F25" i="27"/>
  <c r="P2856" i="27"/>
  <c r="A458" i="32"/>
  <c r="R2830" i="27"/>
  <c r="L487" i="27"/>
  <c r="A837" i="32"/>
  <c r="G152" i="32"/>
  <c r="A647" i="32"/>
  <c r="I3558" i="27"/>
  <c r="M246" i="27" a="1"/>
  <c r="P495" i="27"/>
  <c r="A1057" i="32"/>
  <c r="H3518" i="27"/>
  <c r="A687" i="32"/>
  <c r="A633" i="32"/>
  <c r="E28" i="27"/>
  <c r="I3547" i="27"/>
  <c r="H3374" i="27"/>
  <c r="A967" i="32"/>
  <c r="I3529" i="27"/>
  <c r="G490" i="27"/>
  <c r="K19" i="27"/>
  <c r="L495" i="27"/>
  <c r="I160" i="27"/>
  <c r="I3388" i="27"/>
  <c r="A847" i="32"/>
  <c r="N214" i="27"/>
  <c r="N221" i="27"/>
  <c r="H3561" i="27"/>
  <c r="P2793" i="27"/>
  <c r="L24" i="27"/>
  <c r="A364" i="32"/>
  <c r="N194" i="27"/>
  <c r="P488" i="27"/>
  <c r="H3457" i="27"/>
  <c r="H3495" i="27"/>
  <c r="X39" i="33"/>
  <c r="U9" i="33"/>
  <c r="I3433" i="27"/>
  <c r="I3671" i="27"/>
  <c r="M430" i="27"/>
  <c r="A262" i="32"/>
  <c r="M433" i="27"/>
  <c r="H245" i="27"/>
  <c r="I3483" i="27"/>
  <c r="I371" i="27"/>
  <c r="I136" i="27"/>
  <c r="I3487" i="27"/>
  <c r="H3498" i="27"/>
  <c r="I3476" i="27"/>
  <c r="J2814" i="27"/>
  <c r="M396" i="27"/>
  <c r="Q486" i="27"/>
  <c r="J203" i="27"/>
  <c r="A560" i="32"/>
  <c r="O486" i="27"/>
  <c r="N426" i="27"/>
  <c r="A570" i="32"/>
  <c r="I427" i="27"/>
  <c r="G162" i="32"/>
  <c r="I3400" i="27"/>
  <c r="O251" i="27"/>
  <c r="F2818" i="27"/>
  <c r="P2814" i="27"/>
  <c r="A883" i="32"/>
  <c r="X61" i="33"/>
  <c r="I3511" i="27"/>
  <c r="I3474" i="27"/>
  <c r="A1049" i="32"/>
  <c r="A659" i="32"/>
  <c r="I135" i="27"/>
  <c r="D227" i="27"/>
  <c r="M247" i="27" a="1"/>
  <c r="J2807" i="27"/>
  <c r="A164" i="32"/>
  <c r="N178" i="27"/>
  <c r="M400" i="27"/>
  <c r="J2801" i="27"/>
  <c r="H3487" i="27"/>
  <c r="A649" i="32"/>
  <c r="I184" i="27"/>
  <c r="M427" i="27"/>
  <c r="G683" i="32"/>
  <c r="M413" i="27"/>
  <c r="F33" i="27"/>
  <c r="N389" i="27"/>
  <c r="H3378" i="27"/>
  <c r="P2845" i="27"/>
  <c r="G663" i="32"/>
  <c r="A947" i="32"/>
  <c r="L27" i="27"/>
  <c r="O505" i="27"/>
  <c r="O487" i="27"/>
  <c r="U17" i="33"/>
  <c r="N29" i="27"/>
  <c r="J2821" i="27"/>
  <c r="I3410" i="27"/>
  <c r="O503" i="27"/>
  <c r="L33" i="27"/>
  <c r="O246" i="27"/>
  <c r="M215" i="27"/>
  <c r="H28" i="27"/>
  <c r="A72" i="32"/>
  <c r="G568" i="32"/>
  <c r="I414" i="27"/>
  <c r="H3565" i="27"/>
  <c r="A983" i="32"/>
  <c r="I3397" i="27"/>
  <c r="H3397" i="27"/>
  <c r="G1057" i="32"/>
  <c r="R487" i="27"/>
  <c r="H3545" i="27"/>
  <c r="M425" i="27"/>
  <c r="H3536" i="27"/>
  <c r="P2833" i="27"/>
  <c r="G869" i="32"/>
  <c r="G468" i="32"/>
  <c r="E244" i="27"/>
  <c r="I3509" i="27"/>
  <c r="H3525" i="27"/>
  <c r="A264" i="32"/>
  <c r="G508" i="32"/>
  <c r="I3504" i="27"/>
  <c r="L13" i="31"/>
  <c r="H3537" i="27"/>
  <c r="F2812" i="27"/>
  <c r="N444" i="27"/>
  <c r="J209" i="27"/>
  <c r="R2804" i="27"/>
  <c r="J2805" i="27"/>
  <c r="A268" i="32"/>
  <c r="A294" i="32"/>
  <c r="A424" i="32"/>
  <c r="P2803" i="27"/>
  <c r="M160" i="27"/>
  <c r="G540" i="32"/>
  <c r="J358" i="27"/>
  <c r="F31" i="27"/>
  <c r="A1117" i="32"/>
  <c r="K389" i="27"/>
  <c r="A228" i="32"/>
  <c r="AA23" i="33"/>
  <c r="N203" i="27"/>
  <c r="H3407" i="27"/>
  <c r="I3412" i="27"/>
  <c r="A1113" i="32"/>
  <c r="P2857" i="27"/>
  <c r="G532" i="32"/>
  <c r="I3452" i="27"/>
  <c r="A110" i="32"/>
  <c r="G19" i="27"/>
  <c r="J153" i="27"/>
  <c r="F2838" i="27"/>
  <c r="R512" i="27"/>
  <c r="A1091" i="32"/>
  <c r="R2805" i="27"/>
  <c r="A118" i="32"/>
  <c r="L227" i="27"/>
  <c r="F24" i="27"/>
  <c r="N506" i="27"/>
  <c r="I3564" i="27"/>
  <c r="I3561" i="27"/>
  <c r="I3533" i="27"/>
  <c r="P2782" i="27"/>
  <c r="I3540" i="27"/>
  <c r="G797" i="32"/>
  <c r="R2819" i="27"/>
  <c r="A572" i="32"/>
  <c r="I359" i="27"/>
  <c r="J2820" i="27"/>
  <c r="H243" i="27"/>
  <c r="X29" i="31"/>
  <c r="G253" i="27"/>
  <c r="H3597" i="27"/>
  <c r="F13" i="33"/>
  <c r="J136" i="27"/>
  <c r="H3383" i="27"/>
  <c r="A76" i="32"/>
  <c r="H3380" i="27"/>
  <c r="G160" i="32"/>
  <c r="S494" i="27"/>
  <c r="M254" i="27" a="1"/>
  <c r="I3372" i="27"/>
  <c r="G255" i="27"/>
  <c r="A795" i="32"/>
  <c r="H3410" i="27"/>
  <c r="A1131" i="32"/>
  <c r="A953" i="32"/>
  <c r="I153" i="27"/>
  <c r="A969" i="32"/>
  <c r="H3571" i="27"/>
  <c r="A765" i="32"/>
  <c r="K510" i="27"/>
  <c r="H3570" i="27"/>
  <c r="H3411" i="27"/>
  <c r="P2797" i="27"/>
  <c r="F2786" i="27"/>
  <c r="F485" i="27"/>
  <c r="J257" i="27"/>
  <c r="N196" i="27"/>
  <c r="J2851" i="27"/>
  <c r="A1037" i="32"/>
  <c r="P2813" i="27"/>
  <c r="A236" i="32"/>
  <c r="K509" i="27"/>
  <c r="A602" i="32"/>
  <c r="F496" i="27"/>
  <c r="H3647" i="27"/>
  <c r="E510" i="27"/>
  <c r="A590" i="32"/>
  <c r="G104" i="32"/>
  <c r="H3508" i="27"/>
  <c r="N256" i="27"/>
  <c r="S489" i="27"/>
  <c r="F2800" i="27"/>
  <c r="L503" i="27"/>
  <c r="L29" i="27"/>
  <c r="P513" i="27"/>
  <c r="G492" i="27"/>
  <c r="A544" i="32"/>
  <c r="I3592" i="27"/>
  <c r="A498" i="32"/>
  <c r="I148" i="27"/>
  <c r="J2825" i="27"/>
  <c r="R494" i="27"/>
  <c r="M255" i="27" a="1"/>
  <c r="I2781" i="27"/>
  <c r="H3635" i="27"/>
  <c r="J2787" i="27"/>
  <c r="H3538" i="27"/>
  <c r="I3536" i="27"/>
  <c r="G943" i="32"/>
  <c r="A991" i="32"/>
  <c r="H3675" i="27"/>
  <c r="N493" i="27"/>
  <c r="G30" i="27"/>
  <c r="N219" i="27"/>
  <c r="A743" i="32"/>
  <c r="A546" i="32"/>
  <c r="L490" i="27"/>
  <c r="F59" i="33"/>
  <c r="A827" i="32"/>
  <c r="A959" i="32"/>
  <c r="P2842" i="27"/>
  <c r="G428" i="32"/>
  <c r="H3476" i="27"/>
  <c r="J2826" i="27"/>
  <c r="O243" i="27"/>
  <c r="A332" i="32"/>
  <c r="N424" i="27"/>
  <c r="I3460" i="27"/>
  <c r="M195" i="27"/>
  <c r="F32" i="27"/>
  <c r="I445" i="27"/>
  <c r="P2827" i="27"/>
  <c r="I3520" i="27"/>
  <c r="I3654" i="27"/>
  <c r="I3407" i="27"/>
  <c r="A188" i="32"/>
  <c r="O489" i="27"/>
  <c r="O497" i="27"/>
  <c r="A877" i="32"/>
  <c r="A56" i="32"/>
  <c r="I439" i="27"/>
  <c r="H3650" i="27"/>
  <c r="I408" i="27"/>
  <c r="I3617" i="27"/>
  <c r="J200" i="27"/>
  <c r="A174" i="32"/>
  <c r="A701" i="32"/>
  <c r="N487" i="27"/>
  <c r="J2833" i="27"/>
  <c r="H3677" i="27"/>
  <c r="F2790" i="27"/>
  <c r="W488" i="27"/>
  <c r="M177" i="27"/>
  <c r="M421" i="27"/>
  <c r="I3396" i="27"/>
  <c r="P507" i="27"/>
  <c r="A146" i="32"/>
  <c r="A737" i="32"/>
  <c r="I3507" i="27"/>
  <c r="F2809" i="27"/>
  <c r="A1047" i="32"/>
  <c r="A304" i="32"/>
  <c r="H3373" i="27"/>
  <c r="H3523" i="27"/>
  <c r="I3551" i="27"/>
  <c r="I3579" i="27"/>
  <c r="J425" i="27"/>
  <c r="M367" i="27"/>
  <c r="I147" i="27"/>
  <c r="J208" i="27"/>
  <c r="O512" i="27"/>
  <c r="A296" i="32"/>
  <c r="J2827" i="27"/>
  <c r="N244" i="27"/>
  <c r="I506" i="27"/>
  <c r="I360" i="27"/>
  <c r="N413" i="27"/>
  <c r="H3425" i="27"/>
  <c r="S491" i="27"/>
  <c r="A629" i="32"/>
  <c r="R493" i="27"/>
  <c r="N372" i="27"/>
  <c r="R2838" i="27"/>
  <c r="A78" i="32"/>
  <c r="I3421" i="27"/>
  <c r="A250" i="32"/>
  <c r="I3451" i="27"/>
  <c r="H3672" i="27"/>
  <c r="A552" i="32"/>
  <c r="H3668" i="27"/>
  <c r="H3506" i="27"/>
  <c r="AG35" i="33"/>
  <c r="I3470" i="27"/>
  <c r="M197" i="27"/>
  <c r="G44" i="32"/>
  <c r="E486" i="27"/>
  <c r="I403" i="27"/>
  <c r="G432" i="32"/>
  <c r="H3609" i="27"/>
  <c r="M403" i="27"/>
  <c r="J394" i="27"/>
  <c r="H3456" i="27"/>
  <c r="H3452" i="27"/>
  <c r="G486" i="32"/>
  <c r="J2858" i="27"/>
  <c r="E32" i="27"/>
  <c r="J385" i="27"/>
  <c r="G256" i="32"/>
  <c r="N366" i="27"/>
  <c r="A663" i="32"/>
  <c r="N498" i="27"/>
  <c r="X29" i="30"/>
  <c r="G124" i="32"/>
  <c r="I3603" i="27"/>
  <c r="G210" i="32"/>
  <c r="R2824" i="27"/>
  <c r="I3583" i="27"/>
  <c r="G727" i="32"/>
  <c r="I221" i="27"/>
  <c r="W501" i="27"/>
  <c r="H3610" i="27"/>
  <c r="G144" i="32"/>
  <c r="A885" i="32"/>
  <c r="G495" i="27"/>
  <c r="G1077" i="32"/>
  <c r="P2835" i="27"/>
  <c r="G825" i="32"/>
  <c r="G741" i="32"/>
  <c r="G861" i="32"/>
  <c r="A402" i="32"/>
  <c r="G1069" i="32"/>
  <c r="I165" i="27"/>
  <c r="R490" i="27"/>
  <c r="J443" i="27"/>
  <c r="I3680" i="27"/>
  <c r="A292" i="32"/>
  <c r="J388" i="27"/>
  <c r="G499" i="27"/>
  <c r="A747" i="32"/>
  <c r="A729" i="32"/>
  <c r="A512" i="32"/>
  <c r="E37" i="31"/>
  <c r="J252" i="27"/>
  <c r="A821" i="32"/>
  <c r="E35" i="30"/>
  <c r="I191" i="27"/>
  <c r="AJ33" i="33"/>
  <c r="G1051" i="32"/>
  <c r="X27" i="31"/>
  <c r="G376" i="32"/>
  <c r="X15" i="31"/>
  <c r="G542" i="32"/>
  <c r="G408" i="32"/>
  <c r="K21" i="27"/>
  <c r="A919" i="32"/>
  <c r="H3513" i="27"/>
  <c r="F2826" i="27"/>
  <c r="G681" i="32"/>
  <c r="A84" i="32"/>
  <c r="R2840" i="27"/>
  <c r="O47" i="33"/>
  <c r="A731" i="32"/>
  <c r="G526" i="32"/>
  <c r="I388" i="27"/>
  <c r="G1063" i="32"/>
  <c r="G470" i="32"/>
  <c r="H3439" i="27"/>
  <c r="A869" i="32"/>
  <c r="P2819" i="27"/>
  <c r="I501" i="27"/>
  <c r="P2788" i="27"/>
  <c r="J2803" i="27"/>
  <c r="J431" i="27"/>
  <c r="A1041" i="32"/>
  <c r="Q513" i="27"/>
  <c r="I3374" i="27"/>
  <c r="N23" i="27"/>
  <c r="G150" i="32"/>
  <c r="M142" i="27"/>
  <c r="A518" i="32"/>
  <c r="A360" i="32"/>
  <c r="G230" i="32"/>
  <c r="G709" i="32"/>
  <c r="H3499" i="27"/>
  <c r="G554" i="32"/>
  <c r="O17" i="33"/>
  <c r="I152" i="27"/>
  <c r="O37" i="33"/>
  <c r="U67" i="33"/>
  <c r="J148" i="27"/>
  <c r="R488" i="27"/>
  <c r="H3474" i="27"/>
  <c r="I400" i="27"/>
  <c r="A1097" i="32"/>
  <c r="AJ61" i="33"/>
  <c r="G945" i="32"/>
  <c r="G1023" i="32"/>
  <c r="G913" i="32"/>
  <c r="H3445" i="27"/>
  <c r="R2837" i="27"/>
  <c r="J167" i="27"/>
  <c r="G204" i="32"/>
  <c r="AA67" i="33"/>
  <c r="L486" i="27"/>
  <c r="J506" i="27" a="1"/>
  <c r="I3411" i="27"/>
  <c r="I407" i="27"/>
  <c r="G458" i="32"/>
  <c r="M140" i="27"/>
  <c r="O67" i="33"/>
  <c r="H3372" i="27"/>
  <c r="J2799" i="27"/>
  <c r="G86" i="32"/>
  <c r="I3430" i="27"/>
  <c r="H3490" i="27"/>
  <c r="I376" i="27"/>
  <c r="N492" i="27"/>
  <c r="H3638" i="27"/>
  <c r="AA21" i="33"/>
  <c r="R2791" i="27"/>
  <c r="O500" i="27"/>
  <c r="G494" i="27"/>
  <c r="N154" i="27"/>
  <c r="G14" i="32"/>
  <c r="I3624" i="27"/>
  <c r="W504" i="27"/>
  <c r="AG41" i="33"/>
  <c r="G823" i="32"/>
  <c r="K407" i="27"/>
  <c r="I419" i="27"/>
  <c r="A234" i="32"/>
  <c r="H3468" i="27"/>
  <c r="G893" i="32"/>
  <c r="M394" i="27"/>
  <c r="I379" i="27"/>
  <c r="J373" i="27"/>
  <c r="I510" i="27"/>
  <c r="X33" i="33"/>
  <c r="H3607" i="27"/>
  <c r="H3440" i="27"/>
  <c r="A631" i="32"/>
  <c r="O510" i="27"/>
  <c r="H3463" i="27"/>
  <c r="J2808" i="27"/>
  <c r="G448" i="32"/>
  <c r="N360" i="27"/>
  <c r="Q487" i="27"/>
  <c r="A771" i="32"/>
  <c r="X23" i="30"/>
  <c r="A366" i="32"/>
  <c r="E257" i="27"/>
  <c r="I3517" i="27"/>
  <c r="J171" i="27"/>
  <c r="A901" i="32"/>
  <c r="G707" i="32"/>
  <c r="D22" i="27"/>
  <c r="H3352" i="27"/>
  <c r="P2850" i="27"/>
  <c r="G430" i="32"/>
  <c r="H3368" i="27"/>
  <c r="M383" i="27"/>
  <c r="I3467" i="27"/>
  <c r="J212" i="27"/>
  <c r="A1009" i="32"/>
  <c r="A326" i="32"/>
  <c r="A258" i="32"/>
  <c r="F35" i="33"/>
  <c r="A621" i="32"/>
  <c r="A963" i="32"/>
  <c r="I3363" i="27"/>
  <c r="P33" i="30"/>
  <c r="N137" i="27"/>
  <c r="J2815" i="27"/>
  <c r="L508" i="27"/>
  <c r="K27" i="27"/>
  <c r="I3346" i="27"/>
  <c r="H3542" i="27"/>
  <c r="M214" i="27"/>
  <c r="H3493" i="27"/>
  <c r="AD57" i="33"/>
  <c r="G260" i="32"/>
  <c r="I3657" i="27"/>
  <c r="A985" i="32"/>
  <c r="G859" i="32"/>
  <c r="L32" i="27"/>
  <c r="F2835" i="27"/>
  <c r="G112" i="32"/>
  <c r="Q509" i="27"/>
  <c r="J372" i="27"/>
  <c r="H3588" i="27"/>
  <c r="H3662" i="27"/>
  <c r="A442" i="32"/>
  <c r="A150" i="32"/>
  <c r="J176" i="27"/>
  <c r="G1139" i="32"/>
  <c r="I3662" i="27"/>
  <c r="O59" i="33"/>
  <c r="R2851" i="27"/>
  <c r="M179" i="27"/>
  <c r="G711" i="32"/>
  <c r="G370" i="32"/>
  <c r="G220" i="32"/>
  <c r="A781" i="32"/>
  <c r="L492" i="27"/>
  <c r="A825" i="32"/>
  <c r="I3408" i="27"/>
  <c r="K135" i="27"/>
  <c r="P2810" i="27"/>
  <c r="A182" i="32"/>
  <c r="R37" i="33"/>
  <c r="O65" i="33"/>
  <c r="R2813" i="27"/>
  <c r="I146" i="27"/>
  <c r="I3602" i="27"/>
  <c r="A178" i="32"/>
  <c r="G899" i="32"/>
  <c r="G983" i="32"/>
  <c r="G552" i="32"/>
  <c r="G136" i="32"/>
  <c r="J412" i="27"/>
  <c r="G1079" i="32"/>
  <c r="F246" i="27"/>
  <c r="AA59" i="33"/>
  <c r="I3499" i="27"/>
  <c r="I505" i="27"/>
  <c r="N142" i="27"/>
  <c r="M146" i="27"/>
  <c r="F252" i="27"/>
  <c r="K499" i="27"/>
  <c r="H3620" i="27"/>
  <c r="I196" i="27"/>
  <c r="P2830" i="27"/>
  <c r="W502" i="27"/>
  <c r="W503" i="27"/>
  <c r="F227" i="27"/>
  <c r="I3639" i="27"/>
  <c r="X21" i="31"/>
  <c r="M436" i="27"/>
  <c r="L500" i="27"/>
  <c r="M424" i="27"/>
  <c r="A278" i="32"/>
  <c r="AA37" i="33"/>
  <c r="K23" i="27"/>
  <c r="A390" i="32"/>
  <c r="F2848" i="27"/>
  <c r="P37" i="31"/>
  <c r="AD49" i="33"/>
  <c r="P487" i="27"/>
  <c r="G687" i="32"/>
  <c r="U63" i="33"/>
  <c r="G22" i="32"/>
  <c r="G883" i="32"/>
  <c r="J245" i="27"/>
  <c r="A735" i="32"/>
  <c r="M165" i="27"/>
  <c r="G959" i="32"/>
  <c r="H3687" i="27"/>
  <c r="I3429" i="27"/>
  <c r="H3418" i="27"/>
  <c r="N20" i="27"/>
  <c r="I3585" i="27"/>
  <c r="K30" i="27"/>
  <c r="A849" i="32"/>
  <c r="A951" i="32"/>
  <c r="A707" i="32"/>
  <c r="W510" i="27"/>
  <c r="N394" i="27"/>
  <c r="I182" i="27"/>
  <c r="A548" i="32"/>
  <c r="F51" i="33"/>
  <c r="I3389" i="27"/>
  <c r="A362" i="32"/>
  <c r="I3660" i="27"/>
  <c r="G102" i="32"/>
  <c r="AG55" i="33"/>
  <c r="P2805" i="27"/>
  <c r="J197" i="27"/>
  <c r="E37" i="30"/>
  <c r="G501" i="27"/>
  <c r="H3435" i="27"/>
  <c r="I3440" i="27"/>
  <c r="A96" i="32"/>
  <c r="M245" i="27" a="1"/>
  <c r="L15" i="30"/>
  <c r="AA53" i="33"/>
  <c r="G174" i="32"/>
  <c r="AA45" i="33"/>
  <c r="N390" i="27"/>
  <c r="J507" i="27" a="1"/>
  <c r="G665" i="32"/>
  <c r="A42" i="32"/>
  <c r="X15" i="33"/>
  <c r="G168" i="32"/>
  <c r="H3562" i="27"/>
  <c r="A216" i="32"/>
  <c r="I3650" i="27"/>
  <c r="K394" i="27"/>
  <c r="A352" i="32"/>
  <c r="AJ41" i="33"/>
  <c r="G20" i="32"/>
  <c r="G396" i="32"/>
  <c r="N191" i="27"/>
  <c r="R9" i="33"/>
  <c r="I3605" i="27"/>
  <c r="N377" i="27"/>
  <c r="G62" i="32"/>
  <c r="R2827" i="27"/>
  <c r="K396" i="27"/>
  <c r="F2842" i="27"/>
  <c r="K358" i="27"/>
  <c r="K492" i="27"/>
  <c r="I3490" i="27"/>
  <c r="G489" i="27"/>
  <c r="I3683" i="27"/>
  <c r="H3553" i="27"/>
  <c r="J160" i="27"/>
  <c r="G937" i="32"/>
  <c r="H3494" i="27"/>
  <c r="J421" i="27"/>
  <c r="G751" i="32"/>
  <c r="G558" i="32"/>
  <c r="A66" i="32"/>
  <c r="G386" i="32"/>
  <c r="P502" i="27"/>
  <c r="H3658" i="27"/>
  <c r="F15" i="33"/>
  <c r="G1143" i="32"/>
  <c r="AJ29" i="33"/>
  <c r="J2788" i="27"/>
  <c r="H3555" i="27"/>
  <c r="G378" i="32"/>
  <c r="I3466" i="27"/>
  <c r="G338" i="32"/>
  <c r="A775" i="32"/>
  <c r="O253" i="27"/>
  <c r="J243" i="27"/>
  <c r="G721" i="32"/>
  <c r="H3491" i="27"/>
  <c r="G631" i="32"/>
  <c r="S504" i="27"/>
  <c r="E507" i="27"/>
  <c r="G981" i="32"/>
  <c r="K366" i="27"/>
  <c r="A186" i="32"/>
  <c r="J490" i="27" a="1"/>
  <c r="I3409" i="27"/>
  <c r="I3477" i="27"/>
  <c r="N227" i="27"/>
  <c r="G106" i="32"/>
  <c r="N161" i="27"/>
  <c r="X27" i="33"/>
  <c r="P2801" i="27"/>
  <c r="H3421" i="27"/>
  <c r="G456" i="32"/>
  <c r="E25" i="30"/>
  <c r="W509" i="27"/>
  <c r="G236" i="32"/>
  <c r="AD31" i="33"/>
  <c r="N403" i="27"/>
  <c r="M401" i="27"/>
  <c r="I3615" i="27"/>
  <c r="G939" i="32"/>
  <c r="A1007" i="32"/>
  <c r="J494" i="27" a="1"/>
  <c r="G485" i="27"/>
  <c r="G995" i="32"/>
  <c r="X25" i="30"/>
  <c r="A242" i="32"/>
  <c r="F65" i="33"/>
  <c r="F2822" i="27"/>
  <c r="I3596" i="27"/>
  <c r="A168" i="32"/>
  <c r="F67" i="33"/>
  <c r="D513" i="27" s="1"/>
  <c r="H3396" i="27"/>
  <c r="D509" i="27"/>
  <c r="R2832" i="27"/>
  <c r="G951" i="32"/>
  <c r="G350" i="32"/>
  <c r="J378" i="27"/>
  <c r="G1087" i="32"/>
  <c r="G402" i="32"/>
  <c r="R2826" i="27"/>
  <c r="G440" i="32"/>
  <c r="AD39" i="33"/>
  <c r="E17" i="31"/>
  <c r="A298" i="32"/>
  <c r="I3464" i="27"/>
  <c r="R2856" i="27"/>
  <c r="A817" i="32"/>
  <c r="X37" i="30"/>
  <c r="G480" i="32"/>
  <c r="A122" i="32"/>
  <c r="G320" i="32"/>
  <c r="I486" i="27"/>
  <c r="G194" i="32"/>
  <c r="G292" i="32"/>
  <c r="I3448" i="27"/>
  <c r="F2797" i="27"/>
  <c r="O511" i="27"/>
  <c r="A568" i="32"/>
  <c r="H3540" i="27"/>
  <c r="J2780" i="27"/>
  <c r="N155" i="27"/>
  <c r="I209" i="27"/>
  <c r="G420" i="32"/>
  <c r="G414" i="32"/>
  <c r="A861" i="32"/>
  <c r="G454" i="32"/>
  <c r="A82" i="32"/>
  <c r="A300" i="32"/>
  <c r="J485" i="27" a="1"/>
  <c r="I3375" i="27"/>
  <c r="A204" i="32"/>
  <c r="A158" i="32"/>
  <c r="I3367" i="27"/>
  <c r="G919" i="32"/>
  <c r="I189" i="27"/>
  <c r="J505" i="27" a="1"/>
  <c r="H3598" i="27"/>
  <c r="G695" i="32"/>
  <c r="P2826" i="27"/>
  <c r="G98" i="32"/>
  <c r="H3444" i="27"/>
  <c r="H256" i="27"/>
  <c r="G1015" i="32"/>
  <c r="I3534" i="27"/>
  <c r="G733" i="32"/>
  <c r="K506" i="27"/>
  <c r="A374" i="32"/>
  <c r="AG65" i="33"/>
  <c r="J184" i="27"/>
  <c r="I509" i="27"/>
  <c r="A763" i="32"/>
  <c r="J161" i="27"/>
  <c r="K379" i="27"/>
  <c r="F45" i="33"/>
  <c r="K365" i="27"/>
  <c r="A574" i="32"/>
  <c r="AA61" i="33"/>
  <c r="F2793" i="27"/>
  <c r="X57" i="33"/>
  <c r="G222" i="32"/>
  <c r="G1053" i="32"/>
  <c r="A1083" i="32"/>
  <c r="X17" i="30"/>
  <c r="A905" i="32"/>
  <c r="M161" i="27"/>
  <c r="A965" i="32"/>
  <c r="N432" i="27"/>
  <c r="T35" i="31"/>
  <c r="N412" i="27"/>
  <c r="G60" i="32"/>
  <c r="J195" i="27"/>
  <c r="N383" i="27"/>
  <c r="H3678" i="27"/>
  <c r="P2852" i="27"/>
  <c r="I3358" i="27"/>
  <c r="F2854" i="27"/>
  <c r="AA9" i="33"/>
  <c r="G1095" i="32"/>
  <c r="F2803" i="27"/>
  <c r="L26" i="27"/>
  <c r="F57" i="33"/>
  <c r="G250" i="32"/>
  <c r="H3693" i="27"/>
  <c r="G795" i="32"/>
  <c r="G673" i="32"/>
  <c r="AA27" i="33"/>
  <c r="G247" i="27"/>
  <c r="J29" i="27"/>
  <c r="M251" i="27" a="1"/>
  <c r="N442" i="27"/>
  <c r="P512" i="27"/>
  <c r="G120" i="32"/>
  <c r="R2859" i="27"/>
  <c r="L507" i="27"/>
  <c r="N172" i="27"/>
  <c r="I409" i="27"/>
  <c r="H3520" i="27"/>
  <c r="I3645" i="27"/>
  <c r="O508" i="27"/>
  <c r="AA11" i="33"/>
  <c r="M432" i="27"/>
  <c r="I213" i="27"/>
  <c r="P2783" i="27"/>
  <c r="M442" i="27"/>
  <c r="G503" i="27"/>
  <c r="G769" i="32"/>
  <c r="I3638" i="27"/>
  <c r="A1111" i="32"/>
  <c r="I394" i="27"/>
  <c r="A446" i="32"/>
  <c r="H3413" i="27"/>
  <c r="A48" i="32"/>
  <c r="H3484" i="27"/>
  <c r="I492" i="27"/>
  <c r="L488" i="27"/>
  <c r="G578" i="32"/>
  <c r="G388" i="32"/>
  <c r="AJ53" i="33"/>
  <c r="G384" i="32"/>
  <c r="G92" i="32"/>
  <c r="E496" i="27"/>
  <c r="P2840" i="27"/>
  <c r="R2798" i="27"/>
  <c r="I3428" i="27"/>
  <c r="O247" i="27"/>
  <c r="N484" i="27"/>
  <c r="I3580" i="27"/>
  <c r="E499" i="27"/>
  <c r="X43" i="33"/>
  <c r="H3405" i="27"/>
  <c r="F2799" i="27"/>
  <c r="H33" i="27"/>
  <c r="R2807" i="27"/>
  <c r="A725" i="32"/>
  <c r="T27" i="31"/>
  <c r="I3393" i="27"/>
  <c r="I3556" i="27"/>
  <c r="A218" i="32"/>
  <c r="K219" i="27"/>
  <c r="H3558" i="27"/>
  <c r="H3644" i="27"/>
  <c r="M439" i="27"/>
  <c r="A675" i="32"/>
  <c r="X11" i="30"/>
  <c r="G961" i="32"/>
  <c r="F257" i="27"/>
  <c r="G54" i="32"/>
  <c r="G715" i="32"/>
  <c r="J2854" i="27"/>
  <c r="I3669" i="27"/>
  <c r="F2796" i="27"/>
  <c r="H3384" i="27"/>
  <c r="A226" i="32"/>
  <c r="X13" i="30"/>
  <c r="E495" i="27"/>
  <c r="G392" i="32"/>
  <c r="D486" i="27"/>
  <c r="H3354" i="27"/>
  <c r="L13" i="30"/>
  <c r="N395" i="27"/>
  <c r="G352" i="32"/>
  <c r="J215" i="27"/>
  <c r="E505" i="27"/>
  <c r="P2837" i="27"/>
  <c r="J493" i="27" a="1"/>
  <c r="H3572" i="27"/>
  <c r="D21" i="27"/>
  <c r="I3595" i="27"/>
  <c r="A681" i="32"/>
  <c r="A657" i="32"/>
  <c r="N370" i="27"/>
  <c r="G228" i="32"/>
  <c r="K377" i="27"/>
  <c r="I3404" i="27"/>
  <c r="W489" i="27"/>
  <c r="N489" i="27"/>
  <c r="S500" i="27"/>
  <c r="I3621" i="27"/>
  <c r="AJ37" i="33"/>
  <c r="K487" i="27"/>
  <c r="M402" i="27"/>
  <c r="G142" i="32"/>
  <c r="J364" i="27"/>
  <c r="G777" i="32"/>
  <c r="A797" i="32"/>
  <c r="G266" i="32"/>
  <c r="G907" i="32"/>
  <c r="H3404" i="27"/>
  <c r="G536" i="32"/>
  <c r="G148" i="32"/>
  <c r="E24" i="27"/>
  <c r="N176" i="27"/>
  <c r="G544" i="32"/>
  <c r="A468" i="32"/>
  <c r="N376" i="27"/>
  <c r="J32" i="27"/>
  <c r="H3514" i="27"/>
  <c r="P29" i="31"/>
  <c r="H3692" i="27"/>
  <c r="A18" i="32"/>
  <c r="F249" i="27"/>
  <c r="G334" i="32"/>
  <c r="I3510" i="27"/>
  <c r="X23" i="33"/>
  <c r="AD51" i="33"/>
  <c r="F20" i="27"/>
  <c r="A897" i="32"/>
  <c r="G116" i="32"/>
  <c r="A516" i="32"/>
  <c r="F488" i="27"/>
  <c r="J182" i="27"/>
  <c r="A348" i="32"/>
  <c r="N32" i="27"/>
  <c r="W497" i="27"/>
  <c r="K28" i="27"/>
  <c r="W505" i="27"/>
  <c r="F2853" i="27"/>
  <c r="M173" i="27"/>
  <c r="J134" i="27"/>
  <c r="A524" i="32"/>
  <c r="E21" i="30"/>
  <c r="D25" i="27" s="1"/>
  <c r="F2824" i="27"/>
  <c r="W512" i="27"/>
  <c r="J2822" i="27"/>
  <c r="G50" i="32"/>
  <c r="AJ27" i="33"/>
  <c r="H3661" i="27"/>
  <c r="J220" i="27"/>
  <c r="A104" i="32"/>
  <c r="I3655" i="27"/>
  <c r="N371" i="27"/>
  <c r="Q488" i="27"/>
  <c r="A1137" i="32"/>
  <c r="G839" i="32"/>
  <c r="A995" i="32"/>
  <c r="I195" i="27"/>
  <c r="A871" i="32"/>
  <c r="E506" i="27"/>
  <c r="I3609" i="27"/>
  <c r="A180" i="32"/>
  <c r="R29" i="33"/>
  <c r="I3668" i="27"/>
  <c r="R43" i="33"/>
  <c r="H3627" i="27"/>
  <c r="I3435" i="27"/>
  <c r="I3626" i="27"/>
  <c r="J401" i="27"/>
  <c r="I390" i="27"/>
  <c r="F2816" i="27"/>
  <c r="P2851" i="27"/>
  <c r="AA39" i="33"/>
  <c r="G270" i="32"/>
  <c r="A246" i="32"/>
  <c r="M166" i="27"/>
  <c r="I3450" i="27"/>
  <c r="G254" i="27"/>
  <c r="M152" i="27"/>
  <c r="A252" i="32"/>
  <c r="I215" i="27"/>
  <c r="N160" i="27"/>
  <c r="R61" i="33"/>
  <c r="I3676" i="27"/>
  <c r="R2846" i="27"/>
  <c r="M256" i="27" a="1"/>
  <c r="W493" i="27"/>
  <c r="K490" i="27"/>
  <c r="J2785" i="27"/>
  <c r="AG27" i="33"/>
  <c r="I3663" i="27"/>
  <c r="L25" i="30"/>
  <c r="M395" i="27"/>
  <c r="G368" i="32"/>
  <c r="P2853" i="27"/>
  <c r="M244" i="27" a="1"/>
  <c r="F253" i="27"/>
  <c r="M189" i="27"/>
  <c r="I3461" i="27"/>
  <c r="I185" i="27"/>
  <c r="A767" i="32"/>
  <c r="H3676" i="27"/>
  <c r="A1087" i="32"/>
  <c r="N141" i="27"/>
  <c r="E512" i="27"/>
  <c r="G506" i="27"/>
  <c r="H227" i="27"/>
  <c r="M155" i="27"/>
  <c r="A853" i="32"/>
  <c r="G510" i="27"/>
  <c r="Q505" i="27"/>
  <c r="G564" i="32"/>
  <c r="F2789" i="27"/>
  <c r="G773" i="32"/>
  <c r="X19" i="31"/>
  <c r="I3618" i="27"/>
  <c r="N254" i="27"/>
  <c r="F29" i="27"/>
  <c r="G366" i="32"/>
  <c r="H3679" i="27"/>
  <c r="A851" i="32"/>
  <c r="G114" i="32"/>
  <c r="I159" i="27"/>
  <c r="I3532" i="27"/>
  <c r="A989" i="32"/>
  <c r="S487" i="27"/>
  <c r="I3549" i="27"/>
  <c r="N220" i="27"/>
  <c r="T23" i="30"/>
  <c r="F41" i="33"/>
  <c r="N24" i="27"/>
  <c r="N149" i="27"/>
  <c r="G36" i="32"/>
  <c r="H3622" i="27"/>
  <c r="I498" i="27"/>
  <c r="G923" i="32"/>
  <c r="A596" i="32"/>
  <c r="J177" i="27"/>
  <c r="H3625" i="27"/>
  <c r="M185" i="27"/>
  <c r="AJ55" i="33"/>
  <c r="G488" i="32"/>
  <c r="N159" i="27"/>
  <c r="I3501" i="27"/>
  <c r="I367" i="27"/>
  <c r="H3510" i="27"/>
  <c r="O493" i="27"/>
  <c r="A769" i="32"/>
  <c r="I485" i="27"/>
  <c r="F507" i="27"/>
  <c r="J2857" i="27"/>
  <c r="M141" i="27"/>
  <c r="A979" i="32"/>
  <c r="H3560" i="27"/>
  <c r="A610" i="32"/>
  <c r="N406" i="27"/>
  <c r="G604" i="32"/>
  <c r="Q502" i="27"/>
  <c r="G140" i="32"/>
  <c r="H3512" i="27"/>
  <c r="F2821" i="27"/>
  <c r="H3566" i="27"/>
  <c r="N420" i="27"/>
  <c r="O29" i="33"/>
  <c r="G815" i="32"/>
  <c r="A542" i="32"/>
  <c r="P2836" i="27"/>
  <c r="Q489" i="27"/>
  <c r="A380" i="32"/>
  <c r="P2841" i="27"/>
  <c r="G110" i="32"/>
  <c r="I183" i="27"/>
  <c r="A1017" i="32"/>
  <c r="G278" i="32"/>
  <c r="Q497" i="27"/>
  <c r="J384" i="27"/>
  <c r="G524" i="32"/>
  <c r="A102" i="32"/>
  <c r="A653" i="32"/>
  <c r="H3639" i="27"/>
  <c r="I197" i="27"/>
  <c r="H3473" i="27"/>
  <c r="I3406" i="27"/>
  <c r="H3655" i="27"/>
  <c r="A777" i="32"/>
  <c r="P29" i="30"/>
  <c r="M213" i="27"/>
  <c r="I3610" i="27"/>
  <c r="AA55" i="33"/>
  <c r="G562" i="32"/>
  <c r="G1119" i="32"/>
  <c r="H3415" i="27"/>
  <c r="N166" i="27"/>
  <c r="A1069" i="32"/>
  <c r="L493" i="27"/>
  <c r="A28" i="32"/>
  <c r="G172" i="32"/>
  <c r="G596" i="32"/>
  <c r="G520" i="32"/>
  <c r="L501" i="27"/>
  <c r="A456" i="32"/>
  <c r="I3538" i="27"/>
  <c r="H3516" i="27"/>
  <c r="G1137" i="32"/>
  <c r="A839" i="32"/>
  <c r="G434" i="32"/>
  <c r="D24" i="27"/>
  <c r="P2802" i="27"/>
  <c r="G178" i="32"/>
  <c r="G308" i="32"/>
  <c r="F509" i="27"/>
  <c r="I3525" i="27"/>
  <c r="N147" i="27"/>
  <c r="A941" i="32"/>
  <c r="AG37" i="33"/>
  <c r="K172" i="27"/>
  <c r="L485" i="27"/>
  <c r="G360" i="32"/>
  <c r="G180" i="32"/>
  <c r="AD67" i="33"/>
  <c r="K179" i="27"/>
  <c r="J2781" i="27"/>
  <c r="W487" i="27"/>
  <c r="P2843" i="27"/>
  <c r="A206" i="32"/>
  <c r="J430" i="27"/>
  <c r="N491" i="27"/>
  <c r="A170" i="32"/>
  <c r="E23" i="30"/>
  <c r="G1031" i="32"/>
  <c r="G476" i="32"/>
  <c r="I3634" i="27"/>
  <c r="I3471" i="27"/>
  <c r="N146" i="27"/>
  <c r="I3469" i="27"/>
  <c r="J3" i="27"/>
  <c r="M171" i="27"/>
  <c r="G482" i="32"/>
  <c r="G1045" i="32"/>
  <c r="P2789" i="27"/>
  <c r="G759" i="32"/>
  <c r="N490" i="27"/>
  <c r="G154" i="32"/>
  <c r="A566" i="32"/>
  <c r="A1125" i="32"/>
  <c r="N208" i="27"/>
  <c r="J248" i="27"/>
  <c r="N209" i="27"/>
  <c r="T33" i="30"/>
  <c r="Q495" i="27"/>
  <c r="G1105" i="32"/>
  <c r="G464" i="32"/>
  <c r="A845" i="32"/>
  <c r="G997" i="32"/>
  <c r="H3631" i="27"/>
  <c r="A438" i="32"/>
  <c r="G508" i="27"/>
  <c r="P2796" i="27"/>
  <c r="AG23" i="33"/>
  <c r="J511" i="27" a="1"/>
  <c r="P27" i="30"/>
  <c r="AJ23" i="33"/>
  <c r="G218" i="32"/>
  <c r="G32" i="32"/>
  <c r="F512" i="27"/>
  <c r="Q504" i="27"/>
  <c r="A308" i="32"/>
  <c r="I3385" i="27"/>
  <c r="I385" i="27"/>
  <c r="P491" i="27"/>
  <c r="G516" i="32"/>
  <c r="F23" i="33"/>
  <c r="G506" i="32"/>
  <c r="K371" i="27"/>
  <c r="G1033" i="32"/>
  <c r="T35" i="30"/>
  <c r="A875" i="32"/>
  <c r="H3391" i="27"/>
  <c r="G963" i="32"/>
  <c r="X9" i="30"/>
  <c r="G933" i="32"/>
  <c r="J503" i="27" a="1"/>
  <c r="I384" i="27"/>
  <c r="AG51" i="33"/>
  <c r="M20" i="27" a="1"/>
  <c r="M137" i="27"/>
  <c r="J504" i="27" a="1"/>
  <c r="AG9" i="34"/>
  <c r="K152" i="27"/>
  <c r="G807" i="32"/>
  <c r="I3535" i="27"/>
  <c r="W508" i="27"/>
  <c r="G885" i="32"/>
  <c r="G745" i="32"/>
  <c r="H3357" i="27"/>
  <c r="L35" i="31"/>
  <c r="X37" i="31"/>
  <c r="X35" i="30"/>
  <c r="G288" i="32"/>
  <c r="M379" i="27"/>
  <c r="G987" i="32"/>
  <c r="I3481" i="27"/>
  <c r="M249" i="27" a="1"/>
  <c r="K391" i="27"/>
  <c r="F2794" i="27"/>
  <c r="M196" i="27"/>
  <c r="J249" i="27"/>
  <c r="G358" i="32"/>
  <c r="R486" i="27"/>
  <c r="O249" i="27"/>
  <c r="I3571" i="27"/>
  <c r="I3379" i="27"/>
  <c r="I513" i="27"/>
  <c r="X23" i="31"/>
  <c r="H3394" i="27"/>
  <c r="G256" i="27"/>
  <c r="E3" i="27"/>
  <c r="G837" i="32"/>
  <c r="K141" i="27"/>
  <c r="K136" i="27"/>
  <c r="H3603" i="27"/>
  <c r="I3673" i="27"/>
  <c r="H3524" i="27"/>
  <c r="A823" i="32"/>
  <c r="I3373" i="27"/>
  <c r="G324" i="32"/>
  <c r="I3622" i="27"/>
  <c r="N200" i="27"/>
  <c r="R498" i="27"/>
  <c r="N31" i="27"/>
  <c r="G849" i="32"/>
  <c r="J246" i="27"/>
  <c r="G1123" i="32"/>
  <c r="G1039" i="32"/>
  <c r="G316" i="32"/>
  <c r="X59" i="33"/>
  <c r="H3660" i="27"/>
  <c r="AJ15" i="33"/>
  <c r="H3608" i="27"/>
  <c r="A1149" i="32"/>
  <c r="I406" i="27"/>
  <c r="A1145" i="32"/>
  <c r="F17" i="33"/>
  <c r="E27" i="31"/>
  <c r="A665" i="32"/>
  <c r="G28" i="32"/>
  <c r="AD11" i="33"/>
  <c r="E485" i="27"/>
  <c r="AJ49" i="33"/>
  <c r="E27" i="30"/>
  <c r="H3360" i="27"/>
  <c r="G572" i="32"/>
  <c r="I3689" i="27"/>
  <c r="A1081" i="32"/>
  <c r="G851" i="32"/>
  <c r="G722" i="27"/>
  <c r="F2815" i="27"/>
  <c r="K382" i="27"/>
  <c r="I3468" i="27"/>
  <c r="F489" i="27"/>
  <c r="AD61" i="33"/>
  <c r="X27" i="30"/>
  <c r="U29" i="33"/>
  <c r="G252" i="32"/>
  <c r="N425" i="27"/>
  <c r="D488" i="27"/>
  <c r="F2810" i="27"/>
  <c r="N170" i="27"/>
  <c r="G1129" i="32"/>
  <c r="H3628" i="27"/>
  <c r="I3625" i="27"/>
  <c r="A977" i="32"/>
  <c r="G953" i="32"/>
  <c r="H3595" i="27"/>
  <c r="G264" i="32"/>
  <c r="K453" i="27"/>
  <c r="H3557" i="27"/>
  <c r="G488" i="27"/>
  <c r="A16" i="32"/>
  <c r="G200" i="32"/>
  <c r="D20" i="27"/>
  <c r="J164" i="27"/>
  <c r="I500" i="27"/>
  <c r="G693" i="32"/>
  <c r="H3450" i="27"/>
  <c r="G12" i="32"/>
  <c r="J190" i="27"/>
  <c r="F500" i="27"/>
  <c r="P2829" i="27"/>
  <c r="G290" i="32"/>
  <c r="H3534" i="27"/>
  <c r="G1083" i="32"/>
  <c r="N207" i="27"/>
  <c r="F2846" i="27"/>
  <c r="AA57" i="33"/>
  <c r="A1135" i="32"/>
  <c r="H3596" i="27"/>
  <c r="F63" i="33"/>
  <c r="G48" i="32"/>
  <c r="F2840" i="27"/>
  <c r="A1031" i="32"/>
  <c r="H3346" i="27"/>
  <c r="H3363" i="27"/>
  <c r="G25" i="27"/>
  <c r="P2809" i="27"/>
  <c r="AA63" i="33"/>
  <c r="G973" i="32"/>
  <c r="H3567" i="27"/>
  <c r="R2802" i="27"/>
  <c r="J170" i="27"/>
  <c r="T11" i="30"/>
  <c r="G629" i="32"/>
  <c r="T29" i="30"/>
  <c r="W513" i="27"/>
  <c r="A1155" i="32"/>
  <c r="I3382" i="27"/>
  <c r="X51" i="33"/>
  <c r="H3599" i="27"/>
  <c r="AG33" i="33"/>
  <c r="H3686" i="27"/>
  <c r="G234" i="32"/>
  <c r="G272" i="32"/>
  <c r="A1127" i="32"/>
  <c r="U65" i="33"/>
  <c r="G78" i="32"/>
  <c r="F25" i="33"/>
  <c r="G641" i="32"/>
  <c r="G500" i="32"/>
  <c r="D510" i="27"/>
  <c r="N510" i="27"/>
  <c r="A1003" i="32"/>
  <c r="A719" i="32"/>
  <c r="I3545" i="27"/>
  <c r="AG31" i="33"/>
  <c r="E497" i="27"/>
  <c r="AG17" i="33"/>
  <c r="R13" i="33"/>
  <c r="R65" i="33"/>
  <c r="G216" i="32"/>
  <c r="H3375" i="27"/>
  <c r="G238" i="32"/>
  <c r="Q503" i="27"/>
  <c r="A484" i="32"/>
  <c r="I3557" i="27"/>
  <c r="G1127" i="32"/>
  <c r="Q507" i="27"/>
  <c r="F255" i="27"/>
  <c r="F2847" i="27"/>
  <c r="M407" i="27"/>
  <c r="I3560" i="27"/>
  <c r="N26" i="27"/>
  <c r="N391" i="27"/>
  <c r="N173" i="27"/>
  <c r="J432" i="27"/>
  <c r="G655" i="32"/>
  <c r="AA31" i="33"/>
  <c r="K403" i="27"/>
  <c r="R2844" i="27"/>
  <c r="G833" i="32"/>
  <c r="J376" i="27"/>
  <c r="G576" i="32"/>
  <c r="I3542" i="27"/>
  <c r="H3355" i="27"/>
  <c r="G875" i="32"/>
  <c r="F250" i="27"/>
  <c r="G1103" i="32"/>
  <c r="I3688" i="27"/>
  <c r="G504" i="32"/>
  <c r="G380" i="32"/>
  <c r="H3356" i="27"/>
  <c r="I3361" i="27"/>
  <c r="K421" i="27"/>
  <c r="G747" i="32"/>
  <c r="N184" i="27"/>
  <c r="F2856" i="27"/>
  <c r="K401" i="27"/>
  <c r="N165" i="27"/>
  <c r="A496" i="32"/>
  <c r="I438" i="27"/>
  <c r="X31" i="30"/>
  <c r="G514" i="32"/>
  <c r="N195" i="27"/>
  <c r="G318" i="32"/>
  <c r="F244" i="27"/>
  <c r="M194" i="27"/>
  <c r="L33" i="30"/>
  <c r="F251" i="27"/>
  <c r="G1041" i="32"/>
  <c r="G763" i="32"/>
  <c r="E504" i="27"/>
  <c r="H3580" i="27"/>
  <c r="I190" i="27"/>
  <c r="R2822" i="27"/>
  <c r="R2780" i="27"/>
  <c r="N250" i="27"/>
  <c r="H3671" i="27"/>
  <c r="I502" i="27"/>
  <c r="H30" i="27"/>
  <c r="A809" i="32"/>
  <c r="J371" i="27"/>
  <c r="A723" i="32"/>
  <c r="G356" i="32"/>
  <c r="G276" i="32"/>
  <c r="A62" i="32"/>
  <c r="G96" i="32"/>
  <c r="L497" i="27"/>
  <c r="AD23" i="33"/>
  <c r="G1147" i="32"/>
  <c r="G528" i="32"/>
  <c r="I3516" i="27"/>
  <c r="H3481" i="27"/>
  <c r="AG61" i="33"/>
  <c r="G791" i="32"/>
  <c r="A733" i="32"/>
  <c r="A536" i="32"/>
  <c r="K400" i="27"/>
  <c r="W484" i="27"/>
  <c r="E252" i="27"/>
  <c r="I389" i="27"/>
  <c r="G809" i="32"/>
  <c r="F486" i="27"/>
  <c r="A156" i="32"/>
  <c r="H3470" i="27"/>
  <c r="I3479" i="27"/>
  <c r="P2792" i="27"/>
  <c r="G182" i="32"/>
  <c r="I3424" i="27"/>
  <c r="I3613" i="27"/>
  <c r="S507" i="27"/>
  <c r="M384" i="27"/>
  <c r="H3551" i="27"/>
  <c r="AJ65" i="33"/>
  <c r="G725" i="32"/>
  <c r="I3493" i="27"/>
  <c r="G871" i="32"/>
  <c r="A412" i="32"/>
  <c r="G556" i="32"/>
  <c r="I3473" i="27"/>
  <c r="G1101" i="32"/>
  <c r="X49" i="33"/>
  <c r="J500" i="27" a="1"/>
  <c r="G436" i="32"/>
  <c r="I3648" i="27"/>
  <c r="G582" i="32"/>
  <c r="AD47" i="33"/>
  <c r="I173" i="27"/>
  <c r="I170" i="27"/>
  <c r="T19" i="30"/>
  <c r="K166" i="27" s="1"/>
  <c r="AG11" i="33"/>
  <c r="G1155" i="32"/>
  <c r="U59" i="33"/>
  <c r="R2797" i="27"/>
  <c r="A787" i="32"/>
  <c r="L29" i="31"/>
  <c r="I3590" i="27"/>
  <c r="A556" i="32"/>
  <c r="J366" i="27"/>
  <c r="AJ39" i="33"/>
  <c r="G927" i="32"/>
  <c r="G594" i="32"/>
  <c r="H3401" i="27"/>
  <c r="G829" i="32"/>
  <c r="G192" i="32"/>
  <c r="F2805" i="27"/>
  <c r="H3697" i="27"/>
  <c r="N504" i="27"/>
  <c r="A470" i="32"/>
  <c r="A805" i="32"/>
  <c r="G635" i="32"/>
  <c r="P490" i="27"/>
  <c r="I3637" i="27"/>
  <c r="A138" i="32"/>
  <c r="AD41" i="33"/>
  <c r="N367" i="27"/>
  <c r="G793" i="32"/>
  <c r="N25" i="27"/>
  <c r="G1153" i="32"/>
  <c r="P486" i="27"/>
  <c r="J2804" i="27"/>
  <c r="G703" i="32"/>
  <c r="J2844" i="27"/>
  <c r="I3512" i="27"/>
  <c r="G138" i="32"/>
  <c r="G735" i="32"/>
  <c r="I3690" i="27"/>
  <c r="F2801" i="27"/>
  <c r="G84" i="32"/>
  <c r="A528" i="32"/>
  <c r="K438" i="27"/>
  <c r="J140" i="27"/>
  <c r="G612" i="32"/>
  <c r="N365" i="27"/>
  <c r="K364" i="27"/>
  <c r="M183" i="27"/>
  <c r="I3502" i="27"/>
  <c r="I3693" i="27"/>
  <c r="I3454" i="27"/>
  <c r="U11" i="33"/>
  <c r="W492" i="27"/>
  <c r="G258" i="32"/>
  <c r="H3568" i="27"/>
  <c r="I496" i="27"/>
  <c r="G574" i="32"/>
  <c r="G999" i="32"/>
  <c r="I3607" i="27"/>
  <c r="G472" i="32"/>
  <c r="H3402" i="27"/>
  <c r="G901" i="32"/>
  <c r="H3347" i="27"/>
  <c r="H3667" i="27"/>
  <c r="J413" i="27"/>
  <c r="I3678" i="27"/>
  <c r="G390" i="32"/>
  <c r="X33" i="31"/>
  <c r="K433" i="27" s="1"/>
  <c r="G490" i="32"/>
  <c r="H3645" i="27"/>
  <c r="H3500" i="27"/>
  <c r="G504" i="27"/>
  <c r="I3465" i="27"/>
  <c r="I3383" i="27"/>
  <c r="G214" i="32"/>
  <c r="J2835" i="27"/>
  <c r="A1099" i="32"/>
  <c r="A1063" i="32"/>
  <c r="A586" i="32"/>
  <c r="H3501" i="27"/>
  <c r="A154" i="32"/>
  <c r="J2853" i="27"/>
  <c r="X31" i="33"/>
  <c r="F245" i="27"/>
  <c r="F495" i="27"/>
  <c r="G1055" i="32"/>
  <c r="N251" i="27"/>
  <c r="G755" i="32"/>
  <c r="I3436" i="27"/>
  <c r="AJ57" i="33"/>
  <c r="A1139" i="32"/>
  <c r="G198" i="32"/>
  <c r="G296" i="32"/>
  <c r="I3675" i="27"/>
  <c r="G156" i="32"/>
  <c r="I511" i="27"/>
  <c r="I142" i="27"/>
  <c r="H3462" i="27"/>
  <c r="A376" i="32"/>
  <c r="I3515" i="27"/>
  <c r="J227" i="27"/>
  <c r="I3500" i="27"/>
  <c r="T33" i="31"/>
  <c r="I3524" i="27"/>
  <c r="F2802" i="27"/>
  <c r="J2848" i="27"/>
  <c r="G813" i="32"/>
  <c r="F37" i="33"/>
  <c r="P510" i="27"/>
  <c r="A1059" i="32"/>
  <c r="N501" i="27"/>
  <c r="G328" i="32"/>
  <c r="G100" i="32"/>
  <c r="J406" i="27"/>
  <c r="E245" i="27"/>
  <c r="I3359" i="27"/>
  <c r="G1085" i="32"/>
  <c r="G1049" i="32"/>
  <c r="A400" i="32"/>
  <c r="K485" i="27"/>
  <c r="D253" i="27"/>
  <c r="L33" i="31"/>
  <c r="AD27" i="33"/>
  <c r="I3691" i="27"/>
  <c r="G460" i="32"/>
  <c r="I3640" i="27"/>
  <c r="I161" i="27"/>
  <c r="G242" i="32"/>
  <c r="L31" i="31"/>
  <c r="G394" i="32"/>
  <c r="A410" i="32"/>
  <c r="U13" i="33"/>
  <c r="E31" i="30"/>
  <c r="D30" i="27" s="1"/>
  <c r="J2842" i="27"/>
  <c r="H3624" i="27"/>
  <c r="I3614" i="27"/>
  <c r="G771" i="32"/>
  <c r="T37" i="31"/>
  <c r="G244" i="32"/>
  <c r="H3601" i="27"/>
  <c r="J137" i="27"/>
  <c r="W499" i="27"/>
  <c r="G803" i="32"/>
  <c r="G294" i="32"/>
  <c r="L17" i="30"/>
  <c r="E31" i="31"/>
  <c r="H3688" i="27"/>
  <c r="J158" i="27"/>
  <c r="G90" i="32"/>
  <c r="R2825" i="27"/>
  <c r="G330" i="32"/>
  <c r="AA65" i="33"/>
  <c r="G1003" i="32"/>
  <c r="AG43" i="33"/>
  <c r="J360" i="27"/>
  <c r="N486" i="27"/>
  <c r="P2849" i="27"/>
  <c r="I3611" i="27"/>
  <c r="A248" i="32"/>
  <c r="A899" i="32"/>
  <c r="J444" i="27"/>
  <c r="H3528" i="27"/>
  <c r="P2820" i="27"/>
  <c r="K148" i="27"/>
  <c r="G697" i="32"/>
  <c r="G610" i="32"/>
  <c r="G1061" i="32"/>
  <c r="F29" i="33"/>
  <c r="D494" i="27" s="1"/>
  <c r="P19" i="30"/>
  <c r="K183" i="27"/>
  <c r="G785" i="32"/>
  <c r="G251" i="27"/>
  <c r="R513" i="27"/>
  <c r="T25" i="30"/>
  <c r="A1043" i="32"/>
  <c r="I3698" i="27"/>
  <c r="K188" i="27"/>
  <c r="F49" i="33"/>
  <c r="G887" i="32"/>
  <c r="K26" i="27"/>
  <c r="H3634" i="27"/>
  <c r="H3409" i="27"/>
  <c r="M366" i="27"/>
  <c r="I3567" i="27"/>
  <c r="R2817" i="27"/>
  <c r="I3356" i="27"/>
  <c r="I143" i="27"/>
  <c r="R2847" i="27"/>
  <c r="J206" i="27"/>
  <c r="M201" i="27"/>
  <c r="P35" i="30"/>
  <c r="O57" i="33"/>
  <c r="A202" i="32"/>
  <c r="G787" i="32"/>
  <c r="G775" i="32"/>
  <c r="J2792" i="27"/>
  <c r="G513" i="27"/>
  <c r="G188" i="32"/>
  <c r="G671" i="32"/>
  <c r="A689" i="32"/>
  <c r="G1029" i="32"/>
  <c r="A627" i="32"/>
  <c r="H3594" i="27"/>
  <c r="G1107" i="32"/>
  <c r="J2806" i="27"/>
  <c r="R485" i="27"/>
  <c r="G196" i="32"/>
  <c r="J149" i="27"/>
  <c r="F31" i="33"/>
  <c r="G783" i="32"/>
  <c r="G821" i="32"/>
  <c r="L509" i="27"/>
  <c r="A356" i="32"/>
  <c r="F2843" i="27"/>
  <c r="F487" i="27"/>
  <c r="F248" i="27"/>
  <c r="F2839" i="27"/>
  <c r="G835" i="32"/>
  <c r="G404" i="32"/>
  <c r="R2799" i="27"/>
  <c r="G969" i="32"/>
  <c r="I3394" i="27"/>
  <c r="E31" i="27"/>
  <c r="H3637" i="27"/>
  <c r="J185" i="27"/>
  <c r="O244" i="27"/>
  <c r="G737" i="32"/>
  <c r="I155" i="27"/>
  <c r="G538" i="32"/>
  <c r="T15" i="31"/>
  <c r="G677" i="32"/>
  <c r="J179" i="27"/>
  <c r="A1035" i="32"/>
  <c r="D257" i="27"/>
  <c r="G248" i="32"/>
  <c r="AD45" i="33"/>
  <c r="A504" i="32"/>
  <c r="H3424" i="27"/>
  <c r="I140" i="27"/>
  <c r="H3696" i="27"/>
  <c r="A1161" i="32"/>
  <c r="G1007" i="32"/>
  <c r="A637" i="32"/>
  <c r="G502" i="27"/>
  <c r="A651" i="32"/>
  <c r="G410" i="32"/>
  <c r="A1107" i="32"/>
  <c r="G765" i="32"/>
  <c r="X11" i="31"/>
  <c r="K367" i="27" s="1"/>
  <c r="G354" i="32"/>
  <c r="G1091" i="32"/>
  <c r="D497" i="27"/>
  <c r="G534" i="32"/>
  <c r="G881" i="32"/>
  <c r="P31" i="31"/>
  <c r="G1093" i="32"/>
  <c r="M397" i="27"/>
  <c r="J2795" i="27"/>
  <c r="J2850" i="27"/>
  <c r="AJ19" i="33"/>
  <c r="A450" i="32"/>
  <c r="W506" i="27"/>
  <c r="A889" i="32"/>
  <c r="G1113" i="32"/>
  <c r="G254" i="32"/>
  <c r="G977" i="32"/>
  <c r="G1097" i="32"/>
  <c r="J256" i="27"/>
  <c r="K408" i="27"/>
  <c r="I3692" i="27"/>
  <c r="X63" i="33"/>
  <c r="G993" i="32"/>
  <c r="S496" i="27"/>
  <c r="G23" i="27"/>
  <c r="F2806" i="27"/>
  <c r="H3550" i="27"/>
  <c r="O13" i="33"/>
  <c r="AA19" i="33"/>
  <c r="G82" i="32"/>
  <c r="P27" i="31"/>
  <c r="G496" i="32"/>
  <c r="O11" i="33"/>
  <c r="A336" i="32"/>
  <c r="K149" i="27"/>
  <c r="X45" i="33"/>
  <c r="J135" i="27"/>
  <c r="I3426" i="27"/>
  <c r="I3425" i="27"/>
  <c r="J2797" i="27"/>
  <c r="AD15" i="33"/>
  <c r="I3381" i="27"/>
  <c r="U47" i="33"/>
  <c r="G705" i="32"/>
  <c r="W490" i="27"/>
  <c r="G827" i="32"/>
  <c r="G372" i="32"/>
  <c r="G176" i="32"/>
  <c r="I512" i="27"/>
  <c r="G58" i="32"/>
  <c r="R59" i="33"/>
  <c r="AJ45" i="33"/>
  <c r="P501" i="27"/>
  <c r="I3552" i="27"/>
  <c r="E29" i="30"/>
  <c r="D29" i="27" s="1"/>
  <c r="G843" i="32"/>
  <c r="N508" i="27"/>
  <c r="L37" i="31"/>
  <c r="G466" i="32"/>
  <c r="N152" i="27"/>
  <c r="A384" i="32"/>
  <c r="A406" i="32"/>
  <c r="R2809" i="27"/>
  <c r="J2841" i="27"/>
  <c r="G56" i="32"/>
  <c r="G184" i="32"/>
  <c r="J31" i="27"/>
  <c r="G600" i="32"/>
  <c r="AA51" i="33"/>
  <c r="P31" i="30"/>
  <c r="F491" i="27"/>
  <c r="AJ25" i="33"/>
  <c r="A1129" i="32"/>
  <c r="A1067" i="32"/>
  <c r="A679" i="32"/>
  <c r="H3680" i="27"/>
  <c r="F2791" i="27"/>
  <c r="E509" i="27"/>
  <c r="M208" i="27"/>
  <c r="G1025" i="32"/>
  <c r="G903" i="32"/>
  <c r="H3689" i="27"/>
  <c r="G88" i="32"/>
  <c r="G42" i="32"/>
  <c r="G967" i="32"/>
  <c r="D247" i="27"/>
  <c r="A472" i="32"/>
  <c r="H3669" i="27"/>
  <c r="E29" i="27"/>
  <c r="G10" i="32"/>
  <c r="X41" i="33"/>
  <c r="N364" i="27"/>
  <c r="AD21" i="33"/>
  <c r="M158" i="27"/>
  <c r="G130" i="32"/>
  <c r="H3349" i="27"/>
  <c r="P2790" i="27"/>
  <c r="G971" i="32"/>
  <c r="G598" i="32"/>
  <c r="K178" i="27"/>
  <c r="G847" i="32"/>
  <c r="S490" i="27"/>
  <c r="A108" i="32"/>
  <c r="H3663" i="27"/>
  <c r="H3382" i="27"/>
  <c r="A987" i="32"/>
  <c r="X25" i="33"/>
  <c r="H3690" i="27"/>
  <c r="G1067" i="32"/>
  <c r="N19" i="27"/>
  <c r="O61" i="33"/>
  <c r="I3587" i="27"/>
  <c r="A198" i="32"/>
  <c r="J2830" i="27"/>
  <c r="G164" i="32"/>
  <c r="N3" i="27"/>
  <c r="N255" i="27"/>
  <c r="AG29" i="33"/>
  <c r="AD13" i="33"/>
  <c r="I431" i="27"/>
  <c r="P2806" i="27"/>
  <c r="A152" i="32"/>
  <c r="G979" i="32"/>
  <c r="K140" i="27"/>
  <c r="T31" i="30"/>
  <c r="K202" i="27" s="1"/>
  <c r="G498" i="32"/>
  <c r="A320" i="32"/>
  <c r="G1081" i="32"/>
  <c r="W495" i="27"/>
  <c r="D243" i="27"/>
  <c r="J414" i="27"/>
  <c r="G723" i="32"/>
  <c r="I366" i="27"/>
  <c r="A727" i="32"/>
  <c r="AA15" i="33"/>
  <c r="I3386" i="27"/>
  <c r="G1071" i="32"/>
  <c r="R2800" i="27"/>
  <c r="I3627" i="27"/>
  <c r="K146" i="27"/>
  <c r="H3488" i="27"/>
  <c r="D495" i="27"/>
  <c r="G819" i="32"/>
  <c r="AD33" i="33"/>
  <c r="K161" i="27"/>
  <c r="I3366" i="27"/>
  <c r="I3584" i="27"/>
  <c r="E35" i="31"/>
  <c r="A46" i="32"/>
  <c r="A398" i="32"/>
  <c r="H3614" i="27"/>
  <c r="P489" i="27"/>
  <c r="O248" i="27"/>
  <c r="G805" i="32"/>
  <c r="A200" i="32"/>
  <c r="P2832" i="27"/>
  <c r="G246" i="32"/>
  <c r="G921" i="32"/>
  <c r="T9" i="31"/>
  <c r="K442" i="27"/>
  <c r="F33" i="33"/>
  <c r="H3392" i="27"/>
  <c r="A140" i="32"/>
  <c r="N378" i="27"/>
  <c r="J397" i="27"/>
  <c r="AG39" i="33"/>
  <c r="H3606" i="27"/>
  <c r="K406" i="27"/>
  <c r="I3503" i="27"/>
  <c r="L484" i="27"/>
  <c r="H3698" i="27"/>
  <c r="K137" i="27"/>
  <c r="D502" i="27"/>
  <c r="G348" i="32"/>
  <c r="W500" i="27"/>
  <c r="G731" i="32"/>
  <c r="G332" i="32"/>
  <c r="N418" i="27"/>
  <c r="G249" i="27"/>
  <c r="F19" i="33"/>
  <c r="I3656" i="27"/>
  <c r="J390" i="27"/>
  <c r="H3350" i="27"/>
  <c r="N512" i="27"/>
  <c r="I383" i="27"/>
  <c r="H3377" i="27"/>
  <c r="G863" i="32"/>
  <c r="I3612" i="27"/>
  <c r="M372" i="27"/>
  <c r="H3674" i="27"/>
  <c r="J2852" i="27"/>
  <c r="H3659" i="27"/>
  <c r="I430" i="27"/>
  <c r="P2784" i="27"/>
  <c r="N382" i="27"/>
  <c r="G30" i="32"/>
  <c r="G24" i="32"/>
  <c r="I3541" i="27"/>
  <c r="G80" i="32"/>
  <c r="I3630" i="27"/>
  <c r="I3659" i="27"/>
  <c r="K24" i="27"/>
  <c r="J2782" i="27"/>
  <c r="G340" i="32"/>
  <c r="R491" i="27"/>
  <c r="R2793" i="27"/>
  <c r="G304" i="32"/>
  <c r="L491" i="27"/>
  <c r="P493" i="27"/>
  <c r="I3672" i="27"/>
  <c r="J178" i="27"/>
  <c r="K370" i="27"/>
  <c r="AD65" i="33"/>
  <c r="G653" i="32"/>
  <c r="J436" i="27"/>
  <c r="G699" i="32"/>
  <c r="G955" i="32"/>
  <c r="G588" i="32"/>
  <c r="AD19" i="33"/>
  <c r="M388" i="27"/>
  <c r="H247" i="27"/>
  <c r="G284" i="32"/>
  <c r="G190" i="32"/>
  <c r="A92" i="32"/>
  <c r="A801" i="32"/>
  <c r="I3420" i="27"/>
  <c r="A240" i="32"/>
  <c r="G342" i="32"/>
  <c r="M136" i="27"/>
  <c r="G202" i="32"/>
  <c r="I172" i="27"/>
  <c r="A98" i="32"/>
  <c r="A815" i="32"/>
  <c r="L35" i="30"/>
  <c r="K212" i="27" s="1"/>
  <c r="P13" i="30"/>
  <c r="F53" i="33"/>
  <c r="G917" i="32"/>
  <c r="A705" i="32"/>
  <c r="G126" i="32"/>
  <c r="G1089" i="32"/>
  <c r="I3365" i="27"/>
  <c r="A386" i="32"/>
  <c r="J165" i="27"/>
  <c r="G633" i="32"/>
  <c r="F503" i="27"/>
  <c r="G975" i="32"/>
  <c r="A306" i="32"/>
  <c r="P2807" i="27"/>
  <c r="K395" i="27"/>
  <c r="G416" i="32"/>
  <c r="G651" i="32"/>
  <c r="E256" i="27"/>
  <c r="M170" i="27"/>
  <c r="AG25" i="33"/>
  <c r="H3482" i="27"/>
  <c r="L23" i="30"/>
  <c r="Q510" i="27"/>
  <c r="A667" i="32"/>
  <c r="G446" i="32"/>
  <c r="G18" i="32"/>
  <c r="I3352" i="27"/>
  <c r="J402" i="27"/>
  <c r="G781" i="32"/>
  <c r="A120" i="32"/>
  <c r="G753" i="32"/>
  <c r="G344" i="32"/>
  <c r="A755" i="32"/>
  <c r="E25" i="27"/>
  <c r="A739" i="32"/>
  <c r="X25" i="31"/>
  <c r="I3586" i="27"/>
  <c r="A903" i="32"/>
  <c r="A448" i="32"/>
  <c r="G941" i="32"/>
  <c r="G422" i="32"/>
  <c r="G691" i="32"/>
  <c r="G346" i="32"/>
  <c r="I418" i="27"/>
  <c r="P35" i="31"/>
  <c r="G166" i="32"/>
  <c r="T27" i="30"/>
  <c r="F55" i="33"/>
  <c r="D507" i="27" s="1"/>
  <c r="X13" i="33"/>
  <c r="X11" i="33"/>
  <c r="A350" i="32"/>
  <c r="AA35" i="33"/>
  <c r="D26" i="27"/>
  <c r="D511" i="27"/>
  <c r="A1151" i="32"/>
  <c r="G1109" i="32"/>
  <c r="G322" i="32"/>
  <c r="G302" i="32"/>
  <c r="G326" i="32"/>
  <c r="AJ47" i="33"/>
  <c r="H3575" i="27"/>
  <c r="G1005" i="32"/>
  <c r="H3442" i="27"/>
  <c r="I361" i="27"/>
  <c r="I3685" i="27"/>
  <c r="G68" i="32"/>
  <c r="P2786" i="27"/>
  <c r="A913" i="32"/>
  <c r="J389" i="27"/>
  <c r="G1121" i="32"/>
  <c r="I426" i="27"/>
  <c r="J2836" i="27"/>
  <c r="G108" i="32"/>
  <c r="I3434" i="27"/>
  <c r="G510" i="32"/>
  <c r="G282" i="32"/>
  <c r="G584" i="32"/>
  <c r="G257" i="27"/>
  <c r="M385" i="27"/>
  <c r="A530" i="32"/>
  <c r="AG63" i="33"/>
  <c r="G625" i="32"/>
  <c r="I177" i="27"/>
  <c r="T13" i="31"/>
  <c r="K372" i="27" s="1"/>
  <c r="R2788" i="27"/>
  <c r="P2787" i="27"/>
  <c r="D250" i="27"/>
  <c r="H3367" i="27"/>
  <c r="H3489" i="27"/>
  <c r="G925" i="32"/>
  <c r="M409" i="27"/>
  <c r="F2828" i="27"/>
  <c r="P2854" i="27"/>
  <c r="X17" i="31"/>
  <c r="K385" i="27" s="1"/>
  <c r="J512" i="27" a="1"/>
  <c r="I424" i="27"/>
  <c r="AD43" i="33"/>
  <c r="H3515" i="27"/>
  <c r="D244" i="27"/>
  <c r="G268" i="32"/>
  <c r="A244" i="32"/>
  <c r="J2790" i="27"/>
  <c r="E33" i="31"/>
  <c r="D255" i="27" s="1"/>
  <c r="G336" i="32"/>
  <c r="N505" i="27"/>
  <c r="G548" i="32"/>
  <c r="A1133" i="32"/>
  <c r="AG49" i="33"/>
  <c r="X19" i="30"/>
  <c r="K167" i="27" s="1"/>
  <c r="I203" i="27"/>
  <c r="AJ63" i="33"/>
  <c r="P2846" i="27"/>
  <c r="G761" i="32"/>
  <c r="M167" i="27"/>
  <c r="G657" i="32"/>
  <c r="H3626" i="27"/>
  <c r="M209" i="27"/>
  <c r="F47" i="33"/>
  <c r="G729" i="32"/>
  <c r="AD25" i="33"/>
  <c r="G280" i="32"/>
  <c r="J207" i="27"/>
  <c r="L511" i="27"/>
  <c r="G33" i="27"/>
  <c r="X35" i="31"/>
  <c r="AD17" i="33"/>
  <c r="D3" i="27"/>
  <c r="F27" i="33"/>
  <c r="K378" i="27"/>
  <c r="I3364" i="27"/>
  <c r="G931" i="32"/>
  <c r="L504" i="27"/>
  <c r="AG57" i="33"/>
  <c r="O507" i="27"/>
  <c r="H3531" i="27"/>
  <c r="G1131" i="32"/>
  <c r="A807" i="32"/>
  <c r="AJ59" i="33"/>
  <c r="G1145" i="32"/>
  <c r="I214" i="27"/>
  <c r="I3508" i="27"/>
  <c r="G661" i="32"/>
  <c r="A1153" i="32"/>
  <c r="E33" i="30"/>
  <c r="H3348" i="27"/>
  <c r="J513" i="27" a="1"/>
  <c r="O250" i="27"/>
  <c r="G749" i="32"/>
  <c r="G989" i="32"/>
  <c r="J2789" i="27"/>
  <c r="N488" i="27"/>
  <c r="A1147" i="32"/>
  <c r="AJ21" i="33"/>
  <c r="T17" i="30"/>
  <c r="F504" i="27"/>
  <c r="F498" i="27"/>
  <c r="K414" i="27"/>
  <c r="O509" i="27"/>
  <c r="AG45" i="33"/>
  <c r="K214" i="27"/>
  <c r="G623" i="32"/>
  <c r="H3467" i="27"/>
  <c r="H3636" i="27"/>
  <c r="N179" i="27"/>
  <c r="G873" i="32"/>
  <c r="A588" i="32"/>
  <c r="G643" i="32"/>
  <c r="G426" i="32"/>
  <c r="J2811" i="27"/>
  <c r="Q484" i="27"/>
  <c r="K220" i="27"/>
  <c r="I3569" i="27"/>
  <c r="S488" i="27"/>
  <c r="H3548" i="27"/>
  <c r="I3353" i="27"/>
  <c r="J2856" i="27"/>
  <c r="H3408" i="27"/>
  <c r="H3497" i="27"/>
  <c r="G1043" i="32"/>
  <c r="G905" i="32"/>
  <c r="G879" i="32"/>
  <c r="K142" i="27"/>
  <c r="G1009" i="32"/>
  <c r="G132" i="32"/>
  <c r="U57" i="33"/>
  <c r="G811" i="32"/>
  <c r="M420" i="27"/>
  <c r="H3665" i="27"/>
  <c r="A330" i="32"/>
  <c r="N500" i="27"/>
  <c r="S503" i="27"/>
  <c r="I3647" i="27"/>
  <c r="I3631" i="27"/>
  <c r="D32" i="27"/>
  <c r="G170" i="32"/>
  <c r="R15" i="33"/>
  <c r="G24" i="27"/>
  <c r="G530" i="32"/>
  <c r="G566" i="32"/>
  <c r="R47" i="33"/>
  <c r="D27" i="27"/>
  <c r="I3390" i="27"/>
  <c r="E30" i="27"/>
  <c r="K390" i="27"/>
  <c r="K409" i="27"/>
  <c r="G412" i="32"/>
  <c r="D492" i="27"/>
  <c r="I3438" i="27"/>
  <c r="L496" i="27"/>
  <c r="G74" i="32"/>
  <c r="AG15" i="33"/>
  <c r="K189" i="27"/>
  <c r="J409" i="27"/>
  <c r="I3427" i="27"/>
  <c r="A460" i="32"/>
  <c r="J488" i="27" a="1"/>
  <c r="P33" i="31"/>
  <c r="F21" i="33"/>
  <c r="H3602" i="27"/>
  <c r="K432" i="27"/>
  <c r="K376" i="27"/>
  <c r="G1019" i="32"/>
  <c r="G40" i="32"/>
  <c r="G1149" i="32"/>
  <c r="G649" i="32"/>
  <c r="K3" i="27"/>
  <c r="I3459" i="27"/>
  <c r="R484" i="27"/>
  <c r="G757" i="32"/>
  <c r="G243" i="27"/>
  <c r="G300" i="32"/>
  <c r="I3494" i="27"/>
  <c r="G462" i="32"/>
  <c r="F499" i="27"/>
  <c r="G801" i="32"/>
  <c r="A340" i="32"/>
  <c r="I3562" i="27"/>
  <c r="S484" i="27"/>
  <c r="AG47" i="33"/>
  <c r="H3549" i="27"/>
  <c r="D248" i="27"/>
  <c r="K203" i="27"/>
  <c r="G442" i="32"/>
  <c r="G831" i="32"/>
  <c r="A1105" i="32"/>
  <c r="G438" i="32"/>
  <c r="D493" i="27"/>
  <c r="K397" i="27"/>
  <c r="J509" i="27" a="1"/>
  <c r="G713" i="32"/>
  <c r="F2850" i="27"/>
  <c r="A1141" i="32"/>
  <c r="I3594" i="27"/>
  <c r="G418" i="32"/>
  <c r="R2853" i="27"/>
  <c r="J219" i="27"/>
  <c r="K436" i="27"/>
  <c r="H3691" i="27"/>
  <c r="G474" i="32"/>
  <c r="H3629" i="27"/>
  <c r="K383" i="27"/>
  <c r="I3651" i="27"/>
  <c r="G1013" i="32"/>
  <c r="I3604" i="27"/>
  <c r="D245" i="27"/>
  <c r="X53" i="33"/>
  <c r="J247" i="27"/>
  <c r="A502" i="32"/>
  <c r="X33" i="30"/>
  <c r="G1065" i="32"/>
  <c r="G853" i="32"/>
  <c r="G450" i="32"/>
  <c r="X9" i="31"/>
  <c r="H3612" i="27"/>
  <c r="H253" i="27"/>
  <c r="D504" i="27"/>
  <c r="N218" i="27"/>
  <c r="D512" i="27"/>
  <c r="G608" i="32"/>
  <c r="G444" i="32"/>
  <c r="F39" i="33"/>
  <c r="D489" i="27"/>
  <c r="G298" i="32"/>
  <c r="N384" i="27"/>
  <c r="G52" i="32"/>
  <c r="E253" i="27"/>
  <c r="N431" i="27"/>
  <c r="G645" i="32"/>
  <c r="G46" i="32"/>
  <c r="I3423" i="27"/>
  <c r="K143" i="27"/>
  <c r="J2813" i="27"/>
  <c r="A584" i="32"/>
  <c r="K360" i="27"/>
  <c r="A1001" i="32"/>
  <c r="G845" i="32"/>
  <c r="G496" i="27"/>
  <c r="G1017" i="32"/>
  <c r="K402" i="27"/>
  <c r="K159" i="27"/>
  <c r="K197" i="27"/>
  <c r="H3544" i="27"/>
  <c r="H3443" i="27"/>
  <c r="N400" i="27"/>
  <c r="W491" i="27"/>
  <c r="A144" i="32"/>
  <c r="AJ13" i="33"/>
  <c r="X21" i="30"/>
  <c r="H3546" i="27"/>
  <c r="G208" i="32"/>
  <c r="G685" i="32"/>
  <c r="J159" i="27"/>
  <c r="G1111" i="32"/>
  <c r="D28" i="27"/>
  <c r="G627" i="32"/>
  <c r="G1027" i="32"/>
  <c r="AJ35" i="33"/>
  <c r="G424" i="32"/>
  <c r="U15" i="33"/>
  <c r="G64" i="32"/>
  <c r="G743" i="32"/>
  <c r="M184" i="27"/>
  <c r="K437" i="27"/>
  <c r="U61" i="33"/>
  <c r="F2827" i="27"/>
  <c r="W494" i="27"/>
  <c r="K164" i="27"/>
  <c r="AD9" i="33"/>
  <c r="M221" i="27"/>
  <c r="I219" i="27"/>
  <c r="I3354" i="27"/>
  <c r="N379" i="27"/>
  <c r="N499" i="27"/>
  <c r="F2857" i="27"/>
  <c r="H3447" i="27"/>
  <c r="J202" i="27"/>
  <c r="H3694" i="27"/>
  <c r="G1151" i="32"/>
  <c r="L31" i="30"/>
  <c r="AD63" i="33"/>
  <c r="T31" i="31"/>
  <c r="I3694" i="27"/>
  <c r="R57" i="33"/>
  <c r="D498" i="27"/>
  <c r="K184" i="27"/>
  <c r="F11" i="33"/>
  <c r="G877" i="32"/>
  <c r="G779" i="32"/>
  <c r="G146" i="32"/>
  <c r="I3570" i="27"/>
  <c r="K213" i="27"/>
  <c r="I3682" i="27"/>
  <c r="K171" i="27"/>
  <c r="D31" i="27"/>
  <c r="N427" i="27"/>
  <c r="AJ51" i="33"/>
  <c r="A520" i="32"/>
  <c r="A24" i="32"/>
  <c r="R2782" i="27"/>
  <c r="K424" i="27"/>
  <c r="G1021" i="32"/>
  <c r="G857" i="32"/>
  <c r="D500" i="27"/>
  <c r="AA13" i="33"/>
  <c r="G614" i="32"/>
  <c r="M438" i="27"/>
  <c r="G186" i="32"/>
  <c r="P2818" i="27"/>
  <c r="A1143" i="32"/>
  <c r="H3605" i="27"/>
  <c r="AA47" i="33"/>
  <c r="A276" i="32"/>
  <c r="J508" i="27" a="1"/>
  <c r="AG9" i="33"/>
  <c r="D503" i="27"/>
  <c r="K190" i="27"/>
  <c r="A1157" i="32"/>
  <c r="D496" i="27"/>
  <c r="G66" i="32"/>
  <c r="K503" i="27"/>
  <c r="H3479" i="27"/>
  <c r="A791" i="32"/>
  <c r="G306" i="32"/>
  <c r="AD35" i="33"/>
  <c r="I494" i="27"/>
  <c r="G1117" i="32"/>
  <c r="W507" i="27"/>
  <c r="K207" i="27"/>
  <c r="G492" i="32"/>
  <c r="G929" i="32"/>
  <c r="I3546" i="27"/>
  <c r="G1125" i="32"/>
  <c r="G487" i="27"/>
  <c r="D501" i="27"/>
  <c r="A867" i="32"/>
  <c r="O494" i="27"/>
  <c r="G362" i="32"/>
  <c r="G669" i="32"/>
  <c r="H3593" i="27"/>
  <c r="D246" i="27"/>
  <c r="AG21" i="33"/>
  <c r="I3695" i="27"/>
  <c r="S498" i="27"/>
  <c r="A789" i="32"/>
  <c r="K384" i="27"/>
  <c r="I3402" i="27"/>
  <c r="I3696" i="27"/>
  <c r="E500" i="27"/>
  <c r="I3643" i="27"/>
  <c r="AG59" i="33"/>
  <c r="G486" i="27"/>
  <c r="R2808" i="27"/>
  <c r="G134" i="32"/>
  <c r="G570" i="32"/>
  <c r="G659" i="32"/>
  <c r="G675" i="32"/>
  <c r="G1157" i="32"/>
  <c r="I3514" i="27"/>
  <c r="A939" i="32"/>
  <c r="K191" i="27"/>
  <c r="G891" i="32"/>
  <c r="O9" i="33"/>
  <c r="J495" i="27" a="1"/>
  <c r="G274" i="32"/>
  <c r="K359" i="27"/>
  <c r="G128" i="32"/>
  <c r="R500" i="27"/>
  <c r="G1135" i="32"/>
  <c r="H3695" i="27"/>
  <c r="H3451" i="27"/>
  <c r="P2817" i="27"/>
  <c r="X55" i="33"/>
  <c r="G502" i="32"/>
  <c r="A843" i="32"/>
  <c r="G1011" i="32"/>
  <c r="G212" i="32"/>
  <c r="G799" i="32"/>
  <c r="R2816" i="27"/>
  <c r="D33" i="27"/>
  <c r="K425" i="27"/>
  <c r="K170" i="27"/>
  <c r="A426" i="32"/>
  <c r="K419" i="27"/>
  <c r="F27" i="27"/>
  <c r="X9" i="33"/>
  <c r="G122" i="32"/>
  <c r="N197" i="27"/>
  <c r="X35" i="33"/>
  <c r="I3697" i="27"/>
  <c r="L37" i="30"/>
  <c r="K147" i="27"/>
  <c r="AA33" i="33"/>
  <c r="A1075" i="32"/>
  <c r="G512" i="32"/>
  <c r="H3359" i="27"/>
  <c r="A614" i="32"/>
  <c r="AA29" i="33"/>
  <c r="I3360" i="27"/>
  <c r="G20" i="27"/>
  <c r="P15" i="30"/>
  <c r="X21" i="33"/>
  <c r="K444" i="27"/>
  <c r="M443" i="27"/>
  <c r="F2825" i="27"/>
  <c r="H3632" i="27"/>
  <c r="O488" i="27"/>
  <c r="G232" i="32"/>
  <c r="A194" i="32"/>
  <c r="D252" i="27"/>
  <c r="H3684" i="27"/>
  <c r="J382" i="27"/>
  <c r="K182" i="27"/>
  <c r="S506" i="27"/>
  <c r="AG13" i="33"/>
  <c r="G374" i="32"/>
  <c r="F2792" i="27"/>
  <c r="J377" i="27"/>
  <c r="G586" i="32"/>
  <c r="U37" i="33"/>
  <c r="F2808" i="27"/>
  <c r="R510" i="27"/>
  <c r="G26" i="32"/>
  <c r="I3413" i="27"/>
  <c r="G158" i="32"/>
  <c r="D251" i="27"/>
  <c r="A1159" i="32"/>
  <c r="R2814" i="27"/>
  <c r="G22" i="27"/>
  <c r="W496" i="27"/>
  <c r="P23" i="30"/>
  <c r="G452" i="32"/>
  <c r="G739" i="32"/>
  <c r="O63" i="33"/>
  <c r="J2818" i="27"/>
  <c r="R495" i="27"/>
  <c r="AA17" i="33"/>
  <c r="N167" i="27"/>
  <c r="F30" i="27"/>
  <c r="G550" i="32"/>
  <c r="W485" i="27"/>
  <c r="G991" i="32"/>
  <c r="K208" i="27"/>
  <c r="R504" i="27"/>
  <c r="A600" i="32"/>
  <c r="AJ17" i="33"/>
  <c r="A891" i="32"/>
  <c r="AG19" i="33"/>
  <c r="E33" i="27"/>
  <c r="H3600" i="27"/>
  <c r="G895" i="32"/>
  <c r="O491" i="27"/>
  <c r="H3496" i="27"/>
  <c r="AD37" i="33"/>
  <c r="P497" i="27"/>
  <c r="G1047" i="32"/>
  <c r="G701" i="32"/>
  <c r="D254" i="27"/>
  <c r="H3640" i="27"/>
  <c r="H3370" i="27"/>
  <c r="J498" i="27" a="1"/>
  <c r="J2798" i="27"/>
  <c r="G915" i="32"/>
  <c r="G592" i="32"/>
  <c r="L498" i="27"/>
  <c r="K412" i="27"/>
  <c r="L489" i="27"/>
  <c r="K195" i="27"/>
  <c r="K154" i="27"/>
  <c r="G767" i="32"/>
  <c r="A671" i="32"/>
  <c r="A745" i="32"/>
  <c r="A643" i="32"/>
  <c r="K158" i="27"/>
  <c r="I149" i="27"/>
  <c r="I3687" i="27"/>
  <c r="F21" i="27"/>
  <c r="G484" i="27"/>
  <c r="J2816" i="27"/>
  <c r="A270" i="32"/>
  <c r="K511" i="27"/>
  <c r="D491" i="27"/>
  <c r="A957" i="32"/>
  <c r="G637" i="32"/>
  <c r="J146" i="27"/>
  <c r="I3550" i="27"/>
  <c r="G500" i="27"/>
  <c r="I3684" i="27"/>
  <c r="E21" i="31"/>
  <c r="A534" i="32"/>
  <c r="K134" i="27"/>
  <c r="J2838" i="27"/>
  <c r="D505" i="27"/>
  <c r="AG53" i="33"/>
  <c r="K413" i="27"/>
  <c r="A1163" i="32"/>
  <c r="X13" i="31"/>
  <c r="K427" i="27"/>
  <c r="G957" i="32"/>
  <c r="K430" i="27"/>
  <c r="R11" i="33"/>
  <c r="G382" i="32"/>
  <c r="G286" i="32"/>
  <c r="R507" i="27"/>
  <c r="I391" i="27"/>
  <c r="I3608" i="27"/>
  <c r="I413" i="27"/>
  <c r="M365" i="27"/>
  <c r="G224" i="32"/>
  <c r="G865" i="32"/>
  <c r="S510" i="27"/>
  <c r="X15" i="30"/>
  <c r="K155" i="27" s="1"/>
  <c r="D508" i="27"/>
  <c r="I3489" i="27"/>
  <c r="W498" i="27"/>
  <c r="K415" i="27"/>
  <c r="P2838" i="27"/>
  <c r="R496" i="27"/>
  <c r="G398" i="32"/>
  <c r="M207" i="27"/>
  <c r="A370" i="32"/>
  <c r="G590" i="32"/>
  <c r="G38" i="32"/>
  <c r="F2804" i="27"/>
  <c r="G580" i="32"/>
  <c r="A272" i="32"/>
  <c r="N502" i="27"/>
  <c r="AA41" i="33"/>
  <c r="G494" i="32"/>
  <c r="J502" i="27" a="1"/>
  <c r="J251" i="27"/>
  <c r="K420" i="27"/>
  <c r="A1121" i="32"/>
  <c r="AJ11" i="33"/>
  <c r="AD29" i="33"/>
  <c r="X65" i="33"/>
  <c r="K196" i="27"/>
  <c r="G1159" i="32"/>
  <c r="A60" i="32"/>
  <c r="A490" i="32"/>
  <c r="Q492" i="27"/>
  <c r="R17" i="33"/>
  <c r="L29" i="30"/>
  <c r="G1001" i="32"/>
  <c r="G897" i="32"/>
  <c r="N212" i="27"/>
  <c r="D487" i="27"/>
  <c r="G1141" i="32"/>
  <c r="G400" i="32"/>
  <c r="A3506" i="27" l="1"/>
  <c r="A3523" i="27"/>
  <c r="A2809" i="27"/>
  <c r="A2790" i="27"/>
  <c r="A3677" i="27"/>
  <c r="A3460" i="27"/>
  <c r="A3476" i="27"/>
  <c r="BW59" i="33"/>
  <c r="C719" i="41"/>
  <c r="A3635" i="27"/>
  <c r="M255" i="27"/>
  <c r="A255" i="27" s="1"/>
  <c r="A29" i="27"/>
  <c r="A2800" i="27"/>
  <c r="A2786" i="27"/>
  <c r="A3410" i="27"/>
  <c r="M254" i="27"/>
  <c r="A254" i="27" s="1"/>
  <c r="A3380" i="27"/>
  <c r="BW13" i="33"/>
  <c r="C75" i="41"/>
  <c r="A3597" i="27"/>
  <c r="G304" i="40"/>
  <c r="BM29" i="31"/>
  <c r="A227" i="27"/>
  <c r="A2838" i="27"/>
  <c r="A3407" i="27"/>
  <c r="H215" i="41"/>
  <c r="CB23" i="33"/>
  <c r="A2812" i="27"/>
  <c r="A3537" i="27"/>
  <c r="D88" i="40"/>
  <c r="BJ13" i="31"/>
  <c r="A3536" i="27"/>
  <c r="A3397" i="27"/>
  <c r="A3565" i="27"/>
  <c r="A33" i="27"/>
  <c r="F131" i="41"/>
  <c r="BZ17" i="33"/>
  <c r="A27" i="27"/>
  <c r="A3378" i="27"/>
  <c r="A3487" i="27"/>
  <c r="M247" i="27"/>
  <c r="A247" i="27" s="1"/>
  <c r="CA61" i="33"/>
  <c r="G747" i="41"/>
  <c r="A2818" i="27"/>
  <c r="A3498" i="27"/>
  <c r="BZ9" i="33"/>
  <c r="F19" i="41"/>
  <c r="G439" i="41"/>
  <c r="CA39" i="33"/>
  <c r="A3495" i="27"/>
  <c r="A3457" i="27"/>
  <c r="A24" i="27"/>
  <c r="A3561" i="27"/>
  <c r="A3518" i="27"/>
  <c r="M246" i="27"/>
  <c r="A246" i="27" s="1"/>
  <c r="A3419" i="27"/>
  <c r="A3666" i="27"/>
  <c r="A2780" i="27"/>
  <c r="AX27" i="30"/>
  <c r="D277" i="39"/>
  <c r="A2859" i="27"/>
  <c r="A3547" i="27"/>
  <c r="AZ37" i="30"/>
  <c r="F412" i="39"/>
  <c r="A28" i="27"/>
  <c r="A2844" i="27"/>
  <c r="A3519" i="27"/>
  <c r="A3619" i="27"/>
  <c r="CA29" i="33"/>
  <c r="G299" i="41"/>
  <c r="A3395" i="27"/>
  <c r="A3649" i="27"/>
  <c r="K327" i="41"/>
  <c r="CE31" i="33"/>
  <c r="A3507" i="27"/>
  <c r="A2858" i="27"/>
  <c r="A3559" i="27"/>
  <c r="A3" i="27"/>
  <c r="A21" i="27"/>
  <c r="A3455" i="27"/>
  <c r="M250" i="27"/>
  <c r="A250" i="27" s="1"/>
  <c r="J492" i="27"/>
  <c r="A3578" i="27"/>
  <c r="A25" i="27"/>
  <c r="A2787" i="27"/>
  <c r="A2820" i="27"/>
  <c r="A3582" i="27"/>
  <c r="A3592" i="27"/>
  <c r="AX19" i="30"/>
  <c r="D169" i="39"/>
  <c r="A3399" i="27"/>
  <c r="A3539" i="27"/>
  <c r="A3623" i="27"/>
  <c r="A3509" i="27"/>
  <c r="A3530" i="27"/>
  <c r="A3475" i="27"/>
  <c r="CA47" i="33"/>
  <c r="G551" i="41"/>
  <c r="A3641" i="27"/>
  <c r="A3574" i="27"/>
  <c r="A2831" i="27"/>
  <c r="CE9" i="33"/>
  <c r="K19" i="41"/>
  <c r="A3417" i="27"/>
  <c r="C250" i="40"/>
  <c r="BI25" i="31"/>
  <c r="BY63" i="33"/>
  <c r="E775" i="41"/>
  <c r="M252" i="27"/>
  <c r="A252" i="27" s="1"/>
  <c r="CE43" i="33"/>
  <c r="K495" i="41"/>
  <c r="G411" i="41"/>
  <c r="CA37" i="33"/>
  <c r="A3403" i="27"/>
  <c r="A3486" i="27"/>
  <c r="I663" i="41"/>
  <c r="CC55" i="33"/>
  <c r="CC59" i="33"/>
  <c r="I719" i="41"/>
  <c r="A3505" i="27"/>
  <c r="H495" i="41"/>
  <c r="CB43" i="33"/>
  <c r="J501" i="27"/>
  <c r="A501" i="27" s="1"/>
  <c r="A3412" i="27"/>
  <c r="A3483" i="27"/>
  <c r="A3581" i="27"/>
  <c r="A3453" i="27"/>
  <c r="A3414" i="27"/>
  <c r="A3653" i="27"/>
  <c r="A3422" i="27"/>
  <c r="J491" i="27"/>
  <c r="A3652" i="27"/>
  <c r="A3504" i="27"/>
  <c r="BY67" i="33"/>
  <c r="E831" i="41"/>
  <c r="A3554" i="27"/>
  <c r="I1037" i="27"/>
  <c r="K887" i="27"/>
  <c r="G1037" i="27"/>
  <c r="M886" i="27"/>
  <c r="A886" i="27" s="1"/>
  <c r="H1038" i="27"/>
  <c r="J1037" i="27"/>
  <c r="L1037" i="27"/>
  <c r="M1037" i="27"/>
  <c r="A1037" i="27" s="1"/>
  <c r="K1038" i="27"/>
  <c r="K888" i="27"/>
  <c r="I1038" i="27"/>
  <c r="G1038" i="27"/>
  <c r="J1038" i="27"/>
  <c r="H1037" i="27"/>
  <c r="L1038" i="27"/>
  <c r="M1038" i="27"/>
  <c r="A1038" i="27" s="1"/>
  <c r="K1037" i="27"/>
  <c r="A3563" i="27"/>
  <c r="J489" i="27"/>
  <c r="M257" i="27"/>
  <c r="A257" i="27" s="1"/>
  <c r="A3492" i="27"/>
  <c r="A3527" i="27"/>
  <c r="A2849" i="27"/>
  <c r="A3437" i="27"/>
  <c r="A2823" i="27"/>
  <c r="A3351" i="27"/>
  <c r="A3472" i="27"/>
  <c r="A3646" i="27"/>
  <c r="A3400" i="27"/>
  <c r="A2807" i="27"/>
  <c r="A2819" i="27"/>
  <c r="Q2" i="28"/>
  <c r="A2811" i="27"/>
  <c r="F495" i="41"/>
  <c r="BZ43" i="33"/>
  <c r="A3642" i="27"/>
  <c r="A3616" i="27"/>
  <c r="A3449" i="27"/>
  <c r="A30" i="27"/>
  <c r="AY25" i="30"/>
  <c r="E250" i="39"/>
  <c r="A2829" i="27"/>
  <c r="J487" i="27"/>
  <c r="A487" i="27" s="1"/>
  <c r="C747" i="41"/>
  <c r="BW61" i="33"/>
  <c r="AY37" i="30"/>
  <c r="E412" i="39"/>
  <c r="A2795" i="27"/>
  <c r="A3432" i="27"/>
  <c r="A2845" i="27"/>
  <c r="A3617" i="27"/>
  <c r="I635" i="41"/>
  <c r="CC53" i="33"/>
  <c r="A3478" i="27"/>
  <c r="F304" i="40"/>
  <c r="BL29" i="31"/>
  <c r="D277" i="40"/>
  <c r="BJ27" i="31"/>
  <c r="A2841" i="27"/>
  <c r="A3371" i="27"/>
  <c r="A3458" i="27"/>
  <c r="A3533" i="27"/>
  <c r="M243" i="27"/>
  <c r="A243" i="27" s="1"/>
  <c r="A3579" i="27"/>
  <c r="A2834" i="27"/>
  <c r="A3480" i="27"/>
  <c r="M248" i="27"/>
  <c r="A248" i="27" s="1"/>
  <c r="A3576" i="27"/>
  <c r="A2817" i="27"/>
  <c r="M19" i="27"/>
  <c r="A19" i="27" s="1"/>
  <c r="E61" i="40"/>
  <c r="BK11" i="31"/>
  <c r="A2830" i="27"/>
  <c r="A3416" i="27"/>
  <c r="J1342" i="27"/>
  <c r="I1343" i="27"/>
  <c r="I1342" i="27"/>
  <c r="H1343" i="27"/>
  <c r="K1343" i="27"/>
  <c r="G1342" i="27"/>
  <c r="J1341" i="27"/>
  <c r="K1191" i="27"/>
  <c r="H1342" i="27"/>
  <c r="L1341" i="27"/>
  <c r="F1341" i="27"/>
  <c r="L1342" i="27"/>
  <c r="K1192" i="27"/>
  <c r="M1342" i="27"/>
  <c r="A1342" i="27" s="1"/>
  <c r="G1341" i="27"/>
  <c r="I1341" i="27"/>
  <c r="H1341" i="27"/>
  <c r="J1343" i="27"/>
  <c r="F1342" i="27"/>
  <c r="M1343" i="27"/>
  <c r="A1343" i="27" s="1"/>
  <c r="K1342" i="27"/>
  <c r="M1341" i="27"/>
  <c r="A1341" i="27" s="1"/>
  <c r="F1343" i="27"/>
  <c r="G1343" i="27"/>
  <c r="K1341" i="27"/>
  <c r="K1193" i="27"/>
  <c r="L1343" i="27"/>
  <c r="A3589" i="27"/>
  <c r="A3431" i="27"/>
  <c r="A3362" i="27"/>
  <c r="A2785" i="27"/>
  <c r="A3521" i="27"/>
  <c r="C304" i="40"/>
  <c r="BI29" i="31"/>
  <c r="H579" i="41"/>
  <c r="CB49" i="33"/>
  <c r="A3654" i="27"/>
  <c r="A497" i="27"/>
  <c r="A3398" i="27"/>
  <c r="A3511" i="27"/>
  <c r="A3526" i="27"/>
  <c r="A3441" i="27"/>
  <c r="A2782" i="27"/>
  <c r="A2836" i="27"/>
  <c r="J499" i="27"/>
  <c r="BM31" i="31"/>
  <c r="G331" i="40"/>
  <c r="A3387" i="27"/>
  <c r="A3633" i="27"/>
  <c r="A3376" i="27"/>
  <c r="J496" i="27"/>
  <c r="A496" i="27" s="1"/>
  <c r="A3485" i="27"/>
  <c r="A2788" i="27"/>
  <c r="A3670" i="27"/>
  <c r="A2855" i="27"/>
  <c r="A3433" i="27"/>
  <c r="J510" i="27"/>
  <c r="A2852" i="27"/>
  <c r="A3664" i="27"/>
  <c r="A3577" i="27"/>
  <c r="A2814" i="27"/>
  <c r="A3543" i="27"/>
  <c r="A3564" i="27"/>
  <c r="A22" i="27"/>
  <c r="A3529" i="27"/>
  <c r="A3522" i="27"/>
  <c r="A2813" i="27"/>
  <c r="J484" i="27"/>
  <c r="A2781" i="27"/>
  <c r="A3388" i="27"/>
  <c r="A3591" i="27"/>
  <c r="A3446" i="27"/>
  <c r="A2798" i="27"/>
  <c r="A2832" i="27"/>
  <c r="G831" i="41"/>
  <c r="CA67" i="33"/>
  <c r="A3369" i="27"/>
  <c r="A2783" i="27"/>
  <c r="G131" i="41"/>
  <c r="CA17" i="33"/>
  <c r="A2837" i="27"/>
  <c r="A2784" i="27"/>
  <c r="A3681" i="27"/>
  <c r="A3573" i="27"/>
  <c r="C196" i="39"/>
  <c r="AW21" i="30"/>
  <c r="A3513" i="27"/>
  <c r="A3474" i="27"/>
  <c r="A491" i="27"/>
  <c r="A3374" i="27"/>
  <c r="A3346" i="27"/>
  <c r="J511" i="27"/>
  <c r="A511" i="27" s="1"/>
  <c r="A3584" i="27"/>
  <c r="A2828" i="27"/>
  <c r="A3588" i="27"/>
  <c r="A3503" i="27"/>
  <c r="A3525" i="27"/>
  <c r="M245" i="27"/>
  <c r="A245" i="27" s="1"/>
  <c r="CE37" i="33"/>
  <c r="K411" i="41"/>
  <c r="A3389" i="27"/>
  <c r="J495" i="27"/>
  <c r="A495" i="27" s="1"/>
  <c r="A2848" i="27"/>
  <c r="A3439" i="27"/>
  <c r="A3367" i="27"/>
  <c r="A3420" i="27"/>
  <c r="A3609" i="27"/>
  <c r="A2793" i="27"/>
  <c r="A486" i="27"/>
  <c r="A3520" i="27"/>
  <c r="A3454" i="27"/>
  <c r="BW67" i="33"/>
  <c r="C831" i="41"/>
  <c r="D412" i="40"/>
  <c r="BJ37" i="31"/>
  <c r="A3496" i="27"/>
  <c r="F88" i="40"/>
  <c r="BL13" i="31"/>
  <c r="C304" i="39"/>
  <c r="AW29" i="30"/>
  <c r="A3411" i="27"/>
  <c r="C607" i="41"/>
  <c r="BW51" i="33"/>
  <c r="A3555" i="27"/>
  <c r="E304" i="39"/>
  <c r="AY29" i="30"/>
  <c r="A3541" i="27"/>
  <c r="A3605" i="27"/>
  <c r="E495" i="41"/>
  <c r="BY43" i="33"/>
  <c r="A3566" i="27"/>
  <c r="A3673" i="27"/>
  <c r="A3553" i="27"/>
  <c r="A3365" i="27"/>
  <c r="M251" i="27"/>
  <c r="A251" i="27" s="1"/>
  <c r="A3465" i="27"/>
  <c r="A3645" i="27"/>
  <c r="BA37" i="30"/>
  <c r="G412" i="39"/>
  <c r="J506" i="27"/>
  <c r="A506" i="27" s="1"/>
  <c r="A3570" i="27"/>
  <c r="F831" i="41"/>
  <c r="BZ67" i="33"/>
  <c r="J513" i="27"/>
  <c r="A513" i="27" s="1"/>
  <c r="A3674" i="27"/>
  <c r="A3615" i="27"/>
  <c r="A3621" i="27"/>
  <c r="A3517" i="27"/>
  <c r="A3678" i="27"/>
  <c r="A3556" i="27"/>
  <c r="A3668" i="27"/>
  <c r="A2821" i="27"/>
  <c r="J509" i="27"/>
  <c r="A509" i="27" s="1"/>
  <c r="A3482" i="27"/>
  <c r="M256" i="27"/>
  <c r="A256" i="27" s="1"/>
  <c r="A3484" i="27"/>
  <c r="A3540" i="27"/>
  <c r="BX37" i="33"/>
  <c r="D411" i="41"/>
  <c r="H747" i="41"/>
  <c r="CB61" i="33"/>
  <c r="J490" i="27"/>
  <c r="A490" i="27" s="1"/>
  <c r="AY31" i="30"/>
  <c r="E331" i="39"/>
  <c r="G103" i="41"/>
  <c r="CA15" i="33"/>
  <c r="A3552" i="27"/>
  <c r="A3444" i="27"/>
  <c r="A3667" i="27"/>
  <c r="A3655" i="27"/>
  <c r="H187" i="41"/>
  <c r="CB21" i="33"/>
  <c r="D358" i="39"/>
  <c r="AX33" i="30"/>
  <c r="CB67" i="33"/>
  <c r="H831" i="41"/>
  <c r="A3512" i="27"/>
  <c r="A3440" i="27"/>
  <c r="BM15" i="31"/>
  <c r="G115" i="40"/>
  <c r="D331" i="39"/>
  <c r="AX31" i="30"/>
  <c r="BY29" i="33"/>
  <c r="E299" i="41"/>
  <c r="A3393" i="27"/>
  <c r="A3683" i="27"/>
  <c r="A3428" i="27"/>
  <c r="A2853" i="27"/>
  <c r="A3535" i="27"/>
  <c r="A3452" i="27"/>
  <c r="A3366" i="27"/>
  <c r="D719" i="41"/>
  <c r="BX59" i="33"/>
  <c r="E19" i="41"/>
  <c r="BY9" i="33"/>
  <c r="A3651" i="27"/>
  <c r="A3434" i="27"/>
  <c r="CB11" i="33"/>
  <c r="H47" i="41"/>
  <c r="A2822" i="27"/>
  <c r="A2835" i="27"/>
  <c r="A3601" i="27"/>
  <c r="D691" i="41"/>
  <c r="BX57" i="33"/>
  <c r="A3585" i="27"/>
  <c r="BX17" i="33"/>
  <c r="D131" i="41"/>
  <c r="A3406" i="27"/>
  <c r="A3656" i="27"/>
  <c r="A3604" i="27"/>
  <c r="BZ29" i="33"/>
  <c r="F299" i="41"/>
  <c r="BL27" i="31"/>
  <c r="F277" i="40"/>
  <c r="A3456" i="27"/>
  <c r="K663" i="41"/>
  <c r="CE55" i="33"/>
  <c r="J485" i="27"/>
  <c r="A485" i="27" s="1"/>
  <c r="CA31" i="33"/>
  <c r="G327" i="41"/>
  <c r="F385" i="39"/>
  <c r="AZ35" i="30"/>
  <c r="A492" i="27"/>
  <c r="A3464" i="27"/>
  <c r="C803" i="41"/>
  <c r="BW65" i="33"/>
  <c r="A3347" i="27"/>
  <c r="G277" i="40"/>
  <c r="BM27" i="31"/>
  <c r="A3575" i="27"/>
  <c r="BX47" i="33"/>
  <c r="D551" i="41"/>
  <c r="A32" i="27"/>
  <c r="C412" i="39"/>
  <c r="AW37" i="30"/>
  <c r="A3364" i="27"/>
  <c r="A3583" i="27"/>
  <c r="K299" i="41"/>
  <c r="CE29" i="33"/>
  <c r="A3463" i="27"/>
  <c r="CB39" i="33"/>
  <c r="H439" i="41"/>
  <c r="G223" i="39"/>
  <c r="BA23" i="30"/>
  <c r="CA33" i="33"/>
  <c r="G355" i="41"/>
  <c r="A3661" i="27"/>
  <c r="A3429" i="27"/>
  <c r="A2797" i="27"/>
  <c r="CC23" i="33"/>
  <c r="I215" i="41"/>
  <c r="A3618" i="27"/>
  <c r="A3396" i="27"/>
  <c r="CD35" i="33"/>
  <c r="J383" i="41"/>
  <c r="G47" i="41"/>
  <c r="CA11" i="33"/>
  <c r="J507" i="27"/>
  <c r="A507" i="27" s="1"/>
  <c r="A3348" i="27"/>
  <c r="A3580" i="27"/>
  <c r="A3418" i="27"/>
  <c r="A3368" i="27"/>
  <c r="A3672" i="27"/>
  <c r="A510" i="27"/>
  <c r="A489" i="27"/>
  <c r="A484" i="27"/>
  <c r="A3470" i="27"/>
  <c r="A3567" i="27"/>
  <c r="BX65" i="33"/>
  <c r="D803" i="41"/>
  <c r="H467" i="41"/>
  <c r="CB41" i="33"/>
  <c r="A2840" i="27"/>
  <c r="H271" i="41"/>
  <c r="CB27" i="33"/>
  <c r="A3607" i="27"/>
  <c r="BM19" i="31"/>
  <c r="BN19" i="31" s="1"/>
  <c r="BO19" i="31" s="1"/>
  <c r="G169" i="40"/>
  <c r="J215" i="41"/>
  <c r="CD23" i="33"/>
  <c r="BK27" i="31"/>
  <c r="E277" i="40"/>
  <c r="A154" i="27"/>
  <c r="T154" i="27" s="1"/>
  <c r="I327" i="41"/>
  <c r="CC31" i="33"/>
  <c r="A3461" i="27"/>
  <c r="A3690" i="27"/>
  <c r="A3528" i="27"/>
  <c r="CC15" i="33"/>
  <c r="I103" i="41"/>
  <c r="C523" i="41"/>
  <c r="BW45" i="33"/>
  <c r="C467" i="41"/>
  <c r="BW41" i="33"/>
  <c r="A420" i="27"/>
  <c r="A377" i="27"/>
  <c r="C103" i="41"/>
  <c r="BW15" i="33"/>
  <c r="CC21" i="33"/>
  <c r="I187" i="41"/>
  <c r="A433" i="27"/>
  <c r="BY37" i="33"/>
  <c r="E411" i="41"/>
  <c r="A3675" i="27"/>
  <c r="K523" i="41"/>
  <c r="CE45" i="33"/>
  <c r="BM11" i="31"/>
  <c r="G61" i="40"/>
  <c r="A2791" i="27"/>
  <c r="A3648" i="27"/>
  <c r="C131" i="41"/>
  <c r="BW17" i="33"/>
  <c r="A2850" i="27"/>
  <c r="BZ13" i="33"/>
  <c r="F75" i="41"/>
  <c r="AX13" i="30"/>
  <c r="D88" i="39"/>
  <c r="A3594" i="27"/>
  <c r="A359" i="27"/>
  <c r="A3632" i="27"/>
  <c r="CE39" i="33"/>
  <c r="K439" i="41"/>
  <c r="A371" i="27"/>
  <c r="G412" i="40"/>
  <c r="BM37" i="31"/>
  <c r="H607" i="41"/>
  <c r="CB51" i="33"/>
  <c r="CC51" i="33"/>
  <c r="I607" i="41"/>
  <c r="AZ23" i="30"/>
  <c r="F223" i="39"/>
  <c r="A3658" i="27"/>
  <c r="CD17" i="33"/>
  <c r="J131" i="41"/>
  <c r="A3515" i="27"/>
  <c r="CD21" i="33"/>
  <c r="J187" i="41"/>
  <c r="E115" i="39"/>
  <c r="AY15" i="30"/>
  <c r="C331" i="40"/>
  <c r="BI31" i="31"/>
  <c r="A3379" i="27"/>
  <c r="A172" i="27"/>
  <c r="T172" i="27" s="1"/>
  <c r="J503" i="27"/>
  <c r="A503" i="27" s="1"/>
  <c r="A2789" i="27"/>
  <c r="A427" i="27"/>
  <c r="CC41" i="33"/>
  <c r="I467" i="41"/>
  <c r="G243" i="41"/>
  <c r="CA25" i="33"/>
  <c r="BL35" i="31"/>
  <c r="F385" i="40"/>
  <c r="A3354" i="27"/>
  <c r="A2856" i="27"/>
  <c r="G34" i="40"/>
  <c r="BM9" i="31"/>
  <c r="G215" i="41"/>
  <c r="CA23" i="33"/>
  <c r="A3499" i="27"/>
  <c r="A3622" i="27"/>
  <c r="C775" i="41"/>
  <c r="BW63" i="33"/>
  <c r="A3404" i="27"/>
  <c r="I495" i="41"/>
  <c r="CC43" i="33"/>
  <c r="A3534" i="27"/>
  <c r="F331" i="40"/>
  <c r="BL31" i="31"/>
  <c r="AW25" i="30"/>
  <c r="C250" i="39"/>
  <c r="M244" i="27"/>
  <c r="A244" i="27" s="1"/>
  <c r="CC35" i="33"/>
  <c r="I383" i="41"/>
  <c r="G635" i="41"/>
  <c r="CA53" i="33"/>
  <c r="G196" i="39"/>
  <c r="BA21" i="30"/>
  <c r="A3386" i="27"/>
  <c r="BW31" i="33"/>
  <c r="C327" i="41"/>
  <c r="A3510" i="27"/>
  <c r="A3469" i="27"/>
  <c r="A3497" i="27"/>
  <c r="H719" i="41"/>
  <c r="CB59" i="33"/>
  <c r="D385" i="40"/>
  <c r="BJ35" i="31"/>
  <c r="CB63" i="33"/>
  <c r="H775" i="41"/>
  <c r="K215" i="41"/>
  <c r="CE23" i="33"/>
  <c r="E551" i="41"/>
  <c r="BY47" i="33"/>
  <c r="CC67" i="33"/>
  <c r="I831" i="41"/>
  <c r="D142" i="39"/>
  <c r="AX17" i="30"/>
  <c r="A3596" i="27"/>
  <c r="I243" i="41"/>
  <c r="CC25" i="33"/>
  <c r="CB19" i="33"/>
  <c r="H159" i="41"/>
  <c r="A3571" i="27"/>
  <c r="C215" i="41"/>
  <c r="BW23" i="33"/>
  <c r="CB35" i="33"/>
  <c r="H383" i="41"/>
  <c r="A424" i="27"/>
  <c r="G196" i="40"/>
  <c r="BM21" i="31"/>
  <c r="A3531" i="27"/>
  <c r="A3630" i="27"/>
  <c r="A3491" i="27"/>
  <c r="A3689" i="27"/>
  <c r="A179" i="27"/>
  <c r="T179" i="27" s="1"/>
  <c r="G467" i="41"/>
  <c r="CA41" i="33"/>
  <c r="A3685" i="27"/>
  <c r="A3659" i="27"/>
  <c r="C691" i="41"/>
  <c r="BW57" i="33"/>
  <c r="A2839" i="27"/>
  <c r="A3516" i="27"/>
  <c r="A3680" i="27"/>
  <c r="A372" i="27"/>
  <c r="A389" i="27"/>
  <c r="A3421" i="27"/>
  <c r="J500" i="27"/>
  <c r="A500" i="27" s="1"/>
  <c r="A3459" i="27"/>
  <c r="CE25" i="33"/>
  <c r="K243" i="41"/>
  <c r="CB15" i="33"/>
  <c r="H103" i="41"/>
  <c r="A3686" i="27"/>
  <c r="A3613" i="27"/>
  <c r="A3471" i="27"/>
  <c r="C196" i="40"/>
  <c r="BI23" i="31"/>
  <c r="J512" i="27"/>
  <c r="A512" i="27" s="1"/>
  <c r="A3357" i="27"/>
  <c r="J327" i="41"/>
  <c r="CD31" i="33"/>
  <c r="A26" i="27"/>
  <c r="BA9" i="30"/>
  <c r="BB9" i="30" s="1"/>
  <c r="BC9" i="30" s="1"/>
  <c r="BH9" i="30" s="1"/>
  <c r="BG9" i="30"/>
  <c r="BE9" i="30" s="1"/>
  <c r="G34" i="39"/>
  <c r="BX13" i="33"/>
  <c r="D75" i="41"/>
  <c r="A3538" i="27"/>
  <c r="A2792" i="27"/>
  <c r="BY59" i="33"/>
  <c r="E719" i="41"/>
  <c r="BA13" i="30"/>
  <c r="G88" i="39"/>
  <c r="CE57" i="33"/>
  <c r="K691" i="41"/>
  <c r="H131" i="41"/>
  <c r="CB17" i="33"/>
  <c r="CD65" i="33"/>
  <c r="J803" i="41"/>
  <c r="A3382" i="27"/>
  <c r="A2801" i="27"/>
  <c r="A3634" i="27"/>
  <c r="A3373" i="27"/>
  <c r="CB57" i="33"/>
  <c r="H691" i="41"/>
  <c r="A3532" i="27"/>
  <c r="E1341" i="27"/>
  <c r="A3355" i="27"/>
  <c r="A2825" i="27"/>
  <c r="BZ11" i="33"/>
  <c r="F47" i="41"/>
  <c r="G250" i="39"/>
  <c r="BA25" i="30"/>
  <c r="A2803" i="27"/>
  <c r="G19" i="41"/>
  <c r="CA9" i="33"/>
  <c r="BZ63" i="33"/>
  <c r="F775" i="41"/>
  <c r="D250" i="39"/>
  <c r="AX25" i="30"/>
  <c r="BM17" i="31"/>
  <c r="G142" i="40"/>
  <c r="CA27" i="33"/>
  <c r="G271" i="41"/>
  <c r="G579" i="41"/>
  <c r="CA49" i="33"/>
  <c r="BA17" i="30"/>
  <c r="G142" i="39"/>
  <c r="CB47" i="33"/>
  <c r="H551" i="41"/>
  <c r="E1342" i="27"/>
  <c r="BJ31" i="31"/>
  <c r="D331" i="40"/>
  <c r="A3625" i="27"/>
  <c r="J355" i="41"/>
  <c r="CD33" i="33"/>
  <c r="A3359" i="27"/>
  <c r="A3590" i="27"/>
  <c r="AY27" i="30"/>
  <c r="E277" i="39"/>
  <c r="BZ57" i="33"/>
  <c r="F691" i="41"/>
  <c r="A3545" i="27"/>
  <c r="C551" i="41"/>
  <c r="BW47" i="33"/>
  <c r="BZ15" i="33"/>
  <c r="F103" i="41"/>
  <c r="A3490" i="27"/>
  <c r="A3445" i="27"/>
  <c r="A3436" i="27"/>
  <c r="A3489" i="27"/>
  <c r="A3676" i="27"/>
  <c r="CE33" i="33"/>
  <c r="K355" i="41"/>
  <c r="K271" i="41"/>
  <c r="CE27" i="33"/>
  <c r="BI33" i="31"/>
  <c r="C358" i="40"/>
  <c r="A3611" i="27"/>
  <c r="A3384" i="27"/>
  <c r="CC63" i="33"/>
  <c r="I775" i="41"/>
  <c r="A394" i="27"/>
  <c r="A2847" i="27"/>
  <c r="A3448" i="27"/>
  <c r="BI17" i="31"/>
  <c r="C142" i="40"/>
  <c r="J691" i="41"/>
  <c r="CD57" i="33"/>
  <c r="A3663" i="27"/>
  <c r="A3595" i="27"/>
  <c r="CC65" i="33"/>
  <c r="I803" i="41"/>
  <c r="J775" i="41"/>
  <c r="CD63" i="33"/>
  <c r="E304" i="40"/>
  <c r="BK29" i="31"/>
  <c r="A3430" i="27"/>
  <c r="AY33" i="30"/>
  <c r="E358" i="39"/>
  <c r="A2846" i="27"/>
  <c r="A3415" i="27"/>
  <c r="BL15" i="31"/>
  <c r="F115" i="40"/>
  <c r="AZ33" i="30"/>
  <c r="F358" i="39"/>
  <c r="A3542" i="27"/>
  <c r="E747" i="41"/>
  <c r="BY61" i="33"/>
  <c r="A3639" i="27"/>
  <c r="A3603" i="27"/>
  <c r="CE13" i="33"/>
  <c r="K75" i="41"/>
  <c r="BA11" i="30"/>
  <c r="G61" i="39"/>
  <c r="A2816" i="27"/>
  <c r="A3408" i="27"/>
  <c r="J411" i="41"/>
  <c r="CD37" i="33"/>
  <c r="A407" i="27"/>
  <c r="CC13" i="33"/>
  <c r="I75" i="41"/>
  <c r="A3608" i="27"/>
  <c r="CC39" i="33"/>
  <c r="I439" i="41"/>
  <c r="H19" i="41"/>
  <c r="CB9" i="33"/>
  <c r="CD27" i="33"/>
  <c r="J271" i="41"/>
  <c r="K467" i="41"/>
  <c r="CE41" i="33"/>
  <c r="AW35" i="30"/>
  <c r="C385" i="39"/>
  <c r="CB45" i="33"/>
  <c r="H523" i="41"/>
  <c r="J663" i="41"/>
  <c r="CD55" i="33"/>
  <c r="A3462" i="27"/>
  <c r="A3636" i="27"/>
  <c r="A2796" i="27"/>
  <c r="A3657" i="27"/>
  <c r="A3427" i="27"/>
  <c r="A3377" i="27"/>
  <c r="A3350" i="27"/>
  <c r="C159" i="41"/>
  <c r="BW19" i="33"/>
  <c r="A3599" i="27"/>
  <c r="A3586" i="27"/>
  <c r="A3598" i="27"/>
  <c r="A2799" i="27"/>
  <c r="K159" i="41"/>
  <c r="CE19" i="33"/>
  <c r="A358" i="27"/>
  <c r="A3638" i="27"/>
  <c r="BJ29" i="31"/>
  <c r="D304" i="40"/>
  <c r="C223" i="39"/>
  <c r="AW23" i="30"/>
  <c r="A3363" i="27"/>
  <c r="C385" i="40"/>
  <c r="BI35" i="31"/>
  <c r="E385" i="39"/>
  <c r="AY35" i="30"/>
  <c r="I747" i="41"/>
  <c r="CC61" i="33"/>
  <c r="A3443" i="27"/>
  <c r="BA29" i="30"/>
  <c r="G304" i="39"/>
  <c r="J467" i="41"/>
  <c r="CD41" i="33"/>
  <c r="J494" i="27"/>
  <c r="A494" i="27" s="1"/>
  <c r="A3391" i="27"/>
  <c r="A2806" i="27"/>
  <c r="A3352" i="27"/>
  <c r="CC49" i="33"/>
  <c r="I579" i="41"/>
  <c r="A2854" i="27"/>
  <c r="A3390" i="27"/>
  <c r="A3372" i="27"/>
  <c r="A3409" i="27"/>
  <c r="A3572" i="27"/>
  <c r="J505" i="27"/>
  <c r="A505" i="27" s="1"/>
  <c r="K747" i="41"/>
  <c r="CE61" i="33"/>
  <c r="A3560" i="27"/>
  <c r="A3383" i="27"/>
  <c r="A2842" i="27"/>
  <c r="A3405" i="27"/>
  <c r="A3392" i="27"/>
  <c r="CE53" i="33"/>
  <c r="K635" i="41"/>
  <c r="A3501" i="27"/>
  <c r="A3500" i="27"/>
  <c r="G358" i="40"/>
  <c r="BM33" i="31"/>
  <c r="A370" i="27"/>
  <c r="A3466" i="27"/>
  <c r="CC57" i="33"/>
  <c r="I691" i="41"/>
  <c r="H635" i="41"/>
  <c r="CB53" i="33"/>
  <c r="CD61" i="33"/>
  <c r="J747" i="41"/>
  <c r="H663" i="41"/>
  <c r="CB55" i="33"/>
  <c r="D831" i="41"/>
  <c r="BX67" i="33"/>
  <c r="N2095" i="27"/>
  <c r="N2096" i="27"/>
  <c r="K1497" i="27"/>
  <c r="K2095" i="27"/>
  <c r="G2096" i="27"/>
  <c r="K2097" i="27"/>
  <c r="F2095" i="27"/>
  <c r="G2097" i="27"/>
  <c r="M1494" i="27"/>
  <c r="A1494" i="27" s="1"/>
  <c r="K1496" i="27"/>
  <c r="J2096" i="27"/>
  <c r="J2095" i="27"/>
  <c r="F2097" i="27"/>
  <c r="I2095" i="27"/>
  <c r="H2096" i="27"/>
  <c r="K1495" i="27"/>
  <c r="F2096" i="27"/>
  <c r="H2095" i="27"/>
  <c r="E2095" i="27"/>
  <c r="M2095" i="27"/>
  <c r="A2095" i="27" s="1"/>
  <c r="K2096" i="27"/>
  <c r="E2096" i="27"/>
  <c r="M2097" i="27"/>
  <c r="A2097" i="27" s="1"/>
  <c r="J2097" i="27"/>
  <c r="I2096" i="27"/>
  <c r="N2097" i="27"/>
  <c r="I2097" i="27"/>
  <c r="G2095" i="27"/>
  <c r="H2097" i="27"/>
  <c r="M2096" i="27"/>
  <c r="A2096" i="27" s="1"/>
  <c r="E2097" i="27"/>
  <c r="I2104" i="27"/>
  <c r="H2098" i="27"/>
  <c r="K1499" i="27"/>
  <c r="G2098" i="27"/>
  <c r="M2103" i="27"/>
  <c r="A2103" i="27" s="1"/>
  <c r="I2105" i="27"/>
  <c r="K1501" i="27"/>
  <c r="H2105" i="27"/>
  <c r="H2101" i="27"/>
  <c r="K1502" i="27"/>
  <c r="K1500" i="27"/>
  <c r="K2105" i="27"/>
  <c r="H2102" i="27"/>
  <c r="K1503" i="27"/>
  <c r="E2101" i="27"/>
  <c r="J2105" i="27"/>
  <c r="I2102" i="27"/>
  <c r="K2104" i="27"/>
  <c r="I2098" i="27"/>
  <c r="K1505" i="27"/>
  <c r="E2100" i="27"/>
  <c r="M2101" i="27"/>
  <c r="A2101" i="27" s="1"/>
  <c r="F2103" i="27"/>
  <c r="M2104" i="27"/>
  <c r="A2104" i="27" s="1"/>
  <c r="M2098" i="27"/>
  <c r="A2098" i="27" s="1"/>
  <c r="F2104" i="27"/>
  <c r="M2099" i="27"/>
  <c r="A2099" i="27" s="1"/>
  <c r="N2105" i="27"/>
  <c r="K2103" i="27"/>
  <c r="H2099" i="27"/>
  <c r="K1504" i="27"/>
  <c r="N2103" i="27"/>
  <c r="H2100" i="27"/>
  <c r="K2100" i="27"/>
  <c r="J2100" i="27"/>
  <c r="N2101" i="27"/>
  <c r="J2099" i="27"/>
  <c r="G2103" i="27"/>
  <c r="G2105" i="27"/>
  <c r="F2105" i="27"/>
  <c r="J2101" i="27"/>
  <c r="I2103" i="27"/>
  <c r="J2103" i="27"/>
  <c r="K2099" i="27"/>
  <c r="J2098" i="27"/>
  <c r="J2104" i="27"/>
  <c r="F2102" i="27"/>
  <c r="K2101" i="27"/>
  <c r="M2102" i="27"/>
  <c r="A2102" i="27" s="1"/>
  <c r="K2098" i="27"/>
  <c r="M2100" i="27"/>
  <c r="A2100" i="27" s="1"/>
  <c r="H2104" i="27"/>
  <c r="G2104" i="27"/>
  <c r="N2100" i="27"/>
  <c r="G2101" i="27"/>
  <c r="E2104" i="27"/>
  <c r="G2100" i="27"/>
  <c r="I2099" i="27"/>
  <c r="H2103" i="27"/>
  <c r="I2100" i="27"/>
  <c r="N2102" i="27"/>
  <c r="K1498" i="27"/>
  <c r="G2099" i="27"/>
  <c r="N2104" i="27"/>
  <c r="F2101" i="27"/>
  <c r="J2102" i="27"/>
  <c r="I2101" i="27"/>
  <c r="N2099" i="27"/>
  <c r="G2102" i="27"/>
  <c r="N2098" i="27"/>
  <c r="F2100" i="27"/>
  <c r="E2102" i="27"/>
  <c r="K2102" i="27"/>
  <c r="F2099" i="27"/>
  <c r="M2105" i="27"/>
  <c r="A2105" i="27" s="1"/>
  <c r="F2098" i="27"/>
  <c r="A3660" i="27"/>
  <c r="A3644" i="27"/>
  <c r="BI37" i="31"/>
  <c r="C412" i="40"/>
  <c r="A3671" i="27"/>
  <c r="A3669" i="27"/>
  <c r="A3679" i="27"/>
  <c r="A3626" i="27"/>
  <c r="A3425" i="27"/>
  <c r="G1344" i="27"/>
  <c r="H1344" i="27"/>
  <c r="F1344" i="27"/>
  <c r="K1194" i="27"/>
  <c r="E1344" i="27"/>
  <c r="M1344" i="27"/>
  <c r="A1344" i="27" s="1"/>
  <c r="I1344" i="27"/>
  <c r="K1344" i="27"/>
  <c r="L1344" i="27"/>
  <c r="J1344" i="27"/>
  <c r="I1366" i="27"/>
  <c r="L1362" i="27"/>
  <c r="H1364" i="27"/>
  <c r="J1359" i="27"/>
  <c r="H1352" i="27"/>
  <c r="J1351" i="27"/>
  <c r="J1352" i="27"/>
  <c r="K1195" i="27"/>
  <c r="H1356" i="27"/>
  <c r="K1217" i="27"/>
  <c r="I1350" i="27"/>
  <c r="J1348" i="27"/>
  <c r="I1364" i="27"/>
  <c r="J1368" i="27"/>
  <c r="J1371" i="27"/>
  <c r="H1368" i="27"/>
  <c r="J1378" i="27"/>
  <c r="E1353" i="27"/>
  <c r="I1363" i="27"/>
  <c r="K1208" i="27"/>
  <c r="E1354" i="27"/>
  <c r="K1367" i="27"/>
  <c r="H1380" i="27"/>
  <c r="K1222" i="27"/>
  <c r="G1375" i="27"/>
  <c r="I1353" i="27"/>
  <c r="J1350" i="27"/>
  <c r="E1362" i="27"/>
  <c r="H1363" i="27"/>
  <c r="K1215" i="27"/>
  <c r="L1356" i="27"/>
  <c r="K1201" i="27"/>
  <c r="L1381" i="27"/>
  <c r="I1370" i="27"/>
  <c r="G1356" i="27"/>
  <c r="K1380" i="27"/>
  <c r="J1366" i="27"/>
  <c r="L1369" i="27"/>
  <c r="E1361" i="27"/>
  <c r="H1381" i="27"/>
  <c r="L1365" i="27"/>
  <c r="K1219" i="27"/>
  <c r="K1218" i="27"/>
  <c r="K1204" i="27"/>
  <c r="E1358" i="27"/>
  <c r="K1360" i="27"/>
  <c r="L1372" i="27"/>
  <c r="L1370" i="27"/>
  <c r="H1360" i="27"/>
  <c r="L1346" i="27"/>
  <c r="K1379" i="27"/>
  <c r="G1352" i="27"/>
  <c r="G1349" i="27"/>
  <c r="K1210" i="27"/>
  <c r="K1364" i="27"/>
  <c r="J1370" i="27"/>
  <c r="E1357" i="27"/>
  <c r="G1354" i="27"/>
  <c r="K1353" i="27"/>
  <c r="I1381" i="27"/>
  <c r="J1376" i="27"/>
  <c r="K1378" i="27"/>
  <c r="J1358" i="27"/>
  <c r="I1351" i="27"/>
  <c r="H1370" i="27"/>
  <c r="J1364" i="27"/>
  <c r="I1349" i="27"/>
  <c r="K1349" i="27"/>
  <c r="L1350" i="27"/>
  <c r="K1376" i="27"/>
  <c r="E1347" i="27"/>
  <c r="H1372" i="27"/>
  <c r="G1355" i="27"/>
  <c r="J1345" i="27"/>
  <c r="L1347" i="27"/>
  <c r="H1348" i="27"/>
  <c r="G1381" i="27"/>
  <c r="L1378" i="27"/>
  <c r="G1380" i="27"/>
  <c r="G1369" i="27"/>
  <c r="K1375" i="27"/>
  <c r="E1348" i="27"/>
  <c r="E1366" i="27"/>
  <c r="H1365" i="27"/>
  <c r="I1372" i="27"/>
  <c r="H1377" i="27"/>
  <c r="E1352" i="27"/>
  <c r="K1355" i="27"/>
  <c r="E1378" i="27"/>
  <c r="K1231" i="27"/>
  <c r="I1347" i="27"/>
  <c r="K1197" i="27"/>
  <c r="J1374" i="27"/>
  <c r="J1362" i="27"/>
  <c r="K1365" i="27"/>
  <c r="I1354" i="27"/>
  <c r="K1356" i="27"/>
  <c r="G1362" i="27"/>
  <c r="L1366" i="27"/>
  <c r="J1353" i="27"/>
  <c r="I1352" i="27"/>
  <c r="L1375" i="27"/>
  <c r="L1374" i="27"/>
  <c r="I1378" i="27"/>
  <c r="K1212" i="27"/>
  <c r="G1360" i="27"/>
  <c r="I1360" i="27"/>
  <c r="K1374" i="27"/>
  <c r="E1365" i="27"/>
  <c r="K1228" i="27"/>
  <c r="L1371" i="27"/>
  <c r="K1366" i="27"/>
  <c r="H1369" i="27"/>
  <c r="I1373" i="27"/>
  <c r="K1225" i="27"/>
  <c r="E1377" i="27"/>
  <c r="H1378" i="27"/>
  <c r="K1357" i="27"/>
  <c r="J1354" i="27"/>
  <c r="I1346" i="27"/>
  <c r="H1354" i="27"/>
  <c r="G1378" i="27"/>
  <c r="K1345" i="27"/>
  <c r="I1358" i="27"/>
  <c r="G1377" i="27"/>
  <c r="H1366" i="27"/>
  <c r="I1374" i="27"/>
  <c r="H1367" i="27"/>
  <c r="G1345" i="27"/>
  <c r="J1360" i="27"/>
  <c r="H1371" i="27"/>
  <c r="L1377" i="27"/>
  <c r="K1223" i="27"/>
  <c r="E1380" i="27"/>
  <c r="I1356" i="27"/>
  <c r="L1353" i="27"/>
  <c r="L1364" i="27"/>
  <c r="J1375" i="27"/>
  <c r="L1349" i="27"/>
  <c r="K1198" i="27"/>
  <c r="K1370" i="27"/>
  <c r="K1368" i="27"/>
  <c r="K1199" i="27"/>
  <c r="K1363" i="27"/>
  <c r="G1365" i="27"/>
  <c r="H1376" i="27"/>
  <c r="G1376" i="27"/>
  <c r="H1359" i="27"/>
  <c r="J1379" i="27"/>
  <c r="I1371" i="27"/>
  <c r="I1359" i="27"/>
  <c r="L1380" i="27"/>
  <c r="K1216" i="27"/>
  <c r="E1371" i="27"/>
  <c r="J1377" i="27"/>
  <c r="L1363" i="27"/>
  <c r="H1373" i="27"/>
  <c r="K1372" i="27"/>
  <c r="L1379" i="27"/>
  <c r="L1348" i="27"/>
  <c r="G1372" i="27"/>
  <c r="J1380" i="27"/>
  <c r="H1361" i="27"/>
  <c r="L1368" i="27"/>
  <c r="K1352" i="27"/>
  <c r="E1351" i="27"/>
  <c r="K1229" i="27"/>
  <c r="L1373" i="27"/>
  <c r="K1362" i="27"/>
  <c r="I1345" i="27"/>
  <c r="K1207" i="27"/>
  <c r="G1366" i="27"/>
  <c r="K1211" i="27"/>
  <c r="H1345" i="27"/>
  <c r="J1357" i="27"/>
  <c r="G1350" i="27"/>
  <c r="K1347" i="27"/>
  <c r="I1379" i="27"/>
  <c r="K1359" i="27"/>
  <c r="K1203" i="27"/>
  <c r="J1367" i="27"/>
  <c r="G1368" i="27"/>
  <c r="K1361" i="27"/>
  <c r="H1351" i="27"/>
  <c r="I1380" i="27"/>
  <c r="I1361" i="27"/>
  <c r="K1354" i="27"/>
  <c r="K1369" i="27"/>
  <c r="K1346" i="27"/>
  <c r="I1362" i="27"/>
  <c r="J1347" i="27"/>
  <c r="K1373" i="27"/>
  <c r="E1363" i="27"/>
  <c r="L1345" i="27"/>
  <c r="K1224" i="27"/>
  <c r="E1345" i="27"/>
  <c r="E1372" i="27"/>
  <c r="G1357" i="27"/>
  <c r="L1376" i="27"/>
  <c r="I1369" i="27"/>
  <c r="K1213" i="27"/>
  <c r="G1371" i="27"/>
  <c r="I1377" i="27"/>
  <c r="K1221" i="27"/>
  <c r="J1369" i="27"/>
  <c r="K1226" i="27"/>
  <c r="K1200" i="27"/>
  <c r="G1353" i="27"/>
  <c r="H1379" i="27"/>
  <c r="K1358" i="27"/>
  <c r="H1374" i="27"/>
  <c r="H1350" i="27"/>
  <c r="K1230" i="27"/>
  <c r="J1356" i="27"/>
  <c r="H1375" i="27"/>
  <c r="G1359" i="27"/>
  <c r="L1361" i="27"/>
  <c r="J1373" i="27"/>
  <c r="I1365" i="27"/>
  <c r="G1358" i="27"/>
  <c r="I1348" i="27"/>
  <c r="J1363" i="27"/>
  <c r="G1346" i="27"/>
  <c r="H1346" i="27"/>
  <c r="L1354" i="27"/>
  <c r="J1346" i="27"/>
  <c r="H1362" i="27"/>
  <c r="L1351" i="27"/>
  <c r="L1355" i="27"/>
  <c r="L1360" i="27"/>
  <c r="K1381" i="27"/>
  <c r="K1202" i="27"/>
  <c r="L1359" i="27"/>
  <c r="H1358" i="27"/>
  <c r="G1370" i="27"/>
  <c r="H1353" i="27"/>
  <c r="H1357" i="27"/>
  <c r="I1357" i="27"/>
  <c r="K1205" i="27"/>
  <c r="J1349" i="27"/>
  <c r="K1220" i="27"/>
  <c r="J1361" i="27"/>
  <c r="K1351" i="27"/>
  <c r="G1363" i="27"/>
  <c r="L1357" i="27"/>
  <c r="H1355" i="27"/>
  <c r="E1346" i="27"/>
  <c r="J1355" i="27"/>
  <c r="K1371" i="27"/>
  <c r="K1206" i="27"/>
  <c r="G1367" i="27"/>
  <c r="H1349" i="27"/>
  <c r="E1374" i="27"/>
  <c r="K1348" i="27"/>
  <c r="E1364" i="27"/>
  <c r="E1368" i="27"/>
  <c r="E1360" i="27"/>
  <c r="G1373" i="27"/>
  <c r="K1209" i="27"/>
  <c r="G1379" i="27"/>
  <c r="E1376" i="27"/>
  <c r="L1367" i="27"/>
  <c r="K1350" i="27"/>
  <c r="I1355" i="27"/>
  <c r="G1374" i="27"/>
  <c r="E1379" i="27"/>
  <c r="K1214" i="27"/>
  <c r="L1352" i="27"/>
  <c r="I1376" i="27"/>
  <c r="L1358" i="27"/>
  <c r="J1381" i="27"/>
  <c r="J1365" i="27"/>
  <c r="G1351" i="27"/>
  <c r="E1367" i="27"/>
  <c r="I1367" i="27"/>
  <c r="J1372" i="27"/>
  <c r="K1227" i="27"/>
  <c r="G1347" i="27"/>
  <c r="G1348" i="27"/>
  <c r="G1361" i="27"/>
  <c r="K1377" i="27"/>
  <c r="G1364" i="27"/>
  <c r="I1375" i="27"/>
  <c r="I1368" i="27"/>
  <c r="K1196" i="27"/>
  <c r="H1347" i="27"/>
  <c r="G495" i="41"/>
  <c r="CA43" i="33"/>
  <c r="CD29" i="33"/>
  <c r="J299" i="41"/>
  <c r="A2824" i="27"/>
  <c r="A2843" i="27"/>
  <c r="CE15" i="33"/>
  <c r="K103" i="41"/>
  <c r="A396" i="27"/>
  <c r="E412" i="40"/>
  <c r="BK37" i="31"/>
  <c r="A3358" i="27"/>
  <c r="A2826" i="27"/>
  <c r="A3413" i="27"/>
  <c r="J493" i="27"/>
  <c r="A493" i="27" s="1"/>
  <c r="AX23" i="30"/>
  <c r="D223" i="39"/>
  <c r="A3662" i="27"/>
  <c r="A3650" i="27"/>
  <c r="A3628" i="27"/>
  <c r="A3385" i="27"/>
  <c r="A3473" i="27"/>
  <c r="D115" i="39"/>
  <c r="AX15" i="30"/>
  <c r="CA57" i="33"/>
  <c r="G691" i="41"/>
  <c r="A3467" i="27"/>
  <c r="A3610" i="27"/>
  <c r="J502" i="27"/>
  <c r="A3477" i="27"/>
  <c r="BW35" i="33"/>
  <c r="C383" i="41"/>
  <c r="A3450" i="27"/>
  <c r="A3620" i="27"/>
  <c r="A3558" i="27"/>
  <c r="G607" i="41"/>
  <c r="CA51" i="33"/>
  <c r="A3435" i="27"/>
  <c r="BX29" i="33"/>
  <c r="D299" i="41"/>
  <c r="BM25" i="31"/>
  <c r="BN25" i="31" s="1"/>
  <c r="BO25" i="31" s="1"/>
  <c r="G250" i="40"/>
  <c r="E1343" i="27"/>
  <c r="E169" i="39"/>
  <c r="AY19" i="30"/>
  <c r="F1345" i="27"/>
  <c r="M1345" i="27"/>
  <c r="A1345" i="27" s="1"/>
  <c r="A155" i="27"/>
  <c r="T155" i="27" s="1"/>
  <c r="A208" i="27"/>
  <c r="T208" i="27" s="1"/>
  <c r="A3629" i="27"/>
  <c r="CB33" i="33"/>
  <c r="H355" i="41"/>
  <c r="A3442" i="27"/>
  <c r="CA21" i="33"/>
  <c r="G187" i="41"/>
  <c r="A3593" i="27"/>
  <c r="A419" i="27"/>
  <c r="A376" i="27"/>
  <c r="A3468" i="27"/>
  <c r="J103" i="41"/>
  <c r="CD15" i="33"/>
  <c r="E1349" i="27"/>
  <c r="A3684" i="27"/>
  <c r="A406" i="27"/>
  <c r="A3451" i="27"/>
  <c r="A3514" i="27"/>
  <c r="A3544" i="27"/>
  <c r="A413" i="27"/>
  <c r="C579" i="41"/>
  <c r="BW49" i="33"/>
  <c r="A196" i="27"/>
  <c r="T196" i="27" s="1"/>
  <c r="A3643" i="27"/>
  <c r="A3550" i="27"/>
  <c r="A2827" i="27"/>
  <c r="A147" i="27"/>
  <c r="T147" i="27" s="1"/>
  <c r="A412" i="27"/>
  <c r="D775" i="41"/>
  <c r="BX63" i="33"/>
  <c r="BY11" i="33"/>
  <c r="E47" i="41"/>
  <c r="G331" i="39"/>
  <c r="BA31" i="30"/>
  <c r="A391" i="27"/>
  <c r="A3438" i="27"/>
  <c r="A3600" i="27"/>
  <c r="A382" i="27"/>
  <c r="BW11" i="33"/>
  <c r="C47" i="41"/>
  <c r="A2804" i="27"/>
  <c r="BA15" i="30"/>
  <c r="G115" i="39"/>
  <c r="A3360" i="27"/>
  <c r="A3694" i="27"/>
  <c r="I2195" i="27"/>
  <c r="J2135" i="27"/>
  <c r="N2141" i="27"/>
  <c r="I2206" i="27"/>
  <c r="H2332" i="27"/>
  <c r="K2270" i="27"/>
  <c r="G2177" i="27"/>
  <c r="N2268" i="27"/>
  <c r="G2355" i="27"/>
  <c r="H2132" i="27"/>
  <c r="H2345" i="27"/>
  <c r="H2161" i="27"/>
  <c r="G2136" i="27"/>
  <c r="E2209" i="27"/>
  <c r="J2244" i="27"/>
  <c r="J2297" i="27"/>
  <c r="K2321" i="27"/>
  <c r="I2203" i="27"/>
  <c r="K2122" i="27"/>
  <c r="J2229" i="27"/>
  <c r="N2185" i="27"/>
  <c r="G2237" i="27"/>
  <c r="N2253" i="27"/>
  <c r="I2190" i="27"/>
  <c r="I2121" i="27"/>
  <c r="J2136" i="27"/>
  <c r="H2186" i="27"/>
  <c r="N2190" i="27"/>
  <c r="N2252" i="27"/>
  <c r="J2282" i="27"/>
  <c r="N2188" i="27"/>
  <c r="H2190" i="27"/>
  <c r="I2211" i="27"/>
  <c r="J2168" i="27"/>
  <c r="G2176" i="27"/>
  <c r="I2339" i="27"/>
  <c r="N2235" i="27"/>
  <c r="E2196" i="27"/>
  <c r="K1704" i="27"/>
  <c r="I2204" i="27"/>
  <c r="N2154" i="27"/>
  <c r="E2253" i="27"/>
  <c r="N2119" i="27"/>
  <c r="K1561" i="27"/>
  <c r="I2300" i="27"/>
  <c r="N2195" i="27"/>
  <c r="I2321" i="27"/>
  <c r="J2175" i="27"/>
  <c r="K1539" i="27"/>
  <c r="N2284" i="27"/>
  <c r="N2296" i="27"/>
  <c r="I2309" i="27"/>
  <c r="G2168" i="27"/>
  <c r="I2235" i="27"/>
  <c r="K2220" i="27"/>
  <c r="G2204" i="27"/>
  <c r="H2116" i="27"/>
  <c r="H2291" i="27"/>
  <c r="G2172" i="27"/>
  <c r="I2207" i="27"/>
  <c r="H2154" i="27"/>
  <c r="H2353" i="27"/>
  <c r="H2233" i="27"/>
  <c r="E2240" i="27"/>
  <c r="K1528" i="27"/>
  <c r="J2310" i="27"/>
  <c r="H2298" i="27"/>
  <c r="G2244" i="27"/>
  <c r="N2308" i="27"/>
  <c r="I2345" i="27"/>
  <c r="J2266" i="27"/>
  <c r="J2281" i="27"/>
  <c r="G2126" i="27"/>
  <c r="I2302" i="27"/>
  <c r="G2109" i="27"/>
  <c r="G2131" i="27"/>
  <c r="G2275" i="27"/>
  <c r="G2332" i="27"/>
  <c r="K1513" i="27"/>
  <c r="G2217" i="27"/>
  <c r="G2252" i="27"/>
  <c r="K1564" i="27"/>
  <c r="J2279" i="27"/>
  <c r="K2216" i="27"/>
  <c r="J2176" i="27"/>
  <c r="G2239" i="27"/>
  <c r="K1589" i="27"/>
  <c r="N2224" i="27"/>
  <c r="J2214" i="27"/>
  <c r="G2122" i="27"/>
  <c r="H2282" i="27"/>
  <c r="G2297" i="27"/>
  <c r="I2150" i="27"/>
  <c r="J2255" i="27"/>
  <c r="J2305" i="27"/>
  <c r="I2249" i="27"/>
  <c r="I2107" i="27"/>
  <c r="G2200" i="27"/>
  <c r="I2149" i="27"/>
  <c r="H2194" i="27"/>
  <c r="I2112" i="27"/>
  <c r="H2126" i="27"/>
  <c r="K1508" i="27"/>
  <c r="G2258" i="27"/>
  <c r="K1707" i="27"/>
  <c r="N2283" i="27"/>
  <c r="H2333" i="27"/>
  <c r="N2281" i="27"/>
  <c r="N2182" i="27"/>
  <c r="N2346" i="27"/>
  <c r="H2358" i="27"/>
  <c r="G2191" i="27"/>
  <c r="J2164" i="27"/>
  <c r="J2348" i="27"/>
  <c r="N2245" i="27"/>
  <c r="I2193" i="27"/>
  <c r="I2308" i="27"/>
  <c r="N2357" i="27"/>
  <c r="G2138" i="27"/>
  <c r="K1648" i="27"/>
  <c r="I2347" i="27"/>
  <c r="K2359" i="27"/>
  <c r="N2242" i="27"/>
  <c r="J2342" i="27"/>
  <c r="I2185" i="27"/>
  <c r="I2205" i="27"/>
  <c r="H2236" i="27"/>
  <c r="N2307" i="27"/>
  <c r="G2318" i="27"/>
  <c r="N2166" i="27"/>
  <c r="N2271" i="27"/>
  <c r="J2249" i="27"/>
  <c r="H2331" i="27"/>
  <c r="G2123" i="27"/>
  <c r="G2135" i="27"/>
  <c r="I2307" i="27"/>
  <c r="H2330" i="27"/>
  <c r="N2292" i="27"/>
  <c r="K1748" i="27"/>
  <c r="N2127" i="27"/>
  <c r="H2237" i="27"/>
  <c r="H2316" i="27"/>
  <c r="J2298" i="27"/>
  <c r="I2108" i="27"/>
  <c r="N2249" i="27"/>
  <c r="H2181" i="27"/>
  <c r="J2291" i="27"/>
  <c r="H2251" i="27"/>
  <c r="I2240" i="27"/>
  <c r="K2183" i="27"/>
  <c r="N2192" i="27"/>
  <c r="J2158" i="27"/>
  <c r="J2319" i="27"/>
  <c r="I2188" i="27"/>
  <c r="H2328" i="27"/>
  <c r="I2165" i="27"/>
  <c r="K1753" i="27"/>
  <c r="J2301" i="27"/>
  <c r="J2149" i="27"/>
  <c r="H2160" i="27"/>
  <c r="J2202" i="27"/>
  <c r="G2149" i="27"/>
  <c r="E2137" i="27"/>
  <c r="N2114" i="27"/>
  <c r="E2109" i="27"/>
  <c r="I2337" i="27"/>
  <c r="K2341" i="27"/>
  <c r="N2194" i="27"/>
  <c r="G2281" i="27"/>
  <c r="G2278" i="27"/>
  <c r="N2349" i="27"/>
  <c r="H2265" i="27"/>
  <c r="N2345" i="27"/>
  <c r="G2349" i="27"/>
  <c r="H2151" i="27"/>
  <c r="H2234" i="27"/>
  <c r="H2324" i="27"/>
  <c r="N2156" i="27"/>
  <c r="J2237" i="27"/>
  <c r="H2218" i="27"/>
  <c r="H2255" i="27"/>
  <c r="J2353" i="27"/>
  <c r="G2347" i="27"/>
  <c r="H2329" i="27"/>
  <c r="E2128" i="27"/>
  <c r="I2132" i="27"/>
  <c r="E2315" i="27"/>
  <c r="K2232" i="27"/>
  <c r="J2352" i="27"/>
  <c r="N2265" i="27"/>
  <c r="N2342" i="27"/>
  <c r="N2171" i="27"/>
  <c r="E2331" i="27"/>
  <c r="H2122" i="27"/>
  <c r="K1612" i="27"/>
  <c r="G2334" i="27"/>
  <c r="H2311" i="27"/>
  <c r="I2139" i="27"/>
  <c r="H2205" i="27"/>
  <c r="G2282" i="27"/>
  <c r="E2299" i="27"/>
  <c r="H2346" i="27"/>
  <c r="J2161" i="27"/>
  <c r="I2290" i="27"/>
  <c r="N2145" i="27"/>
  <c r="N2128" i="27"/>
  <c r="K2357" i="27"/>
  <c r="I2146" i="27"/>
  <c r="I2241" i="27"/>
  <c r="K1684" i="27"/>
  <c r="N2330" i="27"/>
  <c r="K1600" i="27"/>
  <c r="J2317" i="27"/>
  <c r="K1579" i="27"/>
  <c r="N2299" i="27"/>
  <c r="G2250" i="27"/>
  <c r="J2327" i="27"/>
  <c r="N2270" i="27"/>
  <c r="E2125" i="27"/>
  <c r="K1531" i="27"/>
  <c r="I2134" i="27"/>
  <c r="K1576" i="27"/>
  <c r="H2348" i="27"/>
  <c r="K1617" i="27"/>
  <c r="K1616" i="27"/>
  <c r="K1511" i="27"/>
  <c r="H2250" i="27"/>
  <c r="E2348" i="27"/>
  <c r="H2180" i="27"/>
  <c r="I2155" i="27"/>
  <c r="G2152" i="27"/>
  <c r="K2253" i="27"/>
  <c r="G2273" i="27"/>
  <c r="G2271" i="27"/>
  <c r="G2163" i="27"/>
  <c r="I2234" i="27"/>
  <c r="G2192" i="27"/>
  <c r="H2200" i="27"/>
  <c r="G2216" i="27"/>
  <c r="G2340" i="27"/>
  <c r="E2176" i="27"/>
  <c r="K1657" i="27"/>
  <c r="I2278" i="27"/>
  <c r="H2168" i="27"/>
  <c r="E2296" i="27"/>
  <c r="G2242" i="27"/>
  <c r="H2201" i="27"/>
  <c r="K1739" i="27"/>
  <c r="G2226" i="27"/>
  <c r="N2355" i="27"/>
  <c r="K2148" i="27"/>
  <c r="K2223" i="27"/>
  <c r="G2323" i="27"/>
  <c r="G2114" i="27"/>
  <c r="I2202" i="27"/>
  <c r="I2210" i="27"/>
  <c r="I2114" i="27"/>
  <c r="G2261" i="27"/>
  <c r="J2194" i="27"/>
  <c r="E2159" i="27"/>
  <c r="J2332" i="27"/>
  <c r="E2338" i="27"/>
  <c r="K2303" i="27"/>
  <c r="N2347" i="27"/>
  <c r="K1544" i="27"/>
  <c r="N2233" i="27"/>
  <c r="I2273" i="27"/>
  <c r="I2172" i="27"/>
  <c r="J2324" i="27"/>
  <c r="I2264" i="27"/>
  <c r="K1744" i="27"/>
  <c r="E2110" i="27"/>
  <c r="H2170" i="27"/>
  <c r="H2262" i="27"/>
  <c r="J2277" i="27"/>
  <c r="N2263" i="27"/>
  <c r="K2301" i="27"/>
  <c r="K1670" i="27"/>
  <c r="G2266" i="27"/>
  <c r="J2151" i="27"/>
  <c r="I2334" i="27"/>
  <c r="E2341" i="27"/>
  <c r="K1666" i="27"/>
  <c r="J2273" i="27"/>
  <c r="H2136" i="27"/>
  <c r="G2354" i="27"/>
  <c r="J2260" i="27"/>
  <c r="N2282" i="27"/>
  <c r="J2170" i="27"/>
  <c r="I2294" i="27"/>
  <c r="I2106" i="27"/>
  <c r="J2184" i="27"/>
  <c r="I2168" i="27"/>
  <c r="K1517" i="27"/>
  <c r="J2215" i="27"/>
  <c r="G2229" i="27"/>
  <c r="N2323" i="27"/>
  <c r="K2334" i="27"/>
  <c r="N2354" i="27"/>
  <c r="H2340" i="27"/>
  <c r="I2323" i="27"/>
  <c r="J2112" i="27"/>
  <c r="N2243" i="27"/>
  <c r="N2107" i="27"/>
  <c r="I2258" i="27"/>
  <c r="H2110" i="27"/>
  <c r="E2319" i="27"/>
  <c r="K1688" i="27"/>
  <c r="G2286" i="27"/>
  <c r="K2224" i="27"/>
  <c r="I2116" i="27"/>
  <c r="N2165" i="27"/>
  <c r="E2113" i="27"/>
  <c r="K1720" i="27"/>
  <c r="I2117" i="27"/>
  <c r="J2356" i="27"/>
  <c r="H2357" i="27"/>
  <c r="J2351" i="27"/>
  <c r="K2236" i="27"/>
  <c r="N2153" i="27"/>
  <c r="K1557" i="27"/>
  <c r="H2210" i="27"/>
  <c r="I2265" i="27"/>
  <c r="G2180" i="27"/>
  <c r="H2317" i="27"/>
  <c r="E2351" i="27"/>
  <c r="K1582" i="27"/>
  <c r="J2165" i="27"/>
  <c r="K1514" i="27"/>
  <c r="I2111" i="27"/>
  <c r="N2341" i="27"/>
  <c r="N2335" i="27"/>
  <c r="J2106" i="27"/>
  <c r="K2322" i="27"/>
  <c r="K1580" i="27"/>
  <c r="G2313" i="27"/>
  <c r="H2157" i="27"/>
  <c r="K2182" i="27"/>
  <c r="J2311" i="27"/>
  <c r="E2231" i="27"/>
  <c r="N2324" i="27"/>
  <c r="K1738" i="27"/>
  <c r="N2204" i="27"/>
  <c r="K2262" i="27"/>
  <c r="J2252" i="27"/>
  <c r="E2115" i="27"/>
  <c r="K2142" i="27"/>
  <c r="J2245" i="27"/>
  <c r="K1538" i="27"/>
  <c r="E2246" i="27"/>
  <c r="I2170" i="27"/>
  <c r="K1742" i="27"/>
  <c r="G2213" i="27"/>
  <c r="J2172" i="27"/>
  <c r="I2162" i="27"/>
  <c r="G2245" i="27"/>
  <c r="K1618" i="27"/>
  <c r="J2195" i="27"/>
  <c r="I2288" i="27"/>
  <c r="N2181" i="27"/>
  <c r="H2256" i="27"/>
  <c r="N2348" i="27"/>
  <c r="H2178" i="27"/>
  <c r="H2193" i="27"/>
  <c r="G2208" i="27"/>
  <c r="G2193" i="27"/>
  <c r="E2336" i="27"/>
  <c r="I2137" i="27"/>
  <c r="H2351" i="27"/>
  <c r="J2256" i="27"/>
  <c r="N2276" i="27"/>
  <c r="E2162" i="27"/>
  <c r="N2331" i="27"/>
  <c r="H2197" i="27"/>
  <c r="K1578" i="27"/>
  <c r="H2263" i="27"/>
  <c r="E2243" i="27"/>
  <c r="K2173" i="27"/>
  <c r="N2215" i="27"/>
  <c r="I2180" i="27"/>
  <c r="E2286" i="27"/>
  <c r="N2315" i="27"/>
  <c r="K2346" i="27"/>
  <c r="K1745" i="27"/>
  <c r="H2247" i="27"/>
  <c r="I2279" i="27"/>
  <c r="K1632" i="27"/>
  <c r="I2127" i="27"/>
  <c r="N2266" i="27"/>
  <c r="K2296" i="27"/>
  <c r="H2275" i="27"/>
  <c r="H2243" i="27"/>
  <c r="N2259" i="27"/>
  <c r="J2128" i="27"/>
  <c r="H2285" i="27"/>
  <c r="K2265" i="27"/>
  <c r="H2258" i="27"/>
  <c r="J2304" i="27"/>
  <c r="N2302" i="27"/>
  <c r="H2303" i="27"/>
  <c r="E2261" i="27"/>
  <c r="K1655" i="27"/>
  <c r="K2251" i="27"/>
  <c r="G2155" i="27"/>
  <c r="E2142" i="27"/>
  <c r="N2169" i="27"/>
  <c r="N2339" i="27"/>
  <c r="K2299" i="27"/>
  <c r="H2355" i="27"/>
  <c r="N2322" i="27"/>
  <c r="J2145" i="27"/>
  <c r="I2110" i="27"/>
  <c r="G2110" i="27"/>
  <c r="J2221" i="27"/>
  <c r="H2297" i="27"/>
  <c r="J2254" i="27"/>
  <c r="J2197" i="27"/>
  <c r="N2158" i="27"/>
  <c r="N2133" i="27"/>
  <c r="H2268" i="27"/>
  <c r="G2279" i="27"/>
  <c r="N2251" i="27"/>
  <c r="G2230" i="27"/>
  <c r="J2182" i="27"/>
  <c r="J2213" i="27"/>
  <c r="E2347" i="27"/>
  <c r="I2297" i="27"/>
  <c r="N2290" i="27"/>
  <c r="J2268" i="27"/>
  <c r="G2301" i="27"/>
  <c r="G2346" i="27"/>
  <c r="J2315" i="27"/>
  <c r="E2221" i="27"/>
  <c r="N2217" i="27"/>
  <c r="E2150" i="27"/>
  <c r="H2344" i="27"/>
  <c r="H2283" i="27"/>
  <c r="H2125" i="27"/>
  <c r="E2129" i="27"/>
  <c r="N2291" i="27"/>
  <c r="N2216" i="27"/>
  <c r="G2308" i="27"/>
  <c r="H2118" i="27"/>
  <c r="H2162" i="27"/>
  <c r="G2124" i="27"/>
  <c r="E2177" i="27"/>
  <c r="N2305" i="27"/>
  <c r="E2346" i="27"/>
  <c r="K1698" i="27"/>
  <c r="H2158" i="27"/>
  <c r="K2259" i="27"/>
  <c r="N2267" i="27"/>
  <c r="G2232" i="27"/>
  <c r="H2280" i="27"/>
  <c r="I2238" i="27"/>
  <c r="J2160" i="27"/>
  <c r="G2300" i="27"/>
  <c r="H2152" i="27"/>
  <c r="I2140" i="27"/>
  <c r="N2174" i="27"/>
  <c r="N2328" i="27"/>
  <c r="J2146" i="27"/>
  <c r="N2295" i="27"/>
  <c r="N2304" i="27"/>
  <c r="J2339" i="27"/>
  <c r="J2203" i="27"/>
  <c r="H2107" i="27"/>
  <c r="I2341" i="27"/>
  <c r="N2205" i="27"/>
  <c r="I2298" i="27"/>
  <c r="J2133" i="27"/>
  <c r="J2201" i="27"/>
  <c r="H2172" i="27"/>
  <c r="N2172" i="27"/>
  <c r="E2218" i="27"/>
  <c r="G2144" i="27"/>
  <c r="G2280" i="27"/>
  <c r="K2126" i="27"/>
  <c r="J2200" i="27"/>
  <c r="E2264" i="27"/>
  <c r="I2142" i="27"/>
  <c r="H2273" i="27"/>
  <c r="I2154" i="27"/>
  <c r="I2311" i="27"/>
  <c r="I2119" i="27"/>
  <c r="H2225" i="27"/>
  <c r="G2267" i="27"/>
  <c r="K2125" i="27"/>
  <c r="N2298" i="27"/>
  <c r="I2343" i="27"/>
  <c r="G2241" i="27"/>
  <c r="J2333" i="27"/>
  <c r="K1563" i="27"/>
  <c r="N2285" i="27"/>
  <c r="H2192" i="27"/>
  <c r="N2294" i="27"/>
  <c r="N2201" i="27"/>
  <c r="H2242" i="27"/>
  <c r="K2312" i="27"/>
  <c r="H2117" i="27"/>
  <c r="H2254" i="27"/>
  <c r="G2302" i="27"/>
  <c r="I2282" i="27"/>
  <c r="N2111" i="27"/>
  <c r="E2354" i="27"/>
  <c r="E2222" i="27"/>
  <c r="K1626" i="27"/>
  <c r="J2193" i="27"/>
  <c r="I2178" i="27"/>
  <c r="J2110" i="27"/>
  <c r="H2354" i="27"/>
  <c r="G2178" i="27"/>
  <c r="K1714" i="27"/>
  <c r="G2146" i="27"/>
  <c r="I2153" i="27"/>
  <c r="N2314" i="27"/>
  <c r="I2160" i="27"/>
  <c r="N2116" i="27"/>
  <c r="N2231" i="27"/>
  <c r="H2264" i="27"/>
  <c r="K2186" i="27"/>
  <c r="G2206" i="27"/>
  <c r="E2152" i="27"/>
  <c r="J2207" i="27"/>
  <c r="G2134" i="27"/>
  <c r="I2213" i="27"/>
  <c r="N2320" i="27"/>
  <c r="J2204" i="27"/>
  <c r="I2131" i="27"/>
  <c r="I2174" i="27"/>
  <c r="N2130" i="27"/>
  <c r="E2108" i="27"/>
  <c r="N2286" i="27"/>
  <c r="G2209" i="27"/>
  <c r="N2306" i="27"/>
  <c r="E2274" i="27"/>
  <c r="H2188" i="27"/>
  <c r="N2157" i="27"/>
  <c r="E2188" i="27"/>
  <c r="G2142" i="27"/>
  <c r="K1554" i="27"/>
  <c r="H2302" i="27"/>
  <c r="I2244" i="27"/>
  <c r="I2167" i="27"/>
  <c r="N2327" i="27"/>
  <c r="H2145" i="27"/>
  <c r="I2130" i="27"/>
  <c r="G2331" i="27"/>
  <c r="E2273" i="27"/>
  <c r="I2289" i="27"/>
  <c r="E2201" i="27"/>
  <c r="J2144" i="27"/>
  <c r="J2233" i="27"/>
  <c r="N2124" i="27"/>
  <c r="J2312" i="27"/>
  <c r="K1521" i="27"/>
  <c r="H2106" i="27"/>
  <c r="E2258" i="27"/>
  <c r="H2350" i="27"/>
  <c r="K1525" i="27"/>
  <c r="N2163" i="27"/>
  <c r="K1635" i="27"/>
  <c r="G2310" i="27"/>
  <c r="E2119" i="27"/>
  <c r="H2245" i="27"/>
  <c r="I2281" i="27"/>
  <c r="H2143" i="27"/>
  <c r="I2166" i="27"/>
  <c r="G2211" i="27"/>
  <c r="K1733" i="27"/>
  <c r="E2210" i="27"/>
  <c r="H2204" i="27"/>
  <c r="K2129" i="27"/>
  <c r="N2254" i="27"/>
  <c r="G2272" i="27"/>
  <c r="J2259" i="27"/>
  <c r="N2142" i="27"/>
  <c r="N2227" i="27"/>
  <c r="E2281" i="27"/>
  <c r="K1622" i="27"/>
  <c r="I2256" i="27"/>
  <c r="H2252" i="27"/>
  <c r="J2129" i="27"/>
  <c r="K2308" i="27"/>
  <c r="G2324" i="27"/>
  <c r="E2269" i="27"/>
  <c r="H2109" i="27"/>
  <c r="K1583" i="27"/>
  <c r="H2290" i="27"/>
  <c r="I2301" i="27"/>
  <c r="K2214" i="27"/>
  <c r="N2239" i="27"/>
  <c r="J2294" i="27"/>
  <c r="E2339" i="27"/>
  <c r="H2135" i="27"/>
  <c r="K2320" i="27"/>
  <c r="G2188" i="27"/>
  <c r="J2169" i="27"/>
  <c r="K1711" i="27"/>
  <c r="N2179" i="27"/>
  <c r="J2174" i="27"/>
  <c r="G2285" i="27"/>
  <c r="K2323" i="27"/>
  <c r="N2152" i="27"/>
  <c r="E2232" i="27"/>
  <c r="N2329" i="27"/>
  <c r="K1633" i="27"/>
  <c r="I2226" i="27"/>
  <c r="J2345" i="27"/>
  <c r="K1591" i="27"/>
  <c r="H2208" i="27"/>
  <c r="N2218" i="27"/>
  <c r="K1581" i="27"/>
  <c r="H2220" i="27"/>
  <c r="H2301" i="27"/>
  <c r="K2295" i="27"/>
  <c r="K1512" i="27"/>
  <c r="N2122" i="27"/>
  <c r="I2291" i="27"/>
  <c r="I2340" i="27"/>
  <c r="G2233" i="27"/>
  <c r="I2221" i="27"/>
  <c r="G2320" i="27"/>
  <c r="E2208" i="27"/>
  <c r="I2329" i="27"/>
  <c r="E2184" i="27"/>
  <c r="G2351" i="27"/>
  <c r="I2237" i="27"/>
  <c r="E2345" i="27"/>
  <c r="H2159" i="27"/>
  <c r="J2147" i="27"/>
  <c r="K2207" i="27"/>
  <c r="G2248" i="27"/>
  <c r="N2309" i="27"/>
  <c r="K2170" i="27"/>
  <c r="K1609" i="27"/>
  <c r="G2161" i="27"/>
  <c r="K1634" i="27"/>
  <c r="I2171" i="27"/>
  <c r="K2109" i="27"/>
  <c r="J2185" i="27"/>
  <c r="K2168" i="27"/>
  <c r="K1706" i="27"/>
  <c r="J2212" i="27"/>
  <c r="K2348" i="27"/>
  <c r="N2162" i="27"/>
  <c r="K2338" i="27"/>
  <c r="J2228" i="27"/>
  <c r="I2316" i="27"/>
  <c r="G2299" i="27"/>
  <c r="G2296" i="27"/>
  <c r="G2185" i="27"/>
  <c r="N2213" i="27"/>
  <c r="I2246" i="27"/>
  <c r="N2170" i="27"/>
  <c r="I2317" i="27"/>
  <c r="E2282" i="27"/>
  <c r="K2205" i="27"/>
  <c r="N2317" i="27"/>
  <c r="J2322" i="27"/>
  <c r="I2223" i="27"/>
  <c r="G2173" i="27"/>
  <c r="H2173" i="27"/>
  <c r="G2175" i="27"/>
  <c r="H2278" i="27"/>
  <c r="I2198" i="27"/>
  <c r="G2174" i="27"/>
  <c r="K1734" i="27"/>
  <c r="I2109" i="27"/>
  <c r="I2251" i="27"/>
  <c r="K2117" i="27"/>
  <c r="H2341" i="27"/>
  <c r="J2296" i="27"/>
  <c r="J2262" i="27"/>
  <c r="E2156" i="27"/>
  <c r="K2204" i="27"/>
  <c r="K1619" i="27"/>
  <c r="I2326" i="27"/>
  <c r="I2147" i="27"/>
  <c r="H2147" i="27"/>
  <c r="I2194" i="27"/>
  <c r="K1731" i="27"/>
  <c r="E2190" i="27"/>
  <c r="I2346" i="27"/>
  <c r="J2243" i="27"/>
  <c r="G2170" i="27"/>
  <c r="G2150" i="27"/>
  <c r="J2289" i="27"/>
  <c r="N2210" i="27"/>
  <c r="I2145" i="27"/>
  <c r="E2134" i="27"/>
  <c r="J2163" i="27"/>
  <c r="N2173" i="27"/>
  <c r="H2272" i="27"/>
  <c r="I2354" i="27"/>
  <c r="I2306" i="27"/>
  <c r="J2137" i="27"/>
  <c r="I2196" i="27"/>
  <c r="H2312" i="27"/>
  <c r="N2278" i="27"/>
  <c r="G2225" i="27"/>
  <c r="K1727" i="27"/>
  <c r="G2277" i="27"/>
  <c r="I2192" i="27"/>
  <c r="K1661" i="27"/>
  <c r="I2275" i="27"/>
  <c r="H2299" i="27"/>
  <c r="N2287" i="27"/>
  <c r="H2322" i="27"/>
  <c r="J2183" i="27"/>
  <c r="N2175" i="27"/>
  <c r="N2262" i="27"/>
  <c r="I2164" i="27"/>
  <c r="J2154" i="27"/>
  <c r="N2226" i="27"/>
  <c r="J2166" i="27"/>
  <c r="E2179" i="27"/>
  <c r="J2117" i="27"/>
  <c r="G2112" i="27"/>
  <c r="J2316" i="27"/>
  <c r="K2250" i="27"/>
  <c r="J2209" i="27"/>
  <c r="I2169" i="27"/>
  <c r="N2211" i="27"/>
  <c r="G2179" i="27"/>
  <c r="E2117" i="27"/>
  <c r="I2250" i="27"/>
  <c r="G2202" i="27"/>
  <c r="G2339" i="27"/>
  <c r="I2201" i="27"/>
  <c r="J2132" i="27"/>
  <c r="J2107" i="27"/>
  <c r="I2152" i="27"/>
  <c r="N2129" i="27"/>
  <c r="H2138" i="27"/>
  <c r="J2121" i="27"/>
  <c r="J2139" i="27"/>
  <c r="K1693" i="27"/>
  <c r="N2147" i="27"/>
  <c r="N2178" i="27"/>
  <c r="J2286" i="27"/>
  <c r="N2318" i="27"/>
  <c r="N2222" i="27"/>
  <c r="H2249" i="27"/>
  <c r="K1549" i="27"/>
  <c r="G2156" i="27"/>
  <c r="I2353" i="27"/>
  <c r="E2323" i="27"/>
  <c r="G2306" i="27"/>
  <c r="K1567" i="27"/>
  <c r="H2129" i="27"/>
  <c r="H2222" i="27"/>
  <c r="G2259" i="27"/>
  <c r="G2196" i="27"/>
  <c r="H2127" i="27"/>
  <c r="E2172" i="27"/>
  <c r="I2350" i="27"/>
  <c r="I2179" i="27"/>
  <c r="I2266" i="27"/>
  <c r="N2161" i="27"/>
  <c r="H2286" i="27"/>
  <c r="K1532" i="27"/>
  <c r="E2353" i="27"/>
  <c r="J2242" i="27"/>
  <c r="H2359" i="27"/>
  <c r="N2214" i="27"/>
  <c r="K2342" i="27"/>
  <c r="G2268" i="27"/>
  <c r="H2305" i="27"/>
  <c r="J2218" i="27"/>
  <c r="J2290" i="27"/>
  <c r="I2277" i="27"/>
  <c r="K1507" i="27"/>
  <c r="H2119" i="27"/>
  <c r="J2321" i="27"/>
  <c r="J2263" i="27"/>
  <c r="E2227" i="27"/>
  <c r="K2225" i="27"/>
  <c r="G2195" i="27"/>
  <c r="K2187" i="27"/>
  <c r="H2141" i="27"/>
  <c r="E2283" i="27"/>
  <c r="N2230" i="27"/>
  <c r="K2212" i="27"/>
  <c r="I2176" i="27"/>
  <c r="I2173" i="27"/>
  <c r="J2118" i="27"/>
  <c r="G2171" i="27"/>
  <c r="N2343" i="27"/>
  <c r="G2129" i="27"/>
  <c r="H2270" i="27"/>
  <c r="N2264" i="27"/>
  <c r="K1660" i="27"/>
  <c r="N2177" i="27"/>
  <c r="E2183" i="27"/>
  <c r="I2128" i="27"/>
  <c r="K2244" i="27"/>
  <c r="I2325" i="27"/>
  <c r="G2264" i="27"/>
  <c r="I2261" i="27"/>
  <c r="I2125" i="27"/>
  <c r="K1687" i="27"/>
  <c r="E2285" i="27"/>
  <c r="N2338" i="27"/>
  <c r="I2310" i="27"/>
  <c r="J2285" i="27"/>
  <c r="E2197" i="27"/>
  <c r="J2198" i="27"/>
  <c r="K2119" i="27"/>
  <c r="G2262" i="27"/>
  <c r="E2191" i="27"/>
  <c r="K1721" i="27"/>
  <c r="I2257" i="27"/>
  <c r="K1656" i="27"/>
  <c r="E2121" i="27"/>
  <c r="N2344" i="27"/>
  <c r="K2136" i="27"/>
  <c r="N2260" i="27"/>
  <c r="J2140" i="27"/>
  <c r="E2171" i="27"/>
  <c r="K1672" i="27"/>
  <c r="H2279" i="27"/>
  <c r="G2311" i="27"/>
  <c r="H2228" i="27"/>
  <c r="I2243" i="27"/>
  <c r="I2248" i="27"/>
  <c r="E2350" i="27"/>
  <c r="K1646" i="27"/>
  <c r="E2332" i="27"/>
  <c r="H2176" i="27"/>
  <c r="H2294" i="27"/>
  <c r="G2198" i="27"/>
  <c r="J2167" i="27"/>
  <c r="H2227" i="27"/>
  <c r="K1535" i="27"/>
  <c r="G2315" i="27"/>
  <c r="K1673" i="27"/>
  <c r="N2274" i="27"/>
  <c r="G2201" i="27"/>
  <c r="H2349" i="27"/>
  <c r="I2148" i="27"/>
  <c r="J2178" i="27"/>
  <c r="K1665" i="27"/>
  <c r="E2330" i="27"/>
  <c r="N2150" i="27"/>
  <c r="J2230" i="27"/>
  <c r="I2231" i="27"/>
  <c r="J2236" i="27"/>
  <c r="G2236" i="27"/>
  <c r="N2187" i="27"/>
  <c r="N2140" i="27"/>
  <c r="N2183" i="27"/>
  <c r="H2293" i="27"/>
  <c r="H2307" i="27"/>
  <c r="E2313" i="27"/>
  <c r="K2276" i="27"/>
  <c r="H2195" i="27"/>
  <c r="I2319" i="27"/>
  <c r="J2155" i="27"/>
  <c r="J2276" i="27"/>
  <c r="H2269" i="27"/>
  <c r="K1599" i="27"/>
  <c r="E2242" i="27"/>
  <c r="N2186" i="27"/>
  <c r="N2207" i="27"/>
  <c r="N2326" i="27"/>
  <c r="G2132" i="27"/>
  <c r="G2309" i="27"/>
  <c r="K1546" i="27"/>
  <c r="N2200" i="27"/>
  <c r="K2328" i="27"/>
  <c r="I2212" i="27"/>
  <c r="E2257" i="27"/>
  <c r="J2181" i="27"/>
  <c r="G2328" i="27"/>
  <c r="N2176" i="27"/>
  <c r="K2192" i="27"/>
  <c r="E2298" i="27"/>
  <c r="H2202" i="27"/>
  <c r="G2127" i="27"/>
  <c r="E2297" i="27"/>
  <c r="J2350" i="27"/>
  <c r="K1639" i="27"/>
  <c r="N2240" i="27"/>
  <c r="I2344" i="27"/>
  <c r="I2239" i="27"/>
  <c r="K1756" i="27"/>
  <c r="I2324" i="27"/>
  <c r="I2233" i="27"/>
  <c r="I2276" i="27"/>
  <c r="H2306" i="27"/>
  <c r="N2289" i="27"/>
  <c r="N2168" i="27"/>
  <c r="I2331" i="27"/>
  <c r="K2280" i="27"/>
  <c r="H2226" i="27"/>
  <c r="J2346" i="27"/>
  <c r="E2144" i="27"/>
  <c r="H2163" i="27"/>
  <c r="K2110" i="27"/>
  <c r="H2274" i="27"/>
  <c r="J2179" i="27"/>
  <c r="J2126" i="27"/>
  <c r="K1515" i="27"/>
  <c r="G2251" i="27"/>
  <c r="N2113" i="27"/>
  <c r="K2181" i="27"/>
  <c r="K1510" i="27"/>
  <c r="H2292" i="27"/>
  <c r="K1636" i="27"/>
  <c r="J2238" i="27"/>
  <c r="E2318" i="27"/>
  <c r="J2340" i="27"/>
  <c r="K2291" i="27"/>
  <c r="G2345" i="27"/>
  <c r="I2320" i="27"/>
  <c r="G2322" i="27"/>
  <c r="N2221" i="27"/>
  <c r="G2256" i="27"/>
  <c r="G2203" i="27"/>
  <c r="K2185" i="27"/>
  <c r="K1654" i="27"/>
  <c r="G2253" i="27"/>
  <c r="E2118" i="27"/>
  <c r="K2208" i="27"/>
  <c r="J2119" i="27"/>
  <c r="H2139" i="27"/>
  <c r="H2134" i="27"/>
  <c r="N2301" i="27"/>
  <c r="H2211" i="27"/>
  <c r="N2248" i="27"/>
  <c r="J2196" i="27"/>
  <c r="K1524" i="27"/>
  <c r="I2332" i="27"/>
  <c r="K2297" i="27"/>
  <c r="H2187" i="27"/>
  <c r="I2218" i="27"/>
  <c r="G2295" i="27"/>
  <c r="G2287" i="27"/>
  <c r="N2246" i="27"/>
  <c r="N2228" i="27"/>
  <c r="N2319" i="27"/>
  <c r="E2136" i="27"/>
  <c r="N2219" i="27"/>
  <c r="K1647" i="27"/>
  <c r="K2235" i="27"/>
  <c r="J2192" i="27"/>
  <c r="K2226" i="27"/>
  <c r="K2130" i="27"/>
  <c r="N2112" i="27"/>
  <c r="N2110" i="27"/>
  <c r="K1658" i="27"/>
  <c r="I2305" i="27"/>
  <c r="J2189" i="27"/>
  <c r="G2246" i="27"/>
  <c r="K1601" i="27"/>
  <c r="G2307" i="27"/>
  <c r="I2120" i="27"/>
  <c r="K1700" i="27"/>
  <c r="K2257" i="27"/>
  <c r="G2274" i="27"/>
  <c r="J2284" i="27"/>
  <c r="I2200" i="27"/>
  <c r="I2315" i="27"/>
  <c r="G2289" i="27"/>
  <c r="I2163" i="27"/>
  <c r="E2181" i="27"/>
  <c r="E2356" i="27"/>
  <c r="K2219" i="27"/>
  <c r="K2355" i="27"/>
  <c r="I2335" i="27"/>
  <c r="H2339" i="27"/>
  <c r="H2223" i="27"/>
  <c r="K2138" i="27"/>
  <c r="N2126" i="27"/>
  <c r="J2292" i="27"/>
  <c r="E2250" i="27"/>
  <c r="K2245" i="27"/>
  <c r="K2156" i="27"/>
  <c r="G2214" i="27"/>
  <c r="J2156" i="27"/>
  <c r="J2124" i="27"/>
  <c r="K1592" i="27"/>
  <c r="K2163" i="27"/>
  <c r="K1577" i="27"/>
  <c r="G2106" i="27"/>
  <c r="K1534" i="27"/>
  <c r="I2219" i="27"/>
  <c r="J2306" i="27"/>
  <c r="E2165" i="27"/>
  <c r="K2145" i="27"/>
  <c r="J2248" i="27"/>
  <c r="E2291" i="27"/>
  <c r="N2352" i="27"/>
  <c r="E2324" i="27"/>
  <c r="N2280" i="27"/>
  <c r="G2342" i="27"/>
  <c r="H2166" i="27"/>
  <c r="J2208" i="27"/>
  <c r="K1716" i="27"/>
  <c r="K1586" i="27"/>
  <c r="K2164" i="27"/>
  <c r="K1631" i="27"/>
  <c r="H2124" i="27"/>
  <c r="J2271" i="27"/>
  <c r="H2156" i="27"/>
  <c r="J2257" i="27"/>
  <c r="E2357" i="27"/>
  <c r="H2266" i="27"/>
  <c r="K1683" i="27"/>
  <c r="H2165" i="27"/>
  <c r="I2342" i="27"/>
  <c r="K1645" i="27"/>
  <c r="I2175" i="27"/>
  <c r="H2241" i="27"/>
  <c r="N2353" i="27"/>
  <c r="E2342" i="27"/>
  <c r="J2326" i="27"/>
  <c r="E2275" i="27"/>
  <c r="E2147" i="27"/>
  <c r="E2132" i="27"/>
  <c r="G2348" i="27"/>
  <c r="J2318" i="27"/>
  <c r="K1723" i="27"/>
  <c r="G2218" i="27"/>
  <c r="E2325" i="27"/>
  <c r="J2223" i="27"/>
  <c r="F2109" i="27"/>
  <c r="G2247" i="27"/>
  <c r="K2127" i="27"/>
  <c r="K1689" i="27"/>
  <c r="K2209" i="27"/>
  <c r="K1523" i="27"/>
  <c r="J2206" i="27"/>
  <c r="E2214" i="27"/>
  <c r="N2125" i="27"/>
  <c r="N2236" i="27"/>
  <c r="G2118" i="27"/>
  <c r="K2333" i="27"/>
  <c r="I2138" i="27"/>
  <c r="K1565" i="27"/>
  <c r="H2253" i="27"/>
  <c r="H2164" i="27"/>
  <c r="H2155" i="27"/>
  <c r="K1713" i="27"/>
  <c r="G2139" i="27"/>
  <c r="K2292" i="27"/>
  <c r="J2190" i="27"/>
  <c r="E2169" i="27"/>
  <c r="G2207" i="27"/>
  <c r="E2288" i="27"/>
  <c r="I2187" i="27"/>
  <c r="K2252" i="27"/>
  <c r="I2126" i="27"/>
  <c r="K1653" i="27"/>
  <c r="G2181" i="27"/>
  <c r="J2313" i="27"/>
  <c r="I2136" i="27"/>
  <c r="J2314" i="27"/>
  <c r="H2217" i="27"/>
  <c r="K1662" i="27"/>
  <c r="K2206" i="27"/>
  <c r="K1652" i="27"/>
  <c r="K2115" i="27"/>
  <c r="E2238" i="27"/>
  <c r="E2167" i="27"/>
  <c r="I2113" i="27"/>
  <c r="G2205" i="27"/>
  <c r="E2310" i="27"/>
  <c r="K2285" i="27"/>
  <c r="K1696" i="27"/>
  <c r="E2107" i="27"/>
  <c r="H2212" i="27"/>
  <c r="K2314" i="27"/>
  <c r="G2338" i="27"/>
  <c r="I2157" i="27"/>
  <c r="K2200" i="27"/>
  <c r="J2159" i="27"/>
  <c r="K1547" i="27"/>
  <c r="H2142" i="27"/>
  <c r="E2145" i="27"/>
  <c r="E2327" i="27"/>
  <c r="I2183" i="27"/>
  <c r="J2251" i="27"/>
  <c r="J2338" i="27"/>
  <c r="G2257" i="27"/>
  <c r="K1678" i="27"/>
  <c r="G2157" i="27"/>
  <c r="K1569" i="27"/>
  <c r="J2335" i="27"/>
  <c r="K1650" i="27"/>
  <c r="J2343" i="27"/>
  <c r="K1752" i="27"/>
  <c r="K1671" i="27"/>
  <c r="K2258" i="27"/>
  <c r="E2205" i="27"/>
  <c r="K1638" i="27"/>
  <c r="I2236" i="27"/>
  <c r="H2144" i="27"/>
  <c r="K2228" i="27"/>
  <c r="J2355" i="27"/>
  <c r="H2137" i="27"/>
  <c r="E2265" i="27"/>
  <c r="K2106" i="27"/>
  <c r="N2155" i="27"/>
  <c r="E2194" i="27"/>
  <c r="K2112" i="27"/>
  <c r="E2133" i="27"/>
  <c r="K1667" i="27"/>
  <c r="I2143" i="27"/>
  <c r="K1649" i="27"/>
  <c r="H2191" i="27"/>
  <c r="N2106" i="27"/>
  <c r="N2336" i="27"/>
  <c r="N2311" i="27"/>
  <c r="N2279" i="27"/>
  <c r="E2185" i="27"/>
  <c r="N2198" i="27"/>
  <c r="I2260" i="27"/>
  <c r="K1566" i="27"/>
  <c r="K1669" i="27"/>
  <c r="G2263" i="27"/>
  <c r="G2291" i="27"/>
  <c r="I2156" i="27"/>
  <c r="E2294" i="27"/>
  <c r="H2336" i="27"/>
  <c r="K1604" i="27"/>
  <c r="K2159" i="27"/>
  <c r="K1740" i="27"/>
  <c r="K2256" i="27"/>
  <c r="K2347" i="27"/>
  <c r="G2352" i="27"/>
  <c r="E2155" i="27"/>
  <c r="I2312" i="27"/>
  <c r="K2113" i="27"/>
  <c r="I2199" i="27"/>
  <c r="K1533" i="27"/>
  <c r="K2345" i="27"/>
  <c r="E2223" i="27"/>
  <c r="I2355" i="27"/>
  <c r="N2164" i="27"/>
  <c r="E2244" i="27"/>
  <c r="G2344" i="27"/>
  <c r="N2303" i="27"/>
  <c r="G2158" i="27"/>
  <c r="I2318" i="27"/>
  <c r="J2148" i="27"/>
  <c r="I2115" i="27"/>
  <c r="K1518" i="27"/>
  <c r="H2199" i="27"/>
  <c r="J2336" i="27"/>
  <c r="E2337" i="27"/>
  <c r="G2353" i="27"/>
  <c r="H2289" i="27"/>
  <c r="J2173" i="27"/>
  <c r="N2135" i="27"/>
  <c r="H2108" i="27"/>
  <c r="K1551" i="27"/>
  <c r="I2230" i="27"/>
  <c r="J2267" i="27"/>
  <c r="H2284" i="27"/>
  <c r="E2189" i="27"/>
  <c r="I2299" i="27"/>
  <c r="K1724" i="27"/>
  <c r="H2207" i="27"/>
  <c r="N2250" i="27"/>
  <c r="J2253" i="27"/>
  <c r="K2273" i="27"/>
  <c r="G2187" i="27"/>
  <c r="G2184" i="27"/>
  <c r="K1758" i="27"/>
  <c r="K1651" i="27"/>
  <c r="N2132" i="27"/>
  <c r="K1597" i="27"/>
  <c r="K1595" i="27"/>
  <c r="E2149" i="27"/>
  <c r="K2302" i="27"/>
  <c r="I2287" i="27"/>
  <c r="G2145" i="27"/>
  <c r="K2189" i="27"/>
  <c r="E2170" i="27"/>
  <c r="E2279" i="27"/>
  <c r="J2330" i="27"/>
  <c r="J2152" i="27"/>
  <c r="J2108" i="27"/>
  <c r="E2248" i="27"/>
  <c r="J2120" i="27"/>
  <c r="N2272" i="27"/>
  <c r="H2206" i="27"/>
  <c r="E2160" i="27"/>
  <c r="E2161" i="27"/>
  <c r="E2344" i="27"/>
  <c r="K2147" i="27"/>
  <c r="J2347" i="27"/>
  <c r="J2331" i="27"/>
  <c r="N2160" i="27"/>
  <c r="J2359" i="27"/>
  <c r="I2151" i="27"/>
  <c r="H2240" i="27"/>
  <c r="K2227" i="27"/>
  <c r="E2251" i="27"/>
  <c r="E2249" i="27"/>
  <c r="H2309" i="27"/>
  <c r="N2277" i="27"/>
  <c r="E2126" i="27"/>
  <c r="K1558" i="27"/>
  <c r="E2153" i="27"/>
  <c r="N2238" i="27"/>
  <c r="K2213" i="27"/>
  <c r="E2198" i="27"/>
  <c r="E2239" i="27"/>
  <c r="I2123" i="27"/>
  <c r="G2167" i="27"/>
  <c r="G2117" i="27"/>
  <c r="G2298" i="27"/>
  <c r="G2303" i="27"/>
  <c r="K1659" i="27"/>
  <c r="K2195" i="27"/>
  <c r="E2228" i="27"/>
  <c r="K1715" i="27"/>
  <c r="N2269" i="27"/>
  <c r="I2280" i="27"/>
  <c r="K2174" i="27"/>
  <c r="K2350" i="27"/>
  <c r="K1736" i="27"/>
  <c r="G2312" i="27"/>
  <c r="K1608" i="27"/>
  <c r="I2247" i="27"/>
  <c r="K2229" i="27"/>
  <c r="K2233" i="27"/>
  <c r="E2303" i="27"/>
  <c r="N2148" i="27"/>
  <c r="K2310" i="27"/>
  <c r="K2120" i="27"/>
  <c r="K1701" i="27"/>
  <c r="E2236" i="27"/>
  <c r="G2234" i="27"/>
  <c r="K2194" i="27"/>
  <c r="N2340" i="27"/>
  <c r="I2215" i="27"/>
  <c r="G2210" i="27"/>
  <c r="H2335" i="27"/>
  <c r="K2221" i="27"/>
  <c r="I2268" i="27"/>
  <c r="K1737" i="27"/>
  <c r="K1676" i="27"/>
  <c r="I2358" i="27"/>
  <c r="H2112" i="27"/>
  <c r="E2204" i="27"/>
  <c r="K1602" i="27"/>
  <c r="J2205" i="27"/>
  <c r="K2319" i="27"/>
  <c r="K2217" i="27"/>
  <c r="K1590" i="27"/>
  <c r="J2239" i="27"/>
  <c r="K2239" i="27"/>
  <c r="H2230" i="27"/>
  <c r="G2189" i="27"/>
  <c r="F2106" i="27"/>
  <c r="I2296" i="27"/>
  <c r="I2182" i="27"/>
  <c r="N2199" i="27"/>
  <c r="K1509" i="27"/>
  <c r="J2349" i="27"/>
  <c r="G2107" i="27"/>
  <c r="F2112" i="27"/>
  <c r="K2151" i="27"/>
  <c r="H2224" i="27"/>
  <c r="K2218" i="27"/>
  <c r="I2224" i="27"/>
  <c r="K1530" i="27"/>
  <c r="N2256" i="27"/>
  <c r="J2295" i="27"/>
  <c r="J2357" i="27"/>
  <c r="J2162" i="27"/>
  <c r="K2309" i="27"/>
  <c r="J2328" i="27"/>
  <c r="G2159" i="27"/>
  <c r="K2107" i="27"/>
  <c r="K1735" i="27"/>
  <c r="H2183" i="27"/>
  <c r="E2135" i="27"/>
  <c r="K1729" i="27"/>
  <c r="G2194" i="27"/>
  <c r="J2123" i="27"/>
  <c r="K2139" i="27"/>
  <c r="I2267" i="27"/>
  <c r="K2137" i="27"/>
  <c r="K2124" i="27"/>
  <c r="G2183" i="27"/>
  <c r="K1562" i="27"/>
  <c r="K2172" i="27"/>
  <c r="K2353" i="27"/>
  <c r="I2295" i="27"/>
  <c r="I2255" i="27"/>
  <c r="E2230" i="27"/>
  <c r="H2260" i="27"/>
  <c r="K1571" i="27"/>
  <c r="E2270" i="27"/>
  <c r="K1593" i="27"/>
  <c r="E2262" i="27"/>
  <c r="K2330" i="27"/>
  <c r="K1747" i="27"/>
  <c r="K2154" i="27"/>
  <c r="K1555" i="27"/>
  <c r="K1719" i="27"/>
  <c r="E2114" i="27"/>
  <c r="J2272" i="27"/>
  <c r="K1761" i="27"/>
  <c r="H2111" i="27"/>
  <c r="E2259" i="27"/>
  <c r="H2287" i="27"/>
  <c r="E2106" i="27"/>
  <c r="I2349" i="27"/>
  <c r="F2114" i="27"/>
  <c r="H2167" i="27"/>
  <c r="H2198" i="27"/>
  <c r="E2343" i="27"/>
  <c r="K2354" i="27"/>
  <c r="G2330" i="27"/>
  <c r="J2171" i="27"/>
  <c r="G2169" i="27"/>
  <c r="E2335" i="27"/>
  <c r="J2134" i="27"/>
  <c r="J2180" i="27"/>
  <c r="I2304" i="27"/>
  <c r="G2337" i="27"/>
  <c r="H2213" i="27"/>
  <c r="G2199" i="27"/>
  <c r="N2197" i="27"/>
  <c r="K1708" i="27"/>
  <c r="N2288" i="27"/>
  <c r="N2131" i="27"/>
  <c r="K1640" i="27"/>
  <c r="E2326" i="27"/>
  <c r="G2283" i="27"/>
  <c r="K2288" i="27"/>
  <c r="H2319" i="27"/>
  <c r="J2283" i="27"/>
  <c r="K1679" i="27"/>
  <c r="J2274" i="27"/>
  <c r="G2227" i="27"/>
  <c r="K2158" i="27"/>
  <c r="J2220" i="27"/>
  <c r="I2314" i="27"/>
  <c r="K2331" i="27"/>
  <c r="N2144" i="27"/>
  <c r="E2202" i="27"/>
  <c r="K1644" i="27"/>
  <c r="E2254" i="27"/>
  <c r="H2248" i="27"/>
  <c r="K2238" i="27"/>
  <c r="E2301" i="27"/>
  <c r="E2320" i="27"/>
  <c r="E2247" i="27"/>
  <c r="K1575" i="27"/>
  <c r="G2221" i="27"/>
  <c r="K1519" i="27"/>
  <c r="H2229" i="27"/>
  <c r="K2201" i="27"/>
  <c r="I2351" i="27"/>
  <c r="J2115" i="27"/>
  <c r="H2239" i="27"/>
  <c r="H2177" i="27"/>
  <c r="K1559" i="27"/>
  <c r="H2288" i="27"/>
  <c r="G2359" i="27"/>
  <c r="K1641" i="27"/>
  <c r="K2210" i="27"/>
  <c r="G2147" i="27"/>
  <c r="H2257" i="27"/>
  <c r="H2133" i="27"/>
  <c r="H2149" i="27"/>
  <c r="K1726" i="27"/>
  <c r="I2293" i="27"/>
  <c r="E2148" i="27"/>
  <c r="K1677" i="27"/>
  <c r="H2169" i="27"/>
  <c r="I2118" i="27"/>
  <c r="I2245" i="27"/>
  <c r="N2134" i="27"/>
  <c r="E2178" i="27"/>
  <c r="K2211" i="27"/>
  <c r="I2263" i="27"/>
  <c r="N2143" i="27"/>
  <c r="E2306" i="27"/>
  <c r="K2176" i="27"/>
  <c r="G2343" i="27"/>
  <c r="E2352" i="27"/>
  <c r="E2307" i="27"/>
  <c r="K1596" i="27"/>
  <c r="E2131" i="27"/>
  <c r="K2247" i="27"/>
  <c r="N2121" i="27"/>
  <c r="K2332" i="27"/>
  <c r="K2215" i="27"/>
  <c r="H2148" i="27"/>
  <c r="G2327" i="27"/>
  <c r="K2169" i="27"/>
  <c r="E2309" i="27"/>
  <c r="K1755" i="27"/>
  <c r="G2235" i="27"/>
  <c r="K2180" i="27"/>
  <c r="K1540" i="27"/>
  <c r="K2132" i="27"/>
  <c r="K1585" i="27"/>
  <c r="J2187" i="27"/>
  <c r="H2140" i="27"/>
  <c r="K2335" i="27"/>
  <c r="G2133" i="27"/>
  <c r="H2281" i="27"/>
  <c r="H2327" i="27"/>
  <c r="I2214" i="27"/>
  <c r="I2135" i="27"/>
  <c r="I2262" i="27"/>
  <c r="I2222" i="27"/>
  <c r="E2267" i="27"/>
  <c r="G2154" i="27"/>
  <c r="G2293" i="27"/>
  <c r="G2238" i="27"/>
  <c r="N2312" i="27"/>
  <c r="E2154" i="27"/>
  <c r="H2179" i="27"/>
  <c r="E2311" i="27"/>
  <c r="I2208" i="27"/>
  <c r="N2255" i="27"/>
  <c r="H2321" i="27"/>
  <c r="I2271" i="27"/>
  <c r="G2119" i="27"/>
  <c r="J2287" i="27"/>
  <c r="K1610" i="27"/>
  <c r="H2121" i="27"/>
  <c r="G2270" i="27"/>
  <c r="I2227" i="27"/>
  <c r="I2292" i="27"/>
  <c r="N2275" i="27"/>
  <c r="K1757" i="27"/>
  <c r="J2138" i="27"/>
  <c r="N2325" i="27"/>
  <c r="E2333" i="27"/>
  <c r="J2224" i="27"/>
  <c r="N2359" i="27"/>
  <c r="N2151" i="27"/>
  <c r="K1537" i="27"/>
  <c r="K1674" i="27"/>
  <c r="K2133" i="27"/>
  <c r="E2193" i="27"/>
  <c r="E2120" i="27"/>
  <c r="K1712" i="27"/>
  <c r="K1691" i="27"/>
  <c r="E2252" i="27"/>
  <c r="E2329" i="27"/>
  <c r="K2284" i="27"/>
  <c r="K1664" i="27"/>
  <c r="G2186" i="27"/>
  <c r="I2124" i="27"/>
  <c r="I2158" i="27"/>
  <c r="E2140" i="27"/>
  <c r="E2312" i="27"/>
  <c r="J2265" i="27"/>
  <c r="J2116" i="27"/>
  <c r="K2144" i="27"/>
  <c r="K2141" i="27"/>
  <c r="I2228" i="27"/>
  <c r="K2134" i="27"/>
  <c r="H2308" i="27"/>
  <c r="K2177" i="27"/>
  <c r="K2121" i="27"/>
  <c r="J2186" i="27"/>
  <c r="K1548" i="27"/>
  <c r="G2294" i="27"/>
  <c r="K2140" i="27"/>
  <c r="N2313" i="27"/>
  <c r="K1675" i="27"/>
  <c r="H2219" i="27"/>
  <c r="N2261" i="27"/>
  <c r="E2245" i="27"/>
  <c r="K2111" i="27"/>
  <c r="J2329" i="27"/>
  <c r="K1550" i="27"/>
  <c r="J2280" i="27"/>
  <c r="K2290" i="27"/>
  <c r="H2356" i="27"/>
  <c r="K2327" i="27"/>
  <c r="G2166" i="27"/>
  <c r="K2329" i="27"/>
  <c r="G2151" i="27"/>
  <c r="K1572" i="27"/>
  <c r="G2269" i="27"/>
  <c r="I2356" i="27"/>
  <c r="H2114" i="27"/>
  <c r="K2128" i="27"/>
  <c r="J2344" i="27"/>
  <c r="I2352" i="27"/>
  <c r="G2215" i="27"/>
  <c r="K1588" i="27"/>
  <c r="E2123" i="27"/>
  <c r="E2278" i="27"/>
  <c r="H2184" i="27"/>
  <c r="E2280" i="27"/>
  <c r="H2174" i="27"/>
  <c r="I2322" i="27"/>
  <c r="K2281" i="27"/>
  <c r="K1542" i="27"/>
  <c r="K2324" i="27"/>
  <c r="E2163" i="27"/>
  <c r="K1613" i="27"/>
  <c r="K2193" i="27"/>
  <c r="J2232" i="27"/>
  <c r="K2286" i="27"/>
  <c r="J2114" i="27"/>
  <c r="I2328" i="27"/>
  <c r="K2188" i="27"/>
  <c r="G2228" i="27"/>
  <c r="K2179" i="27"/>
  <c r="J2111" i="27"/>
  <c r="N2229" i="27"/>
  <c r="I2216" i="27"/>
  <c r="E2322" i="27"/>
  <c r="J2241" i="27"/>
  <c r="G2140" i="27"/>
  <c r="K2197" i="27"/>
  <c r="K2307" i="27"/>
  <c r="G2121" i="27"/>
  <c r="J2325" i="27"/>
  <c r="K2150" i="27"/>
  <c r="J2293" i="27"/>
  <c r="K2237" i="27"/>
  <c r="E2255" i="27"/>
  <c r="E2300" i="27"/>
  <c r="K2315" i="27"/>
  <c r="I2220" i="27"/>
  <c r="H2238" i="27"/>
  <c r="J2341" i="27"/>
  <c r="J2222" i="27"/>
  <c r="I2327" i="27"/>
  <c r="J2122" i="27"/>
  <c r="K1637" i="27"/>
  <c r="K2313" i="27"/>
  <c r="K2305" i="27"/>
  <c r="H2277" i="27"/>
  <c r="I2186" i="27"/>
  <c r="K1527" i="27"/>
  <c r="I2144" i="27"/>
  <c r="K1556" i="27"/>
  <c r="K2311" i="27"/>
  <c r="G2243" i="27"/>
  <c r="J2264" i="27"/>
  <c r="K1536" i="27"/>
  <c r="I2357" i="27"/>
  <c r="G2148" i="27"/>
  <c r="K1529" i="27"/>
  <c r="E2130" i="27"/>
  <c r="K1725" i="27"/>
  <c r="K2146" i="27"/>
  <c r="E2305" i="27"/>
  <c r="E2199" i="27"/>
  <c r="E2200" i="27"/>
  <c r="G2222" i="27"/>
  <c r="K2230" i="27"/>
  <c r="N2234" i="27"/>
  <c r="J2130" i="27"/>
  <c r="I2122" i="27"/>
  <c r="J2235" i="27"/>
  <c r="N2297" i="27"/>
  <c r="G2240" i="27"/>
  <c r="K1587" i="27"/>
  <c r="J2125" i="27"/>
  <c r="K1682" i="27"/>
  <c r="H2320" i="27"/>
  <c r="E2295" i="27"/>
  <c r="J2307" i="27"/>
  <c r="H2246" i="27"/>
  <c r="E2124" i="27"/>
  <c r="E2116" i="27"/>
  <c r="J2258" i="27"/>
  <c r="K1614" i="27"/>
  <c r="N2310" i="27"/>
  <c r="E2166" i="27"/>
  <c r="K1690" i="27"/>
  <c r="H2337" i="27"/>
  <c r="H2196" i="27"/>
  <c r="H2261" i="27"/>
  <c r="K2118" i="27"/>
  <c r="J2188" i="27"/>
  <c r="N2223" i="27"/>
  <c r="K2325" i="27"/>
  <c r="G2357" i="27"/>
  <c r="H2244" i="27"/>
  <c r="K2268" i="27"/>
  <c r="E2203" i="27"/>
  <c r="I2269" i="27"/>
  <c r="K1702" i="27"/>
  <c r="H2115" i="27"/>
  <c r="E2256" i="27"/>
  <c r="J2358" i="27"/>
  <c r="K1749" i="27"/>
  <c r="K2234" i="27"/>
  <c r="I2159" i="27"/>
  <c r="K1685" i="27"/>
  <c r="H2259" i="27"/>
  <c r="K2269" i="27"/>
  <c r="N2232" i="27"/>
  <c r="N2117" i="27"/>
  <c r="K1615" i="27"/>
  <c r="G2317" i="27"/>
  <c r="G2120" i="27"/>
  <c r="K1603" i="27"/>
  <c r="K2184" i="27"/>
  <c r="K1743" i="27"/>
  <c r="I2336" i="27"/>
  <c r="E2340" i="27"/>
  <c r="K2264" i="27"/>
  <c r="K1686" i="27"/>
  <c r="K2260" i="27"/>
  <c r="H2325" i="27"/>
  <c r="K1628" i="27"/>
  <c r="F2107" i="27"/>
  <c r="N2358" i="27"/>
  <c r="E2111" i="27"/>
  <c r="K2272" i="27"/>
  <c r="G2219" i="27"/>
  <c r="G2143" i="27"/>
  <c r="G2314" i="27"/>
  <c r="K2263" i="27"/>
  <c r="E2302" i="27"/>
  <c r="K1629" i="27"/>
  <c r="E2229" i="27"/>
  <c r="N2273" i="27"/>
  <c r="K2116" i="27"/>
  <c r="K2326" i="27"/>
  <c r="J2177" i="27"/>
  <c r="I2161" i="27"/>
  <c r="K2165" i="27"/>
  <c r="I2286" i="27"/>
  <c r="J2225" i="27"/>
  <c r="K2266" i="27"/>
  <c r="H2235" i="27"/>
  <c r="H2214" i="27"/>
  <c r="N2159" i="27"/>
  <c r="K2298" i="27"/>
  <c r="E2157" i="27"/>
  <c r="M2107" i="27"/>
  <c r="A2107" i="27" s="1"/>
  <c r="K1680" i="27"/>
  <c r="I2209" i="27"/>
  <c r="K2317" i="27"/>
  <c r="K1642" i="27"/>
  <c r="E2143" i="27"/>
  <c r="G2153" i="27"/>
  <c r="I2184" i="27"/>
  <c r="K1643" i="27"/>
  <c r="E2174" i="27"/>
  <c r="G2288" i="27"/>
  <c r="I2330" i="27"/>
  <c r="M2112" i="27"/>
  <c r="A2112" i="27" s="1"/>
  <c r="I2225" i="27"/>
  <c r="G2223" i="27"/>
  <c r="K1760" i="27"/>
  <c r="G2333" i="27"/>
  <c r="K2300" i="27"/>
  <c r="K1746" i="27"/>
  <c r="E2192" i="27"/>
  <c r="H2310" i="27"/>
  <c r="K1668" i="27"/>
  <c r="K1732" i="27"/>
  <c r="H2232" i="27"/>
  <c r="K1623" i="27"/>
  <c r="K1506" i="27"/>
  <c r="H2296" i="27"/>
  <c r="H2175" i="27"/>
  <c r="J2131" i="27"/>
  <c r="E2224" i="27"/>
  <c r="N2356" i="27"/>
  <c r="I2274" i="27"/>
  <c r="N2146" i="27"/>
  <c r="F2111" i="27"/>
  <c r="J2109" i="27"/>
  <c r="E2112" i="27"/>
  <c r="J2302" i="27"/>
  <c r="K1722" i="27"/>
  <c r="K1543" i="27"/>
  <c r="E2195" i="27"/>
  <c r="K2160" i="27"/>
  <c r="K1627" i="27"/>
  <c r="I2141" i="27"/>
  <c r="E2266" i="27"/>
  <c r="M2114" i="27"/>
  <c r="A2114" i="27" s="1"/>
  <c r="M2115" i="27"/>
  <c r="A2115" i="27" s="1"/>
  <c r="I2229" i="27"/>
  <c r="H2185" i="27"/>
  <c r="I2313" i="27"/>
  <c r="K2143" i="27"/>
  <c r="E2220" i="27"/>
  <c r="I2338" i="27"/>
  <c r="E2213" i="27"/>
  <c r="N2193" i="27"/>
  <c r="K2248" i="27"/>
  <c r="K2279" i="27"/>
  <c r="N2241" i="27"/>
  <c r="I2270" i="27"/>
  <c r="K2318" i="27"/>
  <c r="H2153" i="27"/>
  <c r="H2342" i="27"/>
  <c r="G2160" i="27"/>
  <c r="N2321" i="27"/>
  <c r="G2304" i="27"/>
  <c r="H2203" i="27"/>
  <c r="E2233" i="27"/>
  <c r="K2240" i="27"/>
  <c r="K1750" i="27"/>
  <c r="I2191" i="27"/>
  <c r="I2285" i="27"/>
  <c r="I2181" i="27"/>
  <c r="J2337" i="27"/>
  <c r="E2304" i="27"/>
  <c r="I2217" i="27"/>
  <c r="K2243" i="27"/>
  <c r="K1574" i="27"/>
  <c r="E2284" i="27"/>
  <c r="E2237" i="27"/>
  <c r="K1625" i="27"/>
  <c r="J2288" i="27"/>
  <c r="E2127" i="27"/>
  <c r="N2189" i="27"/>
  <c r="H2276" i="27"/>
  <c r="K2157" i="27"/>
  <c r="K2278" i="27"/>
  <c r="K1573" i="27"/>
  <c r="K1553" i="27"/>
  <c r="K1692" i="27"/>
  <c r="K1741" i="27"/>
  <c r="N2118" i="27"/>
  <c r="G2141" i="27"/>
  <c r="K2306" i="27"/>
  <c r="K1570" i="27"/>
  <c r="K2316" i="27"/>
  <c r="K2114" i="27"/>
  <c r="H2215" i="27"/>
  <c r="K2178" i="27"/>
  <c r="K2358" i="27"/>
  <c r="K2222" i="27"/>
  <c r="J2320" i="27"/>
  <c r="N2184" i="27"/>
  <c r="J2275" i="27"/>
  <c r="K2161" i="27"/>
  <c r="N2225" i="27"/>
  <c r="K2287" i="27"/>
  <c r="K2198" i="27"/>
  <c r="I2242" i="27"/>
  <c r="E2277" i="27"/>
  <c r="N2257" i="27"/>
  <c r="J2354" i="27"/>
  <c r="J2246" i="27"/>
  <c r="K1697" i="27"/>
  <c r="K2123" i="27"/>
  <c r="I2197" i="27"/>
  <c r="G2249" i="27"/>
  <c r="J2219" i="27"/>
  <c r="J2227" i="27"/>
  <c r="N2209" i="27"/>
  <c r="K2152" i="27"/>
  <c r="G2321" i="27"/>
  <c r="E2207" i="27"/>
  <c r="E2217" i="27"/>
  <c r="K2356" i="27"/>
  <c r="K2203" i="27"/>
  <c r="K2255" i="27"/>
  <c r="I2333" i="27"/>
  <c r="G2212" i="27"/>
  <c r="M2110" i="27"/>
  <c r="A2110" i="27" s="1"/>
  <c r="K1522" i="27"/>
  <c r="K2202" i="27"/>
  <c r="N2123" i="27"/>
  <c r="E2216" i="27"/>
  <c r="K2167" i="27"/>
  <c r="K2293" i="27"/>
  <c r="H2123" i="27"/>
  <c r="G2108" i="27"/>
  <c r="K2344" i="27"/>
  <c r="K2199" i="27"/>
  <c r="N2333" i="27"/>
  <c r="K1605" i="27"/>
  <c r="N2300" i="27"/>
  <c r="I2303" i="27"/>
  <c r="J2211" i="27"/>
  <c r="H2326" i="27"/>
  <c r="K1709" i="27"/>
  <c r="I2133" i="27"/>
  <c r="K1621" i="27"/>
  <c r="K2190" i="27"/>
  <c r="N2337" i="27"/>
  <c r="G2341" i="27"/>
  <c r="K1568" i="27"/>
  <c r="G2356" i="27"/>
  <c r="E2219" i="27"/>
  <c r="G2128" i="27"/>
  <c r="E2321" i="27"/>
  <c r="I2284" i="27"/>
  <c r="J2191" i="27"/>
  <c r="I2259" i="27"/>
  <c r="I2254" i="27"/>
  <c r="G2335" i="27"/>
  <c r="H2182" i="27"/>
  <c r="J2270" i="27"/>
  <c r="G2260" i="27"/>
  <c r="G2316" i="27"/>
  <c r="K2294" i="27"/>
  <c r="K1663" i="27"/>
  <c r="K1611" i="27"/>
  <c r="G2276" i="27"/>
  <c r="N2350" i="27"/>
  <c r="N2180" i="27"/>
  <c r="N2203" i="27"/>
  <c r="K1516" i="27"/>
  <c r="G2165" i="27"/>
  <c r="G2111" i="27"/>
  <c r="N2202" i="27"/>
  <c r="N2247" i="27"/>
  <c r="E2168" i="27"/>
  <c r="K2131" i="27"/>
  <c r="E2187" i="27"/>
  <c r="K2337" i="27"/>
  <c r="K1594" i="27"/>
  <c r="N2108" i="27"/>
  <c r="H2267" i="27"/>
  <c r="G2265" i="27"/>
  <c r="N2138" i="27"/>
  <c r="K1699" i="27"/>
  <c r="N2191" i="27"/>
  <c r="J2150" i="27"/>
  <c r="K1705" i="27"/>
  <c r="K2267" i="27"/>
  <c r="G2113" i="27"/>
  <c r="N2120" i="27"/>
  <c r="E2276" i="27"/>
  <c r="H2128" i="27"/>
  <c r="H2318" i="27"/>
  <c r="K2339" i="27"/>
  <c r="G2255" i="27"/>
  <c r="N2258" i="27"/>
  <c r="K2275" i="27"/>
  <c r="K2155" i="27"/>
  <c r="I2189" i="27"/>
  <c r="N2196" i="27"/>
  <c r="I2232" i="27"/>
  <c r="G2319" i="27"/>
  <c r="K1606" i="27"/>
  <c r="K2241" i="27"/>
  <c r="K2246" i="27"/>
  <c r="K2343" i="27"/>
  <c r="K1607" i="27"/>
  <c r="N2115" i="27"/>
  <c r="H2338" i="27"/>
  <c r="G2125" i="27"/>
  <c r="K1751" i="27"/>
  <c r="G2292" i="27"/>
  <c r="N2136" i="27"/>
  <c r="K1584" i="27"/>
  <c r="E2272" i="27"/>
  <c r="G2336" i="27"/>
  <c r="K1710" i="27"/>
  <c r="G2162" i="27"/>
  <c r="J2113" i="27"/>
  <c r="K1728" i="27"/>
  <c r="E2355" i="27"/>
  <c r="N2351" i="27"/>
  <c r="N2293" i="27"/>
  <c r="E2173" i="27"/>
  <c r="I2252" i="27"/>
  <c r="J2299" i="27"/>
  <c r="H2221" i="27"/>
  <c r="J2226" i="27"/>
  <c r="E2358" i="27"/>
  <c r="J2216" i="27"/>
  <c r="M2108" i="27"/>
  <c r="A2108" i="27" s="1"/>
  <c r="E2289" i="27"/>
  <c r="E2211" i="27"/>
  <c r="K2283" i="27"/>
  <c r="H2113" i="27"/>
  <c r="H2271" i="27"/>
  <c r="J2269" i="27"/>
  <c r="G2254" i="27"/>
  <c r="G2182" i="27"/>
  <c r="E2138" i="27"/>
  <c r="H2120" i="27"/>
  <c r="G2325" i="27"/>
  <c r="J2210" i="27"/>
  <c r="K2191" i="27"/>
  <c r="K1552" i="27"/>
  <c r="N2139" i="27"/>
  <c r="N2206" i="27"/>
  <c r="J2231" i="27"/>
  <c r="N2332" i="27"/>
  <c r="E2241" i="27"/>
  <c r="K1630" i="27"/>
  <c r="J2308" i="27"/>
  <c r="E2293" i="27"/>
  <c r="E2122" i="27"/>
  <c r="N2334" i="27"/>
  <c r="E2212" i="27"/>
  <c r="N2316" i="27"/>
  <c r="E2158" i="27"/>
  <c r="G2137" i="27"/>
  <c r="I2348" i="27"/>
  <c r="H2343" i="27"/>
  <c r="N2109" i="27"/>
  <c r="G2329" i="27"/>
  <c r="K2289" i="27"/>
  <c r="J2247" i="27"/>
  <c r="K2349" i="27"/>
  <c r="J2142" i="27"/>
  <c r="I2129" i="27"/>
  <c r="H2295" i="27"/>
  <c r="K1717" i="27"/>
  <c r="J2153" i="27"/>
  <c r="H2150" i="27"/>
  <c r="K1545" i="27"/>
  <c r="K2153" i="27"/>
  <c r="K2271" i="27"/>
  <c r="H2334" i="27"/>
  <c r="K1681" i="27"/>
  <c r="K1718" i="27"/>
  <c r="H2216" i="27"/>
  <c r="H2313" i="27"/>
  <c r="J2234" i="27"/>
  <c r="I2359" i="27"/>
  <c r="K1526" i="27"/>
  <c r="N2137" i="27"/>
  <c r="K2242" i="27"/>
  <c r="E2234" i="27"/>
  <c r="E2151" i="27"/>
  <c r="N2244" i="27"/>
  <c r="K1598" i="27"/>
  <c r="K2336" i="27"/>
  <c r="N2208" i="27"/>
  <c r="E2263" i="27"/>
  <c r="E2235" i="27"/>
  <c r="H2189" i="27"/>
  <c r="E2260" i="27"/>
  <c r="K2135" i="27"/>
  <c r="K2340" i="27"/>
  <c r="J2261" i="27"/>
  <c r="N2167" i="27"/>
  <c r="G2197" i="27"/>
  <c r="G2350" i="27"/>
  <c r="E2317" i="27"/>
  <c r="J2303" i="27"/>
  <c r="E2215" i="27"/>
  <c r="E2287" i="27"/>
  <c r="E2292" i="27"/>
  <c r="E2139" i="27"/>
  <c r="H2323" i="27"/>
  <c r="N2220" i="27"/>
  <c r="H2315" i="27"/>
  <c r="J2199" i="27"/>
  <c r="G2231" i="27"/>
  <c r="E2141" i="27"/>
  <c r="J2309" i="27"/>
  <c r="K1730" i="27"/>
  <c r="K2175" i="27"/>
  <c r="H2347" i="27"/>
  <c r="I2283" i="27"/>
  <c r="G2305" i="27"/>
  <c r="K2261" i="27"/>
  <c r="H2300" i="27"/>
  <c r="J2157" i="27"/>
  <c r="K1759" i="27"/>
  <c r="I2272" i="27"/>
  <c r="N2237" i="27"/>
  <c r="J2127" i="27"/>
  <c r="J2250" i="27"/>
  <c r="K2162" i="27"/>
  <c r="E2146" i="27"/>
  <c r="H2314" i="27"/>
  <c r="E2226" i="27"/>
  <c r="G2130" i="27"/>
  <c r="E2186" i="27"/>
  <c r="K1694" i="27"/>
  <c r="J2300" i="27"/>
  <c r="K2171" i="27"/>
  <c r="G2190" i="27"/>
  <c r="M2109" i="27"/>
  <c r="A2109" i="27" s="1"/>
  <c r="E2271" i="27"/>
  <c r="K2231" i="27"/>
  <c r="E2180" i="27"/>
  <c r="K2352" i="27"/>
  <c r="I2177" i="27"/>
  <c r="M2111" i="27"/>
  <c r="A2111" i="27" s="1"/>
  <c r="H2231" i="27"/>
  <c r="H2131" i="27"/>
  <c r="E2164" i="27"/>
  <c r="J2334" i="27"/>
  <c r="K1754" i="27"/>
  <c r="K1695" i="27"/>
  <c r="J2278" i="27"/>
  <c r="K2277" i="27"/>
  <c r="H2304" i="27"/>
  <c r="J2323" i="27"/>
  <c r="G2224" i="27"/>
  <c r="K2108" i="27"/>
  <c r="E2316" i="27"/>
  <c r="G2220" i="27"/>
  <c r="E2175" i="27"/>
  <c r="K2282" i="27"/>
  <c r="N2212" i="27"/>
  <c r="E2290" i="27"/>
  <c r="E2314" i="27"/>
  <c r="H2209" i="27"/>
  <c r="E2349" i="27"/>
  <c r="E2328" i="27"/>
  <c r="K2254" i="27"/>
  <c r="G2116" i="27"/>
  <c r="G2284" i="27"/>
  <c r="G2358" i="27"/>
  <c r="K1541" i="27"/>
  <c r="E2334" i="27"/>
  <c r="J2141" i="27"/>
  <c r="G2290" i="27"/>
  <c r="J2143" i="27"/>
  <c r="F2108" i="27"/>
  <c r="K1520" i="27"/>
  <c r="E2308" i="27"/>
  <c r="G2164" i="27"/>
  <c r="K1703" i="27"/>
  <c r="G2115" i="27"/>
  <c r="I2253" i="27"/>
  <c r="E2206" i="27"/>
  <c r="E2182" i="27"/>
  <c r="F2113" i="27"/>
  <c r="J2240" i="27"/>
  <c r="E2268" i="27"/>
  <c r="H2352" i="27"/>
  <c r="H2146" i="27"/>
  <c r="K2274" i="27"/>
  <c r="G2326" i="27"/>
  <c r="M2106" i="27"/>
  <c r="A2106" i="27" s="1"/>
  <c r="E2225" i="27"/>
  <c r="H2171" i="27"/>
  <c r="K2149" i="27"/>
  <c r="K1620" i="27"/>
  <c r="K2304" i="27"/>
  <c r="K2166" i="27"/>
  <c r="N2149" i="27"/>
  <c r="H2130" i="27"/>
  <c r="K1560" i="27"/>
  <c r="K2249" i="27"/>
  <c r="K2351" i="27"/>
  <c r="J2217" i="27"/>
  <c r="F2110" i="27"/>
  <c r="K1624" i="27"/>
  <c r="K2196" i="27"/>
  <c r="M2113" i="27"/>
  <c r="A2113" i="27" s="1"/>
  <c r="F2115" i="27"/>
  <c r="J498" i="27"/>
  <c r="A498" i="27" s="1"/>
  <c r="A3402" i="27"/>
  <c r="CC9" i="33"/>
  <c r="I19" i="41"/>
  <c r="A171" i="27"/>
  <c r="T171" i="27" s="1"/>
  <c r="A167" i="27"/>
  <c r="T167" i="27" s="1"/>
  <c r="CD13" i="33"/>
  <c r="J75" i="41"/>
  <c r="A3494" i="27"/>
  <c r="A3695" i="27"/>
  <c r="A197" i="27"/>
  <c r="T197" i="27" s="1"/>
  <c r="A385" i="27"/>
  <c r="CD53" i="33"/>
  <c r="J635" i="41"/>
  <c r="E1038" i="27"/>
  <c r="G803" i="41"/>
  <c r="CA65" i="33"/>
  <c r="A190" i="27"/>
  <c r="T190" i="27" s="1"/>
  <c r="I411" i="41"/>
  <c r="CC37" i="33"/>
  <c r="CE51" i="33"/>
  <c r="K607" i="41"/>
  <c r="A146" i="27"/>
  <c r="T146" i="27" s="1"/>
  <c r="BZ61" i="33"/>
  <c r="F747" i="41"/>
  <c r="CB13" i="33"/>
  <c r="H75" i="41"/>
  <c r="AX37" i="30"/>
  <c r="D412" i="39"/>
  <c r="CE17" i="33"/>
  <c r="K131" i="41"/>
  <c r="A3612" i="27"/>
  <c r="A159" i="27"/>
  <c r="T159" i="27" s="1"/>
  <c r="E103" i="41"/>
  <c r="BY15" i="33"/>
  <c r="A438" i="27"/>
  <c r="A3602" i="27"/>
  <c r="A3691" i="27"/>
  <c r="A430" i="27"/>
  <c r="A2815" i="27"/>
  <c r="A184" i="27"/>
  <c r="T184" i="27" s="1"/>
  <c r="A207" i="27"/>
  <c r="T207" i="27" s="1"/>
  <c r="E1355" i="27"/>
  <c r="A142" i="27"/>
  <c r="T142" i="27" s="1"/>
  <c r="A143" i="27"/>
  <c r="T143" i="27" s="1"/>
  <c r="D19" i="41"/>
  <c r="BX9" i="33"/>
  <c r="A182" i="27"/>
  <c r="T182" i="27" s="1"/>
  <c r="A202" i="27"/>
  <c r="T202" i="27" s="1"/>
  <c r="H299" i="41"/>
  <c r="CB29" i="33"/>
  <c r="A3549" i="27"/>
  <c r="E1356" i="27"/>
  <c r="A3370" i="27"/>
  <c r="BW33" i="33"/>
  <c r="C355" i="41"/>
  <c r="A384" i="27"/>
  <c r="A3606" i="27"/>
  <c r="G719" i="41"/>
  <c r="CA59" i="33"/>
  <c r="J243" i="41"/>
  <c r="CD25" i="33"/>
  <c r="A3426" i="27"/>
  <c r="C299" i="41"/>
  <c r="BW29" i="33"/>
  <c r="A2808" i="27"/>
  <c r="A3682" i="27"/>
  <c r="BZ59" i="33"/>
  <c r="F719" i="41"/>
  <c r="A3693" i="27"/>
  <c r="BZ47" i="33"/>
  <c r="F551" i="41"/>
  <c r="A161" i="27"/>
  <c r="T161" i="27" s="1"/>
  <c r="A421" i="27"/>
  <c r="A400" i="27"/>
  <c r="I299" i="41"/>
  <c r="CC29" i="33"/>
  <c r="A2794" i="27"/>
  <c r="J1484" i="27"/>
  <c r="K1252" i="27"/>
  <c r="K1259" i="27"/>
  <c r="K1448" i="27"/>
  <c r="F1437" i="27"/>
  <c r="I1488" i="27"/>
  <c r="G1414" i="27"/>
  <c r="H1389" i="27"/>
  <c r="K1487" i="27"/>
  <c r="F1456" i="27"/>
  <c r="K1445" i="27"/>
  <c r="L1458" i="27"/>
  <c r="I1422" i="27"/>
  <c r="M1398" i="27"/>
  <c r="A1398" i="27" s="1"/>
  <c r="K1309" i="27"/>
  <c r="E1460" i="27"/>
  <c r="K1295" i="27"/>
  <c r="J1428" i="27"/>
  <c r="G1473" i="27"/>
  <c r="J1385" i="27"/>
  <c r="J1459" i="27"/>
  <c r="E1442" i="27"/>
  <c r="K1308" i="27"/>
  <c r="J1394" i="27"/>
  <c r="E1385" i="27"/>
  <c r="G1410" i="27"/>
  <c r="L1488" i="27"/>
  <c r="E1402" i="27"/>
  <c r="K1338" i="27"/>
  <c r="M1397" i="27"/>
  <c r="A1397" i="27" s="1"/>
  <c r="M1432" i="27"/>
  <c r="A1432" i="27" s="1"/>
  <c r="K1395" i="27"/>
  <c r="K1473" i="27"/>
  <c r="H1471" i="27"/>
  <c r="J1490" i="27"/>
  <c r="J1383" i="27"/>
  <c r="G1443" i="27"/>
  <c r="G1416" i="27"/>
  <c r="H1453" i="27"/>
  <c r="I1390" i="27"/>
  <c r="K1300" i="27"/>
  <c r="K1263" i="27"/>
  <c r="L1402" i="27"/>
  <c r="F1479" i="27"/>
  <c r="F1477" i="27"/>
  <c r="L1424" i="27"/>
  <c r="E1390" i="27"/>
  <c r="H1454" i="27"/>
  <c r="I1458" i="27"/>
  <c r="K1434" i="27"/>
  <c r="L1450" i="27"/>
  <c r="I1388" i="27"/>
  <c r="J1453" i="27"/>
  <c r="M1394" i="27"/>
  <c r="A1394" i="27" s="1"/>
  <c r="H1486" i="27"/>
  <c r="G1400" i="27"/>
  <c r="I1435" i="27"/>
  <c r="I1456" i="27"/>
  <c r="J1404" i="27"/>
  <c r="M1419" i="27"/>
  <c r="A1419" i="27" s="1"/>
  <c r="G1486" i="27"/>
  <c r="L1479" i="27"/>
  <c r="H1435" i="27"/>
  <c r="K1235" i="27"/>
  <c r="M1463" i="27"/>
  <c r="A1463" i="27" s="1"/>
  <c r="H1425" i="27"/>
  <c r="K1334" i="27"/>
  <c r="K1317" i="27"/>
  <c r="H1470" i="27"/>
  <c r="F1469" i="27"/>
  <c r="L1465" i="27"/>
  <c r="K1325" i="27"/>
  <c r="H1487" i="27"/>
  <c r="M1448" i="27"/>
  <c r="A1448" i="27" s="1"/>
  <c r="I1473" i="27"/>
  <c r="I1449" i="27"/>
  <c r="I1399" i="27"/>
  <c r="K1244" i="27"/>
  <c r="K1456" i="27"/>
  <c r="J1403" i="27"/>
  <c r="K1425" i="27"/>
  <c r="I1461" i="27"/>
  <c r="E1454" i="27"/>
  <c r="M1400" i="27"/>
  <c r="A1400" i="27" s="1"/>
  <c r="K1435" i="27"/>
  <c r="K1305" i="27"/>
  <c r="M1436" i="27"/>
  <c r="A1436" i="27" s="1"/>
  <c r="F1418" i="27"/>
  <c r="I1490" i="27"/>
  <c r="K1273" i="27"/>
  <c r="M1425" i="27"/>
  <c r="A1425" i="27" s="1"/>
  <c r="H1411" i="27"/>
  <c r="F1470" i="27"/>
  <c r="H1395" i="27"/>
  <c r="F1438" i="27"/>
  <c r="K1467" i="27"/>
  <c r="I1420" i="27"/>
  <c r="E1400" i="27"/>
  <c r="M1461" i="27"/>
  <c r="A1461" i="27" s="1"/>
  <c r="H1403" i="27"/>
  <c r="I1396" i="27"/>
  <c r="J1446" i="27"/>
  <c r="L1429" i="27"/>
  <c r="H1434" i="27"/>
  <c r="E1403" i="27"/>
  <c r="G1412" i="27"/>
  <c r="H1386" i="27"/>
  <c r="E1409" i="27"/>
  <c r="K1382" i="27"/>
  <c r="I1406" i="27"/>
  <c r="J1476" i="27"/>
  <c r="E1482" i="27"/>
  <c r="L1403" i="27"/>
  <c r="M1423" i="27"/>
  <c r="A1423" i="27" s="1"/>
  <c r="M1431" i="27"/>
  <c r="A1431" i="27" s="1"/>
  <c r="F1431" i="27"/>
  <c r="G1404" i="27"/>
  <c r="E1486" i="27"/>
  <c r="E1466" i="27"/>
  <c r="J1424" i="27"/>
  <c r="F1423" i="27"/>
  <c r="H1429" i="27"/>
  <c r="K1413" i="27"/>
  <c r="H1452" i="27"/>
  <c r="M1440" i="27"/>
  <c r="A1440" i="27" s="1"/>
  <c r="M1485" i="27"/>
  <c r="A1485" i="27" s="1"/>
  <c r="G1470" i="27"/>
  <c r="E1398" i="27"/>
  <c r="K1399" i="27"/>
  <c r="I1438" i="27"/>
  <c r="E1397" i="27"/>
  <c r="L1388" i="27"/>
  <c r="I1471" i="27"/>
  <c r="G1440" i="27"/>
  <c r="K1258" i="27"/>
  <c r="J1470" i="27"/>
  <c r="E1430" i="27"/>
  <c r="J1190" i="27"/>
  <c r="E1406" i="27"/>
  <c r="J1467" i="27"/>
  <c r="M1411" i="27"/>
  <c r="A1411" i="27" s="1"/>
  <c r="K1427" i="27"/>
  <c r="L1382" i="27"/>
  <c r="H1417" i="27"/>
  <c r="M1428" i="27"/>
  <c r="A1428" i="27" s="1"/>
  <c r="M1455" i="27"/>
  <c r="A1455" i="27" s="1"/>
  <c r="K1276" i="27"/>
  <c r="L1481" i="27"/>
  <c r="I1424" i="27"/>
  <c r="H1416" i="27"/>
  <c r="E1425" i="27"/>
  <c r="L1474" i="27"/>
  <c r="G1425" i="27"/>
  <c r="G1441" i="27"/>
  <c r="J1417" i="27"/>
  <c r="K1257" i="27"/>
  <c r="L1393" i="27"/>
  <c r="I1190" i="27"/>
  <c r="G1403" i="27"/>
  <c r="L1405" i="27"/>
  <c r="K1486" i="27"/>
  <c r="L1389" i="27"/>
  <c r="M1429" i="27"/>
  <c r="A1429" i="27" s="1"/>
  <c r="J1452" i="27"/>
  <c r="E1474" i="27"/>
  <c r="K1387" i="27"/>
  <c r="L1461" i="27"/>
  <c r="H1444" i="27"/>
  <c r="H1483" i="27"/>
  <c r="J1387" i="27"/>
  <c r="I1414" i="27"/>
  <c r="K1484" i="27"/>
  <c r="K1469" i="27"/>
  <c r="L1469" i="27"/>
  <c r="K1415" i="27"/>
  <c r="M1467" i="27"/>
  <c r="A1467" i="27" s="1"/>
  <c r="G1394" i="27"/>
  <c r="H1439" i="27"/>
  <c r="I1409" i="27"/>
  <c r="M1444" i="27"/>
  <c r="A1444" i="27" s="1"/>
  <c r="L1425" i="27"/>
  <c r="M1486" i="27"/>
  <c r="A1486" i="27" s="1"/>
  <c r="K1281" i="27"/>
  <c r="K1450" i="27"/>
  <c r="M1451" i="27"/>
  <c r="A1451" i="27" s="1"/>
  <c r="I1397" i="27"/>
  <c r="H1426" i="27"/>
  <c r="H1475" i="27"/>
  <c r="G1479" i="27"/>
  <c r="K1236" i="27"/>
  <c r="L1422" i="27"/>
  <c r="J1398" i="27"/>
  <c r="M1441" i="27"/>
  <c r="A1441" i="27" s="1"/>
  <c r="F1422" i="27"/>
  <c r="K1420" i="27"/>
  <c r="J1437" i="27"/>
  <c r="G1487" i="27"/>
  <c r="G1391" i="27"/>
  <c r="M1392" i="27"/>
  <c r="A1392" i="27" s="1"/>
  <c r="I1447" i="27"/>
  <c r="I1434" i="27"/>
  <c r="K1307" i="27"/>
  <c r="F1472" i="27"/>
  <c r="G1485" i="27"/>
  <c r="J1447" i="27"/>
  <c r="K1322" i="27"/>
  <c r="G1481" i="27"/>
  <c r="M1464" i="27"/>
  <c r="A1464" i="27" s="1"/>
  <c r="F1474" i="27"/>
  <c r="M1460" i="27"/>
  <c r="A1460" i="27" s="1"/>
  <c r="E1444" i="27"/>
  <c r="G1454" i="27"/>
  <c r="F1396" i="27"/>
  <c r="K1312" i="27"/>
  <c r="F1427" i="27"/>
  <c r="L1420" i="27"/>
  <c r="G1426" i="27"/>
  <c r="G1490" i="27"/>
  <c r="M1456" i="27"/>
  <c r="A1456" i="27" s="1"/>
  <c r="I1483" i="27"/>
  <c r="L1398" i="27"/>
  <c r="K1328" i="27"/>
  <c r="J1431" i="27"/>
  <c r="J1466" i="27"/>
  <c r="M1399" i="27"/>
  <c r="A1399" i="27" s="1"/>
  <c r="M1468" i="27"/>
  <c r="A1468" i="27" s="1"/>
  <c r="J1415" i="27"/>
  <c r="K1279" i="27"/>
  <c r="K1284" i="27"/>
  <c r="K1239" i="27"/>
  <c r="L1447" i="27"/>
  <c r="L1480" i="27"/>
  <c r="G1480" i="27"/>
  <c r="K1477" i="27"/>
  <c r="K1419" i="27"/>
  <c r="L1441" i="27"/>
  <c r="G1420" i="27"/>
  <c r="L1426" i="27"/>
  <c r="M1457" i="27"/>
  <c r="A1457" i="27" s="1"/>
  <c r="F1489" i="27"/>
  <c r="J1481" i="27"/>
  <c r="F1457" i="27"/>
  <c r="H1427" i="27"/>
  <c r="M1469" i="27"/>
  <c r="A1469" i="27" s="1"/>
  <c r="H1413" i="27"/>
  <c r="K1409" i="27"/>
  <c r="E1457" i="27"/>
  <c r="I1415" i="27"/>
  <c r="H1436" i="27"/>
  <c r="F1461" i="27"/>
  <c r="L1436" i="27"/>
  <c r="H1458" i="27"/>
  <c r="M1453" i="27"/>
  <c r="A1453" i="27" s="1"/>
  <c r="H1457" i="27"/>
  <c r="G1406" i="27"/>
  <c r="H1433" i="27"/>
  <c r="I1436" i="27"/>
  <c r="M1439" i="27"/>
  <c r="A1439" i="27" s="1"/>
  <c r="J1390" i="27"/>
  <c r="E1459" i="27"/>
  <c r="G1385" i="27"/>
  <c r="L1445" i="27"/>
  <c r="M1458" i="27"/>
  <c r="A1458" i="27" s="1"/>
  <c r="K1261" i="27"/>
  <c r="J1474" i="27"/>
  <c r="J1482" i="27"/>
  <c r="J1480" i="27"/>
  <c r="K1390" i="27"/>
  <c r="E1477" i="27"/>
  <c r="E1387" i="27"/>
  <c r="H1469" i="27"/>
  <c r="H1451" i="27"/>
  <c r="F1420" i="27"/>
  <c r="H1418" i="27"/>
  <c r="J1384" i="27"/>
  <c r="I1472" i="27"/>
  <c r="F1425" i="27"/>
  <c r="L1414" i="27"/>
  <c r="G1450" i="27"/>
  <c r="J1410" i="27"/>
  <c r="K1286" i="27"/>
  <c r="E1429" i="27"/>
  <c r="E1404" i="27"/>
  <c r="G1468" i="27"/>
  <c r="H1419" i="27"/>
  <c r="M1412" i="27"/>
  <c r="A1412" i="27" s="1"/>
  <c r="G1421" i="27"/>
  <c r="L1459" i="27"/>
  <c r="F1458" i="27"/>
  <c r="F1421" i="27"/>
  <c r="I1443" i="27"/>
  <c r="H1410" i="27"/>
  <c r="L1396" i="27"/>
  <c r="I1385" i="27"/>
  <c r="E1433" i="27"/>
  <c r="K1432" i="27"/>
  <c r="G1459" i="27"/>
  <c r="I1383" i="27"/>
  <c r="F1415" i="27"/>
  <c r="F1411" i="27"/>
  <c r="K1385" i="27"/>
  <c r="G1395" i="27"/>
  <c r="E1467" i="27"/>
  <c r="E1435" i="27"/>
  <c r="K1391" i="27"/>
  <c r="M1478" i="27"/>
  <c r="A1478" i="27" s="1"/>
  <c r="E1481" i="27"/>
  <c r="K1461" i="27"/>
  <c r="J1408" i="27"/>
  <c r="K1411" i="27"/>
  <c r="G1455" i="27"/>
  <c r="F1460" i="27"/>
  <c r="J1427" i="27"/>
  <c r="M1475" i="27"/>
  <c r="A1475" i="27" s="1"/>
  <c r="H1401" i="27"/>
  <c r="J1411" i="27"/>
  <c r="H1384" i="27"/>
  <c r="H1477" i="27"/>
  <c r="E1411" i="27"/>
  <c r="H1391" i="27"/>
  <c r="F1486" i="27"/>
  <c r="H1442" i="27"/>
  <c r="G1476" i="27"/>
  <c r="G1435" i="27"/>
  <c r="H1484" i="27"/>
  <c r="I1451" i="27"/>
  <c r="L1442" i="27"/>
  <c r="I1444" i="27"/>
  <c r="G1438" i="27"/>
  <c r="G1453" i="27"/>
  <c r="L1455" i="27"/>
  <c r="K1332" i="27"/>
  <c r="K1274" i="27"/>
  <c r="I1468" i="27"/>
  <c r="I1470" i="27"/>
  <c r="G1431" i="27"/>
  <c r="G1449" i="27"/>
  <c r="E1441" i="27"/>
  <c r="I1423" i="27"/>
  <c r="I1401" i="27"/>
  <c r="M1446" i="27"/>
  <c r="A1446" i="27" s="1"/>
  <c r="H1383" i="27"/>
  <c r="F1473" i="27"/>
  <c r="E1453" i="27"/>
  <c r="H1409" i="27"/>
  <c r="J1419" i="27"/>
  <c r="K1232" i="27"/>
  <c r="K1412" i="27"/>
  <c r="K1319" i="27"/>
  <c r="M1391" i="27"/>
  <c r="A1391" i="27" s="1"/>
  <c r="J1441" i="27"/>
  <c r="M1488" i="27"/>
  <c r="A1488" i="27" s="1"/>
  <c r="E1383" i="27"/>
  <c r="K1476" i="27"/>
  <c r="E1451" i="27"/>
  <c r="H1415" i="27"/>
  <c r="L1484" i="27"/>
  <c r="F1413" i="27"/>
  <c r="H1387" i="27"/>
  <c r="F1442" i="27"/>
  <c r="L1423" i="27"/>
  <c r="K1383" i="27"/>
  <c r="H1465" i="27"/>
  <c r="H1490" i="27"/>
  <c r="M1417" i="27"/>
  <c r="A1417" i="27" s="1"/>
  <c r="E1489" i="27"/>
  <c r="I1481" i="27"/>
  <c r="F1465" i="27"/>
  <c r="I1421" i="27"/>
  <c r="I1395" i="27"/>
  <c r="M1415" i="27"/>
  <c r="A1415" i="27" s="1"/>
  <c r="F1435" i="27"/>
  <c r="I1430" i="27"/>
  <c r="G1411" i="27"/>
  <c r="L1410" i="27"/>
  <c r="M1435" i="27"/>
  <c r="A1435" i="27" s="1"/>
  <c r="J1418" i="27"/>
  <c r="E1417" i="27"/>
  <c r="E1461" i="27"/>
  <c r="H1393" i="27"/>
  <c r="L1482" i="27"/>
  <c r="H1404" i="27"/>
  <c r="E1382" i="27"/>
  <c r="G1457" i="27"/>
  <c r="K1463" i="27"/>
  <c r="L1470" i="27"/>
  <c r="I1418" i="27"/>
  <c r="G1461" i="27"/>
  <c r="F1400" i="27"/>
  <c r="G1475" i="27"/>
  <c r="G1432" i="27"/>
  <c r="M1474" i="27"/>
  <c r="A1474" i="27" s="1"/>
  <c r="E1389" i="27"/>
  <c r="I1482" i="27"/>
  <c r="F1428" i="27"/>
  <c r="F1490" i="27"/>
  <c r="M1434" i="27"/>
  <c r="A1434" i="27" s="1"/>
  <c r="I1479" i="27"/>
  <c r="J1478" i="27"/>
  <c r="L1400" i="27"/>
  <c r="K1421" i="27"/>
  <c r="G1389" i="27"/>
  <c r="F1426" i="27"/>
  <c r="F1485" i="27"/>
  <c r="I1411" i="27"/>
  <c r="I1480" i="27"/>
  <c r="G1190" i="27"/>
  <c r="E1445" i="27"/>
  <c r="E1446" i="27"/>
  <c r="K1489" i="27"/>
  <c r="G1463" i="27"/>
  <c r="H1399" i="27"/>
  <c r="K1490" i="27"/>
  <c r="F1455" i="27"/>
  <c r="H1479" i="27"/>
  <c r="E1463" i="27"/>
  <c r="K1253" i="27"/>
  <c r="F1466" i="27"/>
  <c r="F1430" i="27"/>
  <c r="M1447" i="27"/>
  <c r="A1447" i="27" s="1"/>
  <c r="L1415" i="27"/>
  <c r="H1485" i="27"/>
  <c r="J1432" i="27"/>
  <c r="J1430" i="27"/>
  <c r="E1464" i="27"/>
  <c r="E1487" i="27"/>
  <c r="J1399" i="27"/>
  <c r="K1384" i="27"/>
  <c r="J1416" i="27"/>
  <c r="L1444" i="27"/>
  <c r="H1464" i="27"/>
  <c r="E1449" i="27"/>
  <c r="L1427" i="27"/>
  <c r="G1418" i="27"/>
  <c r="G1393" i="27"/>
  <c r="L1413" i="27"/>
  <c r="K1247" i="27"/>
  <c r="J1436" i="27"/>
  <c r="G1424" i="27"/>
  <c r="K1404" i="27"/>
  <c r="L1383" i="27"/>
  <c r="K1321" i="27"/>
  <c r="J1397" i="27"/>
  <c r="J1489" i="27"/>
  <c r="G1422" i="27"/>
  <c r="E1443" i="27"/>
  <c r="K1316" i="27"/>
  <c r="L1399" i="27"/>
  <c r="I1393" i="27"/>
  <c r="H1408" i="27"/>
  <c r="J1445" i="27"/>
  <c r="K1485" i="27"/>
  <c r="I1484" i="27"/>
  <c r="G1462" i="27"/>
  <c r="I1457" i="27"/>
  <c r="K1265" i="27"/>
  <c r="K1401" i="27"/>
  <c r="M1424" i="27"/>
  <c r="A1424" i="27" s="1"/>
  <c r="K1303" i="27"/>
  <c r="K1403" i="27"/>
  <c r="G1445" i="27"/>
  <c r="M1483" i="27"/>
  <c r="A1483" i="27" s="1"/>
  <c r="K1406" i="27"/>
  <c r="F1441" i="27"/>
  <c r="E1422" i="27"/>
  <c r="M1471" i="27"/>
  <c r="A1471" i="27" s="1"/>
  <c r="J1479" i="27"/>
  <c r="H1388" i="27"/>
  <c r="E1427" i="27"/>
  <c r="I1382" i="27"/>
  <c r="F1391" i="27"/>
  <c r="L1489" i="27"/>
  <c r="G1384" i="27"/>
  <c r="K1275" i="27"/>
  <c r="I1389" i="27"/>
  <c r="I1407" i="27"/>
  <c r="F1190" i="27"/>
  <c r="I1489" i="27"/>
  <c r="F1394" i="27"/>
  <c r="M1433" i="27"/>
  <c r="A1433" i="27" s="1"/>
  <c r="K1324" i="27"/>
  <c r="M1438" i="27"/>
  <c r="A1438" i="27" s="1"/>
  <c r="J1433" i="27"/>
  <c r="K1255" i="27"/>
  <c r="K1439" i="27"/>
  <c r="L1483" i="27"/>
  <c r="F1467" i="27"/>
  <c r="K1304" i="27"/>
  <c r="K1423" i="27"/>
  <c r="G1428" i="27"/>
  <c r="H1467" i="27"/>
  <c r="J1471" i="27"/>
  <c r="K1458" i="27"/>
  <c r="F1395" i="27"/>
  <c r="I1445" i="27"/>
  <c r="K1291" i="27"/>
  <c r="I1485" i="27"/>
  <c r="K1410" i="27"/>
  <c r="F1483" i="27"/>
  <c r="J1460" i="27"/>
  <c r="J1475" i="27"/>
  <c r="M1426" i="27"/>
  <c r="A1426" i="27" s="1"/>
  <c r="K1472" i="27"/>
  <c r="G1383" i="27"/>
  <c r="J1434" i="27"/>
  <c r="E1190" i="27"/>
  <c r="I1469" i="27"/>
  <c r="G1429" i="27"/>
  <c r="J1458" i="27"/>
  <c r="G1466" i="27"/>
  <c r="J1488" i="27"/>
  <c r="K1287" i="27"/>
  <c r="J1389" i="27"/>
  <c r="K1460" i="27"/>
  <c r="G1413" i="27"/>
  <c r="I1404" i="27"/>
  <c r="L1433" i="27"/>
  <c r="M1470" i="27"/>
  <c r="A1470" i="27" s="1"/>
  <c r="K1240" i="27"/>
  <c r="F1481" i="27"/>
  <c r="L1439" i="27"/>
  <c r="G1437" i="27"/>
  <c r="J1386" i="27"/>
  <c r="F1452" i="27"/>
  <c r="K1429" i="27"/>
  <c r="K1233" i="27"/>
  <c r="E1432" i="27"/>
  <c r="F1478" i="27"/>
  <c r="L1438" i="27"/>
  <c r="F1482" i="27"/>
  <c r="L1467" i="27"/>
  <c r="L1394" i="27"/>
  <c r="I1453" i="27"/>
  <c r="I1475" i="27"/>
  <c r="H1480" i="27"/>
  <c r="G1397" i="27"/>
  <c r="L1452" i="27"/>
  <c r="H1394" i="27"/>
  <c r="K1392" i="27"/>
  <c r="I1398" i="27"/>
  <c r="L1443" i="27"/>
  <c r="K1241" i="27"/>
  <c r="G1399" i="27"/>
  <c r="E1450" i="27"/>
  <c r="J1401" i="27"/>
  <c r="L1386" i="27"/>
  <c r="K1396" i="27"/>
  <c r="E1470" i="27"/>
  <c r="G1460" i="27"/>
  <c r="K1480" i="27"/>
  <c r="I1392" i="27"/>
  <c r="G1483" i="27"/>
  <c r="K1297" i="27"/>
  <c r="F1462" i="27"/>
  <c r="J1438" i="27"/>
  <c r="I1486" i="27"/>
  <c r="L1384" i="27"/>
  <c r="E1478" i="27"/>
  <c r="I1439" i="27"/>
  <c r="G1452" i="27"/>
  <c r="I1416" i="27"/>
  <c r="L1440" i="27"/>
  <c r="H1440" i="27"/>
  <c r="I1426" i="27"/>
  <c r="K1465" i="27"/>
  <c r="M1465" i="27"/>
  <c r="A1465" i="27" s="1"/>
  <c r="G1434" i="27"/>
  <c r="K1264" i="27"/>
  <c r="E1475" i="27"/>
  <c r="H1466" i="27"/>
  <c r="J1439" i="27"/>
  <c r="F1450" i="27"/>
  <c r="H1397" i="27"/>
  <c r="L1485" i="27"/>
  <c r="E1428" i="27"/>
  <c r="F1476" i="27"/>
  <c r="I1477" i="27"/>
  <c r="H1407" i="27"/>
  <c r="M1421" i="27"/>
  <c r="A1421" i="27" s="1"/>
  <c r="H1450" i="27"/>
  <c r="H1420" i="27"/>
  <c r="K1335" i="27"/>
  <c r="G1458" i="27"/>
  <c r="K1314" i="27"/>
  <c r="I1454" i="27"/>
  <c r="M1396" i="27"/>
  <c r="A1396" i="27" s="1"/>
  <c r="K1418" i="27"/>
  <c r="K1283" i="27"/>
  <c r="L1486" i="27"/>
  <c r="H1392" i="27"/>
  <c r="F1439" i="27"/>
  <c r="K1444" i="27"/>
  <c r="G1430" i="27"/>
  <c r="K1457" i="27"/>
  <c r="K1453" i="27"/>
  <c r="J1396" i="27"/>
  <c r="J1422" i="27"/>
  <c r="L1404" i="27"/>
  <c r="G1478" i="27"/>
  <c r="J1464" i="27"/>
  <c r="I1408" i="27"/>
  <c r="H1474" i="27"/>
  <c r="J1465" i="27"/>
  <c r="I1464" i="27"/>
  <c r="H1431" i="27"/>
  <c r="K1430" i="27"/>
  <c r="I1433" i="27"/>
  <c r="H1481" i="27"/>
  <c r="K1431" i="27"/>
  <c r="L1456" i="27"/>
  <c r="I1476" i="27"/>
  <c r="E1455" i="27"/>
  <c r="G1444" i="27"/>
  <c r="L1409" i="27"/>
  <c r="E1416" i="27"/>
  <c r="K1237" i="27"/>
  <c r="K1443" i="27"/>
  <c r="E1393" i="27"/>
  <c r="G1423" i="27"/>
  <c r="K1452" i="27"/>
  <c r="G1448" i="27"/>
  <c r="K1426" i="27"/>
  <c r="F1480" i="27"/>
  <c r="K1488" i="27"/>
  <c r="K1388" i="27"/>
  <c r="K1331" i="27"/>
  <c r="K1337" i="27"/>
  <c r="G1409" i="27"/>
  <c r="H1430" i="27"/>
  <c r="K1441" i="27"/>
  <c r="J1420" i="27"/>
  <c r="K1433" i="27"/>
  <c r="M1190" i="27"/>
  <c r="A1190" i="27" s="1"/>
  <c r="E1440" i="27"/>
  <c r="H1473" i="27"/>
  <c r="H1455" i="27"/>
  <c r="L1449" i="27"/>
  <c r="E1399" i="27"/>
  <c r="K1329" i="27"/>
  <c r="M1490" i="27"/>
  <c r="A1490" i="27" s="1"/>
  <c r="H1423" i="27"/>
  <c r="I1394" i="27"/>
  <c r="K1290" i="27"/>
  <c r="F1459" i="27"/>
  <c r="I1448" i="27"/>
  <c r="I1431" i="27"/>
  <c r="G1465" i="27"/>
  <c r="H1382" i="27"/>
  <c r="H1472" i="27"/>
  <c r="H1437" i="27"/>
  <c r="F1440" i="27"/>
  <c r="K1306" i="27"/>
  <c r="L1453" i="27"/>
  <c r="K1446" i="27"/>
  <c r="J1457" i="27"/>
  <c r="K1293" i="27"/>
  <c r="I1460" i="27"/>
  <c r="K1408" i="27"/>
  <c r="M1393" i="27"/>
  <c r="A1393" i="27" s="1"/>
  <c r="G1471" i="27"/>
  <c r="G1472" i="27"/>
  <c r="K1394" i="27"/>
  <c r="K1313" i="27"/>
  <c r="K1451" i="27"/>
  <c r="K1449" i="27"/>
  <c r="G1427" i="27"/>
  <c r="K1339" i="27"/>
  <c r="F1444" i="27"/>
  <c r="K1234" i="27"/>
  <c r="K1397" i="27"/>
  <c r="H1406" i="27"/>
  <c r="G1488" i="27"/>
  <c r="J1406" i="27"/>
  <c r="F1449" i="27"/>
  <c r="K1336" i="27"/>
  <c r="L1421" i="27"/>
  <c r="M1395" i="27"/>
  <c r="A1395" i="27" s="1"/>
  <c r="K1311" i="27"/>
  <c r="F1448" i="27"/>
  <c r="I1432" i="27"/>
  <c r="K1479" i="27"/>
  <c r="E1448" i="27"/>
  <c r="K1298" i="27"/>
  <c r="I1455" i="27"/>
  <c r="M1484" i="27"/>
  <c r="A1484" i="27" s="1"/>
  <c r="L1397" i="27"/>
  <c r="E1396" i="27"/>
  <c r="J1395" i="27"/>
  <c r="E1394" i="27"/>
  <c r="K1278" i="27"/>
  <c r="J1400" i="27"/>
  <c r="E1439" i="27"/>
  <c r="E1485" i="27"/>
  <c r="J1463" i="27"/>
  <c r="L1412" i="27"/>
  <c r="H1414" i="27"/>
  <c r="K1243" i="27"/>
  <c r="E1426" i="27"/>
  <c r="K1447" i="27"/>
  <c r="L1387" i="27"/>
  <c r="F1443" i="27"/>
  <c r="L1462" i="27"/>
  <c r="G1388" i="27"/>
  <c r="I1402" i="27"/>
  <c r="G1405" i="27"/>
  <c r="E1401" i="27"/>
  <c r="H1476" i="27"/>
  <c r="J1454" i="27"/>
  <c r="I1441" i="27"/>
  <c r="I1400" i="27"/>
  <c r="J1393" i="27"/>
  <c r="E1436" i="27"/>
  <c r="J1487" i="27"/>
  <c r="I1405" i="27"/>
  <c r="E1384" i="27"/>
  <c r="F1417" i="27"/>
  <c r="M1462" i="27"/>
  <c r="A1462" i="27" s="1"/>
  <c r="K1442" i="27"/>
  <c r="L1446" i="27"/>
  <c r="J1407" i="27"/>
  <c r="L1454" i="27"/>
  <c r="M1430" i="27"/>
  <c r="A1430" i="27" s="1"/>
  <c r="L1437" i="27"/>
  <c r="E1423" i="27"/>
  <c r="E1479" i="27"/>
  <c r="I1386" i="27"/>
  <c r="K1482" i="27"/>
  <c r="K1320" i="27"/>
  <c r="K1285" i="27"/>
  <c r="K1468" i="27"/>
  <c r="I1428" i="27"/>
  <c r="F1414" i="27"/>
  <c r="K1267" i="27"/>
  <c r="L1468" i="27"/>
  <c r="L1419" i="27"/>
  <c r="K1190" i="27"/>
  <c r="K1455" i="27"/>
  <c r="E1424" i="27"/>
  <c r="K1478" i="27"/>
  <c r="F1393" i="27"/>
  <c r="H1468" i="27"/>
  <c r="L1471" i="27"/>
  <c r="E1452" i="27"/>
  <c r="L1401" i="27"/>
  <c r="H1449" i="27"/>
  <c r="I1465" i="27"/>
  <c r="G1433" i="27"/>
  <c r="G1467" i="27"/>
  <c r="E1473" i="27"/>
  <c r="K1245" i="27"/>
  <c r="I1474" i="27"/>
  <c r="K1400" i="27"/>
  <c r="L1464" i="27"/>
  <c r="J1443" i="27"/>
  <c r="G1386" i="27"/>
  <c r="J1444" i="27"/>
  <c r="M1420" i="27"/>
  <c r="A1420" i="27" s="1"/>
  <c r="M1481" i="27"/>
  <c r="A1481" i="27" s="1"/>
  <c r="M1482" i="27"/>
  <c r="A1482" i="27" s="1"/>
  <c r="F1432" i="27"/>
  <c r="M1416" i="27"/>
  <c r="A1416" i="27" s="1"/>
  <c r="J1456" i="27"/>
  <c r="K1271" i="27"/>
  <c r="M1443" i="27"/>
  <c r="A1443" i="27" s="1"/>
  <c r="L1473" i="27"/>
  <c r="F1484" i="27"/>
  <c r="L1430" i="27"/>
  <c r="J1409" i="27"/>
  <c r="F1434" i="27"/>
  <c r="J1388" i="27"/>
  <c r="K1249" i="27"/>
  <c r="F1412" i="27"/>
  <c r="H1432" i="27"/>
  <c r="L1411" i="27"/>
  <c r="G1446" i="27"/>
  <c r="H1190" i="27"/>
  <c r="E1410" i="27"/>
  <c r="F1397" i="27"/>
  <c r="E1456" i="27"/>
  <c r="K1407" i="27"/>
  <c r="K1292" i="27"/>
  <c r="M1489" i="27"/>
  <c r="A1489" i="27" s="1"/>
  <c r="K1299" i="27"/>
  <c r="K1268" i="27"/>
  <c r="J1382" i="27"/>
  <c r="K1318" i="27"/>
  <c r="H1398" i="27"/>
  <c r="F1419" i="27"/>
  <c r="L1490" i="27"/>
  <c r="L1385" i="27"/>
  <c r="I1429" i="27"/>
  <c r="J1423" i="27"/>
  <c r="I1452" i="27"/>
  <c r="F1446" i="27"/>
  <c r="J1440" i="27"/>
  <c r="E1418" i="27"/>
  <c r="H1460" i="27"/>
  <c r="I1450" i="27"/>
  <c r="K1475" i="27"/>
  <c r="F1453" i="27"/>
  <c r="K1393" i="27"/>
  <c r="L1466" i="27"/>
  <c r="E1434" i="27"/>
  <c r="H1396" i="27"/>
  <c r="K1277" i="27"/>
  <c r="L1390" i="27"/>
  <c r="F1424" i="27"/>
  <c r="M1422" i="27"/>
  <c r="A1422" i="27" s="1"/>
  <c r="I1387" i="27"/>
  <c r="G1464" i="27"/>
  <c r="H1443" i="27"/>
  <c r="F1451" i="27"/>
  <c r="K1459" i="27"/>
  <c r="K1289" i="27"/>
  <c r="G1456" i="27"/>
  <c r="K1315" i="27"/>
  <c r="J1435" i="27"/>
  <c r="E1391" i="27"/>
  <c r="H1456" i="27"/>
  <c r="K1302" i="27"/>
  <c r="L1428" i="27"/>
  <c r="J1414" i="27"/>
  <c r="J1449" i="27"/>
  <c r="K1440" i="27"/>
  <c r="G1382" i="27"/>
  <c r="H1463" i="27"/>
  <c r="J1486" i="27"/>
  <c r="I1437" i="27"/>
  <c r="L1407" i="27"/>
  <c r="H1488" i="27"/>
  <c r="H1489" i="27"/>
  <c r="J1451" i="27"/>
  <c r="I1459" i="27"/>
  <c r="M1452" i="27"/>
  <c r="A1452" i="27" s="1"/>
  <c r="J1402" i="27"/>
  <c r="M1437" i="27"/>
  <c r="A1437" i="27" s="1"/>
  <c r="M1473" i="27"/>
  <c r="A1473" i="27" s="1"/>
  <c r="L1472" i="27"/>
  <c r="L1475" i="27"/>
  <c r="J1473" i="27"/>
  <c r="F1487" i="27"/>
  <c r="K1288" i="27"/>
  <c r="K1323" i="27"/>
  <c r="E1386" i="27"/>
  <c r="I1413" i="27"/>
  <c r="L1477" i="27"/>
  <c r="K1428" i="27"/>
  <c r="J1426" i="27"/>
  <c r="G1396" i="27"/>
  <c r="J1412" i="27"/>
  <c r="M1445" i="27"/>
  <c r="A1445" i="27" s="1"/>
  <c r="G1469" i="27"/>
  <c r="K1417" i="27"/>
  <c r="H1405" i="27"/>
  <c r="F1436" i="27"/>
  <c r="G1408" i="27"/>
  <c r="J1450" i="27"/>
  <c r="G1401" i="27"/>
  <c r="E1421" i="27"/>
  <c r="F1464" i="27"/>
  <c r="I1417" i="27"/>
  <c r="K1266" i="27"/>
  <c r="E1472" i="27"/>
  <c r="E1408" i="27"/>
  <c r="E1395" i="27"/>
  <c r="K1424" i="27"/>
  <c r="K1301" i="27"/>
  <c r="E1480" i="27"/>
  <c r="L1448" i="27"/>
  <c r="K1272" i="27"/>
  <c r="L1391" i="27"/>
  <c r="G1451" i="27"/>
  <c r="H1390" i="27"/>
  <c r="K1437" i="27"/>
  <c r="F1433" i="27"/>
  <c r="I1466" i="27"/>
  <c r="H1446" i="27"/>
  <c r="M1466" i="27"/>
  <c r="A1466" i="27" s="1"/>
  <c r="G1398" i="27"/>
  <c r="G1484" i="27"/>
  <c r="M1476" i="27"/>
  <c r="A1476" i="27" s="1"/>
  <c r="L1434" i="27"/>
  <c r="E1437" i="27"/>
  <c r="M1414" i="27"/>
  <c r="A1414" i="27" s="1"/>
  <c r="H1400" i="27"/>
  <c r="E1420" i="27"/>
  <c r="E1413" i="27"/>
  <c r="K1242" i="27"/>
  <c r="I1446" i="27"/>
  <c r="F1488" i="27"/>
  <c r="G1390" i="27"/>
  <c r="L1457" i="27"/>
  <c r="L1395" i="27"/>
  <c r="K1333" i="27"/>
  <c r="I1463" i="27"/>
  <c r="H1447" i="27"/>
  <c r="I1412" i="27"/>
  <c r="E1392" i="27"/>
  <c r="L1416" i="27"/>
  <c r="E1476" i="27"/>
  <c r="J1472" i="27"/>
  <c r="I1419" i="27"/>
  <c r="E1465" i="27"/>
  <c r="L1432" i="27"/>
  <c r="M1413" i="27"/>
  <c r="A1413" i="27" s="1"/>
  <c r="F1468" i="27"/>
  <c r="K1248" i="27"/>
  <c r="H1461" i="27"/>
  <c r="I1442" i="27"/>
  <c r="K1251" i="27"/>
  <c r="I1403" i="27"/>
  <c r="M1454" i="27"/>
  <c r="A1454" i="27" s="1"/>
  <c r="F1399" i="27"/>
  <c r="K1416" i="27"/>
  <c r="M1427" i="27"/>
  <c r="A1427" i="27" s="1"/>
  <c r="H1428" i="27"/>
  <c r="K1254" i="27"/>
  <c r="K1327" i="27"/>
  <c r="M1418" i="27"/>
  <c r="A1418" i="27" s="1"/>
  <c r="G1489" i="27"/>
  <c r="J1425" i="27"/>
  <c r="H1412" i="27"/>
  <c r="M1449" i="27"/>
  <c r="A1449" i="27" s="1"/>
  <c r="K1269" i="27"/>
  <c r="E1407" i="27"/>
  <c r="H1438" i="27"/>
  <c r="F1471" i="27"/>
  <c r="E1462" i="27"/>
  <c r="K1250" i="27"/>
  <c r="H1422" i="27"/>
  <c r="I1467" i="27"/>
  <c r="E1415" i="27"/>
  <c r="E1431" i="27"/>
  <c r="L1435" i="27"/>
  <c r="J1468" i="27"/>
  <c r="F1429" i="27"/>
  <c r="K1466" i="27"/>
  <c r="K1389" i="27"/>
  <c r="E1412" i="27"/>
  <c r="L1487" i="27"/>
  <c r="M1459" i="27"/>
  <c r="A1459" i="27" s="1"/>
  <c r="E1469" i="27"/>
  <c r="K1330" i="27"/>
  <c r="I1487" i="27"/>
  <c r="K1438" i="27"/>
  <c r="E1471" i="27"/>
  <c r="H1482" i="27"/>
  <c r="G1474" i="27"/>
  <c r="L1417" i="27"/>
  <c r="I1391" i="27"/>
  <c r="K1405" i="27"/>
  <c r="J1413" i="27"/>
  <c r="J1477" i="27"/>
  <c r="F1447" i="27"/>
  <c r="K1296" i="27"/>
  <c r="G1442" i="27"/>
  <c r="L1190" i="27"/>
  <c r="K1474" i="27"/>
  <c r="E1468" i="27"/>
  <c r="L1463" i="27"/>
  <c r="J1461" i="27"/>
  <c r="L1460" i="27"/>
  <c r="K1260" i="27"/>
  <c r="G1436" i="27"/>
  <c r="J1442" i="27"/>
  <c r="H1462" i="27"/>
  <c r="F1398" i="27"/>
  <c r="L1451" i="27"/>
  <c r="J1483" i="27"/>
  <c r="L1392" i="27"/>
  <c r="H1448" i="27"/>
  <c r="K1326" i="27"/>
  <c r="I1425" i="27"/>
  <c r="M1480" i="27"/>
  <c r="A1480" i="27" s="1"/>
  <c r="J1391" i="27"/>
  <c r="G1407" i="27"/>
  <c r="K1464" i="27"/>
  <c r="M1479" i="27"/>
  <c r="A1479" i="27" s="1"/>
  <c r="K1454" i="27"/>
  <c r="K1402" i="27"/>
  <c r="E1438" i="27"/>
  <c r="K1282" i="27"/>
  <c r="E1490" i="27"/>
  <c r="E1483" i="27"/>
  <c r="J1405" i="27"/>
  <c r="G1387" i="27"/>
  <c r="M1472" i="27"/>
  <c r="A1472" i="27" s="1"/>
  <c r="G1415" i="27"/>
  <c r="F1463" i="27"/>
  <c r="G1439" i="27"/>
  <c r="I1410" i="27"/>
  <c r="K1310" i="27"/>
  <c r="G1402" i="27"/>
  <c r="K1462" i="27"/>
  <c r="J1455" i="27"/>
  <c r="J1429" i="27"/>
  <c r="J1392" i="27"/>
  <c r="L1476" i="27"/>
  <c r="K1471" i="27"/>
  <c r="L1418" i="27"/>
  <c r="F1445" i="27"/>
  <c r="G1447" i="27"/>
  <c r="H1421" i="27"/>
  <c r="I1462" i="27"/>
  <c r="K1262" i="27"/>
  <c r="M1477" i="27"/>
  <c r="A1477" i="27" s="1"/>
  <c r="H1402" i="27"/>
  <c r="J1462" i="27"/>
  <c r="H1424" i="27"/>
  <c r="I1440" i="27"/>
  <c r="K1436" i="27"/>
  <c r="I1384" i="27"/>
  <c r="J1485" i="27"/>
  <c r="K1398" i="27"/>
  <c r="E1405" i="27"/>
  <c r="K1386" i="27"/>
  <c r="G1417" i="27"/>
  <c r="K1483" i="27"/>
  <c r="K1422" i="27"/>
  <c r="G1477" i="27"/>
  <c r="K1294" i="27"/>
  <c r="M1450" i="27"/>
  <c r="A1450" i="27" s="1"/>
  <c r="F1454" i="27"/>
  <c r="H1445" i="27"/>
  <c r="E1388" i="27"/>
  <c r="L1406" i="27"/>
  <c r="F1416" i="27"/>
  <c r="K1270" i="27"/>
  <c r="E1488" i="27"/>
  <c r="J1469" i="27"/>
  <c r="G1482" i="27"/>
  <c r="G1419" i="27"/>
  <c r="J1448" i="27"/>
  <c r="E1458" i="27"/>
  <c r="H1385" i="27"/>
  <c r="K1280" i="27"/>
  <c r="M1487" i="27"/>
  <c r="A1487" i="27" s="1"/>
  <c r="J1421" i="27"/>
  <c r="E1414" i="27"/>
  <c r="M1442" i="27"/>
  <c r="A1442" i="27" s="1"/>
  <c r="I1478" i="27"/>
  <c r="E1447" i="27"/>
  <c r="K1340" i="27"/>
  <c r="H1459" i="27"/>
  <c r="K1238" i="27"/>
  <c r="K1481" i="27"/>
  <c r="H1478" i="27"/>
  <c r="H1441" i="27"/>
  <c r="F1392" i="27"/>
  <c r="K1470" i="27"/>
  <c r="K1256" i="27"/>
  <c r="G1392" i="27"/>
  <c r="I1427" i="27"/>
  <c r="E1484" i="27"/>
  <c r="L1478" i="27"/>
  <c r="K1414" i="27"/>
  <c r="L1408" i="27"/>
  <c r="L1431" i="27"/>
  <c r="E1419" i="27"/>
  <c r="F1475" i="27"/>
  <c r="K1246" i="27"/>
  <c r="AW27" i="30"/>
  <c r="C277" i="39"/>
  <c r="F250" i="39"/>
  <c r="AZ25" i="30"/>
  <c r="BB25" i="30" s="1"/>
  <c r="BC25" i="30" s="1"/>
  <c r="BH25" i="30" s="1"/>
  <c r="BJ25" i="30" s="1"/>
  <c r="AO25" i="30" s="1"/>
  <c r="J495" i="41"/>
  <c r="CD43" i="33"/>
  <c r="CF43" i="33" s="1"/>
  <c r="CG43" i="33" s="1"/>
  <c r="BO43" i="33" s="1"/>
  <c r="BQ43" i="33" s="1"/>
  <c r="BS43" i="33" s="1"/>
  <c r="BB43" i="33" s="1"/>
  <c r="A3557" i="27"/>
  <c r="A378" i="27"/>
  <c r="A178" i="27"/>
  <c r="T178" i="27" s="1"/>
  <c r="A3353" i="27"/>
  <c r="A502" i="27"/>
  <c r="A136" i="27"/>
  <c r="T136" i="27" s="1"/>
  <c r="CA13" i="33"/>
  <c r="G75" i="41"/>
  <c r="E2103" i="27"/>
  <c r="AW33" i="30"/>
  <c r="C358" i="39"/>
  <c r="A442" i="27"/>
  <c r="A444" i="27"/>
  <c r="A191" i="27"/>
  <c r="T191" i="27" s="1"/>
  <c r="E1037" i="27"/>
  <c r="A3502" i="27"/>
  <c r="J523" i="41"/>
  <c r="CD45" i="33"/>
  <c r="F412" i="40"/>
  <c r="BL37" i="31"/>
  <c r="BN37" i="31" s="1"/>
  <c r="BO37" i="31" s="1"/>
  <c r="A360" i="27"/>
  <c r="A425" i="27"/>
  <c r="A437" i="27"/>
  <c r="A3697" i="27"/>
  <c r="A152" i="27"/>
  <c r="T152" i="27" s="1"/>
  <c r="A3548" i="27"/>
  <c r="A3479" i="27"/>
  <c r="A3687" i="27"/>
  <c r="CC33" i="33"/>
  <c r="I355" i="41"/>
  <c r="C271" i="41"/>
  <c r="BW27" i="33"/>
  <c r="BW55" i="33"/>
  <c r="C663" i="41"/>
  <c r="G358" i="39"/>
  <c r="BA33" i="30"/>
  <c r="G775" i="41"/>
  <c r="CA63" i="33"/>
  <c r="A141" i="27"/>
  <c r="T141" i="27" s="1"/>
  <c r="F34" i="40"/>
  <c r="BL9" i="31"/>
  <c r="A3423" i="27"/>
  <c r="A135" i="27"/>
  <c r="T135" i="27" s="1"/>
  <c r="BA27" i="30"/>
  <c r="G277" i="39"/>
  <c r="A3447" i="27"/>
  <c r="C187" i="41"/>
  <c r="BW21" i="33"/>
  <c r="A436" i="27"/>
  <c r="A3696" i="27"/>
  <c r="J551" i="41"/>
  <c r="CD47" i="33"/>
  <c r="G88" i="40"/>
  <c r="BM13" i="31"/>
  <c r="BN13" i="31" s="1"/>
  <c r="BO13" i="31" s="1"/>
  <c r="A403" i="27"/>
  <c r="I271" i="41"/>
  <c r="CC27" i="33"/>
  <c r="BW37" i="33"/>
  <c r="C411" i="41"/>
  <c r="A3361" i="27"/>
  <c r="C439" i="41"/>
  <c r="BW39" i="33"/>
  <c r="BK31" i="31"/>
  <c r="BN31" i="31" s="1"/>
  <c r="BO31" i="31" s="1"/>
  <c r="E331" i="40"/>
  <c r="J47" i="41"/>
  <c r="CD11" i="33"/>
  <c r="K579" i="41"/>
  <c r="CE49" i="33"/>
  <c r="CD39" i="33"/>
  <c r="J439" i="41"/>
  <c r="F304" i="39"/>
  <c r="AZ29" i="30"/>
  <c r="D304" i="39"/>
  <c r="AX29" i="30"/>
  <c r="A2805" i="27"/>
  <c r="M249" i="27"/>
  <c r="A249" i="27" s="1"/>
  <c r="AZ27" i="30"/>
  <c r="F277" i="39"/>
  <c r="J159" i="41"/>
  <c r="CD19" i="33"/>
  <c r="A212" i="27"/>
  <c r="T212" i="27" s="1"/>
  <c r="A3692" i="27"/>
  <c r="G523" i="41"/>
  <c r="CA45" i="33"/>
  <c r="J719" i="41"/>
  <c r="CD59" i="33"/>
  <c r="CE47" i="33"/>
  <c r="K551" i="41"/>
  <c r="CE11" i="33"/>
  <c r="K47" i="41"/>
  <c r="CB65" i="33"/>
  <c r="H803" i="41"/>
  <c r="F411" i="41"/>
  <c r="BZ37" i="33"/>
  <c r="A3640" i="27"/>
  <c r="A140" i="27"/>
  <c r="T140" i="27" s="1"/>
  <c r="A183" i="27"/>
  <c r="T183" i="27" s="1"/>
  <c r="K383" i="41"/>
  <c r="CE35" i="33"/>
  <c r="A166" i="27"/>
  <c r="T166" i="27" s="1"/>
  <c r="D358" i="40"/>
  <c r="BJ33" i="31"/>
  <c r="A3637" i="27"/>
  <c r="A3356" i="27"/>
  <c r="BG19" i="30"/>
  <c r="BE19" i="30" s="1"/>
  <c r="AZ19" i="30"/>
  <c r="F169" i="39"/>
  <c r="A3568" i="27"/>
  <c r="A414" i="27"/>
  <c r="A3614" i="27"/>
  <c r="E2105" i="27"/>
  <c r="A3493" i="27"/>
  <c r="A3569" i="27"/>
  <c r="CA35" i="33"/>
  <c r="G383" i="41"/>
  <c r="A3665" i="27"/>
  <c r="A3481" i="27"/>
  <c r="E2099" i="27"/>
  <c r="J19" i="41"/>
  <c r="CD9" i="33"/>
  <c r="I131" i="41"/>
  <c r="CC17" i="33"/>
  <c r="J504" i="27"/>
  <c r="A504" i="27" s="1"/>
  <c r="A213" i="27"/>
  <c r="T213" i="27" s="1"/>
  <c r="A408" i="27"/>
  <c r="C635" i="41"/>
  <c r="BW53" i="33"/>
  <c r="CE63" i="33"/>
  <c r="K775" i="41"/>
  <c r="A149" i="27"/>
  <c r="T149" i="27" s="1"/>
  <c r="E2098" i="27"/>
  <c r="A3508" i="27"/>
  <c r="A3587" i="27"/>
  <c r="A3424" i="27"/>
  <c r="A364" i="27"/>
  <c r="BY57" i="33"/>
  <c r="CF57" i="33" s="1"/>
  <c r="CG57" i="33" s="1"/>
  <c r="BO57" i="33" s="1"/>
  <c r="BQ57" i="33" s="1"/>
  <c r="BS57" i="33" s="1"/>
  <c r="BB57" i="33" s="1"/>
  <c r="E691" i="41"/>
  <c r="CB31" i="33"/>
  <c r="CF31" i="33" s="1"/>
  <c r="CG31" i="33" s="1"/>
  <c r="BO31" i="33" s="1"/>
  <c r="BQ31" i="33" s="1"/>
  <c r="BS31" i="33" s="1"/>
  <c r="BB31" i="33" s="1"/>
  <c r="H327" i="41"/>
  <c r="J1099" i="27"/>
  <c r="I1070" i="27"/>
  <c r="E1131" i="27"/>
  <c r="J1144" i="27"/>
  <c r="H1150" i="27"/>
  <c r="E1097" i="27"/>
  <c r="J1103" i="27"/>
  <c r="L1179" i="27"/>
  <c r="J1075" i="27"/>
  <c r="K1046" i="27"/>
  <c r="J1081" i="27"/>
  <c r="I1156" i="27"/>
  <c r="I1160" i="27"/>
  <c r="E886" i="27"/>
  <c r="L1149" i="27"/>
  <c r="J1094" i="27"/>
  <c r="K1045" i="27"/>
  <c r="L1176" i="27"/>
  <c r="G1106" i="27"/>
  <c r="L1106" i="27"/>
  <c r="I1048" i="27"/>
  <c r="K1127" i="27"/>
  <c r="K1001" i="27"/>
  <c r="H1086" i="27"/>
  <c r="K1116" i="27"/>
  <c r="E1154" i="27"/>
  <c r="I1043" i="27"/>
  <c r="K926" i="27"/>
  <c r="E1067" i="27"/>
  <c r="K1059" i="27"/>
  <c r="L1125" i="27"/>
  <c r="K1177" i="27"/>
  <c r="E1047" i="27"/>
  <c r="K1055" i="27"/>
  <c r="H1095" i="27"/>
  <c r="I1134" i="27"/>
  <c r="H1053" i="27"/>
  <c r="I1111" i="27"/>
  <c r="K1119" i="27"/>
  <c r="L1083" i="27"/>
  <c r="H1074" i="27"/>
  <c r="G1099" i="27"/>
  <c r="H1181" i="27"/>
  <c r="L1048" i="27"/>
  <c r="J1056" i="27"/>
  <c r="E1166" i="27"/>
  <c r="L1111" i="27"/>
  <c r="K971" i="27"/>
  <c r="H1136" i="27"/>
  <c r="I1056" i="27"/>
  <c r="J1079" i="27"/>
  <c r="K1184" i="27"/>
  <c r="H1121" i="27"/>
  <c r="H1186" i="27"/>
  <c r="G1180" i="27"/>
  <c r="J1180" i="27"/>
  <c r="L1169" i="27"/>
  <c r="I1140" i="27"/>
  <c r="K1114" i="27"/>
  <c r="H1179" i="27"/>
  <c r="J1136" i="27"/>
  <c r="M1172" i="27"/>
  <c r="A1172" i="27" s="1"/>
  <c r="M1146" i="27"/>
  <c r="A1146" i="27" s="1"/>
  <c r="K925" i="27"/>
  <c r="K1154" i="27"/>
  <c r="H886" i="27"/>
  <c r="K1125" i="27"/>
  <c r="I1174" i="27"/>
  <c r="L1155" i="27"/>
  <c r="J1154" i="27"/>
  <c r="E1065" i="27"/>
  <c r="J1115" i="27"/>
  <c r="K1113" i="27"/>
  <c r="H1073" i="27"/>
  <c r="K1035" i="27"/>
  <c r="K996" i="27"/>
  <c r="G1120" i="27"/>
  <c r="I1041" i="27"/>
  <c r="K1013" i="27"/>
  <c r="J1044" i="27"/>
  <c r="E1120" i="27"/>
  <c r="G1094" i="27"/>
  <c r="J1137" i="27"/>
  <c r="H1047" i="27"/>
  <c r="K1132" i="27"/>
  <c r="E1128" i="27"/>
  <c r="K1124" i="27"/>
  <c r="G1105" i="27"/>
  <c r="L1094" i="27"/>
  <c r="G1149" i="27"/>
  <c r="H1071" i="27"/>
  <c r="L1093" i="27"/>
  <c r="K964" i="27"/>
  <c r="J1084" i="27"/>
  <c r="K1060" i="27"/>
  <c r="J1138" i="27"/>
  <c r="H1070" i="27"/>
  <c r="K1106" i="27"/>
  <c r="H1125" i="27"/>
  <c r="H1052" i="27"/>
  <c r="H1080" i="27"/>
  <c r="K1063" i="27"/>
  <c r="H1147" i="27"/>
  <c r="L1175" i="27"/>
  <c r="J1073" i="27"/>
  <c r="I1175" i="27"/>
  <c r="G1119" i="27"/>
  <c r="J1083" i="27"/>
  <c r="K1102" i="27"/>
  <c r="E1060" i="27"/>
  <c r="L1122" i="27"/>
  <c r="H1040" i="27"/>
  <c r="K1092" i="27"/>
  <c r="K1015" i="27"/>
  <c r="G1055" i="27"/>
  <c r="K1172" i="27"/>
  <c r="K972" i="27"/>
  <c r="E1059" i="27"/>
  <c r="L1041" i="27"/>
  <c r="L1130" i="27"/>
  <c r="L1174" i="27"/>
  <c r="I1071" i="27"/>
  <c r="L1050" i="27"/>
  <c r="K999" i="27"/>
  <c r="H1144" i="27"/>
  <c r="G1040" i="27"/>
  <c r="K1150" i="27"/>
  <c r="K959" i="27"/>
  <c r="L1121" i="27"/>
  <c r="E1153" i="27"/>
  <c r="L1152" i="27"/>
  <c r="J1057" i="27"/>
  <c r="L1177" i="27"/>
  <c r="G1155" i="27"/>
  <c r="H1174" i="27"/>
  <c r="H1155" i="27"/>
  <c r="H1057" i="27"/>
  <c r="I1073" i="27"/>
  <c r="K1022" i="27"/>
  <c r="G1085" i="27"/>
  <c r="I1150" i="27"/>
  <c r="G1146" i="27"/>
  <c r="H1183" i="27"/>
  <c r="H1090" i="27"/>
  <c r="J1174" i="27"/>
  <c r="J1108" i="27"/>
  <c r="K1012" i="27"/>
  <c r="H1046" i="27"/>
  <c r="G1151" i="27"/>
  <c r="E1094" i="27"/>
  <c r="J1166" i="27"/>
  <c r="K1034" i="27"/>
  <c r="I1184" i="27"/>
  <c r="M1140" i="27"/>
  <c r="A1140" i="27" s="1"/>
  <c r="G1076" i="27"/>
  <c r="K1144" i="27"/>
  <c r="K989" i="27"/>
  <c r="J1142" i="27"/>
  <c r="G1185" i="27"/>
  <c r="K1010" i="27"/>
  <c r="K1097" i="27"/>
  <c r="G1184" i="27"/>
  <c r="J1120" i="27"/>
  <c r="L1081" i="27"/>
  <c r="J1066" i="27"/>
  <c r="K974" i="27"/>
  <c r="G1169" i="27"/>
  <c r="L1087" i="27"/>
  <c r="I1095" i="27"/>
  <c r="G1111" i="27"/>
  <c r="L1114" i="27"/>
  <c r="J1098" i="27"/>
  <c r="K1040" i="27"/>
  <c r="J1127" i="27"/>
  <c r="J1076" i="27"/>
  <c r="L1100" i="27"/>
  <c r="H1042" i="27"/>
  <c r="J1109" i="27"/>
  <c r="I1072" i="27"/>
  <c r="L1140" i="27"/>
  <c r="E1165" i="27"/>
  <c r="L1126" i="27"/>
  <c r="M1160" i="27"/>
  <c r="A1160" i="27" s="1"/>
  <c r="K1148" i="27"/>
  <c r="K990" i="27"/>
  <c r="G1126" i="27"/>
  <c r="I1153" i="27"/>
  <c r="J1101" i="27"/>
  <c r="K935" i="27"/>
  <c r="H1163" i="27"/>
  <c r="G1042" i="27"/>
  <c r="G1128" i="27"/>
  <c r="H1091" i="27"/>
  <c r="H1111" i="27"/>
  <c r="I1161" i="27"/>
  <c r="L1055" i="27"/>
  <c r="L1068" i="27"/>
  <c r="K967" i="27"/>
  <c r="J1143" i="27"/>
  <c r="L1069" i="27"/>
  <c r="J1177" i="27"/>
  <c r="E1041" i="27"/>
  <c r="M1144" i="27"/>
  <c r="A1144" i="27" s="1"/>
  <c r="H1087" i="27"/>
  <c r="L1060" i="27"/>
  <c r="I1082" i="27"/>
  <c r="K931" i="27"/>
  <c r="J1130" i="27"/>
  <c r="L1142" i="27"/>
  <c r="K994" i="27"/>
  <c r="L886" i="27"/>
  <c r="G1059" i="27"/>
  <c r="E1157" i="27"/>
  <c r="E1105" i="27"/>
  <c r="K1016" i="27"/>
  <c r="G1116" i="27"/>
  <c r="H1049" i="27"/>
  <c r="G1130" i="27"/>
  <c r="K1019" i="27"/>
  <c r="L1109" i="27"/>
  <c r="J1176" i="27"/>
  <c r="J1153" i="27"/>
  <c r="H1079" i="27"/>
  <c r="I1089" i="27"/>
  <c r="K975" i="27"/>
  <c r="K1073" i="27"/>
  <c r="K1137" i="27"/>
  <c r="I1115" i="27"/>
  <c r="E1181" i="27"/>
  <c r="K912" i="27"/>
  <c r="K1115" i="27"/>
  <c r="H1058" i="27"/>
  <c r="K1109" i="27"/>
  <c r="E1186" i="27"/>
  <c r="K1069" i="27"/>
  <c r="I1086" i="27"/>
  <c r="K1149" i="27"/>
  <c r="I1040" i="27"/>
  <c r="K1050" i="27"/>
  <c r="G1165" i="27"/>
  <c r="E1113" i="27"/>
  <c r="L1105" i="27"/>
  <c r="G1088" i="27"/>
  <c r="K1186" i="27"/>
  <c r="L1065" i="27"/>
  <c r="H1170" i="27"/>
  <c r="G1183" i="27"/>
  <c r="K1104" i="27"/>
  <c r="G1081" i="27"/>
  <c r="I1079" i="27"/>
  <c r="G1148" i="27"/>
  <c r="K929" i="27"/>
  <c r="J1145" i="27"/>
  <c r="E1046" i="27"/>
  <c r="L1148" i="27"/>
  <c r="E1103" i="27"/>
  <c r="E1155" i="27"/>
  <c r="G1162" i="27"/>
  <c r="J1086" i="27"/>
  <c r="K1085" i="27"/>
  <c r="J1116" i="27"/>
  <c r="L1108" i="27"/>
  <c r="K966" i="27"/>
  <c r="M1145" i="27"/>
  <c r="A1145" i="27" s="1"/>
  <c r="I1137" i="27"/>
  <c r="I1186" i="27"/>
  <c r="E1048" i="27"/>
  <c r="E1039" i="27"/>
  <c r="H1182" i="27"/>
  <c r="K1112" i="27"/>
  <c r="J1163" i="27"/>
  <c r="K1107" i="27"/>
  <c r="G1065" i="27"/>
  <c r="I1102" i="27"/>
  <c r="M1153" i="27"/>
  <c r="A1153" i="27" s="1"/>
  <c r="I1169" i="27"/>
  <c r="J1078" i="27"/>
  <c r="H1133" i="27"/>
  <c r="L1166" i="27"/>
  <c r="M1156" i="27"/>
  <c r="A1156" i="27" s="1"/>
  <c r="H1039" i="27"/>
  <c r="H1157" i="27"/>
  <c r="G1164" i="27"/>
  <c r="I1151" i="27"/>
  <c r="J1049" i="27"/>
  <c r="K1131" i="27"/>
  <c r="L1183" i="27"/>
  <c r="J1106" i="27"/>
  <c r="K998" i="27"/>
  <c r="I1055" i="27"/>
  <c r="E1072" i="27"/>
  <c r="I1138" i="27"/>
  <c r="H1117" i="27"/>
  <c r="L1118" i="27"/>
  <c r="J1178" i="27"/>
  <c r="I1109" i="27"/>
  <c r="L1124" i="27"/>
  <c r="J1155" i="27"/>
  <c r="J1172" i="27"/>
  <c r="H1132" i="27"/>
  <c r="G1053" i="27"/>
  <c r="K1018" i="27"/>
  <c r="K948" i="27"/>
  <c r="G1064" i="27"/>
  <c r="K1165" i="27"/>
  <c r="H1059" i="27"/>
  <c r="L1042" i="27"/>
  <c r="E1163" i="27"/>
  <c r="E1141" i="27"/>
  <c r="H1089" i="27"/>
  <c r="K1129" i="27"/>
  <c r="K955" i="27"/>
  <c r="G1125" i="27"/>
  <c r="K1163" i="27"/>
  <c r="L1138" i="27"/>
  <c r="L1089" i="27"/>
  <c r="G1160" i="27"/>
  <c r="G1121" i="27"/>
  <c r="K1120" i="27"/>
  <c r="G1107" i="27"/>
  <c r="K1157" i="27"/>
  <c r="L1095" i="27"/>
  <c r="K953" i="27"/>
  <c r="G1052" i="27"/>
  <c r="G1137" i="27"/>
  <c r="H1148" i="27"/>
  <c r="M1175" i="27"/>
  <c r="A1175" i="27" s="1"/>
  <c r="L1147" i="27"/>
  <c r="K960" i="27"/>
  <c r="L1157" i="27"/>
  <c r="H1120" i="27"/>
  <c r="I1164" i="27"/>
  <c r="K976" i="27"/>
  <c r="E1175" i="27"/>
  <c r="L1056" i="27"/>
  <c r="G1156" i="27"/>
  <c r="I1132" i="27"/>
  <c r="I1143" i="27"/>
  <c r="H1128" i="27"/>
  <c r="I1075" i="27"/>
  <c r="I1129" i="27"/>
  <c r="J1162" i="27"/>
  <c r="K1031" i="27"/>
  <c r="K977" i="27"/>
  <c r="I1162" i="27"/>
  <c r="G1078" i="27"/>
  <c r="L1062" i="27"/>
  <c r="H1107" i="27"/>
  <c r="J1061" i="27"/>
  <c r="I1178" i="27"/>
  <c r="L1129" i="27"/>
  <c r="H1153" i="27"/>
  <c r="G1108" i="27"/>
  <c r="G1144" i="27"/>
  <c r="K913" i="27"/>
  <c r="E1151" i="27"/>
  <c r="J1124" i="27"/>
  <c r="K1044" i="27"/>
  <c r="K984" i="27"/>
  <c r="L1115" i="27"/>
  <c r="L1132" i="27"/>
  <c r="K1052" i="27"/>
  <c r="K914" i="27"/>
  <c r="I1093" i="27"/>
  <c r="K1105" i="27"/>
  <c r="K1173" i="27"/>
  <c r="I1047" i="27"/>
  <c r="I1149" i="27"/>
  <c r="E1139" i="27"/>
  <c r="K1151" i="27"/>
  <c r="J1062" i="27"/>
  <c r="E1110" i="27"/>
  <c r="G1066" i="27"/>
  <c r="G1041" i="27"/>
  <c r="J1074" i="27"/>
  <c r="H1156" i="27"/>
  <c r="K892" i="27"/>
  <c r="I1078" i="27"/>
  <c r="H1168" i="27"/>
  <c r="J1146" i="27"/>
  <c r="L1173" i="27"/>
  <c r="J1091" i="27"/>
  <c r="E1108" i="27"/>
  <c r="J1135" i="27"/>
  <c r="K1047" i="27"/>
  <c r="I1045" i="27"/>
  <c r="E1066" i="27"/>
  <c r="H1055" i="27"/>
  <c r="K1183" i="27"/>
  <c r="L1164" i="27"/>
  <c r="G1095" i="27"/>
  <c r="K1130" i="27"/>
  <c r="K936" i="27"/>
  <c r="G1142" i="27"/>
  <c r="H1067" i="27"/>
  <c r="K1099" i="27"/>
  <c r="K1181" i="27"/>
  <c r="E1183" i="27"/>
  <c r="K1072" i="27"/>
  <c r="L1082" i="27"/>
  <c r="H1154" i="27"/>
  <c r="E1161" i="27"/>
  <c r="H1064" i="27"/>
  <c r="E1064" i="27"/>
  <c r="K1170" i="27"/>
  <c r="E1162" i="27"/>
  <c r="H1124" i="27"/>
  <c r="E1052" i="27"/>
  <c r="I1046" i="27"/>
  <c r="I1144" i="27"/>
  <c r="I1106" i="27"/>
  <c r="G1075" i="27"/>
  <c r="K1049" i="27"/>
  <c r="M1043" i="27"/>
  <c r="A1043" i="27" s="1"/>
  <c r="L1097" i="27"/>
  <c r="I1066" i="27"/>
  <c r="H1066" i="27"/>
  <c r="K894" i="27"/>
  <c r="L1139" i="27"/>
  <c r="J1132" i="27"/>
  <c r="J1092" i="27"/>
  <c r="K1008" i="27"/>
  <c r="M1168" i="27"/>
  <c r="A1168" i="27" s="1"/>
  <c r="H1044" i="27"/>
  <c r="E1071" i="27"/>
  <c r="H1158" i="27"/>
  <c r="L1120" i="27"/>
  <c r="E1124" i="27"/>
  <c r="K1128" i="27"/>
  <c r="K1164" i="27"/>
  <c r="K1101" i="27"/>
  <c r="K950" i="27"/>
  <c r="E1057" i="27"/>
  <c r="H1119" i="27"/>
  <c r="H1109" i="27"/>
  <c r="K1162" i="27"/>
  <c r="H1160" i="27"/>
  <c r="I1054" i="27"/>
  <c r="J1113" i="27"/>
  <c r="K900" i="27"/>
  <c r="E1171" i="27"/>
  <c r="E1102" i="27"/>
  <c r="G1074" i="27"/>
  <c r="E1133" i="27"/>
  <c r="J1152" i="27"/>
  <c r="I1142" i="27"/>
  <c r="E1112" i="27"/>
  <c r="I1051" i="27"/>
  <c r="E1091" i="27"/>
  <c r="H1051" i="27"/>
  <c r="L1054" i="27"/>
  <c r="L1153" i="27"/>
  <c r="I1170" i="27"/>
  <c r="H1141" i="27"/>
  <c r="L1181" i="27"/>
  <c r="H1098" i="27"/>
  <c r="H1068" i="27"/>
  <c r="G1168" i="27"/>
  <c r="L1133" i="27"/>
  <c r="E1081" i="27"/>
  <c r="J1151" i="27"/>
  <c r="G1134" i="27"/>
  <c r="J1110" i="27"/>
  <c r="G1145" i="27"/>
  <c r="J1080" i="27"/>
  <c r="L1127" i="27"/>
  <c r="L1080" i="27"/>
  <c r="I1112" i="27"/>
  <c r="K1145" i="27"/>
  <c r="G1071" i="27"/>
  <c r="K1077" i="27"/>
  <c r="I1168" i="27"/>
  <c r="K1159" i="27"/>
  <c r="M1154" i="27"/>
  <c r="A1154" i="27" s="1"/>
  <c r="K954" i="27"/>
  <c r="E1168" i="27"/>
  <c r="I1171" i="27"/>
  <c r="L1112" i="27"/>
  <c r="G1045" i="27"/>
  <c r="H1061" i="27"/>
  <c r="K1117" i="27"/>
  <c r="G1167" i="27"/>
  <c r="J1168" i="27"/>
  <c r="E1160" i="27"/>
  <c r="H1045" i="27"/>
  <c r="G1102" i="27"/>
  <c r="E1089" i="27"/>
  <c r="M1143" i="27"/>
  <c r="A1143" i="27" s="1"/>
  <c r="L1167" i="27"/>
  <c r="J1045" i="27"/>
  <c r="H1149" i="27"/>
  <c r="H1116" i="27"/>
  <c r="E1118" i="27"/>
  <c r="H1134" i="27"/>
  <c r="E1140" i="27"/>
  <c r="L1172" i="27"/>
  <c r="M1166" i="27"/>
  <c r="A1166" i="27" s="1"/>
  <c r="E1107" i="27"/>
  <c r="J1141" i="27"/>
  <c r="H1092" i="27"/>
  <c r="E1172" i="27"/>
  <c r="G1140" i="27"/>
  <c r="K895" i="27"/>
  <c r="G1123" i="27"/>
  <c r="K1123" i="27"/>
  <c r="K962" i="27"/>
  <c r="G1089" i="27"/>
  <c r="L1168" i="27"/>
  <c r="I1057" i="27"/>
  <c r="H1096" i="27"/>
  <c r="K1088" i="27"/>
  <c r="E1184" i="27"/>
  <c r="I1059" i="27"/>
  <c r="L1128" i="27"/>
  <c r="H1065" i="27"/>
  <c r="J1112" i="27"/>
  <c r="H1180" i="27"/>
  <c r="I1084" i="27"/>
  <c r="G1175" i="27"/>
  <c r="J1096" i="27"/>
  <c r="E1055" i="27"/>
  <c r="K1006" i="27"/>
  <c r="H1169" i="27"/>
  <c r="E1138" i="27"/>
  <c r="K1053" i="27"/>
  <c r="E1116" i="27"/>
  <c r="K1027" i="27"/>
  <c r="L1067" i="27"/>
  <c r="K951" i="27"/>
  <c r="K1039" i="27"/>
  <c r="K1056" i="27"/>
  <c r="I1146" i="27"/>
  <c r="E1095" i="27"/>
  <c r="K978" i="27"/>
  <c r="L1044" i="27"/>
  <c r="K918" i="27"/>
  <c r="G1070" i="27"/>
  <c r="I1119" i="27"/>
  <c r="I1145" i="27"/>
  <c r="K1005" i="27"/>
  <c r="E1134" i="27"/>
  <c r="K1152" i="27"/>
  <c r="K1029" i="27"/>
  <c r="K915" i="27"/>
  <c r="K1091" i="27"/>
  <c r="K901" i="27"/>
  <c r="E1061" i="27"/>
  <c r="K1174" i="27"/>
  <c r="L1059" i="27"/>
  <c r="G1181" i="27"/>
  <c r="I1141" i="27"/>
  <c r="K1155" i="27"/>
  <c r="G1154" i="27"/>
  <c r="H1084" i="27"/>
  <c r="E1074" i="27"/>
  <c r="G1084" i="27"/>
  <c r="H1103" i="27"/>
  <c r="K1161" i="27"/>
  <c r="I1092" i="27"/>
  <c r="K1042" i="27"/>
  <c r="G1132" i="27"/>
  <c r="K968" i="27"/>
  <c r="J1048" i="27"/>
  <c r="G1098" i="27"/>
  <c r="M1044" i="27"/>
  <c r="A1044" i="27" s="1"/>
  <c r="I1042" i="27"/>
  <c r="H1137" i="27"/>
  <c r="J1102" i="27"/>
  <c r="H1099" i="27"/>
  <c r="G1122" i="27"/>
  <c r="E1158" i="27"/>
  <c r="K1153" i="27"/>
  <c r="E1068" i="27"/>
  <c r="E1096" i="27"/>
  <c r="I1097" i="27"/>
  <c r="K1066" i="27"/>
  <c r="E1082" i="27"/>
  <c r="I1114" i="27"/>
  <c r="L1162" i="27"/>
  <c r="G1147" i="27"/>
  <c r="K1094" i="27"/>
  <c r="H1075" i="27"/>
  <c r="K930" i="27"/>
  <c r="G1182" i="27"/>
  <c r="G1176" i="27"/>
  <c r="G1046" i="27"/>
  <c r="G1061" i="27"/>
  <c r="K920" i="27"/>
  <c r="K1122" i="27"/>
  <c r="E1088" i="27"/>
  <c r="I1136" i="27"/>
  <c r="E1185" i="27"/>
  <c r="K1179" i="27"/>
  <c r="I1173" i="27"/>
  <c r="G1124" i="27"/>
  <c r="E1109" i="27"/>
  <c r="L1151" i="27"/>
  <c r="K1133" i="27"/>
  <c r="H1043" i="27"/>
  <c r="H1185" i="27"/>
  <c r="H1171" i="27"/>
  <c r="E1101" i="27"/>
  <c r="G1039" i="27"/>
  <c r="G1112" i="27"/>
  <c r="K890" i="27"/>
  <c r="J1131" i="27"/>
  <c r="K1071" i="27"/>
  <c r="J1055" i="27"/>
  <c r="H1083" i="27"/>
  <c r="J1100" i="27"/>
  <c r="G1096" i="27"/>
  <c r="G1086" i="27"/>
  <c r="J1183" i="27"/>
  <c r="L1110" i="27"/>
  <c r="K919" i="27"/>
  <c r="H1177" i="27"/>
  <c r="L1163" i="27"/>
  <c r="J1058" i="27"/>
  <c r="G1062" i="27"/>
  <c r="L1078" i="27"/>
  <c r="J1148" i="27"/>
  <c r="L1180" i="27"/>
  <c r="K1020" i="27"/>
  <c r="L1156" i="27"/>
  <c r="M1158" i="27"/>
  <c r="A1158" i="27" s="1"/>
  <c r="K1014" i="27"/>
  <c r="E1111" i="27"/>
  <c r="K1057" i="27"/>
  <c r="E1125" i="27"/>
  <c r="E1056" i="27"/>
  <c r="G1170" i="27"/>
  <c r="E1182" i="27"/>
  <c r="K1048" i="27"/>
  <c r="J1165" i="27"/>
  <c r="I1094" i="27"/>
  <c r="K928" i="27"/>
  <c r="K970" i="27"/>
  <c r="K1158" i="27"/>
  <c r="E1137" i="27"/>
  <c r="G1139" i="27"/>
  <c r="L1064" i="27"/>
  <c r="J1123" i="27"/>
  <c r="J1119" i="27"/>
  <c r="J1087" i="27"/>
  <c r="J1039" i="27"/>
  <c r="M1152" i="27"/>
  <c r="A1152" i="27" s="1"/>
  <c r="I1120" i="27"/>
  <c r="J1067" i="27"/>
  <c r="E1142" i="27"/>
  <c r="L1161" i="27"/>
  <c r="L1101" i="27"/>
  <c r="K961" i="27"/>
  <c r="K1176" i="27"/>
  <c r="G1103" i="27"/>
  <c r="K1095" i="27"/>
  <c r="J1185" i="27"/>
  <c r="J1179" i="27"/>
  <c r="E1079" i="27"/>
  <c r="K947" i="27"/>
  <c r="L1119" i="27"/>
  <c r="I1163" i="27"/>
  <c r="G1044" i="27"/>
  <c r="L1171" i="27"/>
  <c r="G1060" i="27"/>
  <c r="I1103" i="27"/>
  <c r="K952" i="27"/>
  <c r="H1165" i="27"/>
  <c r="J1128" i="27"/>
  <c r="J1111" i="27"/>
  <c r="H1041" i="27"/>
  <c r="J1147" i="27"/>
  <c r="M1165" i="27"/>
  <c r="A1165" i="27" s="1"/>
  <c r="I1099" i="27"/>
  <c r="H1173" i="27"/>
  <c r="K1108" i="27"/>
  <c r="G886" i="27"/>
  <c r="H1106" i="27"/>
  <c r="L1061" i="27"/>
  <c r="I1113" i="27"/>
  <c r="L1145" i="27"/>
  <c r="I1122" i="27"/>
  <c r="I886" i="27"/>
  <c r="H1102" i="27"/>
  <c r="E1132" i="27"/>
  <c r="J1059" i="27"/>
  <c r="K973" i="27"/>
  <c r="G1158" i="27"/>
  <c r="K957" i="27"/>
  <c r="K933" i="27"/>
  <c r="H1115" i="27"/>
  <c r="L1158" i="27"/>
  <c r="M1157" i="27"/>
  <c r="A1157" i="27" s="1"/>
  <c r="L1090" i="27"/>
  <c r="K934" i="27"/>
  <c r="M1174" i="27"/>
  <c r="A1174" i="27" s="1"/>
  <c r="J1181" i="27"/>
  <c r="I1166" i="27"/>
  <c r="K1007" i="27"/>
  <c r="K938" i="27"/>
  <c r="I1133" i="27"/>
  <c r="E1127" i="27"/>
  <c r="E1149" i="27"/>
  <c r="K923" i="27"/>
  <c r="H1172" i="27"/>
  <c r="J1157" i="27"/>
  <c r="M1142" i="27"/>
  <c r="A1142" i="27" s="1"/>
  <c r="H1076" i="27"/>
  <c r="J1156" i="27"/>
  <c r="J1095" i="27"/>
  <c r="E1058" i="27"/>
  <c r="E1063" i="27"/>
  <c r="I1091" i="27"/>
  <c r="I1165" i="27"/>
  <c r="L1086" i="27"/>
  <c r="H1152" i="27"/>
  <c r="I1081" i="27"/>
  <c r="H1105" i="27"/>
  <c r="G1104" i="27"/>
  <c r="K993" i="27"/>
  <c r="H1129" i="27"/>
  <c r="K1118" i="27"/>
  <c r="E1145" i="27"/>
  <c r="K1180" i="27"/>
  <c r="H1097" i="27"/>
  <c r="E1098" i="27"/>
  <c r="K946" i="27"/>
  <c r="G1171" i="27"/>
  <c r="E1076" i="27"/>
  <c r="I1177" i="27"/>
  <c r="L1113" i="27"/>
  <c r="H1056" i="27"/>
  <c r="G1067" i="27"/>
  <c r="J1121" i="27"/>
  <c r="I1087" i="27"/>
  <c r="L1085" i="27"/>
  <c r="M1180" i="27"/>
  <c r="A1180" i="27" s="1"/>
  <c r="G1157" i="27"/>
  <c r="M1181" i="27"/>
  <c r="A1181" i="27" s="1"/>
  <c r="I1101" i="27"/>
  <c r="M1138" i="27"/>
  <c r="A1138" i="27" s="1"/>
  <c r="K1004" i="27"/>
  <c r="L1091" i="27"/>
  <c r="E1130" i="27"/>
  <c r="G1143" i="27"/>
  <c r="H1176" i="27"/>
  <c r="J1069" i="27"/>
  <c r="K917" i="27"/>
  <c r="J1184" i="27"/>
  <c r="K1058" i="27"/>
  <c r="H1078" i="27"/>
  <c r="L1099" i="27"/>
  <c r="K1030" i="27"/>
  <c r="E1173" i="27"/>
  <c r="E1099" i="27"/>
  <c r="H1131" i="27"/>
  <c r="E1084" i="27"/>
  <c r="G1057" i="27"/>
  <c r="I1116" i="27"/>
  <c r="I1128" i="27"/>
  <c r="I1172" i="27"/>
  <c r="J1065" i="27"/>
  <c r="G1118" i="27"/>
  <c r="K1126" i="27"/>
  <c r="H1175" i="27"/>
  <c r="H1178" i="27"/>
  <c r="M1137" i="27"/>
  <c r="A1137" i="27" s="1"/>
  <c r="J1129" i="27"/>
  <c r="E1044" i="27"/>
  <c r="H1088" i="27"/>
  <c r="I1069" i="27"/>
  <c r="L1178" i="27"/>
  <c r="L1107" i="27"/>
  <c r="J1167" i="27"/>
  <c r="J1047" i="27"/>
  <c r="G1163" i="27"/>
  <c r="H1167" i="27"/>
  <c r="E1122" i="27"/>
  <c r="K1156" i="27"/>
  <c r="K995" i="27"/>
  <c r="I1118" i="27"/>
  <c r="J1050" i="27"/>
  <c r="H1060" i="27"/>
  <c r="L1066" i="27"/>
  <c r="H1085" i="27"/>
  <c r="H1108" i="27"/>
  <c r="K908" i="27"/>
  <c r="J1104" i="27"/>
  <c r="J1126" i="27"/>
  <c r="M1150" i="27"/>
  <c r="A1150" i="27" s="1"/>
  <c r="K1041" i="27"/>
  <c r="J1070" i="27"/>
  <c r="E1156" i="27"/>
  <c r="I1062" i="27"/>
  <c r="K898" i="27"/>
  <c r="I1180" i="27"/>
  <c r="G1048" i="27"/>
  <c r="H1161" i="27"/>
  <c r="H1112" i="27"/>
  <c r="H1159" i="27"/>
  <c r="E1135" i="27"/>
  <c r="H1081" i="27"/>
  <c r="G1072" i="27"/>
  <c r="K910" i="27"/>
  <c r="H1139" i="27"/>
  <c r="G1178" i="27"/>
  <c r="I1063" i="27"/>
  <c r="I1154" i="27"/>
  <c r="I1131" i="27"/>
  <c r="E1178" i="27"/>
  <c r="L1058" i="27"/>
  <c r="K1021" i="27"/>
  <c r="I1124" i="27"/>
  <c r="J1046" i="27"/>
  <c r="J1090" i="27"/>
  <c r="J1173" i="27"/>
  <c r="G1159" i="27"/>
  <c r="J1043" i="27"/>
  <c r="I1050" i="27"/>
  <c r="J886" i="27"/>
  <c r="K1140" i="27"/>
  <c r="I1125" i="27"/>
  <c r="I1067" i="27"/>
  <c r="K937" i="27"/>
  <c r="L1043" i="27"/>
  <c r="H1054" i="27"/>
  <c r="J1160" i="27"/>
  <c r="J1041" i="27"/>
  <c r="K1166" i="27"/>
  <c r="K1080" i="27"/>
  <c r="E1164" i="27"/>
  <c r="E1150" i="27"/>
  <c r="M1147" i="27"/>
  <c r="A1147" i="27" s="1"/>
  <c r="L1144" i="27"/>
  <c r="L1076" i="27"/>
  <c r="H1140" i="27"/>
  <c r="M1164" i="27"/>
  <c r="A1164" i="27" s="1"/>
  <c r="K988" i="27"/>
  <c r="K921" i="27"/>
  <c r="I1121" i="27"/>
  <c r="K1082" i="27"/>
  <c r="J1053" i="27"/>
  <c r="L1136" i="27"/>
  <c r="M1159" i="27"/>
  <c r="A1159" i="27" s="1"/>
  <c r="E1180" i="27"/>
  <c r="K897" i="27"/>
  <c r="K949" i="27"/>
  <c r="K1051" i="27"/>
  <c r="K963" i="27"/>
  <c r="L1117" i="27"/>
  <c r="G1079" i="27"/>
  <c r="E1167" i="27"/>
  <c r="K1141" i="27"/>
  <c r="K1139" i="27"/>
  <c r="G1090" i="27"/>
  <c r="K982" i="27"/>
  <c r="E1129" i="27"/>
  <c r="G1177" i="27"/>
  <c r="L1184" i="27"/>
  <c r="J1097" i="27"/>
  <c r="H1145" i="27"/>
  <c r="J1186" i="27"/>
  <c r="H1062" i="27"/>
  <c r="L1057" i="27"/>
  <c r="E1119" i="27"/>
  <c r="L1077" i="27"/>
  <c r="L1102" i="27"/>
  <c r="L1088" i="27"/>
  <c r="L1143" i="27"/>
  <c r="L1079" i="27"/>
  <c r="M1149" i="27"/>
  <c r="A1149" i="27" s="1"/>
  <c r="E1049" i="27"/>
  <c r="G1161" i="27"/>
  <c r="M1141" i="27"/>
  <c r="A1141" i="27" s="1"/>
  <c r="I1052" i="27"/>
  <c r="L1098" i="27"/>
  <c r="G1117" i="27"/>
  <c r="K1074" i="27"/>
  <c r="J1117" i="27"/>
  <c r="J1072" i="27"/>
  <c r="E1115" i="27"/>
  <c r="E1179" i="27"/>
  <c r="K1025" i="27"/>
  <c r="H1162" i="27"/>
  <c r="H1142" i="27"/>
  <c r="K980" i="27"/>
  <c r="I1080" i="27"/>
  <c r="K1075" i="27"/>
  <c r="K922" i="27"/>
  <c r="E1106" i="27"/>
  <c r="E1086" i="27"/>
  <c r="K896" i="27"/>
  <c r="M1162" i="27"/>
  <c r="A1162" i="27" s="1"/>
  <c r="H1050" i="27"/>
  <c r="L1039" i="27"/>
  <c r="E1043" i="27"/>
  <c r="I1126" i="27"/>
  <c r="K1143" i="27"/>
  <c r="I1158" i="27"/>
  <c r="G1186" i="27"/>
  <c r="M1039" i="27"/>
  <c r="A1039" i="27" s="1"/>
  <c r="J1068" i="27"/>
  <c r="H1093" i="27"/>
  <c r="L1141" i="27"/>
  <c r="G1113" i="27"/>
  <c r="L1073" i="27"/>
  <c r="I1074" i="27"/>
  <c r="L1160" i="27"/>
  <c r="K1103" i="27"/>
  <c r="E1176" i="27"/>
  <c r="M1173" i="27"/>
  <c r="A1173" i="27" s="1"/>
  <c r="I1083" i="27"/>
  <c r="L1053" i="27"/>
  <c r="J1118" i="27"/>
  <c r="G1049" i="27"/>
  <c r="M1155" i="27"/>
  <c r="A1155" i="27" s="1"/>
  <c r="G1129" i="27"/>
  <c r="G1135" i="27"/>
  <c r="K1090" i="27"/>
  <c r="J1170" i="27"/>
  <c r="K987" i="27"/>
  <c r="L1123" i="27"/>
  <c r="I1155" i="27"/>
  <c r="H1127" i="27"/>
  <c r="K906" i="27"/>
  <c r="I1065" i="27"/>
  <c r="J1149" i="27"/>
  <c r="K943" i="27"/>
  <c r="H1101" i="27"/>
  <c r="G1087" i="27"/>
  <c r="L1072" i="27"/>
  <c r="K1067" i="27"/>
  <c r="K944" i="27"/>
  <c r="K1023" i="27"/>
  <c r="K903" i="27"/>
  <c r="E1054" i="27"/>
  <c r="E1147" i="27"/>
  <c r="M1045" i="27"/>
  <c r="A1045" i="27" s="1"/>
  <c r="L1084" i="27"/>
  <c r="K1093" i="27"/>
  <c r="I1053" i="27"/>
  <c r="K886" i="27"/>
  <c r="E1170" i="27"/>
  <c r="G1127" i="27"/>
  <c r="G1110" i="27"/>
  <c r="L1040" i="27"/>
  <c r="E1177" i="27"/>
  <c r="L1159" i="27"/>
  <c r="E1073" i="27"/>
  <c r="K985" i="27"/>
  <c r="K991" i="27"/>
  <c r="I1096" i="27"/>
  <c r="E1169" i="27"/>
  <c r="K939" i="27"/>
  <c r="K1185" i="27"/>
  <c r="I1159" i="27"/>
  <c r="E1042" i="27"/>
  <c r="K1024" i="27"/>
  <c r="G1073" i="27"/>
  <c r="K1182" i="27"/>
  <c r="J1088" i="27"/>
  <c r="L1071" i="27"/>
  <c r="H1072" i="27"/>
  <c r="K942" i="27"/>
  <c r="G1043" i="27"/>
  <c r="J1114" i="27"/>
  <c r="L1165" i="27"/>
  <c r="H1184" i="27"/>
  <c r="K1011" i="27"/>
  <c r="J1122" i="27"/>
  <c r="I1167" i="27"/>
  <c r="K1036" i="27"/>
  <c r="K1087" i="27"/>
  <c r="G1051" i="27"/>
  <c r="J1082" i="27"/>
  <c r="E1093" i="27"/>
  <c r="E1040" i="27"/>
  <c r="I1061" i="27"/>
  <c r="K1009" i="27"/>
  <c r="E1080" i="27"/>
  <c r="K1076" i="27"/>
  <c r="K1121" i="27"/>
  <c r="J1139" i="27"/>
  <c r="M1163" i="27"/>
  <c r="A1163" i="27" s="1"/>
  <c r="L1150" i="27"/>
  <c r="G1166" i="27"/>
  <c r="K1160" i="27"/>
  <c r="E1104" i="27"/>
  <c r="E1083" i="27"/>
  <c r="L1146" i="27"/>
  <c r="I1152" i="27"/>
  <c r="I1135" i="27"/>
  <c r="K1002" i="27"/>
  <c r="J1051" i="27"/>
  <c r="J1063" i="27"/>
  <c r="G1101" i="27"/>
  <c r="I1100" i="27"/>
  <c r="E1146" i="27"/>
  <c r="K1000" i="27"/>
  <c r="H1114" i="27"/>
  <c r="K891" i="27"/>
  <c r="L1063" i="27"/>
  <c r="J1133" i="27"/>
  <c r="H1138" i="27"/>
  <c r="L1182" i="27"/>
  <c r="I1105" i="27"/>
  <c r="E1121" i="27"/>
  <c r="H1082" i="27"/>
  <c r="K1003" i="27"/>
  <c r="L1075" i="27"/>
  <c r="K1070" i="27"/>
  <c r="K1061" i="27"/>
  <c r="H1118" i="27"/>
  <c r="L1046" i="27"/>
  <c r="H1110" i="27"/>
  <c r="G1173" i="27"/>
  <c r="I1127" i="27"/>
  <c r="K1169" i="27"/>
  <c r="K1081" i="27"/>
  <c r="E1075" i="27"/>
  <c r="K1028" i="27"/>
  <c r="J1054" i="27"/>
  <c r="L1096" i="27"/>
  <c r="G1063" i="27"/>
  <c r="K1168" i="27"/>
  <c r="E1092" i="27"/>
  <c r="H1146" i="27"/>
  <c r="I1181" i="27"/>
  <c r="J1134" i="27"/>
  <c r="G1083" i="27"/>
  <c r="J1175" i="27"/>
  <c r="K1167" i="27"/>
  <c r="K1100" i="27"/>
  <c r="K1178" i="27"/>
  <c r="L1051" i="27"/>
  <c r="I1064" i="27"/>
  <c r="K904" i="27"/>
  <c r="K1171" i="27"/>
  <c r="J1171" i="27"/>
  <c r="K1138" i="27"/>
  <c r="K1110" i="27"/>
  <c r="G1172" i="27"/>
  <c r="G1058" i="27"/>
  <c r="E1159" i="27"/>
  <c r="J1077" i="27"/>
  <c r="G1115" i="27"/>
  <c r="E1045" i="27"/>
  <c r="E1062" i="27"/>
  <c r="M1161" i="27"/>
  <c r="A1161" i="27" s="1"/>
  <c r="L1092" i="27"/>
  <c r="J1164" i="27"/>
  <c r="I1039" i="27"/>
  <c r="L1131" i="27"/>
  <c r="K969" i="27"/>
  <c r="G1153" i="27"/>
  <c r="K1068" i="27"/>
  <c r="H1048" i="27"/>
  <c r="G1077" i="27"/>
  <c r="E1152" i="27"/>
  <c r="K889" i="27"/>
  <c r="J1064" i="27"/>
  <c r="J1085" i="27"/>
  <c r="I1182" i="27"/>
  <c r="K1083" i="27"/>
  <c r="K1032" i="27"/>
  <c r="J1140" i="27"/>
  <c r="J1089" i="27"/>
  <c r="G1133" i="27"/>
  <c r="G1047" i="27"/>
  <c r="H1100" i="27"/>
  <c r="K909" i="27"/>
  <c r="E1087" i="27"/>
  <c r="E1148" i="27"/>
  <c r="I1147" i="27"/>
  <c r="G1080" i="27"/>
  <c r="J1105" i="27"/>
  <c r="K1135" i="27"/>
  <c r="K1096" i="27"/>
  <c r="I1058" i="27"/>
  <c r="J1052" i="27"/>
  <c r="H1063" i="27"/>
  <c r="J1150" i="27"/>
  <c r="G1054" i="27"/>
  <c r="M1139" i="27"/>
  <c r="A1139" i="27" s="1"/>
  <c r="I1157" i="27"/>
  <c r="M1151" i="27"/>
  <c r="A1151" i="27" s="1"/>
  <c r="K911" i="27"/>
  <c r="J1182" i="27"/>
  <c r="E1144" i="27"/>
  <c r="J1169" i="27"/>
  <c r="K941" i="27"/>
  <c r="K983" i="27"/>
  <c r="I1179" i="27"/>
  <c r="G1152" i="27"/>
  <c r="L1047" i="27"/>
  <c r="E1085" i="27"/>
  <c r="M1169" i="27"/>
  <c r="A1169" i="27" s="1"/>
  <c r="I1185" i="27"/>
  <c r="K1026" i="27"/>
  <c r="K956" i="27"/>
  <c r="E1077" i="27"/>
  <c r="G1050" i="27"/>
  <c r="I1139" i="27"/>
  <c r="I1088" i="27"/>
  <c r="I1104" i="27"/>
  <c r="I1176" i="27"/>
  <c r="J1093" i="27"/>
  <c r="I1090" i="27"/>
  <c r="H1164" i="27"/>
  <c r="H1094" i="27"/>
  <c r="I1044" i="27"/>
  <c r="K1098" i="27"/>
  <c r="K981" i="27"/>
  <c r="L1052" i="27"/>
  <c r="L1116" i="27"/>
  <c r="E1123" i="27"/>
  <c r="I1107" i="27"/>
  <c r="M1042" i="27"/>
  <c r="A1042" i="27" s="1"/>
  <c r="K924" i="27"/>
  <c r="I1148" i="27"/>
  <c r="E1069" i="27"/>
  <c r="G1141" i="27"/>
  <c r="K899" i="27"/>
  <c r="K945" i="27"/>
  <c r="G1150" i="27"/>
  <c r="J1060" i="27"/>
  <c r="I1108" i="27"/>
  <c r="L1185" i="27"/>
  <c r="K932" i="27"/>
  <c r="K1078" i="27"/>
  <c r="H1069" i="27"/>
  <c r="L1137" i="27"/>
  <c r="E1143" i="27"/>
  <c r="G1174" i="27"/>
  <c r="I1085" i="27"/>
  <c r="M1040" i="27"/>
  <c r="A1040" i="27" s="1"/>
  <c r="J1158" i="27"/>
  <c r="I1117" i="27"/>
  <c r="L1154" i="27"/>
  <c r="J1159" i="27"/>
  <c r="I1068" i="27"/>
  <c r="H1135" i="27"/>
  <c r="G1091" i="27"/>
  <c r="L1070" i="27"/>
  <c r="G1056" i="27"/>
  <c r="G1069" i="27"/>
  <c r="E1117" i="27"/>
  <c r="L1103" i="27"/>
  <c r="L1049" i="27"/>
  <c r="K1054" i="27"/>
  <c r="I1060" i="27"/>
  <c r="K916" i="27"/>
  <c r="H1122" i="27"/>
  <c r="K992" i="27"/>
  <c r="I1077" i="27"/>
  <c r="H1104" i="27"/>
  <c r="K958" i="27"/>
  <c r="G1136" i="27"/>
  <c r="J1042" i="27"/>
  <c r="K1089" i="27"/>
  <c r="H1151" i="27"/>
  <c r="K905" i="27"/>
  <c r="E1051" i="27"/>
  <c r="K927" i="27"/>
  <c r="K902" i="27"/>
  <c r="G1093" i="27"/>
  <c r="K1017" i="27"/>
  <c r="M1148" i="27"/>
  <c r="A1148" i="27" s="1"/>
  <c r="I1076" i="27"/>
  <c r="E1050" i="27"/>
  <c r="K979" i="27"/>
  <c r="K1086" i="27"/>
  <c r="H1113" i="27"/>
  <c r="E1136" i="27"/>
  <c r="I1049" i="27"/>
  <c r="K1065" i="27"/>
  <c r="G1179" i="27"/>
  <c r="K1084" i="27"/>
  <c r="E1078" i="27"/>
  <c r="G1068" i="27"/>
  <c r="H1166" i="27"/>
  <c r="K1111" i="27"/>
  <c r="K1079" i="27"/>
  <c r="L1134" i="27"/>
  <c r="K1062" i="27"/>
  <c r="K893" i="27"/>
  <c r="I1123" i="27"/>
  <c r="M1041" i="27"/>
  <c r="A1041" i="27" s="1"/>
  <c r="K1147" i="27"/>
  <c r="G1114" i="27"/>
  <c r="K986" i="27"/>
  <c r="I1110" i="27"/>
  <c r="G1100" i="27"/>
  <c r="E1090" i="27"/>
  <c r="H1077" i="27"/>
  <c r="L1045" i="27"/>
  <c r="K1033" i="27"/>
  <c r="J1161" i="27"/>
  <c r="E1070" i="27"/>
  <c r="K965" i="27"/>
  <c r="G1131" i="27"/>
  <c r="M1167" i="27"/>
  <c r="A1167" i="27" s="1"/>
  <c r="K1064" i="27"/>
  <c r="J1107" i="27"/>
  <c r="L1135" i="27"/>
  <c r="H1130" i="27"/>
  <c r="H1123" i="27"/>
  <c r="K907" i="27"/>
  <c r="K1175" i="27"/>
  <c r="K1043" i="27"/>
  <c r="G1092" i="27"/>
  <c r="G1138" i="27"/>
  <c r="E1126" i="27"/>
  <c r="H1143" i="27"/>
  <c r="L1170" i="27"/>
  <c r="L1074" i="27"/>
  <c r="I1183" i="27"/>
  <c r="J1040" i="27"/>
  <c r="G1097" i="27"/>
  <c r="L1104" i="27"/>
  <c r="K997" i="27"/>
  <c r="I1098" i="27"/>
  <c r="L1186" i="27"/>
  <c r="K940" i="27"/>
  <c r="M1170" i="27"/>
  <c r="A1170" i="27" s="1"/>
  <c r="J1071" i="27"/>
  <c r="K1136" i="27"/>
  <c r="K1134" i="27"/>
  <c r="G1109" i="27"/>
  <c r="J1125" i="27"/>
  <c r="I1130" i="27"/>
  <c r="E1053" i="27"/>
  <c r="K1142" i="27"/>
  <c r="M1171" i="27"/>
  <c r="A1171" i="27" s="1"/>
  <c r="H1126" i="27"/>
  <c r="K1146" i="27"/>
  <c r="G1082" i="27"/>
  <c r="E1174" i="27"/>
  <c r="E1114" i="27"/>
  <c r="E1100" i="27"/>
  <c r="M1046" i="27"/>
  <c r="A1046" i="27" s="1"/>
  <c r="M1182" i="27"/>
  <c r="A1182" i="27" s="1"/>
  <c r="M1047" i="27"/>
  <c r="A1047" i="27" s="1"/>
  <c r="A170" i="27"/>
  <c r="T170" i="27" s="1"/>
  <c r="I47" i="41"/>
  <c r="CC11" i="33"/>
  <c r="A2810" i="27"/>
  <c r="A3624" i="27"/>
  <c r="C243" i="41"/>
  <c r="BW25" i="33"/>
  <c r="CF25" i="33" s="1"/>
  <c r="CG25" i="33" s="1"/>
  <c r="BO25" i="33" s="1"/>
  <c r="BQ25" i="33" s="1"/>
  <c r="BS25" i="33" s="1"/>
  <c r="BB25" i="33" s="1"/>
  <c r="A220" i="27"/>
  <c r="T220" i="27" s="1"/>
  <c r="E1359" i="27"/>
  <c r="A383" i="27"/>
  <c r="F61" i="39"/>
  <c r="AZ11" i="30"/>
  <c r="BB11" i="30" s="1"/>
  <c r="BC11" i="30" s="1"/>
  <c r="BH11" i="30" s="1"/>
  <c r="BJ11" i="30" s="1"/>
  <c r="AO11" i="30" s="1"/>
  <c r="E385" i="40"/>
  <c r="BK35" i="31"/>
  <c r="A2857" i="27"/>
  <c r="BK33" i="31"/>
  <c r="E358" i="40"/>
  <c r="A219" i="27"/>
  <c r="T219" i="27" s="1"/>
  <c r="A3488" i="27"/>
  <c r="A3375" i="27"/>
  <c r="BM35" i="31"/>
  <c r="G385" i="40"/>
  <c r="A3631" i="27"/>
  <c r="E88" i="39"/>
  <c r="AY13" i="30"/>
  <c r="BB13" i="30" s="1"/>
  <c r="BC13" i="30" s="1"/>
  <c r="BH13" i="30" s="1"/>
  <c r="BJ13" i="30" s="1"/>
  <c r="AO13" i="30" s="1"/>
  <c r="A203" i="27"/>
  <c r="T203" i="27" s="1"/>
  <c r="G663" i="41"/>
  <c r="CA55" i="33"/>
  <c r="A214" i="27"/>
  <c r="T214" i="27" s="1"/>
  <c r="D747" i="41"/>
  <c r="BX61" i="33"/>
  <c r="CF61" i="33" s="1"/>
  <c r="CG61" i="33" s="1"/>
  <c r="BO61" i="33" s="1"/>
  <c r="BQ61" i="33" s="1"/>
  <c r="BS61" i="33" s="1"/>
  <c r="BB61" i="33" s="1"/>
  <c r="A388" i="27"/>
  <c r="A409" i="27"/>
  <c r="A3349" i="27"/>
  <c r="A397" i="27"/>
  <c r="BY17" i="33"/>
  <c r="CF17" i="33" s="1"/>
  <c r="CG17" i="33" s="1"/>
  <c r="BO17" i="33" s="1"/>
  <c r="BQ17" i="33" s="1"/>
  <c r="BS17" i="33" s="1"/>
  <c r="BB17" i="33" s="1"/>
  <c r="E131" i="41"/>
  <c r="A367" i="27"/>
  <c r="A2802" i="27"/>
  <c r="E1350" i="27"/>
  <c r="A3381" i="27"/>
  <c r="E1375" i="27"/>
  <c r="A134" i="27"/>
  <c r="T134" i="27" s="1"/>
  <c r="A137" i="27"/>
  <c r="T137" i="27" s="1"/>
  <c r="A3401" i="27"/>
  <c r="A379" i="27"/>
  <c r="M20" i="27"/>
  <c r="A20" i="27" s="1"/>
  <c r="A3394" i="27"/>
  <c r="AX35" i="30"/>
  <c r="D385" i="39"/>
  <c r="D47" i="41"/>
  <c r="BX11" i="33"/>
  <c r="A189" i="27"/>
  <c r="T189" i="27" s="1"/>
  <c r="E1369" i="27"/>
  <c r="E1381" i="27"/>
  <c r="BA19" i="30"/>
  <c r="G169" i="39"/>
  <c r="A148" i="27"/>
  <c r="T148" i="27" s="1"/>
  <c r="A395" i="27"/>
  <c r="CC45" i="33"/>
  <c r="I523" i="41"/>
  <c r="CC19" i="33"/>
  <c r="I159" i="41"/>
  <c r="A432" i="27"/>
  <c r="AZ31" i="30"/>
  <c r="F331" i="39"/>
  <c r="E1373" i="27"/>
  <c r="E223" i="39"/>
  <c r="AY23" i="30"/>
  <c r="J508" i="27"/>
  <c r="A508" i="27" s="1"/>
  <c r="CC47" i="33"/>
  <c r="I551" i="41"/>
  <c r="A401" i="27"/>
  <c r="AZ17" i="30"/>
  <c r="BB17" i="30" s="1"/>
  <c r="BC17" i="30" s="1"/>
  <c r="BH17" i="30" s="1"/>
  <c r="BJ17" i="30" s="1"/>
  <c r="AO17" i="30" s="1"/>
  <c r="F142" i="39"/>
  <c r="BZ65" i="33"/>
  <c r="F803" i="41"/>
  <c r="A3524" i="27"/>
  <c r="A3627" i="27"/>
  <c r="BY65" i="33"/>
  <c r="E803" i="41"/>
  <c r="CE65" i="33"/>
  <c r="K803" i="41"/>
  <c r="G223" i="40"/>
  <c r="BM23" i="31"/>
  <c r="BN23" i="31" s="1"/>
  <c r="BO23" i="31" s="1"/>
  <c r="A188" i="27"/>
  <c r="T188" i="27" s="1"/>
  <c r="A158" i="27"/>
  <c r="T158" i="27" s="1"/>
  <c r="K719" i="41"/>
  <c r="CE59" i="33"/>
  <c r="CD51" i="33"/>
  <c r="CF51" i="33" s="1"/>
  <c r="CG51" i="33" s="1"/>
  <c r="BO51" i="33" s="1"/>
  <c r="BQ51" i="33" s="1"/>
  <c r="BS51" i="33" s="1"/>
  <c r="BB51" i="33" s="1"/>
  <c r="J607" i="41"/>
  <c r="A3546" i="27"/>
  <c r="CD49" i="33"/>
  <c r="J579" i="41"/>
  <c r="A415" i="27"/>
  <c r="A499" i="27"/>
  <c r="J488" i="27"/>
  <c r="A488" i="27" s="1"/>
  <c r="A3688" i="27"/>
  <c r="A3647" i="27"/>
  <c r="K187" i="41"/>
  <c r="CE21" i="33"/>
  <c r="C277" i="40"/>
  <c r="BI27" i="31"/>
  <c r="BN27" i="31" s="1"/>
  <c r="BO27" i="31" s="1"/>
  <c r="A3562" i="27"/>
  <c r="A164" i="27"/>
  <c r="T164" i="27" s="1"/>
  <c r="A195" i="27"/>
  <c r="T195" i="27" s="1"/>
  <c r="A402" i="27"/>
  <c r="AW31" i="30"/>
  <c r="BB31" i="30" s="1"/>
  <c r="BC31" i="30" s="1"/>
  <c r="BH31" i="30" s="1"/>
  <c r="BJ31" i="30" s="1"/>
  <c r="AO31" i="30" s="1"/>
  <c r="C331" i="39"/>
  <c r="CB37" i="33"/>
  <c r="H411" i="41"/>
  <c r="BL33" i="31"/>
  <c r="F358" i="40"/>
  <c r="A390" i="27"/>
  <c r="A366" i="27"/>
  <c r="A365" i="27"/>
  <c r="BA35" i="30"/>
  <c r="G385" i="39"/>
  <c r="A3551" i="27"/>
  <c r="E1370" i="27"/>
  <c r="BY13" i="33"/>
  <c r="E75" i="41"/>
  <c r="M1183" i="27"/>
  <c r="A1183" i="27" s="1"/>
  <c r="F2116" i="27"/>
  <c r="M1048" i="27"/>
  <c r="A1048" i="27" s="1"/>
  <c r="M2116" i="27"/>
  <c r="A2116" i="27" s="1"/>
  <c r="CF9" i="33"/>
  <c r="CG9" i="33" s="1"/>
  <c r="BO9" i="33" s="1"/>
  <c r="BQ9" i="33" s="1"/>
  <c r="BS9" i="33" s="1"/>
  <c r="BB9" i="33" s="1"/>
  <c r="BN17" i="31"/>
  <c r="BO17" i="31" s="1"/>
  <c r="BN15" i="31"/>
  <c r="BO15" i="31" s="1"/>
  <c r="BN9" i="31"/>
  <c r="BO9" i="31" s="1"/>
  <c r="N665" i="32" a="1"/>
  <c r="N665" i="32" s="1"/>
  <c r="E665" i="32" s="1"/>
  <c r="F2117" i="27" s="1"/>
  <c r="O665" i="32" a="1"/>
  <c r="O665" i="32" s="1"/>
  <c r="M2117" i="27" s="1"/>
  <c r="A2117" i="27" s="1"/>
  <c r="M665" i="32" a="1"/>
  <c r="M665" i="32" s="1"/>
  <c r="D665" i="32" s="1"/>
  <c r="K669" i="32"/>
  <c r="L667" i="32"/>
  <c r="M340" i="32" a="1"/>
  <c r="M340" i="32" s="1"/>
  <c r="D340" i="32" s="1"/>
  <c r="O340" i="32" a="1"/>
  <c r="O340" i="32" s="1"/>
  <c r="M1049" i="27" s="1"/>
  <c r="A1049" i="27" s="1"/>
  <c r="N340" i="32" a="1"/>
  <c r="N340" i="32" s="1"/>
  <c r="E340" i="32" s="1"/>
  <c r="K344" i="32"/>
  <c r="L342" i="32"/>
  <c r="N20" i="32" a="1"/>
  <c r="N20" i="32" s="1"/>
  <c r="E20" i="32" s="1"/>
  <c r="F1346" i="27" s="1"/>
  <c r="M20" i="32" a="1"/>
  <c r="M20" i="32" s="1"/>
  <c r="D20" i="32" s="1"/>
  <c r="O20" i="32" a="1"/>
  <c r="O20" i="32" s="1"/>
  <c r="M1346" i="27" s="1"/>
  <c r="A1346" i="27" s="1"/>
  <c r="K24" i="32"/>
  <c r="L22" i="32"/>
  <c r="A3698" i="27"/>
  <c r="F3701" i="27"/>
  <c r="B602" i="27"/>
  <c r="M602" i="27"/>
  <c r="N602" i="27"/>
  <c r="H601" i="27"/>
  <c r="L1595" i="32"/>
  <c r="M1593" i="32" a="1"/>
  <c r="M1593" i="32" s="1"/>
  <c r="D1593" i="32" s="1"/>
  <c r="N1593" i="32" a="1"/>
  <c r="N1593" i="32" s="1"/>
  <c r="E1593" i="32" s="1"/>
  <c r="O1593" i="32" a="1"/>
  <c r="O1593" i="32" s="1"/>
  <c r="L612" i="32"/>
  <c r="M610" i="32" a="1"/>
  <c r="M610" i="32" s="1"/>
  <c r="D610" i="32" s="1"/>
  <c r="O610" i="32" a="1"/>
  <c r="O610" i="32" s="1"/>
  <c r="M1184" i="27" s="1"/>
  <c r="A1184" i="27" s="1"/>
  <c r="N610" i="32" a="1"/>
  <c r="N610" i="32" s="1"/>
  <c r="E610" i="32" s="1"/>
  <c r="O1635" i="32" a="1"/>
  <c r="O1635" i="32" s="1"/>
  <c r="M1635" i="32" a="1"/>
  <c r="M1635" i="32" s="1"/>
  <c r="D1635" i="32" s="1"/>
  <c r="N1635" i="32" a="1"/>
  <c r="N1635" i="32" s="1"/>
  <c r="E1635" i="32" s="1"/>
  <c r="L1637" i="32"/>
  <c r="Q1165" i="32"/>
  <c r="K194" i="27"/>
  <c r="K200" i="27"/>
  <c r="K439" i="27"/>
  <c r="K215" i="27"/>
  <c r="G716" i="27"/>
  <c r="G710" i="27"/>
  <c r="G707" i="27"/>
  <c r="G737" i="27"/>
  <c r="G705" i="27"/>
  <c r="A1165" i="32"/>
  <c r="I3699" i="27"/>
  <c r="G735" i="27"/>
  <c r="H3699" i="27"/>
  <c r="H3700" i="27"/>
  <c r="G731" i="27"/>
  <c r="K373" i="27"/>
  <c r="K173" i="27"/>
  <c r="K176" i="27"/>
  <c r="K445" i="27"/>
  <c r="G730" i="27"/>
  <c r="G701" i="27"/>
  <c r="D249" i="27"/>
  <c r="D499" i="27"/>
  <c r="D506" i="27"/>
  <c r="K221" i="27"/>
  <c r="G736" i="27"/>
  <c r="G713" i="27"/>
  <c r="G711" i="27"/>
  <c r="I3700" i="27"/>
  <c r="K177" i="27"/>
  <c r="K361" i="27"/>
  <c r="D256" i="27"/>
  <c r="K185" i="27"/>
  <c r="G725" i="27"/>
  <c r="G729" i="27"/>
  <c r="G719" i="27"/>
  <c r="K153" i="27"/>
  <c r="K209" i="27"/>
  <c r="K201" i="27"/>
  <c r="K443" i="27"/>
  <c r="G875" i="27"/>
  <c r="G717" i="27"/>
  <c r="G704" i="27"/>
  <c r="G728" i="27"/>
  <c r="G1161" i="32"/>
  <c r="K218" i="27"/>
  <c r="D490" i="27"/>
  <c r="K165" i="27"/>
  <c r="G723" i="27"/>
  <c r="D485" i="27"/>
  <c r="K431" i="27"/>
  <c r="K418" i="27"/>
  <c r="G876" i="27"/>
  <c r="G700" i="27"/>
  <c r="K426" i="27"/>
  <c r="K160" i="27"/>
  <c r="K206" i="27"/>
  <c r="G718" i="27"/>
  <c r="G874" i="27"/>
  <c r="G724" i="27"/>
  <c r="G877" i="27"/>
  <c r="G712" i="27"/>
  <c r="G706" i="27"/>
  <c r="A206" i="27" l="1"/>
  <c r="T206" i="27" s="1"/>
  <c r="A160" i="27"/>
  <c r="T160" i="27" s="1"/>
  <c r="A426" i="27"/>
  <c r="A418" i="27"/>
  <c r="A431" i="27"/>
  <c r="A165" i="27"/>
  <c r="T165" i="27" s="1"/>
  <c r="A218" i="27"/>
  <c r="T218" i="27" s="1"/>
  <c r="A443" i="27"/>
  <c r="A201" i="27"/>
  <c r="T201" i="27" s="1"/>
  <c r="A209" i="27"/>
  <c r="T209" i="27" s="1"/>
  <c r="A153" i="27"/>
  <c r="T153" i="27" s="1"/>
  <c r="A185" i="27"/>
  <c r="T185" i="27" s="1"/>
  <c r="A361" i="27"/>
  <c r="A177" i="27"/>
  <c r="T177" i="27" s="1"/>
  <c r="A221" i="27"/>
  <c r="T221" i="27" s="1"/>
  <c r="A445" i="27"/>
  <c r="A176" i="27"/>
  <c r="T176" i="27" s="1"/>
  <c r="A173" i="27"/>
  <c r="T173" i="27" s="1"/>
  <c r="A373" i="27"/>
  <c r="A215" i="27"/>
  <c r="T215" i="27" s="1"/>
  <c r="A439" i="27"/>
  <c r="A200" i="27"/>
  <c r="T200" i="27" s="1"/>
  <c r="A194" i="27"/>
  <c r="T194" i="27" s="1"/>
  <c r="BN11" i="31"/>
  <c r="BO11" i="31" s="1"/>
  <c r="BB21" i="30"/>
  <c r="BC21" i="30" s="1"/>
  <c r="BH21" i="30" s="1"/>
  <c r="BJ21" i="30" s="1"/>
  <c r="AO21" i="30" s="1"/>
  <c r="CF53" i="33"/>
  <c r="CG53" i="33" s="1"/>
  <c r="BO53" i="33" s="1"/>
  <c r="BQ53" i="33" s="1"/>
  <c r="BS53" i="33" s="1"/>
  <c r="BB53" i="33" s="1"/>
  <c r="CF39" i="33"/>
  <c r="CG39" i="33" s="1"/>
  <c r="BO39" i="33" s="1"/>
  <c r="BQ39" i="33" s="1"/>
  <c r="BS39" i="33" s="1"/>
  <c r="BB39" i="33" s="1"/>
  <c r="BB37" i="30"/>
  <c r="BC37" i="30" s="1"/>
  <c r="BH37" i="30" s="1"/>
  <c r="BJ37" i="30" s="1"/>
  <c r="AO37" i="30" s="1"/>
  <c r="CF35" i="33"/>
  <c r="CG35" i="33" s="1"/>
  <c r="BO35" i="33" s="1"/>
  <c r="BQ35" i="33" s="1"/>
  <c r="BS35" i="33" s="1"/>
  <c r="BB35" i="33" s="1"/>
  <c r="BB33" i="30"/>
  <c r="BC33" i="30" s="1"/>
  <c r="BH33" i="30" s="1"/>
  <c r="BJ33" i="30" s="1"/>
  <c r="AO33" i="30" s="1"/>
  <c r="CF15" i="33"/>
  <c r="CG15" i="33" s="1"/>
  <c r="BO15" i="33" s="1"/>
  <c r="BQ15" i="33" s="1"/>
  <c r="BS15" i="33" s="1"/>
  <c r="BB15" i="33" s="1"/>
  <c r="BB23" i="30"/>
  <c r="BC23" i="30" s="1"/>
  <c r="BH23" i="30" s="1"/>
  <c r="BJ23" i="30" s="1"/>
  <c r="AO23" i="30" s="1"/>
  <c r="BB15" i="30"/>
  <c r="BC15" i="30" s="1"/>
  <c r="BH15" i="30" s="1"/>
  <c r="BJ15" i="30" s="1"/>
  <c r="AO15" i="30" s="1"/>
  <c r="CF11" i="33"/>
  <c r="CG11" i="33" s="1"/>
  <c r="BO11" i="33" s="1"/>
  <c r="BQ11" i="33" s="1"/>
  <c r="BS11" i="33" s="1"/>
  <c r="BB11" i="33" s="1"/>
  <c r="BJ9" i="30"/>
  <c r="AO9" i="30" s="1"/>
  <c r="BN29" i="31"/>
  <c r="BO29" i="31" s="1"/>
  <c r="CF19" i="33"/>
  <c r="CG19" i="33" s="1"/>
  <c r="BO19" i="33" s="1"/>
  <c r="BQ19" i="33" s="1"/>
  <c r="BS19" i="33" s="1"/>
  <c r="BB19" i="33" s="1"/>
  <c r="CF41" i="33"/>
  <c r="CG41" i="33" s="1"/>
  <c r="BO41" i="33" s="1"/>
  <c r="BQ41" i="33" s="1"/>
  <c r="BS41" i="33" s="1"/>
  <c r="BB41" i="33" s="1"/>
  <c r="CF23" i="33"/>
  <c r="CG23" i="33" s="1"/>
  <c r="BO23" i="33" s="1"/>
  <c r="BQ23" i="33" s="1"/>
  <c r="BS23" i="33" s="1"/>
  <c r="BB23" i="33" s="1"/>
  <c r="CF27" i="33"/>
  <c r="CG27" i="33" s="1"/>
  <c r="BO27" i="33" s="1"/>
  <c r="BQ27" i="33" s="1"/>
  <c r="BS27" i="33" s="1"/>
  <c r="BB27" i="33" s="1"/>
  <c r="CF49" i="33"/>
  <c r="CG49" i="33" s="1"/>
  <c r="BO49" i="33" s="1"/>
  <c r="BQ49" i="33" s="1"/>
  <c r="BS49" i="33" s="1"/>
  <c r="BB49" i="33" s="1"/>
  <c r="CF63" i="33"/>
  <c r="CG63" i="33" s="1"/>
  <c r="BO63" i="33" s="1"/>
  <c r="BQ63" i="33" s="1"/>
  <c r="BS63" i="33" s="1"/>
  <c r="BB63" i="33" s="1"/>
  <c r="BB27" i="30"/>
  <c r="BC27" i="30" s="1"/>
  <c r="BH27" i="30" s="1"/>
  <c r="BJ27" i="30" s="1"/>
  <c r="AO27" i="30" s="1"/>
  <c r="CF47" i="33"/>
  <c r="CG47" i="33" s="1"/>
  <c r="BO47" i="33" s="1"/>
  <c r="BQ47" i="33" s="1"/>
  <c r="BS47" i="33" s="1"/>
  <c r="BB47" i="33" s="1"/>
  <c r="CF13" i="33"/>
  <c r="CG13" i="33" s="1"/>
  <c r="BO13" i="33" s="1"/>
  <c r="BQ13" i="33" s="1"/>
  <c r="BS13" i="33" s="1"/>
  <c r="BB13" i="33" s="1"/>
  <c r="BB29" i="30"/>
  <c r="BC29" i="30" s="1"/>
  <c r="BH29" i="30" s="1"/>
  <c r="BJ29" i="30" s="1"/>
  <c r="AO29" i="30" s="1"/>
  <c r="CF65" i="33"/>
  <c r="CG65" i="33" s="1"/>
  <c r="BO65" i="33" s="1"/>
  <c r="BQ65" i="33" s="1"/>
  <c r="BS65" i="33" s="1"/>
  <c r="BB65" i="33" s="1"/>
  <c r="BN33" i="31"/>
  <c r="BO33" i="31" s="1"/>
  <c r="CF55" i="33"/>
  <c r="CG55" i="33" s="1"/>
  <c r="BO55" i="33" s="1"/>
  <c r="BQ55" i="33" s="1"/>
  <c r="BS55" i="33" s="1"/>
  <c r="BB55" i="33" s="1"/>
  <c r="CF33" i="33"/>
  <c r="CG33" i="33" s="1"/>
  <c r="BO33" i="33" s="1"/>
  <c r="BQ33" i="33" s="1"/>
  <c r="BS33" i="33" s="1"/>
  <c r="BB33" i="33" s="1"/>
  <c r="CF45" i="33"/>
  <c r="CG45" i="33" s="1"/>
  <c r="BO45" i="33" s="1"/>
  <c r="BQ45" i="33" s="1"/>
  <c r="BS45" i="33" s="1"/>
  <c r="BB45" i="33" s="1"/>
  <c r="CF37" i="33"/>
  <c r="CG37" i="33" s="1"/>
  <c r="BO37" i="33" s="1"/>
  <c r="BQ37" i="33" s="1"/>
  <c r="BS37" i="33" s="1"/>
  <c r="BB37" i="33" s="1"/>
  <c r="BB35" i="30"/>
  <c r="BC35" i="30" s="1"/>
  <c r="BH35" i="30" s="1"/>
  <c r="BJ35" i="30" s="1"/>
  <c r="AO35" i="30" s="1"/>
  <c r="BN35" i="31"/>
  <c r="BO35" i="31" s="1"/>
  <c r="BB19" i="30"/>
  <c r="BC19" i="30" s="1"/>
  <c r="BH19" i="30" s="1"/>
  <c r="BJ19" i="30" s="1"/>
  <c r="AO19" i="30" s="1"/>
  <c r="CF21" i="33"/>
  <c r="CG21" i="33" s="1"/>
  <c r="BO21" i="33" s="1"/>
  <c r="BQ21" i="33" s="1"/>
  <c r="BS21" i="33" s="1"/>
  <c r="BB21" i="33" s="1"/>
  <c r="CF59" i="33"/>
  <c r="CG59" i="33" s="1"/>
  <c r="BO59" i="33" s="1"/>
  <c r="BQ59" i="33" s="1"/>
  <c r="BS59" i="33" s="1"/>
  <c r="BB59" i="33" s="1"/>
  <c r="CF29" i="33"/>
  <c r="CG29" i="33" s="1"/>
  <c r="BO29" i="33" s="1"/>
  <c r="BQ29" i="33" s="1"/>
  <c r="BS29" i="33" s="1"/>
  <c r="BB29" i="33" s="1"/>
  <c r="M667" i="32" a="1"/>
  <c r="M667" i="32" s="1"/>
  <c r="D667" i="32" s="1"/>
  <c r="O667" i="32" a="1"/>
  <c r="O667" i="32" s="1"/>
  <c r="M2118" i="27" s="1"/>
  <c r="A2118" i="27" s="1"/>
  <c r="N667" i="32" a="1"/>
  <c r="N667" i="32" s="1"/>
  <c r="E667" i="32" s="1"/>
  <c r="F2118" i="27" s="1"/>
  <c r="K671" i="32"/>
  <c r="L669" i="32"/>
  <c r="N342" i="32" a="1"/>
  <c r="N342" i="32" s="1"/>
  <c r="E342" i="32" s="1"/>
  <c r="O342" i="32" a="1"/>
  <c r="O342" i="32" s="1"/>
  <c r="M1050" i="27" s="1"/>
  <c r="A1050" i="27" s="1"/>
  <c r="M342" i="32" a="1"/>
  <c r="M342" i="32" s="1"/>
  <c r="D342" i="32" s="1"/>
  <c r="K346" i="32"/>
  <c r="L344" i="32"/>
  <c r="O22" i="32" a="1"/>
  <c r="O22" i="32" s="1"/>
  <c r="M1347" i="27" s="1"/>
  <c r="A1347" i="27" s="1"/>
  <c r="N22" i="32" a="1"/>
  <c r="N22" i="32" s="1"/>
  <c r="E22" i="32" s="1"/>
  <c r="F1347" i="27" s="1"/>
  <c r="M22" i="32" a="1"/>
  <c r="M22" i="32" s="1"/>
  <c r="D22" i="32" s="1"/>
  <c r="K26" i="32"/>
  <c r="L24" i="32"/>
  <c r="A3700" i="27"/>
  <c r="A3699" i="27"/>
  <c r="F3702" i="27"/>
  <c r="H602" i="27"/>
  <c r="B603" i="27"/>
  <c r="N603" i="27"/>
  <c r="M603" i="27"/>
  <c r="M612" i="32" a="1"/>
  <c r="M612" i="32" s="1"/>
  <c r="D612" i="32" s="1"/>
  <c r="N612" i="32" a="1"/>
  <c r="N612" i="32" s="1"/>
  <c r="E612" i="32" s="1"/>
  <c r="O612" i="32" a="1"/>
  <c r="O612" i="32" s="1"/>
  <c r="M1185" i="27" s="1"/>
  <c r="A1185" i="27" s="1"/>
  <c r="N1595" i="32" a="1"/>
  <c r="N1595" i="32" s="1"/>
  <c r="E1595" i="32" s="1"/>
  <c r="O1595" i="32" a="1"/>
  <c r="O1595" i="32" s="1"/>
  <c r="M1595" i="32" a="1"/>
  <c r="M1595" i="32" s="1"/>
  <c r="D1595" i="32" s="1"/>
  <c r="L1597" i="32"/>
  <c r="M1637" i="32" a="1"/>
  <c r="M1637" i="32" s="1"/>
  <c r="D1637" i="32" s="1"/>
  <c r="N1637" i="32" a="1"/>
  <c r="N1637" i="32" s="1"/>
  <c r="E1637" i="32" s="1"/>
  <c r="O1637" i="32" a="1"/>
  <c r="O1637" i="32" s="1"/>
  <c r="L1639" i="32"/>
  <c r="Q1167" i="32"/>
  <c r="A1167" i="32"/>
  <c r="G1163" i="32"/>
  <c r="H3701" i="27"/>
  <c r="I3701" i="27"/>
  <c r="B5" i="30" l="1"/>
  <c r="M669" i="32" a="1"/>
  <c r="M669" i="32" s="1"/>
  <c r="D669" i="32" s="1"/>
  <c r="N669" i="32" a="1"/>
  <c r="N669" i="32" s="1"/>
  <c r="E669" i="32" s="1"/>
  <c r="F2119" i="27" s="1"/>
  <c r="O669" i="32" a="1"/>
  <c r="O669" i="32" s="1"/>
  <c r="M2119" i="27" s="1"/>
  <c r="A2119" i="27" s="1"/>
  <c r="K673" i="32"/>
  <c r="L671" i="32"/>
  <c r="M344" i="32" a="1"/>
  <c r="M344" i="32" s="1"/>
  <c r="D344" i="32" s="1"/>
  <c r="O344" i="32" a="1"/>
  <c r="O344" i="32" s="1"/>
  <c r="M1051" i="27" s="1"/>
  <c r="A1051" i="27" s="1"/>
  <c r="N344" i="32" a="1"/>
  <c r="N344" i="32" s="1"/>
  <c r="E344" i="32" s="1"/>
  <c r="K348" i="32"/>
  <c r="L346" i="32"/>
  <c r="O24" i="32" a="1"/>
  <c r="O24" i="32" s="1"/>
  <c r="M1348" i="27" s="1"/>
  <c r="A1348" i="27" s="1"/>
  <c r="N24" i="32" a="1"/>
  <c r="N24" i="32" s="1"/>
  <c r="E24" i="32" s="1"/>
  <c r="F1348" i="27" s="1"/>
  <c r="M24" i="32" a="1"/>
  <c r="M24" i="32" s="1"/>
  <c r="D24" i="32" s="1"/>
  <c r="K28" i="32"/>
  <c r="L26" i="32"/>
  <c r="A3701" i="27"/>
  <c r="F3703" i="27"/>
  <c r="B604" i="27"/>
  <c r="M604" i="27"/>
  <c r="N604" i="27"/>
  <c r="H603" i="27"/>
  <c r="L1599" i="32"/>
  <c r="O1597" i="32" a="1"/>
  <c r="O1597" i="32" s="1"/>
  <c r="M1597" i="32" a="1"/>
  <c r="M1597" i="32" s="1"/>
  <c r="D1597" i="32" s="1"/>
  <c r="N1597" i="32" a="1"/>
  <c r="N1597" i="32" s="1"/>
  <c r="E1597" i="32" s="1"/>
  <c r="O1639" i="32" a="1"/>
  <c r="O1639" i="32" s="1"/>
  <c r="M1639" i="32" a="1"/>
  <c r="M1639" i="32" s="1"/>
  <c r="D1639" i="32" s="1"/>
  <c r="N1639" i="32" a="1"/>
  <c r="N1639" i="32" s="1"/>
  <c r="E1639" i="32" s="1"/>
  <c r="L1641" i="32"/>
  <c r="Q1169" i="32"/>
  <c r="G1165" i="32"/>
  <c r="H3702" i="27"/>
  <c r="I3702" i="27"/>
  <c r="N671" i="32" l="1" a="1"/>
  <c r="N671" i="32" s="1"/>
  <c r="E671" i="32" s="1"/>
  <c r="F2120" i="27" s="1"/>
  <c r="O671" i="32" a="1"/>
  <c r="O671" i="32" s="1"/>
  <c r="M2120" i="27" s="1"/>
  <c r="A2120" i="27" s="1"/>
  <c r="M671" i="32" a="1"/>
  <c r="M671" i="32" s="1"/>
  <c r="D671" i="32" s="1"/>
  <c r="K675" i="32"/>
  <c r="L673" i="32"/>
  <c r="N346" i="32" a="1"/>
  <c r="N346" i="32" s="1"/>
  <c r="E346" i="32" s="1"/>
  <c r="O346" i="32" a="1"/>
  <c r="O346" i="32" s="1"/>
  <c r="M1052" i="27" s="1"/>
  <c r="A1052" i="27" s="1"/>
  <c r="M346" i="32" a="1"/>
  <c r="M346" i="32" s="1"/>
  <c r="D346" i="32" s="1"/>
  <c r="K350" i="32"/>
  <c r="L348" i="32"/>
  <c r="N26" i="32" a="1"/>
  <c r="N26" i="32" s="1"/>
  <c r="E26" i="32" s="1"/>
  <c r="F1349" i="27" s="1"/>
  <c r="O26" i="32" a="1"/>
  <c r="O26" i="32" s="1"/>
  <c r="M1349" i="27" s="1"/>
  <c r="A1349" i="27" s="1"/>
  <c r="M26" i="32" a="1"/>
  <c r="M26" i="32" s="1"/>
  <c r="D26" i="32" s="1"/>
  <c r="K30" i="32"/>
  <c r="L28" i="32"/>
  <c r="A3702" i="27"/>
  <c r="F3704" i="27"/>
  <c r="H604" i="27"/>
  <c r="B605" i="27"/>
  <c r="N605" i="27"/>
  <c r="M605" i="27"/>
  <c r="L594" i="32"/>
  <c r="N1599" i="32" a="1"/>
  <c r="N1599" i="32" s="1"/>
  <c r="E1599" i="32" s="1"/>
  <c r="M1599" i="32" a="1"/>
  <c r="M1599" i="32" s="1"/>
  <c r="D1599" i="32" s="1"/>
  <c r="O1599" i="32" a="1"/>
  <c r="O1599" i="32" s="1"/>
  <c r="L1601" i="32"/>
  <c r="N1641" i="32" a="1"/>
  <c r="N1641" i="32" s="1"/>
  <c r="E1641" i="32" s="1"/>
  <c r="O1641" i="32" a="1"/>
  <c r="O1641" i="32" s="1"/>
  <c r="M1641" i="32" a="1"/>
  <c r="M1641" i="32" s="1"/>
  <c r="D1641" i="32" s="1"/>
  <c r="L1643" i="32"/>
  <c r="Q1171" i="32"/>
  <c r="I3703" i="27"/>
  <c r="A1169" i="32"/>
  <c r="G1167" i="32"/>
  <c r="A1171" i="32"/>
  <c r="H3703" i="27"/>
  <c r="M673" i="32" l="1" a="1"/>
  <c r="M673" i="32" s="1"/>
  <c r="D673" i="32" s="1"/>
  <c r="N673" i="32" a="1"/>
  <c r="N673" i="32" s="1"/>
  <c r="E673" i="32" s="1"/>
  <c r="F2121" i="27" s="1"/>
  <c r="O673" i="32" a="1"/>
  <c r="O673" i="32" s="1"/>
  <c r="M2121" i="27" s="1"/>
  <c r="A2121" i="27" s="1"/>
  <c r="K677" i="32"/>
  <c r="L675" i="32"/>
  <c r="N348" i="32" a="1"/>
  <c r="N348" i="32" s="1"/>
  <c r="E348" i="32" s="1"/>
  <c r="O348" i="32" a="1"/>
  <c r="O348" i="32" s="1"/>
  <c r="M1053" i="27" s="1"/>
  <c r="A1053" i="27" s="1"/>
  <c r="M348" i="32" a="1"/>
  <c r="M348" i="32" s="1"/>
  <c r="D348" i="32" s="1"/>
  <c r="K352" i="32"/>
  <c r="L350" i="32"/>
  <c r="K32" i="32"/>
  <c r="L30" i="32"/>
  <c r="N28" i="32" a="1"/>
  <c r="N28" i="32" s="1"/>
  <c r="E28" i="32" s="1"/>
  <c r="F1350" i="27" s="1"/>
  <c r="O28" i="32" a="1"/>
  <c r="O28" i="32" s="1"/>
  <c r="M1350" i="27" s="1"/>
  <c r="A1350" i="27" s="1"/>
  <c r="M28" i="32" a="1"/>
  <c r="M28" i="32" s="1"/>
  <c r="D28" i="32" s="1"/>
  <c r="A3703" i="27"/>
  <c r="F3705" i="27"/>
  <c r="F3706" i="27"/>
  <c r="B606" i="27"/>
  <c r="M606" i="27"/>
  <c r="N606" i="27"/>
  <c r="H605" i="27"/>
  <c r="L596" i="32"/>
  <c r="O594" i="32" a="1"/>
  <c r="O594" i="32" s="1"/>
  <c r="M1176" i="27" s="1"/>
  <c r="A1176" i="27" s="1"/>
  <c r="N594" i="32" a="1"/>
  <c r="N594" i="32" s="1"/>
  <c r="E594" i="32" s="1"/>
  <c r="M594" i="32" a="1"/>
  <c r="M594" i="32" s="1"/>
  <c r="D594" i="32" s="1"/>
  <c r="O1601" i="32" a="1"/>
  <c r="O1601" i="32" s="1"/>
  <c r="N1601" i="32" a="1"/>
  <c r="N1601" i="32" s="1"/>
  <c r="E1601" i="32" s="1"/>
  <c r="M1601" i="32" a="1"/>
  <c r="M1601" i="32" s="1"/>
  <c r="D1601" i="32" s="1"/>
  <c r="L1603" i="32"/>
  <c r="L1645" i="32"/>
  <c r="N1643" i="32" a="1"/>
  <c r="N1643" i="32" s="1"/>
  <c r="E1643" i="32" s="1"/>
  <c r="O1643" i="32" a="1"/>
  <c r="O1643" i="32" s="1"/>
  <c r="M1643" i="32" a="1"/>
  <c r="M1643" i="32" s="1"/>
  <c r="D1643" i="32" s="1"/>
  <c r="Q1173" i="32"/>
  <c r="G1169" i="32"/>
  <c r="I3704" i="27"/>
  <c r="H3704" i="27"/>
  <c r="N675" i="32" l="1" a="1"/>
  <c r="N675" i="32" s="1"/>
  <c r="E675" i="32" s="1"/>
  <c r="F2122" i="27" s="1"/>
  <c r="M675" i="32" a="1"/>
  <c r="M675" i="32" s="1"/>
  <c r="D675" i="32" s="1"/>
  <c r="O675" i="32" a="1"/>
  <c r="O675" i="32" s="1"/>
  <c r="M2122" i="27" s="1"/>
  <c r="A2122" i="27" s="1"/>
  <c r="K679" i="32"/>
  <c r="L677" i="32"/>
  <c r="N350" i="32" a="1"/>
  <c r="N350" i="32" s="1"/>
  <c r="E350" i="32" s="1"/>
  <c r="O350" i="32" a="1"/>
  <c r="O350" i="32" s="1"/>
  <c r="M1054" i="27" s="1"/>
  <c r="A1054" i="27" s="1"/>
  <c r="M350" i="32" a="1"/>
  <c r="M350" i="32" s="1"/>
  <c r="D350" i="32" s="1"/>
  <c r="K354" i="32"/>
  <c r="L352" i="32"/>
  <c r="N30" i="32" a="1"/>
  <c r="N30" i="32" s="1"/>
  <c r="E30" i="32" s="1"/>
  <c r="F1351" i="27" s="1"/>
  <c r="M30" i="32" a="1"/>
  <c r="M30" i="32" s="1"/>
  <c r="D30" i="32" s="1"/>
  <c r="O30" i="32" a="1"/>
  <c r="O30" i="32" s="1"/>
  <c r="M1351" i="27" s="1"/>
  <c r="A1351" i="27" s="1"/>
  <c r="K34" i="32"/>
  <c r="L32" i="32"/>
  <c r="A3704" i="27"/>
  <c r="F3707" i="27"/>
  <c r="H606" i="27"/>
  <c r="B607" i="27"/>
  <c r="N607" i="27"/>
  <c r="M607" i="27"/>
  <c r="L598" i="32"/>
  <c r="M596" i="32" a="1"/>
  <c r="M596" i="32" s="1"/>
  <c r="D596" i="32" s="1"/>
  <c r="O596" i="32" a="1"/>
  <c r="O596" i="32" s="1"/>
  <c r="M1177" i="27" s="1"/>
  <c r="A1177" i="27" s="1"/>
  <c r="N596" i="32" a="1"/>
  <c r="N596" i="32" s="1"/>
  <c r="E596" i="32" s="1"/>
  <c r="M1603" i="32" a="1"/>
  <c r="M1603" i="32" s="1"/>
  <c r="D1603" i="32" s="1"/>
  <c r="O1603" i="32" a="1"/>
  <c r="O1603" i="32" s="1"/>
  <c r="N1603" i="32" a="1"/>
  <c r="N1603" i="32" s="1"/>
  <c r="E1603" i="32" s="1"/>
  <c r="L1605" i="32"/>
  <c r="M1645" i="32" a="1"/>
  <c r="M1645" i="32" s="1"/>
  <c r="D1645" i="32" s="1"/>
  <c r="N1645" i="32" a="1"/>
  <c r="N1645" i="32" s="1"/>
  <c r="E1645" i="32" s="1"/>
  <c r="O1645" i="32" a="1"/>
  <c r="O1645" i="32" s="1"/>
  <c r="L1647" i="32"/>
  <c r="Q1175" i="32"/>
  <c r="A1175" i="32"/>
  <c r="A1173" i="32"/>
  <c r="I3705" i="27"/>
  <c r="H3705" i="27"/>
  <c r="G1171" i="32"/>
  <c r="I3706" i="27"/>
  <c r="H3706" i="27"/>
  <c r="N677" i="32" l="1" a="1"/>
  <c r="N677" i="32" s="1"/>
  <c r="E677" i="32" s="1"/>
  <c r="F2123" i="27" s="1"/>
  <c r="O677" i="32" a="1"/>
  <c r="O677" i="32" s="1"/>
  <c r="M2123" i="27" s="1"/>
  <c r="A2123" i="27" s="1"/>
  <c r="M677" i="32" a="1"/>
  <c r="M677" i="32" s="1"/>
  <c r="D677" i="32" s="1"/>
  <c r="K681" i="32"/>
  <c r="L679" i="32"/>
  <c r="N352" i="32" a="1"/>
  <c r="N352" i="32" s="1"/>
  <c r="E352" i="32" s="1"/>
  <c r="M352" i="32" a="1"/>
  <c r="M352" i="32" s="1"/>
  <c r="D352" i="32" s="1"/>
  <c r="O352" i="32" a="1"/>
  <c r="O352" i="32" s="1"/>
  <c r="M1055" i="27" s="1"/>
  <c r="A1055" i="27" s="1"/>
  <c r="K356" i="32"/>
  <c r="L354" i="32"/>
  <c r="O32" i="32" a="1"/>
  <c r="O32" i="32" s="1"/>
  <c r="M1352" i="27" s="1"/>
  <c r="A1352" i="27" s="1"/>
  <c r="M32" i="32" a="1"/>
  <c r="M32" i="32" s="1"/>
  <c r="D32" i="32" s="1"/>
  <c r="N32" i="32" a="1"/>
  <c r="N32" i="32" s="1"/>
  <c r="E32" i="32" s="1"/>
  <c r="F1352" i="27" s="1"/>
  <c r="K36" i="32"/>
  <c r="L34" i="32"/>
  <c r="A3705" i="27"/>
  <c r="A3706" i="27"/>
  <c r="F3708" i="27"/>
  <c r="B608" i="27"/>
  <c r="M608" i="27"/>
  <c r="N608" i="27"/>
  <c r="H607" i="27"/>
  <c r="L600" i="32"/>
  <c r="N598" i="32" a="1"/>
  <c r="N598" i="32" s="1"/>
  <c r="E598" i="32" s="1"/>
  <c r="O598" i="32" a="1"/>
  <c r="O598" i="32" s="1"/>
  <c r="M1178" i="27" s="1"/>
  <c r="A1178" i="27" s="1"/>
  <c r="M598" i="32" a="1"/>
  <c r="M598" i="32" s="1"/>
  <c r="D598" i="32" s="1"/>
  <c r="N1605" i="32" a="1"/>
  <c r="N1605" i="32" s="1"/>
  <c r="E1605" i="32" s="1"/>
  <c r="O1605" i="32" a="1"/>
  <c r="O1605" i="32" s="1"/>
  <c r="M1605" i="32" a="1"/>
  <c r="M1605" i="32" s="1"/>
  <c r="D1605" i="32" s="1"/>
  <c r="L1607" i="32"/>
  <c r="L1649" i="32"/>
  <c r="M1647" i="32" a="1"/>
  <c r="M1647" i="32" s="1"/>
  <c r="D1647" i="32" s="1"/>
  <c r="N1647" i="32" a="1"/>
  <c r="N1647" i="32" s="1"/>
  <c r="E1647" i="32" s="1"/>
  <c r="O1647" i="32" a="1"/>
  <c r="O1647" i="32" s="1"/>
  <c r="Q1177" i="32"/>
  <c r="A1177" i="32"/>
  <c r="I3707" i="27"/>
  <c r="G1173" i="32"/>
  <c r="H3707" i="27"/>
  <c r="O679" i="32" l="1" a="1"/>
  <c r="O679" i="32" s="1"/>
  <c r="M2124" i="27" s="1"/>
  <c r="A2124" i="27" s="1"/>
  <c r="N679" i="32" a="1"/>
  <c r="N679" i="32" s="1"/>
  <c r="E679" i="32" s="1"/>
  <c r="F2124" i="27" s="1"/>
  <c r="M679" i="32" a="1"/>
  <c r="M679" i="32" s="1"/>
  <c r="D679" i="32" s="1"/>
  <c r="K683" i="32"/>
  <c r="L681" i="32"/>
  <c r="K358" i="32"/>
  <c r="L356" i="32"/>
  <c r="O354" i="32" a="1"/>
  <c r="O354" i="32" s="1"/>
  <c r="M1056" i="27" s="1"/>
  <c r="A1056" i="27" s="1"/>
  <c r="M354" i="32" a="1"/>
  <c r="M354" i="32" s="1"/>
  <c r="D354" i="32" s="1"/>
  <c r="N354" i="32" a="1"/>
  <c r="N354" i="32" s="1"/>
  <c r="E354" i="32" s="1"/>
  <c r="O34" i="32" a="1"/>
  <c r="O34" i="32" s="1"/>
  <c r="M1353" i="27" s="1"/>
  <c r="A1353" i="27" s="1"/>
  <c r="M34" i="32" a="1"/>
  <c r="M34" i="32" s="1"/>
  <c r="D34" i="32" s="1"/>
  <c r="N34" i="32" a="1"/>
  <c r="N34" i="32" s="1"/>
  <c r="E34" i="32" s="1"/>
  <c r="F1353" i="27" s="1"/>
  <c r="K38" i="32"/>
  <c r="L36" i="32"/>
  <c r="A3707" i="27"/>
  <c r="F3709" i="27"/>
  <c r="H608" i="27"/>
  <c r="B609" i="27"/>
  <c r="M609" i="27"/>
  <c r="N609" i="27"/>
  <c r="N600" i="32" a="1"/>
  <c r="N600" i="32" s="1"/>
  <c r="E600" i="32" s="1"/>
  <c r="M600" i="32" a="1"/>
  <c r="M600" i="32" s="1"/>
  <c r="D600" i="32" s="1"/>
  <c r="O600" i="32" a="1"/>
  <c r="O600" i="32" s="1"/>
  <c r="M1179" i="27" s="1"/>
  <c r="A1179" i="27" s="1"/>
  <c r="M1607" i="32" a="1"/>
  <c r="M1607" i="32" s="1"/>
  <c r="D1607" i="32" s="1"/>
  <c r="N1607" i="32" a="1"/>
  <c r="N1607" i="32" s="1"/>
  <c r="E1607" i="32" s="1"/>
  <c r="O1607" i="32" a="1"/>
  <c r="O1607" i="32" s="1"/>
  <c r="L1609" i="32"/>
  <c r="L1651" i="32"/>
  <c r="O1649" i="32" a="1"/>
  <c r="O1649" i="32" s="1"/>
  <c r="M1649" i="32" a="1"/>
  <c r="M1649" i="32" s="1"/>
  <c r="D1649" i="32" s="1"/>
  <c r="N1649" i="32" a="1"/>
  <c r="N1649" i="32" s="1"/>
  <c r="E1649" i="32" s="1"/>
  <c r="Q1179" i="32"/>
  <c r="A1179" i="32"/>
  <c r="I3708" i="27"/>
  <c r="H3708" i="27"/>
  <c r="G1175" i="32"/>
  <c r="M681" i="32" l="1" a="1"/>
  <c r="M681" i="32" s="1"/>
  <c r="D681" i="32" s="1"/>
  <c r="O681" i="32" a="1"/>
  <c r="O681" i="32" s="1"/>
  <c r="M2125" i="27" s="1"/>
  <c r="A2125" i="27" s="1"/>
  <c r="N681" i="32" a="1"/>
  <c r="N681" i="32" s="1"/>
  <c r="E681" i="32" s="1"/>
  <c r="F2125" i="27" s="1"/>
  <c r="K685" i="32"/>
  <c r="L683" i="32"/>
  <c r="O356" i="32" a="1"/>
  <c r="O356" i="32" s="1"/>
  <c r="M1057" i="27" s="1"/>
  <c r="A1057" i="27" s="1"/>
  <c r="N356" i="32" a="1"/>
  <c r="N356" i="32" s="1"/>
  <c r="E356" i="32" s="1"/>
  <c r="M356" i="32" a="1"/>
  <c r="M356" i="32" s="1"/>
  <c r="D356" i="32" s="1"/>
  <c r="K360" i="32"/>
  <c r="L358" i="32"/>
  <c r="N36" i="32" a="1"/>
  <c r="N36" i="32" s="1"/>
  <c r="E36" i="32" s="1"/>
  <c r="F1354" i="27" s="1"/>
  <c r="O36" i="32" a="1"/>
  <c r="O36" i="32" s="1"/>
  <c r="M1354" i="27" s="1"/>
  <c r="A1354" i="27" s="1"/>
  <c r="M36" i="32" a="1"/>
  <c r="M36" i="32" s="1"/>
  <c r="D36" i="32" s="1"/>
  <c r="K40" i="32"/>
  <c r="L38" i="32"/>
  <c r="A3708" i="27"/>
  <c r="F3710" i="27"/>
  <c r="B610" i="27"/>
  <c r="N610" i="27"/>
  <c r="M610" i="27"/>
  <c r="H609" i="27"/>
  <c r="O1609" i="32" a="1"/>
  <c r="O1609" i="32" s="1"/>
  <c r="N1609" i="32" a="1"/>
  <c r="N1609" i="32" s="1"/>
  <c r="E1609" i="32" s="1"/>
  <c r="M1609" i="32" a="1"/>
  <c r="M1609" i="32" s="1"/>
  <c r="D1609" i="32" s="1"/>
  <c r="L1611" i="32"/>
  <c r="L1653" i="32"/>
  <c r="O1651" i="32" a="1"/>
  <c r="O1651" i="32" s="1"/>
  <c r="M1651" i="32" a="1"/>
  <c r="M1651" i="32" s="1"/>
  <c r="D1651" i="32" s="1"/>
  <c r="N1651" i="32" a="1"/>
  <c r="N1651" i="32" s="1"/>
  <c r="E1651" i="32" s="1"/>
  <c r="Q1181" i="32"/>
  <c r="G1177" i="32"/>
  <c r="I3709" i="27"/>
  <c r="H3709" i="27"/>
  <c r="N683" i="32" l="1" a="1"/>
  <c r="N683" i="32" s="1"/>
  <c r="E683" i="32" s="1"/>
  <c r="F2126" i="27" s="1"/>
  <c r="O683" i="32" a="1"/>
  <c r="O683" i="32" s="1"/>
  <c r="M2126" i="27" s="1"/>
  <c r="A2126" i="27" s="1"/>
  <c r="M683" i="32" a="1"/>
  <c r="M683" i="32" s="1"/>
  <c r="D683" i="32" s="1"/>
  <c r="K687" i="32"/>
  <c r="L685" i="32"/>
  <c r="O358" i="32" a="1"/>
  <c r="O358" i="32" s="1"/>
  <c r="M1058" i="27" s="1"/>
  <c r="A1058" i="27" s="1"/>
  <c r="N358" i="32" a="1"/>
  <c r="N358" i="32" s="1"/>
  <c r="E358" i="32" s="1"/>
  <c r="M358" i="32" a="1"/>
  <c r="M358" i="32" s="1"/>
  <c r="D358" i="32" s="1"/>
  <c r="K362" i="32"/>
  <c r="L360" i="32"/>
  <c r="O38" i="32" a="1"/>
  <c r="O38" i="32" s="1"/>
  <c r="M1355" i="27" s="1"/>
  <c r="A1355" i="27" s="1"/>
  <c r="M38" i="32" a="1"/>
  <c r="M38" i="32" s="1"/>
  <c r="D38" i="32" s="1"/>
  <c r="N38" i="32" a="1"/>
  <c r="N38" i="32" s="1"/>
  <c r="E38" i="32" s="1"/>
  <c r="F1355" i="27" s="1"/>
  <c r="K42" i="32"/>
  <c r="L40" i="32"/>
  <c r="A3709" i="27"/>
  <c r="F3711" i="27"/>
  <c r="F3712" i="27"/>
  <c r="H610" i="27"/>
  <c r="B611" i="27"/>
  <c r="M611" i="27"/>
  <c r="N611" i="27"/>
  <c r="M1611" i="32" a="1"/>
  <c r="M1611" i="32" s="1"/>
  <c r="D1611" i="32" s="1"/>
  <c r="N1611" i="32" a="1"/>
  <c r="N1611" i="32" s="1"/>
  <c r="E1611" i="32" s="1"/>
  <c r="O1611" i="32" a="1"/>
  <c r="O1611" i="32" s="1"/>
  <c r="L1613" i="32"/>
  <c r="L1655" i="32"/>
  <c r="M1653" i="32" a="1"/>
  <c r="M1653" i="32" s="1"/>
  <c r="D1653" i="32" s="1"/>
  <c r="N1653" i="32" a="1"/>
  <c r="N1653" i="32" s="1"/>
  <c r="E1653" i="32" s="1"/>
  <c r="O1653" i="32" a="1"/>
  <c r="O1653" i="32" s="1"/>
  <c r="Q1183" i="32"/>
  <c r="I3710" i="27"/>
  <c r="G1179" i="32"/>
  <c r="A1181" i="32"/>
  <c r="H3710" i="27"/>
  <c r="N685" i="32" l="1" a="1"/>
  <c r="N685" i="32" s="1"/>
  <c r="E685" i="32" s="1"/>
  <c r="F2127" i="27" s="1"/>
  <c r="O685" i="32" a="1"/>
  <c r="O685" i="32" s="1"/>
  <c r="M2127" i="27" s="1"/>
  <c r="A2127" i="27" s="1"/>
  <c r="M685" i="32" a="1"/>
  <c r="M685" i="32" s="1"/>
  <c r="D685" i="32" s="1"/>
  <c r="K689" i="32"/>
  <c r="L687" i="32"/>
  <c r="N360" i="32" a="1"/>
  <c r="N360" i="32" s="1"/>
  <c r="E360" i="32" s="1"/>
  <c r="M360" i="32" a="1"/>
  <c r="M360" i="32" s="1"/>
  <c r="D360" i="32" s="1"/>
  <c r="O360" i="32" a="1"/>
  <c r="O360" i="32" s="1"/>
  <c r="M1059" i="27" s="1"/>
  <c r="A1059" i="27" s="1"/>
  <c r="K364" i="32"/>
  <c r="L362" i="32"/>
  <c r="O40" i="32" a="1"/>
  <c r="O40" i="32" s="1"/>
  <c r="M1356" i="27" s="1"/>
  <c r="A1356" i="27" s="1"/>
  <c r="M40" i="32" a="1"/>
  <c r="M40" i="32" s="1"/>
  <c r="D40" i="32" s="1"/>
  <c r="N40" i="32" a="1"/>
  <c r="N40" i="32" s="1"/>
  <c r="E40" i="32" s="1"/>
  <c r="F1356" i="27" s="1"/>
  <c r="K44" i="32"/>
  <c r="L42" i="32"/>
  <c r="A3710" i="27"/>
  <c r="F3713" i="27"/>
  <c r="B612" i="27"/>
  <c r="M612" i="27"/>
  <c r="N612" i="27"/>
  <c r="H611" i="27"/>
  <c r="O1613" i="32" a="1"/>
  <c r="O1613" i="32" s="1"/>
  <c r="N1613" i="32" a="1"/>
  <c r="N1613" i="32" s="1"/>
  <c r="E1613" i="32" s="1"/>
  <c r="M1613" i="32" a="1"/>
  <c r="M1613" i="32" s="1"/>
  <c r="D1613" i="32" s="1"/>
  <c r="L1615" i="32"/>
  <c r="O1655" i="32" a="1"/>
  <c r="O1655" i="32" s="1"/>
  <c r="M1655" i="32" a="1"/>
  <c r="M1655" i="32" s="1"/>
  <c r="D1655" i="32" s="1"/>
  <c r="N1655" i="32" a="1"/>
  <c r="N1655" i="32" s="1"/>
  <c r="E1655" i="32" s="1"/>
  <c r="L1657" i="32"/>
  <c r="Q1185" i="32"/>
  <c r="A1183" i="32"/>
  <c r="G1181" i="32"/>
  <c r="H3712" i="27"/>
  <c r="I3712" i="27"/>
  <c r="H3711" i="27"/>
  <c r="I3711" i="27"/>
  <c r="N687" i="32" l="1" a="1"/>
  <c r="N687" i="32" s="1"/>
  <c r="E687" i="32" s="1"/>
  <c r="F2128" i="27" s="1"/>
  <c r="M687" i="32" a="1"/>
  <c r="M687" i="32" s="1"/>
  <c r="D687" i="32" s="1"/>
  <c r="O687" i="32" a="1"/>
  <c r="O687" i="32" s="1"/>
  <c r="M2128" i="27" s="1"/>
  <c r="A2128" i="27" s="1"/>
  <c r="K691" i="32"/>
  <c r="L689" i="32"/>
  <c r="M362" i="32" a="1"/>
  <c r="M362" i="32" s="1"/>
  <c r="D362" i="32" s="1"/>
  <c r="N362" i="32" a="1"/>
  <c r="N362" i="32" s="1"/>
  <c r="E362" i="32" s="1"/>
  <c r="O362" i="32" a="1"/>
  <c r="O362" i="32" s="1"/>
  <c r="M1060" i="27" s="1"/>
  <c r="A1060" i="27" s="1"/>
  <c r="K366" i="32"/>
  <c r="L364" i="32"/>
  <c r="O42" i="32" a="1"/>
  <c r="O42" i="32" s="1"/>
  <c r="M1357" i="27" s="1"/>
  <c r="A1357" i="27" s="1"/>
  <c r="N42" i="32" a="1"/>
  <c r="N42" i="32" s="1"/>
  <c r="E42" i="32" s="1"/>
  <c r="F1357" i="27" s="1"/>
  <c r="M42" i="32" a="1"/>
  <c r="M42" i="32" s="1"/>
  <c r="D42" i="32" s="1"/>
  <c r="K46" i="32"/>
  <c r="L44" i="32"/>
  <c r="A3711" i="27"/>
  <c r="A3712" i="27"/>
  <c r="F3714" i="27"/>
  <c r="H612" i="27"/>
  <c r="B613" i="27"/>
  <c r="N613" i="27"/>
  <c r="M613" i="27"/>
  <c r="N1615" i="32" a="1"/>
  <c r="N1615" i="32" s="1"/>
  <c r="E1615" i="32" s="1"/>
  <c r="M1615" i="32" a="1"/>
  <c r="M1615" i="32" s="1"/>
  <c r="D1615" i="32" s="1"/>
  <c r="O1615" i="32" a="1"/>
  <c r="O1615" i="32" s="1"/>
  <c r="L1617" i="32"/>
  <c r="O1657" i="32" a="1"/>
  <c r="O1657" i="32" s="1"/>
  <c r="N1657" i="32" a="1"/>
  <c r="N1657" i="32" s="1"/>
  <c r="E1657" i="32" s="1"/>
  <c r="M1657" i="32" a="1"/>
  <c r="M1657" i="32" s="1"/>
  <c r="D1657" i="32" s="1"/>
  <c r="Q1187" i="32"/>
  <c r="H3713" i="27"/>
  <c r="G1183" i="32"/>
  <c r="I3713" i="27"/>
  <c r="A1185" i="32"/>
  <c r="M689" i="32" l="1" a="1"/>
  <c r="M689" i="32" s="1"/>
  <c r="D689" i="32" s="1"/>
  <c r="O689" i="32" a="1"/>
  <c r="O689" i="32" s="1"/>
  <c r="M2129" i="27" s="1"/>
  <c r="A2129" i="27" s="1"/>
  <c r="N689" i="32" a="1"/>
  <c r="N689" i="32" s="1"/>
  <c r="E689" i="32" s="1"/>
  <c r="F2129" i="27" s="1"/>
  <c r="K693" i="32"/>
  <c r="L691" i="32"/>
  <c r="M364" i="32" a="1"/>
  <c r="M364" i="32" s="1"/>
  <c r="D364" i="32" s="1"/>
  <c r="O364" i="32" a="1"/>
  <c r="O364" i="32" s="1"/>
  <c r="M1061" i="27" s="1"/>
  <c r="A1061" i="27" s="1"/>
  <c r="N364" i="32" a="1"/>
  <c r="N364" i="32" s="1"/>
  <c r="E364" i="32" s="1"/>
  <c r="K368" i="32"/>
  <c r="L366" i="32"/>
  <c r="N44" i="32" a="1"/>
  <c r="N44" i="32" s="1"/>
  <c r="E44" i="32" s="1"/>
  <c r="F1358" i="27" s="1"/>
  <c r="O44" i="32" a="1"/>
  <c r="O44" i="32" s="1"/>
  <c r="M1358" i="27" s="1"/>
  <c r="A1358" i="27" s="1"/>
  <c r="M44" i="32" a="1"/>
  <c r="M44" i="32" s="1"/>
  <c r="D44" i="32" s="1"/>
  <c r="K48" i="32"/>
  <c r="L46" i="32"/>
  <c r="A3713" i="27"/>
  <c r="F3715" i="27"/>
  <c r="B614" i="27"/>
  <c r="N614" i="27"/>
  <c r="M614" i="27"/>
  <c r="H613" i="27"/>
  <c r="N1617" i="32" a="1"/>
  <c r="N1617" i="32" s="1"/>
  <c r="E1617" i="32" s="1"/>
  <c r="O1617" i="32" a="1"/>
  <c r="O1617" i="32" s="1"/>
  <c r="M1617" i="32" a="1"/>
  <c r="M1617" i="32" s="1"/>
  <c r="D1617" i="32" s="1"/>
  <c r="Q1189" i="32"/>
  <c r="H3714" i="27"/>
  <c r="A1187" i="32"/>
  <c r="G1185" i="32"/>
  <c r="I3714" i="27"/>
  <c r="N691" i="32" l="1" a="1"/>
  <c r="N691" i="32" s="1"/>
  <c r="E691" i="32" s="1"/>
  <c r="F2130" i="27" s="1"/>
  <c r="O691" i="32" a="1"/>
  <c r="O691" i="32" s="1"/>
  <c r="M2130" i="27" s="1"/>
  <c r="A2130" i="27" s="1"/>
  <c r="M691" i="32" a="1"/>
  <c r="M691" i="32" s="1"/>
  <c r="D691" i="32" s="1"/>
  <c r="K695" i="32"/>
  <c r="L693" i="32"/>
  <c r="M366" i="32" a="1"/>
  <c r="M366" i="32" s="1"/>
  <c r="D366" i="32" s="1"/>
  <c r="O366" i="32" a="1"/>
  <c r="O366" i="32" s="1"/>
  <c r="M1062" i="27" s="1"/>
  <c r="A1062" i="27" s="1"/>
  <c r="N366" i="32" a="1"/>
  <c r="N366" i="32" s="1"/>
  <c r="E366" i="32" s="1"/>
  <c r="K370" i="32"/>
  <c r="L368" i="32"/>
  <c r="M46" i="32" a="1"/>
  <c r="M46" i="32" s="1"/>
  <c r="D46" i="32" s="1"/>
  <c r="N46" i="32" a="1"/>
  <c r="N46" i="32" s="1"/>
  <c r="E46" i="32" s="1"/>
  <c r="F1359" i="27" s="1"/>
  <c r="O46" i="32" a="1"/>
  <c r="O46" i="32" s="1"/>
  <c r="M1359" i="27" s="1"/>
  <c r="A1359" i="27" s="1"/>
  <c r="K50" i="32"/>
  <c r="L48" i="32"/>
  <c r="A3714" i="27"/>
  <c r="F3716" i="27"/>
  <c r="H614" i="27"/>
  <c r="B615" i="27"/>
  <c r="N615" i="27"/>
  <c r="M615" i="27"/>
  <c r="Q1191" i="32"/>
  <c r="A1189" i="32"/>
  <c r="H3715" i="27"/>
  <c r="G1187" i="32"/>
  <c r="I3715" i="27"/>
  <c r="O693" i="32" l="1" a="1"/>
  <c r="O693" i="32" s="1"/>
  <c r="M2131" i="27" s="1"/>
  <c r="A2131" i="27" s="1"/>
  <c r="M693" i="32" a="1"/>
  <c r="M693" i="32" s="1"/>
  <c r="D693" i="32" s="1"/>
  <c r="N693" i="32" a="1"/>
  <c r="N693" i="32" s="1"/>
  <c r="E693" i="32" s="1"/>
  <c r="F2131" i="27" s="1"/>
  <c r="K697" i="32"/>
  <c r="L695" i="32"/>
  <c r="N368" i="32" a="1"/>
  <c r="N368" i="32" s="1"/>
  <c r="E368" i="32" s="1"/>
  <c r="M368" i="32" a="1"/>
  <c r="M368" i="32" s="1"/>
  <c r="D368" i="32" s="1"/>
  <c r="O368" i="32" a="1"/>
  <c r="O368" i="32" s="1"/>
  <c r="M1063" i="27" s="1"/>
  <c r="A1063" i="27" s="1"/>
  <c r="K372" i="32"/>
  <c r="L370" i="32"/>
  <c r="K52" i="32"/>
  <c r="L50" i="32"/>
  <c r="M48" i="32" a="1"/>
  <c r="M48" i="32" s="1"/>
  <c r="D48" i="32" s="1"/>
  <c r="O48" i="32" a="1"/>
  <c r="O48" i="32" s="1"/>
  <c r="M1360" i="27" s="1"/>
  <c r="A1360" i="27" s="1"/>
  <c r="N48" i="32" a="1"/>
  <c r="N48" i="32" s="1"/>
  <c r="E48" i="32" s="1"/>
  <c r="F1360" i="27" s="1"/>
  <c r="A3715" i="27"/>
  <c r="F3718" i="27"/>
  <c r="F3717" i="27"/>
  <c r="B616" i="27"/>
  <c r="M616" i="27"/>
  <c r="N616" i="27"/>
  <c r="H615" i="27"/>
  <c r="Q1193" i="32"/>
  <c r="A1191" i="32"/>
  <c r="I3716" i="27"/>
  <c r="H3716" i="27"/>
  <c r="G1189" i="32"/>
  <c r="N695" i="32" l="1" a="1"/>
  <c r="N695" i="32" s="1"/>
  <c r="E695" i="32" s="1"/>
  <c r="F2132" i="27" s="1"/>
  <c r="M695" i="32" a="1"/>
  <c r="M695" i="32" s="1"/>
  <c r="D695" i="32" s="1"/>
  <c r="O695" i="32" a="1"/>
  <c r="O695" i="32" s="1"/>
  <c r="M2132" i="27" s="1"/>
  <c r="A2132" i="27" s="1"/>
  <c r="K699" i="32"/>
  <c r="L697" i="32"/>
  <c r="M370" i="32" a="1"/>
  <c r="M370" i="32" s="1"/>
  <c r="D370" i="32" s="1"/>
  <c r="N370" i="32" a="1"/>
  <c r="N370" i="32" s="1"/>
  <c r="E370" i="32" s="1"/>
  <c r="O370" i="32" a="1"/>
  <c r="O370" i="32" s="1"/>
  <c r="M1064" i="27" s="1"/>
  <c r="A1064" i="27" s="1"/>
  <c r="K374" i="32"/>
  <c r="L372" i="32"/>
  <c r="N50" i="32" a="1"/>
  <c r="N50" i="32" s="1"/>
  <c r="E50" i="32" s="1"/>
  <c r="F1361" i="27" s="1"/>
  <c r="M50" i="32" a="1"/>
  <c r="M50" i="32" s="1"/>
  <c r="D50" i="32" s="1"/>
  <c r="O50" i="32" a="1"/>
  <c r="O50" i="32" s="1"/>
  <c r="M1361" i="27" s="1"/>
  <c r="A1361" i="27" s="1"/>
  <c r="K54" i="32"/>
  <c r="L52" i="32"/>
  <c r="A3716" i="27"/>
  <c r="F3719" i="27"/>
  <c r="H616" i="27"/>
  <c r="B617" i="27"/>
  <c r="M617" i="27"/>
  <c r="N617" i="27"/>
  <c r="Q1195" i="32"/>
  <c r="A1193" i="32"/>
  <c r="H3718" i="27"/>
  <c r="I3718" i="27"/>
  <c r="A1195" i="32"/>
  <c r="I3717" i="27"/>
  <c r="H3717" i="27"/>
  <c r="G1191" i="32"/>
  <c r="M697" i="32" l="1" a="1"/>
  <c r="M697" i="32" s="1"/>
  <c r="D697" i="32" s="1"/>
  <c r="N697" i="32" a="1"/>
  <c r="N697" i="32" s="1"/>
  <c r="E697" i="32" s="1"/>
  <c r="F2133" i="27" s="1"/>
  <c r="O697" i="32" a="1"/>
  <c r="O697" i="32" s="1"/>
  <c r="M2133" i="27" s="1"/>
  <c r="A2133" i="27" s="1"/>
  <c r="K701" i="32"/>
  <c r="L699" i="32"/>
  <c r="M372" i="32" a="1"/>
  <c r="M372" i="32" s="1"/>
  <c r="D372" i="32" s="1"/>
  <c r="N372" i="32" a="1"/>
  <c r="N372" i="32" s="1"/>
  <c r="E372" i="32" s="1"/>
  <c r="O372" i="32" a="1"/>
  <c r="O372" i="32" s="1"/>
  <c r="M1065" i="27" s="1"/>
  <c r="A1065" i="27" s="1"/>
  <c r="K376" i="32"/>
  <c r="L374" i="32"/>
  <c r="N52" i="32" a="1"/>
  <c r="N52" i="32" s="1"/>
  <c r="E52" i="32" s="1"/>
  <c r="F1362" i="27" s="1"/>
  <c r="M52" i="32" a="1"/>
  <c r="M52" i="32" s="1"/>
  <c r="D52" i="32" s="1"/>
  <c r="O52" i="32" a="1"/>
  <c r="O52" i="32" s="1"/>
  <c r="M1362" i="27" s="1"/>
  <c r="A1362" i="27" s="1"/>
  <c r="K56" i="32"/>
  <c r="L54" i="32"/>
  <c r="A3718" i="27"/>
  <c r="A3717" i="27"/>
  <c r="F3720" i="27"/>
  <c r="B618" i="27"/>
  <c r="M618" i="27"/>
  <c r="N618" i="27"/>
  <c r="H617" i="27"/>
  <c r="Q1197" i="32"/>
  <c r="H3719" i="27"/>
  <c r="I3719" i="27"/>
  <c r="G1193" i="32"/>
  <c r="K703" i="32" l="1"/>
  <c r="L701" i="32"/>
  <c r="N699" i="32" a="1"/>
  <c r="N699" i="32" s="1"/>
  <c r="E699" i="32" s="1"/>
  <c r="F2134" i="27" s="1"/>
  <c r="O699" i="32" a="1"/>
  <c r="O699" i="32" s="1"/>
  <c r="M2134" i="27" s="1"/>
  <c r="A2134" i="27" s="1"/>
  <c r="M699" i="32" a="1"/>
  <c r="M699" i="32" s="1"/>
  <c r="D699" i="32" s="1"/>
  <c r="K378" i="32"/>
  <c r="L376" i="32"/>
  <c r="O374" i="32" a="1"/>
  <c r="O374" i="32" s="1"/>
  <c r="M1066" i="27" s="1"/>
  <c r="A1066" i="27" s="1"/>
  <c r="M374" i="32" a="1"/>
  <c r="M374" i="32" s="1"/>
  <c r="D374" i="32" s="1"/>
  <c r="N374" i="32" a="1"/>
  <c r="N374" i="32" s="1"/>
  <c r="E374" i="32" s="1"/>
  <c r="N54" i="32" a="1"/>
  <c r="N54" i="32" s="1"/>
  <c r="E54" i="32" s="1"/>
  <c r="F1363" i="27" s="1"/>
  <c r="M54" i="32" a="1"/>
  <c r="M54" i="32" s="1"/>
  <c r="D54" i="32" s="1"/>
  <c r="O54" i="32" a="1"/>
  <c r="O54" i="32" s="1"/>
  <c r="M1363" i="27" s="1"/>
  <c r="A1363" i="27" s="1"/>
  <c r="K58" i="32"/>
  <c r="L56" i="32"/>
  <c r="A3719" i="27"/>
  <c r="F3721" i="27"/>
  <c r="H618" i="27"/>
  <c r="B619" i="27"/>
  <c r="M619" i="27"/>
  <c r="N619" i="27"/>
  <c r="Q1199" i="32"/>
  <c r="A1197" i="32"/>
  <c r="A1199" i="32"/>
  <c r="H3720" i="27"/>
  <c r="I3720" i="27"/>
  <c r="G1195" i="32"/>
  <c r="N701" i="32" l="1" a="1"/>
  <c r="N701" i="32" s="1"/>
  <c r="E701" i="32" s="1"/>
  <c r="F2135" i="27" s="1"/>
  <c r="M701" i="32" a="1"/>
  <c r="M701" i="32" s="1"/>
  <c r="D701" i="32" s="1"/>
  <c r="O701" i="32" a="1"/>
  <c r="O701" i="32" s="1"/>
  <c r="M2135" i="27" s="1"/>
  <c r="A2135" i="27" s="1"/>
  <c r="K705" i="32"/>
  <c r="L703" i="32"/>
  <c r="M376" i="32" a="1"/>
  <c r="M376" i="32" s="1"/>
  <c r="D376" i="32" s="1"/>
  <c r="O376" i="32" a="1"/>
  <c r="O376" i="32" s="1"/>
  <c r="M1067" i="27" s="1"/>
  <c r="A1067" i="27" s="1"/>
  <c r="N376" i="32" a="1"/>
  <c r="N376" i="32" s="1"/>
  <c r="E376" i="32" s="1"/>
  <c r="K380" i="32"/>
  <c r="L378" i="32"/>
  <c r="N56" i="32" a="1"/>
  <c r="N56" i="32" s="1"/>
  <c r="E56" i="32" s="1"/>
  <c r="F1364" i="27" s="1"/>
  <c r="O56" i="32" a="1"/>
  <c r="O56" i="32" s="1"/>
  <c r="M1364" i="27" s="1"/>
  <c r="A1364" i="27" s="1"/>
  <c r="M56" i="32" a="1"/>
  <c r="M56" i="32" s="1"/>
  <c r="D56" i="32" s="1"/>
  <c r="K60" i="32"/>
  <c r="L58" i="32"/>
  <c r="A3720" i="27"/>
  <c r="F3722" i="27"/>
  <c r="B620" i="27"/>
  <c r="M620" i="27"/>
  <c r="N620" i="27"/>
  <c r="H619" i="27"/>
  <c r="Q1201" i="32"/>
  <c r="H3721" i="27"/>
  <c r="I3721" i="27"/>
  <c r="G1197" i="32"/>
  <c r="N703" i="32" l="1" a="1"/>
  <c r="N703" i="32" s="1"/>
  <c r="E703" i="32" s="1"/>
  <c r="F2136" i="27" s="1"/>
  <c r="O703" i="32" a="1"/>
  <c r="O703" i="32" s="1"/>
  <c r="M2136" i="27" s="1"/>
  <c r="A2136" i="27" s="1"/>
  <c r="M703" i="32" a="1"/>
  <c r="M703" i="32" s="1"/>
  <c r="D703" i="32" s="1"/>
  <c r="K707" i="32"/>
  <c r="L705" i="32"/>
  <c r="O378" i="32" a="1"/>
  <c r="O378" i="32" s="1"/>
  <c r="M1068" i="27" s="1"/>
  <c r="A1068" i="27" s="1"/>
  <c r="N378" i="32" a="1"/>
  <c r="N378" i="32" s="1"/>
  <c r="E378" i="32" s="1"/>
  <c r="M378" i="32" a="1"/>
  <c r="M378" i="32" s="1"/>
  <c r="D378" i="32" s="1"/>
  <c r="K382" i="32"/>
  <c r="L380" i="32"/>
  <c r="O58" i="32" a="1"/>
  <c r="O58" i="32" s="1"/>
  <c r="M1365" i="27" s="1"/>
  <c r="A1365" i="27" s="1"/>
  <c r="M58" i="32" a="1"/>
  <c r="M58" i="32" s="1"/>
  <c r="D58" i="32" s="1"/>
  <c r="N58" i="32" a="1"/>
  <c r="N58" i="32" s="1"/>
  <c r="E58" i="32" s="1"/>
  <c r="F1365" i="27" s="1"/>
  <c r="K62" i="32"/>
  <c r="L60" i="32"/>
  <c r="A3721" i="27"/>
  <c r="F3724" i="27"/>
  <c r="F3723" i="27"/>
  <c r="H620" i="27"/>
  <c r="B621" i="27"/>
  <c r="M621" i="27"/>
  <c r="N621" i="27"/>
  <c r="Q1203" i="32"/>
  <c r="A1201" i="32"/>
  <c r="G1199" i="32"/>
  <c r="I3722" i="27"/>
  <c r="H3722" i="27"/>
  <c r="A1203" i="32"/>
  <c r="O705" i="32" l="1" a="1"/>
  <c r="O705" i="32" s="1"/>
  <c r="M2137" i="27" s="1"/>
  <c r="A2137" i="27" s="1"/>
  <c r="N705" i="32" a="1"/>
  <c r="N705" i="32" s="1"/>
  <c r="E705" i="32" s="1"/>
  <c r="F2137" i="27" s="1"/>
  <c r="M705" i="32" a="1"/>
  <c r="M705" i="32" s="1"/>
  <c r="D705" i="32" s="1"/>
  <c r="K709" i="32"/>
  <c r="L707" i="32"/>
  <c r="M380" i="32" a="1"/>
  <c r="M380" i="32" s="1"/>
  <c r="D380" i="32" s="1"/>
  <c r="N380" i="32" a="1"/>
  <c r="N380" i="32" s="1"/>
  <c r="E380" i="32" s="1"/>
  <c r="O380" i="32" a="1"/>
  <c r="O380" i="32" s="1"/>
  <c r="M1069" i="27" s="1"/>
  <c r="A1069" i="27" s="1"/>
  <c r="K384" i="32"/>
  <c r="L382" i="32"/>
  <c r="M60" i="32" a="1"/>
  <c r="M60" i="32" s="1"/>
  <c r="D60" i="32" s="1"/>
  <c r="O60" i="32" a="1"/>
  <c r="O60" i="32" s="1"/>
  <c r="M1366" i="27" s="1"/>
  <c r="A1366" i="27" s="1"/>
  <c r="N60" i="32" a="1"/>
  <c r="N60" i="32" s="1"/>
  <c r="E60" i="32" s="1"/>
  <c r="F1366" i="27" s="1"/>
  <c r="K64" i="32"/>
  <c r="L62" i="32"/>
  <c r="A3722" i="27"/>
  <c r="F3725" i="27"/>
  <c r="B622" i="27"/>
  <c r="N622" i="27"/>
  <c r="M622" i="27"/>
  <c r="H621" i="27"/>
  <c r="Q1205" i="32"/>
  <c r="I3723" i="27"/>
  <c r="H3723" i="27"/>
  <c r="H3724" i="27"/>
  <c r="G1201" i="32"/>
  <c r="I3724" i="27"/>
  <c r="O707" i="32" l="1" a="1"/>
  <c r="O707" i="32" s="1"/>
  <c r="M2138" i="27" s="1"/>
  <c r="A2138" i="27" s="1"/>
  <c r="N707" i="32" a="1"/>
  <c r="N707" i="32" s="1"/>
  <c r="E707" i="32" s="1"/>
  <c r="F2138" i="27" s="1"/>
  <c r="M707" i="32" a="1"/>
  <c r="M707" i="32" s="1"/>
  <c r="D707" i="32" s="1"/>
  <c r="K711" i="32"/>
  <c r="L709" i="32"/>
  <c r="N382" i="32" a="1"/>
  <c r="N382" i="32" s="1"/>
  <c r="E382" i="32" s="1"/>
  <c r="M382" i="32" a="1"/>
  <c r="M382" i="32" s="1"/>
  <c r="D382" i="32" s="1"/>
  <c r="O382" i="32" a="1"/>
  <c r="O382" i="32" s="1"/>
  <c r="M1070" i="27" s="1"/>
  <c r="A1070" i="27" s="1"/>
  <c r="K386" i="32"/>
  <c r="L384" i="32"/>
  <c r="O62" i="32" a="1"/>
  <c r="O62" i="32" s="1"/>
  <c r="M1367" i="27" s="1"/>
  <c r="A1367" i="27" s="1"/>
  <c r="M62" i="32" a="1"/>
  <c r="M62" i="32" s="1"/>
  <c r="D62" i="32" s="1"/>
  <c r="N62" i="32" a="1"/>
  <c r="N62" i="32" s="1"/>
  <c r="E62" i="32" s="1"/>
  <c r="F1367" i="27" s="1"/>
  <c r="K66" i="32"/>
  <c r="L64" i="32"/>
  <c r="A3724" i="27"/>
  <c r="A3723" i="27"/>
  <c r="F3726" i="27"/>
  <c r="H622" i="27"/>
  <c r="B623" i="27"/>
  <c r="N623" i="27"/>
  <c r="M623" i="27"/>
  <c r="Q1207" i="32"/>
  <c r="I3725" i="27"/>
  <c r="A1207" i="32"/>
  <c r="H3725" i="27"/>
  <c r="A1205" i="32"/>
  <c r="G1203" i="32"/>
  <c r="N709" i="32" l="1" a="1"/>
  <c r="N709" i="32" s="1"/>
  <c r="E709" i="32" s="1"/>
  <c r="F2139" i="27" s="1"/>
  <c r="M709" i="32" a="1"/>
  <c r="M709" i="32" s="1"/>
  <c r="D709" i="32" s="1"/>
  <c r="O709" i="32" a="1"/>
  <c r="O709" i="32" s="1"/>
  <c r="M2139" i="27" s="1"/>
  <c r="A2139" i="27" s="1"/>
  <c r="K713" i="32"/>
  <c r="L711" i="32"/>
  <c r="N384" i="32" a="1"/>
  <c r="N384" i="32" s="1"/>
  <c r="E384" i="32" s="1"/>
  <c r="O384" i="32" a="1"/>
  <c r="O384" i="32" s="1"/>
  <c r="M1071" i="27" s="1"/>
  <c r="A1071" i="27" s="1"/>
  <c r="M384" i="32" a="1"/>
  <c r="M384" i="32" s="1"/>
  <c r="D384" i="32" s="1"/>
  <c r="K388" i="32"/>
  <c r="L386" i="32"/>
  <c r="M64" i="32" a="1"/>
  <c r="M64" i="32" s="1"/>
  <c r="D64" i="32" s="1"/>
  <c r="N64" i="32" a="1"/>
  <c r="N64" i="32" s="1"/>
  <c r="E64" i="32" s="1"/>
  <c r="F1368" i="27" s="1"/>
  <c r="O64" i="32" a="1"/>
  <c r="O64" i="32" s="1"/>
  <c r="M1368" i="27" s="1"/>
  <c r="A1368" i="27" s="1"/>
  <c r="K68" i="32"/>
  <c r="L66" i="32"/>
  <c r="A3725" i="27"/>
  <c r="F3727" i="27"/>
  <c r="B624" i="27"/>
  <c r="N624" i="27"/>
  <c r="M624" i="27"/>
  <c r="H623" i="27"/>
  <c r="L1619" i="32"/>
  <c r="Q1209" i="32"/>
  <c r="G1205" i="32"/>
  <c r="H3726" i="27"/>
  <c r="A1209" i="32"/>
  <c r="I3726" i="27"/>
  <c r="M711" i="32" l="1" a="1"/>
  <c r="M711" i="32" s="1"/>
  <c r="D711" i="32" s="1"/>
  <c r="O711" i="32" a="1"/>
  <c r="O711" i="32" s="1"/>
  <c r="M2140" i="27" s="1"/>
  <c r="A2140" i="27" s="1"/>
  <c r="N711" i="32" a="1"/>
  <c r="N711" i="32" s="1"/>
  <c r="E711" i="32" s="1"/>
  <c r="F2140" i="27" s="1"/>
  <c r="K715" i="32"/>
  <c r="L713" i="32"/>
  <c r="O386" i="32" a="1"/>
  <c r="O386" i="32" s="1"/>
  <c r="M1072" i="27" s="1"/>
  <c r="A1072" i="27" s="1"/>
  <c r="N386" i="32" a="1"/>
  <c r="N386" i="32" s="1"/>
  <c r="E386" i="32" s="1"/>
  <c r="M386" i="32" a="1"/>
  <c r="M386" i="32" s="1"/>
  <c r="D386" i="32" s="1"/>
  <c r="K390" i="32"/>
  <c r="L388" i="32"/>
  <c r="O66" i="32" a="1"/>
  <c r="O66" i="32" s="1"/>
  <c r="M1369" i="27" s="1"/>
  <c r="A1369" i="27" s="1"/>
  <c r="M66" i="32" a="1"/>
  <c r="M66" i="32" s="1"/>
  <c r="D66" i="32" s="1"/>
  <c r="N66" i="32" a="1"/>
  <c r="N66" i="32" s="1"/>
  <c r="E66" i="32" s="1"/>
  <c r="F1369" i="27" s="1"/>
  <c r="K70" i="32"/>
  <c r="L68" i="32"/>
  <c r="A3726" i="27"/>
  <c r="F3728" i="27"/>
  <c r="H624" i="27"/>
  <c r="B625" i="27"/>
  <c r="M625" i="27"/>
  <c r="N625" i="27"/>
  <c r="L1621" i="32"/>
  <c r="N1619" i="32" a="1"/>
  <c r="N1619" i="32" s="1"/>
  <c r="E1619" i="32" s="1"/>
  <c r="M1619" i="32" a="1"/>
  <c r="M1619" i="32" s="1"/>
  <c r="D1619" i="32" s="1"/>
  <c r="O1619" i="32" a="1"/>
  <c r="O1619" i="32" s="1"/>
  <c r="Q1211" i="32"/>
  <c r="I3727" i="27"/>
  <c r="H3727" i="27"/>
  <c r="G1207" i="32"/>
  <c r="N713" i="32" l="1" a="1"/>
  <c r="N713" i="32" s="1"/>
  <c r="E713" i="32" s="1"/>
  <c r="F2141" i="27" s="1"/>
  <c r="O713" i="32" a="1"/>
  <c r="O713" i="32" s="1"/>
  <c r="M2141" i="27" s="1"/>
  <c r="A2141" i="27" s="1"/>
  <c r="M713" i="32" a="1"/>
  <c r="M713" i="32" s="1"/>
  <c r="D713" i="32" s="1"/>
  <c r="K717" i="32"/>
  <c r="L715" i="32"/>
  <c r="M388" i="32" a="1"/>
  <c r="M388" i="32" s="1"/>
  <c r="D388" i="32" s="1"/>
  <c r="O388" i="32" a="1"/>
  <c r="O388" i="32" s="1"/>
  <c r="M1073" i="27" s="1"/>
  <c r="A1073" i="27" s="1"/>
  <c r="N388" i="32" a="1"/>
  <c r="N388" i="32" s="1"/>
  <c r="E388" i="32" s="1"/>
  <c r="K392" i="32"/>
  <c r="L390" i="32"/>
  <c r="K72" i="32"/>
  <c r="L70" i="32"/>
  <c r="O68" i="32" a="1"/>
  <c r="O68" i="32" s="1"/>
  <c r="M1370" i="27" s="1"/>
  <c r="A1370" i="27" s="1"/>
  <c r="N68" i="32" a="1"/>
  <c r="N68" i="32" s="1"/>
  <c r="E68" i="32" s="1"/>
  <c r="F1370" i="27" s="1"/>
  <c r="M68" i="32" a="1"/>
  <c r="M68" i="32" s="1"/>
  <c r="D68" i="32" s="1"/>
  <c r="A3727" i="27"/>
  <c r="F3730" i="27"/>
  <c r="F3729" i="27"/>
  <c r="B626" i="27"/>
  <c r="M626" i="27"/>
  <c r="N626" i="27"/>
  <c r="H625" i="27"/>
  <c r="L1623" i="32"/>
  <c r="N1621" i="32" a="1"/>
  <c r="N1621" i="32" s="1"/>
  <c r="E1621" i="32" s="1"/>
  <c r="M1621" i="32" a="1"/>
  <c r="M1621" i="32" s="1"/>
  <c r="D1621" i="32" s="1"/>
  <c r="O1621" i="32" a="1"/>
  <c r="O1621" i="32" s="1"/>
  <c r="Q1213" i="32"/>
  <c r="I3728" i="27"/>
  <c r="A1211" i="32"/>
  <c r="A1213" i="32"/>
  <c r="G1209" i="32"/>
  <c r="H3728" i="27"/>
  <c r="M715" i="32" l="1" a="1"/>
  <c r="M715" i="32" s="1"/>
  <c r="D715" i="32" s="1"/>
  <c r="N715" i="32" a="1"/>
  <c r="N715" i="32" s="1"/>
  <c r="E715" i="32" s="1"/>
  <c r="F2142" i="27" s="1"/>
  <c r="O715" i="32" a="1"/>
  <c r="O715" i="32" s="1"/>
  <c r="M2142" i="27" s="1"/>
  <c r="A2142" i="27" s="1"/>
  <c r="K719" i="32"/>
  <c r="L717" i="32"/>
  <c r="M390" i="32" a="1"/>
  <c r="M390" i="32" s="1"/>
  <c r="D390" i="32" s="1"/>
  <c r="N390" i="32" a="1"/>
  <c r="N390" i="32" s="1"/>
  <c r="E390" i="32" s="1"/>
  <c r="O390" i="32" a="1"/>
  <c r="O390" i="32" s="1"/>
  <c r="M1074" i="27" s="1"/>
  <c r="A1074" i="27" s="1"/>
  <c r="K394" i="32"/>
  <c r="L392" i="32"/>
  <c r="M70" i="32" a="1"/>
  <c r="M70" i="32" s="1"/>
  <c r="D70" i="32" s="1"/>
  <c r="N70" i="32" a="1"/>
  <c r="N70" i="32" s="1"/>
  <c r="E70" i="32" s="1"/>
  <c r="F1371" i="27" s="1"/>
  <c r="O70" i="32" a="1"/>
  <c r="O70" i="32" s="1"/>
  <c r="M1371" i="27" s="1"/>
  <c r="A1371" i="27" s="1"/>
  <c r="K74" i="32"/>
  <c r="L72" i="32"/>
  <c r="A3728" i="27"/>
  <c r="H626" i="27"/>
  <c r="F3731" i="27"/>
  <c r="B627" i="27"/>
  <c r="M627" i="27"/>
  <c r="N627" i="27"/>
  <c r="L1659" i="32"/>
  <c r="O1623" i="32" a="1"/>
  <c r="O1623" i="32" s="1"/>
  <c r="N1623" i="32" a="1"/>
  <c r="N1623" i="32" s="1"/>
  <c r="E1623" i="32" s="1"/>
  <c r="M1623" i="32" a="1"/>
  <c r="M1623" i="32" s="1"/>
  <c r="D1623" i="32" s="1"/>
  <c r="Q1215" i="32"/>
  <c r="I3729" i="27"/>
  <c r="H3730" i="27"/>
  <c r="H3729" i="27"/>
  <c r="I3730" i="27"/>
  <c r="A1215" i="32"/>
  <c r="G1211" i="32"/>
  <c r="M717" i="32" l="1" a="1"/>
  <c r="M717" i="32" s="1"/>
  <c r="D717" i="32" s="1"/>
  <c r="N717" i="32" a="1"/>
  <c r="N717" i="32" s="1"/>
  <c r="E717" i="32" s="1"/>
  <c r="F2143" i="27" s="1"/>
  <c r="O717" i="32" a="1"/>
  <c r="O717" i="32" s="1"/>
  <c r="M2143" i="27" s="1"/>
  <c r="A2143" i="27" s="1"/>
  <c r="K721" i="32"/>
  <c r="L719" i="32"/>
  <c r="N392" i="32" a="1"/>
  <c r="N392" i="32" s="1"/>
  <c r="E392" i="32" s="1"/>
  <c r="M392" i="32" a="1"/>
  <c r="M392" i="32" s="1"/>
  <c r="D392" i="32" s="1"/>
  <c r="O392" i="32" a="1"/>
  <c r="O392" i="32" s="1"/>
  <c r="M1075" i="27" s="1"/>
  <c r="A1075" i="27" s="1"/>
  <c r="K396" i="32"/>
  <c r="L394" i="32"/>
  <c r="N72" i="32" a="1"/>
  <c r="N72" i="32" s="1"/>
  <c r="E72" i="32" s="1"/>
  <c r="F1372" i="27" s="1"/>
  <c r="O72" i="32" a="1"/>
  <c r="O72" i="32" s="1"/>
  <c r="M1372" i="27" s="1"/>
  <c r="A1372" i="27" s="1"/>
  <c r="M72" i="32" a="1"/>
  <c r="M72" i="32" s="1"/>
  <c r="D72" i="32" s="1"/>
  <c r="K76" i="32"/>
  <c r="L74" i="32"/>
  <c r="A3730" i="27"/>
  <c r="A3729" i="27"/>
  <c r="F3732" i="27"/>
  <c r="B628" i="27"/>
  <c r="M628" i="27"/>
  <c r="N628" i="27"/>
  <c r="H627" i="27"/>
  <c r="N1659" i="32" a="1"/>
  <c r="N1659" i="32" s="1"/>
  <c r="E1659" i="32" s="1"/>
  <c r="O1659" i="32" a="1"/>
  <c r="O1659" i="32" s="1"/>
  <c r="M1659" i="32" a="1"/>
  <c r="M1659" i="32" s="1"/>
  <c r="D1659" i="32" s="1"/>
  <c r="Q1217" i="32"/>
  <c r="I3731" i="27"/>
  <c r="G1213" i="32"/>
  <c r="A1217" i="32"/>
  <c r="H3731" i="27"/>
  <c r="M719" i="32" l="1" a="1"/>
  <c r="M719" i="32" s="1"/>
  <c r="D719" i="32" s="1"/>
  <c r="N719" i="32" a="1"/>
  <c r="N719" i="32" s="1"/>
  <c r="E719" i="32" s="1"/>
  <c r="F2144" i="27" s="1"/>
  <c r="O719" i="32" a="1"/>
  <c r="O719" i="32" s="1"/>
  <c r="M2144" i="27" s="1"/>
  <c r="A2144" i="27" s="1"/>
  <c r="K723" i="32"/>
  <c r="L721" i="32"/>
  <c r="K398" i="32"/>
  <c r="L396" i="32"/>
  <c r="M394" i="32" a="1"/>
  <c r="M394" i="32" s="1"/>
  <c r="D394" i="32" s="1"/>
  <c r="O394" i="32" a="1"/>
  <c r="O394" i="32" s="1"/>
  <c r="M1076" i="27" s="1"/>
  <c r="A1076" i="27" s="1"/>
  <c r="N394" i="32" a="1"/>
  <c r="N394" i="32" s="1"/>
  <c r="E394" i="32" s="1"/>
  <c r="O74" i="32" a="1"/>
  <c r="O74" i="32" s="1"/>
  <c r="M1373" i="27" s="1"/>
  <c r="A1373" i="27" s="1"/>
  <c r="M74" i="32" a="1"/>
  <c r="M74" i="32" s="1"/>
  <c r="D74" i="32" s="1"/>
  <c r="N74" i="32" a="1"/>
  <c r="N74" i="32" s="1"/>
  <c r="E74" i="32" s="1"/>
  <c r="F1373" i="27" s="1"/>
  <c r="K78" i="32"/>
  <c r="L76" i="32"/>
  <c r="A3731" i="27"/>
  <c r="F3733" i="27"/>
  <c r="H628" i="27"/>
  <c r="B629" i="27"/>
  <c r="N629" i="27"/>
  <c r="M629" i="27"/>
  <c r="Q1219" i="32"/>
  <c r="A1219" i="32"/>
  <c r="I3732" i="27"/>
  <c r="G1215" i="32"/>
  <c r="H3732" i="27"/>
  <c r="M721" i="32" l="1" a="1"/>
  <c r="M721" i="32" s="1"/>
  <c r="D721" i="32" s="1"/>
  <c r="N721" i="32" a="1"/>
  <c r="N721" i="32" s="1"/>
  <c r="E721" i="32" s="1"/>
  <c r="F2145" i="27" s="1"/>
  <c r="O721" i="32" a="1"/>
  <c r="O721" i="32" s="1"/>
  <c r="M2145" i="27" s="1"/>
  <c r="A2145" i="27" s="1"/>
  <c r="K725" i="32"/>
  <c r="L723" i="32"/>
  <c r="K400" i="32"/>
  <c r="L398" i="32"/>
  <c r="N396" i="32" a="1"/>
  <c r="N396" i="32" s="1"/>
  <c r="E396" i="32" s="1"/>
  <c r="M396" i="32" a="1"/>
  <c r="M396" i="32" s="1"/>
  <c r="D396" i="32" s="1"/>
  <c r="O396" i="32" a="1"/>
  <c r="O396" i="32" s="1"/>
  <c r="M1077" i="27" s="1"/>
  <c r="A1077" i="27" s="1"/>
  <c r="N76" i="32" a="1"/>
  <c r="N76" i="32" s="1"/>
  <c r="E76" i="32" s="1"/>
  <c r="F1374" i="27" s="1"/>
  <c r="O76" i="32" a="1"/>
  <c r="O76" i="32" s="1"/>
  <c r="M1374" i="27" s="1"/>
  <c r="A1374" i="27" s="1"/>
  <c r="M76" i="32" a="1"/>
  <c r="M76" i="32" s="1"/>
  <c r="D76" i="32" s="1"/>
  <c r="K80" i="32"/>
  <c r="L78" i="32"/>
  <c r="A3732" i="27"/>
  <c r="F3734" i="27"/>
  <c r="B630" i="27"/>
  <c r="N630" i="27"/>
  <c r="M630" i="27"/>
  <c r="H629" i="27"/>
  <c r="Q1221" i="32"/>
  <c r="H3733" i="27"/>
  <c r="I3733" i="27"/>
  <c r="G1217" i="32"/>
  <c r="A1221" i="32"/>
  <c r="M723" i="32" l="1" a="1"/>
  <c r="M723" i="32" s="1"/>
  <c r="D723" i="32" s="1"/>
  <c r="N723" i="32" a="1"/>
  <c r="N723" i="32" s="1"/>
  <c r="E723" i="32" s="1"/>
  <c r="F2146" i="27" s="1"/>
  <c r="O723" i="32" a="1"/>
  <c r="O723" i="32" s="1"/>
  <c r="M2146" i="27" s="1"/>
  <c r="A2146" i="27" s="1"/>
  <c r="K727" i="32"/>
  <c r="L725" i="32"/>
  <c r="N398" i="32" a="1"/>
  <c r="N398" i="32" s="1"/>
  <c r="E398" i="32" s="1"/>
  <c r="O398" i="32" a="1"/>
  <c r="O398" i="32" s="1"/>
  <c r="M1078" i="27" s="1"/>
  <c r="A1078" i="27" s="1"/>
  <c r="M398" i="32" a="1"/>
  <c r="M398" i="32" s="1"/>
  <c r="D398" i="32" s="1"/>
  <c r="K402" i="32"/>
  <c r="L400" i="32"/>
  <c r="M78" i="32" a="1"/>
  <c r="M78" i="32" s="1"/>
  <c r="D78" i="32" s="1"/>
  <c r="N78" i="32" a="1"/>
  <c r="N78" i="32" s="1"/>
  <c r="E78" i="32" s="1"/>
  <c r="F1375" i="27" s="1"/>
  <c r="O78" i="32" a="1"/>
  <c r="O78" i="32" s="1"/>
  <c r="M1375" i="27" s="1"/>
  <c r="A1375" i="27" s="1"/>
  <c r="K82" i="32"/>
  <c r="L80" i="32"/>
  <c r="A3733" i="27"/>
  <c r="F3736" i="27"/>
  <c r="F3735" i="27"/>
  <c r="H630" i="27"/>
  <c r="B631" i="27"/>
  <c r="M631" i="27"/>
  <c r="N631" i="27"/>
  <c r="Q1223" i="32"/>
  <c r="H3734" i="27"/>
  <c r="I3734" i="27"/>
  <c r="G1219" i="32"/>
  <c r="A1223" i="32"/>
  <c r="M725" i="32" l="1" a="1"/>
  <c r="M725" i="32" s="1"/>
  <c r="D725" i="32" s="1"/>
  <c r="O725" i="32" a="1"/>
  <c r="O725" i="32" s="1"/>
  <c r="M2147" i="27" s="1"/>
  <c r="A2147" i="27" s="1"/>
  <c r="N725" i="32" a="1"/>
  <c r="N725" i="32" s="1"/>
  <c r="E725" i="32" s="1"/>
  <c r="F2147" i="27" s="1"/>
  <c r="K729" i="32"/>
  <c r="L727" i="32"/>
  <c r="N400" i="32" a="1"/>
  <c r="N400" i="32" s="1"/>
  <c r="E400" i="32" s="1"/>
  <c r="M400" i="32" a="1"/>
  <c r="M400" i="32" s="1"/>
  <c r="D400" i="32" s="1"/>
  <c r="O400" i="32" a="1"/>
  <c r="O400" i="32" s="1"/>
  <c r="M1079" i="27" s="1"/>
  <c r="A1079" i="27" s="1"/>
  <c r="K404" i="32"/>
  <c r="L402" i="32"/>
  <c r="O80" i="32" a="1"/>
  <c r="O80" i="32" s="1"/>
  <c r="M1376" i="27" s="1"/>
  <c r="A1376" i="27" s="1"/>
  <c r="M80" i="32" a="1"/>
  <c r="M80" i="32" s="1"/>
  <c r="D80" i="32" s="1"/>
  <c r="N80" i="32" a="1"/>
  <c r="N80" i="32" s="1"/>
  <c r="E80" i="32" s="1"/>
  <c r="F1376" i="27" s="1"/>
  <c r="K84" i="32"/>
  <c r="L82" i="32"/>
  <c r="A3734" i="27"/>
  <c r="F3737" i="27"/>
  <c r="B632" i="27"/>
  <c r="M632" i="27"/>
  <c r="N632" i="27"/>
  <c r="H631" i="27"/>
  <c r="Q1225" i="32"/>
  <c r="I3736" i="27"/>
  <c r="H3736" i="27"/>
  <c r="I3735" i="27"/>
  <c r="H3735" i="27"/>
  <c r="G1221" i="32"/>
  <c r="M727" i="32" l="1" a="1"/>
  <c r="M727" i="32" s="1"/>
  <c r="D727" i="32" s="1"/>
  <c r="N727" i="32" a="1"/>
  <c r="N727" i="32" s="1"/>
  <c r="E727" i="32" s="1"/>
  <c r="F2148" i="27" s="1"/>
  <c r="O727" i="32" a="1"/>
  <c r="O727" i="32" s="1"/>
  <c r="M2148" i="27" s="1"/>
  <c r="A2148" i="27" s="1"/>
  <c r="K731" i="32"/>
  <c r="L729" i="32"/>
  <c r="N402" i="32" a="1"/>
  <c r="N402" i="32" s="1"/>
  <c r="E402" i="32" s="1"/>
  <c r="O402" i="32" a="1"/>
  <c r="O402" i="32" s="1"/>
  <c r="M1080" i="27" s="1"/>
  <c r="A1080" i="27" s="1"/>
  <c r="M402" i="32" a="1"/>
  <c r="M402" i="32" s="1"/>
  <c r="D402" i="32" s="1"/>
  <c r="K406" i="32"/>
  <c r="L404" i="32"/>
  <c r="O82" i="32" a="1"/>
  <c r="O82" i="32" s="1"/>
  <c r="M1377" i="27" s="1"/>
  <c r="A1377" i="27" s="1"/>
  <c r="N82" i="32" a="1"/>
  <c r="N82" i="32" s="1"/>
  <c r="E82" i="32" s="1"/>
  <c r="F1377" i="27" s="1"/>
  <c r="M82" i="32" a="1"/>
  <c r="M82" i="32" s="1"/>
  <c r="D82" i="32" s="1"/>
  <c r="K86" i="32"/>
  <c r="L84" i="32"/>
  <c r="A3736" i="27"/>
  <c r="A3735" i="27"/>
  <c r="F3738" i="27"/>
  <c r="H632" i="27"/>
  <c r="B633" i="27"/>
  <c r="M633" i="27"/>
  <c r="N633" i="27"/>
  <c r="Q1227" i="32"/>
  <c r="A1225" i="32"/>
  <c r="H3737" i="27"/>
  <c r="A1227" i="32"/>
  <c r="G1223" i="32"/>
  <c r="I3737" i="27"/>
  <c r="N729" i="32" l="1" a="1"/>
  <c r="N729" i="32" s="1"/>
  <c r="E729" i="32" s="1"/>
  <c r="F2149" i="27" s="1"/>
  <c r="O729" i="32" a="1"/>
  <c r="O729" i="32" s="1"/>
  <c r="M2149" i="27" s="1"/>
  <c r="A2149" i="27" s="1"/>
  <c r="M729" i="32" a="1"/>
  <c r="M729" i="32" s="1"/>
  <c r="D729" i="32" s="1"/>
  <c r="K733" i="32"/>
  <c r="L731" i="32"/>
  <c r="N404" i="32" a="1"/>
  <c r="N404" i="32" s="1"/>
  <c r="E404" i="32" s="1"/>
  <c r="M404" i="32" a="1"/>
  <c r="M404" i="32" s="1"/>
  <c r="D404" i="32" s="1"/>
  <c r="O404" i="32" a="1"/>
  <c r="O404" i="32" s="1"/>
  <c r="M1081" i="27" s="1"/>
  <c r="A1081" i="27" s="1"/>
  <c r="K408" i="32"/>
  <c r="L406" i="32"/>
  <c r="O84" i="32" a="1"/>
  <c r="O84" i="32" s="1"/>
  <c r="M1378" i="27" s="1"/>
  <c r="A1378" i="27" s="1"/>
  <c r="N84" i="32" a="1"/>
  <c r="N84" i="32" s="1"/>
  <c r="E84" i="32" s="1"/>
  <c r="F1378" i="27" s="1"/>
  <c r="M84" i="32" a="1"/>
  <c r="M84" i="32" s="1"/>
  <c r="D84" i="32" s="1"/>
  <c r="K88" i="32"/>
  <c r="L86" i="32"/>
  <c r="A3737" i="27"/>
  <c r="F3739" i="27"/>
  <c r="B634" i="27"/>
  <c r="N634" i="27"/>
  <c r="M634" i="27"/>
  <c r="H633" i="27"/>
  <c r="Q1229" i="32"/>
  <c r="I3738" i="27"/>
  <c r="G1225" i="32"/>
  <c r="H3738" i="27"/>
  <c r="N731" i="32" l="1" a="1"/>
  <c r="N731" i="32" s="1"/>
  <c r="E731" i="32" s="1"/>
  <c r="F2150" i="27" s="1"/>
  <c r="O731" i="32" a="1"/>
  <c r="O731" i="32" s="1"/>
  <c r="M2150" i="27" s="1"/>
  <c r="A2150" i="27" s="1"/>
  <c r="M731" i="32" a="1"/>
  <c r="M731" i="32" s="1"/>
  <c r="D731" i="32" s="1"/>
  <c r="K735" i="32"/>
  <c r="L733" i="32"/>
  <c r="N406" i="32" a="1"/>
  <c r="N406" i="32" s="1"/>
  <c r="E406" i="32" s="1"/>
  <c r="O406" i="32" a="1"/>
  <c r="O406" i="32" s="1"/>
  <c r="M1082" i="27" s="1"/>
  <c r="A1082" i="27" s="1"/>
  <c r="M406" i="32" a="1"/>
  <c r="M406" i="32" s="1"/>
  <c r="D406" i="32" s="1"/>
  <c r="K410" i="32"/>
  <c r="L408" i="32"/>
  <c r="N86" i="32" a="1"/>
  <c r="N86" i="32" s="1"/>
  <c r="E86" i="32" s="1"/>
  <c r="F1379" i="27" s="1"/>
  <c r="M86" i="32" a="1"/>
  <c r="M86" i="32" s="1"/>
  <c r="D86" i="32" s="1"/>
  <c r="O86" i="32" a="1"/>
  <c r="O86" i="32" s="1"/>
  <c r="M1379" i="27" s="1"/>
  <c r="A1379" i="27" s="1"/>
  <c r="K90" i="32"/>
  <c r="L88" i="32"/>
  <c r="A3738" i="27"/>
  <c r="F3740" i="27"/>
  <c r="H634" i="27"/>
  <c r="B635" i="27"/>
  <c r="M635" i="27"/>
  <c r="N635" i="27"/>
  <c r="Q1231" i="32"/>
  <c r="A1231" i="32"/>
  <c r="A1229" i="32"/>
  <c r="G1227" i="32"/>
  <c r="I3739" i="27"/>
  <c r="H3739" i="27"/>
  <c r="M733" i="32" l="1" a="1"/>
  <c r="M733" i="32" s="1"/>
  <c r="D733" i="32" s="1"/>
  <c r="N733" i="32" a="1"/>
  <c r="N733" i="32" s="1"/>
  <c r="E733" i="32" s="1"/>
  <c r="F2151" i="27" s="1"/>
  <c r="O733" i="32" a="1"/>
  <c r="O733" i="32" s="1"/>
  <c r="M2151" i="27" s="1"/>
  <c r="A2151" i="27" s="1"/>
  <c r="K737" i="32"/>
  <c r="L735" i="32"/>
  <c r="O408" i="32" a="1"/>
  <c r="O408" i="32" s="1"/>
  <c r="M1083" i="27" s="1"/>
  <c r="A1083" i="27" s="1"/>
  <c r="M408" i="32" a="1"/>
  <c r="M408" i="32" s="1"/>
  <c r="D408" i="32" s="1"/>
  <c r="N408" i="32" a="1"/>
  <c r="N408" i="32" s="1"/>
  <c r="E408" i="32" s="1"/>
  <c r="K412" i="32"/>
  <c r="L410" i="32"/>
  <c r="K92" i="32"/>
  <c r="L90" i="32"/>
  <c r="O88" i="32" a="1"/>
  <c r="O88" i="32" s="1"/>
  <c r="M1380" i="27" s="1"/>
  <c r="A1380" i="27" s="1"/>
  <c r="N88" i="32" a="1"/>
  <c r="N88" i="32" s="1"/>
  <c r="E88" i="32" s="1"/>
  <c r="F1380" i="27" s="1"/>
  <c r="M88" i="32" a="1"/>
  <c r="M88" i="32" s="1"/>
  <c r="D88" i="32" s="1"/>
  <c r="A3739" i="27"/>
  <c r="F3741" i="27"/>
  <c r="F3742" i="27"/>
  <c r="B636" i="27"/>
  <c r="N636" i="27"/>
  <c r="M636" i="27"/>
  <c r="H635" i="27"/>
  <c r="Q1233" i="32"/>
  <c r="I3740" i="27"/>
  <c r="G1229" i="32"/>
  <c r="H3740" i="27"/>
  <c r="O735" i="32" l="1" a="1"/>
  <c r="O735" i="32" s="1"/>
  <c r="M2152" i="27" s="1"/>
  <c r="A2152" i="27" s="1"/>
  <c r="M735" i="32" a="1"/>
  <c r="M735" i="32" s="1"/>
  <c r="D735" i="32" s="1"/>
  <c r="N735" i="32" a="1"/>
  <c r="N735" i="32" s="1"/>
  <c r="E735" i="32" s="1"/>
  <c r="F2152" i="27" s="1"/>
  <c r="K739" i="32"/>
  <c r="L737" i="32"/>
  <c r="M410" i="32" a="1"/>
  <c r="M410" i="32" s="1"/>
  <c r="D410" i="32" s="1"/>
  <c r="N410" i="32" a="1"/>
  <c r="N410" i="32" s="1"/>
  <c r="E410" i="32" s="1"/>
  <c r="O410" i="32" a="1"/>
  <c r="O410" i="32" s="1"/>
  <c r="M1084" i="27" s="1"/>
  <c r="A1084" i="27" s="1"/>
  <c r="K414" i="32"/>
  <c r="L412" i="32"/>
  <c r="O90" i="32" a="1"/>
  <c r="O90" i="32" s="1"/>
  <c r="M1381" i="27" s="1"/>
  <c r="A1381" i="27" s="1"/>
  <c r="N90" i="32" a="1"/>
  <c r="N90" i="32" s="1"/>
  <c r="E90" i="32" s="1"/>
  <c r="F1381" i="27" s="1"/>
  <c r="M90" i="32" a="1"/>
  <c r="M90" i="32" s="1"/>
  <c r="D90" i="32" s="1"/>
  <c r="K94" i="32"/>
  <c r="L92" i="32"/>
  <c r="A3740" i="27"/>
  <c r="F3743" i="27"/>
  <c r="H636" i="27"/>
  <c r="B637" i="27"/>
  <c r="M637" i="27"/>
  <c r="N637" i="27"/>
  <c r="Q1235" i="32"/>
  <c r="H3742" i="27"/>
  <c r="I3741" i="27"/>
  <c r="H3741" i="27"/>
  <c r="A1235" i="32"/>
  <c r="I3742" i="27"/>
  <c r="A1233" i="32"/>
  <c r="G1231" i="32"/>
  <c r="N737" i="32" l="1" a="1"/>
  <c r="N737" i="32" s="1"/>
  <c r="E737" i="32" s="1"/>
  <c r="F2153" i="27" s="1"/>
  <c r="O737" i="32" a="1"/>
  <c r="O737" i="32" s="1"/>
  <c r="M2153" i="27" s="1"/>
  <c r="A2153" i="27" s="1"/>
  <c r="M737" i="32" a="1"/>
  <c r="M737" i="32" s="1"/>
  <c r="D737" i="32" s="1"/>
  <c r="K741" i="32"/>
  <c r="L739" i="32"/>
  <c r="O412" i="32" a="1"/>
  <c r="O412" i="32" s="1"/>
  <c r="M1085" i="27" s="1"/>
  <c r="A1085" i="27" s="1"/>
  <c r="N412" i="32" a="1"/>
  <c r="N412" i="32" s="1"/>
  <c r="E412" i="32" s="1"/>
  <c r="M412" i="32" a="1"/>
  <c r="M412" i="32" s="1"/>
  <c r="D412" i="32" s="1"/>
  <c r="K416" i="32"/>
  <c r="L414" i="32"/>
  <c r="O92" i="32" a="1"/>
  <c r="O92" i="32" s="1"/>
  <c r="M1382" i="27" s="1"/>
  <c r="A1382" i="27" s="1"/>
  <c r="M92" i="32" a="1"/>
  <c r="M92" i="32" s="1"/>
  <c r="D92" i="32" s="1"/>
  <c r="N92" i="32" a="1"/>
  <c r="N92" i="32" s="1"/>
  <c r="E92" i="32" s="1"/>
  <c r="F1382" i="27" s="1"/>
  <c r="K96" i="32"/>
  <c r="L94" i="32"/>
  <c r="A3742" i="27"/>
  <c r="A3741" i="27"/>
  <c r="F3744" i="27"/>
  <c r="H637" i="27"/>
  <c r="B638" i="27"/>
  <c r="N638" i="27"/>
  <c r="M638" i="27"/>
  <c r="Q1237" i="32"/>
  <c r="I3743" i="27"/>
  <c r="H3743" i="27"/>
  <c r="G1233" i="32"/>
  <c r="K743" i="32" l="1"/>
  <c r="L741" i="32"/>
  <c r="O739" i="32" a="1"/>
  <c r="O739" i="32" s="1"/>
  <c r="M2154" i="27" s="1"/>
  <c r="A2154" i="27" s="1"/>
  <c r="M739" i="32" a="1"/>
  <c r="M739" i="32" s="1"/>
  <c r="D739" i="32" s="1"/>
  <c r="N739" i="32" a="1"/>
  <c r="N739" i="32" s="1"/>
  <c r="E739" i="32" s="1"/>
  <c r="F2154" i="27" s="1"/>
  <c r="K418" i="32"/>
  <c r="L416" i="32"/>
  <c r="N414" i="32" a="1"/>
  <c r="N414" i="32" s="1"/>
  <c r="E414" i="32" s="1"/>
  <c r="M414" i="32" a="1"/>
  <c r="M414" i="32" s="1"/>
  <c r="D414" i="32" s="1"/>
  <c r="O414" i="32" a="1"/>
  <c r="O414" i="32" s="1"/>
  <c r="M1086" i="27" s="1"/>
  <c r="A1086" i="27" s="1"/>
  <c r="M94" i="32" a="1"/>
  <c r="M94" i="32" s="1"/>
  <c r="D94" i="32" s="1"/>
  <c r="O94" i="32" a="1"/>
  <c r="O94" i="32" s="1"/>
  <c r="M1383" i="27" s="1"/>
  <c r="A1383" i="27" s="1"/>
  <c r="N94" i="32" a="1"/>
  <c r="N94" i="32" s="1"/>
  <c r="E94" i="32" s="1"/>
  <c r="F1383" i="27" s="1"/>
  <c r="K98" i="32"/>
  <c r="L96" i="32"/>
  <c r="A3743" i="27"/>
  <c r="F3745" i="27"/>
  <c r="H638" i="27"/>
  <c r="B639" i="27"/>
  <c r="N639" i="27"/>
  <c r="M639" i="27"/>
  <c r="Q1239" i="32"/>
  <c r="A1237" i="32"/>
  <c r="A1239" i="32"/>
  <c r="H3744" i="27"/>
  <c r="I3744" i="27"/>
  <c r="G1235" i="32"/>
  <c r="N741" i="32" l="1" a="1"/>
  <c r="N741" i="32" s="1"/>
  <c r="E741" i="32" s="1"/>
  <c r="F2155" i="27" s="1"/>
  <c r="M741" i="32" a="1"/>
  <c r="M741" i="32" s="1"/>
  <c r="D741" i="32" s="1"/>
  <c r="O741" i="32" a="1"/>
  <c r="O741" i="32" s="1"/>
  <c r="M2155" i="27" s="1"/>
  <c r="A2155" i="27" s="1"/>
  <c r="K745" i="32"/>
  <c r="L743" i="32"/>
  <c r="K420" i="32"/>
  <c r="L418" i="32"/>
  <c r="M416" i="32" a="1"/>
  <c r="M416" i="32" s="1"/>
  <c r="D416" i="32" s="1"/>
  <c r="N416" i="32" a="1"/>
  <c r="N416" i="32" s="1"/>
  <c r="E416" i="32" s="1"/>
  <c r="O416" i="32" a="1"/>
  <c r="O416" i="32" s="1"/>
  <c r="M1087" i="27" s="1"/>
  <c r="A1087" i="27" s="1"/>
  <c r="N96" i="32" a="1"/>
  <c r="N96" i="32" s="1"/>
  <c r="E96" i="32" s="1"/>
  <c r="F1384" i="27" s="1"/>
  <c r="O96" i="32" a="1"/>
  <c r="O96" i="32" s="1"/>
  <c r="M1384" i="27" s="1"/>
  <c r="A1384" i="27" s="1"/>
  <c r="M96" i="32" a="1"/>
  <c r="M96" i="32" s="1"/>
  <c r="D96" i="32" s="1"/>
  <c r="K100" i="32"/>
  <c r="L98" i="32"/>
  <c r="A3744" i="27"/>
  <c r="F3746" i="27"/>
  <c r="B640" i="27"/>
  <c r="M640" i="27"/>
  <c r="N640" i="27"/>
  <c r="H639" i="27"/>
  <c r="Q1241" i="32"/>
  <c r="G1237" i="32"/>
  <c r="I3745" i="27"/>
  <c r="H3745" i="27"/>
  <c r="N743" i="32" l="1" a="1"/>
  <c r="N743" i="32" s="1"/>
  <c r="E743" i="32" s="1"/>
  <c r="F2156" i="27" s="1"/>
  <c r="M743" i="32" a="1"/>
  <c r="M743" i="32" s="1"/>
  <c r="D743" i="32" s="1"/>
  <c r="O743" i="32" a="1"/>
  <c r="O743" i="32" s="1"/>
  <c r="M2156" i="27" s="1"/>
  <c r="A2156" i="27" s="1"/>
  <c r="K747" i="32"/>
  <c r="L745" i="32"/>
  <c r="N418" i="32" a="1"/>
  <c r="N418" i="32" s="1"/>
  <c r="E418" i="32" s="1"/>
  <c r="M418" i="32" a="1"/>
  <c r="M418" i="32" s="1"/>
  <c r="D418" i="32" s="1"/>
  <c r="O418" i="32" a="1"/>
  <c r="O418" i="32" s="1"/>
  <c r="M1088" i="27" s="1"/>
  <c r="A1088" i="27" s="1"/>
  <c r="K422" i="32"/>
  <c r="L420" i="32"/>
  <c r="N98" i="32" a="1"/>
  <c r="N98" i="32" s="1"/>
  <c r="E98" i="32" s="1"/>
  <c r="F1385" i="27" s="1"/>
  <c r="O98" i="32" a="1"/>
  <c r="O98" i="32" s="1"/>
  <c r="M1385" i="27" s="1"/>
  <c r="A1385" i="27" s="1"/>
  <c r="M98" i="32" a="1"/>
  <c r="M98" i="32" s="1"/>
  <c r="D98" i="32" s="1"/>
  <c r="K102" i="32"/>
  <c r="L100" i="32"/>
  <c r="A3745" i="27"/>
  <c r="F3748" i="27"/>
  <c r="F3747" i="27"/>
  <c r="H640" i="27"/>
  <c r="B641" i="27"/>
  <c r="M641" i="27"/>
  <c r="N641" i="27"/>
  <c r="Q1243" i="32"/>
  <c r="H3746" i="27"/>
  <c r="A1243" i="32"/>
  <c r="I3746" i="27"/>
  <c r="G1239" i="32"/>
  <c r="A1241" i="32"/>
  <c r="M745" i="32" l="1" a="1"/>
  <c r="M745" i="32" s="1"/>
  <c r="D745" i="32" s="1"/>
  <c r="N745" i="32" a="1"/>
  <c r="N745" i="32" s="1"/>
  <c r="E745" i="32" s="1"/>
  <c r="F2157" i="27" s="1"/>
  <c r="O745" i="32" a="1"/>
  <c r="O745" i="32" s="1"/>
  <c r="M2157" i="27" s="1"/>
  <c r="A2157" i="27" s="1"/>
  <c r="K749" i="32"/>
  <c r="L747" i="32"/>
  <c r="N420" i="32" a="1"/>
  <c r="N420" i="32" s="1"/>
  <c r="E420" i="32" s="1"/>
  <c r="O420" i="32" a="1"/>
  <c r="O420" i="32" s="1"/>
  <c r="M1089" i="27" s="1"/>
  <c r="A1089" i="27" s="1"/>
  <c r="M420" i="32" a="1"/>
  <c r="M420" i="32" s="1"/>
  <c r="D420" i="32" s="1"/>
  <c r="K424" i="32"/>
  <c r="L422" i="32"/>
  <c r="N100" i="32" a="1"/>
  <c r="N100" i="32" s="1"/>
  <c r="E100" i="32" s="1"/>
  <c r="F1386" i="27" s="1"/>
  <c r="M100" i="32" a="1"/>
  <c r="M100" i="32" s="1"/>
  <c r="D100" i="32" s="1"/>
  <c r="O100" i="32" a="1"/>
  <c r="O100" i="32" s="1"/>
  <c r="M1386" i="27" s="1"/>
  <c r="A1386" i="27" s="1"/>
  <c r="K104" i="32"/>
  <c r="L102" i="32"/>
  <c r="A3746" i="27"/>
  <c r="F3749" i="27"/>
  <c r="B642" i="27"/>
  <c r="M642" i="27"/>
  <c r="N642" i="27"/>
  <c r="H641" i="27"/>
  <c r="Q1245" i="32"/>
  <c r="H3748" i="27"/>
  <c r="H3747" i="27"/>
  <c r="I3748" i="27"/>
  <c r="I3747" i="27"/>
  <c r="A1245" i="32"/>
  <c r="G1241" i="32"/>
  <c r="H642" i="27" l="1"/>
  <c r="M747" i="32" a="1"/>
  <c r="M747" i="32" s="1"/>
  <c r="D747" i="32" s="1"/>
  <c r="O747" i="32" a="1"/>
  <c r="O747" i="32" s="1"/>
  <c r="M2158" i="27" s="1"/>
  <c r="A2158" i="27" s="1"/>
  <c r="N747" i="32" a="1"/>
  <c r="N747" i="32" s="1"/>
  <c r="E747" i="32" s="1"/>
  <c r="F2158" i="27" s="1"/>
  <c r="K751" i="32"/>
  <c r="L749" i="32"/>
  <c r="M422" i="32" a="1"/>
  <c r="M422" i="32" s="1"/>
  <c r="D422" i="32" s="1"/>
  <c r="O422" i="32" a="1"/>
  <c r="O422" i="32" s="1"/>
  <c r="M1090" i="27" s="1"/>
  <c r="A1090" i="27" s="1"/>
  <c r="N422" i="32" a="1"/>
  <c r="N422" i="32" s="1"/>
  <c r="E422" i="32" s="1"/>
  <c r="K426" i="32"/>
  <c r="L424" i="32"/>
  <c r="N102" i="32" a="1"/>
  <c r="N102" i="32" s="1"/>
  <c r="E102" i="32" s="1"/>
  <c r="F1387" i="27" s="1"/>
  <c r="O102" i="32" a="1"/>
  <c r="O102" i="32" s="1"/>
  <c r="M1387" i="27" s="1"/>
  <c r="A1387" i="27" s="1"/>
  <c r="M102" i="32" a="1"/>
  <c r="M102" i="32" s="1"/>
  <c r="D102" i="32" s="1"/>
  <c r="K106" i="32"/>
  <c r="L104" i="32"/>
  <c r="A3748" i="27"/>
  <c r="A3747" i="27"/>
  <c r="F3750" i="27"/>
  <c r="B643" i="27"/>
  <c r="M643" i="27"/>
  <c r="N643" i="27"/>
  <c r="Q1247" i="32"/>
  <c r="I3749" i="27"/>
  <c r="H3749" i="27"/>
  <c r="G1243" i="32"/>
  <c r="M749" i="32" l="1" a="1"/>
  <c r="M749" i="32" s="1"/>
  <c r="D749" i="32" s="1"/>
  <c r="O749" i="32" a="1"/>
  <c r="O749" i="32" s="1"/>
  <c r="M2159" i="27" s="1"/>
  <c r="A2159" i="27" s="1"/>
  <c r="N749" i="32" a="1"/>
  <c r="N749" i="32" s="1"/>
  <c r="E749" i="32" s="1"/>
  <c r="F2159" i="27" s="1"/>
  <c r="K753" i="32"/>
  <c r="L751" i="32"/>
  <c r="N424" i="32" a="1"/>
  <c r="N424" i="32" s="1"/>
  <c r="E424" i="32" s="1"/>
  <c r="M424" i="32" a="1"/>
  <c r="M424" i="32" s="1"/>
  <c r="D424" i="32" s="1"/>
  <c r="O424" i="32" a="1"/>
  <c r="O424" i="32" s="1"/>
  <c r="M1091" i="27" s="1"/>
  <c r="A1091" i="27" s="1"/>
  <c r="K428" i="32"/>
  <c r="L426" i="32"/>
  <c r="M104" i="32" a="1"/>
  <c r="M104" i="32" s="1"/>
  <c r="D104" i="32" s="1"/>
  <c r="N104" i="32" a="1"/>
  <c r="N104" i="32" s="1"/>
  <c r="E104" i="32" s="1"/>
  <c r="F1388" i="27" s="1"/>
  <c r="O104" i="32" a="1"/>
  <c r="O104" i="32" s="1"/>
  <c r="M1388" i="27" s="1"/>
  <c r="A1388" i="27" s="1"/>
  <c r="K108" i="32"/>
  <c r="L106" i="32"/>
  <c r="A3749" i="27"/>
  <c r="F3751" i="27"/>
  <c r="B644" i="27"/>
  <c r="N644" i="27"/>
  <c r="M644" i="27"/>
  <c r="H643" i="27"/>
  <c r="Q1249" i="32"/>
  <c r="A1249" i="32"/>
  <c r="H3750" i="27"/>
  <c r="G1245" i="32"/>
  <c r="I3750" i="27"/>
  <c r="A1247" i="32"/>
  <c r="M751" i="32" l="1" a="1"/>
  <c r="M751" i="32" s="1"/>
  <c r="D751" i="32" s="1"/>
  <c r="N751" i="32" a="1"/>
  <c r="N751" i="32" s="1"/>
  <c r="E751" i="32" s="1"/>
  <c r="F2160" i="27" s="1"/>
  <c r="O751" i="32" a="1"/>
  <c r="O751" i="32" s="1"/>
  <c r="M2160" i="27" s="1"/>
  <c r="A2160" i="27" s="1"/>
  <c r="K755" i="32"/>
  <c r="L753" i="32"/>
  <c r="O426" i="32" a="1"/>
  <c r="O426" i="32" s="1"/>
  <c r="M1092" i="27" s="1"/>
  <c r="A1092" i="27" s="1"/>
  <c r="N426" i="32" a="1"/>
  <c r="N426" i="32" s="1"/>
  <c r="E426" i="32" s="1"/>
  <c r="M426" i="32" a="1"/>
  <c r="M426" i="32" s="1"/>
  <c r="D426" i="32" s="1"/>
  <c r="K430" i="32"/>
  <c r="L428" i="32"/>
  <c r="O106" i="32" a="1"/>
  <c r="O106" i="32" s="1"/>
  <c r="M1389" i="27" s="1"/>
  <c r="A1389" i="27" s="1"/>
  <c r="N106" i="32" a="1"/>
  <c r="N106" i="32" s="1"/>
  <c r="E106" i="32" s="1"/>
  <c r="F1389" i="27" s="1"/>
  <c r="M106" i="32" a="1"/>
  <c r="M106" i="32" s="1"/>
  <c r="D106" i="32" s="1"/>
  <c r="K110" i="32"/>
  <c r="K112" i="32" s="1"/>
  <c r="K114" i="32" s="1"/>
  <c r="K116" i="32" s="1"/>
  <c r="K118" i="32" s="1"/>
  <c r="K120" i="32" s="1"/>
  <c r="K122" i="32" s="1"/>
  <c r="K124" i="32" s="1"/>
  <c r="K126" i="32" s="1"/>
  <c r="K128" i="32" s="1"/>
  <c r="K130" i="32" s="1"/>
  <c r="L108" i="32"/>
  <c r="A3750" i="27"/>
  <c r="F3752" i="27"/>
  <c r="H644" i="27"/>
  <c r="B645" i="27"/>
  <c r="N645" i="27"/>
  <c r="M645" i="27"/>
  <c r="Q1251" i="32"/>
  <c r="I3751" i="27"/>
  <c r="G1247" i="32"/>
  <c r="H3751" i="27"/>
  <c r="O753" i="32" l="1" a="1"/>
  <c r="O753" i="32" s="1"/>
  <c r="M2161" i="27" s="1"/>
  <c r="A2161" i="27" s="1"/>
  <c r="N753" i="32" a="1"/>
  <c r="N753" i="32" s="1"/>
  <c r="E753" i="32" s="1"/>
  <c r="F2161" i="27" s="1"/>
  <c r="M753" i="32" a="1"/>
  <c r="M753" i="32" s="1"/>
  <c r="D753" i="32" s="1"/>
  <c r="K757" i="32"/>
  <c r="L755" i="32"/>
  <c r="N428" i="32" a="1"/>
  <c r="N428" i="32" s="1"/>
  <c r="E428" i="32" s="1"/>
  <c r="M428" i="32" a="1"/>
  <c r="M428" i="32" s="1"/>
  <c r="D428" i="32" s="1"/>
  <c r="O428" i="32" a="1"/>
  <c r="O428" i="32" s="1"/>
  <c r="M1093" i="27" s="1"/>
  <c r="A1093" i="27" s="1"/>
  <c r="K432" i="32"/>
  <c r="L430" i="32"/>
  <c r="K132" i="32"/>
  <c r="L130" i="32"/>
  <c r="O108" i="32" a="1"/>
  <c r="O108" i="32" s="1"/>
  <c r="M1390" i="27" s="1"/>
  <c r="A1390" i="27" s="1"/>
  <c r="N108" i="32" a="1"/>
  <c r="N108" i="32" s="1"/>
  <c r="E108" i="32" s="1"/>
  <c r="F1390" i="27" s="1"/>
  <c r="M108" i="32" a="1"/>
  <c r="M108" i="32" s="1"/>
  <c r="D108" i="32" s="1"/>
  <c r="A3751" i="27"/>
  <c r="F3753" i="27"/>
  <c r="F3754" i="27"/>
  <c r="B646" i="27"/>
  <c r="N646" i="27"/>
  <c r="M646" i="27"/>
  <c r="H645" i="27"/>
  <c r="Q1253" i="32"/>
  <c r="A1251" i="32"/>
  <c r="H3752" i="27"/>
  <c r="I3752" i="27"/>
  <c r="A1253" i="32"/>
  <c r="G1249" i="32"/>
  <c r="O755" i="32" l="1" a="1"/>
  <c r="O755" i="32" s="1"/>
  <c r="M2162" i="27" s="1"/>
  <c r="A2162" i="27" s="1"/>
  <c r="M755" i="32" a="1"/>
  <c r="M755" i="32" s="1"/>
  <c r="D755" i="32" s="1"/>
  <c r="N755" i="32" a="1"/>
  <c r="N755" i="32" s="1"/>
  <c r="E755" i="32" s="1"/>
  <c r="F2162" i="27" s="1"/>
  <c r="K759" i="32"/>
  <c r="L757" i="32"/>
  <c r="N430" i="32" a="1"/>
  <c r="N430" i="32" s="1"/>
  <c r="E430" i="32" s="1"/>
  <c r="O430" i="32" a="1"/>
  <c r="O430" i="32" s="1"/>
  <c r="M1094" i="27" s="1"/>
  <c r="A1094" i="27" s="1"/>
  <c r="M430" i="32" a="1"/>
  <c r="M430" i="32" s="1"/>
  <c r="D430" i="32" s="1"/>
  <c r="K434" i="32"/>
  <c r="L432" i="32"/>
  <c r="K134" i="32"/>
  <c r="L132" i="32"/>
  <c r="O130" i="32" a="1"/>
  <c r="O130" i="32" s="1"/>
  <c r="M1401" i="27" s="1"/>
  <c r="A1401" i="27" s="1"/>
  <c r="N130" i="32" a="1"/>
  <c r="N130" i="32" s="1"/>
  <c r="E130" i="32" s="1"/>
  <c r="F1401" i="27" s="1"/>
  <c r="M130" i="32" a="1"/>
  <c r="M130" i="32" s="1"/>
  <c r="D130" i="32" s="1"/>
  <c r="A3752" i="27"/>
  <c r="F3755" i="27"/>
  <c r="H646" i="27"/>
  <c r="B647" i="27"/>
  <c r="M647" i="27"/>
  <c r="N647" i="27"/>
  <c r="Q1255" i="32"/>
  <c r="I3753" i="27"/>
  <c r="I3754" i="27"/>
  <c r="G1251" i="32"/>
  <c r="H3754" i="27"/>
  <c r="H3753" i="27"/>
  <c r="M757" i="32" l="1" a="1"/>
  <c r="M757" i="32" s="1"/>
  <c r="D757" i="32" s="1"/>
  <c r="N757" i="32" a="1"/>
  <c r="N757" i="32" s="1"/>
  <c r="E757" i="32" s="1"/>
  <c r="F2163" i="27" s="1"/>
  <c r="O757" i="32" a="1"/>
  <c r="O757" i="32" s="1"/>
  <c r="M2163" i="27" s="1"/>
  <c r="A2163" i="27" s="1"/>
  <c r="K761" i="32"/>
  <c r="L759" i="32"/>
  <c r="N432" i="32" a="1"/>
  <c r="N432" i="32" s="1"/>
  <c r="E432" i="32" s="1"/>
  <c r="O432" i="32" a="1"/>
  <c r="O432" i="32" s="1"/>
  <c r="M1095" i="27" s="1"/>
  <c r="A1095" i="27" s="1"/>
  <c r="M432" i="32" a="1"/>
  <c r="M432" i="32" s="1"/>
  <c r="D432" i="32" s="1"/>
  <c r="K436" i="32"/>
  <c r="L434" i="32"/>
  <c r="K136" i="32"/>
  <c r="L134" i="32"/>
  <c r="N132" i="32" a="1"/>
  <c r="N132" i="32" s="1"/>
  <c r="E132" i="32" s="1"/>
  <c r="F1402" i="27" s="1"/>
  <c r="M132" i="32" a="1"/>
  <c r="M132" i="32" s="1"/>
  <c r="D132" i="32" s="1"/>
  <c r="O132" i="32" a="1"/>
  <c r="O132" i="32" s="1"/>
  <c r="M1402" i="27" s="1"/>
  <c r="A1402" i="27" s="1"/>
  <c r="A3753" i="27"/>
  <c r="A3754" i="27"/>
  <c r="F3756" i="27"/>
  <c r="B648" i="27"/>
  <c r="M648" i="27"/>
  <c r="N648" i="27"/>
  <c r="H647" i="27"/>
  <c r="Q1257" i="32"/>
  <c r="I3755" i="27"/>
  <c r="H3755" i="27"/>
  <c r="G1253" i="32"/>
  <c r="A1257" i="32"/>
  <c r="A1255" i="32"/>
  <c r="K438" i="32" l="1"/>
  <c r="L436" i="32"/>
  <c r="N759" i="32" a="1"/>
  <c r="N759" i="32" s="1"/>
  <c r="E759" i="32" s="1"/>
  <c r="F2164" i="27" s="1"/>
  <c r="O759" i="32" a="1"/>
  <c r="O759" i="32" s="1"/>
  <c r="M2164" i="27" s="1"/>
  <c r="A2164" i="27" s="1"/>
  <c r="M759" i="32" a="1"/>
  <c r="M759" i="32" s="1"/>
  <c r="D759" i="32" s="1"/>
  <c r="K763" i="32"/>
  <c r="L761" i="32"/>
  <c r="M434" i="32" a="1"/>
  <c r="M434" i="32" s="1"/>
  <c r="D434" i="32" s="1"/>
  <c r="N434" i="32" a="1"/>
  <c r="N434" i="32" s="1"/>
  <c r="E434" i="32" s="1"/>
  <c r="O434" i="32" a="1"/>
  <c r="O434" i="32" s="1"/>
  <c r="M1096" i="27" s="1"/>
  <c r="A1096" i="27" s="1"/>
  <c r="K138" i="32"/>
  <c r="L136" i="32"/>
  <c r="N134" i="32" a="1"/>
  <c r="N134" i="32" s="1"/>
  <c r="E134" i="32" s="1"/>
  <c r="F1403" i="27" s="1"/>
  <c r="M134" i="32" a="1"/>
  <c r="M134" i="32" s="1"/>
  <c r="D134" i="32" s="1"/>
  <c r="O134" i="32" a="1"/>
  <c r="O134" i="32" s="1"/>
  <c r="M1403" i="27" s="1"/>
  <c r="A1403" i="27" s="1"/>
  <c r="A3755" i="27"/>
  <c r="F3757" i="27"/>
  <c r="H648" i="27"/>
  <c r="B649" i="27"/>
  <c r="M649" i="27"/>
  <c r="N649" i="27"/>
  <c r="Q1259" i="32"/>
  <c r="I3756" i="27"/>
  <c r="G1255" i="32"/>
  <c r="H3756" i="27"/>
  <c r="N436" i="32" l="1" a="1"/>
  <c r="N436" i="32" s="1"/>
  <c r="E436" i="32" s="1"/>
  <c r="M436" i="32" a="1"/>
  <c r="M436" i="32" s="1"/>
  <c r="D436" i="32" s="1"/>
  <c r="O436" i="32" a="1"/>
  <c r="O436" i="32" s="1"/>
  <c r="M1097" i="27" s="1"/>
  <c r="A1097" i="27" s="1"/>
  <c r="K440" i="32"/>
  <c r="L438" i="32"/>
  <c r="N761" i="32" a="1"/>
  <c r="N761" i="32" s="1"/>
  <c r="E761" i="32" s="1"/>
  <c r="F2165" i="27" s="1"/>
  <c r="O761" i="32" a="1"/>
  <c r="O761" i="32" s="1"/>
  <c r="M2165" i="27" s="1"/>
  <c r="A2165" i="27" s="1"/>
  <c r="M761" i="32" a="1"/>
  <c r="M761" i="32" s="1"/>
  <c r="D761" i="32" s="1"/>
  <c r="K765" i="32"/>
  <c r="L763" i="32"/>
  <c r="K140" i="32"/>
  <c r="L138" i="32"/>
  <c r="N136" i="32" a="1"/>
  <c r="N136" i="32" s="1"/>
  <c r="E136" i="32" s="1"/>
  <c r="F1404" i="27" s="1"/>
  <c r="M136" i="32" a="1"/>
  <c r="M136" i="32" s="1"/>
  <c r="D136" i="32" s="1"/>
  <c r="O136" i="32" a="1"/>
  <c r="O136" i="32" s="1"/>
  <c r="M1404" i="27" s="1"/>
  <c r="A1404" i="27" s="1"/>
  <c r="A3756" i="27"/>
  <c r="F3758" i="27"/>
  <c r="B650" i="27"/>
  <c r="N650" i="27"/>
  <c r="M650" i="27"/>
  <c r="H649" i="27"/>
  <c r="Q1261" i="32"/>
  <c r="G1257" i="32"/>
  <c r="I3757" i="27"/>
  <c r="H3757" i="27"/>
  <c r="A1261" i="32"/>
  <c r="A1259" i="32"/>
  <c r="N438" i="32" l="1" a="1"/>
  <c r="N438" i="32" s="1"/>
  <c r="E438" i="32" s="1"/>
  <c r="M438" i="32" a="1"/>
  <c r="M438" i="32" s="1"/>
  <c r="D438" i="32" s="1"/>
  <c r="O438" i="32" a="1"/>
  <c r="O438" i="32" s="1"/>
  <c r="M1098" i="27" s="1"/>
  <c r="A1098" i="27" s="1"/>
  <c r="K442" i="32"/>
  <c r="L440" i="32"/>
  <c r="N763" i="32" a="1"/>
  <c r="N763" i="32" s="1"/>
  <c r="E763" i="32" s="1"/>
  <c r="F2166" i="27" s="1"/>
  <c r="M763" i="32" a="1"/>
  <c r="M763" i="32" s="1"/>
  <c r="D763" i="32" s="1"/>
  <c r="O763" i="32" a="1"/>
  <c r="O763" i="32" s="1"/>
  <c r="M2166" i="27" s="1"/>
  <c r="A2166" i="27" s="1"/>
  <c r="K767" i="32"/>
  <c r="L765" i="32"/>
  <c r="K142" i="32"/>
  <c r="L140" i="32"/>
  <c r="M138" i="32" a="1"/>
  <c r="M138" i="32" s="1"/>
  <c r="D138" i="32" s="1"/>
  <c r="O138" i="32" a="1"/>
  <c r="O138" i="32" s="1"/>
  <c r="M1405" i="27" s="1"/>
  <c r="A1405" i="27" s="1"/>
  <c r="N138" i="32" a="1"/>
  <c r="N138" i="32" s="1"/>
  <c r="E138" i="32" s="1"/>
  <c r="F1405" i="27" s="1"/>
  <c r="A3757" i="27"/>
  <c r="H650" i="27"/>
  <c r="F3759" i="27"/>
  <c r="F3760" i="27"/>
  <c r="B651" i="27"/>
  <c r="M651" i="27"/>
  <c r="N651" i="27"/>
  <c r="Q1263" i="32"/>
  <c r="G1259" i="32"/>
  <c r="I3758" i="27"/>
  <c r="H3758" i="27"/>
  <c r="M440" i="32" l="1" a="1"/>
  <c r="M440" i="32" s="1"/>
  <c r="D440" i="32" s="1"/>
  <c r="O440" i="32" a="1"/>
  <c r="O440" i="32" s="1"/>
  <c r="M1099" i="27" s="1"/>
  <c r="A1099" i="27" s="1"/>
  <c r="N440" i="32" a="1"/>
  <c r="N440" i="32" s="1"/>
  <c r="E440" i="32" s="1"/>
  <c r="K444" i="32"/>
  <c r="L442" i="32"/>
  <c r="M765" i="32" a="1"/>
  <c r="M765" i="32" s="1"/>
  <c r="D765" i="32" s="1"/>
  <c r="O765" i="32" a="1"/>
  <c r="O765" i="32" s="1"/>
  <c r="M2167" i="27" s="1"/>
  <c r="A2167" i="27" s="1"/>
  <c r="N765" i="32" a="1"/>
  <c r="N765" i="32" s="1"/>
  <c r="E765" i="32" s="1"/>
  <c r="F2167" i="27" s="1"/>
  <c r="K769" i="32"/>
  <c r="L767" i="32"/>
  <c r="O140" i="32" a="1"/>
  <c r="O140" i="32" s="1"/>
  <c r="M1406" i="27" s="1"/>
  <c r="A1406" i="27" s="1"/>
  <c r="N140" i="32" a="1"/>
  <c r="N140" i="32" s="1"/>
  <c r="E140" i="32" s="1"/>
  <c r="F1406" i="27" s="1"/>
  <c r="M140" i="32" a="1"/>
  <c r="M140" i="32" s="1"/>
  <c r="D140" i="32" s="1"/>
  <c r="K144" i="32"/>
  <c r="L142" i="32"/>
  <c r="A3758" i="27"/>
  <c r="F3761" i="27"/>
  <c r="B652" i="27"/>
  <c r="M652" i="27"/>
  <c r="N652" i="27"/>
  <c r="H651" i="27"/>
  <c r="Q1265" i="32"/>
  <c r="I3759" i="27"/>
  <c r="G1261" i="32"/>
  <c r="A1263" i="32"/>
  <c r="H3759" i="27"/>
  <c r="A1265" i="32"/>
  <c r="I3760" i="27"/>
  <c r="H3760" i="27"/>
  <c r="O442" i="32" l="1" a="1"/>
  <c r="O442" i="32" s="1"/>
  <c r="M1100" i="27" s="1"/>
  <c r="A1100" i="27" s="1"/>
  <c r="N442" i="32" a="1"/>
  <c r="N442" i="32" s="1"/>
  <c r="E442" i="32" s="1"/>
  <c r="M442" i="32" a="1"/>
  <c r="M442" i="32" s="1"/>
  <c r="D442" i="32" s="1"/>
  <c r="K446" i="32"/>
  <c r="L444" i="32"/>
  <c r="M767" i="32" a="1"/>
  <c r="M767" i="32" s="1"/>
  <c r="D767" i="32" s="1"/>
  <c r="O767" i="32" a="1"/>
  <c r="O767" i="32" s="1"/>
  <c r="M2168" i="27" s="1"/>
  <c r="A2168" i="27" s="1"/>
  <c r="N767" i="32" a="1"/>
  <c r="N767" i="32" s="1"/>
  <c r="E767" i="32" s="1"/>
  <c r="F2168" i="27" s="1"/>
  <c r="K771" i="32"/>
  <c r="L769" i="32"/>
  <c r="O142" i="32" a="1"/>
  <c r="O142" i="32" s="1"/>
  <c r="M1407" i="27" s="1"/>
  <c r="A1407" i="27" s="1"/>
  <c r="M142" i="32" a="1"/>
  <c r="M142" i="32" s="1"/>
  <c r="D142" i="32" s="1"/>
  <c r="N142" i="32" a="1"/>
  <c r="N142" i="32" s="1"/>
  <c r="E142" i="32" s="1"/>
  <c r="F1407" i="27" s="1"/>
  <c r="K146" i="32"/>
  <c r="L144" i="32"/>
  <c r="A3759" i="27"/>
  <c r="A3760" i="27"/>
  <c r="F3762" i="27"/>
  <c r="H652" i="27"/>
  <c r="B653" i="27"/>
  <c r="M653" i="27"/>
  <c r="N653" i="27"/>
  <c r="Q1267" i="32"/>
  <c r="G1263" i="32"/>
  <c r="I3761" i="27"/>
  <c r="H3761" i="27"/>
  <c r="N444" i="32" l="1" a="1"/>
  <c r="N444" i="32" s="1"/>
  <c r="E444" i="32" s="1"/>
  <c r="O444" i="32" a="1"/>
  <c r="O444" i="32" s="1"/>
  <c r="M1101" i="27" s="1"/>
  <c r="A1101" i="27" s="1"/>
  <c r="M444" i="32" a="1"/>
  <c r="M444" i="32" s="1"/>
  <c r="D444" i="32" s="1"/>
  <c r="K448" i="32"/>
  <c r="L446" i="32"/>
  <c r="N769" i="32" a="1"/>
  <c r="N769" i="32" s="1"/>
  <c r="E769" i="32" s="1"/>
  <c r="F2169" i="27" s="1"/>
  <c r="O769" i="32" a="1"/>
  <c r="O769" i="32" s="1"/>
  <c r="M2169" i="27" s="1"/>
  <c r="A2169" i="27" s="1"/>
  <c r="M769" i="32" a="1"/>
  <c r="M769" i="32" s="1"/>
  <c r="D769" i="32" s="1"/>
  <c r="K773" i="32"/>
  <c r="L771" i="32"/>
  <c r="M144" i="32" a="1"/>
  <c r="M144" i="32" s="1"/>
  <c r="D144" i="32" s="1"/>
  <c r="O144" i="32" a="1"/>
  <c r="O144" i="32" s="1"/>
  <c r="M1408" i="27" s="1"/>
  <c r="A1408" i="27" s="1"/>
  <c r="N144" i="32" a="1"/>
  <c r="N144" i="32" s="1"/>
  <c r="E144" i="32" s="1"/>
  <c r="F1408" i="27" s="1"/>
  <c r="K148" i="32"/>
  <c r="L146" i="32"/>
  <c r="A3761" i="27"/>
  <c r="F3763" i="27"/>
  <c r="B654" i="27"/>
  <c r="N654" i="27"/>
  <c r="M654" i="27"/>
  <c r="H653" i="27"/>
  <c r="Q1269" i="32"/>
  <c r="A1267" i="32"/>
  <c r="H3762" i="27"/>
  <c r="A1269" i="32"/>
  <c r="G1265" i="32"/>
  <c r="I3762" i="27"/>
  <c r="K450" i="32" l="1"/>
  <c r="L448" i="32"/>
  <c r="O446" i="32" a="1"/>
  <c r="O446" i="32" s="1"/>
  <c r="M1102" i="27" s="1"/>
  <c r="A1102" i="27" s="1"/>
  <c r="N446" i="32" a="1"/>
  <c r="N446" i="32" s="1"/>
  <c r="E446" i="32" s="1"/>
  <c r="M446" i="32" a="1"/>
  <c r="M446" i="32" s="1"/>
  <c r="D446" i="32" s="1"/>
  <c r="O771" i="32" a="1"/>
  <c r="O771" i="32" s="1"/>
  <c r="M2170" i="27" s="1"/>
  <c r="A2170" i="27" s="1"/>
  <c r="N771" i="32" a="1"/>
  <c r="N771" i="32" s="1"/>
  <c r="E771" i="32" s="1"/>
  <c r="F2170" i="27" s="1"/>
  <c r="M771" i="32" a="1"/>
  <c r="M771" i="32" s="1"/>
  <c r="D771" i="32" s="1"/>
  <c r="K775" i="32"/>
  <c r="L773" i="32"/>
  <c r="N146" i="32" a="1"/>
  <c r="N146" i="32" s="1"/>
  <c r="E146" i="32" s="1"/>
  <c r="F1409" i="27" s="1"/>
  <c r="M146" i="32" a="1"/>
  <c r="M146" i="32" s="1"/>
  <c r="D146" i="32" s="1"/>
  <c r="O146" i="32" a="1"/>
  <c r="O146" i="32" s="1"/>
  <c r="M1409" i="27" s="1"/>
  <c r="A1409" i="27" s="1"/>
  <c r="K150" i="32"/>
  <c r="K152" i="32" s="1"/>
  <c r="K154" i="32" s="1"/>
  <c r="K156" i="32" s="1"/>
  <c r="K158" i="32" s="1"/>
  <c r="K160" i="32" s="1"/>
  <c r="K162" i="32" s="1"/>
  <c r="K164" i="32" s="1"/>
  <c r="K166" i="32" s="1"/>
  <c r="K168" i="32" s="1"/>
  <c r="K170" i="32" s="1"/>
  <c r="K172" i="32" s="1"/>
  <c r="K174" i="32" s="1"/>
  <c r="K176" i="32" s="1"/>
  <c r="K178" i="32" s="1"/>
  <c r="K180" i="32" s="1"/>
  <c r="K182" i="32" s="1"/>
  <c r="K184" i="32" s="1"/>
  <c r="K186" i="32" s="1"/>
  <c r="K188" i="32" s="1"/>
  <c r="K190" i="32" s="1"/>
  <c r="K192" i="32" s="1"/>
  <c r="K194" i="32" s="1"/>
  <c r="K196" i="32" s="1"/>
  <c r="K198" i="32" s="1"/>
  <c r="K200" i="32" s="1"/>
  <c r="K202" i="32" s="1"/>
  <c r="K204" i="32" s="1"/>
  <c r="K206" i="32" s="1"/>
  <c r="K208" i="32" s="1"/>
  <c r="K210" i="32" s="1"/>
  <c r="K212" i="32" s="1"/>
  <c r="K214" i="32" s="1"/>
  <c r="K216" i="32" s="1"/>
  <c r="K218" i="32" s="1"/>
  <c r="K220" i="32" s="1"/>
  <c r="K222" i="32" s="1"/>
  <c r="K224" i="32" s="1"/>
  <c r="K226" i="32" s="1"/>
  <c r="K228" i="32" s="1"/>
  <c r="K230" i="32" s="1"/>
  <c r="K232" i="32" s="1"/>
  <c r="K234" i="32" s="1"/>
  <c r="K236" i="32" s="1"/>
  <c r="K238" i="32" s="1"/>
  <c r="K240" i="32" s="1"/>
  <c r="K242" i="32" s="1"/>
  <c r="K244" i="32" s="1"/>
  <c r="K246" i="32" s="1"/>
  <c r="K248" i="32" s="1"/>
  <c r="K250" i="32" s="1"/>
  <c r="K252" i="32" s="1"/>
  <c r="K254" i="32" s="1"/>
  <c r="K256" i="32" s="1"/>
  <c r="K258" i="32" s="1"/>
  <c r="K260" i="32" s="1"/>
  <c r="K262" i="32" s="1"/>
  <c r="K264" i="32" s="1"/>
  <c r="K266" i="32" s="1"/>
  <c r="K268" i="32" s="1"/>
  <c r="K270" i="32" s="1"/>
  <c r="K272" i="32" s="1"/>
  <c r="K274" i="32" s="1"/>
  <c r="K276" i="32" s="1"/>
  <c r="K278" i="32" s="1"/>
  <c r="K280" i="32" s="1"/>
  <c r="K282" i="32" s="1"/>
  <c r="K284" i="32" s="1"/>
  <c r="K286" i="32" s="1"/>
  <c r="K288" i="32" s="1"/>
  <c r="K290" i="32" s="1"/>
  <c r="K292" i="32" s="1"/>
  <c r="K294" i="32" s="1"/>
  <c r="K296" i="32" s="1"/>
  <c r="K298" i="32" s="1"/>
  <c r="K300" i="32" s="1"/>
  <c r="K302" i="32" s="1"/>
  <c r="K304" i="32" s="1"/>
  <c r="K306" i="32" s="1"/>
  <c r="K308" i="32" s="1"/>
  <c r="L148" i="32"/>
  <c r="A3762" i="27"/>
  <c r="F3764" i="27"/>
  <c r="H654" i="27"/>
  <c r="B655" i="27"/>
  <c r="N655" i="27"/>
  <c r="M655" i="27"/>
  <c r="Q1271" i="32"/>
  <c r="I3763" i="27"/>
  <c r="H3763" i="27"/>
  <c r="G1267" i="32"/>
  <c r="M448" i="32" l="1" a="1"/>
  <c r="M448" i="32" s="1"/>
  <c r="D448" i="32" s="1"/>
  <c r="N448" i="32" a="1"/>
  <c r="N448" i="32" s="1"/>
  <c r="E448" i="32" s="1"/>
  <c r="O448" i="32" a="1"/>
  <c r="O448" i="32" s="1"/>
  <c r="M1103" i="27" s="1"/>
  <c r="A1103" i="27" s="1"/>
  <c r="K452" i="32"/>
  <c r="L450" i="32"/>
  <c r="O773" i="32" a="1"/>
  <c r="O773" i="32" s="1"/>
  <c r="M2171" i="27" s="1"/>
  <c r="A2171" i="27" s="1"/>
  <c r="N773" i="32" a="1"/>
  <c r="N773" i="32" s="1"/>
  <c r="E773" i="32" s="1"/>
  <c r="F2171" i="27" s="1"/>
  <c r="M773" i="32" a="1"/>
  <c r="M773" i="32" s="1"/>
  <c r="D773" i="32" s="1"/>
  <c r="K777" i="32"/>
  <c r="L775" i="32"/>
  <c r="N148" i="32" a="1"/>
  <c r="N148" i="32" s="1"/>
  <c r="E148" i="32" s="1"/>
  <c r="F1410" i="27" s="1"/>
  <c r="M148" i="32" a="1"/>
  <c r="M148" i="32" s="1"/>
  <c r="D148" i="32" s="1"/>
  <c r="O148" i="32" a="1"/>
  <c r="O148" i="32" s="1"/>
  <c r="M1410" i="27" s="1"/>
  <c r="A1410" i="27" s="1"/>
  <c r="A3763" i="27"/>
  <c r="F3765" i="27"/>
  <c r="F3766" i="27"/>
  <c r="B656" i="27"/>
  <c r="M656" i="27"/>
  <c r="N656" i="27"/>
  <c r="H655" i="27"/>
  <c r="Q1273" i="32"/>
  <c r="G1269" i="32"/>
  <c r="H3764" i="27"/>
  <c r="A1271" i="32"/>
  <c r="I3764" i="27"/>
  <c r="A1273" i="32"/>
  <c r="N450" i="32" l="1" a="1"/>
  <c r="N450" i="32" s="1"/>
  <c r="E450" i="32" s="1"/>
  <c r="M450" i="32" a="1"/>
  <c r="M450" i="32" s="1"/>
  <c r="D450" i="32" s="1"/>
  <c r="O450" i="32" a="1"/>
  <c r="O450" i="32" s="1"/>
  <c r="M1104" i="27" s="1"/>
  <c r="A1104" i="27" s="1"/>
  <c r="K454" i="32"/>
  <c r="L452" i="32"/>
  <c r="M775" i="32" a="1"/>
  <c r="M775" i="32" s="1"/>
  <c r="D775" i="32" s="1"/>
  <c r="O775" i="32" a="1"/>
  <c r="O775" i="32" s="1"/>
  <c r="M2172" i="27" s="1"/>
  <c r="A2172" i="27" s="1"/>
  <c r="N775" i="32" a="1"/>
  <c r="N775" i="32" s="1"/>
  <c r="E775" i="32" s="1"/>
  <c r="F2172" i="27" s="1"/>
  <c r="K779" i="32"/>
  <c r="L777" i="32"/>
  <c r="A3764" i="27"/>
  <c r="F3767" i="27"/>
  <c r="H656" i="27"/>
  <c r="B657" i="27"/>
  <c r="M657" i="27"/>
  <c r="N657" i="27"/>
  <c r="Q1275" i="32"/>
  <c r="I3765" i="27"/>
  <c r="I3766" i="27"/>
  <c r="H3766" i="27"/>
  <c r="H3765" i="27"/>
  <c r="G1271" i="32"/>
  <c r="K456" i="32" l="1"/>
  <c r="L454" i="32"/>
  <c r="O452" i="32" a="1"/>
  <c r="O452" i="32" s="1"/>
  <c r="M1105" i="27" s="1"/>
  <c r="A1105" i="27" s="1"/>
  <c r="N452" i="32" a="1"/>
  <c r="N452" i="32" s="1"/>
  <c r="E452" i="32" s="1"/>
  <c r="M452" i="32" a="1"/>
  <c r="M452" i="32" s="1"/>
  <c r="D452" i="32" s="1"/>
  <c r="M777" i="32" a="1"/>
  <c r="M777" i="32" s="1"/>
  <c r="D777" i="32" s="1"/>
  <c r="N777" i="32" a="1"/>
  <c r="N777" i="32" s="1"/>
  <c r="E777" i="32" s="1"/>
  <c r="F2173" i="27" s="1"/>
  <c r="O777" i="32" a="1"/>
  <c r="O777" i="32" s="1"/>
  <c r="M2173" i="27" s="1"/>
  <c r="A2173" i="27" s="1"/>
  <c r="K781" i="32"/>
  <c r="L779" i="32"/>
  <c r="A3766" i="27"/>
  <c r="A3765" i="27"/>
  <c r="F3768" i="27"/>
  <c r="B658" i="27"/>
  <c r="M658" i="27"/>
  <c r="N658" i="27"/>
  <c r="H657" i="27"/>
  <c r="Q1277" i="32"/>
  <c r="A1275" i="32"/>
  <c r="H3767" i="27"/>
  <c r="G1273" i="32"/>
  <c r="I3767" i="27"/>
  <c r="A1277" i="32"/>
  <c r="K458" i="32" l="1"/>
  <c r="L456" i="32"/>
  <c r="M454" i="32" a="1"/>
  <c r="M454" i="32" s="1"/>
  <c r="D454" i="32" s="1"/>
  <c r="O454" i="32" a="1"/>
  <c r="O454" i="32" s="1"/>
  <c r="M1106" i="27" s="1"/>
  <c r="A1106" i="27" s="1"/>
  <c r="N454" i="32" a="1"/>
  <c r="N454" i="32" s="1"/>
  <c r="E454" i="32" s="1"/>
  <c r="K783" i="32"/>
  <c r="L781" i="32"/>
  <c r="N779" i="32" a="1"/>
  <c r="N779" i="32" s="1"/>
  <c r="E779" i="32" s="1"/>
  <c r="F2174" i="27" s="1"/>
  <c r="O779" i="32" a="1"/>
  <c r="O779" i="32" s="1"/>
  <c r="M2174" i="27" s="1"/>
  <c r="A2174" i="27" s="1"/>
  <c r="M779" i="32" a="1"/>
  <c r="M779" i="32" s="1"/>
  <c r="D779" i="32" s="1"/>
  <c r="A3767" i="27"/>
  <c r="F3769" i="27"/>
  <c r="H658" i="27"/>
  <c r="B659" i="27"/>
  <c r="M659" i="27"/>
  <c r="N659" i="27"/>
  <c r="Q1279" i="32"/>
  <c r="I3768" i="27"/>
  <c r="G1275" i="32"/>
  <c r="H3768" i="27"/>
  <c r="A1279" i="32"/>
  <c r="O456" i="32" l="1" a="1"/>
  <c r="O456" i="32" s="1"/>
  <c r="M1107" i="27" s="1"/>
  <c r="A1107" i="27" s="1"/>
  <c r="N456" i="32" a="1"/>
  <c r="N456" i="32" s="1"/>
  <c r="E456" i="32" s="1"/>
  <c r="M456" i="32" a="1"/>
  <c r="M456" i="32" s="1"/>
  <c r="D456" i="32" s="1"/>
  <c r="K460" i="32"/>
  <c r="L458" i="32"/>
  <c r="M781" i="32" a="1"/>
  <c r="M781" i="32" s="1"/>
  <c r="D781" i="32" s="1"/>
  <c r="N781" i="32" a="1"/>
  <c r="N781" i="32" s="1"/>
  <c r="E781" i="32" s="1"/>
  <c r="F2175" i="27" s="1"/>
  <c r="O781" i="32" a="1"/>
  <c r="O781" i="32" s="1"/>
  <c r="M2175" i="27" s="1"/>
  <c r="A2175" i="27" s="1"/>
  <c r="K785" i="32"/>
  <c r="L783" i="32"/>
  <c r="A3768" i="27"/>
  <c r="F3770" i="27"/>
  <c r="B660" i="27"/>
  <c r="N660" i="27"/>
  <c r="M660" i="27"/>
  <c r="H659" i="27"/>
  <c r="Q1281" i="32"/>
  <c r="G1277" i="32"/>
  <c r="H3769" i="27"/>
  <c r="A1281" i="32"/>
  <c r="I3769" i="27"/>
  <c r="M458" i="32" l="1" a="1"/>
  <c r="M458" i="32" s="1"/>
  <c r="D458" i="32" s="1"/>
  <c r="O458" i="32" a="1"/>
  <c r="O458" i="32" s="1"/>
  <c r="M1108" i="27" s="1"/>
  <c r="A1108" i="27" s="1"/>
  <c r="N458" i="32" a="1"/>
  <c r="N458" i="32" s="1"/>
  <c r="E458" i="32" s="1"/>
  <c r="K462" i="32"/>
  <c r="L460" i="32"/>
  <c r="N783" i="32" a="1"/>
  <c r="N783" i="32" s="1"/>
  <c r="E783" i="32" s="1"/>
  <c r="F2176" i="27" s="1"/>
  <c r="O783" i="32" a="1"/>
  <c r="O783" i="32" s="1"/>
  <c r="M2176" i="27" s="1"/>
  <c r="A2176" i="27" s="1"/>
  <c r="M783" i="32" a="1"/>
  <c r="M783" i="32" s="1"/>
  <c r="D783" i="32" s="1"/>
  <c r="K787" i="32"/>
  <c r="L785" i="32"/>
  <c r="A3769" i="27"/>
  <c r="F3771" i="27"/>
  <c r="F3772" i="27"/>
  <c r="H660" i="27"/>
  <c r="B661" i="27"/>
  <c r="M661" i="27"/>
  <c r="N661" i="27"/>
  <c r="Q1283" i="32"/>
  <c r="I3770" i="27"/>
  <c r="H3770" i="27"/>
  <c r="G1279" i="32"/>
  <c r="N460" i="32" l="1" a="1"/>
  <c r="N460" i="32" s="1"/>
  <c r="E460" i="32" s="1"/>
  <c r="O460" i="32" a="1"/>
  <c r="O460" i="32" s="1"/>
  <c r="M1109" i="27" s="1"/>
  <c r="A1109" i="27" s="1"/>
  <c r="M460" i="32" a="1"/>
  <c r="M460" i="32" s="1"/>
  <c r="D460" i="32" s="1"/>
  <c r="K464" i="32"/>
  <c r="L462" i="32"/>
  <c r="N785" i="32" a="1"/>
  <c r="N785" i="32" s="1"/>
  <c r="E785" i="32" s="1"/>
  <c r="F2177" i="27" s="1"/>
  <c r="O785" i="32" a="1"/>
  <c r="O785" i="32" s="1"/>
  <c r="M2177" i="27" s="1"/>
  <c r="A2177" i="27" s="1"/>
  <c r="M785" i="32" a="1"/>
  <c r="M785" i="32" s="1"/>
  <c r="D785" i="32" s="1"/>
  <c r="K789" i="32"/>
  <c r="L787" i="32"/>
  <c r="A3770" i="27"/>
  <c r="F3773" i="27"/>
  <c r="B662" i="27"/>
  <c r="N662" i="27"/>
  <c r="M662" i="27"/>
  <c r="H661" i="27"/>
  <c r="Q1285" i="32"/>
  <c r="I3771" i="27"/>
  <c r="H3771" i="27"/>
  <c r="G1281" i="32"/>
  <c r="H3772" i="27"/>
  <c r="I3772" i="27"/>
  <c r="A1285" i="32"/>
  <c r="A1283" i="32"/>
  <c r="N462" i="32" l="1" a="1"/>
  <c r="N462" i="32" s="1"/>
  <c r="E462" i="32" s="1"/>
  <c r="O462" i="32" a="1"/>
  <c r="O462" i="32" s="1"/>
  <c r="M1110" i="27" s="1"/>
  <c r="A1110" i="27" s="1"/>
  <c r="M462" i="32" a="1"/>
  <c r="M462" i="32" s="1"/>
  <c r="D462" i="32" s="1"/>
  <c r="K466" i="32"/>
  <c r="L464" i="32"/>
  <c r="O787" i="32" a="1"/>
  <c r="O787" i="32" s="1"/>
  <c r="M2178" i="27" s="1"/>
  <c r="A2178" i="27" s="1"/>
  <c r="M787" i="32" a="1"/>
  <c r="M787" i="32" s="1"/>
  <c r="D787" i="32" s="1"/>
  <c r="N787" i="32" a="1"/>
  <c r="N787" i="32" s="1"/>
  <c r="E787" i="32" s="1"/>
  <c r="F2178" i="27" s="1"/>
  <c r="K791" i="32"/>
  <c r="L789" i="32"/>
  <c r="A3771" i="27"/>
  <c r="A3772" i="27"/>
  <c r="F3774" i="27"/>
  <c r="H662" i="27"/>
  <c r="B663" i="27"/>
  <c r="M663" i="27"/>
  <c r="N663" i="27"/>
  <c r="Q1287" i="32"/>
  <c r="I3773" i="27"/>
  <c r="G1283" i="32"/>
  <c r="H3773" i="27"/>
  <c r="O464" i="32" l="1" a="1"/>
  <c r="O464" i="32" s="1"/>
  <c r="M1111" i="27" s="1"/>
  <c r="A1111" i="27" s="1"/>
  <c r="N464" i="32" a="1"/>
  <c r="N464" i="32" s="1"/>
  <c r="E464" i="32" s="1"/>
  <c r="M464" i="32" a="1"/>
  <c r="M464" i="32" s="1"/>
  <c r="D464" i="32" s="1"/>
  <c r="K468" i="32"/>
  <c r="L466" i="32"/>
  <c r="M789" i="32" a="1"/>
  <c r="M789" i="32" s="1"/>
  <c r="D789" i="32" s="1"/>
  <c r="O789" i="32" a="1"/>
  <c r="O789" i="32" s="1"/>
  <c r="M2179" i="27" s="1"/>
  <c r="A2179" i="27" s="1"/>
  <c r="N789" i="32" a="1"/>
  <c r="N789" i="32" s="1"/>
  <c r="E789" i="32" s="1"/>
  <c r="F2179" i="27" s="1"/>
  <c r="K793" i="32"/>
  <c r="L791" i="32"/>
  <c r="A3773" i="27"/>
  <c r="F3775" i="27"/>
  <c r="B664" i="27"/>
  <c r="N664" i="27"/>
  <c r="M664" i="27"/>
  <c r="H663" i="27"/>
  <c r="Q1289" i="32"/>
  <c r="A1287" i="32"/>
  <c r="I3774" i="27"/>
  <c r="G1285" i="32"/>
  <c r="H3774" i="27"/>
  <c r="A1289" i="32"/>
  <c r="M466" i="32" l="1" a="1"/>
  <c r="M466" i="32" s="1"/>
  <c r="D466" i="32" s="1"/>
  <c r="N466" i="32" a="1"/>
  <c r="N466" i="32" s="1"/>
  <c r="E466" i="32" s="1"/>
  <c r="O466" i="32" a="1"/>
  <c r="O466" i="32" s="1"/>
  <c r="M1112" i="27" s="1"/>
  <c r="A1112" i="27" s="1"/>
  <c r="K470" i="32"/>
  <c r="L468" i="32"/>
  <c r="M791" i="32" a="1"/>
  <c r="M791" i="32" s="1"/>
  <c r="D791" i="32" s="1"/>
  <c r="O791" i="32" a="1"/>
  <c r="O791" i="32" s="1"/>
  <c r="M2180" i="27" s="1"/>
  <c r="A2180" i="27" s="1"/>
  <c r="N791" i="32" a="1"/>
  <c r="N791" i="32" s="1"/>
  <c r="E791" i="32" s="1"/>
  <c r="F2180" i="27" s="1"/>
  <c r="K795" i="32"/>
  <c r="L793" i="32"/>
  <c r="A3774" i="27"/>
  <c r="F3776" i="27"/>
  <c r="H664" i="27"/>
  <c r="B665" i="27"/>
  <c r="M665" i="27"/>
  <c r="N665" i="27"/>
  <c r="Q1291" i="32"/>
  <c r="I3775" i="27"/>
  <c r="H3775" i="27"/>
  <c r="G1287" i="32"/>
  <c r="N468" i="32" l="1" a="1"/>
  <c r="N468" i="32" s="1"/>
  <c r="E468" i="32" s="1"/>
  <c r="M468" i="32" a="1"/>
  <c r="M468" i="32" s="1"/>
  <c r="D468" i="32" s="1"/>
  <c r="O468" i="32" a="1"/>
  <c r="O468" i="32" s="1"/>
  <c r="M1113" i="27" s="1"/>
  <c r="A1113" i="27" s="1"/>
  <c r="K472" i="32"/>
  <c r="L470" i="32"/>
  <c r="N793" i="32" a="1"/>
  <c r="N793" i="32" s="1"/>
  <c r="E793" i="32" s="1"/>
  <c r="F2181" i="27" s="1"/>
  <c r="M793" i="32" a="1"/>
  <c r="M793" i="32" s="1"/>
  <c r="D793" i="32" s="1"/>
  <c r="O793" i="32" a="1"/>
  <c r="O793" i="32" s="1"/>
  <c r="M2181" i="27" s="1"/>
  <c r="A2181" i="27" s="1"/>
  <c r="K797" i="32"/>
  <c r="L795" i="32"/>
  <c r="A3775" i="27"/>
  <c r="F3777" i="27"/>
  <c r="F3778" i="27"/>
  <c r="B666" i="27"/>
  <c r="M666" i="27"/>
  <c r="N666" i="27"/>
  <c r="H665" i="27"/>
  <c r="Q1293" i="32"/>
  <c r="G1289" i="32"/>
  <c r="A1291" i="32"/>
  <c r="A1293" i="32"/>
  <c r="H3776" i="27"/>
  <c r="I3776" i="27"/>
  <c r="O470" i="32" l="1" a="1"/>
  <c r="O470" i="32" s="1"/>
  <c r="M1114" i="27" s="1"/>
  <c r="A1114" i="27" s="1"/>
  <c r="M470" i="32" a="1"/>
  <c r="M470" i="32" s="1"/>
  <c r="D470" i="32" s="1"/>
  <c r="N470" i="32" a="1"/>
  <c r="N470" i="32" s="1"/>
  <c r="E470" i="32" s="1"/>
  <c r="K474" i="32"/>
  <c r="L472" i="32"/>
  <c r="O795" i="32" a="1"/>
  <c r="O795" i="32" s="1"/>
  <c r="M2182" i="27" s="1"/>
  <c r="A2182" i="27" s="1"/>
  <c r="N795" i="32" a="1"/>
  <c r="N795" i="32" s="1"/>
  <c r="E795" i="32" s="1"/>
  <c r="F2182" i="27" s="1"/>
  <c r="M795" i="32" a="1"/>
  <c r="M795" i="32" s="1"/>
  <c r="D795" i="32" s="1"/>
  <c r="K799" i="32"/>
  <c r="L797" i="32"/>
  <c r="A3776" i="27"/>
  <c r="F3779" i="27"/>
  <c r="H666" i="27"/>
  <c r="B667" i="27"/>
  <c r="M667" i="27"/>
  <c r="N667" i="27"/>
  <c r="Q1295" i="32"/>
  <c r="I3778" i="27"/>
  <c r="I3777" i="27"/>
  <c r="G1291" i="32"/>
  <c r="H3777" i="27"/>
  <c r="A1295" i="32"/>
  <c r="H3778" i="27"/>
  <c r="N472" i="32" l="1" a="1"/>
  <c r="N472" i="32" s="1"/>
  <c r="E472" i="32" s="1"/>
  <c r="M472" i="32" a="1"/>
  <c r="M472" i="32" s="1"/>
  <c r="D472" i="32" s="1"/>
  <c r="O472" i="32" a="1"/>
  <c r="O472" i="32" s="1"/>
  <c r="M1115" i="27" s="1"/>
  <c r="A1115" i="27" s="1"/>
  <c r="K476" i="32"/>
  <c r="L474" i="32"/>
  <c r="M797" i="32" a="1"/>
  <c r="M797" i="32" s="1"/>
  <c r="D797" i="32" s="1"/>
  <c r="O797" i="32" a="1"/>
  <c r="O797" i="32" s="1"/>
  <c r="M2183" i="27" s="1"/>
  <c r="A2183" i="27" s="1"/>
  <c r="N797" i="32" a="1"/>
  <c r="N797" i="32" s="1"/>
  <c r="E797" i="32" s="1"/>
  <c r="F2183" i="27" s="1"/>
  <c r="K801" i="32"/>
  <c r="L799" i="32"/>
  <c r="A3777" i="27"/>
  <c r="A3778" i="27"/>
  <c r="F3780" i="27"/>
  <c r="B668" i="27"/>
  <c r="N668" i="27"/>
  <c r="M668" i="27"/>
  <c r="H667" i="27"/>
  <c r="Q1297" i="32"/>
  <c r="G1293" i="32"/>
  <c r="I3779" i="27"/>
  <c r="H3779" i="27"/>
  <c r="K478" i="32" l="1"/>
  <c r="L476" i="32"/>
  <c r="M474" i="32" a="1"/>
  <c r="M474" i="32" s="1"/>
  <c r="D474" i="32" s="1"/>
  <c r="N474" i="32" a="1"/>
  <c r="N474" i="32" s="1"/>
  <c r="E474" i="32" s="1"/>
  <c r="O474" i="32" a="1"/>
  <c r="O474" i="32" s="1"/>
  <c r="M1116" i="27" s="1"/>
  <c r="A1116" i="27" s="1"/>
  <c r="O799" i="32" a="1"/>
  <c r="O799" i="32" s="1"/>
  <c r="M2184" i="27" s="1"/>
  <c r="A2184" i="27" s="1"/>
  <c r="N799" i="32" a="1"/>
  <c r="N799" i="32" s="1"/>
  <c r="E799" i="32" s="1"/>
  <c r="F2184" i="27" s="1"/>
  <c r="M799" i="32" a="1"/>
  <c r="M799" i="32" s="1"/>
  <c r="D799" i="32" s="1"/>
  <c r="K803" i="32"/>
  <c r="L801" i="32"/>
  <c r="A3779" i="27"/>
  <c r="F3781" i="27"/>
  <c r="H668" i="27"/>
  <c r="B669" i="27"/>
  <c r="N669" i="27"/>
  <c r="M669" i="27"/>
  <c r="Q1299" i="32"/>
  <c r="I3780" i="27"/>
  <c r="A1299" i="32"/>
  <c r="G1295" i="32"/>
  <c r="H3780" i="27"/>
  <c r="A1297" i="32"/>
  <c r="M476" i="32" l="1" a="1"/>
  <c r="M476" i="32" s="1"/>
  <c r="D476" i="32" s="1"/>
  <c r="O476" i="32" a="1"/>
  <c r="O476" i="32" s="1"/>
  <c r="M1117" i="27" s="1"/>
  <c r="A1117" i="27" s="1"/>
  <c r="N476" i="32" a="1"/>
  <c r="N476" i="32" s="1"/>
  <c r="E476" i="32" s="1"/>
  <c r="K480" i="32"/>
  <c r="L478" i="32"/>
  <c r="N801" i="32" a="1"/>
  <c r="N801" i="32" s="1"/>
  <c r="E801" i="32" s="1"/>
  <c r="F2185" i="27" s="1"/>
  <c r="M801" i="32" a="1"/>
  <c r="M801" i="32" s="1"/>
  <c r="D801" i="32" s="1"/>
  <c r="O801" i="32" a="1"/>
  <c r="O801" i="32" s="1"/>
  <c r="M2185" i="27" s="1"/>
  <c r="A2185" i="27" s="1"/>
  <c r="K805" i="32"/>
  <c r="L803" i="32"/>
  <c r="A3780" i="27"/>
  <c r="F3782" i="27"/>
  <c r="B670" i="27"/>
  <c r="N670" i="27"/>
  <c r="M670" i="27"/>
  <c r="H669" i="27"/>
  <c r="Q1301" i="32"/>
  <c r="G1297" i="32"/>
  <c r="H3781" i="27"/>
  <c r="I3781" i="27"/>
  <c r="M478" i="32" l="1" a="1"/>
  <c r="M478" i="32" s="1"/>
  <c r="D478" i="32" s="1"/>
  <c r="O478" i="32" a="1"/>
  <c r="O478" i="32" s="1"/>
  <c r="M1118" i="27" s="1"/>
  <c r="A1118" i="27" s="1"/>
  <c r="N478" i="32" a="1"/>
  <c r="N478" i="32" s="1"/>
  <c r="E478" i="32" s="1"/>
  <c r="K482" i="32"/>
  <c r="L480" i="32"/>
  <c r="N803" i="32" a="1"/>
  <c r="N803" i="32" s="1"/>
  <c r="E803" i="32" s="1"/>
  <c r="F2186" i="27" s="1"/>
  <c r="O803" i="32" a="1"/>
  <c r="O803" i="32" s="1"/>
  <c r="M2186" i="27" s="1"/>
  <c r="A2186" i="27" s="1"/>
  <c r="M803" i="32" a="1"/>
  <c r="M803" i="32" s="1"/>
  <c r="D803" i="32" s="1"/>
  <c r="K807" i="32"/>
  <c r="L805" i="32"/>
  <c r="A3781" i="27"/>
  <c r="F3783" i="27"/>
  <c r="F3784" i="27"/>
  <c r="H670" i="27"/>
  <c r="B671" i="27"/>
  <c r="N671" i="27"/>
  <c r="M671" i="27"/>
  <c r="Q1303" i="32"/>
  <c r="H3782" i="27"/>
  <c r="G1299" i="32"/>
  <c r="A1301" i="32"/>
  <c r="I3782" i="27"/>
  <c r="A1303" i="32"/>
  <c r="O480" i="32" l="1" a="1"/>
  <c r="O480" i="32" s="1"/>
  <c r="M1119" i="27" s="1"/>
  <c r="A1119" i="27" s="1"/>
  <c r="N480" i="32" a="1"/>
  <c r="N480" i="32" s="1"/>
  <c r="E480" i="32" s="1"/>
  <c r="M480" i="32" a="1"/>
  <c r="M480" i="32" s="1"/>
  <c r="D480" i="32" s="1"/>
  <c r="K484" i="32"/>
  <c r="L482" i="32"/>
  <c r="M805" i="32" a="1"/>
  <c r="M805" i="32" s="1"/>
  <c r="D805" i="32" s="1"/>
  <c r="N805" i="32" a="1"/>
  <c r="N805" i="32" s="1"/>
  <c r="E805" i="32" s="1"/>
  <c r="F2187" i="27" s="1"/>
  <c r="O805" i="32" a="1"/>
  <c r="O805" i="32" s="1"/>
  <c r="M2187" i="27" s="1"/>
  <c r="A2187" i="27" s="1"/>
  <c r="K809" i="32"/>
  <c r="L807" i="32"/>
  <c r="A3782" i="27"/>
  <c r="F3785" i="27"/>
  <c r="B672" i="27"/>
  <c r="M672" i="27"/>
  <c r="N672" i="27"/>
  <c r="H671" i="27"/>
  <c r="Q1305" i="32"/>
  <c r="A1305" i="32"/>
  <c r="I3784" i="27"/>
  <c r="H3784" i="27"/>
  <c r="G1301" i="32"/>
  <c r="I3783" i="27"/>
  <c r="H3783" i="27"/>
  <c r="M482" i="32" l="1" a="1"/>
  <c r="M482" i="32" s="1"/>
  <c r="D482" i="32" s="1"/>
  <c r="O482" i="32" a="1"/>
  <c r="O482" i="32" s="1"/>
  <c r="M1120" i="27" s="1"/>
  <c r="A1120" i="27" s="1"/>
  <c r="N482" i="32" a="1"/>
  <c r="N482" i="32" s="1"/>
  <c r="E482" i="32" s="1"/>
  <c r="K486" i="32"/>
  <c r="L484" i="32"/>
  <c r="N807" i="32" a="1"/>
  <c r="N807" i="32" s="1"/>
  <c r="E807" i="32" s="1"/>
  <c r="F2188" i="27" s="1"/>
  <c r="M807" i="32" a="1"/>
  <c r="M807" i="32" s="1"/>
  <c r="D807" i="32" s="1"/>
  <c r="O807" i="32" a="1"/>
  <c r="O807" i="32" s="1"/>
  <c r="M2188" i="27" s="1"/>
  <c r="A2188" i="27" s="1"/>
  <c r="K811" i="32"/>
  <c r="L809" i="32"/>
  <c r="A3783" i="27"/>
  <c r="A3784" i="27"/>
  <c r="H672" i="27"/>
  <c r="F3786" i="27"/>
  <c r="B673" i="27"/>
  <c r="M673" i="27"/>
  <c r="N673" i="27"/>
  <c r="Q1307" i="32"/>
  <c r="G1303" i="32"/>
  <c r="H3785" i="27"/>
  <c r="I3785" i="27"/>
  <c r="O484" i="32" l="1" a="1"/>
  <c r="O484" i="32" s="1"/>
  <c r="M1121" i="27" s="1"/>
  <c r="A1121" i="27" s="1"/>
  <c r="N484" i="32" a="1"/>
  <c r="N484" i="32" s="1"/>
  <c r="E484" i="32" s="1"/>
  <c r="M484" i="32" a="1"/>
  <c r="M484" i="32" s="1"/>
  <c r="D484" i="32" s="1"/>
  <c r="K488" i="32"/>
  <c r="L486" i="32"/>
  <c r="M809" i="32" a="1"/>
  <c r="M809" i="32" s="1"/>
  <c r="D809" i="32" s="1"/>
  <c r="O809" i="32" a="1"/>
  <c r="O809" i="32" s="1"/>
  <c r="M2189" i="27" s="1"/>
  <c r="A2189" i="27" s="1"/>
  <c r="N809" i="32" a="1"/>
  <c r="N809" i="32" s="1"/>
  <c r="E809" i="32" s="1"/>
  <c r="F2189" i="27" s="1"/>
  <c r="K813" i="32"/>
  <c r="L811" i="32"/>
  <c r="A3785" i="27"/>
  <c r="F3787" i="27"/>
  <c r="B674" i="27"/>
  <c r="M674" i="27"/>
  <c r="N674" i="27"/>
  <c r="H673" i="27"/>
  <c r="Q1309" i="32"/>
  <c r="A1307" i="32"/>
  <c r="H3786" i="27"/>
  <c r="G1305" i="32"/>
  <c r="I3786" i="27"/>
  <c r="A1309" i="32"/>
  <c r="N486" i="32" l="1" a="1"/>
  <c r="N486" i="32" s="1"/>
  <c r="E486" i="32" s="1"/>
  <c r="M486" i="32" a="1"/>
  <c r="M486" i="32" s="1"/>
  <c r="D486" i="32" s="1"/>
  <c r="O486" i="32" a="1"/>
  <c r="O486" i="32" s="1"/>
  <c r="M1122" i="27" s="1"/>
  <c r="A1122" i="27" s="1"/>
  <c r="K490" i="32"/>
  <c r="L488" i="32"/>
  <c r="N811" i="32" a="1"/>
  <c r="N811" i="32" s="1"/>
  <c r="E811" i="32" s="1"/>
  <c r="F2190" i="27" s="1"/>
  <c r="O811" i="32" a="1"/>
  <c r="O811" i="32" s="1"/>
  <c r="M2190" i="27" s="1"/>
  <c r="A2190" i="27" s="1"/>
  <c r="M811" i="32" a="1"/>
  <c r="M811" i="32" s="1"/>
  <c r="D811" i="32" s="1"/>
  <c r="K815" i="32"/>
  <c r="L813" i="32"/>
  <c r="A3786" i="27"/>
  <c r="F3788" i="27"/>
  <c r="H674" i="27"/>
  <c r="B675" i="27"/>
  <c r="M675" i="27"/>
  <c r="N675" i="27"/>
  <c r="Q1311" i="32"/>
  <c r="I3787" i="27"/>
  <c r="G1307" i="32"/>
  <c r="H3787" i="27"/>
  <c r="N488" i="32" l="1" a="1"/>
  <c r="N488" i="32" s="1"/>
  <c r="E488" i="32" s="1"/>
  <c r="M488" i="32" a="1"/>
  <c r="M488" i="32" s="1"/>
  <c r="D488" i="32" s="1"/>
  <c r="O488" i="32" a="1"/>
  <c r="O488" i="32" s="1"/>
  <c r="M1123" i="27" s="1"/>
  <c r="A1123" i="27" s="1"/>
  <c r="K492" i="32"/>
  <c r="L490" i="32"/>
  <c r="N813" i="32" a="1"/>
  <c r="N813" i="32" s="1"/>
  <c r="E813" i="32" s="1"/>
  <c r="F2191" i="27" s="1"/>
  <c r="O813" i="32" a="1"/>
  <c r="O813" i="32" s="1"/>
  <c r="M2191" i="27" s="1"/>
  <c r="A2191" i="27" s="1"/>
  <c r="M813" i="32" a="1"/>
  <c r="M813" i="32" s="1"/>
  <c r="D813" i="32" s="1"/>
  <c r="K817" i="32"/>
  <c r="L815" i="32"/>
  <c r="A3787" i="27"/>
  <c r="F3789" i="27"/>
  <c r="F3790" i="27"/>
  <c r="B676" i="27"/>
  <c r="M676" i="27"/>
  <c r="N676" i="27"/>
  <c r="H675" i="27"/>
  <c r="Q1313" i="32"/>
  <c r="G1309" i="32"/>
  <c r="A1311" i="32"/>
  <c r="I3788" i="27"/>
  <c r="H3788" i="27"/>
  <c r="A1313" i="32"/>
  <c r="M490" i="32" l="1" a="1"/>
  <c r="M490" i="32" s="1"/>
  <c r="D490" i="32" s="1"/>
  <c r="O490" i="32" a="1"/>
  <c r="O490" i="32" s="1"/>
  <c r="M1124" i="27" s="1"/>
  <c r="A1124" i="27" s="1"/>
  <c r="N490" i="32" a="1"/>
  <c r="N490" i="32" s="1"/>
  <c r="E490" i="32" s="1"/>
  <c r="K494" i="32"/>
  <c r="L492" i="32"/>
  <c r="N815" i="32" a="1"/>
  <c r="N815" i="32" s="1"/>
  <c r="E815" i="32" s="1"/>
  <c r="F2192" i="27" s="1"/>
  <c r="O815" i="32" a="1"/>
  <c r="O815" i="32" s="1"/>
  <c r="M2192" i="27" s="1"/>
  <c r="A2192" i="27" s="1"/>
  <c r="M815" i="32" a="1"/>
  <c r="M815" i="32" s="1"/>
  <c r="D815" i="32" s="1"/>
  <c r="K819" i="32"/>
  <c r="L817" i="32"/>
  <c r="A3788" i="27"/>
  <c r="F3791" i="27"/>
  <c r="H676" i="27"/>
  <c r="B677" i="27"/>
  <c r="N677" i="27"/>
  <c r="M677" i="27"/>
  <c r="Q1315" i="32"/>
  <c r="H3790" i="27"/>
  <c r="H3789" i="27"/>
  <c r="I3789" i="27"/>
  <c r="I3790" i="27"/>
  <c r="G1311" i="32"/>
  <c r="N492" i="32" l="1" a="1"/>
  <c r="N492" i="32" s="1"/>
  <c r="E492" i="32" s="1"/>
  <c r="M492" i="32" a="1"/>
  <c r="M492" i="32" s="1"/>
  <c r="D492" i="32" s="1"/>
  <c r="O492" i="32" a="1"/>
  <c r="O492" i="32" s="1"/>
  <c r="M1125" i="27" s="1"/>
  <c r="A1125" i="27" s="1"/>
  <c r="K496" i="32"/>
  <c r="L494" i="32"/>
  <c r="O817" i="32" a="1"/>
  <c r="O817" i="32" s="1"/>
  <c r="M2193" i="27" s="1"/>
  <c r="A2193" i="27" s="1"/>
  <c r="N817" i="32" a="1"/>
  <c r="N817" i="32" s="1"/>
  <c r="E817" i="32" s="1"/>
  <c r="F2193" i="27" s="1"/>
  <c r="M817" i="32" a="1"/>
  <c r="M817" i="32" s="1"/>
  <c r="D817" i="32" s="1"/>
  <c r="K821" i="32"/>
  <c r="L819" i="32"/>
  <c r="A3790" i="27"/>
  <c r="A3789" i="27"/>
  <c r="F3792" i="27"/>
  <c r="B678" i="27"/>
  <c r="M678" i="27"/>
  <c r="N678" i="27"/>
  <c r="H677" i="27"/>
  <c r="Q1317" i="32"/>
  <c r="H3791" i="27"/>
  <c r="I3791" i="27"/>
  <c r="A1315" i="32"/>
  <c r="G1313" i="32"/>
  <c r="A1317" i="32"/>
  <c r="K498" i="32" l="1"/>
  <c r="L496" i="32"/>
  <c r="M494" i="32" a="1"/>
  <c r="M494" i="32" s="1"/>
  <c r="D494" i="32" s="1"/>
  <c r="O494" i="32" a="1"/>
  <c r="O494" i="32" s="1"/>
  <c r="M1126" i="27" s="1"/>
  <c r="A1126" i="27" s="1"/>
  <c r="N494" i="32" a="1"/>
  <c r="N494" i="32" s="1"/>
  <c r="E494" i="32" s="1"/>
  <c r="K823" i="32"/>
  <c r="L821" i="32"/>
  <c r="O819" i="32" a="1"/>
  <c r="O819" i="32" s="1"/>
  <c r="M2194" i="27" s="1"/>
  <c r="A2194" i="27" s="1"/>
  <c r="N819" i="32" a="1"/>
  <c r="N819" i="32" s="1"/>
  <c r="E819" i="32" s="1"/>
  <c r="F2194" i="27" s="1"/>
  <c r="M819" i="32" a="1"/>
  <c r="M819" i="32" s="1"/>
  <c r="D819" i="32" s="1"/>
  <c r="A3791" i="27"/>
  <c r="F3793" i="27"/>
  <c r="H678" i="27"/>
  <c r="B679" i="27"/>
  <c r="N679" i="27"/>
  <c r="M679" i="27"/>
  <c r="Q1319" i="32"/>
  <c r="H3792" i="27"/>
  <c r="I3792" i="27"/>
  <c r="G1315" i="32"/>
  <c r="O496" i="32" l="1" a="1"/>
  <c r="O496" i="32" s="1"/>
  <c r="M1127" i="27" s="1"/>
  <c r="A1127" i="27" s="1"/>
  <c r="N496" i="32" a="1"/>
  <c r="N496" i="32" s="1"/>
  <c r="E496" i="32" s="1"/>
  <c r="M496" i="32" a="1"/>
  <c r="M496" i="32" s="1"/>
  <c r="D496" i="32" s="1"/>
  <c r="K500" i="32"/>
  <c r="L498" i="32"/>
  <c r="M821" i="32" a="1"/>
  <c r="M821" i="32" s="1"/>
  <c r="D821" i="32" s="1"/>
  <c r="N821" i="32" a="1"/>
  <c r="N821" i="32" s="1"/>
  <c r="E821" i="32" s="1"/>
  <c r="F2195" i="27" s="1"/>
  <c r="O821" i="32" a="1"/>
  <c r="O821" i="32" s="1"/>
  <c r="M2195" i="27" s="1"/>
  <c r="A2195" i="27" s="1"/>
  <c r="K825" i="32"/>
  <c r="L823" i="32"/>
  <c r="A3792" i="27"/>
  <c r="F3794" i="27"/>
  <c r="B680" i="27"/>
  <c r="N680" i="27"/>
  <c r="M680" i="27"/>
  <c r="H679" i="27"/>
  <c r="Q1321" i="32"/>
  <c r="G1317" i="32"/>
  <c r="A1319" i="32"/>
  <c r="H3793" i="27"/>
  <c r="I3793" i="27"/>
  <c r="A1321" i="32"/>
  <c r="M498" i="32" l="1" a="1"/>
  <c r="M498" i="32" s="1"/>
  <c r="D498" i="32" s="1"/>
  <c r="N498" i="32" a="1"/>
  <c r="N498" i="32" s="1"/>
  <c r="E498" i="32" s="1"/>
  <c r="O498" i="32" a="1"/>
  <c r="O498" i="32" s="1"/>
  <c r="M1128" i="27" s="1"/>
  <c r="A1128" i="27" s="1"/>
  <c r="K502" i="32"/>
  <c r="L500" i="32"/>
  <c r="M823" i="32" a="1"/>
  <c r="M823" i="32" s="1"/>
  <c r="D823" i="32" s="1"/>
  <c r="O823" i="32" a="1"/>
  <c r="O823" i="32" s="1"/>
  <c r="M2196" i="27" s="1"/>
  <c r="A2196" i="27" s="1"/>
  <c r="N823" i="32" a="1"/>
  <c r="N823" i="32" s="1"/>
  <c r="E823" i="32" s="1"/>
  <c r="F2196" i="27" s="1"/>
  <c r="K827" i="32"/>
  <c r="L825" i="32"/>
  <c r="A3793" i="27"/>
  <c r="F3795" i="27"/>
  <c r="F3796" i="27"/>
  <c r="H680" i="27"/>
  <c r="B681" i="27"/>
  <c r="M681" i="27"/>
  <c r="N681" i="27"/>
  <c r="Q1323" i="32"/>
  <c r="G1319" i="32"/>
  <c r="I3794" i="27"/>
  <c r="H3794" i="27"/>
  <c r="N500" i="32" l="1" a="1"/>
  <c r="N500" i="32" s="1"/>
  <c r="E500" i="32" s="1"/>
  <c r="M500" i="32" a="1"/>
  <c r="M500" i="32" s="1"/>
  <c r="D500" i="32" s="1"/>
  <c r="O500" i="32" a="1"/>
  <c r="O500" i="32" s="1"/>
  <c r="M1129" i="27" s="1"/>
  <c r="A1129" i="27" s="1"/>
  <c r="K504" i="32"/>
  <c r="L502" i="32"/>
  <c r="M825" i="32" a="1"/>
  <c r="M825" i="32" s="1"/>
  <c r="D825" i="32" s="1"/>
  <c r="N825" i="32" a="1"/>
  <c r="N825" i="32" s="1"/>
  <c r="E825" i="32" s="1"/>
  <c r="F2197" i="27" s="1"/>
  <c r="O825" i="32" a="1"/>
  <c r="O825" i="32" s="1"/>
  <c r="M2197" i="27" s="1"/>
  <c r="A2197" i="27" s="1"/>
  <c r="K829" i="32"/>
  <c r="L827" i="32"/>
  <c r="A3794" i="27"/>
  <c r="F3797" i="27"/>
  <c r="B682" i="27"/>
  <c r="M682" i="27"/>
  <c r="N682" i="27"/>
  <c r="H681" i="27"/>
  <c r="Q1325" i="32"/>
  <c r="H3796" i="27"/>
  <c r="A1323" i="32"/>
  <c r="H3795" i="27"/>
  <c r="A1325" i="32"/>
  <c r="I3796" i="27"/>
  <c r="I3795" i="27"/>
  <c r="G1321" i="32"/>
  <c r="N502" i="32" l="1" a="1"/>
  <c r="N502" i="32" s="1"/>
  <c r="E502" i="32" s="1"/>
  <c r="M502" i="32" a="1"/>
  <c r="M502" i="32" s="1"/>
  <c r="D502" i="32" s="1"/>
  <c r="O502" i="32" a="1"/>
  <c r="O502" i="32" s="1"/>
  <c r="M1130" i="27" s="1"/>
  <c r="A1130" i="27" s="1"/>
  <c r="K506" i="32"/>
  <c r="L504" i="32"/>
  <c r="M827" i="32" a="1"/>
  <c r="M827" i="32" s="1"/>
  <c r="D827" i="32" s="1"/>
  <c r="N827" i="32" a="1"/>
  <c r="N827" i="32" s="1"/>
  <c r="E827" i="32" s="1"/>
  <c r="F2198" i="27" s="1"/>
  <c r="O827" i="32" a="1"/>
  <c r="O827" i="32" s="1"/>
  <c r="M2198" i="27" s="1"/>
  <c r="A2198" i="27" s="1"/>
  <c r="K831" i="32"/>
  <c r="L829" i="32"/>
  <c r="A3795" i="27"/>
  <c r="A3796" i="27"/>
  <c r="H682" i="27"/>
  <c r="F3798" i="27"/>
  <c r="B683" i="27"/>
  <c r="M683" i="27"/>
  <c r="N683" i="27"/>
  <c r="Q1327" i="32"/>
  <c r="H3797" i="27"/>
  <c r="I3797" i="27"/>
  <c r="G1323" i="32"/>
  <c r="A1327" i="32"/>
  <c r="O504" i="32" l="1" a="1"/>
  <c r="O504" i="32" s="1"/>
  <c r="M1131" i="27" s="1"/>
  <c r="A1131" i="27" s="1"/>
  <c r="N504" i="32" a="1"/>
  <c r="N504" i="32" s="1"/>
  <c r="E504" i="32" s="1"/>
  <c r="M504" i="32" a="1"/>
  <c r="M504" i="32" s="1"/>
  <c r="D504" i="32" s="1"/>
  <c r="K508" i="32"/>
  <c r="L506" i="32"/>
  <c r="M829" i="32" a="1"/>
  <c r="M829" i="32" s="1"/>
  <c r="D829" i="32" s="1"/>
  <c r="O829" i="32" a="1"/>
  <c r="O829" i="32" s="1"/>
  <c r="M2199" i="27" s="1"/>
  <c r="A2199" i="27" s="1"/>
  <c r="N829" i="32" a="1"/>
  <c r="N829" i="32" s="1"/>
  <c r="E829" i="32" s="1"/>
  <c r="F2199" i="27" s="1"/>
  <c r="K833" i="32"/>
  <c r="L831" i="32"/>
  <c r="A3797" i="27"/>
  <c r="F3799" i="27"/>
  <c r="B684" i="27"/>
  <c r="N684" i="27"/>
  <c r="M684" i="27"/>
  <c r="H683" i="27"/>
  <c r="Q1329" i="32"/>
  <c r="I3798" i="27"/>
  <c r="H3798" i="27"/>
  <c r="A1329" i="32"/>
  <c r="G1325" i="32"/>
  <c r="M506" i="32" l="1" a="1"/>
  <c r="M506" i="32" s="1"/>
  <c r="D506" i="32" s="1"/>
  <c r="N506" i="32" a="1"/>
  <c r="N506" i="32" s="1"/>
  <c r="E506" i="32" s="1"/>
  <c r="O506" i="32" a="1"/>
  <c r="O506" i="32" s="1"/>
  <c r="M1132" i="27" s="1"/>
  <c r="A1132" i="27" s="1"/>
  <c r="K510" i="32"/>
  <c r="L508" i="32"/>
  <c r="O831" i="32" a="1"/>
  <c r="O831" i="32" s="1"/>
  <c r="M2200" i="27" s="1"/>
  <c r="A2200" i="27" s="1"/>
  <c r="N831" i="32" a="1"/>
  <c r="N831" i="32" s="1"/>
  <c r="E831" i="32" s="1"/>
  <c r="F2200" i="27" s="1"/>
  <c r="M831" i="32" a="1"/>
  <c r="M831" i="32" s="1"/>
  <c r="D831" i="32" s="1"/>
  <c r="K835" i="32"/>
  <c r="L833" i="32"/>
  <c r="A3798" i="27"/>
  <c r="F3800" i="27"/>
  <c r="H684" i="27"/>
  <c r="B685" i="27"/>
  <c r="N685" i="27"/>
  <c r="M685" i="27"/>
  <c r="Q1331" i="32"/>
  <c r="H3799" i="27"/>
  <c r="A1331" i="32"/>
  <c r="G1327" i="32"/>
  <c r="I3799" i="27"/>
  <c r="N508" i="32" l="1" a="1"/>
  <c r="N508" i="32" s="1"/>
  <c r="E508" i="32" s="1"/>
  <c r="O508" i="32" a="1"/>
  <c r="O508" i="32" s="1"/>
  <c r="M1133" i="27" s="1"/>
  <c r="A1133" i="27" s="1"/>
  <c r="M508" i="32" a="1"/>
  <c r="M508" i="32" s="1"/>
  <c r="D508" i="32" s="1"/>
  <c r="K512" i="32"/>
  <c r="L510" i="32"/>
  <c r="O833" i="32" a="1"/>
  <c r="O833" i="32" s="1"/>
  <c r="M2201" i="27" s="1"/>
  <c r="A2201" i="27" s="1"/>
  <c r="N833" i="32" a="1"/>
  <c r="N833" i="32" s="1"/>
  <c r="E833" i="32" s="1"/>
  <c r="F2201" i="27" s="1"/>
  <c r="M833" i="32" a="1"/>
  <c r="M833" i="32" s="1"/>
  <c r="D833" i="32" s="1"/>
  <c r="K837" i="32"/>
  <c r="L835" i="32"/>
  <c r="A3799" i="27"/>
  <c r="F3801" i="27"/>
  <c r="F3802" i="27"/>
  <c r="B686" i="27"/>
  <c r="N686" i="27"/>
  <c r="M686" i="27"/>
  <c r="H685" i="27"/>
  <c r="Q1333" i="32"/>
  <c r="G1329" i="32"/>
  <c r="A1333" i="32"/>
  <c r="I3800" i="27"/>
  <c r="H3800" i="27"/>
  <c r="O510" i="32" l="1" a="1"/>
  <c r="O510" i="32" s="1"/>
  <c r="M1134" i="27" s="1"/>
  <c r="A1134" i="27" s="1"/>
  <c r="N510" i="32" a="1"/>
  <c r="N510" i="32" s="1"/>
  <c r="E510" i="32" s="1"/>
  <c r="M510" i="32" a="1"/>
  <c r="M510" i="32" s="1"/>
  <c r="D510" i="32" s="1"/>
  <c r="K514" i="32"/>
  <c r="L512" i="32"/>
  <c r="N835" i="32" a="1"/>
  <c r="N835" i="32" s="1"/>
  <c r="E835" i="32" s="1"/>
  <c r="F2202" i="27" s="1"/>
  <c r="M835" i="32" a="1"/>
  <c r="M835" i="32" s="1"/>
  <c r="D835" i="32" s="1"/>
  <c r="O835" i="32" a="1"/>
  <c r="O835" i="32" s="1"/>
  <c r="M2202" i="27" s="1"/>
  <c r="A2202" i="27" s="1"/>
  <c r="K839" i="32"/>
  <c r="L837" i="32"/>
  <c r="A3800" i="27"/>
  <c r="F3803" i="27"/>
  <c r="H686" i="27"/>
  <c r="B687" i="27"/>
  <c r="M687" i="27"/>
  <c r="N687" i="27"/>
  <c r="Q1335" i="32"/>
  <c r="H3801" i="27"/>
  <c r="H3802" i="27"/>
  <c r="I3802" i="27"/>
  <c r="G1331" i="32"/>
  <c r="I3801" i="27"/>
  <c r="O512" i="32" l="1" a="1"/>
  <c r="O512" i="32" s="1"/>
  <c r="M1135" i="27" s="1"/>
  <c r="A1135" i="27" s="1"/>
  <c r="N512" i="32" a="1"/>
  <c r="N512" i="32" s="1"/>
  <c r="E512" i="32" s="1"/>
  <c r="M512" i="32" a="1"/>
  <c r="M512" i="32" s="1"/>
  <c r="D512" i="32" s="1"/>
  <c r="K516" i="32"/>
  <c r="K518" i="32" s="1"/>
  <c r="K520" i="32" s="1"/>
  <c r="K522" i="32" s="1"/>
  <c r="K524" i="32" s="1"/>
  <c r="K526" i="32" s="1"/>
  <c r="K528" i="32" s="1"/>
  <c r="K530" i="32" s="1"/>
  <c r="K532" i="32" s="1"/>
  <c r="K534" i="32" s="1"/>
  <c r="K536" i="32" s="1"/>
  <c r="K538" i="32" s="1"/>
  <c r="K540" i="32" s="1"/>
  <c r="K542" i="32" s="1"/>
  <c r="K544" i="32" s="1"/>
  <c r="K546" i="32" s="1"/>
  <c r="K548" i="32" s="1"/>
  <c r="K550" i="32" s="1"/>
  <c r="K552" i="32" s="1"/>
  <c r="K554" i="32" s="1"/>
  <c r="K556" i="32" s="1"/>
  <c r="K558" i="32" s="1"/>
  <c r="K560" i="32" s="1"/>
  <c r="K562" i="32" s="1"/>
  <c r="K564" i="32" s="1"/>
  <c r="K566" i="32" s="1"/>
  <c r="K568" i="32" s="1"/>
  <c r="K570" i="32" s="1"/>
  <c r="K572" i="32" s="1"/>
  <c r="K574" i="32" s="1"/>
  <c r="K576" i="32" s="1"/>
  <c r="K578" i="32" s="1"/>
  <c r="K580" i="32" s="1"/>
  <c r="K582" i="32" s="1"/>
  <c r="K584" i="32" s="1"/>
  <c r="K586" i="32" s="1"/>
  <c r="K588" i="32" s="1"/>
  <c r="K590" i="32" s="1"/>
  <c r="K592" i="32" s="1"/>
  <c r="K594" i="32" s="1"/>
  <c r="K596" i="32" s="1"/>
  <c r="K598" i="32" s="1"/>
  <c r="K600" i="32" s="1"/>
  <c r="K602" i="32" s="1"/>
  <c r="K604" i="32" s="1"/>
  <c r="K606" i="32" s="1"/>
  <c r="K608" i="32" s="1"/>
  <c r="K610" i="32" s="1"/>
  <c r="K612" i="32" s="1"/>
  <c r="K614" i="32" s="1"/>
  <c r="L614" i="32" s="1"/>
  <c r="L514" i="32"/>
  <c r="N837" i="32" a="1"/>
  <c r="N837" i="32" s="1"/>
  <c r="E837" i="32" s="1"/>
  <c r="F2203" i="27" s="1"/>
  <c r="O837" i="32" a="1"/>
  <c r="O837" i="32" s="1"/>
  <c r="M2203" i="27" s="1"/>
  <c r="A2203" i="27" s="1"/>
  <c r="M837" i="32" a="1"/>
  <c r="M837" i="32" s="1"/>
  <c r="D837" i="32" s="1"/>
  <c r="K841" i="32"/>
  <c r="L839" i="32"/>
  <c r="A3801" i="27"/>
  <c r="A3802" i="27"/>
  <c r="F3804" i="27"/>
  <c r="B688" i="27"/>
  <c r="M688" i="27"/>
  <c r="N688" i="27"/>
  <c r="H687" i="27"/>
  <c r="Q1337" i="32"/>
  <c r="G1333" i="32"/>
  <c r="A1337" i="32"/>
  <c r="H3803" i="27"/>
  <c r="A1335" i="32"/>
  <c r="I3803" i="27"/>
  <c r="N514" i="32" l="1" a="1"/>
  <c r="N514" i="32" s="1"/>
  <c r="E514" i="32" s="1"/>
  <c r="O514" i="32" a="1"/>
  <c r="O514" i="32" s="1"/>
  <c r="M1136" i="27" s="1"/>
  <c r="A1136" i="27" s="1"/>
  <c r="M514" i="32" a="1"/>
  <c r="M514" i="32" s="1"/>
  <c r="D514" i="32" s="1"/>
  <c r="O614" i="32" a="1"/>
  <c r="O614" i="32" s="1"/>
  <c r="M1186" i="27" s="1"/>
  <c r="A1186" i="27" s="1"/>
  <c r="N614" i="32" a="1"/>
  <c r="N614" i="32" s="1"/>
  <c r="E614" i="32" s="1"/>
  <c r="M614" i="32" a="1"/>
  <c r="M614" i="32" s="1"/>
  <c r="D614" i="32" s="1"/>
  <c r="N839" i="32" a="1"/>
  <c r="N839" i="32" s="1"/>
  <c r="E839" i="32" s="1"/>
  <c r="F2204" i="27" s="1"/>
  <c r="M839" i="32" a="1"/>
  <c r="M839" i="32" s="1"/>
  <c r="D839" i="32" s="1"/>
  <c r="O839" i="32" a="1"/>
  <c r="O839" i="32" s="1"/>
  <c r="M2204" i="27" s="1"/>
  <c r="A2204" i="27" s="1"/>
  <c r="K843" i="32"/>
  <c r="L841" i="32"/>
  <c r="A3803" i="27"/>
  <c r="F3805" i="27"/>
  <c r="H688" i="27"/>
  <c r="B689" i="27"/>
  <c r="N689" i="27"/>
  <c r="M689" i="27"/>
  <c r="Q1339" i="32"/>
  <c r="I3804" i="27"/>
  <c r="H3804" i="27"/>
  <c r="G1335" i="32"/>
  <c r="O841" i="32" l="1" a="1"/>
  <c r="O841" i="32" s="1"/>
  <c r="M2205" i="27" s="1"/>
  <c r="A2205" i="27" s="1"/>
  <c r="N841" i="32" a="1"/>
  <c r="N841" i="32" s="1"/>
  <c r="E841" i="32" s="1"/>
  <c r="F2205" i="27" s="1"/>
  <c r="M841" i="32" a="1"/>
  <c r="M841" i="32" s="1"/>
  <c r="D841" i="32" s="1"/>
  <c r="K845" i="32"/>
  <c r="L843" i="32"/>
  <c r="A3804" i="27"/>
  <c r="F3806" i="27"/>
  <c r="B690" i="27"/>
  <c r="N690" i="27"/>
  <c r="M690" i="27"/>
  <c r="H689" i="27"/>
  <c r="Q1341" i="32"/>
  <c r="A1341" i="32"/>
  <c r="A1339" i="32"/>
  <c r="G1337" i="32"/>
  <c r="I3805" i="27"/>
  <c r="H3805" i="27"/>
  <c r="M843" i="32" l="1" a="1"/>
  <c r="M843" i="32" s="1"/>
  <c r="D843" i="32" s="1"/>
  <c r="O843" i="32" a="1"/>
  <c r="O843" i="32" s="1"/>
  <c r="M2206" i="27" s="1"/>
  <c r="A2206" i="27" s="1"/>
  <c r="N843" i="32" a="1"/>
  <c r="N843" i="32" s="1"/>
  <c r="E843" i="32" s="1"/>
  <c r="F2206" i="27" s="1"/>
  <c r="K847" i="32"/>
  <c r="L845" i="32"/>
  <c r="A3805" i="27"/>
  <c r="F3807" i="27"/>
  <c r="F3808" i="27"/>
  <c r="H690" i="27"/>
  <c r="B691" i="27"/>
  <c r="M691" i="27"/>
  <c r="N691" i="27"/>
  <c r="Q1343" i="32"/>
  <c r="H3806" i="27"/>
  <c r="I3806" i="27"/>
  <c r="G1339" i="32"/>
  <c r="O845" i="32" l="1" a="1"/>
  <c r="O845" i="32" s="1"/>
  <c r="M2207" i="27" s="1"/>
  <c r="A2207" i="27" s="1"/>
  <c r="M845" i="32" a="1"/>
  <c r="M845" i="32" s="1"/>
  <c r="D845" i="32" s="1"/>
  <c r="N845" i="32" a="1"/>
  <c r="N845" i="32" s="1"/>
  <c r="E845" i="32" s="1"/>
  <c r="F2207" i="27" s="1"/>
  <c r="K849" i="32"/>
  <c r="L847" i="32"/>
  <c r="A3806" i="27"/>
  <c r="F3809" i="27"/>
  <c r="B692" i="27"/>
  <c r="M692" i="27"/>
  <c r="N692" i="27"/>
  <c r="H691" i="27"/>
  <c r="Q1345" i="32"/>
  <c r="H3807" i="27"/>
  <c r="H3808" i="27"/>
  <c r="G1341" i="32"/>
  <c r="I3808" i="27"/>
  <c r="A1343" i="32"/>
  <c r="I3807" i="27"/>
  <c r="A1345" i="32"/>
  <c r="M847" i="32" l="1" a="1"/>
  <c r="M847" i="32" s="1"/>
  <c r="D847" i="32" s="1"/>
  <c r="N847" i="32" a="1"/>
  <c r="N847" i="32" s="1"/>
  <c r="E847" i="32" s="1"/>
  <c r="F2208" i="27" s="1"/>
  <c r="O847" i="32" a="1"/>
  <c r="O847" i="32" s="1"/>
  <c r="M2208" i="27" s="1"/>
  <c r="A2208" i="27" s="1"/>
  <c r="K851" i="32"/>
  <c r="L849" i="32"/>
  <c r="A3807" i="27"/>
  <c r="A3808" i="27"/>
  <c r="F3810" i="27"/>
  <c r="H692" i="27"/>
  <c r="B693" i="27"/>
  <c r="N693" i="27"/>
  <c r="M693" i="27"/>
  <c r="Q1347" i="32"/>
  <c r="I3809" i="27"/>
  <c r="G1343" i="32"/>
  <c r="H3809" i="27"/>
  <c r="N849" i="32" l="1" a="1"/>
  <c r="N849" i="32" s="1"/>
  <c r="E849" i="32" s="1"/>
  <c r="F2209" i="27" s="1"/>
  <c r="O849" i="32" a="1"/>
  <c r="O849" i="32" s="1"/>
  <c r="M2209" i="27" s="1"/>
  <c r="A2209" i="27" s="1"/>
  <c r="M849" i="32" a="1"/>
  <c r="M849" i="32" s="1"/>
  <c r="D849" i="32" s="1"/>
  <c r="K853" i="32"/>
  <c r="L851" i="32"/>
  <c r="A3809" i="27"/>
  <c r="F3811" i="27"/>
  <c r="B694" i="27"/>
  <c r="N694" i="27"/>
  <c r="M694" i="27"/>
  <c r="H693" i="27"/>
  <c r="Q1349" i="32"/>
  <c r="G1345" i="32"/>
  <c r="A1349" i="32"/>
  <c r="A1347" i="32"/>
  <c r="I3810" i="27"/>
  <c r="H3810" i="27"/>
  <c r="O851" i="32" l="1" a="1"/>
  <c r="O851" i="32" s="1"/>
  <c r="M2210" i="27" s="1"/>
  <c r="A2210" i="27" s="1"/>
  <c r="N851" i="32" a="1"/>
  <c r="N851" i="32" s="1"/>
  <c r="E851" i="32" s="1"/>
  <c r="F2210" i="27" s="1"/>
  <c r="M851" i="32" a="1"/>
  <c r="M851" i="32" s="1"/>
  <c r="D851" i="32" s="1"/>
  <c r="K855" i="32"/>
  <c r="L853" i="32"/>
  <c r="A3810" i="27"/>
  <c r="F3812" i="27"/>
  <c r="H694" i="27"/>
  <c r="B695" i="27"/>
  <c r="N695" i="27"/>
  <c r="M695" i="27"/>
  <c r="Q1351" i="32"/>
  <c r="G1347" i="32"/>
  <c r="I3811" i="27"/>
  <c r="H3811" i="27"/>
  <c r="N853" i="32" l="1" a="1"/>
  <c r="N853" i="32" s="1"/>
  <c r="E853" i="32" s="1"/>
  <c r="F2211" i="27" s="1"/>
  <c r="M853" i="32" a="1"/>
  <c r="M853" i="32" s="1"/>
  <c r="D853" i="32" s="1"/>
  <c r="O853" i="32" a="1"/>
  <c r="O853" i="32" s="1"/>
  <c r="M2211" i="27" s="1"/>
  <c r="A2211" i="27" s="1"/>
  <c r="K857" i="32"/>
  <c r="L855" i="32"/>
  <c r="A3811" i="27"/>
  <c r="F3814" i="27"/>
  <c r="F3813" i="27"/>
  <c r="B696" i="27"/>
  <c r="N696" i="27"/>
  <c r="M696" i="27"/>
  <c r="H695" i="27"/>
  <c r="Q1353" i="32"/>
  <c r="A1351" i="32"/>
  <c r="I3812" i="27"/>
  <c r="H3812" i="27"/>
  <c r="G1349" i="32"/>
  <c r="A1353" i="32"/>
  <c r="M855" i="32" l="1" a="1"/>
  <c r="M855" i="32" s="1"/>
  <c r="D855" i="32" s="1"/>
  <c r="O855" i="32" a="1"/>
  <c r="O855" i="32" s="1"/>
  <c r="M2212" i="27" s="1"/>
  <c r="A2212" i="27" s="1"/>
  <c r="N855" i="32" a="1"/>
  <c r="N855" i="32" s="1"/>
  <c r="E855" i="32" s="1"/>
  <c r="F2212" i="27" s="1"/>
  <c r="K859" i="32"/>
  <c r="L857" i="32"/>
  <c r="A3812" i="27"/>
  <c r="F3815" i="27"/>
  <c r="H696" i="27"/>
  <c r="B697" i="27"/>
  <c r="N697" i="27"/>
  <c r="M697" i="27"/>
  <c r="Q1355" i="32"/>
  <c r="H3814" i="27"/>
  <c r="H3813" i="27"/>
  <c r="G1351" i="32"/>
  <c r="I3813" i="27"/>
  <c r="I3814" i="27"/>
  <c r="O857" i="32" l="1" a="1"/>
  <c r="O857" i="32" s="1"/>
  <c r="M2213" i="27" s="1"/>
  <c r="A2213" i="27" s="1"/>
  <c r="M857" i="32" a="1"/>
  <c r="M857" i="32" s="1"/>
  <c r="D857" i="32" s="1"/>
  <c r="N857" i="32" a="1"/>
  <c r="N857" i="32" s="1"/>
  <c r="E857" i="32" s="1"/>
  <c r="F2213" i="27" s="1"/>
  <c r="K861" i="32"/>
  <c r="L859" i="32"/>
  <c r="A3813" i="27"/>
  <c r="A3814" i="27"/>
  <c r="F3816" i="27"/>
  <c r="B698" i="27"/>
  <c r="M698" i="27"/>
  <c r="N698" i="27"/>
  <c r="H697" i="27"/>
  <c r="Q1357" i="32"/>
  <c r="I3815" i="27"/>
  <c r="G1353" i="32"/>
  <c r="A1355" i="32"/>
  <c r="A1357" i="32"/>
  <c r="H3815" i="27"/>
  <c r="K863" i="32" l="1"/>
  <c r="L861" i="32"/>
  <c r="M859" i="32" a="1"/>
  <c r="M859" i="32" s="1"/>
  <c r="D859" i="32" s="1"/>
  <c r="N859" i="32" a="1"/>
  <c r="N859" i="32" s="1"/>
  <c r="E859" i="32" s="1"/>
  <c r="F2214" i="27" s="1"/>
  <c r="O859" i="32" a="1"/>
  <c r="O859" i="32" s="1"/>
  <c r="M2214" i="27" s="1"/>
  <c r="A2214" i="27" s="1"/>
  <c r="A3815" i="27"/>
  <c r="F3817" i="27"/>
  <c r="H698" i="27"/>
  <c r="B699" i="27"/>
  <c r="M699" i="27"/>
  <c r="N699" i="27"/>
  <c r="Q1359" i="32"/>
  <c r="I3816" i="27"/>
  <c r="H3816" i="27"/>
  <c r="A1359" i="32"/>
  <c r="G1355" i="32"/>
  <c r="O861" i="32" l="1" a="1"/>
  <c r="O861" i="32" s="1"/>
  <c r="M2215" i="27" s="1"/>
  <c r="A2215" i="27" s="1"/>
  <c r="M861" i="32" a="1"/>
  <c r="M861" i="32" s="1"/>
  <c r="D861" i="32" s="1"/>
  <c r="N861" i="32" a="1"/>
  <c r="N861" i="32" s="1"/>
  <c r="E861" i="32" s="1"/>
  <c r="F2215" i="27" s="1"/>
  <c r="K865" i="32"/>
  <c r="L863" i="32"/>
  <c r="A3816" i="27"/>
  <c r="F3818" i="27"/>
  <c r="H699" i="27"/>
  <c r="B700" i="27"/>
  <c r="M700" i="27"/>
  <c r="C700" i="27" s="1"/>
  <c r="Q1361" i="32"/>
  <c r="I3817" i="27"/>
  <c r="H3817" i="27"/>
  <c r="G1357" i="32"/>
  <c r="M863" i="32" l="1" a="1"/>
  <c r="M863" i="32" s="1"/>
  <c r="D863" i="32" s="1"/>
  <c r="O863" i="32" a="1"/>
  <c r="O863" i="32" s="1"/>
  <c r="M2216" i="27" s="1"/>
  <c r="A2216" i="27" s="1"/>
  <c r="N863" i="32" a="1"/>
  <c r="N863" i="32" s="1"/>
  <c r="E863" i="32" s="1"/>
  <c r="F2216" i="27" s="1"/>
  <c r="K867" i="32"/>
  <c r="L865" i="32"/>
  <c r="A3817" i="27"/>
  <c r="F3820" i="27"/>
  <c r="F3819" i="27"/>
  <c r="H700" i="27"/>
  <c r="B701" i="27"/>
  <c r="N701" i="27"/>
  <c r="M701" i="27"/>
  <c r="C701" i="27" s="1"/>
  <c r="Q1363" i="32"/>
  <c r="G1359" i="32"/>
  <c r="A1363" i="32"/>
  <c r="I3818" i="27"/>
  <c r="H3818" i="27"/>
  <c r="A1361" i="32"/>
  <c r="O865" i="32" l="1" a="1"/>
  <c r="O865" i="32" s="1"/>
  <c r="M2217" i="27" s="1"/>
  <c r="A2217" i="27" s="1"/>
  <c r="M865" i="32" a="1"/>
  <c r="M865" i="32" s="1"/>
  <c r="D865" i="32" s="1"/>
  <c r="N865" i="32" a="1"/>
  <c r="N865" i="32" s="1"/>
  <c r="E865" i="32" s="1"/>
  <c r="F2217" i="27" s="1"/>
  <c r="K869" i="32"/>
  <c r="L867" i="32"/>
  <c r="A3818" i="27"/>
  <c r="F3821" i="27"/>
  <c r="B702" i="27"/>
  <c r="H701" i="27"/>
  <c r="N702" i="27"/>
  <c r="M702" i="27"/>
  <c r="C702" i="27" s="1"/>
  <c r="Q1365" i="32"/>
  <c r="I3819" i="27"/>
  <c r="I3820" i="27"/>
  <c r="G1361" i="32"/>
  <c r="I700" i="27"/>
  <c r="L700" i="27"/>
  <c r="H3820" i="27"/>
  <c r="H3819" i="27"/>
  <c r="K700" i="27"/>
  <c r="J700" i="27"/>
  <c r="O867" i="32" l="1" a="1"/>
  <c r="O867" i="32" s="1"/>
  <c r="M2218" i="27" s="1"/>
  <c r="A2218" i="27" s="1"/>
  <c r="N867" i="32" a="1"/>
  <c r="N867" i="32" s="1"/>
  <c r="E867" i="32" s="1"/>
  <c r="F2218" i="27" s="1"/>
  <c r="M867" i="32" a="1"/>
  <c r="M867" i="32" s="1"/>
  <c r="D867" i="32" s="1"/>
  <c r="K871" i="32"/>
  <c r="L869" i="32"/>
  <c r="A3820" i="27"/>
  <c r="A3819" i="27"/>
  <c r="F3822" i="27"/>
  <c r="A700" i="27"/>
  <c r="H702" i="27"/>
  <c r="B703" i="27"/>
  <c r="N703" i="27"/>
  <c r="M703" i="27"/>
  <c r="C703" i="27" s="1"/>
  <c r="Q1367" i="32"/>
  <c r="H3821" i="27"/>
  <c r="I701" i="27"/>
  <c r="G1363" i="32"/>
  <c r="A1367" i="32"/>
  <c r="L701" i="27"/>
  <c r="J701" i="27"/>
  <c r="I3821" i="27"/>
  <c r="A1365" i="32"/>
  <c r="K701" i="27"/>
  <c r="N869" i="32" l="1" a="1"/>
  <c r="N869" i="32" s="1"/>
  <c r="E869" i="32" s="1"/>
  <c r="F2219" i="27" s="1"/>
  <c r="O869" i="32" a="1"/>
  <c r="O869" i="32" s="1"/>
  <c r="M2219" i="27" s="1"/>
  <c r="A2219" i="27" s="1"/>
  <c r="M869" i="32" a="1"/>
  <c r="M869" i="32" s="1"/>
  <c r="D869" i="32" s="1"/>
  <c r="K873" i="32"/>
  <c r="L871" i="32"/>
  <c r="CD67" i="33"/>
  <c r="J831" i="41"/>
  <c r="A3821" i="27"/>
  <c r="F3823" i="27"/>
  <c r="A701" i="27"/>
  <c r="H703" i="27"/>
  <c r="B704" i="27"/>
  <c r="M704" i="27"/>
  <c r="C704" i="27" s="1"/>
  <c r="N704" i="27"/>
  <c r="Q1369" i="32"/>
  <c r="G1365" i="32"/>
  <c r="K702" i="27"/>
  <c r="L702" i="27"/>
  <c r="A1369" i="32"/>
  <c r="H3822" i="27"/>
  <c r="I3822" i="27"/>
  <c r="J702" i="27"/>
  <c r="I702" i="27"/>
  <c r="M871" i="32" l="1" a="1"/>
  <c r="M871" i="32" s="1"/>
  <c r="D871" i="32" s="1"/>
  <c r="O871" i="32" a="1"/>
  <c r="O871" i="32" s="1"/>
  <c r="M2220" i="27" s="1"/>
  <c r="A2220" i="27" s="1"/>
  <c r="N871" i="32" a="1"/>
  <c r="N871" i="32" s="1"/>
  <c r="E871" i="32" s="1"/>
  <c r="F2220" i="27" s="1"/>
  <c r="K875" i="32"/>
  <c r="L873" i="32"/>
  <c r="CE67" i="33"/>
  <c r="CF67" i="33" s="1"/>
  <c r="CG67" i="33" s="1"/>
  <c r="BO67" i="33" s="1"/>
  <c r="BQ67" i="33" s="1"/>
  <c r="BS67" i="33" s="1"/>
  <c r="BB67" i="33" s="1"/>
  <c r="B5" i="33" s="1"/>
  <c r="K831" i="41"/>
  <c r="A3822" i="27"/>
  <c r="F3824" i="27"/>
  <c r="A702" i="27"/>
  <c r="H704" i="27"/>
  <c r="B705" i="27"/>
  <c r="N705" i="27"/>
  <c r="M705" i="27"/>
  <c r="C705" i="27" s="1"/>
  <c r="Q1371" i="32"/>
  <c r="G1367" i="32"/>
  <c r="L703" i="27"/>
  <c r="H3823" i="27"/>
  <c r="I703" i="27"/>
  <c r="J703" i="27"/>
  <c r="I3823" i="27"/>
  <c r="K703" i="27"/>
  <c r="N873" i="32" l="1" a="1"/>
  <c r="N873" i="32" s="1"/>
  <c r="E873" i="32" s="1"/>
  <c r="F2221" i="27" s="1"/>
  <c r="M873" i="32" a="1"/>
  <c r="M873" i="32" s="1"/>
  <c r="D873" i="32" s="1"/>
  <c r="O873" i="32" a="1"/>
  <c r="O873" i="32" s="1"/>
  <c r="M2221" i="27" s="1"/>
  <c r="A2221" i="27" s="1"/>
  <c r="K877" i="32"/>
  <c r="L875" i="32"/>
  <c r="A3823" i="27"/>
  <c r="F3825" i="27"/>
  <c r="A703" i="27"/>
  <c r="H705" i="27"/>
  <c r="B706" i="27"/>
  <c r="N706" i="27"/>
  <c r="M706" i="27"/>
  <c r="C706" i="27" s="1"/>
  <c r="Q1373" i="32"/>
  <c r="A1371" i="32"/>
  <c r="L704" i="27"/>
  <c r="K704" i="27"/>
  <c r="J704" i="27"/>
  <c r="H3824" i="27"/>
  <c r="I3824" i="27"/>
  <c r="G1369" i="32"/>
  <c r="A1373" i="32"/>
  <c r="I704" i="27"/>
  <c r="N875" i="32" l="1" a="1"/>
  <c r="N875" i="32" s="1"/>
  <c r="E875" i="32" s="1"/>
  <c r="F2222" i="27" s="1"/>
  <c r="M875" i="32" a="1"/>
  <c r="M875" i="32" s="1"/>
  <c r="D875" i="32" s="1"/>
  <c r="O875" i="32" a="1"/>
  <c r="O875" i="32" s="1"/>
  <c r="M2222" i="27" s="1"/>
  <c r="A2222" i="27" s="1"/>
  <c r="K879" i="32"/>
  <c r="L877" i="32"/>
  <c r="A3824" i="27"/>
  <c r="A704" i="27"/>
  <c r="H706" i="27"/>
  <c r="B707" i="27"/>
  <c r="N707" i="27"/>
  <c r="M707" i="27"/>
  <c r="C707" i="27" s="1"/>
  <c r="Q1375" i="32"/>
  <c r="J705" i="27"/>
  <c r="I3825" i="27"/>
  <c r="L705" i="27"/>
  <c r="H3825" i="27"/>
  <c r="K705" i="27"/>
  <c r="G1371" i="32"/>
  <c r="I705" i="27"/>
  <c r="O877" i="32" l="1" a="1"/>
  <c r="O877" i="32" s="1"/>
  <c r="M2223" i="27" s="1"/>
  <c r="A2223" i="27" s="1"/>
  <c r="M877" i="32" a="1"/>
  <c r="M877" i="32" s="1"/>
  <c r="D877" i="32" s="1"/>
  <c r="N877" i="32" a="1"/>
  <c r="N877" i="32" s="1"/>
  <c r="E877" i="32" s="1"/>
  <c r="F2223" i="27" s="1"/>
  <c r="K881" i="32"/>
  <c r="L879" i="32"/>
  <c r="A3825" i="27"/>
  <c r="A705" i="27"/>
  <c r="H707" i="27"/>
  <c r="B708" i="27"/>
  <c r="M708" i="27"/>
  <c r="C708" i="27" s="1"/>
  <c r="N708" i="27"/>
  <c r="Q1377" i="32"/>
  <c r="L706" i="27"/>
  <c r="A1375" i="32"/>
  <c r="J706" i="27"/>
  <c r="G1373" i="32"/>
  <c r="K706" i="27"/>
  <c r="I706" i="27"/>
  <c r="A1377" i="32"/>
  <c r="N879" i="32" l="1" a="1"/>
  <c r="N879" i="32" s="1"/>
  <c r="E879" i="32" s="1"/>
  <c r="F2224" i="27" s="1"/>
  <c r="M879" i="32" a="1"/>
  <c r="M879" i="32" s="1"/>
  <c r="D879" i="32" s="1"/>
  <c r="O879" i="32" a="1"/>
  <c r="O879" i="32" s="1"/>
  <c r="M2224" i="27" s="1"/>
  <c r="A2224" i="27" s="1"/>
  <c r="K883" i="32"/>
  <c r="L881" i="32"/>
  <c r="A706" i="27"/>
  <c r="H708" i="27"/>
  <c r="B709" i="27"/>
  <c r="N709" i="27"/>
  <c r="M709" i="27"/>
  <c r="C709" i="27" s="1"/>
  <c r="Q1379" i="32"/>
  <c r="K707" i="27"/>
  <c r="J707" i="27"/>
  <c r="G1375" i="32"/>
  <c r="I707" i="27"/>
  <c r="L707" i="27"/>
  <c r="M881" i="32" l="1" a="1"/>
  <c r="M881" i="32" s="1"/>
  <c r="D881" i="32" s="1"/>
  <c r="O881" i="32" a="1"/>
  <c r="O881" i="32" s="1"/>
  <c r="M2225" i="27" s="1"/>
  <c r="A2225" i="27" s="1"/>
  <c r="N881" i="32" a="1"/>
  <c r="N881" i="32" s="1"/>
  <c r="E881" i="32" s="1"/>
  <c r="F2225" i="27" s="1"/>
  <c r="K885" i="32"/>
  <c r="L883" i="32"/>
  <c r="A707" i="27"/>
  <c r="B710" i="27"/>
  <c r="H709" i="27"/>
  <c r="N710" i="27"/>
  <c r="M710" i="27"/>
  <c r="C710" i="27" s="1"/>
  <c r="Q1381" i="32"/>
  <c r="A1379" i="32"/>
  <c r="A1381" i="32"/>
  <c r="I708" i="27"/>
  <c r="K708" i="27"/>
  <c r="G1377" i="32"/>
  <c r="J708" i="27"/>
  <c r="L708" i="27"/>
  <c r="M883" i="32" l="1" a="1"/>
  <c r="M883" i="32" s="1"/>
  <c r="D883" i="32" s="1"/>
  <c r="O883" i="32" a="1"/>
  <c r="O883" i="32" s="1"/>
  <c r="M2226" i="27" s="1"/>
  <c r="A2226" i="27" s="1"/>
  <c r="N883" i="32" a="1"/>
  <c r="N883" i="32" s="1"/>
  <c r="E883" i="32" s="1"/>
  <c r="F2226" i="27" s="1"/>
  <c r="K887" i="32"/>
  <c r="L885" i="32"/>
  <c r="A708" i="27"/>
  <c r="H710" i="27"/>
  <c r="B711" i="27"/>
  <c r="M711" i="27"/>
  <c r="C711" i="27" s="1"/>
  <c r="N711" i="27"/>
  <c r="Q1383" i="32"/>
  <c r="I709" i="27"/>
  <c r="G1379" i="32"/>
  <c r="L709" i="27"/>
  <c r="K709" i="27"/>
  <c r="J709" i="27"/>
  <c r="M885" i="32" l="1" a="1"/>
  <c r="M885" i="32" s="1"/>
  <c r="D885" i="32" s="1"/>
  <c r="O885" i="32" a="1"/>
  <c r="O885" i="32" s="1"/>
  <c r="M2227" i="27" s="1"/>
  <c r="A2227" i="27" s="1"/>
  <c r="N885" i="32" a="1"/>
  <c r="N885" i="32" s="1"/>
  <c r="E885" i="32" s="1"/>
  <c r="F2227" i="27" s="1"/>
  <c r="K889" i="32"/>
  <c r="L887" i="32"/>
  <c r="A709" i="27"/>
  <c r="H711" i="27"/>
  <c r="B712" i="27"/>
  <c r="N712" i="27"/>
  <c r="M712" i="27"/>
  <c r="C712" i="27" s="1"/>
  <c r="Q1385" i="32"/>
  <c r="I710" i="27"/>
  <c r="J710" i="27"/>
  <c r="K710" i="27"/>
  <c r="A1383" i="32"/>
  <c r="A1385" i="32"/>
  <c r="L710" i="27"/>
  <c r="M887" i="32" l="1" a="1"/>
  <c r="M887" i="32" s="1"/>
  <c r="D887" i="32" s="1"/>
  <c r="N887" i="32" a="1"/>
  <c r="N887" i="32" s="1"/>
  <c r="E887" i="32" s="1"/>
  <c r="F2228" i="27" s="1"/>
  <c r="O887" i="32" a="1"/>
  <c r="O887" i="32" s="1"/>
  <c r="M2228" i="27" s="1"/>
  <c r="A2228" i="27" s="1"/>
  <c r="K891" i="32"/>
  <c r="L889" i="32"/>
  <c r="A710" i="27"/>
  <c r="H712" i="27"/>
  <c r="B713" i="27"/>
  <c r="M713" i="27"/>
  <c r="C713" i="27" s="1"/>
  <c r="N713" i="27"/>
  <c r="Q1387" i="32"/>
  <c r="K711" i="27"/>
  <c r="I711" i="27"/>
  <c r="A1387" i="32"/>
  <c r="L711" i="27"/>
  <c r="J711" i="27"/>
  <c r="G1383" i="32"/>
  <c r="O889" i="32" l="1" a="1"/>
  <c r="O889" i="32" s="1"/>
  <c r="M2229" i="27" s="1"/>
  <c r="A2229" i="27" s="1"/>
  <c r="M889" i="32" a="1"/>
  <c r="M889" i="32" s="1"/>
  <c r="D889" i="32" s="1"/>
  <c r="N889" i="32" a="1"/>
  <c r="N889" i="32" s="1"/>
  <c r="E889" i="32" s="1"/>
  <c r="F2229" i="27" s="1"/>
  <c r="K893" i="32"/>
  <c r="L891" i="32"/>
  <c r="A711" i="27"/>
  <c r="H713" i="27"/>
  <c r="B714" i="27"/>
  <c r="N714" i="27"/>
  <c r="M714" i="27"/>
  <c r="C714" i="27" s="1"/>
  <c r="Q1389" i="32"/>
  <c r="J712" i="27"/>
  <c r="L712" i="27"/>
  <c r="I712" i="27"/>
  <c r="G1385" i="32"/>
  <c r="A1389" i="32"/>
  <c r="K712" i="27"/>
  <c r="O891" i="32" l="1" a="1"/>
  <c r="O891" i="32" s="1"/>
  <c r="M2230" i="27" s="1"/>
  <c r="A2230" i="27" s="1"/>
  <c r="M891" i="32" a="1"/>
  <c r="M891" i="32" s="1"/>
  <c r="D891" i="32" s="1"/>
  <c r="N891" i="32" a="1"/>
  <c r="N891" i="32" s="1"/>
  <c r="E891" i="32" s="1"/>
  <c r="F2230" i="27" s="1"/>
  <c r="K895" i="32"/>
  <c r="L893" i="32"/>
  <c r="A712" i="27"/>
  <c r="H714" i="27"/>
  <c r="B715" i="27"/>
  <c r="N715" i="27"/>
  <c r="M715" i="27"/>
  <c r="C715" i="27" s="1"/>
  <c r="Q1391" i="32"/>
  <c r="G1387" i="32"/>
  <c r="L713" i="27"/>
  <c r="J713" i="27"/>
  <c r="I713" i="27"/>
  <c r="K713" i="27"/>
  <c r="A1391" i="32"/>
  <c r="M893" i="32" l="1" a="1"/>
  <c r="M893" i="32" s="1"/>
  <c r="D893" i="32" s="1"/>
  <c r="N893" i="32" a="1"/>
  <c r="N893" i="32" s="1"/>
  <c r="E893" i="32" s="1"/>
  <c r="F2231" i="27" s="1"/>
  <c r="O893" i="32" a="1"/>
  <c r="O893" i="32" s="1"/>
  <c r="M2231" i="27" s="1"/>
  <c r="A2231" i="27" s="1"/>
  <c r="K897" i="32"/>
  <c r="L895" i="32"/>
  <c r="A713" i="27"/>
  <c r="H715" i="27"/>
  <c r="B716" i="27"/>
  <c r="N716" i="27"/>
  <c r="M716" i="27"/>
  <c r="C716" i="27" s="1"/>
  <c r="Q1393" i="32"/>
  <c r="J714" i="27"/>
  <c r="L714" i="27"/>
  <c r="K714" i="27"/>
  <c r="A1393" i="32"/>
  <c r="G1389" i="32"/>
  <c r="I714" i="27"/>
  <c r="O895" i="32" l="1" a="1"/>
  <c r="O895" i="32" s="1"/>
  <c r="M2232" i="27" s="1"/>
  <c r="A2232" i="27" s="1"/>
  <c r="N895" i="32" a="1"/>
  <c r="N895" i="32" s="1"/>
  <c r="E895" i="32" s="1"/>
  <c r="F2232" i="27" s="1"/>
  <c r="M895" i="32" a="1"/>
  <c r="M895" i="32" s="1"/>
  <c r="D895" i="32" s="1"/>
  <c r="K899" i="32"/>
  <c r="L897" i="32"/>
  <c r="A714" i="27"/>
  <c r="H716" i="27"/>
  <c r="B717" i="27"/>
  <c r="N717" i="27"/>
  <c r="M717" i="27"/>
  <c r="C717" i="27" s="1"/>
  <c r="Q1395" i="32"/>
  <c r="K715" i="27"/>
  <c r="J715" i="27"/>
  <c r="G1391" i="32"/>
  <c r="L715" i="27"/>
  <c r="I715" i="27"/>
  <c r="M897" i="32" l="1" a="1"/>
  <c r="M897" i="32" s="1"/>
  <c r="D897" i="32" s="1"/>
  <c r="N897" i="32" a="1"/>
  <c r="N897" i="32" s="1"/>
  <c r="E897" i="32" s="1"/>
  <c r="F2233" i="27" s="1"/>
  <c r="O897" i="32" a="1"/>
  <c r="O897" i="32" s="1"/>
  <c r="M2233" i="27" s="1"/>
  <c r="A2233" i="27" s="1"/>
  <c r="K901" i="32"/>
  <c r="L899" i="32"/>
  <c r="A715" i="27"/>
  <c r="B718" i="27"/>
  <c r="H717" i="27"/>
  <c r="N718" i="27"/>
  <c r="M718" i="27"/>
  <c r="C718" i="27" s="1"/>
  <c r="Q1397" i="32"/>
  <c r="A1397" i="32"/>
  <c r="K716" i="27"/>
  <c r="I716" i="27"/>
  <c r="G1393" i="32"/>
  <c r="A1395" i="32"/>
  <c r="J716" i="27"/>
  <c r="L716" i="27"/>
  <c r="K903" i="32" l="1"/>
  <c r="L901" i="32"/>
  <c r="M899" i="32" a="1"/>
  <c r="M899" i="32" s="1"/>
  <c r="D899" i="32" s="1"/>
  <c r="O899" i="32" a="1"/>
  <c r="O899" i="32" s="1"/>
  <c r="M2234" i="27" s="1"/>
  <c r="A2234" i="27" s="1"/>
  <c r="N899" i="32" a="1"/>
  <c r="N899" i="32" s="1"/>
  <c r="E899" i="32" s="1"/>
  <c r="F2234" i="27" s="1"/>
  <c r="A716" i="27"/>
  <c r="H718" i="27"/>
  <c r="B719" i="27"/>
  <c r="N719" i="27"/>
  <c r="M719" i="27"/>
  <c r="C719" i="27" s="1"/>
  <c r="Q1399" i="32"/>
  <c r="J717" i="27"/>
  <c r="G1395" i="32"/>
  <c r="A1399" i="32"/>
  <c r="L717" i="27"/>
  <c r="K717" i="27"/>
  <c r="I717" i="27"/>
  <c r="M901" i="32" l="1" a="1"/>
  <c r="M901" i="32" s="1"/>
  <c r="D901" i="32" s="1"/>
  <c r="N901" i="32" a="1"/>
  <c r="N901" i="32" s="1"/>
  <c r="E901" i="32" s="1"/>
  <c r="F2235" i="27" s="1"/>
  <c r="O901" i="32" a="1"/>
  <c r="O901" i="32" s="1"/>
  <c r="M2235" i="27" s="1"/>
  <c r="A2235" i="27" s="1"/>
  <c r="K905" i="32"/>
  <c r="L903" i="32"/>
  <c r="A717" i="27"/>
  <c r="H719" i="27"/>
  <c r="B720" i="27"/>
  <c r="N720" i="27"/>
  <c r="M720" i="27"/>
  <c r="C720" i="27" s="1"/>
  <c r="Q1401" i="32"/>
  <c r="J718" i="27"/>
  <c r="I718" i="27"/>
  <c r="G1397" i="32"/>
  <c r="K718" i="27"/>
  <c r="A1401" i="32"/>
  <c r="L718" i="27"/>
  <c r="O903" i="32" l="1" a="1"/>
  <c r="O903" i="32" s="1"/>
  <c r="M2236" i="27" s="1"/>
  <c r="A2236" i="27" s="1"/>
  <c r="M903" i="32" a="1"/>
  <c r="M903" i="32" s="1"/>
  <c r="D903" i="32" s="1"/>
  <c r="N903" i="32" a="1"/>
  <c r="N903" i="32" s="1"/>
  <c r="E903" i="32" s="1"/>
  <c r="F2236" i="27" s="1"/>
  <c r="K907" i="32"/>
  <c r="L905" i="32"/>
  <c r="A718" i="27"/>
  <c r="H720" i="27"/>
  <c r="B721" i="27"/>
  <c r="N721" i="27"/>
  <c r="M721" i="27"/>
  <c r="C721" i="27" s="1"/>
  <c r="Q1403" i="32"/>
  <c r="J719" i="27"/>
  <c r="K719" i="27"/>
  <c r="I719" i="27"/>
  <c r="L719" i="27"/>
  <c r="A1403" i="32"/>
  <c r="G1399" i="32"/>
  <c r="M905" i="32" l="1" a="1"/>
  <c r="M905" i="32" s="1"/>
  <c r="D905" i="32" s="1"/>
  <c r="N905" i="32" a="1"/>
  <c r="N905" i="32" s="1"/>
  <c r="E905" i="32" s="1"/>
  <c r="F2237" i="27" s="1"/>
  <c r="O905" i="32" a="1"/>
  <c r="O905" i="32" s="1"/>
  <c r="M2237" i="27" s="1"/>
  <c r="A2237" i="27" s="1"/>
  <c r="K909" i="32"/>
  <c r="L907" i="32"/>
  <c r="A719" i="27"/>
  <c r="H721" i="27"/>
  <c r="B722" i="27"/>
  <c r="N722" i="27"/>
  <c r="M722" i="27"/>
  <c r="C722" i="27" s="1"/>
  <c r="Q1405" i="32"/>
  <c r="K720" i="27"/>
  <c r="L720" i="27"/>
  <c r="J720" i="27"/>
  <c r="A1405" i="32"/>
  <c r="G1401" i="32"/>
  <c r="I720" i="27"/>
  <c r="O907" i="32" l="1" a="1"/>
  <c r="O907" i="32" s="1"/>
  <c r="M2238" i="27" s="1"/>
  <c r="A2238" i="27" s="1"/>
  <c r="N907" i="32" a="1"/>
  <c r="N907" i="32" s="1"/>
  <c r="E907" i="32" s="1"/>
  <c r="F2238" i="27" s="1"/>
  <c r="M907" i="32" a="1"/>
  <c r="M907" i="32" s="1"/>
  <c r="D907" i="32" s="1"/>
  <c r="K911" i="32"/>
  <c r="L909" i="32"/>
  <c r="A720" i="27"/>
  <c r="H722" i="27"/>
  <c r="B723" i="27"/>
  <c r="M723" i="27"/>
  <c r="C723" i="27" s="1"/>
  <c r="N723" i="27"/>
  <c r="Q1407" i="32"/>
  <c r="J721" i="27"/>
  <c r="K721" i="27"/>
  <c r="G1403" i="32"/>
  <c r="L721" i="27"/>
  <c r="I721" i="27"/>
  <c r="A1407" i="32"/>
  <c r="O909" i="32" l="1" a="1"/>
  <c r="O909" i="32" s="1"/>
  <c r="M2239" i="27" s="1"/>
  <c r="A2239" i="27" s="1"/>
  <c r="N909" i="32" a="1"/>
  <c r="N909" i="32" s="1"/>
  <c r="E909" i="32" s="1"/>
  <c r="F2239" i="27" s="1"/>
  <c r="M909" i="32" a="1"/>
  <c r="M909" i="32" s="1"/>
  <c r="D909" i="32" s="1"/>
  <c r="K913" i="32"/>
  <c r="L911" i="32"/>
  <c r="A721" i="27"/>
  <c r="H723" i="27"/>
  <c r="B724" i="27"/>
  <c r="M724" i="27"/>
  <c r="C724" i="27" s="1"/>
  <c r="N724" i="27"/>
  <c r="Q1409" i="32"/>
  <c r="L722" i="27"/>
  <c r="K722" i="27"/>
  <c r="G1405" i="32"/>
  <c r="J722" i="27"/>
  <c r="I722" i="27"/>
  <c r="O911" i="32" l="1" a="1"/>
  <c r="O911" i="32" s="1"/>
  <c r="M2240" i="27" s="1"/>
  <c r="A2240" i="27" s="1"/>
  <c r="M911" i="32" a="1"/>
  <c r="M911" i="32" s="1"/>
  <c r="D911" i="32" s="1"/>
  <c r="N911" i="32" a="1"/>
  <c r="N911" i="32" s="1"/>
  <c r="E911" i="32" s="1"/>
  <c r="F2240" i="27" s="1"/>
  <c r="K915" i="32"/>
  <c r="L913" i="32"/>
  <c r="A722" i="27"/>
  <c r="H724" i="27"/>
  <c r="B725" i="27"/>
  <c r="N725" i="27"/>
  <c r="M725" i="27"/>
  <c r="C725" i="27" s="1"/>
  <c r="Q1411" i="32"/>
  <c r="I723" i="27"/>
  <c r="A1411" i="32"/>
  <c r="K723" i="27"/>
  <c r="A1409" i="32"/>
  <c r="G1407" i="32"/>
  <c r="L723" i="27"/>
  <c r="J723" i="27"/>
  <c r="M913" i="32" l="1" a="1"/>
  <c r="M913" i="32" s="1"/>
  <c r="D913" i="32" s="1"/>
  <c r="N913" i="32" a="1"/>
  <c r="N913" i="32" s="1"/>
  <c r="E913" i="32" s="1"/>
  <c r="F2241" i="27" s="1"/>
  <c r="O913" i="32" a="1"/>
  <c r="O913" i="32" s="1"/>
  <c r="M2241" i="27" s="1"/>
  <c r="A2241" i="27" s="1"/>
  <c r="K917" i="32"/>
  <c r="L915" i="32"/>
  <c r="A723" i="27"/>
  <c r="B726" i="27"/>
  <c r="H725" i="27"/>
  <c r="N726" i="27"/>
  <c r="M726" i="27"/>
  <c r="C726" i="27" s="1"/>
  <c r="Q1413" i="32"/>
  <c r="I724" i="27"/>
  <c r="K724" i="27"/>
  <c r="A1413" i="32"/>
  <c r="G1409" i="32"/>
  <c r="L724" i="27"/>
  <c r="J724" i="27"/>
  <c r="O915" i="32" l="1" a="1"/>
  <c r="O915" i="32" s="1"/>
  <c r="M2242" i="27" s="1"/>
  <c r="A2242" i="27" s="1"/>
  <c r="N915" i="32" a="1"/>
  <c r="N915" i="32" s="1"/>
  <c r="E915" i="32" s="1"/>
  <c r="F2242" i="27" s="1"/>
  <c r="M915" i="32" a="1"/>
  <c r="M915" i="32" s="1"/>
  <c r="D915" i="32" s="1"/>
  <c r="K919" i="32"/>
  <c r="L917" i="32"/>
  <c r="A724" i="27"/>
  <c r="H726" i="27"/>
  <c r="B727" i="27"/>
  <c r="M727" i="27"/>
  <c r="C727" i="27" s="1"/>
  <c r="N727" i="27"/>
  <c r="Q1415" i="32"/>
  <c r="G1411" i="32"/>
  <c r="L725" i="27"/>
  <c r="J725" i="27"/>
  <c r="A1415" i="32"/>
  <c r="K725" i="27"/>
  <c r="I725" i="27"/>
  <c r="O917" i="32" l="1" a="1"/>
  <c r="O917" i="32" s="1"/>
  <c r="M2243" i="27" s="1"/>
  <c r="A2243" i="27" s="1"/>
  <c r="M917" i="32" a="1"/>
  <c r="M917" i="32" s="1"/>
  <c r="D917" i="32" s="1"/>
  <c r="N917" i="32" a="1"/>
  <c r="N917" i="32" s="1"/>
  <c r="E917" i="32" s="1"/>
  <c r="F2243" i="27" s="1"/>
  <c r="K921" i="32"/>
  <c r="L919" i="32"/>
  <c r="A725" i="27"/>
  <c r="H727" i="27"/>
  <c r="B728" i="27"/>
  <c r="N728" i="27"/>
  <c r="M728" i="27"/>
  <c r="C728" i="27" s="1"/>
  <c r="Q1417" i="32"/>
  <c r="G1413" i="32"/>
  <c r="K726" i="27"/>
  <c r="I726" i="27"/>
  <c r="J726" i="27"/>
  <c r="L726" i="27"/>
  <c r="A1417" i="32"/>
  <c r="N919" i="32" l="1" a="1"/>
  <c r="N919" i="32" s="1"/>
  <c r="E919" i="32" s="1"/>
  <c r="F2244" i="27" s="1"/>
  <c r="O919" i="32" a="1"/>
  <c r="O919" i="32" s="1"/>
  <c r="M2244" i="27" s="1"/>
  <c r="A2244" i="27" s="1"/>
  <c r="M919" i="32" a="1"/>
  <c r="M919" i="32" s="1"/>
  <c r="D919" i="32" s="1"/>
  <c r="K923" i="32"/>
  <c r="L921" i="32"/>
  <c r="A726" i="27"/>
  <c r="H728" i="27"/>
  <c r="B729" i="27"/>
  <c r="M729" i="27"/>
  <c r="C729" i="27" s="1"/>
  <c r="N729" i="27"/>
  <c r="Q1419" i="32"/>
  <c r="J727" i="27"/>
  <c r="K727" i="27"/>
  <c r="L727" i="27"/>
  <c r="I727" i="27"/>
  <c r="G1415" i="32"/>
  <c r="A1419" i="32"/>
  <c r="M921" i="32" l="1" a="1"/>
  <c r="M921" i="32" s="1"/>
  <c r="D921" i="32" s="1"/>
  <c r="N921" i="32" a="1"/>
  <c r="N921" i="32" s="1"/>
  <c r="E921" i="32" s="1"/>
  <c r="F2245" i="27" s="1"/>
  <c r="O921" i="32" a="1"/>
  <c r="O921" i="32" s="1"/>
  <c r="M2245" i="27" s="1"/>
  <c r="A2245" i="27" s="1"/>
  <c r="K925" i="32"/>
  <c r="L923" i="32"/>
  <c r="A727" i="27"/>
  <c r="H729" i="27"/>
  <c r="B730" i="27"/>
  <c r="M730" i="27"/>
  <c r="C730" i="27" s="1"/>
  <c r="N730" i="27"/>
  <c r="Q1421" i="32"/>
  <c r="A1421" i="32"/>
  <c r="G1417" i="32"/>
  <c r="L728" i="27"/>
  <c r="J728" i="27"/>
  <c r="I728" i="27"/>
  <c r="K728" i="27"/>
  <c r="K927" i="32" l="1"/>
  <c r="L925" i="32"/>
  <c r="O923" i="32" a="1"/>
  <c r="O923" i="32" s="1"/>
  <c r="M2246" i="27" s="1"/>
  <c r="A2246" i="27" s="1"/>
  <c r="N923" i="32" a="1"/>
  <c r="N923" i="32" s="1"/>
  <c r="E923" i="32" s="1"/>
  <c r="F2246" i="27" s="1"/>
  <c r="M923" i="32" a="1"/>
  <c r="M923" i="32" s="1"/>
  <c r="D923" i="32" s="1"/>
  <c r="A728" i="27"/>
  <c r="H730" i="27"/>
  <c r="B731" i="27"/>
  <c r="N731" i="27"/>
  <c r="M731" i="27"/>
  <c r="C731" i="27" s="1"/>
  <c r="Q1423" i="32"/>
  <c r="J729" i="27"/>
  <c r="K729" i="27"/>
  <c r="G1419" i="32"/>
  <c r="L729" i="27"/>
  <c r="A1423" i="32"/>
  <c r="I729" i="27"/>
  <c r="O925" i="32" l="1" a="1"/>
  <c r="O925" i="32" s="1"/>
  <c r="M2247" i="27" s="1"/>
  <c r="A2247" i="27" s="1"/>
  <c r="N925" i="32" a="1"/>
  <c r="N925" i="32" s="1"/>
  <c r="E925" i="32" s="1"/>
  <c r="F2247" i="27" s="1"/>
  <c r="M925" i="32" a="1"/>
  <c r="M925" i="32" s="1"/>
  <c r="D925" i="32" s="1"/>
  <c r="K929" i="32"/>
  <c r="L927" i="32"/>
  <c r="A729" i="27"/>
  <c r="H731" i="27"/>
  <c r="B732" i="27"/>
  <c r="N732" i="27"/>
  <c r="M732" i="27"/>
  <c r="C732" i="27" s="1"/>
  <c r="Q1425" i="32"/>
  <c r="J730" i="27"/>
  <c r="G1421" i="32"/>
  <c r="I730" i="27"/>
  <c r="K730" i="27"/>
  <c r="L730" i="27"/>
  <c r="O927" i="32" l="1" a="1"/>
  <c r="O927" i="32" s="1"/>
  <c r="M2248" i="27" s="1"/>
  <c r="A2248" i="27" s="1"/>
  <c r="N927" i="32" a="1"/>
  <c r="N927" i="32" s="1"/>
  <c r="E927" i="32" s="1"/>
  <c r="F2248" i="27" s="1"/>
  <c r="M927" i="32" a="1"/>
  <c r="M927" i="32" s="1"/>
  <c r="D927" i="32" s="1"/>
  <c r="K931" i="32"/>
  <c r="L929" i="32"/>
  <c r="A730" i="27"/>
  <c r="H732" i="27"/>
  <c r="B733" i="27"/>
  <c r="M733" i="27"/>
  <c r="C733" i="27" s="1"/>
  <c r="N733" i="27"/>
  <c r="Q1427" i="32"/>
  <c r="A1425" i="32"/>
  <c r="A1427" i="32"/>
  <c r="J731" i="27"/>
  <c r="I731" i="27"/>
  <c r="G1423" i="32"/>
  <c r="L731" i="27"/>
  <c r="K731" i="27"/>
  <c r="O929" i="32" l="1" a="1"/>
  <c r="O929" i="32" s="1"/>
  <c r="M2249" i="27" s="1"/>
  <c r="A2249" i="27" s="1"/>
  <c r="M929" i="32" a="1"/>
  <c r="M929" i="32" s="1"/>
  <c r="D929" i="32" s="1"/>
  <c r="N929" i="32" a="1"/>
  <c r="N929" i="32" s="1"/>
  <c r="E929" i="32" s="1"/>
  <c r="F2249" i="27" s="1"/>
  <c r="K933" i="32"/>
  <c r="L931" i="32"/>
  <c r="A731" i="27"/>
  <c r="B734" i="27"/>
  <c r="H733" i="27"/>
  <c r="N734" i="27"/>
  <c r="M734" i="27"/>
  <c r="C734" i="27" s="1"/>
  <c r="Q1429" i="32"/>
  <c r="G1425" i="32"/>
  <c r="J732" i="27"/>
  <c r="K732" i="27"/>
  <c r="I732" i="27"/>
  <c r="L732" i="27"/>
  <c r="M931" i="32" l="1" a="1"/>
  <c r="M931" i="32" s="1"/>
  <c r="D931" i="32" s="1"/>
  <c r="O931" i="32" a="1"/>
  <c r="O931" i="32" s="1"/>
  <c r="M2250" i="27" s="1"/>
  <c r="A2250" i="27" s="1"/>
  <c r="N931" i="32" a="1"/>
  <c r="N931" i="32" s="1"/>
  <c r="E931" i="32" s="1"/>
  <c r="F2250" i="27" s="1"/>
  <c r="K935" i="32"/>
  <c r="L933" i="32"/>
  <c r="A732" i="27"/>
  <c r="H734" i="27"/>
  <c r="B735" i="27"/>
  <c r="N735" i="27"/>
  <c r="M735" i="27"/>
  <c r="C735" i="27" s="1"/>
  <c r="Q1431" i="32"/>
  <c r="A1429" i="32"/>
  <c r="A1431" i="32"/>
  <c r="J733" i="27"/>
  <c r="G1427" i="32"/>
  <c r="K733" i="27"/>
  <c r="L733" i="27"/>
  <c r="I733" i="27"/>
  <c r="M933" i="32" l="1" a="1"/>
  <c r="M933" i="32" s="1"/>
  <c r="D933" i="32" s="1"/>
  <c r="N933" i="32" a="1"/>
  <c r="N933" i="32" s="1"/>
  <c r="E933" i="32" s="1"/>
  <c r="F2251" i="27" s="1"/>
  <c r="O933" i="32" a="1"/>
  <c r="O933" i="32" s="1"/>
  <c r="M2251" i="27" s="1"/>
  <c r="A2251" i="27" s="1"/>
  <c r="K937" i="32"/>
  <c r="L935" i="32"/>
  <c r="A733" i="27"/>
  <c r="H735" i="27"/>
  <c r="B736" i="27"/>
  <c r="N736" i="27"/>
  <c r="M736" i="27"/>
  <c r="C736" i="27" s="1"/>
  <c r="Q1433" i="32"/>
  <c r="K734" i="27"/>
  <c r="G1429" i="32"/>
  <c r="J734" i="27"/>
  <c r="L734" i="27"/>
  <c r="I734" i="27"/>
  <c r="N935" i="32" l="1" a="1"/>
  <c r="N935" i="32" s="1"/>
  <c r="E935" i="32" s="1"/>
  <c r="F2252" i="27" s="1"/>
  <c r="M935" i="32" a="1"/>
  <c r="M935" i="32" s="1"/>
  <c r="D935" i="32" s="1"/>
  <c r="O935" i="32" a="1"/>
  <c r="O935" i="32" s="1"/>
  <c r="M2252" i="27" s="1"/>
  <c r="A2252" i="27" s="1"/>
  <c r="K939" i="32"/>
  <c r="L937" i="32"/>
  <c r="A734" i="27"/>
  <c r="H736" i="27"/>
  <c r="B737" i="27"/>
  <c r="M737" i="27"/>
  <c r="C737" i="27" s="1"/>
  <c r="N737" i="27"/>
  <c r="Q1435" i="32"/>
  <c r="A1433" i="32"/>
  <c r="A1435" i="32"/>
  <c r="L735" i="27"/>
  <c r="J735" i="27"/>
  <c r="K735" i="27"/>
  <c r="G1431" i="32"/>
  <c r="I735" i="27"/>
  <c r="O937" i="32" l="1" a="1"/>
  <c r="O937" i="32" s="1"/>
  <c r="M2253" i="27" s="1"/>
  <c r="A2253" i="27" s="1"/>
  <c r="N937" i="32" a="1"/>
  <c r="N937" i="32" s="1"/>
  <c r="E937" i="32" s="1"/>
  <c r="F2253" i="27" s="1"/>
  <c r="M937" i="32" a="1"/>
  <c r="M937" i="32" s="1"/>
  <c r="D937" i="32" s="1"/>
  <c r="K941" i="32"/>
  <c r="L939" i="32"/>
  <c r="A735" i="27"/>
  <c r="H737" i="27"/>
  <c r="B738" i="27"/>
  <c r="M738" i="27"/>
  <c r="C738" i="27" s="1"/>
  <c r="N738" i="27"/>
  <c r="Q1437" i="32"/>
  <c r="J736" i="27"/>
  <c r="I736" i="27"/>
  <c r="G1433" i="32"/>
  <c r="L736" i="27"/>
  <c r="K736" i="27"/>
  <c r="K943" i="32" l="1"/>
  <c r="L941" i="32"/>
  <c r="M939" i="32" a="1"/>
  <c r="M939" i="32" s="1"/>
  <c r="D939" i="32" s="1"/>
  <c r="N939" i="32" a="1"/>
  <c r="N939" i="32" s="1"/>
  <c r="E939" i="32" s="1"/>
  <c r="F2254" i="27" s="1"/>
  <c r="O939" i="32" a="1"/>
  <c r="O939" i="32" s="1"/>
  <c r="M2254" i="27" s="1"/>
  <c r="A2254" i="27" s="1"/>
  <c r="A736" i="27"/>
  <c r="H738" i="27"/>
  <c r="B739" i="27"/>
  <c r="N739" i="27"/>
  <c r="M739" i="27"/>
  <c r="C739" i="27" s="1"/>
  <c r="Q1439" i="32"/>
  <c r="A1437" i="32"/>
  <c r="J737" i="27"/>
  <c r="K737" i="27"/>
  <c r="G1435" i="32"/>
  <c r="I737" i="27"/>
  <c r="A1439" i="32"/>
  <c r="L737" i="27"/>
  <c r="O941" i="32" l="1" a="1"/>
  <c r="O941" i="32" s="1"/>
  <c r="M2255" i="27" s="1"/>
  <c r="A2255" i="27" s="1"/>
  <c r="M941" i="32" a="1"/>
  <c r="M941" i="32" s="1"/>
  <c r="D941" i="32" s="1"/>
  <c r="N941" i="32" a="1"/>
  <c r="N941" i="32" s="1"/>
  <c r="E941" i="32" s="1"/>
  <c r="F2255" i="27" s="1"/>
  <c r="K945" i="32"/>
  <c r="L943" i="32"/>
  <c r="A737" i="27"/>
  <c r="H739" i="27"/>
  <c r="B740" i="27"/>
  <c r="M740" i="27"/>
  <c r="C740" i="27" s="1"/>
  <c r="N740" i="27"/>
  <c r="Q1441" i="32"/>
  <c r="J738" i="27"/>
  <c r="I738" i="27"/>
  <c r="G1437" i="32"/>
  <c r="K738" i="27"/>
  <c r="L738" i="27"/>
  <c r="M943" i="32" l="1" a="1"/>
  <c r="M943" i="32" s="1"/>
  <c r="D943" i="32" s="1"/>
  <c r="O943" i="32" a="1"/>
  <c r="O943" i="32" s="1"/>
  <c r="M2256" i="27" s="1"/>
  <c r="A2256" i="27" s="1"/>
  <c r="N943" i="32" a="1"/>
  <c r="N943" i="32" s="1"/>
  <c r="E943" i="32" s="1"/>
  <c r="F2256" i="27" s="1"/>
  <c r="K947" i="32"/>
  <c r="L945" i="32"/>
  <c r="A738" i="27"/>
  <c r="H740" i="27"/>
  <c r="B741" i="27"/>
  <c r="M741" i="27"/>
  <c r="C741" i="27" s="1"/>
  <c r="N741" i="27"/>
  <c r="Q1443" i="32"/>
  <c r="G1439" i="32"/>
  <c r="K739" i="27"/>
  <c r="L739" i="27"/>
  <c r="A1443" i="32"/>
  <c r="A1441" i="32"/>
  <c r="J739" i="27"/>
  <c r="I739" i="27"/>
  <c r="O945" i="32" l="1" a="1"/>
  <c r="O945" i="32" s="1"/>
  <c r="M2257" i="27" s="1"/>
  <c r="A2257" i="27" s="1"/>
  <c r="N945" i="32" a="1"/>
  <c r="N945" i="32" s="1"/>
  <c r="E945" i="32" s="1"/>
  <c r="F2257" i="27" s="1"/>
  <c r="M945" i="32" a="1"/>
  <c r="M945" i="32" s="1"/>
  <c r="D945" i="32" s="1"/>
  <c r="K949" i="32"/>
  <c r="L947" i="32"/>
  <c r="A739" i="27"/>
  <c r="B742" i="27"/>
  <c r="H741" i="27"/>
  <c r="M742" i="27"/>
  <c r="C742" i="27" s="1"/>
  <c r="N742" i="27"/>
  <c r="Q1445" i="32"/>
  <c r="K740" i="27"/>
  <c r="G1441" i="32"/>
  <c r="J740" i="27"/>
  <c r="I740" i="27"/>
  <c r="L740" i="27"/>
  <c r="O947" i="32" l="1" a="1"/>
  <c r="O947" i="32" s="1"/>
  <c r="M2258" i="27" s="1"/>
  <c r="A2258" i="27" s="1"/>
  <c r="N947" i="32" a="1"/>
  <c r="N947" i="32" s="1"/>
  <c r="E947" i="32" s="1"/>
  <c r="F2258" i="27" s="1"/>
  <c r="M947" i="32" a="1"/>
  <c r="M947" i="32" s="1"/>
  <c r="D947" i="32" s="1"/>
  <c r="K951" i="32"/>
  <c r="L949" i="32"/>
  <c r="A740" i="27"/>
  <c r="B743" i="27"/>
  <c r="H742" i="27"/>
  <c r="N743" i="27"/>
  <c r="M743" i="27"/>
  <c r="C743" i="27" s="1"/>
  <c r="Q1447" i="32"/>
  <c r="A1445" i="32"/>
  <c r="G1443" i="32"/>
  <c r="J741" i="27"/>
  <c r="I741" i="27"/>
  <c r="A1447" i="32"/>
  <c r="L741" i="27"/>
  <c r="K741" i="27"/>
  <c r="M949" i="32" l="1" a="1"/>
  <c r="M949" i="32" s="1"/>
  <c r="D949" i="32" s="1"/>
  <c r="O949" i="32" a="1"/>
  <c r="O949" i="32" s="1"/>
  <c r="M2259" i="27" s="1"/>
  <c r="A2259" i="27" s="1"/>
  <c r="N949" i="32" a="1"/>
  <c r="N949" i="32" s="1"/>
  <c r="E949" i="32" s="1"/>
  <c r="F2259" i="27" s="1"/>
  <c r="K953" i="32"/>
  <c r="L951" i="32"/>
  <c r="A741" i="27"/>
  <c r="H743" i="27"/>
  <c r="B744" i="27"/>
  <c r="M744" i="27"/>
  <c r="C744" i="27" s="1"/>
  <c r="N744" i="27"/>
  <c r="Q1449" i="32"/>
  <c r="J742" i="27"/>
  <c r="I742" i="27"/>
  <c r="G1445" i="32"/>
  <c r="L742" i="27"/>
  <c r="K742" i="27"/>
  <c r="M951" i="32" l="1" a="1"/>
  <c r="M951" i="32" s="1"/>
  <c r="D951" i="32" s="1"/>
  <c r="N951" i="32" a="1"/>
  <c r="N951" i="32" s="1"/>
  <c r="E951" i="32" s="1"/>
  <c r="F2260" i="27" s="1"/>
  <c r="O951" i="32" a="1"/>
  <c r="O951" i="32" s="1"/>
  <c r="M2260" i="27" s="1"/>
  <c r="A2260" i="27" s="1"/>
  <c r="K955" i="32"/>
  <c r="L953" i="32"/>
  <c r="A742" i="27"/>
  <c r="H744" i="27"/>
  <c r="B745" i="27"/>
  <c r="N745" i="27"/>
  <c r="M745" i="27"/>
  <c r="C745" i="27" s="1"/>
  <c r="Q1451" i="32"/>
  <c r="J743" i="27"/>
  <c r="A1451" i="32"/>
  <c r="A1449" i="32"/>
  <c r="G1447" i="32"/>
  <c r="I743" i="27"/>
  <c r="K743" i="27"/>
  <c r="L743" i="27"/>
  <c r="N953" i="32" l="1" a="1"/>
  <c r="N953" i="32" s="1"/>
  <c r="E953" i="32" s="1"/>
  <c r="F2261" i="27" s="1"/>
  <c r="O953" i="32" a="1"/>
  <c r="O953" i="32" s="1"/>
  <c r="M2261" i="27" s="1"/>
  <c r="A2261" i="27" s="1"/>
  <c r="M953" i="32" a="1"/>
  <c r="M953" i="32" s="1"/>
  <c r="D953" i="32" s="1"/>
  <c r="K957" i="32"/>
  <c r="L955" i="32"/>
  <c r="A743" i="27"/>
  <c r="H745" i="27"/>
  <c r="B746" i="27"/>
  <c r="N746" i="27"/>
  <c r="M746" i="27"/>
  <c r="C746" i="27" s="1"/>
  <c r="Q1453" i="32"/>
  <c r="G1449" i="32"/>
  <c r="L744" i="27"/>
  <c r="J744" i="27"/>
  <c r="K744" i="27"/>
  <c r="I744" i="27"/>
  <c r="N955" i="32" l="1" a="1"/>
  <c r="N955" i="32" s="1"/>
  <c r="E955" i="32" s="1"/>
  <c r="F2262" i="27" s="1"/>
  <c r="O955" i="32" a="1"/>
  <c r="O955" i="32" s="1"/>
  <c r="M2262" i="27" s="1"/>
  <c r="A2262" i="27" s="1"/>
  <c r="M955" i="32" a="1"/>
  <c r="M955" i="32" s="1"/>
  <c r="D955" i="32" s="1"/>
  <c r="K959" i="32"/>
  <c r="L957" i="32"/>
  <c r="A744" i="27"/>
  <c r="H746" i="27"/>
  <c r="B747" i="27"/>
  <c r="N747" i="27"/>
  <c r="M747" i="27"/>
  <c r="C747" i="27" s="1"/>
  <c r="Q1455" i="32"/>
  <c r="J745" i="27"/>
  <c r="A1453" i="32"/>
  <c r="K745" i="27"/>
  <c r="L745" i="27"/>
  <c r="G1451" i="32"/>
  <c r="A1455" i="32"/>
  <c r="I745" i="27"/>
  <c r="O957" i="32" l="1" a="1"/>
  <c r="O957" i="32" s="1"/>
  <c r="M2263" i="27" s="1"/>
  <c r="A2263" i="27" s="1"/>
  <c r="M957" i="32" a="1"/>
  <c r="M957" i="32" s="1"/>
  <c r="D957" i="32" s="1"/>
  <c r="N957" i="32" a="1"/>
  <c r="N957" i="32" s="1"/>
  <c r="E957" i="32" s="1"/>
  <c r="F2263" i="27" s="1"/>
  <c r="K961" i="32"/>
  <c r="L959" i="32"/>
  <c r="A745" i="27"/>
  <c r="H747" i="27"/>
  <c r="B748" i="27"/>
  <c r="M748" i="27"/>
  <c r="C748" i="27" s="1"/>
  <c r="N748" i="27"/>
  <c r="Q1457" i="32"/>
  <c r="L746" i="27"/>
  <c r="J746" i="27"/>
  <c r="G1453" i="32"/>
  <c r="I746" i="27"/>
  <c r="K746" i="27"/>
  <c r="N959" i="32" l="1" a="1"/>
  <c r="N959" i="32" s="1"/>
  <c r="E959" i="32" s="1"/>
  <c r="F2264" i="27" s="1"/>
  <c r="M959" i="32" a="1"/>
  <c r="M959" i="32" s="1"/>
  <c r="D959" i="32" s="1"/>
  <c r="O959" i="32" a="1"/>
  <c r="O959" i="32" s="1"/>
  <c r="M2264" i="27" s="1"/>
  <c r="A2264" i="27" s="1"/>
  <c r="K963" i="32"/>
  <c r="L961" i="32"/>
  <c r="A746" i="27"/>
  <c r="H748" i="27"/>
  <c r="B749" i="27"/>
  <c r="M749" i="27"/>
  <c r="C749" i="27" s="1"/>
  <c r="N749" i="27"/>
  <c r="Q1459" i="32"/>
  <c r="I747" i="27"/>
  <c r="L747" i="27"/>
  <c r="K747" i="27"/>
  <c r="J747" i="27"/>
  <c r="A1457" i="32"/>
  <c r="A1459" i="32"/>
  <c r="G1455" i="32"/>
  <c r="N961" i="32" l="1" a="1"/>
  <c r="N961" i="32" s="1"/>
  <c r="E961" i="32" s="1"/>
  <c r="F2265" i="27" s="1"/>
  <c r="O961" i="32" a="1"/>
  <c r="O961" i="32" s="1"/>
  <c r="M2265" i="27" s="1"/>
  <c r="A2265" i="27" s="1"/>
  <c r="M961" i="32" a="1"/>
  <c r="M961" i="32" s="1"/>
  <c r="D961" i="32" s="1"/>
  <c r="K965" i="32"/>
  <c r="L963" i="32"/>
  <c r="A747" i="27"/>
  <c r="B750" i="27"/>
  <c r="H749" i="27"/>
  <c r="N750" i="27"/>
  <c r="M750" i="27"/>
  <c r="C750" i="27" s="1"/>
  <c r="Q1461" i="32"/>
  <c r="I748" i="27"/>
  <c r="L748" i="27"/>
  <c r="J748" i="27"/>
  <c r="G1457" i="32"/>
  <c r="K748" i="27"/>
  <c r="M963" i="32" l="1" a="1"/>
  <c r="M963" i="32" s="1"/>
  <c r="D963" i="32" s="1"/>
  <c r="N963" i="32" a="1"/>
  <c r="N963" i="32" s="1"/>
  <c r="E963" i="32" s="1"/>
  <c r="F2266" i="27" s="1"/>
  <c r="O963" i="32" a="1"/>
  <c r="O963" i="32" s="1"/>
  <c r="M2266" i="27" s="1"/>
  <c r="A2266" i="27" s="1"/>
  <c r="K967" i="32"/>
  <c r="L965" i="32"/>
  <c r="A748" i="27"/>
  <c r="H750" i="27"/>
  <c r="B751" i="27"/>
  <c r="N751" i="27"/>
  <c r="M751" i="27"/>
  <c r="C751" i="27" s="1"/>
  <c r="Q1463" i="32"/>
  <c r="G1459" i="32"/>
  <c r="A1463" i="32"/>
  <c r="A1461" i="32"/>
  <c r="I749" i="27"/>
  <c r="L749" i="27"/>
  <c r="J749" i="27"/>
  <c r="K749" i="27"/>
  <c r="M965" i="32" l="1" a="1"/>
  <c r="M965" i="32" s="1"/>
  <c r="D965" i="32" s="1"/>
  <c r="O965" i="32" a="1"/>
  <c r="O965" i="32" s="1"/>
  <c r="M2267" i="27" s="1"/>
  <c r="A2267" i="27" s="1"/>
  <c r="N965" i="32" a="1"/>
  <c r="N965" i="32" s="1"/>
  <c r="E965" i="32" s="1"/>
  <c r="F2267" i="27" s="1"/>
  <c r="K969" i="32"/>
  <c r="L967" i="32"/>
  <c r="A749" i="27"/>
  <c r="H751" i="27"/>
  <c r="B752" i="27"/>
  <c r="N752" i="27"/>
  <c r="M752" i="27"/>
  <c r="C752" i="27" s="1"/>
  <c r="Q1465" i="32"/>
  <c r="L750" i="27"/>
  <c r="K750" i="27"/>
  <c r="J750" i="27"/>
  <c r="G1461" i="32"/>
  <c r="I750" i="27"/>
  <c r="M967" i="32" l="1" a="1"/>
  <c r="M967" i="32" s="1"/>
  <c r="D967" i="32" s="1"/>
  <c r="O967" i="32" a="1"/>
  <c r="O967" i="32" s="1"/>
  <c r="M2268" i="27" s="1"/>
  <c r="A2268" i="27" s="1"/>
  <c r="N967" i="32" a="1"/>
  <c r="N967" i="32" s="1"/>
  <c r="E967" i="32" s="1"/>
  <c r="F2268" i="27" s="1"/>
  <c r="K971" i="32"/>
  <c r="L969" i="32"/>
  <c r="A750" i="27"/>
  <c r="H752" i="27"/>
  <c r="B753" i="27"/>
  <c r="M753" i="27"/>
  <c r="C753" i="27" s="1"/>
  <c r="N753" i="27"/>
  <c r="Q1467" i="32"/>
  <c r="A1465" i="32"/>
  <c r="K751" i="27"/>
  <c r="J751" i="27"/>
  <c r="A1467" i="32"/>
  <c r="G1463" i="32"/>
  <c r="I751" i="27"/>
  <c r="L751" i="27"/>
  <c r="O969" i="32" l="1" a="1"/>
  <c r="O969" i="32" s="1"/>
  <c r="M2269" i="27" s="1"/>
  <c r="A2269" i="27" s="1"/>
  <c r="M969" i="32" a="1"/>
  <c r="M969" i="32" s="1"/>
  <c r="D969" i="32" s="1"/>
  <c r="N969" i="32" a="1"/>
  <c r="N969" i="32" s="1"/>
  <c r="E969" i="32" s="1"/>
  <c r="F2269" i="27" s="1"/>
  <c r="K973" i="32"/>
  <c r="L971" i="32"/>
  <c r="A751" i="27"/>
  <c r="H753" i="27"/>
  <c r="B754" i="27"/>
  <c r="M754" i="27"/>
  <c r="C754" i="27" s="1"/>
  <c r="N754" i="27"/>
  <c r="Q1469" i="32"/>
  <c r="L752" i="27"/>
  <c r="G1465" i="32"/>
  <c r="J752" i="27"/>
  <c r="K752" i="27"/>
  <c r="I752" i="27"/>
  <c r="M971" i="32" l="1" a="1"/>
  <c r="M971" i="32" s="1"/>
  <c r="D971" i="32" s="1"/>
  <c r="N971" i="32" a="1"/>
  <c r="N971" i="32" s="1"/>
  <c r="E971" i="32" s="1"/>
  <c r="F2270" i="27" s="1"/>
  <c r="O971" i="32" a="1"/>
  <c r="O971" i="32" s="1"/>
  <c r="M2270" i="27" s="1"/>
  <c r="A2270" i="27" s="1"/>
  <c r="K975" i="32"/>
  <c r="L973" i="32"/>
  <c r="A752" i="27"/>
  <c r="H754" i="27"/>
  <c r="B755" i="27"/>
  <c r="M755" i="27"/>
  <c r="C755" i="27" s="1"/>
  <c r="N755" i="27"/>
  <c r="Q1471" i="32"/>
  <c r="A1471" i="32"/>
  <c r="L753" i="27"/>
  <c r="I753" i="27"/>
  <c r="G1467" i="32"/>
  <c r="K753" i="27"/>
  <c r="J753" i="27"/>
  <c r="A1469" i="32"/>
  <c r="N973" i="32" l="1" a="1"/>
  <c r="N973" i="32" s="1"/>
  <c r="E973" i="32" s="1"/>
  <c r="F2271" i="27" s="1"/>
  <c r="O973" i="32" a="1"/>
  <c r="O973" i="32" s="1"/>
  <c r="M2271" i="27" s="1"/>
  <c r="A2271" i="27" s="1"/>
  <c r="M973" i="32" a="1"/>
  <c r="M973" i="32" s="1"/>
  <c r="D973" i="32" s="1"/>
  <c r="K977" i="32"/>
  <c r="L975" i="32"/>
  <c r="A753" i="27"/>
  <c r="H755" i="27"/>
  <c r="B756" i="27"/>
  <c r="N756" i="27"/>
  <c r="M756" i="27"/>
  <c r="C756" i="27" s="1"/>
  <c r="Q1473" i="32"/>
  <c r="K754" i="27"/>
  <c r="J754" i="27"/>
  <c r="L754" i="27"/>
  <c r="G1469" i="32"/>
  <c r="I754" i="27"/>
  <c r="O975" i="32" l="1" a="1"/>
  <c r="O975" i="32" s="1"/>
  <c r="M2272" i="27" s="1"/>
  <c r="A2272" i="27" s="1"/>
  <c r="N975" i="32" a="1"/>
  <c r="N975" i="32" s="1"/>
  <c r="E975" i="32" s="1"/>
  <c r="F2272" i="27" s="1"/>
  <c r="M975" i="32" a="1"/>
  <c r="M975" i="32" s="1"/>
  <c r="D975" i="32" s="1"/>
  <c r="K979" i="32"/>
  <c r="L977" i="32"/>
  <c r="A754" i="27"/>
  <c r="H756" i="27"/>
  <c r="B757" i="27"/>
  <c r="M757" i="27"/>
  <c r="C757" i="27" s="1"/>
  <c r="N757" i="27"/>
  <c r="Q1475" i="32"/>
  <c r="A1473" i="32"/>
  <c r="J755" i="27"/>
  <c r="I755" i="27"/>
  <c r="A1475" i="32"/>
  <c r="G1471" i="32"/>
  <c r="K755" i="27"/>
  <c r="L755" i="27"/>
  <c r="N977" i="32" l="1" a="1"/>
  <c r="N977" i="32" s="1"/>
  <c r="E977" i="32" s="1"/>
  <c r="F2273" i="27" s="1"/>
  <c r="M977" i="32" a="1"/>
  <c r="M977" i="32" s="1"/>
  <c r="D977" i="32" s="1"/>
  <c r="O977" i="32" a="1"/>
  <c r="O977" i="32" s="1"/>
  <c r="M2273" i="27" s="1"/>
  <c r="A2273" i="27" s="1"/>
  <c r="K981" i="32"/>
  <c r="L979" i="32"/>
  <c r="A755" i="27"/>
  <c r="B758" i="27"/>
  <c r="H757" i="27"/>
  <c r="M758" i="27"/>
  <c r="C758" i="27" s="1"/>
  <c r="N758" i="27"/>
  <c r="Q1477" i="32"/>
  <c r="I756" i="27"/>
  <c r="G1473" i="32"/>
  <c r="J756" i="27"/>
  <c r="K756" i="27"/>
  <c r="L756" i="27"/>
  <c r="K983" i="32" l="1"/>
  <c r="L981" i="32"/>
  <c r="N979" i="32" a="1"/>
  <c r="N979" i="32" s="1"/>
  <c r="E979" i="32" s="1"/>
  <c r="F2274" i="27" s="1"/>
  <c r="M979" i="32" a="1"/>
  <c r="M979" i="32" s="1"/>
  <c r="D979" i="32" s="1"/>
  <c r="O979" i="32" a="1"/>
  <c r="O979" i="32" s="1"/>
  <c r="M2274" i="27" s="1"/>
  <c r="A2274" i="27" s="1"/>
  <c r="A756" i="27"/>
  <c r="B759" i="27"/>
  <c r="H758" i="27"/>
  <c r="M759" i="27"/>
  <c r="C759" i="27" s="1"/>
  <c r="N759" i="27"/>
  <c r="Q1479" i="32"/>
  <c r="G1475" i="32"/>
  <c r="A1479" i="32"/>
  <c r="K757" i="27"/>
  <c r="A1477" i="32"/>
  <c r="I757" i="27"/>
  <c r="J757" i="27"/>
  <c r="L757" i="27"/>
  <c r="N981" i="32" l="1" a="1"/>
  <c r="N981" i="32" s="1"/>
  <c r="E981" i="32" s="1"/>
  <c r="F2275" i="27" s="1"/>
  <c r="O981" i="32" a="1"/>
  <c r="O981" i="32" s="1"/>
  <c r="M2275" i="27" s="1"/>
  <c r="A2275" i="27" s="1"/>
  <c r="M981" i="32" a="1"/>
  <c r="M981" i="32" s="1"/>
  <c r="D981" i="32" s="1"/>
  <c r="K985" i="32"/>
  <c r="L983" i="32"/>
  <c r="A757" i="27"/>
  <c r="H759" i="27"/>
  <c r="B760" i="27"/>
  <c r="M760" i="27"/>
  <c r="C760" i="27" s="1"/>
  <c r="N760" i="27"/>
  <c r="Q1481" i="32"/>
  <c r="L758" i="27"/>
  <c r="I758" i="27"/>
  <c r="G1477" i="32"/>
  <c r="J758" i="27"/>
  <c r="K758" i="27"/>
  <c r="M983" i="32" l="1" a="1"/>
  <c r="M983" i="32" s="1"/>
  <c r="D983" i="32" s="1"/>
  <c r="N983" i="32" a="1"/>
  <c r="N983" i="32" s="1"/>
  <c r="E983" i="32" s="1"/>
  <c r="F2276" i="27" s="1"/>
  <c r="O983" i="32" a="1"/>
  <c r="O983" i="32" s="1"/>
  <c r="M2276" i="27" s="1"/>
  <c r="A2276" i="27" s="1"/>
  <c r="K987" i="32"/>
  <c r="L985" i="32"/>
  <c r="A758" i="27"/>
  <c r="H760" i="27"/>
  <c r="B761" i="27"/>
  <c r="M761" i="27"/>
  <c r="C761" i="27" s="1"/>
  <c r="N761" i="27"/>
  <c r="Q1483" i="32"/>
  <c r="A1483" i="32"/>
  <c r="J759" i="27"/>
  <c r="A1481" i="32"/>
  <c r="I759" i="27"/>
  <c r="G1479" i="32"/>
  <c r="L759" i="27"/>
  <c r="K759" i="27"/>
  <c r="O985" i="32" l="1" a="1"/>
  <c r="O985" i="32" s="1"/>
  <c r="M2277" i="27" s="1"/>
  <c r="A2277" i="27" s="1"/>
  <c r="N985" i="32" a="1"/>
  <c r="N985" i="32" s="1"/>
  <c r="E985" i="32" s="1"/>
  <c r="F2277" i="27" s="1"/>
  <c r="M985" i="32" a="1"/>
  <c r="M985" i="32" s="1"/>
  <c r="D985" i="32" s="1"/>
  <c r="K989" i="32"/>
  <c r="L987" i="32"/>
  <c r="A759" i="27"/>
  <c r="H761" i="27"/>
  <c r="B762" i="27"/>
  <c r="M762" i="27"/>
  <c r="C762" i="27" s="1"/>
  <c r="N762" i="27"/>
  <c r="Q1485" i="32"/>
  <c r="L760" i="27"/>
  <c r="J760" i="27"/>
  <c r="I760" i="27"/>
  <c r="K760" i="27"/>
  <c r="G1481" i="32"/>
  <c r="N987" i="32" l="1" a="1"/>
  <c r="N987" i="32" s="1"/>
  <c r="E987" i="32" s="1"/>
  <c r="F2278" i="27" s="1"/>
  <c r="O987" i="32" a="1"/>
  <c r="O987" i="32" s="1"/>
  <c r="M2278" i="27" s="1"/>
  <c r="A2278" i="27" s="1"/>
  <c r="M987" i="32" a="1"/>
  <c r="M987" i="32" s="1"/>
  <c r="D987" i="32" s="1"/>
  <c r="K991" i="32"/>
  <c r="L989" i="32"/>
  <c r="A760" i="27"/>
  <c r="H762" i="27"/>
  <c r="B763" i="27"/>
  <c r="M763" i="27"/>
  <c r="C763" i="27" s="1"/>
  <c r="N763" i="27"/>
  <c r="Q1487" i="32"/>
  <c r="L761" i="27"/>
  <c r="G1483" i="32"/>
  <c r="A1487" i="32"/>
  <c r="J761" i="27"/>
  <c r="I761" i="27"/>
  <c r="K761" i="27"/>
  <c r="A1485" i="32"/>
  <c r="M989" i="32" l="1" a="1"/>
  <c r="M989" i="32" s="1"/>
  <c r="D989" i="32" s="1"/>
  <c r="N989" i="32" a="1"/>
  <c r="N989" i="32" s="1"/>
  <c r="E989" i="32" s="1"/>
  <c r="F2279" i="27" s="1"/>
  <c r="O989" i="32" a="1"/>
  <c r="O989" i="32" s="1"/>
  <c r="M2279" i="27" s="1"/>
  <c r="A2279" i="27" s="1"/>
  <c r="K993" i="32"/>
  <c r="L991" i="32"/>
  <c r="A761" i="27"/>
  <c r="H763" i="27"/>
  <c r="B764" i="27"/>
  <c r="M764" i="27"/>
  <c r="C764" i="27" s="1"/>
  <c r="N764" i="27"/>
  <c r="Q1489" i="32"/>
  <c r="J762" i="27"/>
  <c r="L762" i="27"/>
  <c r="I762" i="27"/>
  <c r="G1485" i="32"/>
  <c r="K762" i="27"/>
  <c r="M991" i="32" l="1" a="1"/>
  <c r="M991" i="32" s="1"/>
  <c r="D991" i="32" s="1"/>
  <c r="N991" i="32" a="1"/>
  <c r="N991" i="32" s="1"/>
  <c r="E991" i="32" s="1"/>
  <c r="F2280" i="27" s="1"/>
  <c r="O991" i="32" a="1"/>
  <c r="O991" i="32" s="1"/>
  <c r="M2280" i="27" s="1"/>
  <c r="A2280" i="27" s="1"/>
  <c r="K995" i="32"/>
  <c r="L993" i="32"/>
  <c r="A762" i="27"/>
  <c r="H764" i="27"/>
  <c r="B765" i="27"/>
  <c r="N765" i="27"/>
  <c r="M765" i="27"/>
  <c r="C765" i="27" s="1"/>
  <c r="Q1491" i="32"/>
  <c r="L763" i="27"/>
  <c r="G1487" i="32"/>
  <c r="A1491" i="32"/>
  <c r="K763" i="27"/>
  <c r="J763" i="27"/>
  <c r="I763" i="27"/>
  <c r="A1489" i="32"/>
  <c r="O993" i="32" l="1" a="1"/>
  <c r="O993" i="32" s="1"/>
  <c r="M2281" i="27" s="1"/>
  <c r="A2281" i="27" s="1"/>
  <c r="N993" i="32" a="1"/>
  <c r="N993" i="32" s="1"/>
  <c r="E993" i="32" s="1"/>
  <c r="F2281" i="27" s="1"/>
  <c r="M993" i="32" a="1"/>
  <c r="M993" i="32" s="1"/>
  <c r="D993" i="32" s="1"/>
  <c r="K997" i="32"/>
  <c r="L995" i="32"/>
  <c r="A763" i="27"/>
  <c r="B766" i="27"/>
  <c r="H765" i="27"/>
  <c r="M766" i="27"/>
  <c r="C766" i="27" s="1"/>
  <c r="N766" i="27"/>
  <c r="Q1493" i="32"/>
  <c r="K764" i="27"/>
  <c r="J764" i="27"/>
  <c r="I764" i="27"/>
  <c r="L764" i="27"/>
  <c r="G1489" i="32"/>
  <c r="O995" i="32" l="1" a="1"/>
  <c r="O995" i="32" s="1"/>
  <c r="M2282" i="27" s="1"/>
  <c r="A2282" i="27" s="1"/>
  <c r="M995" i="32" a="1"/>
  <c r="M995" i="32" s="1"/>
  <c r="D995" i="32" s="1"/>
  <c r="N995" i="32" a="1"/>
  <c r="N995" i="32" s="1"/>
  <c r="E995" i="32" s="1"/>
  <c r="F2282" i="27" s="1"/>
  <c r="K999" i="32"/>
  <c r="L997" i="32"/>
  <c r="A764" i="27"/>
  <c r="H766" i="27"/>
  <c r="B767" i="27"/>
  <c r="M767" i="27"/>
  <c r="C767" i="27" s="1"/>
  <c r="N767" i="27"/>
  <c r="Q1495" i="32"/>
  <c r="K765" i="27"/>
  <c r="A1495" i="32"/>
  <c r="I765" i="27"/>
  <c r="L765" i="27"/>
  <c r="J765" i="27"/>
  <c r="A1493" i="32"/>
  <c r="G1491" i="32"/>
  <c r="O997" i="32" l="1" a="1"/>
  <c r="O997" i="32" s="1"/>
  <c r="M2283" i="27" s="1"/>
  <c r="A2283" i="27" s="1"/>
  <c r="M997" i="32" a="1"/>
  <c r="M997" i="32" s="1"/>
  <c r="D997" i="32" s="1"/>
  <c r="N997" i="32" a="1"/>
  <c r="N997" i="32" s="1"/>
  <c r="E997" i="32" s="1"/>
  <c r="F2283" i="27" s="1"/>
  <c r="K1001" i="32"/>
  <c r="L999" i="32"/>
  <c r="A765" i="27"/>
  <c r="H767" i="27"/>
  <c r="B768" i="27"/>
  <c r="M768" i="27"/>
  <c r="C768" i="27" s="1"/>
  <c r="N768" i="27"/>
  <c r="Q1497" i="32"/>
  <c r="J766" i="27"/>
  <c r="L766" i="27"/>
  <c r="I766" i="27"/>
  <c r="G1493" i="32"/>
  <c r="K766" i="27"/>
  <c r="N999" i="32" l="1" a="1"/>
  <c r="N999" i="32" s="1"/>
  <c r="E999" i="32" s="1"/>
  <c r="F2284" i="27" s="1"/>
  <c r="M999" i="32" a="1"/>
  <c r="M999" i="32" s="1"/>
  <c r="D999" i="32" s="1"/>
  <c r="O999" i="32" a="1"/>
  <c r="O999" i="32" s="1"/>
  <c r="M2284" i="27" s="1"/>
  <c r="A2284" i="27" s="1"/>
  <c r="K1003" i="32"/>
  <c r="L1001" i="32"/>
  <c r="A766" i="27"/>
  <c r="H768" i="27"/>
  <c r="B769" i="27"/>
  <c r="M769" i="27"/>
  <c r="C769" i="27" s="1"/>
  <c r="N769" i="27"/>
  <c r="Q1499" i="32"/>
  <c r="K767" i="27"/>
  <c r="L767" i="27"/>
  <c r="G1495" i="32"/>
  <c r="A1497" i="32"/>
  <c r="J767" i="27"/>
  <c r="A1499" i="32"/>
  <c r="I767" i="27"/>
  <c r="O1001" i="32" l="1" a="1"/>
  <c r="O1001" i="32" s="1"/>
  <c r="M2285" i="27" s="1"/>
  <c r="A2285" i="27" s="1"/>
  <c r="N1001" i="32" a="1"/>
  <c r="N1001" i="32" s="1"/>
  <c r="E1001" i="32" s="1"/>
  <c r="F2285" i="27" s="1"/>
  <c r="M1001" i="32" a="1"/>
  <c r="M1001" i="32" s="1"/>
  <c r="D1001" i="32" s="1"/>
  <c r="K1005" i="32"/>
  <c r="L1003" i="32"/>
  <c r="A767" i="27"/>
  <c r="H769" i="27"/>
  <c r="B770" i="27"/>
  <c r="N770" i="27"/>
  <c r="M770" i="27"/>
  <c r="C770" i="27" s="1"/>
  <c r="Q1501" i="32"/>
  <c r="I768" i="27"/>
  <c r="G1497" i="32"/>
  <c r="J768" i="27"/>
  <c r="L768" i="27"/>
  <c r="K768" i="27"/>
  <c r="O1003" i="32" l="1" a="1"/>
  <c r="O1003" i="32" s="1"/>
  <c r="M2286" i="27" s="1"/>
  <c r="A2286" i="27" s="1"/>
  <c r="N1003" i="32" a="1"/>
  <c r="N1003" i="32" s="1"/>
  <c r="E1003" i="32" s="1"/>
  <c r="F2286" i="27" s="1"/>
  <c r="M1003" i="32" a="1"/>
  <c r="M1003" i="32" s="1"/>
  <c r="D1003" i="32" s="1"/>
  <c r="K1007" i="32"/>
  <c r="L1005" i="32"/>
  <c r="A768" i="27"/>
  <c r="H770" i="27"/>
  <c r="B771" i="27"/>
  <c r="N771" i="27"/>
  <c r="M771" i="27"/>
  <c r="C771" i="27" s="1"/>
  <c r="Q1503" i="32"/>
  <c r="J769" i="27"/>
  <c r="I769" i="27"/>
  <c r="L769" i="27"/>
  <c r="K769" i="27"/>
  <c r="A1501" i="32"/>
  <c r="G1499" i="32"/>
  <c r="A1503" i="32"/>
  <c r="O1005" i="32" l="1" a="1"/>
  <c r="O1005" i="32" s="1"/>
  <c r="M2287" i="27" s="1"/>
  <c r="A2287" i="27" s="1"/>
  <c r="N1005" i="32" a="1"/>
  <c r="N1005" i="32" s="1"/>
  <c r="E1005" i="32" s="1"/>
  <c r="F2287" i="27" s="1"/>
  <c r="M1005" i="32" a="1"/>
  <c r="M1005" i="32" s="1"/>
  <c r="D1005" i="32" s="1"/>
  <c r="K1009" i="32"/>
  <c r="L1007" i="32"/>
  <c r="A769" i="27"/>
  <c r="H771" i="27"/>
  <c r="B772" i="27"/>
  <c r="M772" i="27"/>
  <c r="C772" i="27" s="1"/>
  <c r="N772" i="27"/>
  <c r="Q1505" i="32"/>
  <c r="J770" i="27"/>
  <c r="L770" i="27"/>
  <c r="G1501" i="32"/>
  <c r="I770" i="27"/>
  <c r="K770" i="27"/>
  <c r="O1007" i="32" l="1" a="1"/>
  <c r="O1007" i="32" s="1"/>
  <c r="M2288" i="27" s="1"/>
  <c r="A2288" i="27" s="1"/>
  <c r="M1007" i="32" a="1"/>
  <c r="M1007" i="32" s="1"/>
  <c r="D1007" i="32" s="1"/>
  <c r="N1007" i="32" a="1"/>
  <c r="N1007" i="32" s="1"/>
  <c r="E1007" i="32" s="1"/>
  <c r="F2288" i="27" s="1"/>
  <c r="K1011" i="32"/>
  <c r="L1009" i="32"/>
  <c r="A770" i="27"/>
  <c r="H772" i="27"/>
  <c r="B773" i="27"/>
  <c r="M773" i="27"/>
  <c r="C773" i="27" s="1"/>
  <c r="N773" i="27"/>
  <c r="Q1507" i="32"/>
  <c r="I771" i="27"/>
  <c r="A1507" i="32"/>
  <c r="J771" i="27"/>
  <c r="G1503" i="32"/>
  <c r="L771" i="27"/>
  <c r="K771" i="27"/>
  <c r="A1505" i="32"/>
  <c r="N1009" i="32" l="1" a="1"/>
  <c r="N1009" i="32" s="1"/>
  <c r="E1009" i="32" s="1"/>
  <c r="F2289" i="27" s="1"/>
  <c r="M1009" i="32" a="1"/>
  <c r="M1009" i="32" s="1"/>
  <c r="D1009" i="32" s="1"/>
  <c r="O1009" i="32" a="1"/>
  <c r="O1009" i="32" s="1"/>
  <c r="M2289" i="27" s="1"/>
  <c r="A2289" i="27" s="1"/>
  <c r="K1013" i="32"/>
  <c r="L1011" i="32"/>
  <c r="A771" i="27"/>
  <c r="B774" i="27"/>
  <c r="H773" i="27"/>
  <c r="N774" i="27"/>
  <c r="M774" i="27"/>
  <c r="C774" i="27" s="1"/>
  <c r="Q1509" i="32"/>
  <c r="L772" i="27"/>
  <c r="G1505" i="32"/>
  <c r="J772" i="27"/>
  <c r="I772" i="27"/>
  <c r="K772" i="27"/>
  <c r="M1011" i="32" l="1" a="1"/>
  <c r="M1011" i="32" s="1"/>
  <c r="D1011" i="32" s="1"/>
  <c r="N1011" i="32" a="1"/>
  <c r="N1011" i="32" s="1"/>
  <c r="E1011" i="32" s="1"/>
  <c r="F2290" i="27" s="1"/>
  <c r="O1011" i="32" a="1"/>
  <c r="O1011" i="32" s="1"/>
  <c r="M2290" i="27" s="1"/>
  <c r="A2290" i="27" s="1"/>
  <c r="K1015" i="32"/>
  <c r="L1013" i="32"/>
  <c r="A772" i="27"/>
  <c r="H774" i="27"/>
  <c r="B775" i="27"/>
  <c r="N775" i="27"/>
  <c r="M775" i="27"/>
  <c r="C775" i="27" s="1"/>
  <c r="Q1511" i="32"/>
  <c r="K773" i="27"/>
  <c r="G1507" i="32"/>
  <c r="A1509" i="32"/>
  <c r="I773" i="27"/>
  <c r="A1511" i="32"/>
  <c r="L773" i="27"/>
  <c r="J773" i="27"/>
  <c r="M1013" i="32" l="1" a="1"/>
  <c r="M1013" i="32" s="1"/>
  <c r="D1013" i="32" s="1"/>
  <c r="N1013" i="32" a="1"/>
  <c r="N1013" i="32" s="1"/>
  <c r="E1013" i="32" s="1"/>
  <c r="F2291" i="27" s="1"/>
  <c r="O1013" i="32" a="1"/>
  <c r="O1013" i="32" s="1"/>
  <c r="M2291" i="27" s="1"/>
  <c r="A2291" i="27" s="1"/>
  <c r="K1017" i="32"/>
  <c r="L1015" i="32"/>
  <c r="A773" i="27"/>
  <c r="H775" i="27"/>
  <c r="B776" i="27"/>
  <c r="M776" i="27"/>
  <c r="C776" i="27" s="1"/>
  <c r="N776" i="27"/>
  <c r="Q1513" i="32"/>
  <c r="K774" i="27"/>
  <c r="G1509" i="32"/>
  <c r="I774" i="27"/>
  <c r="L774" i="27"/>
  <c r="J774" i="27"/>
  <c r="N1015" i="32" l="1" a="1"/>
  <c r="N1015" i="32" s="1"/>
  <c r="E1015" i="32" s="1"/>
  <c r="F2292" i="27" s="1"/>
  <c r="M1015" i="32" a="1"/>
  <c r="M1015" i="32" s="1"/>
  <c r="D1015" i="32" s="1"/>
  <c r="O1015" i="32" a="1"/>
  <c r="O1015" i="32" s="1"/>
  <c r="M2292" i="27" s="1"/>
  <c r="A2292" i="27" s="1"/>
  <c r="K1019" i="32"/>
  <c r="L1017" i="32"/>
  <c r="A774" i="27"/>
  <c r="H776" i="27"/>
  <c r="B777" i="27"/>
  <c r="N777" i="27"/>
  <c r="M777" i="27"/>
  <c r="C777" i="27" s="1"/>
  <c r="Q1515" i="32"/>
  <c r="G1511" i="32"/>
  <c r="I775" i="27"/>
  <c r="K775" i="27"/>
  <c r="A1513" i="32"/>
  <c r="L775" i="27"/>
  <c r="J775" i="27"/>
  <c r="A1515" i="32"/>
  <c r="M1017" i="32" l="1" a="1"/>
  <c r="M1017" i="32" s="1"/>
  <c r="D1017" i="32" s="1"/>
  <c r="O1017" i="32" a="1"/>
  <c r="O1017" i="32" s="1"/>
  <c r="M2293" i="27" s="1"/>
  <c r="A2293" i="27" s="1"/>
  <c r="N1017" i="32" a="1"/>
  <c r="N1017" i="32" s="1"/>
  <c r="E1017" i="32" s="1"/>
  <c r="F2293" i="27" s="1"/>
  <c r="K1021" i="32"/>
  <c r="L1019" i="32"/>
  <c r="A775" i="27"/>
  <c r="H777" i="27"/>
  <c r="B778" i="27"/>
  <c r="M778" i="27"/>
  <c r="C778" i="27" s="1"/>
  <c r="N778" i="27"/>
  <c r="Q1517" i="32"/>
  <c r="L776" i="27"/>
  <c r="G1513" i="32"/>
  <c r="K776" i="27"/>
  <c r="J776" i="27"/>
  <c r="I776" i="27"/>
  <c r="K1023" i="32" l="1"/>
  <c r="L1021" i="32"/>
  <c r="M1019" i="32" a="1"/>
  <c r="M1019" i="32" s="1"/>
  <c r="D1019" i="32" s="1"/>
  <c r="O1019" i="32" a="1"/>
  <c r="O1019" i="32" s="1"/>
  <c r="M2294" i="27" s="1"/>
  <c r="A2294" i="27" s="1"/>
  <c r="N1019" i="32" a="1"/>
  <c r="N1019" i="32" s="1"/>
  <c r="E1019" i="32" s="1"/>
  <c r="F2294" i="27" s="1"/>
  <c r="A776" i="27"/>
  <c r="H778" i="27"/>
  <c r="B779" i="27"/>
  <c r="N779" i="27"/>
  <c r="M779" i="27"/>
  <c r="C779" i="27" s="1"/>
  <c r="Q1519" i="32"/>
  <c r="J777" i="27"/>
  <c r="I777" i="27"/>
  <c r="A1519" i="32"/>
  <c r="G1515" i="32"/>
  <c r="K777" i="27"/>
  <c r="A1517" i="32"/>
  <c r="L777" i="27"/>
  <c r="N1021" i="32" l="1" a="1"/>
  <c r="N1021" i="32" s="1"/>
  <c r="E1021" i="32" s="1"/>
  <c r="F2295" i="27" s="1"/>
  <c r="O1021" i="32" a="1"/>
  <c r="O1021" i="32" s="1"/>
  <c r="M2295" i="27" s="1"/>
  <c r="A2295" i="27" s="1"/>
  <c r="M1021" i="32" a="1"/>
  <c r="M1021" i="32" s="1"/>
  <c r="D1021" i="32" s="1"/>
  <c r="K1025" i="32"/>
  <c r="L1023" i="32"/>
  <c r="A777" i="27"/>
  <c r="H779" i="27"/>
  <c r="B780" i="27"/>
  <c r="M780" i="27"/>
  <c r="C780" i="27" s="1"/>
  <c r="N780" i="27"/>
  <c r="Q1521" i="32"/>
  <c r="J778" i="27"/>
  <c r="G1517" i="32"/>
  <c r="I778" i="27"/>
  <c r="K778" i="27"/>
  <c r="L778" i="27"/>
  <c r="N1023" i="32" l="1" a="1"/>
  <c r="N1023" i="32" s="1"/>
  <c r="E1023" i="32" s="1"/>
  <c r="F2296" i="27" s="1"/>
  <c r="O1023" i="32" a="1"/>
  <c r="O1023" i="32" s="1"/>
  <c r="M2296" i="27" s="1"/>
  <c r="A2296" i="27" s="1"/>
  <c r="M1023" i="32" a="1"/>
  <c r="M1023" i="32" s="1"/>
  <c r="D1023" i="32" s="1"/>
  <c r="K1027" i="32"/>
  <c r="L1025" i="32"/>
  <c r="A778" i="27"/>
  <c r="H780" i="27"/>
  <c r="B781" i="27"/>
  <c r="M781" i="27"/>
  <c r="C781" i="27" s="1"/>
  <c r="N781" i="27"/>
  <c r="Q1523" i="32"/>
  <c r="J779" i="27"/>
  <c r="A1523" i="32"/>
  <c r="G1519" i="32"/>
  <c r="I779" i="27"/>
  <c r="L779" i="27"/>
  <c r="A1521" i="32"/>
  <c r="K779" i="27"/>
  <c r="M1025" i="32" l="1" a="1"/>
  <c r="M1025" i="32" s="1"/>
  <c r="D1025" i="32" s="1"/>
  <c r="N1025" i="32" a="1"/>
  <c r="N1025" i="32" s="1"/>
  <c r="E1025" i="32" s="1"/>
  <c r="F2297" i="27" s="1"/>
  <c r="O1025" i="32" a="1"/>
  <c r="O1025" i="32" s="1"/>
  <c r="M2297" i="27" s="1"/>
  <c r="A2297" i="27" s="1"/>
  <c r="K1029" i="32"/>
  <c r="L1027" i="32"/>
  <c r="A779" i="27"/>
  <c r="B782" i="27"/>
  <c r="H781" i="27"/>
  <c r="M782" i="27"/>
  <c r="C782" i="27" s="1"/>
  <c r="N782" i="27"/>
  <c r="Q1525" i="32"/>
  <c r="I780" i="27"/>
  <c r="L780" i="27"/>
  <c r="G1521" i="32"/>
  <c r="J780" i="27"/>
  <c r="K780" i="27"/>
  <c r="M1027" i="32" l="1" a="1"/>
  <c r="M1027" i="32" s="1"/>
  <c r="D1027" i="32" s="1"/>
  <c r="O1027" i="32" a="1"/>
  <c r="O1027" i="32" s="1"/>
  <c r="M2298" i="27" s="1"/>
  <c r="A2298" i="27" s="1"/>
  <c r="N1027" i="32" a="1"/>
  <c r="N1027" i="32" s="1"/>
  <c r="E1027" i="32" s="1"/>
  <c r="F2298" i="27" s="1"/>
  <c r="K1031" i="32"/>
  <c r="L1029" i="32"/>
  <c r="A780" i="27"/>
  <c r="H782" i="27"/>
  <c r="B783" i="27"/>
  <c r="N783" i="27"/>
  <c r="M783" i="27"/>
  <c r="C783" i="27" s="1"/>
  <c r="Q1527" i="32"/>
  <c r="A1525" i="32"/>
  <c r="L781" i="27"/>
  <c r="I781" i="27"/>
  <c r="J781" i="27"/>
  <c r="K781" i="27"/>
  <c r="G1523" i="32"/>
  <c r="A1527" i="32"/>
  <c r="M1029" i="32" l="1" a="1"/>
  <c r="M1029" i="32" s="1"/>
  <c r="D1029" i="32" s="1"/>
  <c r="N1029" i="32" a="1"/>
  <c r="N1029" i="32" s="1"/>
  <c r="E1029" i="32" s="1"/>
  <c r="F2299" i="27" s="1"/>
  <c r="O1029" i="32" a="1"/>
  <c r="O1029" i="32" s="1"/>
  <c r="M2299" i="27" s="1"/>
  <c r="A2299" i="27" s="1"/>
  <c r="K1033" i="32"/>
  <c r="L1031" i="32"/>
  <c r="A781" i="27"/>
  <c r="H783" i="27"/>
  <c r="B784" i="27"/>
  <c r="M784" i="27"/>
  <c r="C784" i="27" s="1"/>
  <c r="N784" i="27"/>
  <c r="Q1529" i="32"/>
  <c r="J782" i="27"/>
  <c r="K782" i="27"/>
  <c r="I782" i="27"/>
  <c r="L782" i="27"/>
  <c r="G1525" i="32"/>
  <c r="N1031" i="32" l="1" a="1"/>
  <c r="N1031" i="32" s="1"/>
  <c r="E1031" i="32" s="1"/>
  <c r="F2300" i="27" s="1"/>
  <c r="O1031" i="32" a="1"/>
  <c r="O1031" i="32" s="1"/>
  <c r="M2300" i="27" s="1"/>
  <c r="A2300" i="27" s="1"/>
  <c r="M1031" i="32" a="1"/>
  <c r="M1031" i="32" s="1"/>
  <c r="D1031" i="32" s="1"/>
  <c r="K1035" i="32"/>
  <c r="L1033" i="32"/>
  <c r="A782" i="27"/>
  <c r="H784" i="27"/>
  <c r="B785" i="27"/>
  <c r="N785" i="27"/>
  <c r="M785" i="27"/>
  <c r="C785" i="27" s="1"/>
  <c r="Q1531" i="32"/>
  <c r="A1531" i="32"/>
  <c r="G1527" i="32"/>
  <c r="A1529" i="32"/>
  <c r="J783" i="27"/>
  <c r="I783" i="27"/>
  <c r="L783" i="27"/>
  <c r="K783" i="27"/>
  <c r="O1033" i="32" l="1" a="1"/>
  <c r="O1033" i="32" s="1"/>
  <c r="M2301" i="27" s="1"/>
  <c r="A2301" i="27" s="1"/>
  <c r="M1033" i="32" a="1"/>
  <c r="M1033" i="32" s="1"/>
  <c r="D1033" i="32" s="1"/>
  <c r="N1033" i="32" a="1"/>
  <c r="N1033" i="32" s="1"/>
  <c r="E1033" i="32" s="1"/>
  <c r="F2301" i="27" s="1"/>
  <c r="K1037" i="32"/>
  <c r="L1035" i="32"/>
  <c r="A783" i="27"/>
  <c r="H785" i="27"/>
  <c r="B786" i="27"/>
  <c r="N786" i="27"/>
  <c r="M786" i="27"/>
  <c r="C786" i="27" s="1"/>
  <c r="Q1533" i="32"/>
  <c r="G1529" i="32"/>
  <c r="J784" i="27"/>
  <c r="K784" i="27"/>
  <c r="L784" i="27"/>
  <c r="I784" i="27"/>
  <c r="M1035" i="32" l="1" a="1"/>
  <c r="M1035" i="32" s="1"/>
  <c r="D1035" i="32" s="1"/>
  <c r="N1035" i="32" a="1"/>
  <c r="N1035" i="32" s="1"/>
  <c r="E1035" i="32" s="1"/>
  <c r="F2302" i="27" s="1"/>
  <c r="O1035" i="32" a="1"/>
  <c r="O1035" i="32" s="1"/>
  <c r="M2302" i="27" s="1"/>
  <c r="A2302" i="27" s="1"/>
  <c r="K1039" i="32"/>
  <c r="L1037" i="32"/>
  <c r="A784" i="27"/>
  <c r="H786" i="27"/>
  <c r="B787" i="27"/>
  <c r="M787" i="27"/>
  <c r="C787" i="27" s="1"/>
  <c r="N787" i="27"/>
  <c r="Q1535" i="32"/>
  <c r="A1535" i="32"/>
  <c r="L785" i="27"/>
  <c r="I785" i="27"/>
  <c r="A1533" i="32"/>
  <c r="G1531" i="32"/>
  <c r="J785" i="27"/>
  <c r="K785" i="27"/>
  <c r="N1037" i="32" l="1" a="1"/>
  <c r="N1037" i="32" s="1"/>
  <c r="E1037" i="32" s="1"/>
  <c r="F2303" i="27" s="1"/>
  <c r="O1037" i="32" a="1"/>
  <c r="O1037" i="32" s="1"/>
  <c r="M2303" i="27" s="1"/>
  <c r="A2303" i="27" s="1"/>
  <c r="M1037" i="32" a="1"/>
  <c r="M1037" i="32" s="1"/>
  <c r="D1037" i="32" s="1"/>
  <c r="K1041" i="32"/>
  <c r="L1039" i="32"/>
  <c r="A785" i="27"/>
  <c r="H787" i="27"/>
  <c r="B788" i="27"/>
  <c r="N788" i="27"/>
  <c r="M788" i="27"/>
  <c r="C788" i="27" s="1"/>
  <c r="Q1537" i="32"/>
  <c r="G1533" i="32"/>
  <c r="I786" i="27"/>
  <c r="L786" i="27"/>
  <c r="K786" i="27"/>
  <c r="J786" i="27"/>
  <c r="M1039" i="32" l="1" a="1"/>
  <c r="M1039" i="32" s="1"/>
  <c r="D1039" i="32" s="1"/>
  <c r="O1039" i="32" a="1"/>
  <c r="O1039" i="32" s="1"/>
  <c r="M2304" i="27" s="1"/>
  <c r="A2304" i="27" s="1"/>
  <c r="N1039" i="32" a="1"/>
  <c r="N1039" i="32" s="1"/>
  <c r="E1039" i="32" s="1"/>
  <c r="F2304" i="27" s="1"/>
  <c r="K1043" i="32"/>
  <c r="L1041" i="32"/>
  <c r="A786" i="27"/>
  <c r="H788" i="27"/>
  <c r="B789" i="27"/>
  <c r="M789" i="27"/>
  <c r="C789" i="27" s="1"/>
  <c r="N789" i="27"/>
  <c r="Q1539" i="32"/>
  <c r="J787" i="27"/>
  <c r="G1535" i="32"/>
  <c r="L787" i="27"/>
  <c r="A1539" i="32"/>
  <c r="A1537" i="32"/>
  <c r="I787" i="27"/>
  <c r="K787" i="27"/>
  <c r="N1041" i="32" l="1" a="1"/>
  <c r="N1041" i="32" s="1"/>
  <c r="E1041" i="32" s="1"/>
  <c r="F2305" i="27" s="1"/>
  <c r="O1041" i="32" a="1"/>
  <c r="O1041" i="32" s="1"/>
  <c r="M2305" i="27" s="1"/>
  <c r="A2305" i="27" s="1"/>
  <c r="M1041" i="32" a="1"/>
  <c r="M1041" i="32" s="1"/>
  <c r="D1041" i="32" s="1"/>
  <c r="K1045" i="32"/>
  <c r="L1043" i="32"/>
  <c r="A787" i="27"/>
  <c r="B790" i="27"/>
  <c r="H789" i="27"/>
  <c r="M790" i="27"/>
  <c r="C790" i="27" s="1"/>
  <c r="N790" i="27"/>
  <c r="Q1541" i="32"/>
  <c r="L788" i="27"/>
  <c r="G1537" i="32"/>
  <c r="I788" i="27"/>
  <c r="K788" i="27"/>
  <c r="J788" i="27"/>
  <c r="M1043" i="32" l="1" a="1"/>
  <c r="M1043" i="32" s="1"/>
  <c r="D1043" i="32" s="1"/>
  <c r="O1043" i="32" a="1"/>
  <c r="O1043" i="32" s="1"/>
  <c r="M2306" i="27" s="1"/>
  <c r="A2306" i="27" s="1"/>
  <c r="N1043" i="32" a="1"/>
  <c r="N1043" i="32" s="1"/>
  <c r="E1043" i="32" s="1"/>
  <c r="F2306" i="27" s="1"/>
  <c r="K1047" i="32"/>
  <c r="L1045" i="32"/>
  <c r="A788" i="27"/>
  <c r="H790" i="27"/>
  <c r="B791" i="27"/>
  <c r="N791" i="27"/>
  <c r="M791" i="27"/>
  <c r="C791" i="27" s="1"/>
  <c r="Q1543" i="32"/>
  <c r="A1543" i="32"/>
  <c r="G1539" i="32"/>
  <c r="L789" i="27"/>
  <c r="J789" i="27"/>
  <c r="A1541" i="32"/>
  <c r="K789" i="27"/>
  <c r="I789" i="27"/>
  <c r="O1045" i="32" l="1" a="1"/>
  <c r="O1045" i="32" s="1"/>
  <c r="M2307" i="27" s="1"/>
  <c r="A2307" i="27" s="1"/>
  <c r="M1045" i="32" a="1"/>
  <c r="M1045" i="32" s="1"/>
  <c r="D1045" i="32" s="1"/>
  <c r="N1045" i="32" a="1"/>
  <c r="N1045" i="32" s="1"/>
  <c r="E1045" i="32" s="1"/>
  <c r="F2307" i="27" s="1"/>
  <c r="K1049" i="32"/>
  <c r="L1047" i="32"/>
  <c r="A789" i="27"/>
  <c r="H791" i="27"/>
  <c r="B792" i="27"/>
  <c r="M792" i="27"/>
  <c r="C792" i="27" s="1"/>
  <c r="N792" i="27"/>
  <c r="Q1545" i="32"/>
  <c r="I790" i="27"/>
  <c r="G1541" i="32"/>
  <c r="L790" i="27"/>
  <c r="K790" i="27"/>
  <c r="J790" i="27"/>
  <c r="M1047" i="32" l="1" a="1"/>
  <c r="M1047" i="32" s="1"/>
  <c r="D1047" i="32" s="1"/>
  <c r="O1047" i="32" a="1"/>
  <c r="O1047" i="32" s="1"/>
  <c r="M2308" i="27" s="1"/>
  <c r="A2308" i="27" s="1"/>
  <c r="N1047" i="32" a="1"/>
  <c r="N1047" i="32" s="1"/>
  <c r="E1047" i="32" s="1"/>
  <c r="F2308" i="27" s="1"/>
  <c r="K1051" i="32"/>
  <c r="L1049" i="32"/>
  <c r="A790" i="27"/>
  <c r="H792" i="27"/>
  <c r="B793" i="27"/>
  <c r="M793" i="27"/>
  <c r="C793" i="27" s="1"/>
  <c r="N793" i="27"/>
  <c r="Q1547" i="32"/>
  <c r="L791" i="27"/>
  <c r="A1547" i="32"/>
  <c r="A1545" i="32"/>
  <c r="I791" i="27"/>
  <c r="K791" i="27"/>
  <c r="J791" i="27"/>
  <c r="G1543" i="32"/>
  <c r="O1049" i="32" l="1" a="1"/>
  <c r="O1049" i="32" s="1"/>
  <c r="M2309" i="27" s="1"/>
  <c r="A2309" i="27" s="1"/>
  <c r="M1049" i="32" a="1"/>
  <c r="M1049" i="32" s="1"/>
  <c r="D1049" i="32" s="1"/>
  <c r="N1049" i="32" a="1"/>
  <c r="N1049" i="32" s="1"/>
  <c r="E1049" i="32" s="1"/>
  <c r="F2309" i="27" s="1"/>
  <c r="K1053" i="32"/>
  <c r="L1051" i="32"/>
  <c r="A791" i="27"/>
  <c r="H793" i="27"/>
  <c r="B794" i="27"/>
  <c r="M794" i="27"/>
  <c r="C794" i="27" s="1"/>
  <c r="N794" i="27"/>
  <c r="Q1549" i="32"/>
  <c r="J792" i="27"/>
  <c r="I792" i="27"/>
  <c r="G1545" i="32"/>
  <c r="L792" i="27"/>
  <c r="K792" i="27"/>
  <c r="M1051" i="32" l="1" a="1"/>
  <c r="M1051" i="32" s="1"/>
  <c r="D1051" i="32" s="1"/>
  <c r="O1051" i="32" a="1"/>
  <c r="O1051" i="32" s="1"/>
  <c r="M2310" i="27" s="1"/>
  <c r="A2310" i="27" s="1"/>
  <c r="N1051" i="32" a="1"/>
  <c r="N1051" i="32" s="1"/>
  <c r="E1051" i="32" s="1"/>
  <c r="F2310" i="27" s="1"/>
  <c r="K1055" i="32"/>
  <c r="L1053" i="32"/>
  <c r="A792" i="27"/>
  <c r="H794" i="27"/>
  <c r="B795" i="27"/>
  <c r="N795" i="27"/>
  <c r="M795" i="27"/>
  <c r="C795" i="27" s="1"/>
  <c r="Q1551" i="32"/>
  <c r="G1547" i="32"/>
  <c r="L793" i="27"/>
  <c r="A1551" i="32"/>
  <c r="A1549" i="32"/>
  <c r="J793" i="27"/>
  <c r="K793" i="27"/>
  <c r="I793" i="27"/>
  <c r="N1053" i="32" l="1" a="1"/>
  <c r="N1053" i="32" s="1"/>
  <c r="E1053" i="32" s="1"/>
  <c r="F2311" i="27" s="1"/>
  <c r="M1053" i="32" a="1"/>
  <c r="M1053" i="32" s="1"/>
  <c r="D1053" i="32" s="1"/>
  <c r="O1053" i="32" a="1"/>
  <c r="O1053" i="32" s="1"/>
  <c r="M2311" i="27" s="1"/>
  <c r="A2311" i="27" s="1"/>
  <c r="K1057" i="32"/>
  <c r="L1055" i="32"/>
  <c r="A793" i="27"/>
  <c r="H795" i="27"/>
  <c r="B796" i="27"/>
  <c r="N796" i="27"/>
  <c r="M796" i="27"/>
  <c r="C796" i="27" s="1"/>
  <c r="Q1553" i="32"/>
  <c r="K794" i="27"/>
  <c r="G1549" i="32"/>
  <c r="J794" i="27"/>
  <c r="L794" i="27"/>
  <c r="I794" i="27"/>
  <c r="M1055" i="32" l="1" a="1"/>
  <c r="M1055" i="32" s="1"/>
  <c r="D1055" i="32" s="1"/>
  <c r="O1055" i="32" a="1"/>
  <c r="O1055" i="32" s="1"/>
  <c r="M2312" i="27" s="1"/>
  <c r="A2312" i="27" s="1"/>
  <c r="N1055" i="32" a="1"/>
  <c r="N1055" i="32" s="1"/>
  <c r="E1055" i="32" s="1"/>
  <c r="F2312" i="27" s="1"/>
  <c r="K1059" i="32"/>
  <c r="L1057" i="32"/>
  <c r="A794" i="27"/>
  <c r="H796" i="27"/>
  <c r="B797" i="27"/>
  <c r="M797" i="27"/>
  <c r="C797" i="27" s="1"/>
  <c r="N797" i="27"/>
  <c r="Q1555" i="32"/>
  <c r="L795" i="27"/>
  <c r="A1553" i="32"/>
  <c r="I795" i="27"/>
  <c r="G1551" i="32"/>
  <c r="A1555" i="32"/>
  <c r="K795" i="27"/>
  <c r="J795" i="27"/>
  <c r="K1061" i="32" l="1"/>
  <c r="L1059" i="32"/>
  <c r="M1057" i="32" a="1"/>
  <c r="M1057" i="32" s="1"/>
  <c r="D1057" i="32" s="1"/>
  <c r="N1057" i="32" a="1"/>
  <c r="N1057" i="32" s="1"/>
  <c r="E1057" i="32" s="1"/>
  <c r="F2313" i="27" s="1"/>
  <c r="O1057" i="32" a="1"/>
  <c r="O1057" i="32" s="1"/>
  <c r="M2313" i="27" s="1"/>
  <c r="A2313" i="27" s="1"/>
  <c r="A795" i="27"/>
  <c r="B798" i="27"/>
  <c r="H797" i="27"/>
  <c r="M798" i="27"/>
  <c r="C798" i="27" s="1"/>
  <c r="N798" i="27"/>
  <c r="Q1557" i="32"/>
  <c r="L796" i="27"/>
  <c r="G1553" i="32"/>
  <c r="K796" i="27"/>
  <c r="I796" i="27"/>
  <c r="J796" i="27"/>
  <c r="K1063" i="32" l="1"/>
  <c r="L1061" i="32"/>
  <c r="N1059" i="32" a="1"/>
  <c r="N1059" i="32" s="1"/>
  <c r="E1059" i="32" s="1"/>
  <c r="F2314" i="27" s="1"/>
  <c r="O1059" i="32" a="1"/>
  <c r="O1059" i="32" s="1"/>
  <c r="M2314" i="27" s="1"/>
  <c r="A2314" i="27" s="1"/>
  <c r="M1059" i="32" a="1"/>
  <c r="M1059" i="32" s="1"/>
  <c r="D1059" i="32" s="1"/>
  <c r="A796" i="27"/>
  <c r="H798" i="27"/>
  <c r="B799" i="27"/>
  <c r="M799" i="27"/>
  <c r="C799" i="27" s="1"/>
  <c r="N799" i="27"/>
  <c r="Q1559" i="32"/>
  <c r="K797" i="27"/>
  <c r="J797" i="27"/>
  <c r="I797" i="27"/>
  <c r="A1559" i="32"/>
  <c r="G1555" i="32"/>
  <c r="A1557" i="32"/>
  <c r="L797" i="27"/>
  <c r="O1061" i="32" l="1" a="1"/>
  <c r="O1061" i="32" s="1"/>
  <c r="M2315" i="27" s="1"/>
  <c r="A2315" i="27" s="1"/>
  <c r="N1061" i="32" a="1"/>
  <c r="N1061" i="32" s="1"/>
  <c r="E1061" i="32" s="1"/>
  <c r="F2315" i="27" s="1"/>
  <c r="M1061" i="32" a="1"/>
  <c r="M1061" i="32" s="1"/>
  <c r="D1061" i="32" s="1"/>
  <c r="K1065" i="32"/>
  <c r="L1063" i="32"/>
  <c r="A797" i="27"/>
  <c r="H799" i="27"/>
  <c r="B800" i="27"/>
  <c r="M800" i="27"/>
  <c r="C800" i="27" s="1"/>
  <c r="N800" i="27"/>
  <c r="Q1561" i="32"/>
  <c r="K798" i="27"/>
  <c r="I798" i="27"/>
  <c r="G1557" i="32"/>
  <c r="L798" i="27"/>
  <c r="J798" i="27"/>
  <c r="N1063" i="32" l="1" a="1"/>
  <c r="N1063" i="32" s="1"/>
  <c r="E1063" i="32" s="1"/>
  <c r="F2316" i="27" s="1"/>
  <c r="M1063" i="32" a="1"/>
  <c r="M1063" i="32" s="1"/>
  <c r="D1063" i="32" s="1"/>
  <c r="O1063" i="32" a="1"/>
  <c r="O1063" i="32" s="1"/>
  <c r="M2316" i="27" s="1"/>
  <c r="A2316" i="27" s="1"/>
  <c r="K1067" i="32"/>
  <c r="L1065" i="32"/>
  <c r="A798" i="27"/>
  <c r="H800" i="27"/>
  <c r="B801" i="27"/>
  <c r="N801" i="27"/>
  <c r="M801" i="27"/>
  <c r="C801" i="27" s="1"/>
  <c r="Q1563" i="32"/>
  <c r="K799" i="27"/>
  <c r="A1563" i="32"/>
  <c r="A1561" i="32"/>
  <c r="L799" i="27"/>
  <c r="I799" i="27"/>
  <c r="G1559" i="32"/>
  <c r="J799" i="27"/>
  <c r="K1069" i="32" l="1"/>
  <c r="L1067" i="32"/>
  <c r="O1065" i="32" a="1"/>
  <c r="O1065" i="32" s="1"/>
  <c r="M2317" i="27" s="1"/>
  <c r="A2317" i="27" s="1"/>
  <c r="N1065" i="32" a="1"/>
  <c r="N1065" i="32" s="1"/>
  <c r="E1065" i="32" s="1"/>
  <c r="F2317" i="27" s="1"/>
  <c r="M1065" i="32" a="1"/>
  <c r="M1065" i="32" s="1"/>
  <c r="D1065" i="32" s="1"/>
  <c r="A799" i="27"/>
  <c r="H801" i="27"/>
  <c r="B802" i="27"/>
  <c r="M802" i="27"/>
  <c r="C802" i="27" s="1"/>
  <c r="N802" i="27"/>
  <c r="Q1565" i="32"/>
  <c r="G1561" i="32"/>
  <c r="I800" i="27"/>
  <c r="L800" i="27"/>
  <c r="K800" i="27"/>
  <c r="J800" i="27"/>
  <c r="O1067" i="32" l="1" a="1"/>
  <c r="O1067" i="32" s="1"/>
  <c r="M2318" i="27" s="1"/>
  <c r="A2318" i="27" s="1"/>
  <c r="M1067" i="32" a="1"/>
  <c r="M1067" i="32" s="1"/>
  <c r="D1067" i="32" s="1"/>
  <c r="N1067" i="32" a="1"/>
  <c r="N1067" i="32" s="1"/>
  <c r="E1067" i="32" s="1"/>
  <c r="F2318" i="27" s="1"/>
  <c r="K1071" i="32"/>
  <c r="L1069" i="32"/>
  <c r="A800" i="27"/>
  <c r="H802" i="27"/>
  <c r="B803" i="27"/>
  <c r="N803" i="27"/>
  <c r="M803" i="27"/>
  <c r="C803" i="27" s="1"/>
  <c r="Q1567" i="32"/>
  <c r="I801" i="27"/>
  <c r="G1563" i="32"/>
  <c r="K801" i="27"/>
  <c r="J801" i="27"/>
  <c r="L801" i="27"/>
  <c r="A1565" i="32"/>
  <c r="A1567" i="32"/>
  <c r="O1069" i="32" l="1" a="1"/>
  <c r="O1069" i="32" s="1"/>
  <c r="M2319" i="27" s="1"/>
  <c r="A2319" i="27" s="1"/>
  <c r="M1069" i="32" a="1"/>
  <c r="M1069" i="32" s="1"/>
  <c r="D1069" i="32" s="1"/>
  <c r="N1069" i="32" a="1"/>
  <c r="N1069" i="32" s="1"/>
  <c r="E1069" i="32" s="1"/>
  <c r="F2319" i="27" s="1"/>
  <c r="K1073" i="32"/>
  <c r="L1071" i="32"/>
  <c r="A801" i="27"/>
  <c r="H803" i="27"/>
  <c r="B804" i="27"/>
  <c r="M804" i="27"/>
  <c r="C804" i="27" s="1"/>
  <c r="N804" i="27"/>
  <c r="Q1569" i="32"/>
  <c r="I802" i="27"/>
  <c r="G1565" i="32"/>
  <c r="J802" i="27"/>
  <c r="L802" i="27"/>
  <c r="K802" i="27"/>
  <c r="M1071" i="32" l="1" a="1"/>
  <c r="M1071" i="32" s="1"/>
  <c r="D1071" i="32" s="1"/>
  <c r="O1071" i="32" a="1"/>
  <c r="O1071" i="32" s="1"/>
  <c r="M2320" i="27" s="1"/>
  <c r="A2320" i="27" s="1"/>
  <c r="N1071" i="32" a="1"/>
  <c r="N1071" i="32" s="1"/>
  <c r="E1071" i="32" s="1"/>
  <c r="F2320" i="27" s="1"/>
  <c r="K1075" i="32"/>
  <c r="L1073" i="32"/>
  <c r="A802" i="27"/>
  <c r="H804" i="27"/>
  <c r="B805" i="27"/>
  <c r="N805" i="27"/>
  <c r="M805" i="27"/>
  <c r="C805" i="27" s="1"/>
  <c r="Q1571" i="32"/>
  <c r="G1567" i="32"/>
  <c r="I803" i="27"/>
  <c r="K803" i="27"/>
  <c r="L803" i="27"/>
  <c r="A1569" i="32"/>
  <c r="A1571" i="32"/>
  <c r="J803" i="27"/>
  <c r="M1073" i="32" l="1" a="1"/>
  <c r="M1073" i="32" s="1"/>
  <c r="D1073" i="32" s="1"/>
  <c r="N1073" i="32" a="1"/>
  <c r="N1073" i="32" s="1"/>
  <c r="E1073" i="32" s="1"/>
  <c r="F2321" i="27" s="1"/>
  <c r="O1073" i="32" a="1"/>
  <c r="O1073" i="32" s="1"/>
  <c r="M2321" i="27" s="1"/>
  <c r="A2321" i="27" s="1"/>
  <c r="K1077" i="32"/>
  <c r="L1075" i="32"/>
  <c r="A803" i="27"/>
  <c r="B806" i="27"/>
  <c r="H805" i="27"/>
  <c r="N806" i="27"/>
  <c r="M806" i="27"/>
  <c r="C806" i="27" s="1"/>
  <c r="Q1573" i="32"/>
  <c r="G1569" i="32"/>
  <c r="I804" i="27"/>
  <c r="K804" i="27"/>
  <c r="J804" i="27"/>
  <c r="L804" i="27"/>
  <c r="O1075" i="32" l="1" a="1"/>
  <c r="O1075" i="32" s="1"/>
  <c r="M2322" i="27" s="1"/>
  <c r="A2322" i="27" s="1"/>
  <c r="N1075" i="32" a="1"/>
  <c r="N1075" i="32" s="1"/>
  <c r="E1075" i="32" s="1"/>
  <c r="F2322" i="27" s="1"/>
  <c r="M1075" i="32" a="1"/>
  <c r="M1075" i="32" s="1"/>
  <c r="D1075" i="32" s="1"/>
  <c r="K1079" i="32"/>
  <c r="L1077" i="32"/>
  <c r="A804" i="27"/>
  <c r="B807" i="27"/>
  <c r="H806" i="27"/>
  <c r="M807" i="27"/>
  <c r="C807" i="27" s="1"/>
  <c r="N807" i="27"/>
  <c r="Q1575" i="32"/>
  <c r="I805" i="27"/>
  <c r="G1571" i="32"/>
  <c r="A1573" i="32"/>
  <c r="K805" i="27"/>
  <c r="A1575" i="32"/>
  <c r="L805" i="27"/>
  <c r="J805" i="27"/>
  <c r="O1077" i="32" l="1" a="1"/>
  <c r="O1077" i="32" s="1"/>
  <c r="M2323" i="27" s="1"/>
  <c r="A2323" i="27" s="1"/>
  <c r="M1077" i="32" a="1"/>
  <c r="M1077" i="32" s="1"/>
  <c r="D1077" i="32" s="1"/>
  <c r="N1077" i="32" a="1"/>
  <c r="N1077" i="32" s="1"/>
  <c r="E1077" i="32" s="1"/>
  <c r="F2323" i="27" s="1"/>
  <c r="K1081" i="32"/>
  <c r="L1079" i="32"/>
  <c r="A805" i="27"/>
  <c r="H807" i="27"/>
  <c r="B808" i="27"/>
  <c r="N808" i="27"/>
  <c r="M808" i="27"/>
  <c r="C808" i="27" s="1"/>
  <c r="Q1577" i="32"/>
  <c r="J806" i="27"/>
  <c r="L806" i="27"/>
  <c r="G1573" i="32"/>
  <c r="K806" i="27"/>
  <c r="I806" i="27"/>
  <c r="M1079" i="32" l="1" a="1"/>
  <c r="M1079" i="32" s="1"/>
  <c r="D1079" i="32" s="1"/>
  <c r="N1079" i="32" a="1"/>
  <c r="N1079" i="32" s="1"/>
  <c r="E1079" i="32" s="1"/>
  <c r="F2324" i="27" s="1"/>
  <c r="O1079" i="32" a="1"/>
  <c r="O1079" i="32" s="1"/>
  <c r="M2324" i="27" s="1"/>
  <c r="A2324" i="27" s="1"/>
  <c r="K1083" i="32"/>
  <c r="L1081" i="32"/>
  <c r="A806" i="27"/>
  <c r="H808" i="27"/>
  <c r="B809" i="27"/>
  <c r="N809" i="27"/>
  <c r="M809" i="27"/>
  <c r="C809" i="27" s="1"/>
  <c r="Q1579" i="32"/>
  <c r="A1577" i="32"/>
  <c r="G1575" i="32"/>
  <c r="A1579" i="32"/>
  <c r="K807" i="27"/>
  <c r="L807" i="27"/>
  <c r="I807" i="27"/>
  <c r="J807" i="27"/>
  <c r="N1081" i="32" l="1" a="1"/>
  <c r="N1081" i="32" s="1"/>
  <c r="E1081" i="32" s="1"/>
  <c r="F2325" i="27" s="1"/>
  <c r="O1081" i="32" a="1"/>
  <c r="O1081" i="32" s="1"/>
  <c r="M2325" i="27" s="1"/>
  <c r="A2325" i="27" s="1"/>
  <c r="M1081" i="32" a="1"/>
  <c r="M1081" i="32" s="1"/>
  <c r="D1081" i="32" s="1"/>
  <c r="K1085" i="32"/>
  <c r="L1083" i="32"/>
  <c r="A807" i="27"/>
  <c r="H809" i="27"/>
  <c r="B810" i="27"/>
  <c r="M810" i="27"/>
  <c r="C810" i="27" s="1"/>
  <c r="N810" i="27"/>
  <c r="Q1581" i="32"/>
  <c r="G1577" i="32"/>
  <c r="K808" i="27"/>
  <c r="I808" i="27"/>
  <c r="L808" i="27"/>
  <c r="J808" i="27"/>
  <c r="N1083" i="32" l="1" a="1"/>
  <c r="N1083" i="32" s="1"/>
  <c r="E1083" i="32" s="1"/>
  <c r="F2326" i="27" s="1"/>
  <c r="M1083" i="32" a="1"/>
  <c r="M1083" i="32" s="1"/>
  <c r="D1083" i="32" s="1"/>
  <c r="O1083" i="32" a="1"/>
  <c r="O1083" i="32" s="1"/>
  <c r="M2326" i="27" s="1"/>
  <c r="A2326" i="27" s="1"/>
  <c r="K1087" i="32"/>
  <c r="L1085" i="32"/>
  <c r="A808" i="27"/>
  <c r="H810" i="27"/>
  <c r="B811" i="27"/>
  <c r="N811" i="27"/>
  <c r="M811" i="27"/>
  <c r="C811" i="27" s="1"/>
  <c r="Q1583" i="32"/>
  <c r="I809" i="27"/>
  <c r="K809" i="27"/>
  <c r="L809" i="27"/>
  <c r="A1581" i="32"/>
  <c r="A1583" i="32"/>
  <c r="G1579" i="32"/>
  <c r="J809" i="27"/>
  <c r="N1085" i="32" l="1" a="1"/>
  <c r="N1085" i="32" s="1"/>
  <c r="E1085" i="32" s="1"/>
  <c r="F2327" i="27" s="1"/>
  <c r="O1085" i="32" a="1"/>
  <c r="O1085" i="32" s="1"/>
  <c r="M2327" i="27" s="1"/>
  <c r="A2327" i="27" s="1"/>
  <c r="M1085" i="32" a="1"/>
  <c r="M1085" i="32" s="1"/>
  <c r="D1085" i="32" s="1"/>
  <c r="K1089" i="32"/>
  <c r="L1087" i="32"/>
  <c r="A809" i="27"/>
  <c r="H811" i="27"/>
  <c r="B812" i="27"/>
  <c r="N812" i="27"/>
  <c r="M812" i="27"/>
  <c r="C812" i="27" s="1"/>
  <c r="Q1585" i="32"/>
  <c r="L810" i="27"/>
  <c r="J810" i="27"/>
  <c r="K810" i="27"/>
  <c r="A1585" i="32"/>
  <c r="G1581" i="32"/>
  <c r="I810" i="27"/>
  <c r="M1087" i="32" l="1" a="1"/>
  <c r="M1087" i="32" s="1"/>
  <c r="D1087" i="32" s="1"/>
  <c r="N1087" i="32" a="1"/>
  <c r="N1087" i="32" s="1"/>
  <c r="E1087" i="32" s="1"/>
  <c r="F2328" i="27" s="1"/>
  <c r="O1087" i="32" a="1"/>
  <c r="O1087" i="32" s="1"/>
  <c r="M2328" i="27" s="1"/>
  <c r="A2328" i="27" s="1"/>
  <c r="K1091" i="32"/>
  <c r="L1089" i="32"/>
  <c r="A810" i="27"/>
  <c r="H812" i="27"/>
  <c r="B813" i="27"/>
  <c r="M813" i="27"/>
  <c r="C813" i="27" s="1"/>
  <c r="N813" i="27"/>
  <c r="Q1587" i="32"/>
  <c r="L811" i="27"/>
  <c r="K811" i="27"/>
  <c r="I811" i="27"/>
  <c r="J811" i="27"/>
  <c r="G1583" i="32"/>
  <c r="N1089" i="32" l="1" a="1"/>
  <c r="N1089" i="32" s="1"/>
  <c r="E1089" i="32" s="1"/>
  <c r="F2329" i="27" s="1"/>
  <c r="M1089" i="32" a="1"/>
  <c r="M1089" i="32" s="1"/>
  <c r="D1089" i="32" s="1"/>
  <c r="O1089" i="32" a="1"/>
  <c r="O1089" i="32" s="1"/>
  <c r="M2329" i="27" s="1"/>
  <c r="A2329" i="27" s="1"/>
  <c r="K1093" i="32"/>
  <c r="L1091" i="32"/>
  <c r="A811" i="27"/>
  <c r="B814" i="27"/>
  <c r="H813" i="27"/>
  <c r="M814" i="27"/>
  <c r="C814" i="27" s="1"/>
  <c r="N814" i="27"/>
  <c r="Q1589" i="32"/>
  <c r="I812" i="27"/>
  <c r="K812" i="27"/>
  <c r="J812" i="27"/>
  <c r="L812" i="27"/>
  <c r="A1587" i="32"/>
  <c r="G1585" i="32"/>
  <c r="A1589" i="32"/>
  <c r="M1091" i="32" l="1" a="1"/>
  <c r="M1091" i="32" s="1"/>
  <c r="D1091" i="32" s="1"/>
  <c r="O1091" i="32" a="1"/>
  <c r="O1091" i="32" s="1"/>
  <c r="M2330" i="27" s="1"/>
  <c r="A2330" i="27" s="1"/>
  <c r="N1091" i="32" a="1"/>
  <c r="N1091" i="32" s="1"/>
  <c r="E1091" i="32" s="1"/>
  <c r="F2330" i="27" s="1"/>
  <c r="K1095" i="32"/>
  <c r="L1093" i="32"/>
  <c r="A812" i="27"/>
  <c r="H814" i="27"/>
  <c r="B815" i="27"/>
  <c r="N815" i="27"/>
  <c r="M815" i="27"/>
  <c r="C815" i="27" s="1"/>
  <c r="Q1591" i="32"/>
  <c r="G1587" i="32"/>
  <c r="I813" i="27"/>
  <c r="L813" i="27"/>
  <c r="K813" i="27"/>
  <c r="J813" i="27"/>
  <c r="O1093" i="32" l="1" a="1"/>
  <c r="O1093" i="32" s="1"/>
  <c r="M2331" i="27" s="1"/>
  <c r="A2331" i="27" s="1"/>
  <c r="M1093" i="32" a="1"/>
  <c r="M1093" i="32" s="1"/>
  <c r="D1093" i="32" s="1"/>
  <c r="N1093" i="32" a="1"/>
  <c r="N1093" i="32" s="1"/>
  <c r="E1093" i="32" s="1"/>
  <c r="F2331" i="27" s="1"/>
  <c r="K1097" i="32"/>
  <c r="L1095" i="32"/>
  <c r="A813" i="27"/>
  <c r="H815" i="27"/>
  <c r="B816" i="27"/>
  <c r="M816" i="27"/>
  <c r="C816" i="27" s="1"/>
  <c r="N816" i="27"/>
  <c r="Q1593" i="32"/>
  <c r="I814" i="27"/>
  <c r="A1593" i="32"/>
  <c r="L814" i="27"/>
  <c r="G1589" i="32"/>
  <c r="J814" i="27"/>
  <c r="K814" i="27"/>
  <c r="A1591" i="32"/>
  <c r="O1095" i="32" l="1" a="1"/>
  <c r="O1095" i="32" s="1"/>
  <c r="M2332" i="27" s="1"/>
  <c r="A2332" i="27" s="1"/>
  <c r="N1095" i="32" a="1"/>
  <c r="N1095" i="32" s="1"/>
  <c r="E1095" i="32" s="1"/>
  <c r="F2332" i="27" s="1"/>
  <c r="M1095" i="32" a="1"/>
  <c r="M1095" i="32" s="1"/>
  <c r="D1095" i="32" s="1"/>
  <c r="K1099" i="32"/>
  <c r="L1097" i="32"/>
  <c r="A814" i="27"/>
  <c r="H816" i="27"/>
  <c r="B817" i="27"/>
  <c r="N817" i="27"/>
  <c r="M817" i="27"/>
  <c r="C817" i="27" s="1"/>
  <c r="Q1595" i="32"/>
  <c r="I815" i="27"/>
  <c r="L815" i="27"/>
  <c r="G1591" i="32"/>
  <c r="K815" i="27"/>
  <c r="J815" i="27"/>
  <c r="O1097" i="32" l="1" a="1"/>
  <c r="O1097" i="32" s="1"/>
  <c r="M2333" i="27" s="1"/>
  <c r="A2333" i="27" s="1"/>
  <c r="N1097" i="32" a="1"/>
  <c r="N1097" i="32" s="1"/>
  <c r="E1097" i="32" s="1"/>
  <c r="F2333" i="27" s="1"/>
  <c r="M1097" i="32" a="1"/>
  <c r="M1097" i="32" s="1"/>
  <c r="D1097" i="32" s="1"/>
  <c r="K1101" i="32"/>
  <c r="L1099" i="32"/>
  <c r="A815" i="27"/>
  <c r="H817" i="27"/>
  <c r="B818" i="27"/>
  <c r="M818" i="27"/>
  <c r="C818" i="27" s="1"/>
  <c r="N818" i="27"/>
  <c r="Q1597" i="32"/>
  <c r="J816" i="27"/>
  <c r="I816" i="27"/>
  <c r="K816" i="27"/>
  <c r="A1595" i="32"/>
  <c r="G1593" i="32"/>
  <c r="A1597" i="32"/>
  <c r="L816" i="27"/>
  <c r="K1103" i="32" l="1"/>
  <c r="L1101" i="32"/>
  <c r="M1099" i="32" a="1"/>
  <c r="M1099" i="32" s="1"/>
  <c r="D1099" i="32" s="1"/>
  <c r="O1099" i="32" a="1"/>
  <c r="O1099" i="32" s="1"/>
  <c r="M2334" i="27" s="1"/>
  <c r="A2334" i="27" s="1"/>
  <c r="N1099" i="32" a="1"/>
  <c r="N1099" i="32" s="1"/>
  <c r="E1099" i="32" s="1"/>
  <c r="F2334" i="27" s="1"/>
  <c r="A816" i="27"/>
  <c r="H818" i="27"/>
  <c r="B819" i="27"/>
  <c r="N819" i="27"/>
  <c r="M819" i="27"/>
  <c r="C819" i="27" s="1"/>
  <c r="Q1599" i="32"/>
  <c r="L817" i="27"/>
  <c r="K817" i="27"/>
  <c r="G1595" i="32"/>
  <c r="J817" i="27"/>
  <c r="I817" i="27"/>
  <c r="O1101" i="32" l="1" a="1"/>
  <c r="O1101" i="32" s="1"/>
  <c r="M2335" i="27" s="1"/>
  <c r="A2335" i="27" s="1"/>
  <c r="N1101" i="32" a="1"/>
  <c r="N1101" i="32" s="1"/>
  <c r="E1101" i="32" s="1"/>
  <c r="F2335" i="27" s="1"/>
  <c r="M1101" i="32" a="1"/>
  <c r="M1101" i="32" s="1"/>
  <c r="D1101" i="32" s="1"/>
  <c r="K1105" i="32"/>
  <c r="L1103" i="32"/>
  <c r="A817" i="27"/>
  <c r="H819" i="27"/>
  <c r="B820" i="27"/>
  <c r="M820" i="27"/>
  <c r="C820" i="27" s="1"/>
  <c r="N820" i="27"/>
  <c r="Q1601" i="32"/>
  <c r="I818" i="27"/>
  <c r="K818" i="27"/>
  <c r="G1597" i="32"/>
  <c r="A1601" i="32"/>
  <c r="J818" i="27"/>
  <c r="A1599" i="32"/>
  <c r="L818" i="27"/>
  <c r="O1103" i="32" l="1" a="1"/>
  <c r="O1103" i="32" s="1"/>
  <c r="M2336" i="27" s="1"/>
  <c r="A2336" i="27" s="1"/>
  <c r="M1103" i="32" a="1"/>
  <c r="M1103" i="32" s="1"/>
  <c r="D1103" i="32" s="1"/>
  <c r="N1103" i="32" a="1"/>
  <c r="N1103" i="32" s="1"/>
  <c r="E1103" i="32" s="1"/>
  <c r="F2336" i="27" s="1"/>
  <c r="K1107" i="32"/>
  <c r="L1105" i="32"/>
  <c r="A818" i="27"/>
  <c r="H820" i="27"/>
  <c r="B821" i="27"/>
  <c r="M821" i="27"/>
  <c r="C821" i="27" s="1"/>
  <c r="N821" i="27"/>
  <c r="Q1603" i="32"/>
  <c r="K819" i="27"/>
  <c r="J819" i="27"/>
  <c r="L819" i="27"/>
  <c r="G1599" i="32"/>
  <c r="I819" i="27"/>
  <c r="O1105" i="32" l="1" a="1"/>
  <c r="O1105" i="32" s="1"/>
  <c r="M2337" i="27" s="1"/>
  <c r="A2337" i="27" s="1"/>
  <c r="M1105" i="32" a="1"/>
  <c r="M1105" i="32" s="1"/>
  <c r="D1105" i="32" s="1"/>
  <c r="N1105" i="32" a="1"/>
  <c r="N1105" i="32" s="1"/>
  <c r="E1105" i="32" s="1"/>
  <c r="F2337" i="27" s="1"/>
  <c r="K1109" i="32"/>
  <c r="L1107" i="32"/>
  <c r="A819" i="27"/>
  <c r="B822" i="27"/>
  <c r="H821" i="27"/>
  <c r="N822" i="27"/>
  <c r="M822" i="27"/>
  <c r="C822" i="27" s="1"/>
  <c r="Q1605" i="32"/>
  <c r="I820" i="27"/>
  <c r="L820" i="27"/>
  <c r="J820" i="27"/>
  <c r="A1605" i="32"/>
  <c r="A1603" i="32"/>
  <c r="G1601" i="32"/>
  <c r="K820" i="27"/>
  <c r="N1107" i="32" l="1" a="1"/>
  <c r="N1107" i="32" s="1"/>
  <c r="E1107" i="32" s="1"/>
  <c r="F2338" i="27" s="1"/>
  <c r="O1107" i="32" a="1"/>
  <c r="O1107" i="32" s="1"/>
  <c r="M2338" i="27" s="1"/>
  <c r="A2338" i="27" s="1"/>
  <c r="M1107" i="32" a="1"/>
  <c r="M1107" i="32" s="1"/>
  <c r="D1107" i="32" s="1"/>
  <c r="K1111" i="32"/>
  <c r="L1109" i="32"/>
  <c r="A820" i="27"/>
  <c r="B823" i="27"/>
  <c r="H822" i="27"/>
  <c r="M823" i="27"/>
  <c r="C823" i="27" s="1"/>
  <c r="N823" i="27"/>
  <c r="Q1607" i="32"/>
  <c r="L821" i="27"/>
  <c r="G1603" i="32"/>
  <c r="K821" i="27"/>
  <c r="J821" i="27"/>
  <c r="I821" i="27"/>
  <c r="M1109" i="32" l="1" a="1"/>
  <c r="M1109" i="32" s="1"/>
  <c r="D1109" i="32" s="1"/>
  <c r="O1109" i="32" a="1"/>
  <c r="O1109" i="32" s="1"/>
  <c r="M2339" i="27" s="1"/>
  <c r="A2339" i="27" s="1"/>
  <c r="N1109" i="32" a="1"/>
  <c r="N1109" i="32" s="1"/>
  <c r="E1109" i="32" s="1"/>
  <c r="F2339" i="27" s="1"/>
  <c r="K1113" i="32"/>
  <c r="L1111" i="32"/>
  <c r="A821" i="27"/>
  <c r="H823" i="27"/>
  <c r="B824" i="27"/>
  <c r="M824" i="27"/>
  <c r="C824" i="27" s="1"/>
  <c r="N824" i="27"/>
  <c r="Q1609" i="32"/>
  <c r="L822" i="27"/>
  <c r="A1607" i="32"/>
  <c r="J822" i="27"/>
  <c r="K822" i="27"/>
  <c r="A1609" i="32"/>
  <c r="I822" i="27"/>
  <c r="G1605" i="32"/>
  <c r="O1111" i="32" l="1" a="1"/>
  <c r="O1111" i="32" s="1"/>
  <c r="M2340" i="27" s="1"/>
  <c r="A2340" i="27" s="1"/>
  <c r="N1111" i="32" a="1"/>
  <c r="N1111" i="32" s="1"/>
  <c r="E1111" i="32" s="1"/>
  <c r="F2340" i="27" s="1"/>
  <c r="M1111" i="32" a="1"/>
  <c r="M1111" i="32" s="1"/>
  <c r="D1111" i="32" s="1"/>
  <c r="K1115" i="32"/>
  <c r="L1113" i="32"/>
  <c r="A822" i="27"/>
  <c r="H824" i="27"/>
  <c r="B825" i="27"/>
  <c r="M825" i="27"/>
  <c r="C825" i="27" s="1"/>
  <c r="N825" i="27"/>
  <c r="Q1611" i="32"/>
  <c r="L823" i="27"/>
  <c r="I823" i="27"/>
  <c r="K823" i="27"/>
  <c r="G1607" i="32"/>
  <c r="J823" i="27"/>
  <c r="O1113" i="32" l="1" a="1"/>
  <c r="O1113" i="32" s="1"/>
  <c r="M2341" i="27" s="1"/>
  <c r="A2341" i="27" s="1"/>
  <c r="N1113" i="32" a="1"/>
  <c r="N1113" i="32" s="1"/>
  <c r="E1113" i="32" s="1"/>
  <c r="F2341" i="27" s="1"/>
  <c r="M1113" i="32" a="1"/>
  <c r="M1113" i="32" s="1"/>
  <c r="D1113" i="32" s="1"/>
  <c r="K1117" i="32"/>
  <c r="L1115" i="32"/>
  <c r="A823" i="27"/>
  <c r="H825" i="27"/>
  <c r="B826" i="27"/>
  <c r="N826" i="27"/>
  <c r="M826" i="27"/>
  <c r="C826" i="27" s="1"/>
  <c r="Q1613" i="32"/>
  <c r="I824" i="27"/>
  <c r="J824" i="27"/>
  <c r="L824" i="27"/>
  <c r="K824" i="27"/>
  <c r="A1611" i="32"/>
  <c r="G1609" i="32"/>
  <c r="A1613" i="32"/>
  <c r="N1115" i="32" l="1" a="1"/>
  <c r="N1115" i="32" s="1"/>
  <c r="E1115" i="32" s="1"/>
  <c r="F2342" i="27" s="1"/>
  <c r="M1115" i="32" a="1"/>
  <c r="M1115" i="32" s="1"/>
  <c r="D1115" i="32" s="1"/>
  <c r="O1115" i="32" a="1"/>
  <c r="O1115" i="32" s="1"/>
  <c r="M2342" i="27" s="1"/>
  <c r="A2342" i="27" s="1"/>
  <c r="K1119" i="32"/>
  <c r="L1117" i="32"/>
  <c r="A824" i="27"/>
  <c r="H826" i="27"/>
  <c r="B827" i="27"/>
  <c r="N827" i="27"/>
  <c r="M827" i="27"/>
  <c r="C827" i="27" s="1"/>
  <c r="Q1615" i="32"/>
  <c r="J825" i="27"/>
  <c r="K825" i="27"/>
  <c r="I825" i="27"/>
  <c r="L825" i="27"/>
  <c r="G1611" i="32"/>
  <c r="M1117" i="32" l="1" a="1"/>
  <c r="M1117" i="32" s="1"/>
  <c r="D1117" i="32" s="1"/>
  <c r="O1117" i="32" a="1"/>
  <c r="O1117" i="32" s="1"/>
  <c r="M2343" i="27" s="1"/>
  <c r="A2343" i="27" s="1"/>
  <c r="N1117" i="32" a="1"/>
  <c r="N1117" i="32" s="1"/>
  <c r="E1117" i="32" s="1"/>
  <c r="F2343" i="27" s="1"/>
  <c r="K1121" i="32"/>
  <c r="L1119" i="32"/>
  <c r="A825" i="27"/>
  <c r="H827" i="27"/>
  <c r="B828" i="27"/>
  <c r="M828" i="27"/>
  <c r="C828" i="27" s="1"/>
  <c r="N828" i="27"/>
  <c r="Q1617" i="32"/>
  <c r="L826" i="27"/>
  <c r="A1617" i="32"/>
  <c r="G1613" i="32"/>
  <c r="I826" i="27"/>
  <c r="J826" i="27"/>
  <c r="A1615" i="32"/>
  <c r="K826" i="27"/>
  <c r="N1119" i="32" l="1" a="1"/>
  <c r="N1119" i="32" s="1"/>
  <c r="E1119" i="32" s="1"/>
  <c r="F2344" i="27" s="1"/>
  <c r="M1119" i="32" a="1"/>
  <c r="M1119" i="32" s="1"/>
  <c r="D1119" i="32" s="1"/>
  <c r="O1119" i="32" a="1"/>
  <c r="O1119" i="32" s="1"/>
  <c r="M2344" i="27" s="1"/>
  <c r="A2344" i="27" s="1"/>
  <c r="K1123" i="32"/>
  <c r="L1121" i="32"/>
  <c r="A826" i="27"/>
  <c r="H828" i="27"/>
  <c r="B829" i="27"/>
  <c r="N829" i="27"/>
  <c r="M829" i="27"/>
  <c r="C829" i="27" s="1"/>
  <c r="Q1619" i="32"/>
  <c r="J827" i="27"/>
  <c r="L827" i="27"/>
  <c r="G1615" i="32"/>
  <c r="I827" i="27"/>
  <c r="K827" i="27"/>
  <c r="O1121" i="32" l="1" a="1"/>
  <c r="O1121" i="32" s="1"/>
  <c r="M2345" i="27" s="1"/>
  <c r="A2345" i="27" s="1"/>
  <c r="M1121" i="32" a="1"/>
  <c r="M1121" i="32" s="1"/>
  <c r="D1121" i="32" s="1"/>
  <c r="N1121" i="32" a="1"/>
  <c r="N1121" i="32" s="1"/>
  <c r="E1121" i="32" s="1"/>
  <c r="F2345" i="27" s="1"/>
  <c r="K1125" i="32"/>
  <c r="L1123" i="32"/>
  <c r="A827" i="27"/>
  <c r="B830" i="27"/>
  <c r="H829" i="27"/>
  <c r="M830" i="27"/>
  <c r="C830" i="27" s="1"/>
  <c r="N830" i="27"/>
  <c r="Q1621" i="32"/>
  <c r="A1619" i="32"/>
  <c r="I828" i="27"/>
  <c r="A1621" i="32"/>
  <c r="L828" i="27"/>
  <c r="J828" i="27"/>
  <c r="K828" i="27"/>
  <c r="G1617" i="32"/>
  <c r="N1123" i="32" l="1" a="1"/>
  <c r="N1123" i="32" s="1"/>
  <c r="E1123" i="32" s="1"/>
  <c r="F2346" i="27" s="1"/>
  <c r="M1123" i="32" a="1"/>
  <c r="M1123" i="32" s="1"/>
  <c r="D1123" i="32" s="1"/>
  <c r="O1123" i="32" a="1"/>
  <c r="O1123" i="32" s="1"/>
  <c r="M2346" i="27" s="1"/>
  <c r="A2346" i="27" s="1"/>
  <c r="K1127" i="32"/>
  <c r="L1125" i="32"/>
  <c r="A828" i="27"/>
  <c r="H830" i="27"/>
  <c r="B831" i="27"/>
  <c r="N831" i="27"/>
  <c r="M831" i="27"/>
  <c r="C831" i="27" s="1"/>
  <c r="Q1623" i="32"/>
  <c r="I829" i="27"/>
  <c r="K829" i="27"/>
  <c r="J829" i="27"/>
  <c r="L829" i="27"/>
  <c r="G1619" i="32"/>
  <c r="M1125" i="32" l="1" a="1"/>
  <c r="M1125" i="32" s="1"/>
  <c r="D1125" i="32" s="1"/>
  <c r="O1125" i="32" a="1"/>
  <c r="O1125" i="32" s="1"/>
  <c r="M2347" i="27" s="1"/>
  <c r="A2347" i="27" s="1"/>
  <c r="N1125" i="32" a="1"/>
  <c r="N1125" i="32" s="1"/>
  <c r="E1125" i="32" s="1"/>
  <c r="F2347" i="27" s="1"/>
  <c r="K1129" i="32"/>
  <c r="L1127" i="32"/>
  <c r="A829" i="27"/>
  <c r="H831" i="27"/>
  <c r="B832" i="27"/>
  <c r="N832" i="27"/>
  <c r="M832" i="27"/>
  <c r="C832" i="27" s="1"/>
  <c r="Q1625" i="32"/>
  <c r="A1625" i="32"/>
  <c r="J830" i="27"/>
  <c r="L830" i="27"/>
  <c r="I830" i="27"/>
  <c r="K830" i="27"/>
  <c r="A1623" i="32"/>
  <c r="G1621" i="32"/>
  <c r="M1127" i="32" l="1" a="1"/>
  <c r="M1127" i="32" s="1"/>
  <c r="D1127" i="32" s="1"/>
  <c r="N1127" i="32" a="1"/>
  <c r="N1127" i="32" s="1"/>
  <c r="E1127" i="32" s="1"/>
  <c r="F2348" i="27" s="1"/>
  <c r="O1127" i="32" a="1"/>
  <c r="O1127" i="32" s="1"/>
  <c r="M2348" i="27" s="1"/>
  <c r="A2348" i="27" s="1"/>
  <c r="K1131" i="32"/>
  <c r="L1129" i="32"/>
  <c r="A830" i="27"/>
  <c r="H832" i="27"/>
  <c r="B833" i="27"/>
  <c r="M833" i="27"/>
  <c r="C833" i="27" s="1"/>
  <c r="N833" i="27"/>
  <c r="Q1627" i="32"/>
  <c r="J831" i="27"/>
  <c r="L831" i="27"/>
  <c r="G1623" i="32"/>
  <c r="K831" i="27"/>
  <c r="I831" i="27"/>
  <c r="N1129" i="32" l="1" a="1"/>
  <c r="N1129" i="32" s="1"/>
  <c r="E1129" i="32" s="1"/>
  <c r="F2349" i="27" s="1"/>
  <c r="M1129" i="32" a="1"/>
  <c r="M1129" i="32" s="1"/>
  <c r="D1129" i="32" s="1"/>
  <c r="O1129" i="32" a="1"/>
  <c r="O1129" i="32" s="1"/>
  <c r="M2349" i="27" s="1"/>
  <c r="A2349" i="27" s="1"/>
  <c r="K1133" i="32"/>
  <c r="L1131" i="32"/>
  <c r="M2496" i="27"/>
  <c r="A2496" i="27" s="1"/>
  <c r="A831" i="27"/>
  <c r="H833" i="27"/>
  <c r="B834" i="27"/>
  <c r="N834" i="27"/>
  <c r="M834" i="27"/>
  <c r="C834" i="27" s="1"/>
  <c r="Q1629" i="32"/>
  <c r="K832" i="27"/>
  <c r="I832" i="27"/>
  <c r="G1625" i="32"/>
  <c r="L832" i="27"/>
  <c r="A1629" i="32"/>
  <c r="A1627" i="32"/>
  <c r="J832" i="27"/>
  <c r="N1131" i="32" l="1" a="1"/>
  <c r="N1131" i="32" s="1"/>
  <c r="E1131" i="32" s="1"/>
  <c r="F2350" i="27" s="1"/>
  <c r="M1131" i="32" a="1"/>
  <c r="M1131" i="32" s="1"/>
  <c r="D1131" i="32" s="1"/>
  <c r="O1131" i="32" a="1"/>
  <c r="O1131" i="32" s="1"/>
  <c r="M2350" i="27" s="1"/>
  <c r="A2350" i="27" s="1"/>
  <c r="K1135" i="32"/>
  <c r="L1133" i="32"/>
  <c r="A832" i="27"/>
  <c r="H834" i="27"/>
  <c r="B835" i="27"/>
  <c r="N835" i="27"/>
  <c r="M835" i="27"/>
  <c r="C835" i="27" s="1"/>
  <c r="Q1631" i="32"/>
  <c r="J833" i="27"/>
  <c r="G1627" i="32"/>
  <c r="I833" i="27"/>
  <c r="L833" i="27"/>
  <c r="K833" i="27"/>
  <c r="O1133" i="32" l="1" a="1"/>
  <c r="O1133" i="32" s="1"/>
  <c r="M2351" i="27" s="1"/>
  <c r="A2351" i="27" s="1"/>
  <c r="M1133" i="32" a="1"/>
  <c r="M1133" i="32" s="1"/>
  <c r="D1133" i="32" s="1"/>
  <c r="N1133" i="32" a="1"/>
  <c r="N1133" i="32" s="1"/>
  <c r="E1133" i="32" s="1"/>
  <c r="F2351" i="27" s="1"/>
  <c r="K1137" i="32"/>
  <c r="L1135" i="32"/>
  <c r="A833" i="27"/>
  <c r="H835" i="27"/>
  <c r="B836" i="27"/>
  <c r="N836" i="27"/>
  <c r="M836" i="27"/>
  <c r="C836" i="27" s="1"/>
  <c r="Q1633" i="32"/>
  <c r="L834" i="27"/>
  <c r="A1631" i="32"/>
  <c r="A1633" i="32"/>
  <c r="I834" i="27"/>
  <c r="G1629" i="32"/>
  <c r="J834" i="27"/>
  <c r="K834" i="27"/>
  <c r="K1139" i="32" l="1"/>
  <c r="L1137" i="32"/>
  <c r="N1135" i="32" a="1"/>
  <c r="N1135" i="32" s="1"/>
  <c r="E1135" i="32" s="1"/>
  <c r="F2352" i="27" s="1"/>
  <c r="O1135" i="32" a="1"/>
  <c r="O1135" i="32" s="1"/>
  <c r="M2352" i="27" s="1"/>
  <c r="A2352" i="27" s="1"/>
  <c r="M1135" i="32" a="1"/>
  <c r="M1135" i="32" s="1"/>
  <c r="D1135" i="32" s="1"/>
  <c r="A834" i="27"/>
  <c r="H836" i="27"/>
  <c r="B837" i="27"/>
  <c r="N837" i="27"/>
  <c r="M837" i="27"/>
  <c r="C837" i="27" s="1"/>
  <c r="Q1635" i="32"/>
  <c r="L835" i="27"/>
  <c r="J835" i="27"/>
  <c r="K835" i="27"/>
  <c r="I835" i="27"/>
  <c r="G1631" i="32"/>
  <c r="M1137" i="32" l="1" a="1"/>
  <c r="M1137" i="32" s="1"/>
  <c r="D1137" i="32" s="1"/>
  <c r="O1137" i="32" a="1"/>
  <c r="O1137" i="32" s="1"/>
  <c r="M2353" i="27" s="1"/>
  <c r="A2353" i="27" s="1"/>
  <c r="N1137" i="32" a="1"/>
  <c r="N1137" i="32" s="1"/>
  <c r="E1137" i="32" s="1"/>
  <c r="F2353" i="27" s="1"/>
  <c r="K1141" i="32"/>
  <c r="L1139" i="32"/>
  <c r="A835" i="27"/>
  <c r="B838" i="27"/>
  <c r="H837" i="27"/>
  <c r="N838" i="27"/>
  <c r="M838" i="27"/>
  <c r="C838" i="27" s="1"/>
  <c r="Q1637" i="32"/>
  <c r="I836" i="27"/>
  <c r="G1633" i="32"/>
  <c r="L836" i="27"/>
  <c r="K836" i="27"/>
  <c r="A1637" i="32"/>
  <c r="J836" i="27"/>
  <c r="A1635" i="32"/>
  <c r="K1143" i="32" l="1"/>
  <c r="L1141" i="32"/>
  <c r="M1139" i="32" a="1"/>
  <c r="M1139" i="32" s="1"/>
  <c r="D1139" i="32" s="1"/>
  <c r="O1139" i="32" a="1"/>
  <c r="O1139" i="32" s="1"/>
  <c r="M2354" i="27" s="1"/>
  <c r="A2354" i="27" s="1"/>
  <c r="N1139" i="32" a="1"/>
  <c r="N1139" i="32" s="1"/>
  <c r="E1139" i="32" s="1"/>
  <c r="F2354" i="27" s="1"/>
  <c r="A836" i="27"/>
  <c r="H838" i="27"/>
  <c r="B839" i="27"/>
  <c r="M839" i="27"/>
  <c r="C839" i="27" s="1"/>
  <c r="N839" i="27"/>
  <c r="Q1639" i="32"/>
  <c r="J837" i="27"/>
  <c r="G1635" i="32"/>
  <c r="L837" i="27"/>
  <c r="I837" i="27"/>
  <c r="K837" i="27"/>
  <c r="O1141" i="32" l="1" a="1"/>
  <c r="O1141" i="32" s="1"/>
  <c r="M2355" i="27" s="1"/>
  <c r="A2355" i="27" s="1"/>
  <c r="N1141" i="32" a="1"/>
  <c r="N1141" i="32" s="1"/>
  <c r="E1141" i="32" s="1"/>
  <c r="F2355" i="27" s="1"/>
  <c r="M1141" i="32" a="1"/>
  <c r="M1141" i="32" s="1"/>
  <c r="D1141" i="32" s="1"/>
  <c r="K1145" i="32"/>
  <c r="L1143" i="32"/>
  <c r="A837" i="27"/>
  <c r="H839" i="27"/>
  <c r="B840" i="27"/>
  <c r="N840" i="27"/>
  <c r="M840" i="27"/>
  <c r="C840" i="27" s="1"/>
  <c r="Q1641" i="32"/>
  <c r="A1641" i="32"/>
  <c r="J838" i="27"/>
  <c r="G1637" i="32"/>
  <c r="A1639" i="32"/>
  <c r="I838" i="27"/>
  <c r="L838" i="27"/>
  <c r="K838" i="27"/>
  <c r="M1143" i="32" l="1" a="1"/>
  <c r="M1143" i="32" s="1"/>
  <c r="D1143" i="32" s="1"/>
  <c r="O1143" i="32" a="1"/>
  <c r="O1143" i="32" s="1"/>
  <c r="M2356" i="27" s="1"/>
  <c r="A2356" i="27" s="1"/>
  <c r="N1143" i="32" a="1"/>
  <c r="N1143" i="32" s="1"/>
  <c r="E1143" i="32" s="1"/>
  <c r="F2356" i="27" s="1"/>
  <c r="K1147" i="32"/>
  <c r="L1145" i="32"/>
  <c r="A838" i="27"/>
  <c r="H840" i="27"/>
  <c r="B841" i="27"/>
  <c r="N841" i="27"/>
  <c r="M841" i="27"/>
  <c r="C841" i="27" s="1"/>
  <c r="Q1643" i="32"/>
  <c r="J839" i="27"/>
  <c r="I839" i="27"/>
  <c r="G1639" i="32"/>
  <c r="K839" i="27"/>
  <c r="L839" i="27"/>
  <c r="N1145" i="32" l="1" a="1"/>
  <c r="N1145" i="32" s="1"/>
  <c r="E1145" i="32" s="1"/>
  <c r="F2357" i="27" s="1"/>
  <c r="M1145" i="32" a="1"/>
  <c r="M1145" i="32" s="1"/>
  <c r="D1145" i="32" s="1"/>
  <c r="O1145" i="32" a="1"/>
  <c r="O1145" i="32" s="1"/>
  <c r="M2357" i="27" s="1"/>
  <c r="A2357" i="27" s="1"/>
  <c r="K1149" i="32"/>
  <c r="L1147" i="32"/>
  <c r="A839" i="27"/>
  <c r="H841" i="27"/>
  <c r="B842" i="27"/>
  <c r="M842" i="27"/>
  <c r="C842" i="27" s="1"/>
  <c r="N842" i="27"/>
  <c r="Q1645" i="32"/>
  <c r="A1643" i="32"/>
  <c r="A1645" i="32"/>
  <c r="J840" i="27"/>
  <c r="G1641" i="32"/>
  <c r="K840" i="27"/>
  <c r="L840" i="27"/>
  <c r="I840" i="27"/>
  <c r="O1147" i="32" l="1" a="1"/>
  <c r="O1147" i="32" s="1"/>
  <c r="M2358" i="27" s="1"/>
  <c r="A2358" i="27" s="1"/>
  <c r="N1147" i="32" a="1"/>
  <c r="N1147" i="32" s="1"/>
  <c r="E1147" i="32" s="1"/>
  <c r="F2358" i="27" s="1"/>
  <c r="M1147" i="32" a="1"/>
  <c r="M1147" i="32" s="1"/>
  <c r="D1147" i="32" s="1"/>
  <c r="K1151" i="32"/>
  <c r="L1149" i="32"/>
  <c r="A840" i="27"/>
  <c r="H842" i="27"/>
  <c r="B843" i="27"/>
  <c r="M843" i="27"/>
  <c r="C843" i="27" s="1"/>
  <c r="N843" i="27"/>
  <c r="Q1647" i="32"/>
  <c r="K841" i="27"/>
  <c r="J841" i="27"/>
  <c r="I841" i="27"/>
  <c r="L841" i="27"/>
  <c r="G1643" i="32"/>
  <c r="O1149" i="32" l="1" a="1"/>
  <c r="O1149" i="32" s="1"/>
  <c r="M2359" i="27" s="1"/>
  <c r="A2359" i="27" s="1"/>
  <c r="M1149" i="32" a="1"/>
  <c r="M1149" i="32" s="1"/>
  <c r="D1149" i="32" s="1"/>
  <c r="N1149" i="32" a="1"/>
  <c r="N1149" i="32" s="1"/>
  <c r="E1149" i="32" s="1"/>
  <c r="F2359" i="27" s="1"/>
  <c r="K1153" i="32"/>
  <c r="L1151" i="32"/>
  <c r="A841" i="27"/>
  <c r="H843" i="27"/>
  <c r="B844" i="27"/>
  <c r="M844" i="27"/>
  <c r="C844" i="27" s="1"/>
  <c r="N844" i="27"/>
  <c r="Q1649" i="32"/>
  <c r="L842" i="27"/>
  <c r="A1649" i="32"/>
  <c r="G1645" i="32"/>
  <c r="I842" i="27"/>
  <c r="J842" i="27"/>
  <c r="A1647" i="32"/>
  <c r="K842" i="27"/>
  <c r="M1151" i="32" l="1" a="1"/>
  <c r="M1151" i="32" s="1"/>
  <c r="D1151" i="32" s="1"/>
  <c r="N1151" i="32" a="1"/>
  <c r="N1151" i="32" s="1"/>
  <c r="E1151" i="32" s="1"/>
  <c r="O1151" i="32" a="1"/>
  <c r="O1151" i="32" s="1"/>
  <c r="M2360" i="27" s="1"/>
  <c r="A2360" i="27" s="1"/>
  <c r="K1155" i="32"/>
  <c r="L1153" i="32"/>
  <c r="A842" i="27"/>
  <c r="H844" i="27"/>
  <c r="B845" i="27"/>
  <c r="M845" i="27"/>
  <c r="C845" i="27" s="1"/>
  <c r="N845" i="27"/>
  <c r="Q1651" i="32"/>
  <c r="I843" i="27"/>
  <c r="G1647" i="32"/>
  <c r="L843" i="27"/>
  <c r="J843" i="27"/>
  <c r="K843" i="27"/>
  <c r="O1153" i="32" l="1" a="1"/>
  <c r="O1153" i="32" s="1"/>
  <c r="M2361" i="27" s="1"/>
  <c r="A2361" i="27" s="1"/>
  <c r="M1153" i="32" a="1"/>
  <c r="M1153" i="32" s="1"/>
  <c r="D1153" i="32" s="1"/>
  <c r="N1153" i="32" a="1"/>
  <c r="N1153" i="32" s="1"/>
  <c r="E1153" i="32" s="1"/>
  <c r="K1157" i="32"/>
  <c r="L1155" i="32"/>
  <c r="A843" i="27"/>
  <c r="B846" i="27"/>
  <c r="H845" i="27"/>
  <c r="N846" i="27"/>
  <c r="M846" i="27"/>
  <c r="C846" i="27" s="1"/>
  <c r="Q1653" i="32"/>
  <c r="A1653" i="32"/>
  <c r="A1651" i="32"/>
  <c r="J844" i="27"/>
  <c r="G1649" i="32"/>
  <c r="I844" i="27"/>
  <c r="K844" i="27"/>
  <c r="L844" i="27"/>
  <c r="N1155" i="32" l="1" a="1"/>
  <c r="N1155" i="32" s="1"/>
  <c r="E1155" i="32" s="1"/>
  <c r="M1155" i="32" a="1"/>
  <c r="M1155" i="32" s="1"/>
  <c r="D1155" i="32" s="1"/>
  <c r="O1155" i="32" a="1"/>
  <c r="O1155" i="32" s="1"/>
  <c r="M2362" i="27" s="1"/>
  <c r="A2362" i="27" s="1"/>
  <c r="K1159" i="32"/>
  <c r="L1157" i="32"/>
  <c r="A844" i="27"/>
  <c r="H846" i="27"/>
  <c r="B847" i="27"/>
  <c r="M847" i="27"/>
  <c r="C847" i="27" s="1"/>
  <c r="N847" i="27"/>
  <c r="Q1655" i="32"/>
  <c r="L845" i="27"/>
  <c r="G1651" i="32"/>
  <c r="K845" i="27"/>
  <c r="I845" i="27"/>
  <c r="J845" i="27"/>
  <c r="M1157" i="32" l="1" a="1"/>
  <c r="M1157" i="32" s="1"/>
  <c r="D1157" i="32" s="1"/>
  <c r="O1157" i="32" a="1"/>
  <c r="O1157" i="32" s="1"/>
  <c r="M2363" i="27" s="1"/>
  <c r="A2363" i="27" s="1"/>
  <c r="N1157" i="32" a="1"/>
  <c r="N1157" i="32" s="1"/>
  <c r="E1157" i="32" s="1"/>
  <c r="K1161" i="32"/>
  <c r="L1159" i="32"/>
  <c r="A845" i="27"/>
  <c r="H847" i="27"/>
  <c r="B848" i="27"/>
  <c r="M848" i="27"/>
  <c r="C848" i="27" s="1"/>
  <c r="N848" i="27"/>
  <c r="Q1657" i="32"/>
  <c r="A1655" i="32"/>
  <c r="G1653" i="32"/>
  <c r="J846" i="27"/>
  <c r="K846" i="27"/>
  <c r="A1657" i="32"/>
  <c r="L846" i="27"/>
  <c r="I846" i="27"/>
  <c r="N1159" i="32" l="1" a="1"/>
  <c r="N1159" i="32" s="1"/>
  <c r="E1159" i="32" s="1"/>
  <c r="O1159" i="32" a="1"/>
  <c r="O1159" i="32" s="1"/>
  <c r="M2364" i="27" s="1"/>
  <c r="A2364" i="27" s="1"/>
  <c r="M1159" i="32" a="1"/>
  <c r="M1159" i="32" s="1"/>
  <c r="D1159" i="32" s="1"/>
  <c r="K1163" i="32"/>
  <c r="L1161" i="32"/>
  <c r="A846" i="27"/>
  <c r="H848" i="27"/>
  <c r="B849" i="27"/>
  <c r="M849" i="27"/>
  <c r="C849" i="27" s="1"/>
  <c r="N849" i="27"/>
  <c r="Q1659" i="32"/>
  <c r="I847" i="27"/>
  <c r="K847" i="27"/>
  <c r="J847" i="27"/>
  <c r="L847" i="27"/>
  <c r="G1655" i="32"/>
  <c r="N1161" i="32" l="1" a="1"/>
  <c r="N1161" i="32" s="1"/>
  <c r="E1161" i="32" s="1"/>
  <c r="M1161" i="32" a="1"/>
  <c r="M1161" i="32" s="1"/>
  <c r="D1161" i="32" s="1"/>
  <c r="O1161" i="32" a="1"/>
  <c r="O1161" i="32" s="1"/>
  <c r="M2365" i="27" s="1"/>
  <c r="A2365" i="27" s="1"/>
  <c r="K1165" i="32"/>
  <c r="L1163" i="32"/>
  <c r="A847" i="27"/>
  <c r="H849" i="27"/>
  <c r="B850" i="27"/>
  <c r="M850" i="27"/>
  <c r="C850" i="27" s="1"/>
  <c r="N850" i="27"/>
  <c r="Q1661" i="32"/>
  <c r="J848" i="27"/>
  <c r="L848" i="27"/>
  <c r="I848" i="27"/>
  <c r="A1659" i="32"/>
  <c r="K848" i="27"/>
  <c r="G1657" i="32"/>
  <c r="A1661" i="32"/>
  <c r="M1163" i="32" l="1" a="1"/>
  <c r="M1163" i="32" s="1"/>
  <c r="D1163" i="32" s="1"/>
  <c r="O1163" i="32" a="1"/>
  <c r="O1163" i="32" s="1"/>
  <c r="M2366" i="27" s="1"/>
  <c r="A2366" i="27" s="1"/>
  <c r="N1163" i="32" a="1"/>
  <c r="N1163" i="32" s="1"/>
  <c r="E1163" i="32" s="1"/>
  <c r="K1167" i="32"/>
  <c r="L1165" i="32"/>
  <c r="A848" i="27"/>
  <c r="H850" i="27"/>
  <c r="B851" i="27"/>
  <c r="N851" i="27"/>
  <c r="M851" i="27"/>
  <c r="C851" i="27" s="1"/>
  <c r="Q1663" i="32"/>
  <c r="K849" i="27"/>
  <c r="J849" i="27"/>
  <c r="G1659" i="32"/>
  <c r="I849" i="27"/>
  <c r="L849" i="27"/>
  <c r="M1165" i="32" l="1" a="1"/>
  <c r="M1165" i="32" s="1"/>
  <c r="D1165" i="32" s="1"/>
  <c r="N1165" i="32" a="1"/>
  <c r="N1165" i="32" s="1"/>
  <c r="E1165" i="32" s="1"/>
  <c r="O1165" i="32" a="1"/>
  <c r="O1165" i="32" s="1"/>
  <c r="M2367" i="27" s="1"/>
  <c r="A2367" i="27" s="1"/>
  <c r="K1169" i="32"/>
  <c r="L1167" i="32"/>
  <c r="A849" i="27"/>
  <c r="H851" i="27"/>
  <c r="B852" i="27"/>
  <c r="M852" i="27"/>
  <c r="C852" i="27" s="1"/>
  <c r="N852" i="27"/>
  <c r="Q1665" i="32"/>
  <c r="J850" i="27"/>
  <c r="K850" i="27"/>
  <c r="I850" i="27"/>
  <c r="A1665" i="32"/>
  <c r="G1661" i="32"/>
  <c r="A1663" i="32"/>
  <c r="L850" i="27"/>
  <c r="O1167" i="32" l="1" a="1"/>
  <c r="O1167" i="32" s="1"/>
  <c r="M2368" i="27" s="1"/>
  <c r="A2368" i="27" s="1"/>
  <c r="N1167" i="32" a="1"/>
  <c r="N1167" i="32" s="1"/>
  <c r="E1167" i="32" s="1"/>
  <c r="M1167" i="32" a="1"/>
  <c r="M1167" i="32" s="1"/>
  <c r="D1167" i="32" s="1"/>
  <c r="K1171" i="32"/>
  <c r="L1169" i="32"/>
  <c r="A850" i="27"/>
  <c r="H852" i="27"/>
  <c r="B853" i="27"/>
  <c r="N853" i="27"/>
  <c r="M853" i="27"/>
  <c r="C853" i="27" s="1"/>
  <c r="Q1667" i="32"/>
  <c r="K851" i="27"/>
  <c r="G1663" i="32"/>
  <c r="L851" i="27"/>
  <c r="J851" i="27"/>
  <c r="I851" i="27"/>
  <c r="M1169" i="32" l="1" a="1"/>
  <c r="M1169" i="32" s="1"/>
  <c r="D1169" i="32" s="1"/>
  <c r="N1169" i="32" a="1"/>
  <c r="N1169" i="32" s="1"/>
  <c r="E1169" i="32" s="1"/>
  <c r="O1169" i="32" a="1"/>
  <c r="O1169" i="32" s="1"/>
  <c r="M2369" i="27" s="1"/>
  <c r="A2369" i="27" s="1"/>
  <c r="K1173" i="32"/>
  <c r="L1171" i="32"/>
  <c r="A851" i="27"/>
  <c r="H853" i="27"/>
  <c r="B854" i="27"/>
  <c r="N854" i="27"/>
  <c r="M854" i="27"/>
  <c r="C854" i="27" s="1"/>
  <c r="Q1669" i="32"/>
  <c r="G1665" i="32"/>
  <c r="I852" i="27"/>
  <c r="A1669" i="32"/>
  <c r="L852" i="27"/>
  <c r="A1667" i="32"/>
  <c r="J852" i="27"/>
  <c r="K852" i="27"/>
  <c r="K1175" i="32" l="1"/>
  <c r="L1173" i="32"/>
  <c r="N1171" i="32" a="1"/>
  <c r="N1171" i="32" s="1"/>
  <c r="E1171" i="32" s="1"/>
  <c r="O1171" i="32" a="1"/>
  <c r="O1171" i="32" s="1"/>
  <c r="M2370" i="27" s="1"/>
  <c r="A2370" i="27" s="1"/>
  <c r="M1171" i="32" a="1"/>
  <c r="M1171" i="32" s="1"/>
  <c r="D1171" i="32" s="1"/>
  <c r="A852" i="27"/>
  <c r="H854" i="27"/>
  <c r="B855" i="27"/>
  <c r="M855" i="27"/>
  <c r="C855" i="27" s="1"/>
  <c r="N855" i="27"/>
  <c r="Q1671" i="32"/>
  <c r="L853" i="27"/>
  <c r="J853" i="27"/>
  <c r="G1667" i="32"/>
  <c r="I853" i="27"/>
  <c r="K853" i="27"/>
  <c r="O1173" i="32" l="1" a="1"/>
  <c r="O1173" i="32" s="1"/>
  <c r="M2371" i="27" s="1"/>
  <c r="A2371" i="27" s="1"/>
  <c r="N1173" i="32" a="1"/>
  <c r="N1173" i="32" s="1"/>
  <c r="E1173" i="32" s="1"/>
  <c r="M1173" i="32" a="1"/>
  <c r="M1173" i="32" s="1"/>
  <c r="D1173" i="32" s="1"/>
  <c r="K1177" i="32"/>
  <c r="L1175" i="32"/>
  <c r="A853" i="27"/>
  <c r="H855" i="27"/>
  <c r="B856" i="27"/>
  <c r="N856" i="27"/>
  <c r="M856" i="27"/>
  <c r="C856" i="27" s="1"/>
  <c r="Q1673" i="32"/>
  <c r="A1671" i="32"/>
  <c r="I854" i="27"/>
  <c r="A1673" i="32"/>
  <c r="L854" i="27"/>
  <c r="J854" i="27"/>
  <c r="K854" i="27"/>
  <c r="G1669" i="32"/>
  <c r="M1175" i="32" l="1" a="1"/>
  <c r="M1175" i="32" s="1"/>
  <c r="D1175" i="32" s="1"/>
  <c r="O1175" i="32" a="1"/>
  <c r="O1175" i="32" s="1"/>
  <c r="M2372" i="27" s="1"/>
  <c r="A2372" i="27" s="1"/>
  <c r="N1175" i="32" a="1"/>
  <c r="N1175" i="32" s="1"/>
  <c r="E1175" i="32" s="1"/>
  <c r="K1179" i="32"/>
  <c r="L1177" i="32"/>
  <c r="A854" i="27"/>
  <c r="H856" i="27"/>
  <c r="B857" i="27"/>
  <c r="M857" i="27"/>
  <c r="C857" i="27" s="1"/>
  <c r="N857" i="27"/>
  <c r="Q1675" i="32"/>
  <c r="L855" i="27"/>
  <c r="I855" i="27"/>
  <c r="J855" i="27"/>
  <c r="K855" i="27"/>
  <c r="G1671" i="32"/>
  <c r="O1177" i="32" l="1" a="1"/>
  <c r="O1177" i="32" s="1"/>
  <c r="M2373" i="27" s="1"/>
  <c r="A2373" i="27" s="1"/>
  <c r="M1177" i="32" a="1"/>
  <c r="M1177" i="32" s="1"/>
  <c r="D1177" i="32" s="1"/>
  <c r="N1177" i="32" a="1"/>
  <c r="N1177" i="32" s="1"/>
  <c r="E1177" i="32" s="1"/>
  <c r="K1181" i="32"/>
  <c r="L1179" i="32"/>
  <c r="A855" i="27"/>
  <c r="H857" i="27"/>
  <c r="B858" i="27"/>
  <c r="M858" i="27"/>
  <c r="C858" i="27" s="1"/>
  <c r="N858" i="27"/>
  <c r="Q1677" i="32"/>
  <c r="I856" i="27"/>
  <c r="A1675" i="32"/>
  <c r="G1673" i="32"/>
  <c r="K856" i="27"/>
  <c r="A1677" i="32"/>
  <c r="J856" i="27"/>
  <c r="L856" i="27"/>
  <c r="K1183" i="32" l="1"/>
  <c r="L1181" i="32"/>
  <c r="M1179" i="32" a="1"/>
  <c r="M1179" i="32" s="1"/>
  <c r="D1179" i="32" s="1"/>
  <c r="O1179" i="32" a="1"/>
  <c r="O1179" i="32" s="1"/>
  <c r="M2374" i="27" s="1"/>
  <c r="A2374" i="27" s="1"/>
  <c r="N1179" i="32" a="1"/>
  <c r="N1179" i="32" s="1"/>
  <c r="E1179" i="32" s="1"/>
  <c r="A856" i="27"/>
  <c r="B859" i="27"/>
  <c r="H858" i="27"/>
  <c r="N859" i="27"/>
  <c r="M859" i="27"/>
  <c r="C859" i="27" s="1"/>
  <c r="Q1679" i="32"/>
  <c r="I857" i="27"/>
  <c r="J857" i="27"/>
  <c r="G1675" i="32"/>
  <c r="K857" i="27"/>
  <c r="L857" i="27"/>
  <c r="O1181" i="32" l="1" a="1"/>
  <c r="O1181" i="32" s="1"/>
  <c r="M2375" i="27" s="1"/>
  <c r="A2375" i="27" s="1"/>
  <c r="M1181" i="32" a="1"/>
  <c r="M1181" i="32" s="1"/>
  <c r="D1181" i="32" s="1"/>
  <c r="N1181" i="32" a="1"/>
  <c r="N1181" i="32" s="1"/>
  <c r="E1181" i="32" s="1"/>
  <c r="K1185" i="32"/>
  <c r="L1183" i="32"/>
  <c r="A857" i="27"/>
  <c r="H859" i="27"/>
  <c r="B860" i="27"/>
  <c r="N860" i="27"/>
  <c r="M860" i="27"/>
  <c r="C860" i="27" s="1"/>
  <c r="Q1681" i="32"/>
  <c r="G1677" i="32"/>
  <c r="I858" i="27"/>
  <c r="K858" i="27"/>
  <c r="J858" i="27"/>
  <c r="A1681" i="32"/>
  <c r="A1679" i="32"/>
  <c r="L858" i="27"/>
  <c r="M1183" i="32" l="1" a="1"/>
  <c r="M1183" i="32" s="1"/>
  <c r="D1183" i="32" s="1"/>
  <c r="N1183" i="32" a="1"/>
  <c r="N1183" i="32" s="1"/>
  <c r="E1183" i="32" s="1"/>
  <c r="O1183" i="32" a="1"/>
  <c r="O1183" i="32" s="1"/>
  <c r="M2376" i="27" s="1"/>
  <c r="A2376" i="27" s="1"/>
  <c r="K1187" i="32"/>
  <c r="L1185" i="32"/>
  <c r="A858" i="27"/>
  <c r="H860" i="27"/>
  <c r="B861" i="27"/>
  <c r="M861" i="27"/>
  <c r="C861" i="27" s="1"/>
  <c r="N861" i="27"/>
  <c r="Q1683" i="32"/>
  <c r="J859" i="27"/>
  <c r="L859" i="27"/>
  <c r="A1683" i="32"/>
  <c r="G1679" i="32"/>
  <c r="K859" i="27"/>
  <c r="I859" i="27"/>
  <c r="N1185" i="32" l="1" a="1"/>
  <c r="N1185" i="32" s="1"/>
  <c r="E1185" i="32" s="1"/>
  <c r="O1185" i="32" a="1"/>
  <c r="O1185" i="32" s="1"/>
  <c r="M2377" i="27" s="1"/>
  <c r="A2377" i="27" s="1"/>
  <c r="M1185" i="32" a="1"/>
  <c r="M1185" i="32" s="1"/>
  <c r="D1185" i="32" s="1"/>
  <c r="K1189" i="32"/>
  <c r="L1187" i="32"/>
  <c r="A859" i="27"/>
  <c r="H861" i="27"/>
  <c r="B862" i="27"/>
  <c r="N862" i="27"/>
  <c r="M862" i="27"/>
  <c r="C862" i="27" s="1"/>
  <c r="Q1685" i="32"/>
  <c r="L860" i="27"/>
  <c r="K860" i="27"/>
  <c r="I860" i="27"/>
  <c r="J860" i="27"/>
  <c r="G1681" i="32"/>
  <c r="O1187" i="32" l="1" a="1"/>
  <c r="O1187" i="32" s="1"/>
  <c r="M2378" i="27" s="1"/>
  <c r="A2378" i="27" s="1"/>
  <c r="M1187" i="32" a="1"/>
  <c r="M1187" i="32" s="1"/>
  <c r="D1187" i="32" s="1"/>
  <c r="N1187" i="32" a="1"/>
  <c r="N1187" i="32" s="1"/>
  <c r="E1187" i="32" s="1"/>
  <c r="K1191" i="32"/>
  <c r="L1189" i="32"/>
  <c r="A860" i="27"/>
  <c r="H862" i="27"/>
  <c r="B863" i="27"/>
  <c r="M863" i="27"/>
  <c r="C863" i="27" s="1"/>
  <c r="N863" i="27"/>
  <c r="Q1687" i="32"/>
  <c r="G1683" i="32"/>
  <c r="K861" i="27"/>
  <c r="L861" i="27"/>
  <c r="I861" i="27"/>
  <c r="A1687" i="32"/>
  <c r="J861" i="27"/>
  <c r="A1685" i="32"/>
  <c r="O1189" i="32" l="1" a="1"/>
  <c r="O1189" i="32" s="1"/>
  <c r="M2379" i="27" s="1"/>
  <c r="A2379" i="27" s="1"/>
  <c r="M1189" i="32" a="1"/>
  <c r="M1189" i="32" s="1"/>
  <c r="D1189" i="32" s="1"/>
  <c r="N1189" i="32" a="1"/>
  <c r="N1189" i="32" s="1"/>
  <c r="E1189" i="32" s="1"/>
  <c r="K1193" i="32"/>
  <c r="L1191" i="32"/>
  <c r="A861" i="27"/>
  <c r="H863" i="27"/>
  <c r="B864" i="27"/>
  <c r="M864" i="27"/>
  <c r="C864" i="27" s="1"/>
  <c r="N864" i="27"/>
  <c r="Q1689" i="32"/>
  <c r="G1685" i="32"/>
  <c r="I862" i="27"/>
  <c r="K862" i="27"/>
  <c r="J862" i="27"/>
  <c r="L862" i="27"/>
  <c r="M1191" i="32" l="1" a="1"/>
  <c r="M1191" i="32" s="1"/>
  <c r="D1191" i="32" s="1"/>
  <c r="O1191" i="32" a="1"/>
  <c r="O1191" i="32" s="1"/>
  <c r="M2380" i="27" s="1"/>
  <c r="A2380" i="27" s="1"/>
  <c r="N1191" i="32" a="1"/>
  <c r="N1191" i="32" s="1"/>
  <c r="E1191" i="32" s="1"/>
  <c r="K1195" i="32"/>
  <c r="L1193" i="32"/>
  <c r="A862" i="27"/>
  <c r="H864" i="27"/>
  <c r="B865" i="27"/>
  <c r="N865" i="27"/>
  <c r="M865" i="27"/>
  <c r="C865" i="27" s="1"/>
  <c r="Q1691" i="32"/>
  <c r="A1689" i="32"/>
  <c r="I863" i="27"/>
  <c r="L863" i="27"/>
  <c r="A1691" i="32"/>
  <c r="J863" i="27"/>
  <c r="G1687" i="32"/>
  <c r="K863" i="27"/>
  <c r="O1193" i="32" l="1" a="1"/>
  <c r="O1193" i="32" s="1"/>
  <c r="M2381" i="27" s="1"/>
  <c r="A2381" i="27" s="1"/>
  <c r="M1193" i="32" a="1"/>
  <c r="M1193" i="32" s="1"/>
  <c r="D1193" i="32" s="1"/>
  <c r="N1193" i="32" a="1"/>
  <c r="N1193" i="32" s="1"/>
  <c r="E1193" i="32" s="1"/>
  <c r="K1197" i="32"/>
  <c r="L1195" i="32"/>
  <c r="A863" i="27"/>
  <c r="H865" i="27"/>
  <c r="B866" i="27"/>
  <c r="M866" i="27"/>
  <c r="C866" i="27" s="1"/>
  <c r="N866" i="27"/>
  <c r="Q1693" i="32"/>
  <c r="J864" i="27"/>
  <c r="L864" i="27"/>
  <c r="K864" i="27"/>
  <c r="G1689" i="32"/>
  <c r="I864" i="27"/>
  <c r="K1199" i="32" l="1"/>
  <c r="L1197" i="32"/>
  <c r="O1195" i="32" a="1"/>
  <c r="O1195" i="32" s="1"/>
  <c r="M2382" i="27" s="1"/>
  <c r="A2382" i="27" s="1"/>
  <c r="N1195" i="32" a="1"/>
  <c r="N1195" i="32" s="1"/>
  <c r="E1195" i="32" s="1"/>
  <c r="M1195" i="32" a="1"/>
  <c r="M1195" i="32" s="1"/>
  <c r="D1195" i="32" s="1"/>
  <c r="A864" i="27"/>
  <c r="H866" i="27"/>
  <c r="B867" i="27"/>
  <c r="M867" i="27"/>
  <c r="C867" i="27" s="1"/>
  <c r="N867" i="27"/>
  <c r="Q1695" i="32"/>
  <c r="J865" i="27"/>
  <c r="K865" i="27"/>
  <c r="L865" i="27"/>
  <c r="A1695" i="32"/>
  <c r="I865" i="27"/>
  <c r="A1693" i="32"/>
  <c r="G1691" i="32"/>
  <c r="O1197" i="32" l="1" a="1"/>
  <c r="O1197" i="32" s="1"/>
  <c r="M2383" i="27" s="1"/>
  <c r="A2383" i="27" s="1"/>
  <c r="M1197" i="32" a="1"/>
  <c r="M1197" i="32" s="1"/>
  <c r="D1197" i="32" s="1"/>
  <c r="N1197" i="32" a="1"/>
  <c r="N1197" i="32" s="1"/>
  <c r="E1197" i="32" s="1"/>
  <c r="K1201" i="32"/>
  <c r="L1199" i="32"/>
  <c r="A865" i="27"/>
  <c r="H867" i="27"/>
  <c r="B868" i="27"/>
  <c r="M868" i="27"/>
  <c r="C868" i="27" s="1"/>
  <c r="N868" i="27"/>
  <c r="Q1697" i="32"/>
  <c r="G1693" i="32"/>
  <c r="I866" i="27"/>
  <c r="J866" i="27"/>
  <c r="L866" i="27"/>
  <c r="K866" i="27"/>
  <c r="O1199" i="32" l="1" a="1"/>
  <c r="O1199" i="32" s="1"/>
  <c r="M2384" i="27" s="1"/>
  <c r="A2384" i="27" s="1"/>
  <c r="M1199" i="32" a="1"/>
  <c r="M1199" i="32" s="1"/>
  <c r="D1199" i="32" s="1"/>
  <c r="N1199" i="32" a="1"/>
  <c r="N1199" i="32" s="1"/>
  <c r="E1199" i="32" s="1"/>
  <c r="K1203" i="32"/>
  <c r="L1201" i="32"/>
  <c r="A866" i="27"/>
  <c r="H868" i="27"/>
  <c r="B869" i="27"/>
  <c r="M869" i="27"/>
  <c r="C869" i="27" s="1"/>
  <c r="N869" i="27"/>
  <c r="Q1699" i="32"/>
  <c r="L867" i="27"/>
  <c r="G1695" i="32"/>
  <c r="K867" i="27"/>
  <c r="A1697" i="32"/>
  <c r="J867" i="27"/>
  <c r="I867" i="27"/>
  <c r="A1699" i="32"/>
  <c r="N1201" i="32" l="1" a="1"/>
  <c r="N1201" i="32" s="1"/>
  <c r="E1201" i="32" s="1"/>
  <c r="M1201" i="32" a="1"/>
  <c r="M1201" i="32" s="1"/>
  <c r="D1201" i="32" s="1"/>
  <c r="O1201" i="32" a="1"/>
  <c r="O1201" i="32" s="1"/>
  <c r="M2385" i="27" s="1"/>
  <c r="A2385" i="27" s="1"/>
  <c r="K1205" i="32"/>
  <c r="L1203" i="32"/>
  <c r="A867" i="27"/>
  <c r="H869" i="27"/>
  <c r="B870" i="27"/>
  <c r="N870" i="27"/>
  <c r="M870" i="27"/>
  <c r="C870" i="27" s="1"/>
  <c r="Q1701" i="32"/>
  <c r="L868" i="27"/>
  <c r="J868" i="27"/>
  <c r="I868" i="27"/>
  <c r="K868" i="27"/>
  <c r="G1697" i="32"/>
  <c r="M1203" i="32" l="1" a="1"/>
  <c r="M1203" i="32" s="1"/>
  <c r="D1203" i="32" s="1"/>
  <c r="O1203" i="32" a="1"/>
  <c r="O1203" i="32" s="1"/>
  <c r="M2386" i="27" s="1"/>
  <c r="A2386" i="27" s="1"/>
  <c r="N1203" i="32" a="1"/>
  <c r="N1203" i="32" s="1"/>
  <c r="E1203" i="32" s="1"/>
  <c r="K1207" i="32"/>
  <c r="L1205" i="32"/>
  <c r="A868" i="27"/>
  <c r="H870" i="27"/>
  <c r="B871" i="27"/>
  <c r="M871" i="27"/>
  <c r="C871" i="27" s="1"/>
  <c r="N871" i="27"/>
  <c r="Q1703" i="32"/>
  <c r="I869" i="27"/>
  <c r="L869" i="27"/>
  <c r="K869" i="27"/>
  <c r="A1701" i="32"/>
  <c r="J869" i="27"/>
  <c r="A1703" i="32"/>
  <c r="G1699" i="32"/>
  <c r="O1205" i="32" l="1" a="1"/>
  <c r="O1205" i="32" s="1"/>
  <c r="M2387" i="27" s="1"/>
  <c r="A2387" i="27" s="1"/>
  <c r="N1205" i="32" a="1"/>
  <c r="N1205" i="32" s="1"/>
  <c r="E1205" i="32" s="1"/>
  <c r="M1205" i="32" a="1"/>
  <c r="M1205" i="32" s="1"/>
  <c r="D1205" i="32" s="1"/>
  <c r="K1209" i="32"/>
  <c r="L1207" i="32"/>
  <c r="A869" i="27"/>
  <c r="H871" i="27"/>
  <c r="B872" i="27"/>
  <c r="M872" i="27"/>
  <c r="C872" i="27" s="1"/>
  <c r="N872" i="27"/>
  <c r="Q1705" i="32"/>
  <c r="I870" i="27"/>
  <c r="K870" i="27"/>
  <c r="J870" i="27"/>
  <c r="G1701" i="32"/>
  <c r="L870" i="27"/>
  <c r="O1207" i="32" l="1" a="1"/>
  <c r="O1207" i="32" s="1"/>
  <c r="M2388" i="27" s="1"/>
  <c r="A2388" i="27" s="1"/>
  <c r="M1207" i="32" a="1"/>
  <c r="M1207" i="32" s="1"/>
  <c r="D1207" i="32" s="1"/>
  <c r="N1207" i="32" a="1"/>
  <c r="N1207" i="32" s="1"/>
  <c r="E1207" i="32" s="1"/>
  <c r="K1211" i="32"/>
  <c r="L1209" i="32"/>
  <c r="M2575" i="27"/>
  <c r="A2575" i="27" s="1"/>
  <c r="A870" i="27"/>
  <c r="H872" i="27"/>
  <c r="B873" i="27"/>
  <c r="M873" i="27"/>
  <c r="C873" i="27" s="1"/>
  <c r="N873" i="27"/>
  <c r="Q1707" i="32"/>
  <c r="K871" i="27"/>
  <c r="G1703" i="32"/>
  <c r="A1705" i="32"/>
  <c r="L871" i="27"/>
  <c r="A1707" i="32"/>
  <c r="I871" i="27"/>
  <c r="J871" i="27"/>
  <c r="M1209" i="32" l="1" a="1"/>
  <c r="M1209" i="32" s="1"/>
  <c r="D1209" i="32" s="1"/>
  <c r="O1209" i="32" a="1"/>
  <c r="O1209" i="32" s="1"/>
  <c r="M2389" i="27" s="1"/>
  <c r="A2389" i="27" s="1"/>
  <c r="N1209" i="32" a="1"/>
  <c r="N1209" i="32" s="1"/>
  <c r="E1209" i="32" s="1"/>
  <c r="K1213" i="32"/>
  <c r="L1211" i="32"/>
  <c r="M2576" i="27"/>
  <c r="A2576" i="27" s="1"/>
  <c r="M2577" i="27"/>
  <c r="A2577" i="27" s="1"/>
  <c r="A871" i="27"/>
  <c r="H873" i="27"/>
  <c r="B874" i="27"/>
  <c r="M874" i="27"/>
  <c r="C874" i="27" s="1"/>
  <c r="N874" i="27"/>
  <c r="Q1709" i="32"/>
  <c r="I872" i="27"/>
  <c r="L872" i="27"/>
  <c r="G1705" i="32"/>
  <c r="J872" i="27"/>
  <c r="K872" i="27"/>
  <c r="M1211" i="32" l="1" a="1"/>
  <c r="M1211" i="32" s="1"/>
  <c r="D1211" i="32" s="1"/>
  <c r="O1211" i="32" a="1"/>
  <c r="O1211" i="32" s="1"/>
  <c r="M2390" i="27" s="1"/>
  <c r="A2390" i="27" s="1"/>
  <c r="N1211" i="32" a="1"/>
  <c r="N1211" i="32" s="1"/>
  <c r="E1211" i="32" s="1"/>
  <c r="K1215" i="32"/>
  <c r="L1213" i="32"/>
  <c r="M2579" i="27"/>
  <c r="A2579" i="27" s="1"/>
  <c r="M2578" i="27"/>
  <c r="A2578" i="27" s="1"/>
  <c r="A872" i="27"/>
  <c r="B875" i="27"/>
  <c r="H874" i="27"/>
  <c r="N875" i="27"/>
  <c r="M875" i="27"/>
  <c r="C875" i="27" s="1"/>
  <c r="Q1711" i="32"/>
  <c r="L873" i="27"/>
  <c r="A1711" i="32"/>
  <c r="G1707" i="32"/>
  <c r="J873" i="27"/>
  <c r="K873" i="27"/>
  <c r="I873" i="27"/>
  <c r="A1709" i="32"/>
  <c r="N1213" i="32" l="1" a="1"/>
  <c r="N1213" i="32" s="1"/>
  <c r="E1213" i="32" s="1"/>
  <c r="M1213" i="32" a="1"/>
  <c r="M1213" i="32" s="1"/>
  <c r="D1213" i="32" s="1"/>
  <c r="O1213" i="32" a="1"/>
  <c r="O1213" i="32" s="1"/>
  <c r="M2391" i="27" s="1"/>
  <c r="A2391" i="27" s="1"/>
  <c r="K1217" i="32"/>
  <c r="L1215" i="32"/>
  <c r="M2581" i="27"/>
  <c r="A2581" i="27" s="1"/>
  <c r="M2580" i="27"/>
  <c r="A2580" i="27" s="1"/>
  <c r="A873" i="27"/>
  <c r="B876" i="27"/>
  <c r="H875" i="27"/>
  <c r="N876" i="27"/>
  <c r="M876" i="27"/>
  <c r="C876" i="27" s="1"/>
  <c r="Q1713" i="32"/>
  <c r="K874" i="27"/>
  <c r="J874" i="27"/>
  <c r="I874" i="27"/>
  <c r="G1709" i="32"/>
  <c r="L874" i="27"/>
  <c r="M1215" i="32" l="1" a="1"/>
  <c r="M1215" i="32" s="1"/>
  <c r="D1215" i="32" s="1"/>
  <c r="O1215" i="32" a="1"/>
  <c r="O1215" i="32" s="1"/>
  <c r="M2392" i="27" s="1"/>
  <c r="A2392" i="27" s="1"/>
  <c r="N1215" i="32" a="1"/>
  <c r="N1215" i="32" s="1"/>
  <c r="E1215" i="32" s="1"/>
  <c r="K1219" i="32"/>
  <c r="L1217" i="32"/>
  <c r="M2582" i="27"/>
  <c r="A2582" i="27" s="1"/>
  <c r="M2583" i="27"/>
  <c r="A2583" i="27" s="1"/>
  <c r="A874" i="27"/>
  <c r="B877" i="27"/>
  <c r="H876" i="27"/>
  <c r="M877" i="27"/>
  <c r="C877" i="27" s="1"/>
  <c r="N877" i="27"/>
  <c r="Q1715" i="32"/>
  <c r="A1715" i="32"/>
  <c r="J875" i="27"/>
  <c r="A1713" i="32"/>
  <c r="I875" i="27"/>
  <c r="L875" i="27"/>
  <c r="G1711" i="32"/>
  <c r="K875" i="27"/>
  <c r="O1217" i="32" l="1" a="1"/>
  <c r="O1217" i="32" s="1"/>
  <c r="M2393" i="27" s="1"/>
  <c r="A2393" i="27" s="1"/>
  <c r="M1217" i="32" a="1"/>
  <c r="M1217" i="32" s="1"/>
  <c r="D1217" i="32" s="1"/>
  <c r="N1217" i="32" a="1"/>
  <c r="N1217" i="32" s="1"/>
  <c r="E1217" i="32" s="1"/>
  <c r="K1221" i="32"/>
  <c r="L1219" i="32"/>
  <c r="M2584" i="27"/>
  <c r="A2584" i="27" s="1"/>
  <c r="M2585" i="27"/>
  <c r="A2585" i="27" s="1"/>
  <c r="A875" i="27"/>
  <c r="H877" i="27"/>
  <c r="B878" i="27"/>
  <c r="N878" i="27"/>
  <c r="M878" i="27"/>
  <c r="C878" i="27" s="1"/>
  <c r="Q1717" i="32"/>
  <c r="K876" i="27"/>
  <c r="J876" i="27"/>
  <c r="G1713" i="32"/>
  <c r="I876" i="27"/>
  <c r="L876" i="27"/>
  <c r="K1223" i="32" l="1"/>
  <c r="L1221" i="32"/>
  <c r="N1219" i="32" a="1"/>
  <c r="N1219" i="32" s="1"/>
  <c r="E1219" i="32" s="1"/>
  <c r="M1219" i="32" a="1"/>
  <c r="M1219" i="32" s="1"/>
  <c r="D1219" i="32" s="1"/>
  <c r="O1219" i="32" a="1"/>
  <c r="O1219" i="32" s="1"/>
  <c r="M2394" i="27" s="1"/>
  <c r="A2394" i="27" s="1"/>
  <c r="M2586" i="27"/>
  <c r="A2586" i="27" s="1"/>
  <c r="M2587" i="27"/>
  <c r="A2587" i="27" s="1"/>
  <c r="A876" i="27"/>
  <c r="H878" i="27"/>
  <c r="B879" i="27"/>
  <c r="N879" i="27"/>
  <c r="M879" i="27"/>
  <c r="C879" i="27" s="1"/>
  <c r="Q1719" i="32"/>
  <c r="G1715" i="32"/>
  <c r="K877" i="27"/>
  <c r="L877" i="27"/>
  <c r="A1719" i="32"/>
  <c r="A1717" i="32"/>
  <c r="I877" i="27"/>
  <c r="J877" i="27"/>
  <c r="O1221" i="32" l="1" a="1"/>
  <c r="O1221" i="32" s="1"/>
  <c r="M2395" i="27" s="1"/>
  <c r="A2395" i="27" s="1"/>
  <c r="N1221" i="32" a="1"/>
  <c r="N1221" i="32" s="1"/>
  <c r="E1221" i="32" s="1"/>
  <c r="M1221" i="32" a="1"/>
  <c r="M1221" i="32" s="1"/>
  <c r="D1221" i="32" s="1"/>
  <c r="K1225" i="32"/>
  <c r="L1223" i="32"/>
  <c r="M2588" i="27"/>
  <c r="A2588" i="27" s="1"/>
  <c r="M2589" i="27"/>
  <c r="A2589" i="27" s="1"/>
  <c r="A877" i="27"/>
  <c r="H879" i="27"/>
  <c r="Q1721" i="32"/>
  <c r="K878" i="27"/>
  <c r="G1717" i="32"/>
  <c r="L878" i="27"/>
  <c r="J878" i="27"/>
  <c r="I878" i="27"/>
  <c r="N1223" i="32" l="1" a="1"/>
  <c r="N1223" i="32" s="1"/>
  <c r="E1223" i="32" s="1"/>
  <c r="M1223" i="32" a="1"/>
  <c r="M1223" i="32" s="1"/>
  <c r="D1223" i="32" s="1"/>
  <c r="O1223" i="32" a="1"/>
  <c r="O1223" i="32" s="1"/>
  <c r="M2396" i="27" s="1"/>
  <c r="A2396" i="27" s="1"/>
  <c r="K1227" i="32"/>
  <c r="L1225" i="32"/>
  <c r="M2590" i="27"/>
  <c r="A2590" i="27" s="1"/>
  <c r="M2591" i="27"/>
  <c r="A2591" i="27" s="1"/>
  <c r="A878" i="27"/>
  <c r="Q1723" i="32"/>
  <c r="A1723" i="32"/>
  <c r="A1721" i="32"/>
  <c r="I879" i="27"/>
  <c r="G1719" i="32"/>
  <c r="K879" i="27"/>
  <c r="L879" i="27"/>
  <c r="J879" i="27"/>
  <c r="M1225" i="32" l="1" a="1"/>
  <c r="M1225" i="32" s="1"/>
  <c r="D1225" i="32" s="1"/>
  <c r="O1225" i="32" a="1"/>
  <c r="O1225" i="32" s="1"/>
  <c r="M2397" i="27" s="1"/>
  <c r="A2397" i="27" s="1"/>
  <c r="N1225" i="32" a="1"/>
  <c r="N1225" i="32" s="1"/>
  <c r="E1225" i="32" s="1"/>
  <c r="K1229" i="32"/>
  <c r="L1227" i="32"/>
  <c r="M2592" i="27"/>
  <c r="A2592" i="27" s="1"/>
  <c r="M2593" i="27"/>
  <c r="A2593" i="27" s="1"/>
  <c r="A879" i="27"/>
  <c r="Q1725" i="32"/>
  <c r="G1721" i="32"/>
  <c r="M1227" i="32" l="1" a="1"/>
  <c r="M1227" i="32" s="1"/>
  <c r="D1227" i="32" s="1"/>
  <c r="O1227" i="32" a="1"/>
  <c r="O1227" i="32" s="1"/>
  <c r="M2398" i="27" s="1"/>
  <c r="A2398" i="27" s="1"/>
  <c r="N1227" i="32" a="1"/>
  <c r="N1227" i="32" s="1"/>
  <c r="E1227" i="32" s="1"/>
  <c r="K1231" i="32"/>
  <c r="L1229" i="32"/>
  <c r="M2595" i="27"/>
  <c r="A2595" i="27" s="1"/>
  <c r="M2594" i="27"/>
  <c r="A2594" i="27" s="1"/>
  <c r="Q1727" i="32"/>
  <c r="A1725" i="32"/>
  <c r="A1727" i="32"/>
  <c r="G1723" i="32"/>
  <c r="M1229" i="32" l="1" a="1"/>
  <c r="M1229" i="32" s="1"/>
  <c r="D1229" i="32" s="1"/>
  <c r="N1229" i="32" a="1"/>
  <c r="N1229" i="32" s="1"/>
  <c r="E1229" i="32" s="1"/>
  <c r="O1229" i="32" a="1"/>
  <c r="O1229" i="32" s="1"/>
  <c r="M2399" i="27" s="1"/>
  <c r="A2399" i="27" s="1"/>
  <c r="K1233" i="32"/>
  <c r="L1231" i="32"/>
  <c r="M2597" i="27"/>
  <c r="A2597" i="27" s="1"/>
  <c r="M2596" i="27"/>
  <c r="A2596" i="27" s="1"/>
  <c r="Q1729" i="32"/>
  <c r="G1725" i="32"/>
  <c r="M1231" i="32" l="1" a="1"/>
  <c r="M1231" i="32" s="1"/>
  <c r="D1231" i="32" s="1"/>
  <c r="N1231" i="32" a="1"/>
  <c r="N1231" i="32" s="1"/>
  <c r="E1231" i="32" s="1"/>
  <c r="O1231" i="32" a="1"/>
  <c r="O1231" i="32" s="1"/>
  <c r="M2400" i="27" s="1"/>
  <c r="A2400" i="27" s="1"/>
  <c r="K1235" i="32"/>
  <c r="L1233" i="32"/>
  <c r="M2598" i="27"/>
  <c r="A2598" i="27" s="1"/>
  <c r="M2599" i="27"/>
  <c r="A2599" i="27" s="1"/>
  <c r="Q1731" i="32"/>
  <c r="A1729" i="32"/>
  <c r="A1731" i="32"/>
  <c r="G1727" i="32"/>
  <c r="N1233" i="32" l="1" a="1"/>
  <c r="N1233" i="32" s="1"/>
  <c r="E1233" i="32" s="1"/>
  <c r="M1233" i="32" a="1"/>
  <c r="M1233" i="32" s="1"/>
  <c r="D1233" i="32" s="1"/>
  <c r="O1233" i="32" a="1"/>
  <c r="O1233" i="32" s="1"/>
  <c r="M2401" i="27" s="1"/>
  <c r="A2401" i="27" s="1"/>
  <c r="K1237" i="32"/>
  <c r="L1235" i="32"/>
  <c r="M2601" i="27"/>
  <c r="A2601" i="27" s="1"/>
  <c r="M2600" i="27"/>
  <c r="A2600" i="27" s="1"/>
  <c r="Q1733" i="32"/>
  <c r="G1729" i="32"/>
  <c r="O1235" i="32" l="1" a="1"/>
  <c r="O1235" i="32" s="1"/>
  <c r="M2402" i="27" s="1"/>
  <c r="A2402" i="27" s="1"/>
  <c r="M1235" i="32" a="1"/>
  <c r="M1235" i="32" s="1"/>
  <c r="D1235" i="32" s="1"/>
  <c r="N1235" i="32" a="1"/>
  <c r="N1235" i="32" s="1"/>
  <c r="E1235" i="32" s="1"/>
  <c r="K1239" i="32"/>
  <c r="L1237" i="32"/>
  <c r="M2603" i="27"/>
  <c r="A2603" i="27" s="1"/>
  <c r="M2602" i="27"/>
  <c r="A2602" i="27" s="1"/>
  <c r="Q1735" i="32"/>
  <c r="A1733" i="32"/>
  <c r="G1731" i="32"/>
  <c r="A1735" i="32"/>
  <c r="N1237" i="32" l="1" a="1"/>
  <c r="N1237" i="32" s="1"/>
  <c r="E1237" i="32" s="1"/>
  <c r="O1237" i="32" a="1"/>
  <c r="O1237" i="32" s="1"/>
  <c r="M2403" i="27" s="1"/>
  <c r="A2403" i="27" s="1"/>
  <c r="M1237" i="32" a="1"/>
  <c r="M1237" i="32" s="1"/>
  <c r="D1237" i="32" s="1"/>
  <c r="K1241" i="32"/>
  <c r="L1239" i="32"/>
  <c r="M2605" i="27"/>
  <c r="A2605" i="27" s="1"/>
  <c r="M2604" i="27"/>
  <c r="A2604" i="27" s="1"/>
  <c r="Q1737" i="32"/>
  <c r="G1733" i="32"/>
  <c r="K1243" i="32" l="1"/>
  <c r="L1241" i="32"/>
  <c r="O1239" i="32" a="1"/>
  <c r="O1239" i="32" s="1"/>
  <c r="M2404" i="27" s="1"/>
  <c r="A2404" i="27" s="1"/>
  <c r="M1239" i="32" a="1"/>
  <c r="M1239" i="32" s="1"/>
  <c r="D1239" i="32" s="1"/>
  <c r="N1239" i="32" a="1"/>
  <c r="N1239" i="32" s="1"/>
  <c r="E1239" i="32" s="1"/>
  <c r="M2607" i="27"/>
  <c r="A2607" i="27" s="1"/>
  <c r="M2606" i="27"/>
  <c r="A2606" i="27" s="1"/>
  <c r="Q1739" i="32"/>
  <c r="G1735" i="32"/>
  <c r="A1737" i="32"/>
  <c r="A1739" i="32"/>
  <c r="N1241" i="32" l="1" a="1"/>
  <c r="N1241" i="32" s="1"/>
  <c r="E1241" i="32" s="1"/>
  <c r="O1241" i="32" a="1"/>
  <c r="O1241" i="32" s="1"/>
  <c r="M2405" i="27" s="1"/>
  <c r="A2405" i="27" s="1"/>
  <c r="M1241" i="32" a="1"/>
  <c r="M1241" i="32" s="1"/>
  <c r="D1241" i="32" s="1"/>
  <c r="K1245" i="32"/>
  <c r="L1243" i="32"/>
  <c r="M2609" i="27"/>
  <c r="A2609" i="27" s="1"/>
  <c r="M2608" i="27"/>
  <c r="A2608" i="27" s="1"/>
  <c r="Q1741" i="32"/>
  <c r="G1737" i="32"/>
  <c r="K1247" i="32" l="1"/>
  <c r="L1245" i="32"/>
  <c r="O1243" i="32" a="1"/>
  <c r="O1243" i="32" s="1"/>
  <c r="M2406" i="27" s="1"/>
  <c r="A2406" i="27" s="1"/>
  <c r="N1243" i="32" a="1"/>
  <c r="N1243" i="32" s="1"/>
  <c r="E1243" i="32" s="1"/>
  <c r="M1243" i="32" a="1"/>
  <c r="M1243" i="32" s="1"/>
  <c r="D1243" i="32" s="1"/>
  <c r="M2610" i="27"/>
  <c r="A2610" i="27" s="1"/>
  <c r="M2611" i="27"/>
  <c r="A2611" i="27" s="1"/>
  <c r="Q1743" i="32"/>
  <c r="A1741" i="32"/>
  <c r="A1743" i="32"/>
  <c r="G1739" i="32"/>
  <c r="N1245" i="32" l="1" a="1"/>
  <c r="N1245" i="32" s="1"/>
  <c r="E1245" i="32" s="1"/>
  <c r="M1245" i="32" a="1"/>
  <c r="M1245" i="32" s="1"/>
  <c r="D1245" i="32" s="1"/>
  <c r="O1245" i="32" a="1"/>
  <c r="O1245" i="32" s="1"/>
  <c r="M2407" i="27" s="1"/>
  <c r="A2407" i="27" s="1"/>
  <c r="K1249" i="32"/>
  <c r="L1247" i="32"/>
  <c r="M2613" i="27"/>
  <c r="A2613" i="27" s="1"/>
  <c r="M2612" i="27"/>
  <c r="A2612" i="27" s="1"/>
  <c r="Q1745" i="32"/>
  <c r="G1741" i="32"/>
  <c r="M1247" i="32" l="1" a="1"/>
  <c r="M1247" i="32" s="1"/>
  <c r="D1247" i="32" s="1"/>
  <c r="O1247" i="32" a="1"/>
  <c r="O1247" i="32" s="1"/>
  <c r="M2408" i="27" s="1"/>
  <c r="A2408" i="27" s="1"/>
  <c r="N1247" i="32" a="1"/>
  <c r="N1247" i="32" s="1"/>
  <c r="E1247" i="32" s="1"/>
  <c r="K1251" i="32"/>
  <c r="L1249" i="32"/>
  <c r="M2615" i="27"/>
  <c r="A2615" i="27" s="1"/>
  <c r="M2614" i="27"/>
  <c r="A2614" i="27" s="1"/>
  <c r="Q1747" i="32"/>
  <c r="A1747" i="32"/>
  <c r="G1743" i="32"/>
  <c r="A1745" i="32"/>
  <c r="M1249" i="32" l="1" a="1"/>
  <c r="M1249" i="32" s="1"/>
  <c r="D1249" i="32" s="1"/>
  <c r="O1249" i="32" a="1"/>
  <c r="O1249" i="32" s="1"/>
  <c r="M2409" i="27" s="1"/>
  <c r="A2409" i="27" s="1"/>
  <c r="N1249" i="32" a="1"/>
  <c r="N1249" i="32" s="1"/>
  <c r="E1249" i="32" s="1"/>
  <c r="K1253" i="32"/>
  <c r="L1251" i="32"/>
  <c r="M2616" i="27"/>
  <c r="A2616" i="27" s="1"/>
  <c r="M2617" i="27"/>
  <c r="A2617" i="27" s="1"/>
  <c r="Q1749" i="32"/>
  <c r="G1745" i="32"/>
  <c r="N1251" i="32" l="1" a="1"/>
  <c r="N1251" i="32" s="1"/>
  <c r="E1251" i="32" s="1"/>
  <c r="M1251" i="32" a="1"/>
  <c r="M1251" i="32" s="1"/>
  <c r="D1251" i="32" s="1"/>
  <c r="O1251" i="32" a="1"/>
  <c r="O1251" i="32" s="1"/>
  <c r="M2410" i="27" s="1"/>
  <c r="A2410" i="27" s="1"/>
  <c r="K1255" i="32"/>
  <c r="L1253" i="32"/>
  <c r="M2619" i="27"/>
  <c r="A2619" i="27" s="1"/>
  <c r="M2618" i="27"/>
  <c r="A2618" i="27" s="1"/>
  <c r="Q1751" i="32"/>
  <c r="A1749" i="32"/>
  <c r="A1751" i="32"/>
  <c r="G1747" i="32"/>
  <c r="N1253" i="32" l="1" a="1"/>
  <c r="N1253" i="32" s="1"/>
  <c r="E1253" i="32" s="1"/>
  <c r="M1253" i="32" a="1"/>
  <c r="M1253" i="32" s="1"/>
  <c r="D1253" i="32" s="1"/>
  <c r="O1253" i="32" a="1"/>
  <c r="O1253" i="32" s="1"/>
  <c r="M2411" i="27" s="1"/>
  <c r="A2411" i="27" s="1"/>
  <c r="K1257" i="32"/>
  <c r="L1255" i="32"/>
  <c r="M2620" i="27"/>
  <c r="A2620" i="27" s="1"/>
  <c r="M2621" i="27"/>
  <c r="A2621" i="27" s="1"/>
  <c r="Q1753" i="32"/>
  <c r="G1749" i="32"/>
  <c r="O1255" i="32" l="1" a="1"/>
  <c r="O1255" i="32" s="1"/>
  <c r="M2412" i="27" s="1"/>
  <c r="A2412" i="27" s="1"/>
  <c r="M1255" i="32" a="1"/>
  <c r="M1255" i="32" s="1"/>
  <c r="D1255" i="32" s="1"/>
  <c r="N1255" i="32" a="1"/>
  <c r="N1255" i="32" s="1"/>
  <c r="E1255" i="32" s="1"/>
  <c r="K1259" i="32"/>
  <c r="L1257" i="32"/>
  <c r="M2622" i="27"/>
  <c r="A2622" i="27" s="1"/>
  <c r="M2623" i="27"/>
  <c r="A2623" i="27" s="1"/>
  <c r="Q1755" i="32"/>
  <c r="A1755" i="32"/>
  <c r="A1753" i="32"/>
  <c r="G1751" i="32"/>
  <c r="M1257" i="32" l="1" a="1"/>
  <c r="M1257" i="32" s="1"/>
  <c r="D1257" i="32" s="1"/>
  <c r="O1257" i="32" a="1"/>
  <c r="O1257" i="32" s="1"/>
  <c r="M2413" i="27" s="1"/>
  <c r="A2413" i="27" s="1"/>
  <c r="N1257" i="32" a="1"/>
  <c r="N1257" i="32" s="1"/>
  <c r="E1257" i="32" s="1"/>
  <c r="K1261" i="32"/>
  <c r="L1259" i="32"/>
  <c r="M2624" i="27"/>
  <c r="A2624" i="27" s="1"/>
  <c r="M2625" i="27"/>
  <c r="A2625" i="27" s="1"/>
  <c r="Q1757" i="32"/>
  <c r="G1753" i="32"/>
  <c r="K1263" i="32" l="1"/>
  <c r="L1261" i="32"/>
  <c r="M1259" i="32" a="1"/>
  <c r="M1259" i="32" s="1"/>
  <c r="D1259" i="32" s="1"/>
  <c r="O1259" i="32" a="1"/>
  <c r="O1259" i="32" s="1"/>
  <c r="M2414" i="27" s="1"/>
  <c r="A2414" i="27" s="1"/>
  <c r="N1259" i="32" a="1"/>
  <c r="N1259" i="32" s="1"/>
  <c r="E1259" i="32" s="1"/>
  <c r="M2627" i="27"/>
  <c r="A2627" i="27" s="1"/>
  <c r="M2626" i="27"/>
  <c r="A2626" i="27" s="1"/>
  <c r="Q1759" i="32"/>
  <c r="G1755" i="32"/>
  <c r="A1757" i="32"/>
  <c r="A1759" i="32"/>
  <c r="M1261" i="32" l="1" a="1"/>
  <c r="M1261" i="32" s="1"/>
  <c r="D1261" i="32" s="1"/>
  <c r="N1261" i="32" a="1"/>
  <c r="N1261" i="32" s="1"/>
  <c r="E1261" i="32" s="1"/>
  <c r="O1261" i="32" a="1"/>
  <c r="O1261" i="32" s="1"/>
  <c r="M2415" i="27" s="1"/>
  <c r="A2415" i="27" s="1"/>
  <c r="K1265" i="32"/>
  <c r="L1263" i="32"/>
  <c r="M2628" i="27"/>
  <c r="A2628" i="27" s="1"/>
  <c r="M2629" i="27"/>
  <c r="A2629" i="27" s="1"/>
  <c r="Q1761" i="32"/>
  <c r="G1757" i="32"/>
  <c r="M1263" i="32" l="1" a="1"/>
  <c r="M1263" i="32" s="1"/>
  <c r="D1263" i="32" s="1"/>
  <c r="O1263" i="32" a="1"/>
  <c r="O1263" i="32" s="1"/>
  <c r="M2416" i="27" s="1"/>
  <c r="A2416" i="27" s="1"/>
  <c r="N1263" i="32" a="1"/>
  <c r="N1263" i="32" s="1"/>
  <c r="E1263" i="32" s="1"/>
  <c r="K1267" i="32"/>
  <c r="L1265" i="32"/>
  <c r="M2630" i="27"/>
  <c r="A2630" i="27" s="1"/>
  <c r="M2631" i="27"/>
  <c r="A2631" i="27" s="1"/>
  <c r="Q1763" i="32"/>
  <c r="G1759" i="32"/>
  <c r="A1761" i="32"/>
  <c r="A1763" i="32"/>
  <c r="N1265" i="32" l="1" a="1"/>
  <c r="N1265" i="32" s="1"/>
  <c r="E1265" i="32" s="1"/>
  <c r="M1265" i="32" a="1"/>
  <c r="M1265" i="32" s="1"/>
  <c r="D1265" i="32" s="1"/>
  <c r="O1265" i="32" a="1"/>
  <c r="O1265" i="32" s="1"/>
  <c r="M2417" i="27" s="1"/>
  <c r="A2417" i="27" s="1"/>
  <c r="K1269" i="32"/>
  <c r="L1267" i="32"/>
  <c r="M2633" i="27"/>
  <c r="A2633" i="27" s="1"/>
  <c r="M2632" i="27"/>
  <c r="A2632" i="27" s="1"/>
  <c r="Q1765" i="32"/>
  <c r="G1761" i="32"/>
  <c r="M1267" i="32" l="1" a="1"/>
  <c r="M1267" i="32" s="1"/>
  <c r="D1267" i="32" s="1"/>
  <c r="O1267" i="32" a="1"/>
  <c r="O1267" i="32" s="1"/>
  <c r="M2418" i="27" s="1"/>
  <c r="A2418" i="27" s="1"/>
  <c r="N1267" i="32" a="1"/>
  <c r="N1267" i="32" s="1"/>
  <c r="E1267" i="32" s="1"/>
  <c r="K1271" i="32"/>
  <c r="L1269" i="32"/>
  <c r="M2634" i="27"/>
  <c r="A2634" i="27" s="1"/>
  <c r="M2635" i="27"/>
  <c r="A2635" i="27" s="1"/>
  <c r="Q1767" i="32"/>
  <c r="A1767" i="32"/>
  <c r="G1763" i="32"/>
  <c r="A1765" i="32"/>
  <c r="O1269" i="32" l="1" a="1"/>
  <c r="O1269" i="32" s="1"/>
  <c r="M2419" i="27" s="1"/>
  <c r="A2419" i="27" s="1"/>
  <c r="N1269" i="32" a="1"/>
  <c r="N1269" i="32" s="1"/>
  <c r="E1269" i="32" s="1"/>
  <c r="M1269" i="32" a="1"/>
  <c r="M1269" i="32" s="1"/>
  <c r="D1269" i="32" s="1"/>
  <c r="K1273" i="32"/>
  <c r="L1271" i="32"/>
  <c r="M2637" i="27"/>
  <c r="A2637" i="27" s="1"/>
  <c r="M2636" i="27"/>
  <c r="A2636" i="27" s="1"/>
  <c r="Q1769" i="32"/>
  <c r="G1765" i="32"/>
  <c r="O1271" i="32" l="1" a="1"/>
  <c r="O1271" i="32" s="1"/>
  <c r="M2420" i="27" s="1"/>
  <c r="A2420" i="27" s="1"/>
  <c r="N1271" i="32" a="1"/>
  <c r="N1271" i="32" s="1"/>
  <c r="E1271" i="32" s="1"/>
  <c r="M1271" i="32" a="1"/>
  <c r="M1271" i="32" s="1"/>
  <c r="D1271" i="32" s="1"/>
  <c r="K1275" i="32"/>
  <c r="L1273" i="32"/>
  <c r="M2638" i="27"/>
  <c r="A2638" i="27" s="1"/>
  <c r="M2639" i="27"/>
  <c r="A2639" i="27" s="1"/>
  <c r="Q1771" i="32"/>
  <c r="G1767" i="32"/>
  <c r="A1771" i="32"/>
  <c r="A1769" i="32"/>
  <c r="N1273" i="32" l="1" a="1"/>
  <c r="N1273" i="32" s="1"/>
  <c r="E1273" i="32" s="1"/>
  <c r="M1273" i="32" a="1"/>
  <c r="M1273" i="32" s="1"/>
  <c r="D1273" i="32" s="1"/>
  <c r="O1273" i="32" a="1"/>
  <c r="O1273" i="32" s="1"/>
  <c r="M2421" i="27" s="1"/>
  <c r="A2421" i="27" s="1"/>
  <c r="K1277" i="32"/>
  <c r="L1275" i="32"/>
  <c r="M2640" i="27"/>
  <c r="A2640" i="27" s="1"/>
  <c r="M2641" i="27"/>
  <c r="A2641" i="27" s="1"/>
  <c r="Q1773" i="32"/>
  <c r="G1769" i="32"/>
  <c r="M1275" i="32" l="1" a="1"/>
  <c r="M1275" i="32" s="1"/>
  <c r="D1275" i="32" s="1"/>
  <c r="N1275" i="32" a="1"/>
  <c r="N1275" i="32" s="1"/>
  <c r="E1275" i="32" s="1"/>
  <c r="O1275" i="32" a="1"/>
  <c r="O1275" i="32" s="1"/>
  <c r="M2422" i="27" s="1"/>
  <c r="A2422" i="27" s="1"/>
  <c r="K1279" i="32"/>
  <c r="L1277" i="32"/>
  <c r="M2642" i="27"/>
  <c r="A2642" i="27" s="1"/>
  <c r="M2643" i="27"/>
  <c r="A2643" i="27" s="1"/>
  <c r="Q1775" i="32"/>
  <c r="G1771" i="32"/>
  <c r="A1773" i="32"/>
  <c r="A1775" i="32"/>
  <c r="N1277" i="32" l="1" a="1"/>
  <c r="N1277" i="32" s="1"/>
  <c r="E1277" i="32" s="1"/>
  <c r="O1277" i="32" a="1"/>
  <c r="O1277" i="32" s="1"/>
  <c r="M2423" i="27" s="1"/>
  <c r="A2423" i="27" s="1"/>
  <c r="M1277" i="32" a="1"/>
  <c r="M1277" i="32" s="1"/>
  <c r="D1277" i="32" s="1"/>
  <c r="K1281" i="32"/>
  <c r="L1279" i="32"/>
  <c r="M2644" i="27"/>
  <c r="A2644" i="27" s="1"/>
  <c r="M2645" i="27"/>
  <c r="A2645" i="27" s="1"/>
  <c r="Q1777" i="32"/>
  <c r="G1773" i="32"/>
  <c r="O1279" i="32" l="1" a="1"/>
  <c r="O1279" i="32" s="1"/>
  <c r="M2424" i="27" s="1"/>
  <c r="A2424" i="27" s="1"/>
  <c r="N1279" i="32" a="1"/>
  <c r="N1279" i="32" s="1"/>
  <c r="E1279" i="32" s="1"/>
  <c r="M1279" i="32" a="1"/>
  <c r="M1279" i="32" s="1"/>
  <c r="D1279" i="32" s="1"/>
  <c r="K1283" i="32"/>
  <c r="L1281" i="32"/>
  <c r="M2646" i="27"/>
  <c r="A2646" i="27" s="1"/>
  <c r="M2647" i="27"/>
  <c r="A2647" i="27" s="1"/>
  <c r="Q1779" i="32"/>
  <c r="G1775" i="32"/>
  <c r="A1779" i="32"/>
  <c r="A1777" i="32"/>
  <c r="N1281" i="32" l="1" a="1"/>
  <c r="N1281" i="32" s="1"/>
  <c r="E1281" i="32" s="1"/>
  <c r="M1281" i="32" a="1"/>
  <c r="M1281" i="32" s="1"/>
  <c r="D1281" i="32" s="1"/>
  <c r="O1281" i="32" a="1"/>
  <c r="O1281" i="32" s="1"/>
  <c r="M2425" i="27" s="1"/>
  <c r="A2425" i="27" s="1"/>
  <c r="K1285" i="32"/>
  <c r="L1283" i="32"/>
  <c r="M2649" i="27"/>
  <c r="A2649" i="27" s="1"/>
  <c r="M2648" i="27"/>
  <c r="A2648" i="27" s="1"/>
  <c r="Q1781" i="32"/>
  <c r="G1777" i="32"/>
  <c r="N1283" i="32" l="1" a="1"/>
  <c r="N1283" i="32" s="1"/>
  <c r="E1283" i="32" s="1"/>
  <c r="M1283" i="32" a="1"/>
  <c r="M1283" i="32" s="1"/>
  <c r="D1283" i="32" s="1"/>
  <c r="O1283" i="32" a="1"/>
  <c r="O1283" i="32" s="1"/>
  <c r="M2426" i="27" s="1"/>
  <c r="A2426" i="27" s="1"/>
  <c r="K1287" i="32"/>
  <c r="L1285" i="32"/>
  <c r="M2651" i="27"/>
  <c r="A2651" i="27" s="1"/>
  <c r="M2650" i="27"/>
  <c r="A2650" i="27" s="1"/>
  <c r="Q1783" i="32"/>
  <c r="A1781" i="32"/>
  <c r="A1783" i="32"/>
  <c r="G1779" i="32"/>
  <c r="N1285" i="32" l="1" a="1"/>
  <c r="N1285" i="32" s="1"/>
  <c r="E1285" i="32" s="1"/>
  <c r="M1285" i="32" a="1"/>
  <c r="M1285" i="32" s="1"/>
  <c r="D1285" i="32" s="1"/>
  <c r="O1285" i="32" a="1"/>
  <c r="O1285" i="32" s="1"/>
  <c r="M2427" i="27" s="1"/>
  <c r="A2427" i="27" s="1"/>
  <c r="K1289" i="32"/>
  <c r="L1287" i="32"/>
  <c r="M2653" i="27"/>
  <c r="A2653" i="27" s="1"/>
  <c r="M2652" i="27"/>
  <c r="A2652" i="27" s="1"/>
  <c r="Q1785" i="32"/>
  <c r="G1781" i="32"/>
  <c r="O1287" i="32" l="1" a="1"/>
  <c r="O1287" i="32" s="1"/>
  <c r="M2428" i="27" s="1"/>
  <c r="A2428" i="27" s="1"/>
  <c r="M1287" i="32" a="1"/>
  <c r="M1287" i="32" s="1"/>
  <c r="D1287" i="32" s="1"/>
  <c r="N1287" i="32" a="1"/>
  <c r="N1287" i="32" s="1"/>
  <c r="E1287" i="32" s="1"/>
  <c r="K1291" i="32"/>
  <c r="L1289" i="32"/>
  <c r="M2655" i="27"/>
  <c r="A2655" i="27" s="1"/>
  <c r="M2654" i="27"/>
  <c r="A2654" i="27" s="1"/>
  <c r="Q1787" i="32"/>
  <c r="A1787" i="32"/>
  <c r="A1785" i="32"/>
  <c r="G1783" i="32"/>
  <c r="N1289" i="32" l="1" a="1"/>
  <c r="N1289" i="32" s="1"/>
  <c r="E1289" i="32" s="1"/>
  <c r="O1289" i="32" a="1"/>
  <c r="O1289" i="32" s="1"/>
  <c r="M2429" i="27" s="1"/>
  <c r="A2429" i="27" s="1"/>
  <c r="M1289" i="32" a="1"/>
  <c r="M1289" i="32" s="1"/>
  <c r="D1289" i="32" s="1"/>
  <c r="K1293" i="32"/>
  <c r="L1291" i="32"/>
  <c r="M2656" i="27"/>
  <c r="A2656" i="27" s="1"/>
  <c r="M2657" i="27"/>
  <c r="A2657" i="27" s="1"/>
  <c r="Q1789" i="32"/>
  <c r="G1785" i="32"/>
  <c r="M1291" i="32" l="1" a="1"/>
  <c r="M1291" i="32" s="1"/>
  <c r="D1291" i="32" s="1"/>
  <c r="N1291" i="32" a="1"/>
  <c r="N1291" i="32" s="1"/>
  <c r="E1291" i="32" s="1"/>
  <c r="O1291" i="32" a="1"/>
  <c r="O1291" i="32" s="1"/>
  <c r="M2430" i="27" s="1"/>
  <c r="A2430" i="27" s="1"/>
  <c r="K1295" i="32"/>
  <c r="L1293" i="32"/>
  <c r="M2658" i="27"/>
  <c r="A2658" i="27" s="1"/>
  <c r="M2659" i="27"/>
  <c r="A2659" i="27" s="1"/>
  <c r="Q1791" i="32"/>
  <c r="G1787" i="32"/>
  <c r="A1791" i="32"/>
  <c r="A1789" i="32"/>
  <c r="O1293" i="32" l="1" a="1"/>
  <c r="O1293" i="32" s="1"/>
  <c r="M2431" i="27" s="1"/>
  <c r="A2431" i="27" s="1"/>
  <c r="M1293" i="32" a="1"/>
  <c r="M1293" i="32" s="1"/>
  <c r="D1293" i="32" s="1"/>
  <c r="N1293" i="32" a="1"/>
  <c r="N1293" i="32" s="1"/>
  <c r="E1293" i="32" s="1"/>
  <c r="K1297" i="32"/>
  <c r="L1295" i="32"/>
  <c r="M2661" i="27"/>
  <c r="A2661" i="27" s="1"/>
  <c r="M2660" i="27"/>
  <c r="A2660" i="27" s="1"/>
  <c r="Q1793" i="32"/>
  <c r="G1789" i="32"/>
  <c r="O1295" i="32" l="1" a="1"/>
  <c r="O1295" i="32" s="1"/>
  <c r="M2432" i="27" s="1"/>
  <c r="A2432" i="27" s="1"/>
  <c r="N1295" i="32" a="1"/>
  <c r="N1295" i="32" s="1"/>
  <c r="E1295" i="32" s="1"/>
  <c r="M1295" i="32" a="1"/>
  <c r="M1295" i="32" s="1"/>
  <c r="D1295" i="32" s="1"/>
  <c r="K1299" i="32"/>
  <c r="L1297" i="32"/>
  <c r="M2662" i="27"/>
  <c r="A2662" i="27" s="1"/>
  <c r="M2663" i="27"/>
  <c r="A2663" i="27" s="1"/>
  <c r="Q1795" i="32"/>
  <c r="G1791" i="32"/>
  <c r="A1793" i="32"/>
  <c r="A1795" i="32"/>
  <c r="M1297" i="32" l="1" a="1"/>
  <c r="M1297" i="32" s="1"/>
  <c r="D1297" i="32" s="1"/>
  <c r="N1297" i="32" a="1"/>
  <c r="N1297" i="32" s="1"/>
  <c r="E1297" i="32" s="1"/>
  <c r="O1297" i="32" a="1"/>
  <c r="O1297" i="32" s="1"/>
  <c r="M2433" i="27" s="1"/>
  <c r="A2433" i="27" s="1"/>
  <c r="K1301" i="32"/>
  <c r="L1299" i="32"/>
  <c r="M2665" i="27"/>
  <c r="A2665" i="27" s="1"/>
  <c r="M2664" i="27"/>
  <c r="A2664" i="27" s="1"/>
  <c r="Q1797" i="32"/>
  <c r="G1793" i="32"/>
  <c r="K1303" i="32" l="1"/>
  <c r="L1301" i="32"/>
  <c r="O1299" i="32" a="1"/>
  <c r="O1299" i="32" s="1"/>
  <c r="M2434" i="27" s="1"/>
  <c r="A2434" i="27" s="1"/>
  <c r="N1299" i="32" a="1"/>
  <c r="N1299" i="32" s="1"/>
  <c r="E1299" i="32" s="1"/>
  <c r="M1299" i="32" a="1"/>
  <c r="M1299" i="32" s="1"/>
  <c r="D1299" i="32" s="1"/>
  <c r="M2666" i="27"/>
  <c r="A2666" i="27" s="1"/>
  <c r="M2667" i="27"/>
  <c r="A2667" i="27" s="1"/>
  <c r="Q1799" i="32"/>
  <c r="A1799" i="32"/>
  <c r="A1797" i="32"/>
  <c r="G1795" i="32"/>
  <c r="O1301" i="32" l="1" a="1"/>
  <c r="O1301" i="32" s="1"/>
  <c r="M2435" i="27" s="1"/>
  <c r="A2435" i="27" s="1"/>
  <c r="M1301" i="32" a="1"/>
  <c r="M1301" i="32" s="1"/>
  <c r="D1301" i="32" s="1"/>
  <c r="N1301" i="32" a="1"/>
  <c r="N1301" i="32" s="1"/>
  <c r="E1301" i="32" s="1"/>
  <c r="K1305" i="32"/>
  <c r="L1303" i="32"/>
  <c r="M2668" i="27"/>
  <c r="A2668" i="27" s="1"/>
  <c r="M2669" i="27"/>
  <c r="A2669" i="27" s="1"/>
  <c r="Q1801" i="32"/>
  <c r="G1797" i="32"/>
  <c r="M1303" i="32" l="1" a="1"/>
  <c r="M1303" i="32" s="1"/>
  <c r="D1303" i="32" s="1"/>
  <c r="O1303" i="32" a="1"/>
  <c r="O1303" i="32" s="1"/>
  <c r="M2436" i="27" s="1"/>
  <c r="A2436" i="27" s="1"/>
  <c r="N1303" i="32" a="1"/>
  <c r="N1303" i="32" s="1"/>
  <c r="E1303" i="32" s="1"/>
  <c r="K1307" i="32"/>
  <c r="L1305" i="32"/>
  <c r="M2671" i="27"/>
  <c r="A2671" i="27" s="1"/>
  <c r="M2670" i="27"/>
  <c r="A2670" i="27" s="1"/>
  <c r="Q1803" i="32"/>
  <c r="G1799" i="32"/>
  <c r="A1801" i="32"/>
  <c r="A1803" i="32"/>
  <c r="N1305" i="32" l="1" a="1"/>
  <c r="N1305" i="32" s="1"/>
  <c r="E1305" i="32" s="1"/>
  <c r="M1305" i="32" a="1"/>
  <c r="M1305" i="32" s="1"/>
  <c r="D1305" i="32" s="1"/>
  <c r="O1305" i="32" a="1"/>
  <c r="O1305" i="32" s="1"/>
  <c r="M2437" i="27" s="1"/>
  <c r="A2437" i="27" s="1"/>
  <c r="K1309" i="32"/>
  <c r="L1307" i="32"/>
  <c r="M2672" i="27"/>
  <c r="A2672" i="27" s="1"/>
  <c r="M2673" i="27"/>
  <c r="A2673" i="27" s="1"/>
  <c r="Q1805" i="32"/>
  <c r="G1801" i="32"/>
  <c r="O1307" i="32" l="1" a="1"/>
  <c r="O1307" i="32" s="1"/>
  <c r="M2438" i="27" s="1"/>
  <c r="A2438" i="27" s="1"/>
  <c r="M1307" i="32" a="1"/>
  <c r="M1307" i="32" s="1"/>
  <c r="D1307" i="32" s="1"/>
  <c r="N1307" i="32" a="1"/>
  <c r="N1307" i="32" s="1"/>
  <c r="E1307" i="32" s="1"/>
  <c r="K1311" i="32"/>
  <c r="L1309" i="32"/>
  <c r="M2675" i="27"/>
  <c r="A2675" i="27" s="1"/>
  <c r="M2674" i="27"/>
  <c r="A2674" i="27" s="1"/>
  <c r="Q1807" i="32"/>
  <c r="G1803" i="32"/>
  <c r="A1807" i="32"/>
  <c r="A1805" i="32"/>
  <c r="M1309" i="32" l="1" a="1"/>
  <c r="M1309" i="32" s="1"/>
  <c r="D1309" i="32" s="1"/>
  <c r="N1309" i="32" a="1"/>
  <c r="N1309" i="32" s="1"/>
  <c r="E1309" i="32" s="1"/>
  <c r="O1309" i="32" a="1"/>
  <c r="O1309" i="32" s="1"/>
  <c r="M2439" i="27" s="1"/>
  <c r="A2439" i="27" s="1"/>
  <c r="K1313" i="32"/>
  <c r="L1311" i="32"/>
  <c r="M2676" i="27"/>
  <c r="A2676" i="27" s="1"/>
  <c r="M2677" i="27"/>
  <c r="A2677" i="27" s="1"/>
  <c r="Q1809" i="32"/>
  <c r="G1805" i="32"/>
  <c r="M1311" i="32" l="1" a="1"/>
  <c r="M1311" i="32" s="1"/>
  <c r="D1311" i="32" s="1"/>
  <c r="O1311" i="32" a="1"/>
  <c r="O1311" i="32" s="1"/>
  <c r="M2440" i="27" s="1"/>
  <c r="A2440" i="27" s="1"/>
  <c r="N1311" i="32" a="1"/>
  <c r="N1311" i="32" s="1"/>
  <c r="E1311" i="32" s="1"/>
  <c r="K1315" i="32"/>
  <c r="L1313" i="32"/>
  <c r="M2678" i="27"/>
  <c r="A2678" i="27" s="1"/>
  <c r="M2679" i="27"/>
  <c r="A2679" i="27" s="1"/>
  <c r="Q1811" i="32"/>
  <c r="G1807" i="32"/>
  <c r="A1811" i="32"/>
  <c r="A1809" i="32"/>
  <c r="O1313" i="32" l="1" a="1"/>
  <c r="O1313" i="32" s="1"/>
  <c r="M2441" i="27" s="1"/>
  <c r="A2441" i="27" s="1"/>
  <c r="M1313" i="32" a="1"/>
  <c r="M1313" i="32" s="1"/>
  <c r="D1313" i="32" s="1"/>
  <c r="N1313" i="32" a="1"/>
  <c r="N1313" i="32" s="1"/>
  <c r="E1313" i="32" s="1"/>
  <c r="K1317" i="32"/>
  <c r="L1315" i="32"/>
  <c r="M2680" i="27"/>
  <c r="A2680" i="27" s="1"/>
  <c r="M2681" i="27"/>
  <c r="A2681" i="27" s="1"/>
  <c r="Q1813" i="32"/>
  <c r="G1809" i="32"/>
  <c r="O1315" i="32" l="1" a="1"/>
  <c r="O1315" i="32" s="1"/>
  <c r="M2442" i="27" s="1"/>
  <c r="A2442" i="27" s="1"/>
  <c r="M1315" i="32" a="1"/>
  <c r="M1315" i="32" s="1"/>
  <c r="D1315" i="32" s="1"/>
  <c r="N1315" i="32" a="1"/>
  <c r="N1315" i="32" s="1"/>
  <c r="E1315" i="32" s="1"/>
  <c r="K1319" i="32"/>
  <c r="L1317" i="32"/>
  <c r="M2683" i="27"/>
  <c r="A2683" i="27" s="1"/>
  <c r="M2682" i="27"/>
  <c r="A2682" i="27" s="1"/>
  <c r="Q1815" i="32"/>
  <c r="A1815" i="32"/>
  <c r="A1813" i="32"/>
  <c r="G1811" i="32"/>
  <c r="O1317" i="32" l="1" a="1"/>
  <c r="O1317" i="32" s="1"/>
  <c r="M2443" i="27" s="1"/>
  <c r="A2443" i="27" s="1"/>
  <c r="M1317" i="32" a="1"/>
  <c r="M1317" i="32" s="1"/>
  <c r="D1317" i="32" s="1"/>
  <c r="N1317" i="32" a="1"/>
  <c r="N1317" i="32" s="1"/>
  <c r="E1317" i="32" s="1"/>
  <c r="K1321" i="32"/>
  <c r="L1319" i="32"/>
  <c r="M2684" i="27"/>
  <c r="A2684" i="27" s="1"/>
  <c r="M2685" i="27"/>
  <c r="A2685" i="27" s="1"/>
  <c r="Q1817" i="32"/>
  <c r="G1813" i="32"/>
  <c r="M1319" i="32" l="1" a="1"/>
  <c r="M1319" i="32" s="1"/>
  <c r="D1319" i="32" s="1"/>
  <c r="O1319" i="32" a="1"/>
  <c r="O1319" i="32" s="1"/>
  <c r="M2444" i="27" s="1"/>
  <c r="A2444" i="27" s="1"/>
  <c r="N1319" i="32" a="1"/>
  <c r="N1319" i="32" s="1"/>
  <c r="E1319" i="32" s="1"/>
  <c r="K1323" i="32"/>
  <c r="L1321" i="32"/>
  <c r="M2686" i="27"/>
  <c r="A2686" i="27" s="1"/>
  <c r="M2687" i="27"/>
  <c r="A2687" i="27" s="1"/>
  <c r="Q1819" i="32"/>
  <c r="BT9" i="31"/>
  <c r="BV9" i="31" s="1"/>
  <c r="BA9" i="31" s="1"/>
  <c r="B5" i="31" s="1"/>
  <c r="A1817" i="32"/>
  <c r="G1815" i="32"/>
  <c r="A1819" i="32"/>
  <c r="M1321" i="32" l="1" a="1"/>
  <c r="M1321" i="32" s="1"/>
  <c r="D1321" i="32" s="1"/>
  <c r="N1321" i="32" a="1"/>
  <c r="N1321" i="32" s="1"/>
  <c r="E1321" i="32" s="1"/>
  <c r="F2445" i="27" s="1"/>
  <c r="O1321" i="32" a="1"/>
  <c r="O1321" i="32" s="1"/>
  <c r="M2445" i="27" s="1"/>
  <c r="A2445" i="27" s="1"/>
  <c r="K1325" i="32"/>
  <c r="L1323" i="32"/>
  <c r="M2689" i="27"/>
  <c r="A2689" i="27" s="1"/>
  <c r="H2662" i="27"/>
  <c r="H2649" i="27"/>
  <c r="H2394" i="27"/>
  <c r="H2421" i="27"/>
  <c r="H2370" i="27"/>
  <c r="H2582" i="27"/>
  <c r="H2659" i="27"/>
  <c r="H2534" i="27"/>
  <c r="H2560" i="27"/>
  <c r="H2437" i="27"/>
  <c r="H2643" i="27"/>
  <c r="H2621" i="27"/>
  <c r="H2553" i="27"/>
  <c r="H2491" i="27"/>
  <c r="H2365" i="27"/>
  <c r="H2470" i="27"/>
  <c r="H2431" i="27"/>
  <c r="H2369" i="27"/>
  <c r="H2492" i="27"/>
  <c r="H2572" i="27"/>
  <c r="H2670" i="27"/>
  <c r="H2379" i="27"/>
  <c r="H2422" i="27"/>
  <c r="H2693" i="27"/>
  <c r="H2471" i="27"/>
  <c r="H2522" i="27"/>
  <c r="H2532" i="27"/>
  <c r="H2445" i="27"/>
  <c r="H2503" i="27"/>
  <c r="H2467" i="27"/>
  <c r="H2498" i="27"/>
  <c r="H2599" i="27"/>
  <c r="H2539" i="27"/>
  <c r="H2542" i="27"/>
  <c r="H2423" i="27"/>
  <c r="H2412" i="27"/>
  <c r="H2686" i="27"/>
  <c r="H2603" i="27"/>
  <c r="H2442" i="27"/>
  <c r="H2562" i="27"/>
  <c r="H2403" i="27"/>
  <c r="H2501" i="27"/>
  <c r="H2544" i="27"/>
  <c r="H2425" i="27"/>
  <c r="H2623" i="27"/>
  <c r="H2608" i="27"/>
  <c r="H2565" i="27"/>
  <c r="H2481" i="27"/>
  <c r="H2636" i="27"/>
  <c r="H2677" i="27"/>
  <c r="H2418" i="27"/>
  <c r="H2613" i="27"/>
  <c r="H2387" i="27"/>
  <c r="H2401" i="27"/>
  <c r="H2679" i="27"/>
  <c r="H2509" i="27"/>
  <c r="H2416" i="27"/>
  <c r="H2559" i="27"/>
  <c r="H2556" i="27"/>
  <c r="H2444" i="27"/>
  <c r="H2363" i="27"/>
  <c r="H2390" i="27"/>
  <c r="H2648" i="27"/>
  <c r="H2473" i="27"/>
  <c r="H2558" i="27"/>
  <c r="H2657" i="27"/>
  <c r="H2547" i="27"/>
  <c r="H2404" i="27"/>
  <c r="H2441" i="27"/>
  <c r="H2614" i="27"/>
  <c r="H2463" i="27"/>
  <c r="H2598" i="27"/>
  <c r="H2393" i="27"/>
  <c r="H2457" i="27"/>
  <c r="H2620" i="27"/>
  <c r="H2535" i="27"/>
  <c r="H2440" i="27"/>
  <c r="H2371" i="27"/>
  <c r="H2512" i="27"/>
  <c r="H2377" i="27"/>
  <c r="H2505" i="27"/>
  <c r="H2513" i="27"/>
  <c r="H2499" i="27"/>
  <c r="H2567" i="27"/>
  <c r="H2581" i="27"/>
  <c r="H2555" i="27"/>
  <c r="H2628" i="27"/>
  <c r="H2381" i="27"/>
  <c r="H2635" i="27"/>
  <c r="H2633" i="27"/>
  <c r="H2392" i="27"/>
  <c r="H2615" i="27"/>
  <c r="H2410" i="27"/>
  <c r="H2460" i="27"/>
  <c r="H2692" i="27"/>
  <c r="H2496" i="27"/>
  <c r="H2602" i="27"/>
  <c r="H2595" i="27"/>
  <c r="H2523" i="27"/>
  <c r="H2681" i="27"/>
  <c r="H2673" i="27"/>
  <c r="H2362" i="27"/>
  <c r="H2424" i="27"/>
  <c r="H2417" i="27"/>
  <c r="H2487" i="27"/>
  <c r="H2461" i="27"/>
  <c r="H2448" i="27"/>
  <c r="H2384" i="27"/>
  <c r="H2668" i="27"/>
  <c r="H2571" i="27"/>
  <c r="H2458" i="27"/>
  <c r="H2382" i="27"/>
  <c r="H2629" i="27"/>
  <c r="H2653" i="27"/>
  <c r="H2647" i="27"/>
  <c r="H2405" i="27"/>
  <c r="H2684" i="27"/>
  <c r="H2436" i="27"/>
  <c r="H2624" i="27"/>
  <c r="H2530" i="27"/>
  <c r="H2517" i="27"/>
  <c r="H2411" i="27"/>
  <c r="H2426" i="27"/>
  <c r="H2646" i="27"/>
  <c r="H2540" i="27"/>
  <c r="H2550" i="27"/>
  <c r="H2617" i="27"/>
  <c r="H2502" i="27"/>
  <c r="H2541" i="27"/>
  <c r="H2489" i="27"/>
  <c r="H2474" i="27"/>
  <c r="H2683" i="27"/>
  <c r="H2428" i="27"/>
  <c r="H2665" i="27"/>
  <c r="H2413" i="27"/>
  <c r="H2674" i="27"/>
  <c r="H2490" i="27"/>
  <c r="H2500" i="27"/>
  <c r="H2483" i="27"/>
  <c r="H2507" i="27"/>
  <c r="H2569" i="27"/>
  <c r="H2388" i="27"/>
  <c r="H2372" i="27"/>
  <c r="H2549" i="27"/>
  <c r="H2397" i="27"/>
  <c r="H2528" i="27"/>
  <c r="H2360" i="27"/>
  <c r="H2605" i="27"/>
  <c r="H2386" i="27"/>
  <c r="H2385" i="27"/>
  <c r="H2520" i="27"/>
  <c r="H2464" i="27"/>
  <c r="H2409" i="27"/>
  <c r="H2570" i="27"/>
  <c r="H2594" i="27"/>
  <c r="H2590" i="27"/>
  <c r="H2574" i="27"/>
  <c r="H2552" i="27"/>
  <c r="H2402" i="27"/>
  <c r="H2604" i="27"/>
  <c r="H2577" i="27"/>
  <c r="H2606" i="27"/>
  <c r="H2543" i="27"/>
  <c r="H2619" i="27"/>
  <c r="H2449" i="27"/>
  <c r="H2364" i="27"/>
  <c r="H2690" i="27"/>
  <c r="H2664" i="27"/>
  <c r="H2533" i="27"/>
  <c r="H2536" i="27"/>
  <c r="H2641" i="27"/>
  <c r="H2462" i="27"/>
  <c r="H2367" i="27"/>
  <c r="H2607" i="27"/>
  <c r="H2391" i="27"/>
  <c r="H2592" i="27"/>
  <c r="H2518" i="27"/>
  <c r="H2420" i="27"/>
  <c r="H2453" i="27"/>
  <c r="H2478" i="27"/>
  <c r="H2361" i="27"/>
  <c r="H2651" i="27"/>
  <c r="H2399" i="27"/>
  <c r="H2398" i="27"/>
  <c r="H2551" i="27"/>
  <c r="H2486" i="27"/>
  <c r="H2375" i="27"/>
  <c r="H2632" i="27"/>
  <c r="H2583" i="27"/>
  <c r="H2524" i="27"/>
  <c r="H2396" i="27"/>
  <c r="H2585" i="27"/>
  <c r="H2408" i="27"/>
  <c r="H2625" i="27"/>
  <c r="H2655" i="27"/>
  <c r="H2638" i="27"/>
  <c r="H2627" i="27"/>
  <c r="H2545" i="27"/>
  <c r="H2519" i="27"/>
  <c r="H2554" i="27"/>
  <c r="H2667" i="27"/>
  <c r="H2568" i="27"/>
  <c r="H2637" i="27"/>
  <c r="H2459" i="27"/>
  <c r="H2537" i="27"/>
  <c r="H2374" i="27"/>
  <c r="H2691" i="27"/>
  <c r="H2661" i="27"/>
  <c r="H2564" i="27"/>
  <c r="H2438" i="27"/>
  <c r="H2433" i="27"/>
  <c r="H2514" i="27"/>
  <c r="H2658" i="27"/>
  <c r="H2432" i="27"/>
  <c r="H2548" i="27"/>
  <c r="H2373" i="27"/>
  <c r="H2407" i="27"/>
  <c r="H2419" i="27"/>
  <c r="H2538" i="27"/>
  <c r="H2443" i="27"/>
  <c r="H2447" i="27"/>
  <c r="H2479" i="27"/>
  <c r="H2429" i="27"/>
  <c r="H2596" i="27"/>
  <c r="H2383" i="27"/>
  <c r="H2557" i="27"/>
  <c r="H2469" i="27"/>
  <c r="H2488" i="27"/>
  <c r="H2687" i="27"/>
  <c r="H2584" i="27"/>
  <c r="H2630" i="27"/>
  <c r="H2414" i="27"/>
  <c r="H2456" i="27"/>
  <c r="H2685" i="27"/>
  <c r="H2634" i="27"/>
  <c r="H2521" i="27"/>
  <c r="H2678" i="27"/>
  <c r="H2639" i="27"/>
  <c r="H2642" i="27"/>
  <c r="H2485" i="27"/>
  <c r="H2593" i="27"/>
  <c r="H2671" i="27"/>
  <c r="H2378" i="27"/>
  <c r="H2688" i="27"/>
  <c r="H2576" i="27"/>
  <c r="H2455" i="27"/>
  <c r="H2609" i="27"/>
  <c r="H2531" i="27"/>
  <c r="H2435" i="27"/>
  <c r="H2439" i="27"/>
  <c r="H2466" i="27"/>
  <c r="H2676" i="27"/>
  <c r="H2610" i="27"/>
  <c r="H2406" i="27"/>
  <c r="H2675" i="27"/>
  <c r="H2672" i="27"/>
  <c r="H2472" i="27"/>
  <c r="H2510" i="27"/>
  <c r="H2587" i="27"/>
  <c r="H2563" i="27"/>
  <c r="H2631" i="27"/>
  <c r="H2626" i="27"/>
  <c r="H2475" i="27"/>
  <c r="H2682" i="27"/>
  <c r="H2476" i="27"/>
  <c r="H2434" i="27"/>
  <c r="H2654" i="27"/>
  <c r="H2511" i="27"/>
  <c r="H2516" i="27"/>
  <c r="H2468" i="27"/>
  <c r="H2575" i="27"/>
  <c r="H2427" i="27"/>
  <c r="H2669" i="27"/>
  <c r="H2611" i="27"/>
  <c r="H2480" i="27"/>
  <c r="H2600" i="27"/>
  <c r="H2680" i="27"/>
  <c r="H2546" i="27"/>
  <c r="H2561" i="27"/>
  <c r="H2465" i="27"/>
  <c r="H2526" i="27"/>
  <c r="H2663" i="27"/>
  <c r="H2395" i="27"/>
  <c r="H2506" i="27"/>
  <c r="H2430" i="27"/>
  <c r="H2597" i="27"/>
  <c r="H2415" i="27"/>
  <c r="H2640" i="27"/>
  <c r="H2579" i="27"/>
  <c r="H2380" i="27"/>
  <c r="H2622" i="27"/>
  <c r="H2454" i="27"/>
  <c r="H2666" i="27"/>
  <c r="H2525" i="27"/>
  <c r="H2601" i="27"/>
  <c r="H2566" i="27"/>
  <c r="H2616" i="27"/>
  <c r="H2580" i="27"/>
  <c r="H2578" i="27"/>
  <c r="H2650" i="27"/>
  <c r="H2656" i="27"/>
  <c r="H2450" i="27"/>
  <c r="H2508" i="27"/>
  <c r="H2368" i="27"/>
  <c r="H2482" i="27"/>
  <c r="H2660" i="27"/>
  <c r="H2366" i="27"/>
  <c r="H2515" i="27"/>
  <c r="H2493" i="27"/>
  <c r="H2477" i="27"/>
  <c r="H2400" i="27"/>
  <c r="H2497" i="27"/>
  <c r="H2644" i="27"/>
  <c r="H2689" i="27"/>
  <c r="H2589" i="27"/>
  <c r="H2446" i="27"/>
  <c r="H2495" i="27"/>
  <c r="H2376" i="27"/>
  <c r="H2618" i="27"/>
  <c r="H2529" i="27"/>
  <c r="H2389" i="27"/>
  <c r="H2573" i="27"/>
  <c r="H2612" i="27"/>
  <c r="H2452" i="27"/>
  <c r="H2484" i="27"/>
  <c r="H2586" i="27"/>
  <c r="H2591" i="27"/>
  <c r="H2504" i="27"/>
  <c r="H2694" i="27"/>
  <c r="H2645" i="27"/>
  <c r="H2588" i="27"/>
  <c r="H2652" i="27"/>
  <c r="H2451" i="27"/>
  <c r="H2494" i="27"/>
  <c r="H2527" i="27"/>
  <c r="M2688" i="27"/>
  <c r="A2688" i="27" s="1"/>
  <c r="M2690" i="27"/>
  <c r="A2690" i="27" s="1"/>
  <c r="F2368" i="27"/>
  <c r="F2624" i="27"/>
  <c r="F2638" i="27"/>
  <c r="F2416" i="27"/>
  <c r="F2496" i="27"/>
  <c r="F2576" i="27"/>
  <c r="F2654" i="27"/>
  <c r="F2432" i="27"/>
  <c r="F2610" i="27"/>
  <c r="F2376" i="27"/>
  <c r="F2392" i="27"/>
  <c r="F2584" i="27"/>
  <c r="G2488" i="27"/>
  <c r="F2688" i="27"/>
  <c r="F2616" i="27"/>
  <c r="F2680" i="27"/>
  <c r="G2424" i="27"/>
  <c r="F2686" i="27"/>
  <c r="F2648" i="27"/>
  <c r="F2384" i="27"/>
  <c r="F2664" i="27"/>
  <c r="F2662" i="27"/>
  <c r="F2408" i="27"/>
  <c r="F2400" i="27"/>
  <c r="F2632" i="27"/>
  <c r="F2360" i="27"/>
  <c r="F2656" i="27"/>
  <c r="F2678" i="27"/>
  <c r="F2592" i="27"/>
  <c r="F2600" i="27"/>
  <c r="G2456" i="27"/>
  <c r="F2622" i="27"/>
  <c r="F2640" i="27"/>
  <c r="F2614" i="27"/>
  <c r="F2440" i="27"/>
  <c r="F2674" i="27"/>
  <c r="J2625" i="27"/>
  <c r="G2529" i="27"/>
  <c r="N2471" i="27"/>
  <c r="G2563" i="27"/>
  <c r="G2374" i="27"/>
  <c r="K2456" i="27"/>
  <c r="J2465" i="27"/>
  <c r="E2534" i="27"/>
  <c r="K2603" i="27"/>
  <c r="K2438" i="27"/>
  <c r="E2610" i="27"/>
  <c r="F2406" i="27"/>
  <c r="N2537" i="27"/>
  <c r="N2451" i="27"/>
  <c r="F2410" i="27"/>
  <c r="I2461" i="27"/>
  <c r="E2561" i="27"/>
  <c r="J2483" i="27"/>
  <c r="G2580" i="27"/>
  <c r="E2513" i="27"/>
  <c r="K2545" i="27"/>
  <c r="E2435" i="27"/>
  <c r="K2563" i="27"/>
  <c r="N2433" i="27"/>
  <c r="F2628" i="27"/>
  <c r="I2588" i="27"/>
  <c r="N2365" i="27"/>
  <c r="F2591" i="27"/>
  <c r="I2560" i="27"/>
  <c r="G2620" i="27"/>
  <c r="G2666" i="27"/>
  <c r="J2428" i="27"/>
  <c r="N2584" i="27"/>
  <c r="J2493" i="27"/>
  <c r="N2417" i="27"/>
  <c r="K2441" i="27"/>
  <c r="N2366" i="27"/>
  <c r="G2388" i="27"/>
  <c r="N2531" i="27"/>
  <c r="G2546" i="27"/>
  <c r="F2388" i="27"/>
  <c r="N2541" i="27"/>
  <c r="E2500" i="27"/>
  <c r="E2410" i="27"/>
  <c r="N2403" i="27"/>
  <c r="I2566" i="27"/>
  <c r="I2690" i="27"/>
  <c r="I2382" i="27"/>
  <c r="I2501" i="27"/>
  <c r="K2589" i="27"/>
  <c r="N2390" i="27"/>
  <c r="N2436" i="27"/>
  <c r="J2687" i="27"/>
  <c r="I2536" i="27"/>
  <c r="J2604" i="27"/>
  <c r="N2553" i="27"/>
  <c r="I2630" i="27"/>
  <c r="F2629" i="27"/>
  <c r="F2365" i="27"/>
  <c r="K2558" i="27"/>
  <c r="I2441" i="27"/>
  <c r="F2660" i="27"/>
  <c r="N2596" i="27"/>
  <c r="K2409" i="27"/>
  <c r="G2499" i="27"/>
  <c r="E2451" i="27"/>
  <c r="G2681" i="27"/>
  <c r="F2669" i="27"/>
  <c r="G2691" i="27"/>
  <c r="K2590" i="27"/>
  <c r="I2471" i="27"/>
  <c r="K2471" i="27"/>
  <c r="K2382" i="27"/>
  <c r="E2609" i="27"/>
  <c r="J2529" i="27"/>
  <c r="G2675" i="27"/>
  <c r="N2362" i="27"/>
  <c r="I2486" i="27"/>
  <c r="E2532" i="27"/>
  <c r="N2422" i="27"/>
  <c r="J2489" i="27"/>
  <c r="K2398" i="27"/>
  <c r="K2593" i="27"/>
  <c r="J2692" i="27"/>
  <c r="I2366" i="27"/>
  <c r="E2606" i="27"/>
  <c r="K2620" i="27"/>
  <c r="G2565" i="27"/>
  <c r="E2453" i="27"/>
  <c r="F2642" i="27"/>
  <c r="N2626" i="27"/>
  <c r="K2418" i="27"/>
  <c r="K2688" i="27"/>
  <c r="E2433" i="27"/>
  <c r="G2586" i="27"/>
  <c r="I2520" i="27"/>
  <c r="E2553" i="27"/>
  <c r="I2528" i="27"/>
  <c r="J2504" i="27"/>
  <c r="E2411" i="27"/>
  <c r="I2425" i="27"/>
  <c r="K2547" i="27"/>
  <c r="J2377" i="27"/>
  <c r="J2569" i="27"/>
  <c r="F2621" i="27"/>
  <c r="K2610" i="27"/>
  <c r="I2682" i="27"/>
  <c r="G2504" i="27"/>
  <c r="G2646" i="27"/>
  <c r="I2631" i="27"/>
  <c r="G2395" i="27"/>
  <c r="N2619" i="27"/>
  <c r="I2515" i="27"/>
  <c r="I2489" i="27"/>
  <c r="E2498" i="27"/>
  <c r="I2534" i="27"/>
  <c r="E2674" i="27"/>
  <c r="G2618" i="27"/>
  <c r="E2434" i="27"/>
  <c r="G2400" i="27"/>
  <c r="F2651" i="27"/>
  <c r="J2542" i="27"/>
  <c r="K2518" i="27"/>
  <c r="F2439" i="27"/>
  <c r="E2638" i="27"/>
  <c r="J2414" i="27"/>
  <c r="K2544" i="27"/>
  <c r="K2653" i="27"/>
  <c r="K2657" i="27"/>
  <c r="J2368" i="27"/>
  <c r="J2400" i="27"/>
  <c r="K2447" i="27"/>
  <c r="E2378" i="27"/>
  <c r="G2630" i="27"/>
  <c r="G2414" i="27"/>
  <c r="G2416" i="27"/>
  <c r="K2534" i="27"/>
  <c r="F2390" i="27"/>
  <c r="N2574" i="27"/>
  <c r="K2629" i="27"/>
  <c r="N2603" i="27"/>
  <c r="E2445" i="27"/>
  <c r="J2571" i="27"/>
  <c r="N2618" i="27"/>
  <c r="J2609" i="27"/>
  <c r="G2460" i="27"/>
  <c r="J2655" i="27"/>
  <c r="I2612" i="27"/>
  <c r="F2399" i="27"/>
  <c r="F2585" i="27"/>
  <c r="N2573" i="27"/>
  <c r="J2383" i="27"/>
  <c r="N2389" i="27"/>
  <c r="J2536" i="27"/>
  <c r="K2570" i="27"/>
  <c r="I2677" i="27"/>
  <c r="I2492" i="27"/>
  <c r="I2661" i="27"/>
  <c r="J2457" i="27"/>
  <c r="E2505" i="27"/>
  <c r="J2518" i="27"/>
  <c r="I2362" i="27"/>
  <c r="K2436" i="27"/>
  <c r="J2615" i="27"/>
  <c r="N2496" i="27"/>
  <c r="E2449" i="27"/>
  <c r="N2474" i="27"/>
  <c r="J2544" i="27"/>
  <c r="J2446" i="27"/>
  <c r="K2450" i="27"/>
  <c r="G2609" i="27"/>
  <c r="N2651" i="27"/>
  <c r="I2594" i="27"/>
  <c r="J2611" i="27"/>
  <c r="N2641" i="27"/>
  <c r="N2420" i="27"/>
  <c r="J2426" i="27"/>
  <c r="N2383" i="27"/>
  <c r="N2527" i="27"/>
  <c r="G2365" i="27"/>
  <c r="K2476" i="27"/>
  <c r="K2525" i="27"/>
  <c r="G2570" i="27"/>
  <c r="J2452" i="27"/>
  <c r="J2517" i="27"/>
  <c r="I2467" i="27"/>
  <c r="K2533" i="27"/>
  <c r="J2552" i="27"/>
  <c r="I2400" i="27"/>
  <c r="E2528" i="27"/>
  <c r="K2597" i="27"/>
  <c r="G2465" i="27"/>
  <c r="K2488" i="27"/>
  <c r="G2375" i="27"/>
  <c r="J2627" i="27"/>
  <c r="G2482" i="27"/>
  <c r="J2468" i="27"/>
  <c r="K2427" i="27"/>
  <c r="K2495" i="27"/>
  <c r="J2556" i="27"/>
  <c r="G2447" i="27"/>
  <c r="N2667" i="27"/>
  <c r="J2490" i="27"/>
  <c r="N2429" i="27"/>
  <c r="E2518" i="27"/>
  <c r="E2376" i="27"/>
  <c r="E2582" i="27"/>
  <c r="G2435" i="27"/>
  <c r="N2370" i="27"/>
  <c r="E2475" i="27"/>
  <c r="F2663" i="27"/>
  <c r="N2587" i="27"/>
  <c r="J2466" i="27"/>
  <c r="G2505" i="27"/>
  <c r="G2431" i="27"/>
  <c r="J2382" i="27"/>
  <c r="J2371" i="27"/>
  <c r="F2683" i="27"/>
  <c r="E2658" i="27"/>
  <c r="J2576" i="27"/>
  <c r="J2391" i="27"/>
  <c r="N2455" i="27"/>
  <c r="G2693" i="27"/>
  <c r="J2677" i="27"/>
  <c r="J2688" i="27"/>
  <c r="J2678" i="27"/>
  <c r="K2497" i="27"/>
  <c r="N2509" i="27"/>
  <c r="G2577" i="27"/>
  <c r="I2585" i="27"/>
  <c r="I2527" i="27"/>
  <c r="E2679" i="27"/>
  <c r="E2361" i="27"/>
  <c r="J2681" i="27"/>
  <c r="E2616" i="27"/>
  <c r="E2621" i="27"/>
  <c r="G2619" i="27"/>
  <c r="E2581" i="27"/>
  <c r="I2399" i="27"/>
  <c r="E2437" i="27"/>
  <c r="G2412" i="27"/>
  <c r="E2663" i="27"/>
  <c r="K2374" i="27"/>
  <c r="I2614" i="27"/>
  <c r="J2616" i="27"/>
  <c r="I2506" i="27"/>
  <c r="F2594" i="27"/>
  <c r="G2659" i="27"/>
  <c r="I2365" i="27"/>
  <c r="G2690" i="27"/>
  <c r="I2540" i="27"/>
  <c r="K2631" i="27"/>
  <c r="I2586" i="27"/>
  <c r="K2670" i="27"/>
  <c r="G2473" i="27"/>
  <c r="E2564" i="27"/>
  <c r="I2480" i="27"/>
  <c r="K2415" i="27"/>
  <c r="N2394" i="27"/>
  <c r="E2544" i="27"/>
  <c r="E2603" i="27"/>
  <c r="K2411" i="27"/>
  <c r="F2426" i="27"/>
  <c r="G2660" i="27"/>
  <c r="I2549" i="27"/>
  <c r="E2612" i="27"/>
  <c r="G2415" i="27"/>
  <c r="I2625" i="27"/>
  <c r="I2390" i="27"/>
  <c r="J2568" i="27"/>
  <c r="N2376" i="27"/>
  <c r="E2494" i="27"/>
  <c r="F2590" i="27"/>
  <c r="F2441" i="27"/>
  <c r="J2635" i="27"/>
  <c r="J2450" i="27"/>
  <c r="G2576" i="27"/>
  <c r="G2627" i="27"/>
  <c r="N2661" i="27"/>
  <c r="J2584" i="27"/>
  <c r="K2449" i="27"/>
  <c r="G2480" i="27"/>
  <c r="I2377" i="27"/>
  <c r="I2395" i="27"/>
  <c r="K2508" i="27"/>
  <c r="J2683" i="27"/>
  <c r="G2569" i="27"/>
  <c r="I2542" i="27"/>
  <c r="E2613" i="27"/>
  <c r="F2583" i="27"/>
  <c r="K2400" i="27"/>
  <c r="K2402" i="27"/>
  <c r="E2381" i="27"/>
  <c r="E2509" i="27"/>
  <c r="E2423" i="27"/>
  <c r="I2663" i="27"/>
  <c r="E2531" i="27"/>
  <c r="F2579" i="27"/>
  <c r="I2596" i="27"/>
  <c r="E2521" i="27"/>
  <c r="J2618" i="27"/>
  <c r="K2548" i="27"/>
  <c r="E2584" i="27"/>
  <c r="N2504" i="27"/>
  <c r="J2685" i="27"/>
  <c r="I2470" i="27"/>
  <c r="F2385" i="27"/>
  <c r="E2479" i="27"/>
  <c r="I2672" i="27"/>
  <c r="E2687" i="27"/>
  <c r="F2435" i="27"/>
  <c r="N2442" i="27"/>
  <c r="G2408" i="27"/>
  <c r="N2495" i="27"/>
  <c r="I2518" i="27"/>
  <c r="N2683" i="27"/>
  <c r="F2652" i="27"/>
  <c r="E2631" i="27"/>
  <c r="N2450" i="27"/>
  <c r="J2570" i="27"/>
  <c r="K2388" i="27"/>
  <c r="E2655" i="27"/>
  <c r="K2405" i="27"/>
  <c r="J2598" i="27"/>
  <c r="G2553" i="27"/>
  <c r="F2403" i="27"/>
  <c r="I2581" i="27"/>
  <c r="K2379" i="27"/>
  <c r="J2427" i="27"/>
  <c r="G2590" i="27"/>
  <c r="I2512" i="27"/>
  <c r="G2493" i="27"/>
  <c r="N2490" i="27"/>
  <c r="G2669" i="27"/>
  <c r="I2569" i="27"/>
  <c r="G2685" i="27"/>
  <c r="J2588" i="27"/>
  <c r="N2620" i="27"/>
  <c r="J2665" i="27"/>
  <c r="E2645" i="27"/>
  <c r="F2619" i="27"/>
  <c r="K2646" i="27"/>
  <c r="E2466" i="27"/>
  <c r="G2428" i="27"/>
  <c r="K2360" i="27"/>
  <c r="N2500" i="27"/>
  <c r="N2631" i="27"/>
  <c r="I2621" i="27"/>
  <c r="J2503" i="27"/>
  <c r="I2662" i="27"/>
  <c r="M2693" i="27"/>
  <c r="A2693" i="27" s="1"/>
  <c r="K2442" i="27"/>
  <c r="J2412" i="27"/>
  <c r="I2454" i="27"/>
  <c r="E2611" i="27"/>
  <c r="J2554" i="27"/>
  <c r="N2602" i="27"/>
  <c r="N2402" i="27"/>
  <c r="G2602" i="27"/>
  <c r="N2395" i="27"/>
  <c r="J2508" i="27"/>
  <c r="N2610" i="27"/>
  <c r="J2384" i="27"/>
  <c r="K2568" i="27"/>
  <c r="N2525" i="27"/>
  <c r="I2419" i="27"/>
  <c r="E2461" i="27"/>
  <c r="K2492" i="27"/>
  <c r="K2465" i="27"/>
  <c r="G2684" i="27"/>
  <c r="J2458" i="27"/>
  <c r="N2567" i="27"/>
  <c r="G2481" i="27"/>
  <c r="K2579" i="27"/>
  <c r="E2632" i="27"/>
  <c r="E2568" i="27"/>
  <c r="K2601" i="27"/>
  <c r="J2682" i="27"/>
  <c r="K2480" i="27"/>
  <c r="I2685" i="27"/>
  <c r="G2509" i="27"/>
  <c r="F2586" i="27"/>
  <c r="J2583" i="27"/>
  <c r="J2376" i="27"/>
  <c r="N2516" i="27"/>
  <c r="I2475" i="27"/>
  <c r="K2498" i="27"/>
  <c r="G2670" i="27"/>
  <c r="G2545" i="27"/>
  <c r="G2688" i="27"/>
  <c r="I2562" i="27"/>
  <c r="G2635" i="27"/>
  <c r="E2644" i="27"/>
  <c r="J2689" i="27"/>
  <c r="K2378" i="27"/>
  <c r="K2573" i="27"/>
  <c r="K2596" i="27"/>
  <c r="K2660" i="27"/>
  <c r="E2587" i="27"/>
  <c r="E2456" i="27"/>
  <c r="N2681" i="27"/>
  <c r="G2549" i="27"/>
  <c r="K2383" i="27"/>
  <c r="N2540" i="27"/>
  <c r="N2634" i="27"/>
  <c r="E2556" i="27"/>
  <c r="K2637" i="27"/>
  <c r="K2522" i="27"/>
  <c r="G2362" i="27"/>
  <c r="N2581" i="27"/>
  <c r="K2384" i="27"/>
  <c r="K2562" i="27"/>
  <c r="K2391" i="27"/>
  <c r="E2520" i="27"/>
  <c r="J2445" i="27"/>
  <c r="J2642" i="27"/>
  <c r="E2525" i="27"/>
  <c r="M2694" i="27"/>
  <c r="A2694" i="27" s="1"/>
  <c r="G2578" i="27"/>
  <c r="N2377" i="27"/>
  <c r="K2439" i="27"/>
  <c r="N2414" i="27"/>
  <c r="J2581" i="27"/>
  <c r="F2429" i="27"/>
  <c r="G2597" i="27"/>
  <c r="E2495" i="27"/>
  <c r="I2389" i="27"/>
  <c r="J2375" i="27"/>
  <c r="N2464" i="27"/>
  <c r="I2503" i="27"/>
  <c r="J2367" i="27"/>
  <c r="G2593" i="27"/>
  <c r="G2476" i="27"/>
  <c r="K2464" i="27"/>
  <c r="E2575" i="27"/>
  <c r="G2652" i="27"/>
  <c r="J2431" i="27"/>
  <c r="G2409" i="27"/>
  <c r="E2383" i="27"/>
  <c r="E2597" i="27"/>
  <c r="N2502" i="27"/>
  <c r="K2630" i="27"/>
  <c r="I2500" i="27"/>
  <c r="G2384" i="27"/>
  <c r="K2678" i="27"/>
  <c r="G2606" i="27"/>
  <c r="E2365" i="27"/>
  <c r="K2387" i="27"/>
  <c r="E2650" i="27"/>
  <c r="N2673" i="27"/>
  <c r="N2411" i="27"/>
  <c r="G2471" i="27"/>
  <c r="I2591" i="27"/>
  <c r="J2386" i="27"/>
  <c r="K2429" i="27"/>
  <c r="K2561" i="27"/>
  <c r="I2514" i="27"/>
  <c r="E2496" i="27"/>
  <c r="E2397" i="27"/>
  <c r="E2549" i="27"/>
  <c r="K2403" i="27"/>
  <c r="E2661" i="27"/>
  <c r="E2677" i="27"/>
  <c r="N2507" i="27"/>
  <c r="K2494" i="27"/>
  <c r="J2620" i="27"/>
  <c r="E2452" i="27"/>
  <c r="G2634" i="27"/>
  <c r="J2566" i="27"/>
  <c r="J2646" i="27"/>
  <c r="K2457" i="27"/>
  <c r="I2660" i="27"/>
  <c r="K2406" i="27"/>
  <c r="G2538" i="27"/>
  <c r="J2560" i="27"/>
  <c r="F2407" i="27"/>
  <c r="G2591" i="27"/>
  <c r="N2493" i="27"/>
  <c r="K2527" i="27"/>
  <c r="J2639" i="27"/>
  <c r="I2535" i="27"/>
  <c r="E2596" i="27"/>
  <c r="E2372" i="27"/>
  <c r="N2497" i="27"/>
  <c r="K2408" i="27"/>
  <c r="J2526" i="27"/>
  <c r="G2612" i="27"/>
  <c r="E2507" i="27"/>
  <c r="F2643" i="27"/>
  <c r="I2482" i="27"/>
  <c r="J2390" i="27"/>
  <c r="G2527" i="27"/>
  <c r="I2519" i="27"/>
  <c r="E2605" i="27"/>
  <c r="G2679" i="27"/>
  <c r="N2477" i="27"/>
  <c r="E2608" i="27"/>
  <c r="J2631" i="27"/>
  <c r="N2454" i="27"/>
  <c r="J2638" i="27"/>
  <c r="N2657" i="27"/>
  <c r="J2442" i="27"/>
  <c r="J2435" i="27"/>
  <c r="E2572" i="27"/>
  <c r="G2516" i="27"/>
  <c r="I2529" i="27"/>
  <c r="K2401" i="27"/>
  <c r="J2399" i="27"/>
  <c r="G2441" i="27"/>
  <c r="K2371" i="27"/>
  <c r="N2425" i="27"/>
  <c r="J2388" i="27"/>
  <c r="K2542" i="27"/>
  <c r="N2473" i="27"/>
  <c r="J2420" i="27"/>
  <c r="F2431" i="27"/>
  <c r="G2601" i="27"/>
  <c r="N2380" i="27"/>
  <c r="J2439" i="27"/>
  <c r="I2600" i="27"/>
  <c r="J2423" i="27"/>
  <c r="E2428" i="27"/>
  <c r="I2458" i="27"/>
  <c r="J2538" i="27"/>
  <c r="K2615" i="27"/>
  <c r="I2651" i="27"/>
  <c r="I2502" i="27"/>
  <c r="I2495" i="27"/>
  <c r="K2368" i="27"/>
  <c r="J2664" i="27"/>
  <c r="K2571" i="27"/>
  <c r="J2430" i="27"/>
  <c r="E2459" i="27"/>
  <c r="K2489" i="27"/>
  <c r="G2497" i="27"/>
  <c r="I2446" i="27"/>
  <c r="E2626" i="27"/>
  <c r="G2689" i="27"/>
  <c r="N2435" i="27"/>
  <c r="K2582" i="27"/>
  <c r="J2653" i="27"/>
  <c r="G2489" i="27"/>
  <c r="N2512" i="27"/>
  <c r="K2576" i="27"/>
  <c r="G2383" i="27"/>
  <c r="F2684" i="27"/>
  <c r="K2458" i="27"/>
  <c r="E2591" i="27"/>
  <c r="J2605" i="27"/>
  <c r="E2625" i="27"/>
  <c r="E2502" i="27"/>
  <c r="E2414" i="27"/>
  <c r="G2490" i="27"/>
  <c r="F2415" i="27"/>
  <c r="J2547" i="27"/>
  <c r="K2523" i="27"/>
  <c r="J2597" i="27"/>
  <c r="J2557" i="27"/>
  <c r="I2657" i="27"/>
  <c r="G2404" i="27"/>
  <c r="J2524" i="27"/>
  <c r="J2456" i="27"/>
  <c r="G2479" i="27"/>
  <c r="E2373" i="27"/>
  <c r="K2430" i="27"/>
  <c r="E2527" i="27"/>
  <c r="E2640" i="27"/>
  <c r="N2542" i="27"/>
  <c r="K2627" i="27"/>
  <c r="N2557" i="27"/>
  <c r="G2496" i="27"/>
  <c r="I2431" i="27"/>
  <c r="J2444" i="27"/>
  <c r="G2515" i="27"/>
  <c r="J2513" i="27"/>
  <c r="J2555" i="27"/>
  <c r="N2589" i="27"/>
  <c r="J2516" i="27"/>
  <c r="G2389" i="27"/>
  <c r="E2557" i="27"/>
  <c r="E2554" i="27"/>
  <c r="K2422" i="27"/>
  <c r="F2676" i="27"/>
  <c r="I2602" i="27"/>
  <c r="J2690" i="27"/>
  <c r="I2668" i="27"/>
  <c r="J2647" i="27"/>
  <c r="N2405" i="27"/>
  <c r="G2399" i="27"/>
  <c r="N2671" i="27"/>
  <c r="G2664" i="27"/>
  <c r="J2553" i="27"/>
  <c r="I2462" i="27"/>
  <c r="N2368" i="27"/>
  <c r="K2512" i="27"/>
  <c r="I2686" i="27"/>
  <c r="I2485" i="27"/>
  <c r="J2360" i="27"/>
  <c r="J2674" i="27"/>
  <c r="G2623" i="27"/>
  <c r="I2670" i="27"/>
  <c r="J2533" i="27"/>
  <c r="N2649" i="27"/>
  <c r="N2579" i="27"/>
  <c r="I2643" i="27"/>
  <c r="E2478" i="27"/>
  <c r="N2478" i="27"/>
  <c r="F2693" i="27"/>
  <c r="K2370" i="27"/>
  <c r="K2375" i="27"/>
  <c r="J2532" i="27"/>
  <c r="G2556" i="27"/>
  <c r="F2587" i="27"/>
  <c r="I2680" i="27"/>
  <c r="J2523" i="27"/>
  <c r="J2410" i="27"/>
  <c r="I2464" i="27"/>
  <c r="E2578" i="27"/>
  <c r="I2564" i="27"/>
  <c r="F2380" i="27"/>
  <c r="I2603" i="27"/>
  <c r="G2410" i="27"/>
  <c r="G2434" i="27"/>
  <c r="K2618" i="27"/>
  <c r="G2604" i="27"/>
  <c r="J2505" i="27"/>
  <c r="N2617" i="27"/>
  <c r="N2624" i="27"/>
  <c r="F2608" i="27"/>
  <c r="E2600" i="27"/>
  <c r="J2451" i="27"/>
  <c r="I2513" i="27"/>
  <c r="J2379" i="27"/>
  <c r="G2543" i="27"/>
  <c r="I2678" i="27"/>
  <c r="J2385" i="27"/>
  <c r="N2491" i="27"/>
  <c r="E2379" i="27"/>
  <c r="E2604" i="27"/>
  <c r="N2488" i="27"/>
  <c r="J2593" i="27"/>
  <c r="F2672" i="27"/>
  <c r="J2587" i="27"/>
  <c r="I2481" i="27"/>
  <c r="N2529" i="27"/>
  <c r="K2683" i="27"/>
  <c r="N2470" i="27"/>
  <c r="N2577" i="27"/>
  <c r="G2467" i="27"/>
  <c r="N2483" i="27"/>
  <c r="I2428" i="27"/>
  <c r="I2575" i="27"/>
  <c r="F2626" i="27"/>
  <c r="N2396" i="27"/>
  <c r="J2433" i="27"/>
  <c r="F2433" i="27"/>
  <c r="N2530" i="27"/>
  <c r="J2473" i="27"/>
  <c r="F2394" i="27"/>
  <c r="F2421" i="27"/>
  <c r="E2637" i="27"/>
  <c r="G2514" i="27"/>
  <c r="G2588" i="27"/>
  <c r="J2551" i="27"/>
  <c r="K2626" i="27"/>
  <c r="F2366" i="27"/>
  <c r="I2411" i="27"/>
  <c r="G2369" i="27"/>
  <c r="J2409" i="27"/>
  <c r="K2467" i="27"/>
  <c r="I2597" i="27"/>
  <c r="J2421" i="27"/>
  <c r="I2559" i="27"/>
  <c r="J2487" i="27"/>
  <c r="K2493" i="27"/>
  <c r="K2676" i="27"/>
  <c r="E2402" i="27"/>
  <c r="G2392" i="27"/>
  <c r="K2469" i="27"/>
  <c r="K2526" i="27"/>
  <c r="G2521" i="27"/>
  <c r="F2575" i="27"/>
  <c r="N2367" i="27"/>
  <c r="K2517" i="27"/>
  <c r="F2428" i="27"/>
  <c r="I2430" i="27"/>
  <c r="E2547" i="27"/>
  <c r="I2460" i="27"/>
  <c r="N2636" i="27"/>
  <c r="K2381" i="27"/>
  <c r="K2470" i="27"/>
  <c r="N2566" i="27"/>
  <c r="E2510" i="27"/>
  <c r="K2365" i="27"/>
  <c r="N2458" i="27"/>
  <c r="J2676" i="27"/>
  <c r="G2385" i="27"/>
  <c r="G2370" i="27"/>
  <c r="N2506" i="27"/>
  <c r="G2558" i="27"/>
  <c r="K2373" i="27"/>
  <c r="N2487" i="27"/>
  <c r="N2691" i="27"/>
  <c r="G2608" i="27"/>
  <c r="F2393" i="27"/>
  <c r="N2427" i="27"/>
  <c r="I2523" i="27"/>
  <c r="G2686" i="27"/>
  <c r="I2599" i="27"/>
  <c r="I2378" i="27"/>
  <c r="E2440" i="27"/>
  <c r="E2395" i="27"/>
  <c r="G2425" i="27"/>
  <c r="K2513" i="27"/>
  <c r="G2676" i="27"/>
  <c r="G2498" i="27"/>
  <c r="K2538" i="27"/>
  <c r="F2596" i="27"/>
  <c r="N2644" i="27"/>
  <c r="K2486" i="27"/>
  <c r="N2382" i="27"/>
  <c r="E2667" i="27"/>
  <c r="J2373" i="27"/>
  <c r="N2549" i="27"/>
  <c r="N2369" i="27"/>
  <c r="J2492" i="27"/>
  <c r="K2472" i="27"/>
  <c r="J2558" i="27"/>
  <c r="J2650" i="27"/>
  <c r="N2543" i="27"/>
  <c r="J2422" i="27"/>
  <c r="J2622" i="27"/>
  <c r="G2674" i="27"/>
  <c r="E2371" i="27"/>
  <c r="E2503" i="27"/>
  <c r="J2501" i="27"/>
  <c r="G2599" i="27"/>
  <c r="F2377" i="27"/>
  <c r="N2523" i="27"/>
  <c r="K2667" i="27"/>
  <c r="F2438" i="27"/>
  <c r="G2579" i="27"/>
  <c r="I2457" i="27"/>
  <c r="K2602" i="27"/>
  <c r="I2435" i="27"/>
  <c r="N2674" i="27"/>
  <c r="G2437" i="27"/>
  <c r="N2513" i="27"/>
  <c r="K2553" i="27"/>
  <c r="G2420" i="27"/>
  <c r="G2470" i="27"/>
  <c r="G2500" i="27"/>
  <c r="K2659" i="27"/>
  <c r="I2388" i="27"/>
  <c r="G2377" i="27"/>
  <c r="E2416" i="27"/>
  <c r="E2460" i="27"/>
  <c r="E2607" i="27"/>
  <c r="F2422" i="27"/>
  <c r="I2451" i="27"/>
  <c r="N2499" i="27"/>
  <c r="J2619" i="27"/>
  <c r="G2485" i="27"/>
  <c r="E2529" i="27"/>
  <c r="G2368" i="27"/>
  <c r="J2500" i="27"/>
  <c r="I2373" i="27"/>
  <c r="G2495" i="27"/>
  <c r="I2572" i="27"/>
  <c r="N2424" i="27"/>
  <c r="J2418" i="27"/>
  <c r="J2659" i="27"/>
  <c r="I2675" i="27"/>
  <c r="E2660" i="27"/>
  <c r="K2632" i="27"/>
  <c r="E2646" i="27"/>
  <c r="J2404" i="27"/>
  <c r="G2463" i="27"/>
  <c r="G2629" i="27"/>
  <c r="J2652" i="27"/>
  <c r="J2477" i="27"/>
  <c r="N2569" i="27"/>
  <c r="F2364" i="27"/>
  <c r="J2592" i="27"/>
  <c r="K2462" i="27"/>
  <c r="G2557" i="27"/>
  <c r="N2510" i="27"/>
  <c r="E2533" i="27"/>
  <c r="G2364" i="27"/>
  <c r="J2432" i="27"/>
  <c r="N2676" i="27"/>
  <c r="N2413" i="27"/>
  <c r="K2652" i="27"/>
  <c r="N2630" i="27"/>
  <c r="K2448" i="27"/>
  <c r="G2633" i="27"/>
  <c r="N2582" i="27"/>
  <c r="E2450" i="27"/>
  <c r="J2694" i="27"/>
  <c r="J2656" i="27"/>
  <c r="I2364" i="27"/>
  <c r="G2694" i="27"/>
  <c r="E2471" i="27"/>
  <c r="K2587" i="27"/>
  <c r="K2595" i="27"/>
  <c r="F2604" i="27"/>
  <c r="E2671" i="27"/>
  <c r="G2539" i="27"/>
  <c r="N2563" i="27"/>
  <c r="G2439" i="27"/>
  <c r="I2622" i="27"/>
  <c r="G2594" i="27"/>
  <c r="I2442" i="27"/>
  <c r="G2466" i="27"/>
  <c r="N2647" i="27"/>
  <c r="J2488" i="27"/>
  <c r="G2386" i="27"/>
  <c r="K2679" i="27"/>
  <c r="I2433" i="27"/>
  <c r="N2445" i="27"/>
  <c r="E2472" i="27"/>
  <c r="J2460" i="27"/>
  <c r="G2657" i="27"/>
  <c r="K2564" i="27"/>
  <c r="G2585" i="27"/>
  <c r="E2576" i="27"/>
  <c r="I2688" i="27"/>
  <c r="N2408" i="27"/>
  <c r="F2425" i="27"/>
  <c r="I2683" i="27"/>
  <c r="K2369" i="27"/>
  <c r="E2473" i="27"/>
  <c r="F2414" i="27"/>
  <c r="E2406" i="27"/>
  <c r="J2602" i="27"/>
  <c r="I2499" i="27"/>
  <c r="N2514" i="27"/>
  <c r="G2548" i="27"/>
  <c r="I2505" i="27"/>
  <c r="E2689" i="27"/>
  <c r="E2539" i="27"/>
  <c r="N2410" i="27"/>
  <c r="I2532" i="27"/>
  <c r="G2366" i="27"/>
  <c r="I2650" i="27"/>
  <c r="I2444" i="27"/>
  <c r="E2392" i="27"/>
  <c r="F2577" i="27"/>
  <c r="J2403" i="27"/>
  <c r="G2554" i="27"/>
  <c r="I2401" i="27"/>
  <c r="K2481" i="27"/>
  <c r="F2444" i="27"/>
  <c r="E2634" i="27"/>
  <c r="E2468" i="27"/>
  <c r="N2401" i="27"/>
  <c r="K2362" i="27"/>
  <c r="E2690" i="27"/>
  <c r="I2438" i="27"/>
  <c r="G2678" i="27"/>
  <c r="N2561" i="27"/>
  <c r="G2587" i="27"/>
  <c r="I2692" i="27"/>
  <c r="K2377" i="27"/>
  <c r="E2444" i="27"/>
  <c r="E2506" i="27"/>
  <c r="K2691" i="27"/>
  <c r="E2543" i="27"/>
  <c r="G2381" i="27"/>
  <c r="J2401" i="27"/>
  <c r="E2425" i="27"/>
  <c r="K2407" i="27"/>
  <c r="N2668" i="27"/>
  <c r="K2363" i="27"/>
  <c r="F2387" i="27"/>
  <c r="E2446" i="27"/>
  <c r="J2617" i="27"/>
  <c r="K2468" i="27"/>
  <c r="J2396" i="27"/>
  <c r="J2434" i="27"/>
  <c r="I2393" i="27"/>
  <c r="E2526" i="27"/>
  <c r="F2602" i="27"/>
  <c r="I2553" i="27"/>
  <c r="K2658" i="27"/>
  <c r="E2538" i="27"/>
  <c r="N2678" i="27"/>
  <c r="F2668" i="27"/>
  <c r="K2663" i="27"/>
  <c r="F2630" i="27"/>
  <c r="J2417" i="27"/>
  <c r="E2486" i="27"/>
  <c r="J2425" i="27"/>
  <c r="F2635" i="27"/>
  <c r="E2659" i="27"/>
  <c r="N2550" i="27"/>
  <c r="G2478" i="27"/>
  <c r="K2529" i="27"/>
  <c r="K2642" i="27"/>
  <c r="I2645" i="27"/>
  <c r="N2404" i="27"/>
  <c r="N2547" i="27"/>
  <c r="J2415" i="27"/>
  <c r="E2442" i="27"/>
  <c r="E2664" i="27"/>
  <c r="F2653" i="27"/>
  <c r="J2364" i="27"/>
  <c r="F2391" i="27"/>
  <c r="I2613" i="27"/>
  <c r="N2505" i="27"/>
  <c r="J2632" i="27"/>
  <c r="G2567" i="27"/>
  <c r="J2614" i="27"/>
  <c r="E2375" i="27"/>
  <c r="F2371" i="27"/>
  <c r="J2506" i="27"/>
  <c r="N2562" i="27"/>
  <c r="E2362" i="27"/>
  <c r="K2588" i="27"/>
  <c r="J2411" i="27"/>
  <c r="I2691" i="27"/>
  <c r="F2381" i="27"/>
  <c r="I2440" i="27"/>
  <c r="N2469" i="27"/>
  <c r="E2588" i="27"/>
  <c r="I2361" i="27"/>
  <c r="I2522" i="27"/>
  <c r="I2474" i="27"/>
  <c r="I2571" i="27"/>
  <c r="G2430" i="27"/>
  <c r="E2489" i="27"/>
  <c r="K2681" i="27"/>
  <c r="I2689" i="27"/>
  <c r="K2506" i="27"/>
  <c r="G2644" i="27"/>
  <c r="N2532" i="27"/>
  <c r="I2508" i="27"/>
  <c r="I2455" i="27"/>
  <c r="N2680" i="27"/>
  <c r="J2691" i="27"/>
  <c r="J2510" i="27"/>
  <c r="K2428" i="27"/>
  <c r="G2501" i="27"/>
  <c r="N2601" i="27"/>
  <c r="I2694" i="27"/>
  <c r="F2647" i="27"/>
  <c r="G2472" i="27"/>
  <c r="N2364" i="27"/>
  <c r="E2387" i="27"/>
  <c r="J2577" i="27"/>
  <c r="G2512" i="27"/>
  <c r="I2656" i="27"/>
  <c r="G2662" i="27"/>
  <c r="G2448" i="27"/>
  <c r="I2543" i="27"/>
  <c r="N2475" i="27"/>
  <c r="J2370" i="27"/>
  <c r="E2653" i="27"/>
  <c r="J2494" i="27"/>
  <c r="K2499" i="27"/>
  <c r="K2372" i="27"/>
  <c r="K2638" i="27"/>
  <c r="F2378" i="27"/>
  <c r="I2531" i="27"/>
  <c r="K2540" i="27"/>
  <c r="J2607" i="27"/>
  <c r="I2669" i="27"/>
  <c r="G2643" i="27"/>
  <c r="G2361" i="27"/>
  <c r="G2492" i="27"/>
  <c r="I2604" i="27"/>
  <c r="J2559" i="27"/>
  <c r="F2659" i="27"/>
  <c r="J2363" i="27"/>
  <c r="G2433" i="27"/>
  <c r="N2372" i="27"/>
  <c r="E2409" i="27"/>
  <c r="E2474" i="27"/>
  <c r="G2683" i="27"/>
  <c r="N2639" i="27"/>
  <c r="G2603" i="27"/>
  <c r="I2587" i="27"/>
  <c r="I2584" i="27"/>
  <c r="J2406" i="27"/>
  <c r="F2397" i="27"/>
  <c r="K2586" i="27"/>
  <c r="N2431" i="27"/>
  <c r="G2396" i="27"/>
  <c r="E2669" i="27"/>
  <c r="J2669" i="27"/>
  <c r="N2520" i="27"/>
  <c r="I2516" i="27"/>
  <c r="J2378" i="27"/>
  <c r="I2369" i="27"/>
  <c r="E2628" i="27"/>
  <c r="G2536" i="27"/>
  <c r="I2488" i="27"/>
  <c r="E2691" i="27"/>
  <c r="E2681" i="27"/>
  <c r="E2627" i="27"/>
  <c r="J2660" i="27"/>
  <c r="J2474" i="27"/>
  <c r="G2550" i="27"/>
  <c r="N2392" i="27"/>
  <c r="G2610" i="27"/>
  <c r="F2430" i="27"/>
  <c r="F2644" i="27"/>
  <c r="K2606" i="27"/>
  <c r="K2572" i="27"/>
  <c r="I2391" i="27"/>
  <c r="I2386" i="27"/>
  <c r="F2361" i="27"/>
  <c r="J2657" i="27"/>
  <c r="E2673" i="27"/>
  <c r="K2451" i="27"/>
  <c r="K2433" i="27"/>
  <c r="J2629" i="27"/>
  <c r="J2416" i="27"/>
  <c r="N2685" i="27"/>
  <c r="G2379" i="27"/>
  <c r="E2601" i="27"/>
  <c r="J2372" i="27"/>
  <c r="I2635" i="27"/>
  <c r="G2531" i="27"/>
  <c r="I2456" i="27"/>
  <c r="G2382" i="27"/>
  <c r="G2429" i="27"/>
  <c r="J2572" i="27"/>
  <c r="E2482" i="27"/>
  <c r="K2496" i="27"/>
  <c r="K2664" i="27"/>
  <c r="J2608" i="27"/>
  <c r="G2373" i="27"/>
  <c r="K2531" i="27"/>
  <c r="K2410" i="27"/>
  <c r="J2539" i="27"/>
  <c r="I2573" i="27"/>
  <c r="N2361" i="27"/>
  <c r="F2362" i="27"/>
  <c r="F2677" i="27"/>
  <c r="E2462" i="27"/>
  <c r="J2675" i="27"/>
  <c r="I2644" i="27"/>
  <c r="I2453" i="27"/>
  <c r="I2565" i="27"/>
  <c r="N2438" i="27"/>
  <c r="I2387" i="27"/>
  <c r="I2541" i="27"/>
  <c r="K2693" i="27"/>
  <c r="E2377" i="27"/>
  <c r="I2479" i="27"/>
  <c r="N2627" i="27"/>
  <c r="G2672" i="27"/>
  <c r="E2415" i="27"/>
  <c r="J2498" i="27"/>
  <c r="K2477" i="27"/>
  <c r="J2585" i="27"/>
  <c r="G2582" i="27"/>
  <c r="J2563" i="27"/>
  <c r="G2411" i="27"/>
  <c r="G2507" i="27"/>
  <c r="E2585" i="27"/>
  <c r="N2446" i="27"/>
  <c r="I2590" i="27"/>
  <c r="F2634" i="27"/>
  <c r="G2677" i="27"/>
  <c r="E2438" i="27"/>
  <c r="I2418" i="27"/>
  <c r="N2479" i="27"/>
  <c r="K2417" i="27"/>
  <c r="K2414" i="27"/>
  <c r="M2692" i="27"/>
  <c r="A2692" i="27" s="1"/>
  <c r="K2608" i="27"/>
  <c r="J2633" i="27"/>
  <c r="N2388" i="27"/>
  <c r="G2645" i="27"/>
  <c r="I2652" i="27"/>
  <c r="E2422" i="27"/>
  <c r="F2649" i="27"/>
  <c r="N2679" i="27"/>
  <c r="K2680" i="27"/>
  <c r="E2662" i="27"/>
  <c r="K2673" i="27"/>
  <c r="G2367" i="27"/>
  <c r="J2636" i="27"/>
  <c r="I2687" i="27"/>
  <c r="K2666" i="27"/>
  <c r="F2588" i="27"/>
  <c r="J2648" i="27"/>
  <c r="J2495" i="27"/>
  <c r="E2469" i="27"/>
  <c r="E2485" i="27"/>
  <c r="N2580" i="27"/>
  <c r="N2524" i="27"/>
  <c r="N2576" i="27"/>
  <c r="I2684" i="27"/>
  <c r="F2631" i="27"/>
  <c r="N2558" i="27"/>
  <c r="N2426" i="27"/>
  <c r="J2497" i="27"/>
  <c r="K2635" i="27"/>
  <c r="J2686" i="27"/>
  <c r="E2407" i="27"/>
  <c r="I2658" i="27"/>
  <c r="E2488" i="27"/>
  <c r="N2637" i="27"/>
  <c r="E2421" i="27"/>
  <c r="E2424" i="27"/>
  <c r="N2608" i="27"/>
  <c r="J2395" i="27"/>
  <c r="I2494" i="27"/>
  <c r="E2688" i="27"/>
  <c r="N2575" i="27"/>
  <c r="I2363" i="27"/>
  <c r="E2515" i="27"/>
  <c r="K2390" i="27"/>
  <c r="K2434" i="27"/>
  <c r="I2606" i="27"/>
  <c r="J2514" i="27"/>
  <c r="E2684" i="27"/>
  <c r="J2671" i="27"/>
  <c r="I2459" i="27"/>
  <c r="K2394" i="27"/>
  <c r="G2406" i="27"/>
  <c r="G2451" i="27"/>
  <c r="J2512" i="27"/>
  <c r="I2556" i="27"/>
  <c r="E2666" i="27"/>
  <c r="G2614" i="27"/>
  <c r="I2611" i="27"/>
  <c r="E2393" i="27"/>
  <c r="I2414" i="27"/>
  <c r="K2639" i="27"/>
  <c r="J2394" i="27"/>
  <c r="I2649" i="27"/>
  <c r="I2632" i="27"/>
  <c r="J2429" i="27"/>
  <c r="I2422" i="27"/>
  <c r="K2656" i="27"/>
  <c r="G2562" i="27"/>
  <c r="F2670" i="27"/>
  <c r="G2584" i="27"/>
  <c r="K2376" i="27"/>
  <c r="J2484" i="27"/>
  <c r="I2450" i="27"/>
  <c r="G2682" i="27"/>
  <c r="J2673" i="27"/>
  <c r="N2590" i="27"/>
  <c r="J2366" i="27"/>
  <c r="N2459" i="27"/>
  <c r="N2521" i="27"/>
  <c r="G2561" i="27"/>
  <c r="F2679" i="27"/>
  <c r="F2582" i="27"/>
  <c r="G2540" i="27"/>
  <c r="J2447" i="27"/>
  <c r="J2578" i="27"/>
  <c r="F2691" i="27"/>
  <c r="I2405" i="27"/>
  <c r="J2528" i="27"/>
  <c r="E2480" i="27"/>
  <c r="K2578" i="27"/>
  <c r="K2437" i="27"/>
  <c r="N2666" i="27"/>
  <c r="K2440" i="27"/>
  <c r="N2677" i="27"/>
  <c r="J2515" i="27"/>
  <c r="I2473" i="27"/>
  <c r="G2574" i="27"/>
  <c r="E2571" i="27"/>
  <c r="G2390" i="27"/>
  <c r="N2625" i="27"/>
  <c r="G2426" i="27"/>
  <c r="E2550" i="27"/>
  <c r="G2444" i="27"/>
  <c r="K2514" i="27"/>
  <c r="I2375" i="27"/>
  <c r="J2651" i="27"/>
  <c r="F2412" i="27"/>
  <c r="K2640" i="27"/>
  <c r="J2479" i="27"/>
  <c r="K2617" i="27"/>
  <c r="N2645" i="27"/>
  <c r="J2600" i="27"/>
  <c r="K2622" i="27"/>
  <c r="G2605" i="27"/>
  <c r="E2400" i="27"/>
  <c r="I2636" i="27"/>
  <c r="E2370" i="27"/>
  <c r="K2672" i="27"/>
  <c r="K2554" i="27"/>
  <c r="N2586" i="27"/>
  <c r="E2670" i="27"/>
  <c r="I2448" i="27"/>
  <c r="K2421" i="27"/>
  <c r="G2611" i="27"/>
  <c r="E2366" i="27"/>
  <c r="J2389" i="27"/>
  <c r="J2612" i="27"/>
  <c r="E2545" i="27"/>
  <c r="G2518" i="27"/>
  <c r="N2498" i="27"/>
  <c r="G2622" i="27"/>
  <c r="G2559" i="27"/>
  <c r="F2617" i="27"/>
  <c r="N2570" i="27"/>
  <c r="N2460" i="27"/>
  <c r="K2549" i="27"/>
  <c r="F2657" i="27"/>
  <c r="I2620" i="27"/>
  <c r="N2605" i="27"/>
  <c r="E2457" i="27"/>
  <c r="G2438" i="27"/>
  <c r="I2545" i="27"/>
  <c r="J2579" i="27"/>
  <c r="E2360" i="27"/>
  <c r="G2575" i="27"/>
  <c r="E2577" i="27"/>
  <c r="N2522" i="27"/>
  <c r="E2552" i="27"/>
  <c r="E2490" i="27"/>
  <c r="K2490" i="27"/>
  <c r="G2653" i="27"/>
  <c r="E2524" i="27"/>
  <c r="N2517" i="27"/>
  <c r="N2564" i="27"/>
  <c r="K2453" i="27"/>
  <c r="N2538" i="27"/>
  <c r="J2413" i="27"/>
  <c r="J2573" i="27"/>
  <c r="E2593" i="27"/>
  <c r="F2641" i="27"/>
  <c r="J2541" i="27"/>
  <c r="E2635" i="27"/>
  <c r="G2519" i="27"/>
  <c r="J2407" i="27"/>
  <c r="I2646" i="27"/>
  <c r="E2465" i="27"/>
  <c r="F2615" i="27"/>
  <c r="I2437" i="27"/>
  <c r="J2449" i="27"/>
  <c r="K2399" i="27"/>
  <c r="K2445" i="27"/>
  <c r="G2413" i="27"/>
  <c r="I2633" i="27"/>
  <c r="G2453" i="27"/>
  <c r="N2363" i="27"/>
  <c r="K2502" i="27"/>
  <c r="I2608" i="27"/>
  <c r="N2583" i="27"/>
  <c r="I2370" i="27"/>
  <c r="N2465" i="27"/>
  <c r="G2443" i="27"/>
  <c r="I2539" i="27"/>
  <c r="J2381" i="27"/>
  <c r="G2642" i="27"/>
  <c r="K2550" i="27"/>
  <c r="J2626" i="27"/>
  <c r="I2511" i="27"/>
  <c r="N2453" i="27"/>
  <c r="F2589" i="27"/>
  <c r="I2580" i="27"/>
  <c r="K2530" i="27"/>
  <c r="I2648" i="27"/>
  <c r="J2679" i="27"/>
  <c r="F2442" i="27"/>
  <c r="K2655" i="27"/>
  <c r="K2515" i="27"/>
  <c r="G2468" i="27"/>
  <c r="I2410" i="27"/>
  <c r="G2378" i="27"/>
  <c r="N2457" i="27"/>
  <c r="K2685" i="27"/>
  <c r="G2631" i="27"/>
  <c r="N2430" i="27"/>
  <c r="J2438" i="27"/>
  <c r="K2569" i="27"/>
  <c r="K2395" i="27"/>
  <c r="J2393" i="27"/>
  <c r="N2616" i="27"/>
  <c r="E2380" i="27"/>
  <c r="N2560" i="27"/>
  <c r="J2628" i="27"/>
  <c r="I2601" i="27"/>
  <c r="I2436" i="27"/>
  <c r="J2534" i="27"/>
  <c r="N2689" i="27"/>
  <c r="I2493" i="27"/>
  <c r="G2680" i="27"/>
  <c r="E2595" i="27"/>
  <c r="E2403" i="27"/>
  <c r="J2624" i="27"/>
  <c r="N2694" i="27"/>
  <c r="K2555" i="27"/>
  <c r="E2523" i="27"/>
  <c r="I2530" i="27"/>
  <c r="K2459" i="27"/>
  <c r="F2689" i="27"/>
  <c r="G2502" i="27"/>
  <c r="K2650" i="27"/>
  <c r="N2594" i="27"/>
  <c r="J2476" i="27"/>
  <c r="N2572" i="27"/>
  <c r="I2432" i="27"/>
  <c r="G2401" i="27"/>
  <c r="I2595" i="27"/>
  <c r="N2682" i="27"/>
  <c r="K2641" i="27"/>
  <c r="K2690" i="27"/>
  <c r="E2389" i="27"/>
  <c r="K2444" i="27"/>
  <c r="N2381" i="27"/>
  <c r="I2627" i="27"/>
  <c r="N2568" i="27"/>
  <c r="J2470" i="27"/>
  <c r="K2556" i="27"/>
  <c r="E2682" i="27"/>
  <c r="I2371" i="27"/>
  <c r="E2401" i="27"/>
  <c r="E2447" i="27"/>
  <c r="I2392" i="27"/>
  <c r="G2432" i="27"/>
  <c r="J2672" i="27"/>
  <c r="E2656" i="27"/>
  <c r="N2486" i="27"/>
  <c r="G2573" i="27"/>
  <c r="E2404" i="27"/>
  <c r="K2455" i="27"/>
  <c r="F2665" i="27"/>
  <c r="E2619" i="27"/>
  <c r="J2575" i="27"/>
  <c r="E2548" i="27"/>
  <c r="I2491" i="27"/>
  <c r="G2417" i="27"/>
  <c r="I2409" i="27"/>
  <c r="I2525" i="27"/>
  <c r="G2654" i="27"/>
  <c r="G2391" i="27"/>
  <c r="J2387" i="27"/>
  <c r="J2667" i="27"/>
  <c r="G2372" i="27"/>
  <c r="N2598" i="27"/>
  <c r="E2594" i="27"/>
  <c r="E2590" i="27"/>
  <c r="N2578" i="27"/>
  <c r="E2672" i="27"/>
  <c r="N2692" i="27"/>
  <c r="N2665" i="27"/>
  <c r="J2641" i="27"/>
  <c r="J2369" i="27"/>
  <c r="K2443" i="27"/>
  <c r="I2507" i="27"/>
  <c r="K2478" i="27"/>
  <c r="E2492" i="27"/>
  <c r="G2641" i="27"/>
  <c r="F2673" i="27"/>
  <c r="J2586" i="27"/>
  <c r="I2642" i="27"/>
  <c r="N2536" i="27"/>
  <c r="I2592" i="27"/>
  <c r="G2475" i="27"/>
  <c r="J2441" i="27"/>
  <c r="K2505" i="27"/>
  <c r="N2653" i="27"/>
  <c r="F2375" i="27"/>
  <c r="K2643" i="27"/>
  <c r="J2684" i="27"/>
  <c r="J2453" i="27"/>
  <c r="K2613" i="27"/>
  <c r="F2620" i="27"/>
  <c r="E2508" i="27"/>
  <c r="K2581" i="27"/>
  <c r="I2510" i="27"/>
  <c r="I2427" i="27"/>
  <c r="E2427" i="27"/>
  <c r="I2610" i="27"/>
  <c r="N2633" i="27"/>
  <c r="F2690" i="27"/>
  <c r="I2578" i="27"/>
  <c r="K2503" i="27"/>
  <c r="N2555" i="27"/>
  <c r="G2555" i="27"/>
  <c r="N2640" i="27"/>
  <c r="F2611" i="27"/>
  <c r="E2516" i="27"/>
  <c r="K2543" i="27"/>
  <c r="N2463" i="27"/>
  <c r="N2437" i="27"/>
  <c r="I2616" i="27"/>
  <c r="I2452" i="27"/>
  <c r="J2540" i="27"/>
  <c r="K2677" i="27"/>
  <c r="J2469" i="27"/>
  <c r="K2614" i="27"/>
  <c r="J2499" i="27"/>
  <c r="J2402" i="27"/>
  <c r="G2422" i="27"/>
  <c r="F2598" i="27"/>
  <c r="E2420" i="27"/>
  <c r="I2478" i="27"/>
  <c r="N2484" i="27"/>
  <c r="G2533" i="27"/>
  <c r="G2450" i="27"/>
  <c r="N2428" i="27"/>
  <c r="N2621" i="27"/>
  <c r="G2522" i="27"/>
  <c r="F2389" i="27"/>
  <c r="J2361" i="27"/>
  <c r="G2446" i="27"/>
  <c r="E2665" i="27"/>
  <c r="K2510" i="27"/>
  <c r="E2483" i="27"/>
  <c r="G2572" i="27"/>
  <c r="J2562" i="27"/>
  <c r="F2372" i="27"/>
  <c r="F2382" i="27"/>
  <c r="N2662" i="27"/>
  <c r="N2660" i="27"/>
  <c r="N2544" i="27"/>
  <c r="I2376" i="27"/>
  <c r="G2469" i="27"/>
  <c r="I2679" i="27"/>
  <c r="I2521" i="27"/>
  <c r="K2452" i="27"/>
  <c r="G2483" i="27"/>
  <c r="I2546" i="27"/>
  <c r="F2419" i="27"/>
  <c r="N2374" i="27"/>
  <c r="J2668" i="27"/>
  <c r="I2420" i="27"/>
  <c r="J2521" i="27"/>
  <c r="F2666" i="27"/>
  <c r="I2421" i="27"/>
  <c r="N2447" i="27"/>
  <c r="E2537" i="27"/>
  <c r="N2407" i="27"/>
  <c r="I2693" i="27"/>
  <c r="I2619" i="27"/>
  <c r="K2694" i="27"/>
  <c r="F2601" i="27"/>
  <c r="K2661" i="27"/>
  <c r="F2599" i="27"/>
  <c r="E2522" i="27"/>
  <c r="E2652" i="27"/>
  <c r="G2581" i="27"/>
  <c r="J2419" i="27"/>
  <c r="G2458" i="27"/>
  <c r="J2486" i="27"/>
  <c r="N2592" i="27"/>
  <c r="J2491" i="27"/>
  <c r="K2682" i="27"/>
  <c r="J2649" i="27"/>
  <c r="K2446" i="27"/>
  <c r="I2638" i="27"/>
  <c r="I2589" i="27"/>
  <c r="I2524" i="27"/>
  <c r="G2687" i="27"/>
  <c r="I2443" i="27"/>
  <c r="E2685" i="27"/>
  <c r="K2466" i="27"/>
  <c r="E2487" i="27"/>
  <c r="E2441" i="27"/>
  <c r="K2605" i="27"/>
  <c r="G2427" i="27"/>
  <c r="J2594" i="27"/>
  <c r="N2415" i="27"/>
  <c r="J2537" i="27"/>
  <c r="E2455" i="27"/>
  <c r="N2434" i="27"/>
  <c r="K2380" i="27"/>
  <c r="I2447" i="27"/>
  <c r="K2487" i="27"/>
  <c r="I2368" i="27"/>
  <c r="K2521" i="27"/>
  <c r="I2413" i="27"/>
  <c r="F2423" i="27"/>
  <c r="K2604" i="27"/>
  <c r="G2598" i="27"/>
  <c r="N2650" i="27"/>
  <c r="G2625" i="27"/>
  <c r="K2396" i="27"/>
  <c r="F2682" i="27"/>
  <c r="I2394" i="27"/>
  <c r="K2674" i="27"/>
  <c r="N2461" i="27"/>
  <c r="F2434" i="27"/>
  <c r="E2384" i="27"/>
  <c r="F2595" i="27"/>
  <c r="K2528" i="27"/>
  <c r="E2602" i="27"/>
  <c r="E2541" i="27"/>
  <c r="I2674" i="27"/>
  <c r="E2374" i="27"/>
  <c r="G2649" i="27"/>
  <c r="N2440" i="27"/>
  <c r="I2406" i="27"/>
  <c r="N2384" i="27"/>
  <c r="J2362" i="27"/>
  <c r="I2404" i="27"/>
  <c r="N2482" i="27"/>
  <c r="F2667" i="27"/>
  <c r="F2427" i="27"/>
  <c r="I2468" i="27"/>
  <c r="E2586" i="27"/>
  <c r="K2594" i="27"/>
  <c r="E2517" i="27"/>
  <c r="E2499" i="27"/>
  <c r="N2551" i="27"/>
  <c r="F2609" i="27"/>
  <c r="E2388" i="27"/>
  <c r="K2645" i="27"/>
  <c r="N2675" i="27"/>
  <c r="K2473" i="27"/>
  <c r="G2528" i="27"/>
  <c r="G2564" i="27"/>
  <c r="G2617" i="27"/>
  <c r="N2632" i="27"/>
  <c r="I2647" i="27"/>
  <c r="E2598" i="27"/>
  <c r="N2472" i="27"/>
  <c r="K2435" i="27"/>
  <c r="G2530" i="27"/>
  <c r="N2494" i="27"/>
  <c r="N2452" i="27"/>
  <c r="J2380" i="27"/>
  <c r="J2374" i="27"/>
  <c r="J2599" i="27"/>
  <c r="N2669" i="27"/>
  <c r="E2391" i="27"/>
  <c r="E2430" i="27"/>
  <c r="N2375" i="27"/>
  <c r="E2497" i="27"/>
  <c r="N2492" i="27"/>
  <c r="E2643" i="27"/>
  <c r="I2624" i="27"/>
  <c r="E2458" i="27"/>
  <c r="N2600" i="27"/>
  <c r="E2675" i="27"/>
  <c r="K2609" i="27"/>
  <c r="F2675" i="27"/>
  <c r="G2616" i="27"/>
  <c r="I2385" i="27"/>
  <c r="K2665" i="27"/>
  <c r="N2638" i="27"/>
  <c r="N2393" i="27"/>
  <c r="N2449" i="27"/>
  <c r="E2405" i="27"/>
  <c r="E2668" i="27"/>
  <c r="K2566" i="27"/>
  <c r="G2407" i="27"/>
  <c r="G2640" i="27"/>
  <c r="G2461" i="27"/>
  <c r="G2628" i="27"/>
  <c r="E2394" i="27"/>
  <c r="K2423" i="27"/>
  <c r="F2374" i="27"/>
  <c r="G2360" i="27"/>
  <c r="I2637" i="27"/>
  <c r="J2531" i="27"/>
  <c r="G2624" i="27"/>
  <c r="J2502" i="27"/>
  <c r="E2654" i="27"/>
  <c r="G2418" i="27"/>
  <c r="F2436" i="27"/>
  <c r="G2513" i="27"/>
  <c r="J2535" i="27"/>
  <c r="F2383" i="27"/>
  <c r="J2511" i="27"/>
  <c r="J2459" i="27"/>
  <c r="K2463" i="27"/>
  <c r="K2654" i="27"/>
  <c r="J2525" i="27"/>
  <c r="E2364" i="27"/>
  <c r="F2379" i="27"/>
  <c r="I2577" i="27"/>
  <c r="G2668" i="27"/>
  <c r="I2655" i="27"/>
  <c r="E2501" i="27"/>
  <c r="N2648" i="27"/>
  <c r="K2687" i="27"/>
  <c r="E2629" i="27"/>
  <c r="E2454" i="27"/>
  <c r="J2630" i="27"/>
  <c r="F2694" i="27"/>
  <c r="F2409" i="27"/>
  <c r="E2481" i="27"/>
  <c r="I2568" i="27"/>
  <c r="I2483" i="27"/>
  <c r="N2511" i="27"/>
  <c r="K2361" i="27"/>
  <c r="G2442" i="27"/>
  <c r="K2623" i="27"/>
  <c r="E2368" i="27"/>
  <c r="J2590" i="27"/>
  <c r="G2535" i="27"/>
  <c r="E2615" i="27"/>
  <c r="I2484" i="27"/>
  <c r="J2482" i="27"/>
  <c r="J2398" i="27"/>
  <c r="N2423" i="27"/>
  <c r="F2625" i="27"/>
  <c r="E2493" i="27"/>
  <c r="K2560" i="27"/>
  <c r="J2662" i="27"/>
  <c r="K2583" i="27"/>
  <c r="E2657" i="27"/>
  <c r="I2554" i="27"/>
  <c r="K2557" i="27"/>
  <c r="J2645" i="27"/>
  <c r="J2549" i="27"/>
  <c r="I2445" i="27"/>
  <c r="I2379" i="27"/>
  <c r="F2581" i="27"/>
  <c r="J2507" i="27"/>
  <c r="J2621" i="27"/>
  <c r="N2688" i="27"/>
  <c r="G2667" i="27"/>
  <c r="J2443" i="27"/>
  <c r="K2551" i="27"/>
  <c r="G2607" i="27"/>
  <c r="K2420" i="27"/>
  <c r="I2402" i="27"/>
  <c r="G2613" i="27"/>
  <c r="G2402" i="27"/>
  <c r="E2648" i="27"/>
  <c r="K2621" i="27"/>
  <c r="N2597" i="27"/>
  <c r="I2593" i="27"/>
  <c r="K2504" i="27"/>
  <c r="K2599" i="27"/>
  <c r="I2671" i="27"/>
  <c r="G2571" i="27"/>
  <c r="G2651" i="27"/>
  <c r="J2461" i="27"/>
  <c r="N2489" i="27"/>
  <c r="K2507" i="27"/>
  <c r="F2685" i="27"/>
  <c r="E2413" i="27"/>
  <c r="G2544" i="27"/>
  <c r="I2509" i="27"/>
  <c r="E2540" i="27"/>
  <c r="E2542" i="27"/>
  <c r="J2580" i="27"/>
  <c r="E2573" i="27"/>
  <c r="K2460" i="27"/>
  <c r="J2424" i="27"/>
  <c r="E2530" i="27"/>
  <c r="F2633" i="27"/>
  <c r="G2692" i="27"/>
  <c r="E2467" i="27"/>
  <c r="G2394" i="27"/>
  <c r="K2612" i="27"/>
  <c r="F2687" i="27"/>
  <c r="E2560" i="27"/>
  <c r="E2367" i="27"/>
  <c r="F2373" i="27"/>
  <c r="E2477" i="27"/>
  <c r="G2532" i="27"/>
  <c r="I2552" i="27"/>
  <c r="M2691" i="27"/>
  <c r="A2691" i="27" s="1"/>
  <c r="K2577" i="27"/>
  <c r="N2622" i="27"/>
  <c r="I2607" i="27"/>
  <c r="E2555" i="27"/>
  <c r="J2440" i="27"/>
  <c r="E2618" i="27"/>
  <c r="N2663" i="27"/>
  <c r="J2654" i="27"/>
  <c r="N2606" i="27"/>
  <c r="G2663" i="27"/>
  <c r="I2381" i="27"/>
  <c r="E2546" i="27"/>
  <c r="E2417" i="27"/>
  <c r="N2588" i="27"/>
  <c r="J2561" i="27"/>
  <c r="G2600" i="27"/>
  <c r="G2525" i="27"/>
  <c r="K2424" i="27"/>
  <c r="J2637" i="27"/>
  <c r="K2541" i="27"/>
  <c r="I2579" i="27"/>
  <c r="I2403" i="27"/>
  <c r="I2628" i="27"/>
  <c r="N2515" i="27"/>
  <c r="I2417" i="27"/>
  <c r="N2670" i="27"/>
  <c r="N2554" i="27"/>
  <c r="G2403" i="27"/>
  <c r="G2537" i="27"/>
  <c r="I2563" i="27"/>
  <c r="I2561" i="27"/>
  <c r="E2551" i="27"/>
  <c r="I2498" i="27"/>
  <c r="E2642" i="27"/>
  <c r="G2464" i="27"/>
  <c r="G2397" i="27"/>
  <c r="I2653" i="27"/>
  <c r="N2652" i="27"/>
  <c r="J2606" i="27"/>
  <c r="J2574" i="27"/>
  <c r="E2429" i="27"/>
  <c r="K2416" i="27"/>
  <c r="J2666" i="27"/>
  <c r="F2578" i="27"/>
  <c r="K2367" i="27"/>
  <c r="N2468" i="27"/>
  <c r="I2626" i="27"/>
  <c r="I2583" i="27"/>
  <c r="J2462" i="27"/>
  <c r="F2639" i="27"/>
  <c r="N2467" i="27"/>
  <c r="I2408" i="27"/>
  <c r="G2457" i="27"/>
  <c r="F2593" i="27"/>
  <c r="E2565" i="27"/>
  <c r="G2487" i="27"/>
  <c r="E2623" i="27"/>
  <c r="J2658" i="27"/>
  <c r="F2404" i="27"/>
  <c r="E2639" i="27"/>
  <c r="N2686" i="27"/>
  <c r="N2643" i="27"/>
  <c r="F2603" i="27"/>
  <c r="I2641" i="27"/>
  <c r="F2396" i="27"/>
  <c r="I2557" i="27"/>
  <c r="E2562" i="27"/>
  <c r="K2662" i="27"/>
  <c r="E2398" i="27"/>
  <c r="K2624" i="27"/>
  <c r="I2659" i="27"/>
  <c r="E2567" i="27"/>
  <c r="N2444" i="27"/>
  <c r="J2546" i="27"/>
  <c r="I2664" i="27"/>
  <c r="N2559" i="27"/>
  <c r="F2420" i="27"/>
  <c r="F2401" i="27"/>
  <c r="F2363" i="27"/>
  <c r="N2378" i="27"/>
  <c r="N2534" i="27"/>
  <c r="G2452" i="27"/>
  <c r="I2372" i="27"/>
  <c r="F2637" i="27"/>
  <c r="E2386" i="27"/>
  <c r="F2692" i="27"/>
  <c r="K2520" i="27"/>
  <c r="N2418" i="27"/>
  <c r="J2530" i="27"/>
  <c r="J2522" i="27"/>
  <c r="E2676" i="27"/>
  <c r="K2389" i="27"/>
  <c r="K2524" i="27"/>
  <c r="F2655" i="27"/>
  <c r="N2485" i="27"/>
  <c r="F2386" i="27"/>
  <c r="F2627" i="27"/>
  <c r="N2642" i="27"/>
  <c r="G2560" i="27"/>
  <c r="G2398" i="27"/>
  <c r="G2534" i="27"/>
  <c r="F2398" i="27"/>
  <c r="I2654" i="27"/>
  <c r="K2501" i="27"/>
  <c r="K2616" i="27"/>
  <c r="K2592" i="27"/>
  <c r="K2482" i="27"/>
  <c r="K2364" i="27"/>
  <c r="J2582" i="27"/>
  <c r="N2371" i="27"/>
  <c r="N2628" i="27"/>
  <c r="F2443" i="27"/>
  <c r="I2374" i="27"/>
  <c r="N2481" i="27"/>
  <c r="G2647" i="27"/>
  <c r="G2454" i="27"/>
  <c r="F2671" i="27"/>
  <c r="F2411" i="27"/>
  <c r="J2634" i="27"/>
  <c r="N2614" i="27"/>
  <c r="N2400" i="27"/>
  <c r="N2535" i="27"/>
  <c r="K2686" i="27"/>
  <c r="K2491" i="27"/>
  <c r="I2423" i="27"/>
  <c r="K2475" i="27"/>
  <c r="E2624" i="27"/>
  <c r="E2559" i="27"/>
  <c r="K2619" i="27"/>
  <c r="J2405" i="27"/>
  <c r="E2463" i="27"/>
  <c r="K2625" i="27"/>
  <c r="K2636" i="27"/>
  <c r="E2574" i="27"/>
  <c r="I2497" i="27"/>
  <c r="G2445" i="27"/>
  <c r="K2585" i="27"/>
  <c r="F2618" i="27"/>
  <c r="I2623" i="27"/>
  <c r="K2575" i="27"/>
  <c r="I2416" i="27"/>
  <c r="G2637" i="27"/>
  <c r="E2359" i="27"/>
  <c r="N2609" i="27"/>
  <c r="K2598" i="27"/>
  <c r="J2565" i="27"/>
  <c r="N2656" i="27"/>
  <c r="N2607" i="27"/>
  <c r="N2519" i="27"/>
  <c r="I2551" i="27"/>
  <c r="F2437" i="27"/>
  <c r="F2418" i="27"/>
  <c r="N2613" i="27"/>
  <c r="G2510" i="27"/>
  <c r="N2385" i="27"/>
  <c r="I2667" i="27"/>
  <c r="K2479" i="27"/>
  <c r="N2548" i="27"/>
  <c r="I2547" i="27"/>
  <c r="G2583" i="27"/>
  <c r="G2650" i="27"/>
  <c r="I2640" i="27"/>
  <c r="J2670" i="27"/>
  <c r="G2423" i="27"/>
  <c r="F2367" i="27"/>
  <c r="G2656" i="27"/>
  <c r="G2474" i="27"/>
  <c r="E2566" i="27"/>
  <c r="G2494" i="27"/>
  <c r="K2633" i="27"/>
  <c r="J2613" i="27"/>
  <c r="F2636" i="27"/>
  <c r="J2408" i="27"/>
  <c r="F2658" i="27"/>
  <c r="N2379" i="27"/>
  <c r="K2536" i="27"/>
  <c r="E2448" i="27"/>
  <c r="I2504" i="27"/>
  <c r="J2543" i="27"/>
  <c r="K2431" i="27"/>
  <c r="E2647" i="27"/>
  <c r="E2399" i="27"/>
  <c r="G2661" i="27"/>
  <c r="E2363" i="27"/>
  <c r="G2419" i="27"/>
  <c r="I2477" i="27"/>
  <c r="K2397" i="27"/>
  <c r="K2649" i="27"/>
  <c r="G2491" i="27"/>
  <c r="E2563" i="27"/>
  <c r="E2678" i="27"/>
  <c r="K2412" i="27"/>
  <c r="J2397" i="27"/>
  <c r="N2672" i="27"/>
  <c r="N2508" i="27"/>
  <c r="J2436" i="27"/>
  <c r="F2413" i="27"/>
  <c r="E2683" i="27"/>
  <c r="E2617" i="27"/>
  <c r="I2412" i="27"/>
  <c r="K2634" i="27"/>
  <c r="E2436" i="27"/>
  <c r="N2604" i="27"/>
  <c r="I2380" i="27"/>
  <c r="J2520" i="27"/>
  <c r="N2391" i="27"/>
  <c r="J2564" i="27"/>
  <c r="J2591" i="27"/>
  <c r="I2397" i="27"/>
  <c r="E2599" i="27"/>
  <c r="G2595" i="27"/>
  <c r="G2632" i="27"/>
  <c r="G2568" i="27"/>
  <c r="G2436" i="27"/>
  <c r="I2396" i="27"/>
  <c r="N2684" i="27"/>
  <c r="J2464" i="27"/>
  <c r="N2591" i="27"/>
  <c r="J2663" i="27"/>
  <c r="G2371" i="27"/>
  <c r="K2591" i="27"/>
  <c r="I2550" i="27"/>
  <c r="N2432" i="27"/>
  <c r="J2595" i="27"/>
  <c r="K2648" i="27"/>
  <c r="N2593" i="27"/>
  <c r="F2405" i="27"/>
  <c r="J2454" i="27"/>
  <c r="K2559" i="27"/>
  <c r="J2392" i="27"/>
  <c r="I2526" i="27"/>
  <c r="F2605" i="27"/>
  <c r="K2669" i="27"/>
  <c r="J2496" i="27"/>
  <c r="I2537" i="27"/>
  <c r="I2582" i="27"/>
  <c r="G2655" i="27"/>
  <c r="G2508" i="27"/>
  <c r="G2421" i="27"/>
  <c r="I2466" i="27"/>
  <c r="K2607" i="27"/>
  <c r="F2613" i="27"/>
  <c r="I2574" i="27"/>
  <c r="N2546" i="27"/>
  <c r="G2520" i="27"/>
  <c r="G2551" i="27"/>
  <c r="N2421" i="27"/>
  <c r="K2668" i="27"/>
  <c r="K2565" i="27"/>
  <c r="G2671" i="27"/>
  <c r="K2574" i="27"/>
  <c r="G2526" i="27"/>
  <c r="N2526" i="27"/>
  <c r="G2566" i="27"/>
  <c r="N2397" i="27"/>
  <c r="I2429" i="27"/>
  <c r="N2399" i="27"/>
  <c r="I2639" i="27"/>
  <c r="K2537" i="27"/>
  <c r="E2569" i="27"/>
  <c r="F2395" i="27"/>
  <c r="G2638" i="27"/>
  <c r="N2406" i="27"/>
  <c r="K2404" i="27"/>
  <c r="N2599" i="27"/>
  <c r="G2376" i="27"/>
  <c r="I2465" i="27"/>
  <c r="K2474" i="27"/>
  <c r="E2536" i="27"/>
  <c r="I2676" i="27"/>
  <c r="E2443" i="27"/>
  <c r="G2449" i="27"/>
  <c r="F2612" i="27"/>
  <c r="J2693" i="27"/>
  <c r="K2426" i="27"/>
  <c r="N2635" i="27"/>
  <c r="K2628" i="27"/>
  <c r="K2432" i="27"/>
  <c r="N2571" i="27"/>
  <c r="E2408" i="27"/>
  <c r="G2486" i="27"/>
  <c r="I2472" i="27"/>
  <c r="E2692" i="27"/>
  <c r="K2419" i="27"/>
  <c r="N2539" i="27"/>
  <c r="E2396" i="27"/>
  <c r="E2579" i="27"/>
  <c r="G2547" i="27"/>
  <c r="K2500" i="27"/>
  <c r="E2535" i="27"/>
  <c r="E2622" i="27"/>
  <c r="J2527" i="27"/>
  <c r="J2680" i="27"/>
  <c r="I2496" i="27"/>
  <c r="E2633" i="27"/>
  <c r="K2675" i="27"/>
  <c r="F2607" i="27"/>
  <c r="E2412" i="27"/>
  <c r="K2392" i="27"/>
  <c r="N2595" i="27"/>
  <c r="K2516" i="27"/>
  <c r="N2412" i="27"/>
  <c r="N2398" i="27"/>
  <c r="I2367" i="27"/>
  <c r="E2511" i="27"/>
  <c r="I2469" i="27"/>
  <c r="N2501" i="27"/>
  <c r="N2528" i="27"/>
  <c r="N2612" i="27"/>
  <c r="K2580" i="27"/>
  <c r="G2459" i="27"/>
  <c r="I2398" i="27"/>
  <c r="E2419" i="27"/>
  <c r="I2439" i="27"/>
  <c r="N2658" i="27"/>
  <c r="G2524" i="27"/>
  <c r="G2440" i="27"/>
  <c r="I2665" i="27"/>
  <c r="K2535" i="27"/>
  <c r="G2665" i="27"/>
  <c r="K2385" i="27"/>
  <c r="E2641" i="27"/>
  <c r="N2552" i="27"/>
  <c r="I2598" i="27"/>
  <c r="F2417" i="27"/>
  <c r="G2393" i="27"/>
  <c r="K2684" i="27"/>
  <c r="I2618" i="27"/>
  <c r="I2463" i="27"/>
  <c r="N2545" i="27"/>
  <c r="G2506" i="27"/>
  <c r="G2517" i="27"/>
  <c r="I2426" i="27"/>
  <c r="G2621" i="27"/>
  <c r="N2448" i="27"/>
  <c r="E2636" i="27"/>
  <c r="E2491" i="27"/>
  <c r="G2462" i="27"/>
  <c r="G2673" i="27"/>
  <c r="K2552" i="27"/>
  <c r="J2472" i="27"/>
  <c r="J2437" i="27"/>
  <c r="N2503" i="27"/>
  <c r="J2509" i="27"/>
  <c r="E2470" i="27"/>
  <c r="E2369" i="27"/>
  <c r="E2476" i="27"/>
  <c r="N2654" i="27"/>
  <c r="J2455" i="27"/>
  <c r="I2666" i="27"/>
  <c r="F2606" i="27"/>
  <c r="I2476" i="27"/>
  <c r="K2484" i="27"/>
  <c r="E2464" i="27"/>
  <c r="F2424" i="27"/>
  <c r="E2589" i="27"/>
  <c r="N2646" i="27"/>
  <c r="K2567" i="27"/>
  <c r="G2636" i="27"/>
  <c r="J2623" i="27"/>
  <c r="K2509" i="27"/>
  <c r="N2623" i="27"/>
  <c r="I2533" i="27"/>
  <c r="F2681" i="27"/>
  <c r="E2592" i="27"/>
  <c r="E2519" i="27"/>
  <c r="I2555" i="27"/>
  <c r="E2382" i="27"/>
  <c r="K2413" i="27"/>
  <c r="E2680" i="27"/>
  <c r="I2548" i="27"/>
  <c r="G2592" i="27"/>
  <c r="G2503" i="27"/>
  <c r="I2681" i="27"/>
  <c r="J2485" i="27"/>
  <c r="K2366" i="27"/>
  <c r="G2477" i="27"/>
  <c r="G2523" i="27"/>
  <c r="J2640" i="27"/>
  <c r="N2659" i="27"/>
  <c r="J2467" i="27"/>
  <c r="E2630" i="27"/>
  <c r="N2664" i="27"/>
  <c r="I2609" i="27"/>
  <c r="N2439" i="27"/>
  <c r="J2519" i="27"/>
  <c r="K2539" i="27"/>
  <c r="G2511" i="27"/>
  <c r="J2463" i="27"/>
  <c r="N2480" i="27"/>
  <c r="G2648" i="27"/>
  <c r="K2644" i="27"/>
  <c r="I2538" i="27"/>
  <c r="K2532" i="27"/>
  <c r="E2432" i="27"/>
  <c r="N2466" i="27"/>
  <c r="G2626" i="27"/>
  <c r="E2385" i="27"/>
  <c r="K2511" i="27"/>
  <c r="J2481" i="27"/>
  <c r="N2441" i="27"/>
  <c r="G2639" i="27"/>
  <c r="N2409" i="27"/>
  <c r="J2644" i="27"/>
  <c r="N2518" i="27"/>
  <c r="K2671" i="27"/>
  <c r="E2651" i="27"/>
  <c r="K2425" i="27"/>
  <c r="N2615" i="27"/>
  <c r="G2455" i="27"/>
  <c r="J2480" i="27"/>
  <c r="I2407" i="27"/>
  <c r="N2690" i="27"/>
  <c r="E2484" i="27"/>
  <c r="K2461" i="27"/>
  <c r="G2405" i="27"/>
  <c r="J2643" i="27"/>
  <c r="I2673" i="27"/>
  <c r="F2369" i="27"/>
  <c r="E2512" i="27"/>
  <c r="N2360" i="27"/>
  <c r="I2490" i="27"/>
  <c r="E2390" i="27"/>
  <c r="G2615" i="27"/>
  <c r="I2517" i="27"/>
  <c r="E2649" i="27"/>
  <c r="N2476" i="27"/>
  <c r="J2548" i="27"/>
  <c r="G2552" i="27"/>
  <c r="K2600" i="27"/>
  <c r="N2585" i="27"/>
  <c r="I2487" i="27"/>
  <c r="G2589" i="27"/>
  <c r="N2462" i="27"/>
  <c r="E2558" i="27"/>
  <c r="I2558" i="27"/>
  <c r="N2687" i="27"/>
  <c r="G2387" i="27"/>
  <c r="F2370" i="27"/>
  <c r="I2617" i="27"/>
  <c r="I2629" i="27"/>
  <c r="F2580" i="27"/>
  <c r="F2646" i="27"/>
  <c r="N2387" i="27"/>
  <c r="J2478" i="27"/>
  <c r="K2651" i="27"/>
  <c r="F2661" i="27"/>
  <c r="E2686" i="27"/>
  <c r="G2542" i="27"/>
  <c r="J2601" i="27"/>
  <c r="K2584" i="27"/>
  <c r="G2541" i="27"/>
  <c r="F2650" i="27"/>
  <c r="J2603" i="27"/>
  <c r="F2645" i="27"/>
  <c r="E2504" i="27"/>
  <c r="I2434" i="27"/>
  <c r="K2546" i="27"/>
  <c r="I2449" i="27"/>
  <c r="N2611" i="27"/>
  <c r="N2629" i="27"/>
  <c r="E2570" i="27"/>
  <c r="F2597" i="27"/>
  <c r="I2567" i="27"/>
  <c r="I2383" i="27"/>
  <c r="F2402" i="27"/>
  <c r="N2565" i="27"/>
  <c r="J2567" i="27"/>
  <c r="J2589" i="27"/>
  <c r="G2380" i="27"/>
  <c r="K2689" i="27"/>
  <c r="I2615" i="27"/>
  <c r="E2431" i="27"/>
  <c r="N2456" i="27"/>
  <c r="I2634" i="27"/>
  <c r="G2363" i="27"/>
  <c r="I2384" i="27"/>
  <c r="N2419" i="27"/>
  <c r="K2454" i="27"/>
  <c r="J2475" i="27"/>
  <c r="J2661" i="27"/>
  <c r="E2583" i="27"/>
  <c r="F2623" i="27"/>
  <c r="I2605" i="27"/>
  <c r="E2580" i="27"/>
  <c r="J2448" i="27"/>
  <c r="J2550" i="27"/>
  <c r="N2693" i="27"/>
  <c r="I2415" i="27"/>
  <c r="K2519" i="27"/>
  <c r="I2576" i="27"/>
  <c r="K2393" i="27"/>
  <c r="K2611" i="27"/>
  <c r="K2485" i="27"/>
  <c r="K2692" i="27"/>
  <c r="I2544" i="27"/>
  <c r="J2471" i="27"/>
  <c r="E2439" i="27"/>
  <c r="I2424" i="27"/>
  <c r="E2614" i="27"/>
  <c r="N2443" i="27"/>
  <c r="K2483" i="27"/>
  <c r="J2545" i="27"/>
  <c r="E2418" i="27"/>
  <c r="N2533" i="27"/>
  <c r="E2426" i="27"/>
  <c r="G2484" i="27"/>
  <c r="G2596" i="27"/>
  <c r="E2514" i="27"/>
  <c r="N2655" i="27"/>
  <c r="K2647" i="27"/>
  <c r="N2373" i="27"/>
  <c r="N2416" i="27"/>
  <c r="N2386" i="27"/>
  <c r="K2386" i="27"/>
  <c r="J2365" i="27"/>
  <c r="I2570" i="27"/>
  <c r="N2556" i="27"/>
  <c r="E2620" i="27"/>
  <c r="G2658" i="27"/>
  <c r="J2610" i="27"/>
  <c r="I2360" i="27"/>
  <c r="J2596" i="27"/>
  <c r="K2094" i="27"/>
  <c r="K1838" i="27"/>
  <c r="K1917" i="27"/>
  <c r="K1928" i="27"/>
  <c r="K1824" i="27"/>
  <c r="K2079" i="27"/>
  <c r="K1797" i="27"/>
  <c r="K2050" i="27"/>
  <c r="K1983" i="27"/>
  <c r="K1968" i="27"/>
  <c r="K1828" i="27"/>
  <c r="K2062" i="27"/>
  <c r="K1980" i="27"/>
  <c r="K2053" i="27"/>
  <c r="K2083" i="27"/>
  <c r="K1880" i="27"/>
  <c r="K2054" i="27"/>
  <c r="K1972" i="27"/>
  <c r="K1950" i="27"/>
  <c r="K1819" i="27"/>
  <c r="K2093" i="27"/>
  <c r="K1967" i="27"/>
  <c r="K1955" i="27"/>
  <c r="K2012" i="27"/>
  <c r="K1954" i="27"/>
  <c r="K1996" i="27"/>
  <c r="K2038" i="27"/>
  <c r="K1921" i="27"/>
  <c r="K1876" i="27"/>
  <c r="K1891" i="27"/>
  <c r="K2078" i="27"/>
  <c r="K1794" i="27"/>
  <c r="K2019" i="27"/>
  <c r="K1927" i="27"/>
  <c r="K1846" i="27"/>
  <c r="K1765" i="27"/>
  <c r="K2033" i="27"/>
  <c r="K1910" i="27"/>
  <c r="K1916" i="27"/>
  <c r="K1900" i="27"/>
  <c r="K2070" i="27"/>
  <c r="K1860" i="27"/>
  <c r="K1859" i="27"/>
  <c r="K1944" i="27"/>
  <c r="K1812" i="27"/>
  <c r="K1918" i="27"/>
  <c r="K2048" i="27"/>
  <c r="K1909" i="27"/>
  <c r="K1896" i="27"/>
  <c r="K1893" i="27"/>
  <c r="K2024" i="27"/>
  <c r="K1857" i="27"/>
  <c r="K2074" i="27"/>
  <c r="K1821" i="27"/>
  <c r="K1993" i="27"/>
  <c r="K1820" i="27"/>
  <c r="K2060" i="27"/>
  <c r="K1804" i="27"/>
  <c r="K2008" i="27"/>
  <c r="K2092" i="27"/>
  <c r="K1946" i="27"/>
  <c r="K2052" i="27"/>
  <c r="K2058" i="27"/>
  <c r="K1963" i="27"/>
  <c r="K2026" i="27"/>
  <c r="K1938" i="27"/>
  <c r="K1779" i="27"/>
  <c r="K1858" i="27"/>
  <c r="K1906" i="27"/>
  <c r="K1939" i="27"/>
  <c r="K1930" i="27"/>
  <c r="K1835" i="27"/>
  <c r="K1874" i="27"/>
  <c r="K1920" i="27"/>
  <c r="K1870" i="27"/>
  <c r="K1897" i="27"/>
  <c r="K1763" i="27"/>
  <c r="K1941" i="27"/>
  <c r="K1805" i="27"/>
  <c r="K1771" i="27"/>
  <c r="K2011" i="27"/>
  <c r="K1773" i="27"/>
  <c r="K1788" i="27"/>
  <c r="K1970" i="27"/>
  <c r="K1800" i="27"/>
  <c r="K1895" i="27"/>
  <c r="K2001" i="27"/>
  <c r="K1834" i="27"/>
  <c r="K2064" i="27"/>
  <c r="K1922" i="27"/>
  <c r="K1997" i="27"/>
  <c r="K2015" i="27"/>
  <c r="K2007" i="27"/>
  <c r="K2051" i="27"/>
  <c r="K1873" i="27"/>
  <c r="K1768" i="27"/>
  <c r="K1975" i="27"/>
  <c r="K1841" i="27"/>
  <c r="K2043" i="27"/>
  <c r="K1919" i="27"/>
  <c r="K2018" i="27"/>
  <c r="K1934" i="27"/>
  <c r="K2066" i="27"/>
  <c r="K1907" i="27"/>
  <c r="K2006" i="27"/>
  <c r="K1888" i="27"/>
  <c r="K2039" i="27"/>
  <c r="K1988" i="27"/>
  <c r="K1933" i="27"/>
  <c r="K1826" i="27"/>
  <c r="K1868" i="27"/>
  <c r="K1911" i="27"/>
  <c r="K2014" i="27"/>
  <c r="K2034" i="27"/>
  <c r="K1885" i="27"/>
  <c r="K1801" i="27"/>
  <c r="K1798" i="27"/>
  <c r="K1825" i="27"/>
  <c r="K1977" i="27"/>
  <c r="K1785" i="27"/>
  <c r="K1912" i="27"/>
  <c r="K2031" i="27"/>
  <c r="K1851" i="27"/>
  <c r="K1780" i="27"/>
  <c r="K2080" i="27"/>
  <c r="K1832" i="27"/>
  <c r="K1769" i="27"/>
  <c r="K2037" i="27"/>
  <c r="K1781" i="27"/>
  <c r="K2021" i="27"/>
  <c r="K1936" i="27"/>
  <c r="K1853" i="27"/>
  <c r="K1998" i="27"/>
  <c r="K2068" i="27"/>
  <c r="K1783" i="27"/>
  <c r="K1945" i="27"/>
  <c r="K2076" i="27"/>
  <c r="K1823" i="27"/>
  <c r="K2017" i="27"/>
  <c r="K1903" i="27"/>
  <c r="K2086" i="27"/>
  <c r="K1960" i="27"/>
  <c r="K2046" i="27"/>
  <c r="K1817" i="27"/>
  <c r="K1844" i="27"/>
  <c r="K1822" i="27"/>
  <c r="K1806" i="27"/>
  <c r="K1974" i="27"/>
  <c r="K1816" i="27"/>
  <c r="K2072" i="27"/>
  <c r="K2049" i="27"/>
  <c r="K2004" i="27"/>
  <c r="K1904" i="27"/>
  <c r="K1778" i="27"/>
  <c r="K1774" i="27"/>
  <c r="K1879" i="27"/>
  <c r="K1976" i="27"/>
  <c r="K1789" i="27"/>
  <c r="K1837" i="27"/>
  <c r="K1961" i="27"/>
  <c r="K1836" i="27"/>
  <c r="K1845" i="27"/>
  <c r="K2065" i="27"/>
  <c r="K1809" i="27"/>
  <c r="K1951" i="27"/>
  <c r="K1867" i="27"/>
  <c r="K1767" i="27"/>
  <c r="K2032" i="27"/>
  <c r="K1981" i="27"/>
  <c r="K1799" i="27"/>
  <c r="K1813" i="27"/>
  <c r="K1894" i="27"/>
  <c r="K1814" i="27"/>
  <c r="K1854" i="27"/>
  <c r="K2061" i="27"/>
  <c r="K2027" i="27"/>
  <c r="K1892" i="27"/>
  <c r="K2029" i="27"/>
  <c r="K2044" i="27"/>
  <c r="K2028" i="27"/>
  <c r="K1865" i="27"/>
  <c r="K2003" i="27"/>
  <c r="K1932" i="27"/>
  <c r="K2056" i="27"/>
  <c r="K1764" i="27"/>
  <c r="K1901" i="27"/>
  <c r="K1931" i="27"/>
  <c r="K2077" i="27"/>
  <c r="K1791" i="27"/>
  <c r="K1875" i="27"/>
  <c r="K1790" i="27"/>
  <c r="K1914" i="27"/>
  <c r="K1953" i="27"/>
  <c r="K1786" i="27"/>
  <c r="K1856" i="27"/>
  <c r="K1833" i="27"/>
  <c r="K1984" i="27"/>
  <c r="K1947" i="27"/>
  <c r="K1883" i="27"/>
  <c r="K1915" i="27"/>
  <c r="K2042" i="27"/>
  <c r="K2084" i="27"/>
  <c r="K2089" i="27"/>
  <c r="K1877" i="27"/>
  <c r="K1847" i="27"/>
  <c r="K1829" i="27"/>
  <c r="K1815" i="27"/>
  <c r="K2040" i="27"/>
  <c r="K1995" i="27"/>
  <c r="K1863" i="27"/>
  <c r="K1784" i="27"/>
  <c r="K2067" i="27"/>
  <c r="K2041" i="27"/>
  <c r="K1864" i="27"/>
  <c r="K1782" i="27"/>
  <c r="K1770" i="27"/>
  <c r="K1882" i="27"/>
  <c r="K1905" i="27"/>
  <c r="K1994" i="27"/>
  <c r="K2036" i="27"/>
  <c r="K1913" i="27"/>
  <c r="K1987" i="27"/>
  <c r="K2025" i="27"/>
  <c r="K1971" i="27"/>
  <c r="K1952" i="27"/>
  <c r="K1777" i="27"/>
  <c r="K1979" i="27"/>
  <c r="K1908" i="27"/>
  <c r="K1850" i="27"/>
  <c r="K2090" i="27"/>
  <c r="K1940" i="27"/>
  <c r="K1843" i="27"/>
  <c r="K1792" i="27"/>
  <c r="K1926" i="27"/>
  <c r="K1973" i="27"/>
  <c r="K1871" i="27"/>
  <c r="K1966" i="27"/>
  <c r="K2045" i="27"/>
  <c r="K1937" i="27"/>
  <c r="K1776" i="27"/>
  <c r="K1962" i="27"/>
  <c r="K2087" i="27"/>
  <c r="K1818" i="27"/>
  <c r="K1924" i="27"/>
  <c r="K1842" i="27"/>
  <c r="K1762" i="27"/>
  <c r="K1772" i="27"/>
  <c r="K1766" i="27"/>
  <c r="K2055" i="27"/>
  <c r="K2009" i="27"/>
  <c r="K1827" i="27"/>
  <c r="K1884" i="27"/>
  <c r="K1787" i="27"/>
  <c r="K1869" i="27"/>
  <c r="K1956" i="27"/>
  <c r="K2075" i="27"/>
  <c r="K2035" i="27"/>
  <c r="K1839" i="27"/>
  <c r="K2057" i="27"/>
  <c r="K2082" i="27"/>
  <c r="K2081" i="27"/>
  <c r="K2091" i="27"/>
  <c r="K1775" i="27"/>
  <c r="K1898" i="27"/>
  <c r="K2010" i="27"/>
  <c r="K1881" i="27"/>
  <c r="K1929" i="27"/>
  <c r="K1886" i="27"/>
  <c r="K1887" i="27"/>
  <c r="K2002" i="27"/>
  <c r="K1861" i="27"/>
  <c r="K2088" i="27"/>
  <c r="K1948" i="27"/>
  <c r="K1943" i="27"/>
  <c r="K1889" i="27"/>
  <c r="K1899" i="27"/>
  <c r="K1935" i="27"/>
  <c r="K1958" i="27"/>
  <c r="K1964" i="27"/>
  <c r="K2005" i="27"/>
  <c r="K1925" i="27"/>
  <c r="K1803" i="27"/>
  <c r="K1949" i="27"/>
  <c r="K1959" i="27"/>
  <c r="K2059" i="27"/>
  <c r="K1866" i="27"/>
  <c r="K2047" i="27"/>
  <c r="K1992" i="27"/>
  <c r="K1985" i="27"/>
  <c r="K1807" i="27"/>
  <c r="K2073" i="27"/>
  <c r="K1849" i="27"/>
  <c r="K1810" i="27"/>
  <c r="K1852" i="27"/>
  <c r="K2071" i="27"/>
  <c r="K1969" i="27"/>
  <c r="K1796" i="27"/>
  <c r="K1802" i="27"/>
  <c r="K2023" i="27"/>
  <c r="K1991" i="27"/>
  <c r="K1848" i="27"/>
  <c r="K1986" i="27"/>
  <c r="K2016" i="27"/>
  <c r="K2063" i="27"/>
  <c r="K2085" i="27"/>
  <c r="K1808" i="27"/>
  <c r="K2022" i="27"/>
  <c r="K1965" i="27"/>
  <c r="K1982" i="27"/>
  <c r="K1872" i="27"/>
  <c r="K2030" i="27"/>
  <c r="K1855" i="27"/>
  <c r="K1957" i="27"/>
  <c r="K1831" i="27"/>
  <c r="K2069" i="27"/>
  <c r="K1989" i="27"/>
  <c r="K1793" i="27"/>
  <c r="K2013" i="27"/>
  <c r="K1902" i="27"/>
  <c r="K1990" i="27"/>
  <c r="K1923" i="27"/>
  <c r="K1890" i="27"/>
  <c r="K1795" i="27"/>
  <c r="K1840" i="27"/>
  <c r="K1878" i="27"/>
  <c r="K1830" i="27"/>
  <c r="K1978" i="27"/>
  <c r="K1942" i="27"/>
  <c r="K2000" i="27"/>
  <c r="K1862" i="27"/>
  <c r="K1999" i="27"/>
  <c r="K2020" i="27"/>
  <c r="K1811" i="27"/>
  <c r="H1494" i="27"/>
  <c r="I1494" i="27"/>
  <c r="J1494" i="27"/>
  <c r="G1494" i="27"/>
  <c r="N1494" i="27"/>
  <c r="K1494" i="27"/>
  <c r="E1494" i="27"/>
  <c r="F1494" i="27"/>
  <c r="W124" i="1"/>
  <c r="Y124" i="1"/>
  <c r="E124" i="1"/>
  <c r="G1817" i="32"/>
  <c r="G1819" i="32"/>
  <c r="M1323" i="32" l="1" a="1"/>
  <c r="M1323" i="32" s="1"/>
  <c r="D1323" i="32" s="1"/>
  <c r="N1323" i="32" a="1"/>
  <c r="N1323" i="32" s="1"/>
  <c r="E1323" i="32" s="1"/>
  <c r="F2446" i="27" s="1"/>
  <c r="O1323" i="32" a="1"/>
  <c r="O1323" i="32" s="1"/>
  <c r="M2446" i="27" s="1"/>
  <c r="A2446" i="27" s="1"/>
  <c r="K1327" i="32"/>
  <c r="L1325" i="32"/>
  <c r="E2693" i="27"/>
  <c r="E2694" i="27"/>
  <c r="AF124" i="1"/>
  <c r="B125" i="1" a="1"/>
  <c r="B125" i="1" s="1"/>
  <c r="AD124" i="1"/>
  <c r="AE124" i="1" s="1" a="1"/>
  <c r="AE124" i="1" s="1"/>
  <c r="AC38" i="34"/>
  <c r="AF73" i="34"/>
  <c r="AF70" i="34"/>
  <c r="AF21" i="34"/>
  <c r="AC77" i="34"/>
  <c r="AC32" i="34"/>
  <c r="AC67" i="34"/>
  <c r="AF29" i="34"/>
  <c r="AC22" i="34"/>
  <c r="AC78" i="34"/>
  <c r="AC56" i="34"/>
  <c r="AF49" i="34"/>
  <c r="AC29" i="34"/>
  <c r="AC37" i="34"/>
  <c r="AC54" i="34"/>
  <c r="AC88" i="34"/>
  <c r="AF13" i="34"/>
  <c r="AC62" i="34"/>
  <c r="AC68" i="34"/>
  <c r="AF34" i="34"/>
  <c r="AC9" i="34"/>
  <c r="AF71" i="34"/>
  <c r="AC81" i="34"/>
  <c r="AF72" i="34"/>
  <c r="AC74" i="34"/>
  <c r="AC17" i="34"/>
  <c r="AC10" i="34"/>
  <c r="AC16" i="34"/>
  <c r="AC84" i="34"/>
  <c r="AC31" i="34"/>
  <c r="AC20" i="34"/>
  <c r="AF54" i="34"/>
  <c r="AC79" i="34"/>
  <c r="AF58" i="34"/>
  <c r="AC51" i="34"/>
  <c r="AC63" i="34"/>
  <c r="AC30" i="34"/>
  <c r="AC57" i="34"/>
  <c r="AC12" i="34"/>
  <c r="AF26" i="34"/>
  <c r="AF62" i="34"/>
  <c r="AF24" i="34"/>
  <c r="AF18" i="34"/>
  <c r="AC70" i="34"/>
  <c r="AF20" i="34"/>
  <c r="AF55" i="34"/>
  <c r="AF64" i="34"/>
  <c r="AF40" i="34"/>
  <c r="AF33" i="34"/>
  <c r="AF31" i="34"/>
  <c r="AC45" i="34"/>
  <c r="AF81" i="34"/>
  <c r="AF83" i="34"/>
  <c r="AC85" i="34"/>
  <c r="AC58" i="34"/>
  <c r="AF79" i="34"/>
  <c r="AF63" i="34"/>
  <c r="AC18" i="34"/>
  <c r="AF80" i="34"/>
  <c r="AC21" i="34"/>
  <c r="AC65" i="34"/>
  <c r="AF86" i="34"/>
  <c r="AF76" i="34"/>
  <c r="AC44" i="34"/>
  <c r="AC35" i="34"/>
  <c r="AC64" i="34"/>
  <c r="AC39" i="34"/>
  <c r="AF25" i="34"/>
  <c r="AF47" i="34"/>
  <c r="AF85" i="34"/>
  <c r="AF42" i="34"/>
  <c r="AC28" i="34"/>
  <c r="AF88" i="34"/>
  <c r="AF15" i="34"/>
  <c r="AC14" i="34"/>
  <c r="AF32" i="34"/>
  <c r="AC72" i="34"/>
  <c r="AC25" i="34"/>
  <c r="AF82" i="34"/>
  <c r="AF77" i="34"/>
  <c r="AF52" i="34"/>
  <c r="AC86" i="34"/>
  <c r="AF39" i="34"/>
  <c r="AF84" i="34"/>
  <c r="AF43" i="34"/>
  <c r="AC76" i="34"/>
  <c r="AF14" i="34"/>
  <c r="AC19" i="34"/>
  <c r="AC40" i="34"/>
  <c r="AF53" i="34"/>
  <c r="AC33" i="34"/>
  <c r="AF66" i="34"/>
  <c r="AF16" i="34"/>
  <c r="AF41" i="34"/>
  <c r="AF37" i="34"/>
  <c r="AF46" i="34"/>
  <c r="AF59" i="34"/>
  <c r="AF17" i="34"/>
  <c r="AC27" i="34"/>
  <c r="AF45" i="34"/>
  <c r="AC11" i="34"/>
  <c r="AF68" i="34"/>
  <c r="AF9" i="34"/>
  <c r="AC53" i="34"/>
  <c r="AC50" i="34"/>
  <c r="AC36" i="34"/>
  <c r="AC73" i="34"/>
  <c r="AF50" i="34"/>
  <c r="AF57" i="34"/>
  <c r="AC43" i="34"/>
  <c r="AC52" i="34"/>
  <c r="AF56" i="34"/>
  <c r="AF10" i="34"/>
  <c r="AC48" i="34"/>
  <c r="AC49" i="34"/>
  <c r="AC34" i="34"/>
  <c r="AF23" i="34"/>
  <c r="AC47" i="34"/>
  <c r="AF51" i="34"/>
  <c r="AF48" i="34"/>
  <c r="AC41" i="34"/>
  <c r="AC61" i="34"/>
  <c r="AC46" i="34"/>
  <c r="AF38" i="34"/>
  <c r="AC83" i="34"/>
  <c r="AC42" i="34"/>
  <c r="AC55" i="34"/>
  <c r="AF12" i="34"/>
  <c r="AC59" i="34"/>
  <c r="AC60" i="34"/>
  <c r="AF28" i="34"/>
  <c r="AC75" i="34"/>
  <c r="AF19" i="34"/>
  <c r="AF35" i="34"/>
  <c r="AF65" i="34"/>
  <c r="AC80" i="34"/>
  <c r="AF67" i="34"/>
  <c r="AC69" i="34"/>
  <c r="AF22" i="34"/>
  <c r="AF30" i="34"/>
  <c r="AF36" i="34"/>
  <c r="AF44" i="34"/>
  <c r="AF61" i="34"/>
  <c r="AC66" i="34"/>
  <c r="AF11" i="34"/>
  <c r="AC87" i="34"/>
  <c r="AF27" i="34"/>
  <c r="AF74" i="34"/>
  <c r="AC82" i="34"/>
  <c r="AC24" i="34"/>
  <c r="AF60" i="34"/>
  <c r="AF69" i="34"/>
  <c r="AF75" i="34"/>
  <c r="AC15" i="34"/>
  <c r="AC23" i="34"/>
  <c r="AF87" i="34"/>
  <c r="AF78" i="34"/>
  <c r="AC13" i="34"/>
  <c r="AC71" i="34"/>
  <c r="AC26" i="34"/>
  <c r="X124" i="1"/>
  <c r="AH124" i="1" s="1"/>
  <c r="U124" i="1"/>
  <c r="L124" i="1" s="1"/>
  <c r="D2801" i="27"/>
  <c r="D2831" i="27"/>
  <c r="D2805" i="27"/>
  <c r="D2844" i="27"/>
  <c r="D2834" i="27"/>
  <c r="D2843" i="27"/>
  <c r="D2807" i="27"/>
  <c r="D2816" i="27"/>
  <c r="D2815" i="27"/>
  <c r="D2826" i="27"/>
  <c r="D2842" i="27"/>
  <c r="D2855" i="27"/>
  <c r="D2799" i="27"/>
  <c r="D2847" i="27"/>
  <c r="D2845" i="27"/>
  <c r="D2803" i="27"/>
  <c r="D2783" i="27"/>
  <c r="D2819" i="27"/>
  <c r="D2808" i="27"/>
  <c r="D2806" i="27"/>
  <c r="D2820" i="27"/>
  <c r="D2818" i="27"/>
  <c r="D2838" i="27"/>
  <c r="D2857" i="27"/>
  <c r="D2782" i="27"/>
  <c r="D2859" i="27"/>
  <c r="D2851" i="27"/>
  <c r="D2822" i="27"/>
  <c r="D2785" i="27"/>
  <c r="D2827" i="27"/>
  <c r="D2832" i="27"/>
  <c r="D2811" i="27"/>
  <c r="D2794" i="27"/>
  <c r="D2793" i="27"/>
  <c r="D2791" i="27"/>
  <c r="D2814" i="27"/>
  <c r="D2849" i="27"/>
  <c r="D2850" i="27"/>
  <c r="D2817" i="27"/>
  <c r="D2856" i="27"/>
  <c r="D2800" i="27"/>
  <c r="D2824" i="27"/>
  <c r="D2835" i="27"/>
  <c r="D2798" i="27"/>
  <c r="D2823" i="27"/>
  <c r="D2781" i="27"/>
  <c r="D2854" i="27"/>
  <c r="D2825" i="27"/>
  <c r="D2836" i="27"/>
  <c r="D2812" i="27"/>
  <c r="D2809" i="27"/>
  <c r="D2858" i="27"/>
  <c r="D2837" i="27"/>
  <c r="D2828" i="27"/>
  <c r="D2813" i="27"/>
  <c r="D2797" i="27"/>
  <c r="D2833" i="27"/>
  <c r="D2790" i="27"/>
  <c r="D2848" i="27"/>
  <c r="D2804" i="27"/>
  <c r="D2840" i="27"/>
  <c r="D2792" i="27"/>
  <c r="D2830" i="27"/>
  <c r="D2810" i="27"/>
  <c r="D2841" i="27"/>
  <c r="D2802" i="27"/>
  <c r="D2852" i="27"/>
  <c r="D2853" i="27"/>
  <c r="D2846" i="27"/>
  <c r="D2786" i="27"/>
  <c r="D2839" i="27"/>
  <c r="D2795" i="27"/>
  <c r="D2796" i="27"/>
  <c r="D2829" i="27"/>
  <c r="D2788" i="27"/>
  <c r="D2787" i="27"/>
  <c r="D2821" i="27"/>
  <c r="D2784" i="27"/>
  <c r="D2789" i="27"/>
  <c r="D2780" i="27"/>
  <c r="M1325" i="32" l="1" a="1"/>
  <c r="M1325" i="32" s="1"/>
  <c r="D1325" i="32" s="1"/>
  <c r="N1325" i="32" a="1"/>
  <c r="N1325" i="32" s="1"/>
  <c r="E1325" i="32" s="1"/>
  <c r="F2447" i="27" s="1"/>
  <c r="O1325" i="32" a="1"/>
  <c r="O1325" i="32" s="1"/>
  <c r="M2447" i="27" s="1"/>
  <c r="A2447" i="27" s="1"/>
  <c r="K1329" i="32"/>
  <c r="L1327" i="32"/>
  <c r="AE125" i="1" a="1"/>
  <c r="AE125" i="1" s="1"/>
  <c r="AI124" i="1"/>
  <c r="AI160" i="1"/>
  <c r="AI153" i="1"/>
  <c r="AI145" i="1"/>
  <c r="AI170" i="1"/>
  <c r="AI126" i="1"/>
  <c r="AI155" i="1"/>
  <c r="AI129" i="1"/>
  <c r="AI166" i="1"/>
  <c r="AI133" i="1"/>
  <c r="AI164" i="1"/>
  <c r="AI128" i="1"/>
  <c r="AI158" i="1"/>
  <c r="AI140" i="1"/>
  <c r="AI167" i="1"/>
  <c r="AI161" i="1"/>
  <c r="AI168" i="1"/>
  <c r="AI143" i="1"/>
  <c r="AI163" i="1"/>
  <c r="AI139" i="1"/>
  <c r="AI162" i="1"/>
  <c r="AI141" i="1"/>
  <c r="AI165" i="1"/>
  <c r="AI125" i="1"/>
  <c r="AI173" i="1"/>
  <c r="AI159" i="1"/>
  <c r="AI137" i="1"/>
  <c r="AI147" i="1"/>
  <c r="AI154" i="1"/>
  <c r="AI169" i="1"/>
  <c r="AI149" i="1"/>
  <c r="AI151" i="1"/>
  <c r="AI127" i="1"/>
  <c r="AI132" i="1"/>
  <c r="AI157" i="1"/>
  <c r="AI152" i="1"/>
  <c r="AI172" i="1"/>
  <c r="AI156" i="1"/>
  <c r="AI146" i="1"/>
  <c r="AI144" i="1"/>
  <c r="AI134" i="1"/>
  <c r="AI135" i="1"/>
  <c r="AI150" i="1"/>
  <c r="AI130" i="1"/>
  <c r="AI174" i="1"/>
  <c r="AI136" i="1"/>
  <c r="AI148" i="1"/>
  <c r="AI142" i="1"/>
  <c r="AI131" i="1"/>
  <c r="AI138" i="1"/>
  <c r="AI171" i="1"/>
  <c r="AE126" i="1" a="1"/>
  <c r="AE126" i="1" s="1"/>
  <c r="AE127" i="1" s="1" a="1"/>
  <c r="AE127" i="1" s="1"/>
  <c r="B126" i="1" a="1"/>
  <c r="B126" i="1" s="1"/>
  <c r="B127" i="1" s="1" a="1"/>
  <c r="B127" i="1" s="1"/>
  <c r="AA124" i="1"/>
  <c r="O124" i="1" s="1"/>
  <c r="AO124" i="1"/>
  <c r="N124" i="1"/>
  <c r="AC124" i="1"/>
  <c r="M124" i="1"/>
  <c r="I2859" i="27"/>
  <c r="I2821" i="27"/>
  <c r="I2830" i="27"/>
  <c r="I2856" i="27"/>
  <c r="I2808" i="27"/>
  <c r="I2827" i="27"/>
  <c r="I2791" i="27"/>
  <c r="I2792" i="27"/>
  <c r="I2850" i="27"/>
  <c r="I2829" i="27"/>
  <c r="I2857" i="27"/>
  <c r="I2828" i="27"/>
  <c r="I2811" i="27"/>
  <c r="I2846" i="27"/>
  <c r="I2849" i="27"/>
  <c r="I2786" i="27"/>
  <c r="I2785" i="27"/>
  <c r="I2822" i="27"/>
  <c r="I2802" i="27"/>
  <c r="I2842" i="27"/>
  <c r="I2795" i="27"/>
  <c r="I2832" i="27"/>
  <c r="I2817" i="27"/>
  <c r="I2818" i="27"/>
  <c r="I2858" i="27"/>
  <c r="I2836" i="27"/>
  <c r="I2853" i="27"/>
  <c r="I2815" i="27"/>
  <c r="I2847" i="27"/>
  <c r="I2824" i="27"/>
  <c r="I2793" i="27"/>
  <c r="I2841" i="27"/>
  <c r="I2833" i="27"/>
  <c r="I2809" i="27"/>
  <c r="I2788" i="27"/>
  <c r="I2782" i="27"/>
  <c r="I2855" i="27"/>
  <c r="I2844" i="27"/>
  <c r="I2784" i="27"/>
  <c r="I2838" i="27"/>
  <c r="I2796" i="27"/>
  <c r="I2835" i="27"/>
  <c r="I2807" i="27"/>
  <c r="I2831" i="27"/>
  <c r="I2806" i="27"/>
  <c r="I2826" i="27"/>
  <c r="I2789" i="27"/>
  <c r="I2839" i="27"/>
  <c r="I2801" i="27"/>
  <c r="I2852" i="27"/>
  <c r="I2797" i="27"/>
  <c r="I2819" i="27"/>
  <c r="I2805" i="27"/>
  <c r="I2848" i="27"/>
  <c r="I2820" i="27"/>
  <c r="I2840" i="27"/>
  <c r="I2794" i="27"/>
  <c r="I2810" i="27"/>
  <c r="I2851" i="27"/>
  <c r="I2803" i="27"/>
  <c r="I2845" i="27"/>
  <c r="I2787" i="27"/>
  <c r="I2834" i="27"/>
  <c r="I2816" i="27"/>
  <c r="I2843" i="27"/>
  <c r="I2825" i="27"/>
  <c r="I2854" i="27"/>
  <c r="I2804" i="27"/>
  <c r="I2798" i="27"/>
  <c r="I2800" i="27"/>
  <c r="I2783" i="27"/>
  <c r="I2799" i="27"/>
  <c r="I2813" i="27"/>
  <c r="I2837" i="27"/>
  <c r="I2812" i="27"/>
  <c r="I2814" i="27"/>
  <c r="I2823" i="27"/>
  <c r="I2790" i="27"/>
  <c r="N1327" i="32" l="1" a="1"/>
  <c r="N1327" i="32" s="1"/>
  <c r="E1327" i="32" s="1"/>
  <c r="F2448" i="27" s="1"/>
  <c r="M1327" i="32" a="1"/>
  <c r="M1327" i="32" s="1"/>
  <c r="D1327" i="32" s="1"/>
  <c r="O1327" i="32" a="1"/>
  <c r="O1327" i="32" s="1"/>
  <c r="M2448" i="27" s="1"/>
  <c r="A2448" i="27" s="1"/>
  <c r="K1331" i="32"/>
  <c r="L1329" i="32"/>
  <c r="AJ143" i="1"/>
  <c r="AJ147" i="1"/>
  <c r="AJ157" i="1"/>
  <c r="AJ124" i="1"/>
  <c r="AK174" i="1" s="1"/>
  <c r="AJ163" i="1"/>
  <c r="AJ164" i="1"/>
  <c r="AJ159" i="1"/>
  <c r="AJ172" i="1"/>
  <c r="AJ152" i="1"/>
  <c r="AJ150" i="1"/>
  <c r="AJ145" i="1"/>
  <c r="AJ171" i="1"/>
  <c r="AJ142" i="1"/>
  <c r="AJ169" i="1"/>
  <c r="AJ160" i="1"/>
  <c r="AJ140" i="1"/>
  <c r="AJ153" i="1"/>
  <c r="AJ170" i="1"/>
  <c r="AJ134" i="1"/>
  <c r="AJ128" i="1"/>
  <c r="AJ173" i="1"/>
  <c r="AJ149" i="1"/>
  <c r="AJ154" i="1"/>
  <c r="AJ131" i="1"/>
  <c r="AJ132" i="1"/>
  <c r="B128" i="1" a="1"/>
  <c r="B128" i="1" s="1"/>
  <c r="AE128" i="1" a="1"/>
  <c r="AE128" i="1" s="1"/>
  <c r="AE129" i="1" s="1" a="1"/>
  <c r="AE129" i="1" s="1"/>
  <c r="AE130" i="1" s="1" a="1"/>
  <c r="AE130" i="1" s="1"/>
  <c r="AJ151" i="1"/>
  <c r="AJ165" i="1"/>
  <c r="AJ155" i="1"/>
  <c r="AJ135" i="1"/>
  <c r="AJ144" i="1"/>
  <c r="AJ138" i="1"/>
  <c r="AJ129" i="1"/>
  <c r="AJ168" i="1"/>
  <c r="AJ166" i="1"/>
  <c r="AJ162" i="1"/>
  <c r="AJ133" i="1"/>
  <c r="AJ141" i="1"/>
  <c r="AJ139" i="1"/>
  <c r="AJ156" i="1"/>
  <c r="AJ146" i="1"/>
  <c r="AJ148" i="1"/>
  <c r="AJ158" i="1"/>
  <c r="AJ125" i="1"/>
  <c r="AJ167" i="1"/>
  <c r="AJ161" i="1"/>
  <c r="AJ174" i="1"/>
  <c r="AJ127" i="1"/>
  <c r="AJ136" i="1"/>
  <c r="AJ130" i="1"/>
  <c r="AJ137" i="1"/>
  <c r="AJ126" i="1"/>
  <c r="AL174" i="1" l="1"/>
  <c r="AM174" i="1"/>
  <c r="AL124" i="1"/>
  <c r="M1329" i="32" a="1"/>
  <c r="M1329" i="32" s="1"/>
  <c r="D1329" i="32" s="1"/>
  <c r="O1329" i="32" a="1"/>
  <c r="O1329" i="32" s="1"/>
  <c r="M2449" i="27" s="1"/>
  <c r="A2449" i="27" s="1"/>
  <c r="N1329" i="32" a="1"/>
  <c r="N1329" i="32" s="1"/>
  <c r="E1329" i="32" s="1"/>
  <c r="F2449" i="27" s="1"/>
  <c r="K1333" i="32"/>
  <c r="L1331" i="32"/>
  <c r="AM125" i="1"/>
  <c r="AK126" i="1"/>
  <c r="AK127" i="1"/>
  <c r="AM126" i="1"/>
  <c r="AN174" i="1"/>
  <c r="AM134" i="1"/>
  <c r="AL127" i="1"/>
  <c r="AM135" i="1"/>
  <c r="AL147" i="1"/>
  <c r="AL149" i="1"/>
  <c r="AK128" i="1"/>
  <c r="AK160" i="1"/>
  <c r="AM147" i="1"/>
  <c r="AK161" i="1"/>
  <c r="AK134" i="1"/>
  <c r="AL140" i="1"/>
  <c r="AL134" i="1"/>
  <c r="AM160" i="1"/>
  <c r="AM154" i="1"/>
  <c r="AK139" i="1"/>
  <c r="AM133" i="1"/>
  <c r="AL129" i="1"/>
  <c r="AL161" i="1"/>
  <c r="AK133" i="1"/>
  <c r="AM128" i="1"/>
  <c r="AM148" i="1"/>
  <c r="AK154" i="1"/>
  <c r="AK140" i="1"/>
  <c r="AL168" i="1"/>
  <c r="AM161" i="1"/>
  <c r="AL133" i="1"/>
  <c r="AE131" i="1" a="1"/>
  <c r="AE131" i="1" s="1"/>
  <c r="AE132" i="1" s="1" a="1"/>
  <c r="AE132" i="1" s="1"/>
  <c r="AM136" i="1"/>
  <c r="AM149" i="1"/>
  <c r="AL128" i="1"/>
  <c r="AM159" i="1"/>
  <c r="AL171" i="1"/>
  <c r="AK150" i="1"/>
  <c r="AK131" i="1"/>
  <c r="AL157" i="1"/>
  <c r="AK144" i="1"/>
  <c r="AL158" i="1"/>
  <c r="AM172" i="1"/>
  <c r="AK129" i="1"/>
  <c r="AM157" i="1"/>
  <c r="AL136" i="1"/>
  <c r="AK172" i="1"/>
  <c r="AM129" i="1"/>
  <c r="AK158" i="1"/>
  <c r="AL137" i="1"/>
  <c r="AL165" i="1"/>
  <c r="AK152" i="1"/>
  <c r="AL151" i="1"/>
  <c r="AK130" i="1"/>
  <c r="AM158" i="1"/>
  <c r="AK147" i="1"/>
  <c r="AK145" i="1"/>
  <c r="AL159" i="1"/>
  <c r="AM173" i="1"/>
  <c r="AK138" i="1"/>
  <c r="AL152" i="1"/>
  <c r="AM166" i="1"/>
  <c r="AM168" i="1"/>
  <c r="AL131" i="1"/>
  <c r="AM145" i="1"/>
  <c r="AL146" i="1"/>
  <c r="AM138" i="1"/>
  <c r="AK132" i="1"/>
  <c r="AK167" i="1"/>
  <c r="AM131" i="1"/>
  <c r="AK168" i="1"/>
  <c r="AM132" i="1"/>
  <c r="AL145" i="1"/>
  <c r="AK153" i="1"/>
  <c r="AL167" i="1"/>
  <c r="AK163" i="1"/>
  <c r="AK146" i="1"/>
  <c r="AL160" i="1"/>
  <c r="AK125" i="1"/>
  <c r="AL139" i="1"/>
  <c r="AM153" i="1"/>
  <c r="AM144" i="1"/>
  <c r="AL132" i="1"/>
  <c r="AM146" i="1"/>
  <c r="AL130" i="1"/>
  <c r="AL125" i="1"/>
  <c r="AM139" i="1"/>
  <c r="AL138" i="1"/>
  <c r="AL126" i="1"/>
  <c r="AN126" i="1" s="1"/>
  <c r="AM140" i="1"/>
  <c r="AK162" i="1"/>
  <c r="AK141" i="1"/>
  <c r="AL155" i="1"/>
  <c r="AM169" i="1"/>
  <c r="AL148" i="1"/>
  <c r="AM162" i="1"/>
  <c r="AL141" i="1"/>
  <c r="AM155" i="1"/>
  <c r="AL142" i="1"/>
  <c r="AM156" i="1"/>
  <c r="AM124" i="1"/>
  <c r="AK124" i="1"/>
  <c r="B129" i="1" a="1"/>
  <c r="B129" i="1" s="1"/>
  <c r="B130" i="1" s="1" a="1"/>
  <c r="B130" i="1" s="1"/>
  <c r="AK148" i="1"/>
  <c r="AK169" i="1"/>
  <c r="AM151" i="1"/>
  <c r="AL154" i="1"/>
  <c r="AM141" i="1"/>
  <c r="AK164" i="1"/>
  <c r="AK170" i="1"/>
  <c r="AL169" i="1"/>
  <c r="AK149" i="1"/>
  <c r="AN149" i="1" s="1"/>
  <c r="AL163" i="1"/>
  <c r="AK155" i="1"/>
  <c r="AK142" i="1"/>
  <c r="AL156" i="1"/>
  <c r="AM170" i="1"/>
  <c r="AK135" i="1"/>
  <c r="AM163" i="1"/>
  <c r="AK136" i="1"/>
  <c r="AL150" i="1"/>
  <c r="AM164" i="1"/>
  <c r="AL135" i="1"/>
  <c r="AL162" i="1"/>
  <c r="AN162" i="1" s="1"/>
  <c r="AM142" i="1"/>
  <c r="AK157" i="1"/>
  <c r="AL153" i="1"/>
  <c r="AL164" i="1"/>
  <c r="AK143" i="1"/>
  <c r="AM171" i="1"/>
  <c r="AL143" i="1"/>
  <c r="AM152" i="1"/>
  <c r="AM150" i="1"/>
  <c r="AK165" i="1"/>
  <c r="AM143" i="1"/>
  <c r="AL172" i="1"/>
  <c r="AK151" i="1"/>
  <c r="AK171" i="1"/>
  <c r="AL166" i="1"/>
  <c r="AK137" i="1"/>
  <c r="AN137" i="1" s="1"/>
  <c r="AM165" i="1"/>
  <c r="AL144" i="1"/>
  <c r="AL170" i="1"/>
  <c r="AK173" i="1"/>
  <c r="AM137" i="1"/>
  <c r="AK156" i="1"/>
  <c r="AK166" i="1"/>
  <c r="AM130" i="1"/>
  <c r="AM167" i="1"/>
  <c r="AK159" i="1"/>
  <c r="AL173" i="1"/>
  <c r="AM127" i="1"/>
  <c r="AN127" i="1"/>
  <c r="AN170" i="1" l="1"/>
  <c r="AN131" i="1"/>
  <c r="AN134" i="1"/>
  <c r="AN147" i="1"/>
  <c r="AN159" i="1"/>
  <c r="AN144" i="1"/>
  <c r="AN124" i="1"/>
  <c r="M1331" i="32" a="1"/>
  <c r="M1331" i="32" s="1"/>
  <c r="D1331" i="32" s="1"/>
  <c r="N1331" i="32" a="1"/>
  <c r="N1331" i="32" s="1"/>
  <c r="E1331" i="32" s="1"/>
  <c r="F2450" i="27" s="1"/>
  <c r="O1331" i="32" a="1"/>
  <c r="O1331" i="32" s="1"/>
  <c r="M2450" i="27" s="1"/>
  <c r="A2450" i="27" s="1"/>
  <c r="K1335" i="32"/>
  <c r="L1333" i="32"/>
  <c r="AN140" i="1"/>
  <c r="AN156" i="1"/>
  <c r="AN128" i="1"/>
  <c r="AN165" i="1"/>
  <c r="AN154" i="1"/>
  <c r="AN135" i="1"/>
  <c r="AN152" i="1"/>
  <c r="AN146" i="1"/>
  <c r="AN167" i="1"/>
  <c r="AN155" i="1"/>
  <c r="AN151" i="1"/>
  <c r="AN171" i="1"/>
  <c r="AN139" i="1"/>
  <c r="AN168" i="1"/>
  <c r="AN160" i="1"/>
  <c r="AN136" i="1"/>
  <c r="AN161" i="1"/>
  <c r="AN141" i="1"/>
  <c r="AN125" i="1"/>
  <c r="AN129" i="1"/>
  <c r="AN158" i="1"/>
  <c r="AN133" i="1"/>
  <c r="AN172" i="1"/>
  <c r="AN143" i="1"/>
  <c r="AN142" i="1"/>
  <c r="AN169" i="1"/>
  <c r="AN173" i="1"/>
  <c r="B131" i="1" a="1"/>
  <c r="B131" i="1" s="1"/>
  <c r="B132" i="1" s="1" a="1"/>
  <c r="B132" i="1" s="1"/>
  <c r="B133" i="1" s="1" a="1"/>
  <c r="B133" i="1" s="1"/>
  <c r="B134" i="1" s="1" a="1"/>
  <c r="B134" i="1" s="1"/>
  <c r="B135" i="1" s="1" a="1"/>
  <c r="B135" i="1" s="1"/>
  <c r="B136" i="1" s="1" a="1"/>
  <c r="B136" i="1" s="1"/>
  <c r="B137" i="1" s="1" a="1"/>
  <c r="B137" i="1" s="1"/>
  <c r="B138" i="1" s="1" a="1"/>
  <c r="B138" i="1" s="1"/>
  <c r="B139" i="1" s="1" a="1"/>
  <c r="B139" i="1" s="1"/>
  <c r="B140" i="1" s="1" a="1"/>
  <c r="B140" i="1" s="1"/>
  <c r="B141" i="1" s="1" a="1"/>
  <c r="B141" i="1" s="1"/>
  <c r="B142" i="1" s="1" a="1"/>
  <c r="B142" i="1" s="1"/>
  <c r="B143" i="1" s="1" a="1"/>
  <c r="B143" i="1" s="1"/>
  <c r="B144" i="1" s="1" a="1"/>
  <c r="B144" i="1" s="1"/>
  <c r="B145" i="1" s="1" a="1"/>
  <c r="B145" i="1" s="1"/>
  <c r="B146" i="1" s="1" a="1"/>
  <c r="B146" i="1" s="1"/>
  <c r="B147" i="1" s="1" a="1"/>
  <c r="B147" i="1" s="1"/>
  <c r="B148" i="1" s="1" a="1"/>
  <c r="B148" i="1" s="1"/>
  <c r="B149" i="1" s="1" a="1"/>
  <c r="B149" i="1" s="1"/>
  <c r="B150" i="1" s="1" a="1"/>
  <c r="B150" i="1" s="1"/>
  <c r="B151" i="1" s="1" a="1"/>
  <c r="B151" i="1" s="1"/>
  <c r="B152" i="1" s="1" a="1"/>
  <c r="B152" i="1" s="1"/>
  <c r="B153" i="1" s="1" a="1"/>
  <c r="B153" i="1" s="1"/>
  <c r="B154" i="1" s="1" a="1"/>
  <c r="B154" i="1" s="1"/>
  <c r="B155" i="1" s="1" a="1"/>
  <c r="B155" i="1" s="1"/>
  <c r="B156" i="1" s="1" a="1"/>
  <c r="B156" i="1" s="1"/>
  <c r="B157" i="1" s="1" a="1"/>
  <c r="B157" i="1" s="1"/>
  <c r="B158" i="1" s="1" a="1"/>
  <c r="B158" i="1" s="1"/>
  <c r="B159" i="1" s="1" a="1"/>
  <c r="B159" i="1" s="1"/>
  <c r="B160" i="1" s="1" a="1"/>
  <c r="B160" i="1" s="1"/>
  <c r="B161" i="1" s="1" a="1"/>
  <c r="B161" i="1" s="1"/>
  <c r="B162" i="1" s="1" a="1"/>
  <c r="B162" i="1" s="1"/>
  <c r="B163" i="1" s="1" a="1"/>
  <c r="B163" i="1" s="1"/>
  <c r="B164" i="1" s="1" a="1"/>
  <c r="B164" i="1" s="1"/>
  <c r="B165" i="1" s="1" a="1"/>
  <c r="B165" i="1" s="1"/>
  <c r="B166" i="1" s="1" a="1"/>
  <c r="B166" i="1" s="1"/>
  <c r="B167" i="1" s="1" a="1"/>
  <c r="B167" i="1" s="1"/>
  <c r="B168" i="1" s="1" a="1"/>
  <c r="B168" i="1" s="1"/>
  <c r="B169" i="1" s="1" a="1"/>
  <c r="B169" i="1" s="1"/>
  <c r="B170" i="1" s="1" a="1"/>
  <c r="B170" i="1" s="1"/>
  <c r="B171" i="1" s="1" a="1"/>
  <c r="B171" i="1" s="1"/>
  <c r="B172" i="1" s="1" a="1"/>
  <c r="B172" i="1" s="1"/>
  <c r="B173" i="1" s="1" a="1"/>
  <c r="B173" i="1" s="1"/>
  <c r="B174" i="1" s="1" a="1"/>
  <c r="B174" i="1" s="1"/>
  <c r="AN130" i="1"/>
  <c r="AN150" i="1"/>
  <c r="AN157" i="1"/>
  <c r="AN163" i="1"/>
  <c r="AN132" i="1"/>
  <c r="AN138" i="1"/>
  <c r="AN148" i="1"/>
  <c r="AN164" i="1"/>
  <c r="AN166" i="1"/>
  <c r="AN153" i="1"/>
  <c r="AE133" i="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AE174" i="1" s="1" a="1"/>
  <c r="AE174" i="1" s="1"/>
  <c r="AN145" i="1"/>
  <c r="N1333" i="32" l="1" a="1"/>
  <c r="N1333" i="32" s="1"/>
  <c r="E1333" i="32" s="1"/>
  <c r="F2451" i="27" s="1"/>
  <c r="O1333" i="32" a="1"/>
  <c r="O1333" i="32" s="1"/>
  <c r="M2451" i="27" s="1"/>
  <c r="A2451" i="27" s="1"/>
  <c r="M1333" i="32" a="1"/>
  <c r="M1333" i="32" s="1"/>
  <c r="D1333" i="32" s="1"/>
  <c r="K1337" i="32"/>
  <c r="L1335" i="32"/>
  <c r="P2" i="29" a="1"/>
  <c r="P2" i="29" s="1"/>
  <c r="O2" i="29" s="1"/>
  <c r="M1335" i="32" l="1" a="1"/>
  <c r="M1335" i="32" s="1"/>
  <c r="D1335" i="32" s="1"/>
  <c r="O1335" i="32" a="1"/>
  <c r="O1335" i="32" s="1"/>
  <c r="M2452" i="27" s="1"/>
  <c r="A2452" i="27" s="1"/>
  <c r="N1335" i="32" a="1"/>
  <c r="N1335" i="32" s="1"/>
  <c r="E1335" i="32" s="1"/>
  <c r="F2452" i="27" s="1"/>
  <c r="K1339" i="32"/>
  <c r="L1337" i="32"/>
  <c r="P3" i="29" a="1"/>
  <c r="P3" i="29" s="1"/>
  <c r="P4" i="29" s="1" a="1"/>
  <c r="P4" i="29" s="1"/>
  <c r="Q4" i="29" s="1"/>
  <c r="Q2" i="29"/>
  <c r="M1337" i="32" l="1" a="1"/>
  <c r="M1337" i="32" s="1"/>
  <c r="D1337" i="32" s="1"/>
  <c r="O1337" i="32" a="1"/>
  <c r="O1337" i="32" s="1"/>
  <c r="M2453" i="27" s="1"/>
  <c r="A2453" i="27" s="1"/>
  <c r="N1337" i="32" a="1"/>
  <c r="N1337" i="32" s="1"/>
  <c r="E1337" i="32" s="1"/>
  <c r="F2453" i="27" s="1"/>
  <c r="K1341" i="32"/>
  <c r="L1339" i="32"/>
  <c r="P5" i="29" a="1"/>
  <c r="P5" i="29" s="1"/>
  <c r="P6" i="29" s="1" a="1"/>
  <c r="P6" i="29" s="1"/>
  <c r="Q6" i="29" s="1"/>
  <c r="Q3" i="29"/>
  <c r="O3" i="29"/>
  <c r="O4" i="29"/>
  <c r="K1343" i="32" l="1"/>
  <c r="L1341" i="32"/>
  <c r="O1339" i="32" a="1"/>
  <c r="O1339" i="32" s="1"/>
  <c r="M2454" i="27" s="1"/>
  <c r="A2454" i="27" s="1"/>
  <c r="M1339" i="32" a="1"/>
  <c r="M1339" i="32" s="1"/>
  <c r="D1339" i="32" s="1"/>
  <c r="N1339" i="32" a="1"/>
  <c r="N1339" i="32" s="1"/>
  <c r="E1339" i="32" s="1"/>
  <c r="F2454" i="27" s="1"/>
  <c r="Q5" i="29"/>
  <c r="P7" i="29" a="1"/>
  <c r="P7" i="29" s="1"/>
  <c r="P8" i="29" s="1" a="1"/>
  <c r="P8" i="29" s="1"/>
  <c r="P9" i="29" s="1" a="1"/>
  <c r="P9" i="29" s="1"/>
  <c r="Q9" i="29" s="1"/>
  <c r="O6" i="29"/>
  <c r="O5" i="29"/>
  <c r="M1341" i="32" l="1" a="1"/>
  <c r="M1341" i="32" s="1"/>
  <c r="D1341" i="32" s="1"/>
  <c r="O1341" i="32" a="1"/>
  <c r="O1341" i="32" s="1"/>
  <c r="M2455" i="27" s="1"/>
  <c r="A2455" i="27" s="1"/>
  <c r="N1341" i="32" a="1"/>
  <c r="N1341" i="32" s="1"/>
  <c r="E1341" i="32" s="1"/>
  <c r="F2455" i="27" s="1"/>
  <c r="K1345" i="32"/>
  <c r="L1343" i="32"/>
  <c r="Q7" i="29"/>
  <c r="O9" i="29"/>
  <c r="P10" i="29" a="1"/>
  <c r="P10" i="29" s="1"/>
  <c r="P11" i="29" s="1" a="1"/>
  <c r="P11" i="29" s="1"/>
  <c r="Q11" i="29" s="1"/>
  <c r="O7" i="29"/>
  <c r="Q8" i="29"/>
  <c r="O8" i="29"/>
  <c r="N1343" i="32" l="1" a="1"/>
  <c r="N1343" i="32" s="1"/>
  <c r="E1343" i="32" s="1"/>
  <c r="F2456" i="27" s="1"/>
  <c r="M1343" i="32" a="1"/>
  <c r="M1343" i="32" s="1"/>
  <c r="D1343" i="32" s="1"/>
  <c r="O1343" i="32" a="1"/>
  <c r="O1343" i="32" s="1"/>
  <c r="M2456" i="27" s="1"/>
  <c r="A2456" i="27" s="1"/>
  <c r="K1347" i="32"/>
  <c r="L1345" i="32"/>
  <c r="O11" i="29"/>
  <c r="Q10" i="29"/>
  <c r="O10" i="29"/>
  <c r="P12" i="29" a="1"/>
  <c r="P12" i="29" s="1"/>
  <c r="O12" i="29" s="1"/>
  <c r="M1345" i="32" l="1" a="1"/>
  <c r="M1345" i="32" s="1"/>
  <c r="D1345" i="32" s="1"/>
  <c r="O1345" i="32" a="1"/>
  <c r="O1345" i="32" s="1"/>
  <c r="M2457" i="27" s="1"/>
  <c r="A2457" i="27" s="1"/>
  <c r="N1345" i="32" a="1"/>
  <c r="N1345" i="32" s="1"/>
  <c r="E1345" i="32" s="1"/>
  <c r="F2457" i="27" s="1"/>
  <c r="K1349" i="32"/>
  <c r="L1347" i="32"/>
  <c r="P13" i="29" a="1"/>
  <c r="P13" i="29" s="1"/>
  <c r="Q13" i="29" s="1"/>
  <c r="Q12" i="29"/>
  <c r="M1347" i="32" l="1" a="1"/>
  <c r="M1347" i="32" s="1"/>
  <c r="D1347" i="32" s="1"/>
  <c r="N1347" i="32" a="1"/>
  <c r="N1347" i="32" s="1"/>
  <c r="E1347" i="32" s="1"/>
  <c r="F2458" i="27" s="1"/>
  <c r="O1347" i="32" a="1"/>
  <c r="O1347" i="32" s="1"/>
  <c r="M2458" i="27" s="1"/>
  <c r="A2458" i="27" s="1"/>
  <c r="K1351" i="32"/>
  <c r="L1349" i="32"/>
  <c r="P14" i="29" a="1"/>
  <c r="P14" i="29" s="1"/>
  <c r="Q14" i="29" s="1"/>
  <c r="O13" i="29"/>
  <c r="O1349" i="32" l="1" a="1"/>
  <c r="O1349" i="32" s="1"/>
  <c r="M2459" i="27" s="1"/>
  <c r="A2459" i="27" s="1"/>
  <c r="M1349" i="32" a="1"/>
  <c r="M1349" i="32" s="1"/>
  <c r="D1349" i="32" s="1"/>
  <c r="N1349" i="32" a="1"/>
  <c r="N1349" i="32" s="1"/>
  <c r="E1349" i="32" s="1"/>
  <c r="F2459" i="27" s="1"/>
  <c r="K1353" i="32"/>
  <c r="L1351" i="32"/>
  <c r="P15" i="29" a="1"/>
  <c r="P15" i="29" s="1"/>
  <c r="O15" i="29" s="1"/>
  <c r="O14" i="29"/>
  <c r="K1355" i="32" l="1"/>
  <c r="L1353" i="32"/>
  <c r="M1351" i="32" a="1"/>
  <c r="M1351" i="32" s="1"/>
  <c r="D1351" i="32" s="1"/>
  <c r="N1351" i="32" a="1"/>
  <c r="N1351" i="32" s="1"/>
  <c r="E1351" i="32" s="1"/>
  <c r="F2460" i="27" s="1"/>
  <c r="O1351" i="32" a="1"/>
  <c r="O1351" i="32" s="1"/>
  <c r="M2460" i="27" s="1"/>
  <c r="A2460" i="27" s="1"/>
  <c r="P16" i="29" a="1"/>
  <c r="P16" i="29" s="1"/>
  <c r="O16" i="29" s="1"/>
  <c r="Q15" i="29"/>
  <c r="O1353" i="32" l="1" a="1"/>
  <c r="O1353" i="32" s="1"/>
  <c r="M2461" i="27" s="1"/>
  <c r="A2461" i="27" s="1"/>
  <c r="N1353" i="32" a="1"/>
  <c r="N1353" i="32" s="1"/>
  <c r="E1353" i="32" s="1"/>
  <c r="F2461" i="27" s="1"/>
  <c r="M1353" i="32" a="1"/>
  <c r="M1353" i="32" s="1"/>
  <c r="D1353" i="32" s="1"/>
  <c r="K1357" i="32"/>
  <c r="L1355" i="32"/>
  <c r="P17" i="29" a="1"/>
  <c r="P17" i="29" s="1"/>
  <c r="Q17" i="29" s="1"/>
  <c r="Q16" i="29"/>
  <c r="M1355" i="32" l="1" a="1"/>
  <c r="M1355" i="32" s="1"/>
  <c r="D1355" i="32" s="1"/>
  <c r="N1355" i="32" a="1"/>
  <c r="N1355" i="32" s="1"/>
  <c r="E1355" i="32" s="1"/>
  <c r="F2462" i="27" s="1"/>
  <c r="O1355" i="32" a="1"/>
  <c r="O1355" i="32" s="1"/>
  <c r="M2462" i="27" s="1"/>
  <c r="A2462" i="27" s="1"/>
  <c r="K1359" i="32"/>
  <c r="L1357" i="32"/>
  <c r="O17" i="29"/>
  <c r="P18" i="29" a="1"/>
  <c r="P18" i="29" s="1"/>
  <c r="O18" i="29" s="1"/>
  <c r="O1357" i="32" l="1" a="1"/>
  <c r="O1357" i="32" s="1"/>
  <c r="M2463" i="27" s="1"/>
  <c r="A2463" i="27" s="1"/>
  <c r="N1357" i="32" a="1"/>
  <c r="N1357" i="32" s="1"/>
  <c r="E1357" i="32" s="1"/>
  <c r="F2463" i="27" s="1"/>
  <c r="M1357" i="32" a="1"/>
  <c r="M1357" i="32" s="1"/>
  <c r="D1357" i="32" s="1"/>
  <c r="K1361" i="32"/>
  <c r="L1359" i="32"/>
  <c r="P19" i="29" a="1"/>
  <c r="P19" i="29" s="1"/>
  <c r="O19" i="29" s="1"/>
  <c r="Q18" i="29"/>
  <c r="M1359" i="32" l="1" a="1"/>
  <c r="M1359" i="32" s="1"/>
  <c r="D1359" i="32" s="1"/>
  <c r="N1359" i="32" a="1"/>
  <c r="N1359" i="32" s="1"/>
  <c r="E1359" i="32" s="1"/>
  <c r="F2464" i="27" s="1"/>
  <c r="O1359" i="32" a="1"/>
  <c r="O1359" i="32" s="1"/>
  <c r="M2464" i="27" s="1"/>
  <c r="A2464" i="27" s="1"/>
  <c r="K1363" i="32"/>
  <c r="L1361" i="32"/>
  <c r="P20" i="29" a="1"/>
  <c r="P20" i="29" s="1"/>
  <c r="O20" i="29" s="1"/>
  <c r="Q19" i="29"/>
  <c r="M1361" i="32" l="1" a="1"/>
  <c r="M1361" i="32" s="1"/>
  <c r="D1361" i="32" s="1"/>
  <c r="O1361" i="32" a="1"/>
  <c r="O1361" i="32" s="1"/>
  <c r="M2465" i="27" s="1"/>
  <c r="A2465" i="27" s="1"/>
  <c r="N1361" i="32" a="1"/>
  <c r="N1361" i="32" s="1"/>
  <c r="E1361" i="32" s="1"/>
  <c r="F2465" i="27" s="1"/>
  <c r="K1365" i="32"/>
  <c r="L1363" i="32"/>
  <c r="P21" i="29" a="1"/>
  <c r="P21" i="29" s="1"/>
  <c r="Q21" i="29" s="1"/>
  <c r="Q20" i="29"/>
  <c r="N1363" i="32" l="1" a="1"/>
  <c r="N1363" i="32" s="1"/>
  <c r="E1363" i="32" s="1"/>
  <c r="F2466" i="27" s="1"/>
  <c r="O1363" i="32" a="1"/>
  <c r="O1363" i="32" s="1"/>
  <c r="M2466" i="27" s="1"/>
  <c r="A2466" i="27" s="1"/>
  <c r="M1363" i="32" a="1"/>
  <c r="M1363" i="32" s="1"/>
  <c r="D1363" i="32" s="1"/>
  <c r="K1367" i="32"/>
  <c r="L1365" i="32"/>
  <c r="O21" i="29"/>
  <c r="P22" i="29" a="1"/>
  <c r="P22" i="29" s="1"/>
  <c r="Q22" i="29" s="1"/>
  <c r="N1365" i="32" l="1" a="1"/>
  <c r="N1365" i="32" s="1"/>
  <c r="E1365" i="32" s="1"/>
  <c r="F2467" i="27" s="1"/>
  <c r="M1365" i="32" a="1"/>
  <c r="M1365" i="32" s="1"/>
  <c r="D1365" i="32" s="1"/>
  <c r="O1365" i="32" a="1"/>
  <c r="O1365" i="32" s="1"/>
  <c r="M2467" i="27" s="1"/>
  <c r="A2467" i="27" s="1"/>
  <c r="K1369" i="32"/>
  <c r="L1367" i="32"/>
  <c r="P23" i="29" a="1"/>
  <c r="P23" i="29" s="1"/>
  <c r="Q23" i="29" s="1"/>
  <c r="O22" i="29"/>
  <c r="M1367" i="32" l="1" a="1"/>
  <c r="M1367" i="32" s="1"/>
  <c r="D1367" i="32" s="1"/>
  <c r="O1367" i="32" a="1"/>
  <c r="O1367" i="32" s="1"/>
  <c r="M2468" i="27" s="1"/>
  <c r="A2468" i="27" s="1"/>
  <c r="N1367" i="32" a="1"/>
  <c r="N1367" i="32" s="1"/>
  <c r="E1367" i="32" s="1"/>
  <c r="F2468" i="27" s="1"/>
  <c r="K1371" i="32"/>
  <c r="L1369" i="32"/>
  <c r="P24" i="29" a="1"/>
  <c r="P24" i="29" s="1"/>
  <c r="O24" i="29" s="1"/>
  <c r="O23" i="29"/>
  <c r="K1373" i="32" l="1"/>
  <c r="L1371" i="32"/>
  <c r="O1369" i="32" a="1"/>
  <c r="O1369" i="32" s="1"/>
  <c r="M2469" i="27" s="1"/>
  <c r="A2469" i="27" s="1"/>
  <c r="N1369" i="32" a="1"/>
  <c r="N1369" i="32" s="1"/>
  <c r="E1369" i="32" s="1"/>
  <c r="F2469" i="27" s="1"/>
  <c r="M1369" i="32" a="1"/>
  <c r="M1369" i="32" s="1"/>
  <c r="D1369" i="32" s="1"/>
  <c r="P25" i="29" a="1"/>
  <c r="P25" i="29" s="1"/>
  <c r="O25" i="29" s="1"/>
  <c r="Q24" i="29"/>
  <c r="N1371" i="32" l="1" a="1"/>
  <c r="N1371" i="32" s="1"/>
  <c r="E1371" i="32" s="1"/>
  <c r="F2470" i="27" s="1"/>
  <c r="M1371" i="32" a="1"/>
  <c r="M1371" i="32" s="1"/>
  <c r="D1371" i="32" s="1"/>
  <c r="O1371" i="32" a="1"/>
  <c r="O1371" i="32" s="1"/>
  <c r="M2470" i="27" s="1"/>
  <c r="A2470" i="27" s="1"/>
  <c r="K1375" i="32"/>
  <c r="L1373" i="32"/>
  <c r="P26" i="29" a="1"/>
  <c r="P26" i="29" s="1"/>
  <c r="Q26" i="29" s="1"/>
  <c r="Q25" i="29"/>
  <c r="O1373" i="32" l="1" a="1"/>
  <c r="O1373" i="32" s="1"/>
  <c r="M2471" i="27" s="1"/>
  <c r="A2471" i="27" s="1"/>
  <c r="N1373" i="32" a="1"/>
  <c r="N1373" i="32" s="1"/>
  <c r="E1373" i="32" s="1"/>
  <c r="F2471" i="27" s="1"/>
  <c r="M1373" i="32" a="1"/>
  <c r="M1373" i="32" s="1"/>
  <c r="D1373" i="32" s="1"/>
  <c r="K1377" i="32"/>
  <c r="L1375" i="32"/>
  <c r="O26" i="29"/>
  <c r="P27" i="29" a="1"/>
  <c r="P27" i="29" s="1"/>
  <c r="O27" i="29" s="1"/>
  <c r="M1375" i="32" l="1" a="1"/>
  <c r="M1375" i="32" s="1"/>
  <c r="D1375" i="32" s="1"/>
  <c r="O1375" i="32" a="1"/>
  <c r="O1375" i="32" s="1"/>
  <c r="M2472" i="27" s="1"/>
  <c r="A2472" i="27" s="1"/>
  <c r="N1375" i="32" a="1"/>
  <c r="N1375" i="32" s="1"/>
  <c r="E1375" i="32" s="1"/>
  <c r="F2472" i="27" s="1"/>
  <c r="K1379" i="32"/>
  <c r="L1377" i="32"/>
  <c r="P28" i="29" a="1"/>
  <c r="P28" i="29" s="1"/>
  <c r="O28" i="29" s="1"/>
  <c r="Q27" i="29"/>
  <c r="M1377" i="32" l="1" a="1"/>
  <c r="M1377" i="32" s="1"/>
  <c r="D1377" i="32" s="1"/>
  <c r="N1377" i="32" a="1"/>
  <c r="N1377" i="32" s="1"/>
  <c r="E1377" i="32" s="1"/>
  <c r="F2473" i="27" s="1"/>
  <c r="O1377" i="32" a="1"/>
  <c r="O1377" i="32" s="1"/>
  <c r="M2473" i="27" s="1"/>
  <c r="A2473" i="27" s="1"/>
  <c r="K1381" i="32"/>
  <c r="L1379" i="32"/>
  <c r="P29" i="29" a="1"/>
  <c r="P29" i="29" s="1"/>
  <c r="Q29" i="29" s="1"/>
  <c r="Q28" i="29"/>
  <c r="K1383" i="32" l="1"/>
  <c r="L1381" i="32"/>
  <c r="N1379" i="32" a="1"/>
  <c r="N1379" i="32" s="1"/>
  <c r="E1379" i="32" s="1"/>
  <c r="F2474" i="27" s="1"/>
  <c r="M1379" i="32" a="1"/>
  <c r="M1379" i="32" s="1"/>
  <c r="D1379" i="32" s="1"/>
  <c r="O1379" i="32" a="1"/>
  <c r="O1379" i="32" s="1"/>
  <c r="M2474" i="27" s="1"/>
  <c r="A2474" i="27" s="1"/>
  <c r="P30" i="29" a="1"/>
  <c r="P30" i="29" s="1"/>
  <c r="Q30" i="29" s="1"/>
  <c r="O29" i="29"/>
  <c r="N1381" i="32" l="1" a="1"/>
  <c r="N1381" i="32" s="1"/>
  <c r="E1381" i="32" s="1"/>
  <c r="F2475" i="27" s="1"/>
  <c r="O1381" i="32" a="1"/>
  <c r="O1381" i="32" s="1"/>
  <c r="M2475" i="27" s="1"/>
  <c r="A2475" i="27" s="1"/>
  <c r="M1381" i="32" a="1"/>
  <c r="M1381" i="32" s="1"/>
  <c r="D1381" i="32" s="1"/>
  <c r="K1385" i="32"/>
  <c r="L1383" i="32"/>
  <c r="P31" i="29" a="1"/>
  <c r="P31" i="29" s="1"/>
  <c r="O31" i="29" s="1"/>
  <c r="O30" i="29"/>
  <c r="N1383" i="32" l="1" a="1"/>
  <c r="N1383" i="32" s="1"/>
  <c r="E1383" i="32" s="1"/>
  <c r="F2476" i="27" s="1"/>
  <c r="O1383" i="32" a="1"/>
  <c r="O1383" i="32" s="1"/>
  <c r="M2476" i="27" s="1"/>
  <c r="A2476" i="27" s="1"/>
  <c r="M1383" i="32" a="1"/>
  <c r="M1383" i="32" s="1"/>
  <c r="D1383" i="32" s="1"/>
  <c r="K1387" i="32"/>
  <c r="L1385" i="32"/>
  <c r="P32" i="29" a="1"/>
  <c r="P32" i="29" s="1"/>
  <c r="Q32" i="29" s="1"/>
  <c r="Q31" i="29"/>
  <c r="K1389" i="32" l="1"/>
  <c r="L1387" i="32"/>
  <c r="M1385" i="32" a="1"/>
  <c r="M1385" i="32" s="1"/>
  <c r="D1385" i="32" s="1"/>
  <c r="N1385" i="32" a="1"/>
  <c r="N1385" i="32" s="1"/>
  <c r="E1385" i="32" s="1"/>
  <c r="F2477" i="27" s="1"/>
  <c r="O1385" i="32" a="1"/>
  <c r="O1385" i="32" s="1"/>
  <c r="M2477" i="27" s="1"/>
  <c r="A2477" i="27" s="1"/>
  <c r="P33" i="29" a="1"/>
  <c r="P33" i="29" s="1"/>
  <c r="O33" i="29" s="1"/>
  <c r="O32" i="29"/>
  <c r="M1387" i="32" l="1" a="1"/>
  <c r="M1387" i="32" s="1"/>
  <c r="D1387" i="32" s="1"/>
  <c r="O1387" i="32" a="1"/>
  <c r="O1387" i="32" s="1"/>
  <c r="M2478" i="27" s="1"/>
  <c r="A2478" i="27" s="1"/>
  <c r="N1387" i="32" a="1"/>
  <c r="N1387" i="32" s="1"/>
  <c r="E1387" i="32" s="1"/>
  <c r="F2478" i="27" s="1"/>
  <c r="K1391" i="32"/>
  <c r="L1389" i="32"/>
  <c r="P34" i="29" a="1"/>
  <c r="P34" i="29" s="1"/>
  <c r="Q34" i="29" s="1"/>
  <c r="Q33" i="29"/>
  <c r="K1393" i="32" l="1"/>
  <c r="L1391" i="32"/>
  <c r="N1389" i="32" a="1"/>
  <c r="N1389" i="32" s="1"/>
  <c r="E1389" i="32" s="1"/>
  <c r="F2479" i="27" s="1"/>
  <c r="O1389" i="32" a="1"/>
  <c r="O1389" i="32" s="1"/>
  <c r="M2479" i="27" s="1"/>
  <c r="A2479" i="27" s="1"/>
  <c r="M1389" i="32" a="1"/>
  <c r="M1389" i="32" s="1"/>
  <c r="D1389" i="32" s="1"/>
  <c r="O34" i="29"/>
  <c r="P35" i="29" a="1"/>
  <c r="P35" i="29" s="1"/>
  <c r="O35" i="29" s="1"/>
  <c r="M1391" i="32" l="1" a="1"/>
  <c r="M1391" i="32" s="1"/>
  <c r="D1391" i="32" s="1"/>
  <c r="O1391" i="32" a="1"/>
  <c r="O1391" i="32" s="1"/>
  <c r="M2480" i="27" s="1"/>
  <c r="A2480" i="27" s="1"/>
  <c r="N1391" i="32" a="1"/>
  <c r="N1391" i="32" s="1"/>
  <c r="E1391" i="32" s="1"/>
  <c r="F2480" i="27" s="1"/>
  <c r="K1395" i="32"/>
  <c r="L1393" i="32"/>
  <c r="P36" i="29" a="1"/>
  <c r="P36" i="29" s="1"/>
  <c r="O36" i="29" s="1"/>
  <c r="Q35" i="29"/>
  <c r="K1397" i="32" l="1"/>
  <c r="L1395" i="32"/>
  <c r="O1393" i="32" a="1"/>
  <c r="O1393" i="32" s="1"/>
  <c r="M2481" i="27" s="1"/>
  <c r="A2481" i="27" s="1"/>
  <c r="M1393" i="32" a="1"/>
  <c r="M1393" i="32" s="1"/>
  <c r="D1393" i="32" s="1"/>
  <c r="N1393" i="32" a="1"/>
  <c r="N1393" i="32" s="1"/>
  <c r="E1393" i="32" s="1"/>
  <c r="F2481" i="27" s="1"/>
  <c r="P37" i="29" a="1"/>
  <c r="P37" i="29" s="1"/>
  <c r="O37" i="29" s="1"/>
  <c r="Q36" i="29"/>
  <c r="N1395" i="32" l="1" a="1"/>
  <c r="N1395" i="32" s="1"/>
  <c r="E1395" i="32" s="1"/>
  <c r="F2482" i="27" s="1"/>
  <c r="O1395" i="32" a="1"/>
  <c r="O1395" i="32" s="1"/>
  <c r="M2482" i="27" s="1"/>
  <c r="A2482" i="27" s="1"/>
  <c r="M1395" i="32" a="1"/>
  <c r="M1395" i="32" s="1"/>
  <c r="D1395" i="32" s="1"/>
  <c r="K1399" i="32"/>
  <c r="L1397" i="32"/>
  <c r="P38" i="29" a="1"/>
  <c r="P38" i="29" s="1"/>
  <c r="O38" i="29" s="1"/>
  <c r="Q37" i="29"/>
  <c r="O1397" i="32" l="1" a="1"/>
  <c r="O1397" i="32" s="1"/>
  <c r="M2483" i="27" s="1"/>
  <c r="A2483" i="27" s="1"/>
  <c r="M1397" i="32" a="1"/>
  <c r="M1397" i="32" s="1"/>
  <c r="D1397" i="32" s="1"/>
  <c r="N1397" i="32" a="1"/>
  <c r="N1397" i="32" s="1"/>
  <c r="E1397" i="32" s="1"/>
  <c r="F2483" i="27" s="1"/>
  <c r="K1401" i="32"/>
  <c r="L1399" i="32"/>
  <c r="Q38" i="29"/>
  <c r="P39" i="29" a="1"/>
  <c r="P39" i="29" s="1"/>
  <c r="O39" i="29" s="1"/>
  <c r="N1399" i="32" l="1" a="1"/>
  <c r="N1399" i="32" s="1"/>
  <c r="E1399" i="32" s="1"/>
  <c r="F2484" i="27" s="1"/>
  <c r="O1399" i="32" a="1"/>
  <c r="O1399" i="32" s="1"/>
  <c r="M2484" i="27" s="1"/>
  <c r="A2484" i="27" s="1"/>
  <c r="M1399" i="32" a="1"/>
  <c r="M1399" i="32" s="1"/>
  <c r="D1399" i="32" s="1"/>
  <c r="K1403" i="32"/>
  <c r="L1401" i="32"/>
  <c r="Q39" i="29"/>
  <c r="P40" i="29" a="1"/>
  <c r="P40" i="29" s="1"/>
  <c r="Q40" i="29" s="1"/>
  <c r="M1401" i="32" l="1" a="1"/>
  <c r="M1401" i="32" s="1"/>
  <c r="D1401" i="32" s="1"/>
  <c r="N1401" i="32" a="1"/>
  <c r="N1401" i="32" s="1"/>
  <c r="E1401" i="32" s="1"/>
  <c r="F2485" i="27" s="1"/>
  <c r="O1401" i="32" a="1"/>
  <c r="O1401" i="32" s="1"/>
  <c r="M2485" i="27" s="1"/>
  <c r="A2485" i="27" s="1"/>
  <c r="K1405" i="32"/>
  <c r="L1403" i="32"/>
  <c r="P41" i="29" a="1"/>
  <c r="P41" i="29" s="1"/>
  <c r="Q41" i="29" s="1"/>
  <c r="O40" i="29"/>
  <c r="O1403" i="32" l="1" a="1"/>
  <c r="O1403" i="32" s="1"/>
  <c r="M2486" i="27" s="1"/>
  <c r="A2486" i="27" s="1"/>
  <c r="N1403" i="32" a="1"/>
  <c r="N1403" i="32" s="1"/>
  <c r="E1403" i="32" s="1"/>
  <c r="F2486" i="27" s="1"/>
  <c r="M1403" i="32" a="1"/>
  <c r="M1403" i="32" s="1"/>
  <c r="D1403" i="32" s="1"/>
  <c r="K1407" i="32"/>
  <c r="L1405" i="32"/>
  <c r="P42" i="29" a="1"/>
  <c r="P42" i="29" s="1"/>
  <c r="O42" i="29" s="1"/>
  <c r="O41" i="29"/>
  <c r="K1409" i="32" l="1"/>
  <c r="L1407" i="32"/>
  <c r="N1405" i="32" a="1"/>
  <c r="N1405" i="32" s="1"/>
  <c r="E1405" i="32" s="1"/>
  <c r="F2487" i="27" s="1"/>
  <c r="O1405" i="32" a="1"/>
  <c r="O1405" i="32" s="1"/>
  <c r="M2487" i="27" s="1"/>
  <c r="A2487" i="27" s="1"/>
  <c r="M1405" i="32" a="1"/>
  <c r="M1405" i="32" s="1"/>
  <c r="D1405" i="32" s="1"/>
  <c r="Q42" i="29"/>
  <c r="P43" i="29" a="1"/>
  <c r="P43" i="29" s="1"/>
  <c r="O43" i="29" s="1"/>
  <c r="M1407" i="32" l="1" a="1"/>
  <c r="M1407" i="32" s="1"/>
  <c r="D1407" i="32" s="1"/>
  <c r="O1407" i="32" a="1"/>
  <c r="O1407" i="32" s="1"/>
  <c r="M2488" i="27" s="1"/>
  <c r="A2488" i="27" s="1"/>
  <c r="N1407" i="32" a="1"/>
  <c r="N1407" i="32" s="1"/>
  <c r="E1407" i="32" s="1"/>
  <c r="F2488" i="27" s="1"/>
  <c r="K1411" i="32"/>
  <c r="L1409" i="32"/>
  <c r="P44" i="29" a="1"/>
  <c r="P44" i="29" s="1"/>
  <c r="O44" i="29" s="1"/>
  <c r="Q43" i="29"/>
  <c r="O1409" i="32" l="1" a="1"/>
  <c r="O1409" i="32" s="1"/>
  <c r="M2489" i="27" s="1"/>
  <c r="A2489" i="27" s="1"/>
  <c r="N1409" i="32" a="1"/>
  <c r="N1409" i="32" s="1"/>
  <c r="E1409" i="32" s="1"/>
  <c r="F2489" i="27" s="1"/>
  <c r="M1409" i="32" a="1"/>
  <c r="M1409" i="32" s="1"/>
  <c r="D1409" i="32" s="1"/>
  <c r="K1413" i="32"/>
  <c r="L1411" i="32"/>
  <c r="P45" i="29" a="1"/>
  <c r="P45" i="29" s="1"/>
  <c r="Q45" i="29" s="1"/>
  <c r="Q44" i="29"/>
  <c r="M1411" i="32" l="1" a="1"/>
  <c r="M1411" i="32" s="1"/>
  <c r="D1411" i="32" s="1"/>
  <c r="N1411" i="32" a="1"/>
  <c r="N1411" i="32" s="1"/>
  <c r="E1411" i="32" s="1"/>
  <c r="F2490" i="27" s="1"/>
  <c r="O1411" i="32" a="1"/>
  <c r="O1411" i="32" s="1"/>
  <c r="M2490" i="27" s="1"/>
  <c r="A2490" i="27" s="1"/>
  <c r="K1415" i="32"/>
  <c r="L1413" i="32"/>
  <c r="O45" i="29"/>
  <c r="P46" i="29" a="1"/>
  <c r="P46" i="29" s="1"/>
  <c r="Q46" i="29" s="1"/>
  <c r="O1413" i="32" l="1" a="1"/>
  <c r="O1413" i="32" s="1"/>
  <c r="M2491" i="27" s="1"/>
  <c r="A2491" i="27" s="1"/>
  <c r="M1413" i="32" a="1"/>
  <c r="M1413" i="32" s="1"/>
  <c r="D1413" i="32" s="1"/>
  <c r="N1413" i="32" a="1"/>
  <c r="N1413" i="32" s="1"/>
  <c r="E1413" i="32" s="1"/>
  <c r="F2491" i="27" s="1"/>
  <c r="K1417" i="32"/>
  <c r="L1415" i="32"/>
  <c r="P47" i="29" a="1"/>
  <c r="P47" i="29" s="1"/>
  <c r="Q47" i="29" s="1"/>
  <c r="O46" i="29"/>
  <c r="O1415" i="32" l="1" a="1"/>
  <c r="O1415" i="32" s="1"/>
  <c r="M2492" i="27" s="1"/>
  <c r="A2492" i="27" s="1"/>
  <c r="M1415" i="32" a="1"/>
  <c r="M1415" i="32" s="1"/>
  <c r="D1415" i="32" s="1"/>
  <c r="N1415" i="32" a="1"/>
  <c r="N1415" i="32" s="1"/>
  <c r="E1415" i="32" s="1"/>
  <c r="F2492" i="27" s="1"/>
  <c r="K1419" i="32"/>
  <c r="L1417" i="32"/>
  <c r="O47" i="29"/>
  <c r="P48" i="29" a="1"/>
  <c r="P48" i="29" s="1"/>
  <c r="Q48" i="29" s="1"/>
  <c r="N1417" i="32" l="1" a="1"/>
  <c r="N1417" i="32" s="1"/>
  <c r="E1417" i="32" s="1"/>
  <c r="F2493" i="27" s="1"/>
  <c r="M1417" i="32" a="1"/>
  <c r="M1417" i="32" s="1"/>
  <c r="D1417" i="32" s="1"/>
  <c r="O1417" i="32" a="1"/>
  <c r="O1417" i="32" s="1"/>
  <c r="M2493" i="27" s="1"/>
  <c r="A2493" i="27" s="1"/>
  <c r="K1421" i="32"/>
  <c r="L1419" i="32"/>
  <c r="P49" i="29" a="1"/>
  <c r="P49" i="29" s="1"/>
  <c r="O49" i="29" s="1"/>
  <c r="O48" i="29"/>
  <c r="K1423" i="32" l="1"/>
  <c r="K1425" i="32" s="1"/>
  <c r="L1421" i="32"/>
  <c r="O1419" i="32" a="1"/>
  <c r="O1419" i="32" s="1"/>
  <c r="M2494" i="27" s="1"/>
  <c r="A2494" i="27" s="1"/>
  <c r="M1419" i="32" a="1"/>
  <c r="M1419" i="32" s="1"/>
  <c r="D1419" i="32" s="1"/>
  <c r="N1419" i="32" a="1"/>
  <c r="N1419" i="32" s="1"/>
  <c r="E1419" i="32" s="1"/>
  <c r="F2494" i="27" s="1"/>
  <c r="P50" i="29" a="1"/>
  <c r="P50" i="29" s="1"/>
  <c r="O50" i="29" s="1"/>
  <c r="Q49" i="29"/>
  <c r="O1421" i="32" l="1" a="1"/>
  <c r="O1421" i="32" s="1"/>
  <c r="M2495" i="27" s="1"/>
  <c r="A2495" i="27" s="1"/>
  <c r="N1421" i="32" a="1"/>
  <c r="N1421" i="32" s="1"/>
  <c r="E1421" i="32" s="1"/>
  <c r="F2495" i="27" s="1"/>
  <c r="M1421" i="32" a="1"/>
  <c r="M1421" i="32" s="1"/>
  <c r="D1421" i="32" s="1"/>
  <c r="K1427" i="32"/>
  <c r="L1425" i="32"/>
  <c r="Q50" i="29"/>
  <c r="M1425" i="32" l="1" a="1"/>
  <c r="M1425" i="32" s="1"/>
  <c r="D1425" i="32" s="1"/>
  <c r="N1425" i="32" a="1"/>
  <c r="N1425" i="32" s="1"/>
  <c r="E1425" i="32" s="1"/>
  <c r="F2497" i="27" s="1"/>
  <c r="O1425" i="32" a="1"/>
  <c r="O1425" i="32" s="1"/>
  <c r="M2497" i="27" s="1"/>
  <c r="A2497" i="27" s="1"/>
  <c r="K1429" i="32"/>
  <c r="L1427" i="32"/>
  <c r="O1427" i="32" l="1" a="1"/>
  <c r="O1427" i="32" s="1"/>
  <c r="M2498" i="27" s="1"/>
  <c r="A2498" i="27" s="1"/>
  <c r="N1427" i="32" a="1"/>
  <c r="N1427" i="32" s="1"/>
  <c r="E1427" i="32" s="1"/>
  <c r="F2498" i="27" s="1"/>
  <c r="M1427" i="32" a="1"/>
  <c r="M1427" i="32" s="1"/>
  <c r="D1427" i="32" s="1"/>
  <c r="K1431" i="32"/>
  <c r="L1429" i="32"/>
  <c r="K1433" i="32" l="1"/>
  <c r="L1431" i="32"/>
  <c r="O1429" i="32" a="1"/>
  <c r="O1429" i="32" s="1"/>
  <c r="M2499" i="27" s="1"/>
  <c r="A2499" i="27" s="1"/>
  <c r="N1429" i="32" a="1"/>
  <c r="N1429" i="32" s="1"/>
  <c r="E1429" i="32" s="1"/>
  <c r="F2499" i="27" s="1"/>
  <c r="M1429" i="32" a="1"/>
  <c r="M1429" i="32" s="1"/>
  <c r="D1429" i="32" s="1"/>
  <c r="O1431" i="32" l="1" a="1"/>
  <c r="O1431" i="32" s="1"/>
  <c r="M2500" i="27" s="1"/>
  <c r="A2500" i="27" s="1"/>
  <c r="M1431" i="32" a="1"/>
  <c r="M1431" i="32" s="1"/>
  <c r="D1431" i="32" s="1"/>
  <c r="N1431" i="32" a="1"/>
  <c r="N1431" i="32" s="1"/>
  <c r="E1431" i="32" s="1"/>
  <c r="F2500" i="27" s="1"/>
  <c r="K1435" i="32"/>
  <c r="L1433" i="32"/>
  <c r="K1437" i="32" l="1"/>
  <c r="L1435" i="32"/>
  <c r="O1433" i="32" a="1"/>
  <c r="O1433" i="32" s="1"/>
  <c r="M2501" i="27" s="1"/>
  <c r="A2501" i="27" s="1"/>
  <c r="N1433" i="32" a="1"/>
  <c r="N1433" i="32" s="1"/>
  <c r="E1433" i="32" s="1"/>
  <c r="F2501" i="27" s="1"/>
  <c r="M1433" i="32" a="1"/>
  <c r="M1433" i="32" s="1"/>
  <c r="D1433" i="32" s="1"/>
  <c r="O1435" i="32" l="1" a="1"/>
  <c r="O1435" i="32" s="1"/>
  <c r="M2502" i="27" s="1"/>
  <c r="A2502" i="27" s="1"/>
  <c r="N1435" i="32" a="1"/>
  <c r="N1435" i="32" s="1"/>
  <c r="E1435" i="32" s="1"/>
  <c r="F2502" i="27" s="1"/>
  <c r="M1435" i="32" a="1"/>
  <c r="M1435" i="32" s="1"/>
  <c r="D1435" i="32" s="1"/>
  <c r="K1439" i="32"/>
  <c r="L1437" i="32"/>
  <c r="K1441" i="32" l="1"/>
  <c r="L1439" i="32"/>
  <c r="O1437" i="32" a="1"/>
  <c r="O1437" i="32" s="1"/>
  <c r="M2503" i="27" s="1"/>
  <c r="A2503" i="27" s="1"/>
  <c r="M1437" i="32" a="1"/>
  <c r="M1437" i="32" s="1"/>
  <c r="D1437" i="32" s="1"/>
  <c r="N1437" i="32" a="1"/>
  <c r="N1437" i="32" s="1"/>
  <c r="E1437" i="32" s="1"/>
  <c r="F2503" i="27" s="1"/>
  <c r="M1439" i="32" l="1" a="1"/>
  <c r="M1439" i="32" s="1"/>
  <c r="D1439" i="32" s="1"/>
  <c r="O1439" i="32" a="1"/>
  <c r="O1439" i="32" s="1"/>
  <c r="M2504" i="27" s="1"/>
  <c r="A2504" i="27" s="1"/>
  <c r="N1439" i="32" a="1"/>
  <c r="N1439" i="32" s="1"/>
  <c r="E1439" i="32" s="1"/>
  <c r="F2504" i="27" s="1"/>
  <c r="K1443" i="32"/>
  <c r="L1441" i="32"/>
  <c r="N1441" i="32" l="1" a="1"/>
  <c r="N1441" i="32" s="1"/>
  <c r="E1441" i="32" s="1"/>
  <c r="F2505" i="27" s="1"/>
  <c r="M1441" i="32" a="1"/>
  <c r="M1441" i="32" s="1"/>
  <c r="D1441" i="32" s="1"/>
  <c r="O1441" i="32" a="1"/>
  <c r="O1441" i="32" s="1"/>
  <c r="M2505" i="27" s="1"/>
  <c r="A2505" i="27" s="1"/>
  <c r="K1445" i="32"/>
  <c r="L1443" i="32"/>
  <c r="M1443" i="32" l="1" a="1"/>
  <c r="M1443" i="32" s="1"/>
  <c r="D1443" i="32" s="1"/>
  <c r="N1443" i="32" a="1"/>
  <c r="N1443" i="32" s="1"/>
  <c r="E1443" i="32" s="1"/>
  <c r="F2506" i="27" s="1"/>
  <c r="O1443" i="32" a="1"/>
  <c r="O1443" i="32" s="1"/>
  <c r="M2506" i="27" s="1"/>
  <c r="A2506" i="27" s="1"/>
  <c r="K1447" i="32"/>
  <c r="L1445" i="32"/>
  <c r="M1445" i="32" l="1" a="1"/>
  <c r="M1445" i="32" s="1"/>
  <c r="D1445" i="32" s="1"/>
  <c r="N1445" i="32" a="1"/>
  <c r="N1445" i="32" s="1"/>
  <c r="E1445" i="32" s="1"/>
  <c r="F2507" i="27" s="1"/>
  <c r="O1445" i="32" a="1"/>
  <c r="O1445" i="32" s="1"/>
  <c r="M2507" i="27" s="1"/>
  <c r="A2507" i="27" s="1"/>
  <c r="K1449" i="32"/>
  <c r="L1447" i="32"/>
  <c r="N1447" i="32" l="1" a="1"/>
  <c r="N1447" i="32" s="1"/>
  <c r="E1447" i="32" s="1"/>
  <c r="F2508" i="27" s="1"/>
  <c r="M1447" i="32" a="1"/>
  <c r="M1447" i="32" s="1"/>
  <c r="D1447" i="32" s="1"/>
  <c r="O1447" i="32" a="1"/>
  <c r="O1447" i="32" s="1"/>
  <c r="M2508" i="27" s="1"/>
  <c r="A2508" i="27" s="1"/>
  <c r="K1451" i="32"/>
  <c r="L1449" i="32"/>
  <c r="K1453" i="32" l="1"/>
  <c r="L1451" i="32"/>
  <c r="N1449" i="32" a="1"/>
  <c r="N1449" i="32" s="1"/>
  <c r="E1449" i="32" s="1"/>
  <c r="F2509" i="27" s="1"/>
  <c r="M1449" i="32" a="1"/>
  <c r="M1449" i="32" s="1"/>
  <c r="D1449" i="32" s="1"/>
  <c r="O1449" i="32" a="1"/>
  <c r="O1449" i="32" s="1"/>
  <c r="M2509" i="27" s="1"/>
  <c r="A2509" i="27" s="1"/>
  <c r="M1451" i="32" l="1" a="1"/>
  <c r="M1451" i="32" s="1"/>
  <c r="D1451" i="32" s="1"/>
  <c r="O1451" i="32" a="1"/>
  <c r="O1451" i="32" s="1"/>
  <c r="M2510" i="27" s="1"/>
  <c r="A2510" i="27" s="1"/>
  <c r="N1451" i="32" a="1"/>
  <c r="N1451" i="32" s="1"/>
  <c r="E1451" i="32" s="1"/>
  <c r="F2510" i="27" s="1"/>
  <c r="K1455" i="32"/>
  <c r="L1453" i="32"/>
  <c r="N1453" i="32" l="1" a="1"/>
  <c r="N1453" i="32" s="1"/>
  <c r="E1453" i="32" s="1"/>
  <c r="F2511" i="27" s="1"/>
  <c r="O1453" i="32" a="1"/>
  <c r="O1453" i="32" s="1"/>
  <c r="M2511" i="27" s="1"/>
  <c r="A2511" i="27" s="1"/>
  <c r="M1453" i="32" a="1"/>
  <c r="M1453" i="32" s="1"/>
  <c r="D1453" i="32" s="1"/>
  <c r="K1457" i="32"/>
  <c r="L1455" i="32"/>
  <c r="K1459" i="32" l="1"/>
  <c r="L1457" i="32"/>
  <c r="O1455" i="32" a="1"/>
  <c r="O1455" i="32" s="1"/>
  <c r="M2512" i="27" s="1"/>
  <c r="A2512" i="27" s="1"/>
  <c r="M1455" i="32" a="1"/>
  <c r="M1455" i="32" s="1"/>
  <c r="D1455" i="32" s="1"/>
  <c r="N1455" i="32" a="1"/>
  <c r="N1455" i="32" s="1"/>
  <c r="E1455" i="32" s="1"/>
  <c r="F2512" i="27" s="1"/>
  <c r="O1457" i="32" l="1" a="1"/>
  <c r="O1457" i="32" s="1"/>
  <c r="M2513" i="27" s="1"/>
  <c r="A2513" i="27" s="1"/>
  <c r="M1457" i="32" a="1"/>
  <c r="M1457" i="32" s="1"/>
  <c r="D1457" i="32" s="1"/>
  <c r="N1457" i="32" a="1"/>
  <c r="N1457" i="32" s="1"/>
  <c r="E1457" i="32" s="1"/>
  <c r="F2513" i="27" s="1"/>
  <c r="K1461" i="32"/>
  <c r="L1459" i="32"/>
  <c r="K1463" i="32" l="1"/>
  <c r="L1461" i="32"/>
  <c r="M1459" i="32" a="1"/>
  <c r="M1459" i="32" s="1"/>
  <c r="D1459" i="32" s="1"/>
  <c r="N1459" i="32" a="1"/>
  <c r="N1459" i="32" s="1"/>
  <c r="E1459" i="32" s="1"/>
  <c r="F2514" i="27" s="1"/>
  <c r="O1459" i="32" a="1"/>
  <c r="O1459" i="32" s="1"/>
  <c r="M2514" i="27" s="1"/>
  <c r="A2514" i="27" s="1"/>
  <c r="M1461" i="32" l="1" a="1"/>
  <c r="M1461" i="32" s="1"/>
  <c r="D1461" i="32" s="1"/>
  <c r="O1461" i="32" a="1"/>
  <c r="O1461" i="32" s="1"/>
  <c r="M2515" i="27" s="1"/>
  <c r="A2515" i="27" s="1"/>
  <c r="N1461" i="32" a="1"/>
  <c r="N1461" i="32" s="1"/>
  <c r="E1461" i="32" s="1"/>
  <c r="F2515" i="27" s="1"/>
  <c r="K1465" i="32"/>
  <c r="L1463" i="32"/>
  <c r="M1463" i="32" l="1" a="1"/>
  <c r="M1463" i="32" s="1"/>
  <c r="D1463" i="32" s="1"/>
  <c r="N1463" i="32" a="1"/>
  <c r="N1463" i="32" s="1"/>
  <c r="E1463" i="32" s="1"/>
  <c r="F2516" i="27" s="1"/>
  <c r="O1463" i="32" a="1"/>
  <c r="O1463" i="32" s="1"/>
  <c r="M2516" i="27" s="1"/>
  <c r="A2516" i="27" s="1"/>
  <c r="K1467" i="32"/>
  <c r="L1465" i="32"/>
  <c r="O1465" i="32" l="1" a="1"/>
  <c r="O1465" i="32" s="1"/>
  <c r="M2517" i="27" s="1"/>
  <c r="A2517" i="27" s="1"/>
  <c r="M1465" i="32" a="1"/>
  <c r="M1465" i="32" s="1"/>
  <c r="D1465" i="32" s="1"/>
  <c r="N1465" i="32" a="1"/>
  <c r="N1465" i="32" s="1"/>
  <c r="E1465" i="32" s="1"/>
  <c r="F2517" i="27" s="1"/>
  <c r="K1469" i="32"/>
  <c r="L1467" i="32"/>
  <c r="N1467" i="32" l="1" a="1"/>
  <c r="N1467" i="32" s="1"/>
  <c r="E1467" i="32" s="1"/>
  <c r="F2518" i="27" s="1"/>
  <c r="M1467" i="32" a="1"/>
  <c r="M1467" i="32" s="1"/>
  <c r="D1467" i="32" s="1"/>
  <c r="O1467" i="32" a="1"/>
  <c r="O1467" i="32" s="1"/>
  <c r="M2518" i="27" s="1"/>
  <c r="A2518" i="27" s="1"/>
  <c r="K1471" i="32"/>
  <c r="L1469" i="32"/>
  <c r="K1473" i="32" l="1"/>
  <c r="L1471" i="32"/>
  <c r="O1469" i="32" a="1"/>
  <c r="O1469" i="32" s="1"/>
  <c r="M2519" i="27" s="1"/>
  <c r="A2519" i="27" s="1"/>
  <c r="M1469" i="32" a="1"/>
  <c r="M1469" i="32" s="1"/>
  <c r="D1469" i="32" s="1"/>
  <c r="N1469" i="32" a="1"/>
  <c r="N1469" i="32" s="1"/>
  <c r="E1469" i="32" s="1"/>
  <c r="F2519" i="27" s="1"/>
  <c r="M1471" i="32" l="1" a="1"/>
  <c r="M1471" i="32" s="1"/>
  <c r="D1471" i="32" s="1"/>
  <c r="N1471" i="32" a="1"/>
  <c r="N1471" i="32" s="1"/>
  <c r="E1471" i="32" s="1"/>
  <c r="F2520" i="27" s="1"/>
  <c r="O1471" i="32" a="1"/>
  <c r="O1471" i="32" s="1"/>
  <c r="M2520" i="27" s="1"/>
  <c r="A2520" i="27" s="1"/>
  <c r="K1475" i="32"/>
  <c r="L1473" i="32"/>
  <c r="O1473" i="32" l="1" a="1"/>
  <c r="O1473" i="32" s="1"/>
  <c r="M2521" i="27" s="1"/>
  <c r="A2521" i="27" s="1"/>
  <c r="N1473" i="32" a="1"/>
  <c r="N1473" i="32" s="1"/>
  <c r="E1473" i="32" s="1"/>
  <c r="F2521" i="27" s="1"/>
  <c r="M1473" i="32" a="1"/>
  <c r="M1473" i="32" s="1"/>
  <c r="D1473" i="32" s="1"/>
  <c r="K1477" i="32"/>
  <c r="L1475" i="32"/>
  <c r="M1475" i="32" l="1" a="1"/>
  <c r="M1475" i="32" s="1"/>
  <c r="D1475" i="32" s="1"/>
  <c r="O1475" i="32" a="1"/>
  <c r="O1475" i="32" s="1"/>
  <c r="M2522" i="27" s="1"/>
  <c r="A2522" i="27" s="1"/>
  <c r="N1475" i="32" a="1"/>
  <c r="N1475" i="32" s="1"/>
  <c r="E1475" i="32" s="1"/>
  <c r="F2522" i="27" s="1"/>
  <c r="K1479" i="32"/>
  <c r="L1477" i="32"/>
  <c r="M1477" i="32" l="1" a="1"/>
  <c r="M1477" i="32" s="1"/>
  <c r="D1477" i="32" s="1"/>
  <c r="O1477" i="32" a="1"/>
  <c r="O1477" i="32" s="1"/>
  <c r="M2523" i="27" s="1"/>
  <c r="A2523" i="27" s="1"/>
  <c r="N1477" i="32" a="1"/>
  <c r="N1477" i="32" s="1"/>
  <c r="E1477" i="32" s="1"/>
  <c r="F2523" i="27" s="1"/>
  <c r="K1481" i="32"/>
  <c r="L1479" i="32"/>
  <c r="M1479" i="32" l="1" a="1"/>
  <c r="M1479" i="32" s="1"/>
  <c r="D1479" i="32" s="1"/>
  <c r="N1479" i="32" a="1"/>
  <c r="N1479" i="32" s="1"/>
  <c r="E1479" i="32" s="1"/>
  <c r="F2524" i="27" s="1"/>
  <c r="O1479" i="32" a="1"/>
  <c r="O1479" i="32" s="1"/>
  <c r="M2524" i="27" s="1"/>
  <c r="A2524" i="27" s="1"/>
  <c r="K1483" i="32"/>
  <c r="L1481" i="32"/>
  <c r="O1481" i="32" l="1" a="1"/>
  <c r="O1481" i="32" s="1"/>
  <c r="M2525" i="27" s="1"/>
  <c r="A2525" i="27" s="1"/>
  <c r="N1481" i="32" a="1"/>
  <c r="N1481" i="32" s="1"/>
  <c r="E1481" i="32" s="1"/>
  <c r="F2525" i="27" s="1"/>
  <c r="M1481" i="32" a="1"/>
  <c r="M1481" i="32" s="1"/>
  <c r="D1481" i="32" s="1"/>
  <c r="K1485" i="32"/>
  <c r="L1483" i="32"/>
  <c r="M1483" i="32" l="1" a="1"/>
  <c r="M1483" i="32" s="1"/>
  <c r="D1483" i="32" s="1"/>
  <c r="O1483" i="32" a="1"/>
  <c r="O1483" i="32" s="1"/>
  <c r="M2526" i="27" s="1"/>
  <c r="A2526" i="27" s="1"/>
  <c r="N1483" i="32" a="1"/>
  <c r="N1483" i="32" s="1"/>
  <c r="E1483" i="32" s="1"/>
  <c r="F2526" i="27" s="1"/>
  <c r="K1487" i="32"/>
  <c r="L1485" i="32"/>
  <c r="N1485" i="32" l="1" a="1"/>
  <c r="N1485" i="32" s="1"/>
  <c r="E1485" i="32" s="1"/>
  <c r="F2527" i="27" s="1"/>
  <c r="O1485" i="32" a="1"/>
  <c r="O1485" i="32" s="1"/>
  <c r="M2527" i="27" s="1"/>
  <c r="A2527" i="27" s="1"/>
  <c r="M1485" i="32" a="1"/>
  <c r="M1485" i="32" s="1"/>
  <c r="D1485" i="32" s="1"/>
  <c r="K1489" i="32"/>
  <c r="L1487" i="32"/>
  <c r="M1487" i="32" l="1" a="1"/>
  <c r="M1487" i="32" s="1"/>
  <c r="D1487" i="32" s="1"/>
  <c r="O1487" i="32" a="1"/>
  <c r="O1487" i="32" s="1"/>
  <c r="M2528" i="27" s="1"/>
  <c r="A2528" i="27" s="1"/>
  <c r="N1487" i="32" a="1"/>
  <c r="N1487" i="32" s="1"/>
  <c r="E1487" i="32" s="1"/>
  <c r="F2528" i="27" s="1"/>
  <c r="K1491" i="32"/>
  <c r="L1489" i="32"/>
  <c r="N1489" i="32" l="1" a="1"/>
  <c r="N1489" i="32" s="1"/>
  <c r="E1489" i="32" s="1"/>
  <c r="F2529" i="27" s="1"/>
  <c r="O1489" i="32" a="1"/>
  <c r="O1489" i="32" s="1"/>
  <c r="M2529" i="27" s="1"/>
  <c r="A2529" i="27" s="1"/>
  <c r="M1489" i="32" a="1"/>
  <c r="M1489" i="32" s="1"/>
  <c r="D1489" i="32" s="1"/>
  <c r="K1493" i="32"/>
  <c r="L1491" i="32"/>
  <c r="M1491" i="32" l="1" a="1"/>
  <c r="M1491" i="32" s="1"/>
  <c r="D1491" i="32" s="1"/>
  <c r="N1491" i="32" a="1"/>
  <c r="N1491" i="32" s="1"/>
  <c r="E1491" i="32" s="1"/>
  <c r="F2530" i="27" s="1"/>
  <c r="O1491" i="32" a="1"/>
  <c r="O1491" i="32" s="1"/>
  <c r="M2530" i="27" s="1"/>
  <c r="A2530" i="27" s="1"/>
  <c r="K1495" i="32"/>
  <c r="L1493" i="32"/>
  <c r="N1493" i="32" l="1" a="1"/>
  <c r="N1493" i="32" s="1"/>
  <c r="E1493" i="32" s="1"/>
  <c r="F2531" i="27" s="1"/>
  <c r="M1493" i="32" a="1"/>
  <c r="M1493" i="32" s="1"/>
  <c r="D1493" i="32" s="1"/>
  <c r="O1493" i="32" a="1"/>
  <c r="O1493" i="32" s="1"/>
  <c r="M2531" i="27" s="1"/>
  <c r="A2531" i="27" s="1"/>
  <c r="K1497" i="32"/>
  <c r="L1495" i="32"/>
  <c r="N1495" i="32" l="1" a="1"/>
  <c r="N1495" i="32" s="1"/>
  <c r="E1495" i="32" s="1"/>
  <c r="F2532" i="27" s="1"/>
  <c r="O1495" i="32" a="1"/>
  <c r="O1495" i="32" s="1"/>
  <c r="M2532" i="27" s="1"/>
  <c r="A2532" i="27" s="1"/>
  <c r="M1495" i="32" a="1"/>
  <c r="M1495" i="32" s="1"/>
  <c r="D1495" i="32" s="1"/>
  <c r="K1499" i="32"/>
  <c r="L1497" i="32"/>
  <c r="K1501" i="32" l="1"/>
  <c r="L1499" i="32"/>
  <c r="N1497" i="32" a="1"/>
  <c r="N1497" i="32" s="1"/>
  <c r="E1497" i="32" s="1"/>
  <c r="F2533" i="27" s="1"/>
  <c r="O1497" i="32" a="1"/>
  <c r="O1497" i="32" s="1"/>
  <c r="M2533" i="27" s="1"/>
  <c r="A2533" i="27" s="1"/>
  <c r="M1497" i="32" a="1"/>
  <c r="M1497" i="32" s="1"/>
  <c r="D1497" i="32" s="1"/>
  <c r="K1503" i="32" l="1"/>
  <c r="L1501" i="32"/>
  <c r="M1499" i="32" a="1"/>
  <c r="M1499" i="32" s="1"/>
  <c r="D1499" i="32" s="1"/>
  <c r="O1499" i="32" a="1"/>
  <c r="O1499" i="32" s="1"/>
  <c r="M2534" i="27" s="1"/>
  <c r="A2534" i="27" s="1"/>
  <c r="N1499" i="32" a="1"/>
  <c r="N1499" i="32" s="1"/>
  <c r="E1499" i="32" s="1"/>
  <c r="F2534" i="27" s="1"/>
  <c r="M1501" i="32" l="1" a="1"/>
  <c r="M1501" i="32" s="1"/>
  <c r="D1501" i="32" s="1"/>
  <c r="N1501" i="32" a="1"/>
  <c r="N1501" i="32" s="1"/>
  <c r="E1501" i="32" s="1"/>
  <c r="F2535" i="27" s="1"/>
  <c r="O1501" i="32" a="1"/>
  <c r="O1501" i="32" s="1"/>
  <c r="M2535" i="27" s="1"/>
  <c r="A2535" i="27" s="1"/>
  <c r="K1505" i="32"/>
  <c r="L1503" i="32"/>
  <c r="O1503" i="32" l="1" a="1"/>
  <c r="O1503" i="32" s="1"/>
  <c r="M2536" i="27" s="1"/>
  <c r="A2536" i="27" s="1"/>
  <c r="M1503" i="32" a="1"/>
  <c r="M1503" i="32" s="1"/>
  <c r="D1503" i="32" s="1"/>
  <c r="N1503" i="32" a="1"/>
  <c r="N1503" i="32" s="1"/>
  <c r="E1503" i="32" s="1"/>
  <c r="F2536" i="27" s="1"/>
  <c r="K1507" i="32"/>
  <c r="L1505" i="32"/>
  <c r="K1509" i="32" l="1"/>
  <c r="L1507" i="32"/>
  <c r="O1505" i="32" a="1"/>
  <c r="O1505" i="32" s="1"/>
  <c r="M2537" i="27" s="1"/>
  <c r="A2537" i="27" s="1"/>
  <c r="M1505" i="32" a="1"/>
  <c r="M1505" i="32" s="1"/>
  <c r="D1505" i="32" s="1"/>
  <c r="N1505" i="32" a="1"/>
  <c r="N1505" i="32" s="1"/>
  <c r="E1505" i="32" s="1"/>
  <c r="F2537" i="27" s="1"/>
  <c r="O1507" i="32" l="1" a="1"/>
  <c r="O1507" i="32" s="1"/>
  <c r="M2538" i="27" s="1"/>
  <c r="A2538" i="27" s="1"/>
  <c r="N1507" i="32" a="1"/>
  <c r="N1507" i="32" s="1"/>
  <c r="E1507" i="32" s="1"/>
  <c r="F2538" i="27" s="1"/>
  <c r="M1507" i="32" a="1"/>
  <c r="M1507" i="32" s="1"/>
  <c r="D1507" i="32" s="1"/>
  <c r="K1511" i="32"/>
  <c r="L1509" i="32"/>
  <c r="N1509" i="32" l="1" a="1"/>
  <c r="N1509" i="32" s="1"/>
  <c r="E1509" i="32" s="1"/>
  <c r="F2539" i="27" s="1"/>
  <c r="M1509" i="32" a="1"/>
  <c r="M1509" i="32" s="1"/>
  <c r="D1509" i="32" s="1"/>
  <c r="O1509" i="32" a="1"/>
  <c r="O1509" i="32" s="1"/>
  <c r="M2539" i="27" s="1"/>
  <c r="A2539" i="27" s="1"/>
  <c r="K1513" i="32"/>
  <c r="L1511" i="32"/>
  <c r="N1511" i="32" l="1" a="1"/>
  <c r="N1511" i="32" s="1"/>
  <c r="E1511" i="32" s="1"/>
  <c r="F2540" i="27" s="1"/>
  <c r="O1511" i="32" a="1"/>
  <c r="O1511" i="32" s="1"/>
  <c r="M2540" i="27" s="1"/>
  <c r="A2540" i="27" s="1"/>
  <c r="M1511" i="32" a="1"/>
  <c r="M1511" i="32" s="1"/>
  <c r="D1511" i="32" s="1"/>
  <c r="K1515" i="32"/>
  <c r="L1513" i="32"/>
  <c r="M1513" i="32" l="1" a="1"/>
  <c r="M1513" i="32" s="1"/>
  <c r="D1513" i="32" s="1"/>
  <c r="N1513" i="32" a="1"/>
  <c r="N1513" i="32" s="1"/>
  <c r="E1513" i="32" s="1"/>
  <c r="F2541" i="27" s="1"/>
  <c r="O1513" i="32" a="1"/>
  <c r="O1513" i="32" s="1"/>
  <c r="M2541" i="27" s="1"/>
  <c r="A2541" i="27" s="1"/>
  <c r="K1517" i="32"/>
  <c r="L1515" i="32"/>
  <c r="M1515" i="32" l="1" a="1"/>
  <c r="M1515" i="32" s="1"/>
  <c r="D1515" i="32" s="1"/>
  <c r="O1515" i="32" a="1"/>
  <c r="O1515" i="32" s="1"/>
  <c r="M2542" i="27" s="1"/>
  <c r="A2542" i="27" s="1"/>
  <c r="N1515" i="32" a="1"/>
  <c r="N1515" i="32" s="1"/>
  <c r="E1515" i="32" s="1"/>
  <c r="F2542" i="27" s="1"/>
  <c r="K1519" i="32"/>
  <c r="L1517" i="32"/>
  <c r="O1517" i="32" l="1" a="1"/>
  <c r="O1517" i="32" s="1"/>
  <c r="M2543" i="27" s="1"/>
  <c r="A2543" i="27" s="1"/>
  <c r="M1517" i="32" a="1"/>
  <c r="M1517" i="32" s="1"/>
  <c r="D1517" i="32" s="1"/>
  <c r="N1517" i="32" a="1"/>
  <c r="N1517" i="32" s="1"/>
  <c r="E1517" i="32" s="1"/>
  <c r="F2543" i="27" s="1"/>
  <c r="K1521" i="32"/>
  <c r="L1519" i="32"/>
  <c r="M1519" i="32" l="1" a="1"/>
  <c r="M1519" i="32" s="1"/>
  <c r="D1519" i="32" s="1"/>
  <c r="O1519" i="32" a="1"/>
  <c r="O1519" i="32" s="1"/>
  <c r="M2544" i="27" s="1"/>
  <c r="A2544" i="27" s="1"/>
  <c r="N1519" i="32" a="1"/>
  <c r="N1519" i="32" s="1"/>
  <c r="E1519" i="32" s="1"/>
  <c r="F2544" i="27" s="1"/>
  <c r="K1523" i="32"/>
  <c r="L1521" i="32"/>
  <c r="O1521" i="32" l="1" a="1"/>
  <c r="O1521" i="32" s="1"/>
  <c r="M2545" i="27" s="1"/>
  <c r="A2545" i="27" s="1"/>
  <c r="N1521" i="32" a="1"/>
  <c r="N1521" i="32" s="1"/>
  <c r="E1521" i="32" s="1"/>
  <c r="F2545" i="27" s="1"/>
  <c r="M1521" i="32" a="1"/>
  <c r="M1521" i="32" s="1"/>
  <c r="D1521" i="32" s="1"/>
  <c r="K1525" i="32"/>
  <c r="L1523" i="32"/>
  <c r="O1523" i="32" l="1" a="1"/>
  <c r="O1523" i="32" s="1"/>
  <c r="M2546" i="27" s="1"/>
  <c r="A2546" i="27" s="1"/>
  <c r="M1523" i="32" a="1"/>
  <c r="M1523" i="32" s="1"/>
  <c r="D1523" i="32" s="1"/>
  <c r="N1523" i="32" a="1"/>
  <c r="N1523" i="32" s="1"/>
  <c r="E1523" i="32" s="1"/>
  <c r="F2546" i="27" s="1"/>
  <c r="K1527" i="32"/>
  <c r="L1525" i="32"/>
  <c r="O1525" i="32" l="1" a="1"/>
  <c r="O1525" i="32" s="1"/>
  <c r="M2547" i="27" s="1"/>
  <c r="A2547" i="27" s="1"/>
  <c r="M1525" i="32" a="1"/>
  <c r="M1525" i="32" s="1"/>
  <c r="D1525" i="32" s="1"/>
  <c r="N1525" i="32" a="1"/>
  <c r="N1525" i="32" s="1"/>
  <c r="E1525" i="32" s="1"/>
  <c r="F2547" i="27" s="1"/>
  <c r="K1529" i="32"/>
  <c r="L1527" i="32"/>
  <c r="M1527" i="32" l="1" a="1"/>
  <c r="M1527" i="32" s="1"/>
  <c r="D1527" i="32" s="1"/>
  <c r="N1527" i="32" a="1"/>
  <c r="N1527" i="32" s="1"/>
  <c r="E1527" i="32" s="1"/>
  <c r="F2548" i="27" s="1"/>
  <c r="O1527" i="32" a="1"/>
  <c r="O1527" i="32" s="1"/>
  <c r="M2548" i="27" s="1"/>
  <c r="A2548" i="27" s="1"/>
  <c r="K1531" i="32"/>
  <c r="L1529" i="32"/>
  <c r="M1529" i="32" l="1" a="1"/>
  <c r="M1529" i="32" s="1"/>
  <c r="D1529" i="32" s="1"/>
  <c r="O1529" i="32" a="1"/>
  <c r="O1529" i="32" s="1"/>
  <c r="M2549" i="27" s="1"/>
  <c r="A2549" i="27" s="1"/>
  <c r="N1529" i="32" a="1"/>
  <c r="N1529" i="32" s="1"/>
  <c r="E1529" i="32" s="1"/>
  <c r="F2549" i="27" s="1"/>
  <c r="K1533" i="32"/>
  <c r="L1531" i="32"/>
  <c r="O1531" i="32" l="1" a="1"/>
  <c r="O1531" i="32" s="1"/>
  <c r="M2550" i="27" s="1"/>
  <c r="A2550" i="27" s="1"/>
  <c r="N1531" i="32" a="1"/>
  <c r="N1531" i="32" s="1"/>
  <c r="E1531" i="32" s="1"/>
  <c r="F2550" i="27" s="1"/>
  <c r="M1531" i="32" a="1"/>
  <c r="M1531" i="32" s="1"/>
  <c r="D1531" i="32" s="1"/>
  <c r="K1535" i="32"/>
  <c r="L1533" i="32"/>
  <c r="K1537" i="32" l="1"/>
  <c r="L1535" i="32"/>
  <c r="N1533" i="32" a="1"/>
  <c r="N1533" i="32" s="1"/>
  <c r="E1533" i="32" s="1"/>
  <c r="F2551" i="27" s="1"/>
  <c r="O1533" i="32" a="1"/>
  <c r="O1533" i="32" s="1"/>
  <c r="M2551" i="27" s="1"/>
  <c r="A2551" i="27" s="1"/>
  <c r="M1533" i="32" a="1"/>
  <c r="M1533" i="32" s="1"/>
  <c r="D1533" i="32" s="1"/>
  <c r="M1535" i="32" l="1" a="1"/>
  <c r="M1535" i="32" s="1"/>
  <c r="D1535" i="32" s="1"/>
  <c r="N1535" i="32" a="1"/>
  <c r="N1535" i="32" s="1"/>
  <c r="E1535" i="32" s="1"/>
  <c r="F2552" i="27" s="1"/>
  <c r="O1535" i="32" a="1"/>
  <c r="O1535" i="32" s="1"/>
  <c r="M2552" i="27" s="1"/>
  <c r="A2552" i="27" s="1"/>
  <c r="K1539" i="32"/>
  <c r="L1537" i="32"/>
  <c r="M1537" i="32" l="1" a="1"/>
  <c r="M1537" i="32" s="1"/>
  <c r="D1537" i="32" s="1"/>
  <c r="N1537" i="32" a="1"/>
  <c r="N1537" i="32" s="1"/>
  <c r="E1537" i="32" s="1"/>
  <c r="F2553" i="27" s="1"/>
  <c r="O1537" i="32" a="1"/>
  <c r="O1537" i="32" s="1"/>
  <c r="M2553" i="27" s="1"/>
  <c r="A2553" i="27" s="1"/>
  <c r="K1541" i="32"/>
  <c r="L1539" i="32"/>
  <c r="K1543" i="32" l="1"/>
  <c r="L1541" i="32"/>
  <c r="M1539" i="32" a="1"/>
  <c r="M1539" i="32" s="1"/>
  <c r="D1539" i="32" s="1"/>
  <c r="O1539" i="32" a="1"/>
  <c r="O1539" i="32" s="1"/>
  <c r="M2554" i="27" s="1"/>
  <c r="A2554" i="27" s="1"/>
  <c r="N1539" i="32" a="1"/>
  <c r="N1539" i="32" s="1"/>
  <c r="E1539" i="32" s="1"/>
  <c r="F2554" i="27" s="1"/>
  <c r="N1541" i="32" l="1" a="1"/>
  <c r="N1541" i="32" s="1"/>
  <c r="E1541" i="32" s="1"/>
  <c r="F2555" i="27" s="1"/>
  <c r="M1541" i="32" a="1"/>
  <c r="M1541" i="32" s="1"/>
  <c r="D1541" i="32" s="1"/>
  <c r="O1541" i="32" a="1"/>
  <c r="O1541" i="32" s="1"/>
  <c r="M2555" i="27" s="1"/>
  <c r="A2555" i="27" s="1"/>
  <c r="K1545" i="32"/>
  <c r="L1543" i="32"/>
  <c r="N1543" i="32" l="1" a="1"/>
  <c r="N1543" i="32" s="1"/>
  <c r="E1543" i="32" s="1"/>
  <c r="F2556" i="27" s="1"/>
  <c r="O1543" i="32" a="1"/>
  <c r="O1543" i="32" s="1"/>
  <c r="M2556" i="27" s="1"/>
  <c r="A2556" i="27" s="1"/>
  <c r="M1543" i="32" a="1"/>
  <c r="M1543" i="32" s="1"/>
  <c r="D1543" i="32" s="1"/>
  <c r="K1547" i="32"/>
  <c r="L1545" i="32"/>
  <c r="N1545" i="32" l="1" a="1"/>
  <c r="N1545" i="32" s="1"/>
  <c r="E1545" i="32" s="1"/>
  <c r="F2557" i="27" s="1"/>
  <c r="O1545" i="32" a="1"/>
  <c r="O1545" i="32" s="1"/>
  <c r="M2557" i="27" s="1"/>
  <c r="A2557" i="27" s="1"/>
  <c r="M1545" i="32" a="1"/>
  <c r="M1545" i="32" s="1"/>
  <c r="D1545" i="32" s="1"/>
  <c r="K1549" i="32"/>
  <c r="L1547" i="32"/>
  <c r="K1551" i="32" l="1"/>
  <c r="L1549" i="32"/>
  <c r="O1547" i="32" a="1"/>
  <c r="O1547" i="32" s="1"/>
  <c r="M2558" i="27" s="1"/>
  <c r="A2558" i="27" s="1"/>
  <c r="M1547" i="32" a="1"/>
  <c r="M1547" i="32" s="1"/>
  <c r="D1547" i="32" s="1"/>
  <c r="N1547" i="32" a="1"/>
  <c r="N1547" i="32" s="1"/>
  <c r="E1547" i="32" s="1"/>
  <c r="F2558" i="27" s="1"/>
  <c r="M1549" i="32" l="1" a="1"/>
  <c r="M1549" i="32" s="1"/>
  <c r="D1549" i="32" s="1"/>
  <c r="O1549" i="32" a="1"/>
  <c r="O1549" i="32" s="1"/>
  <c r="M2559" i="27" s="1"/>
  <c r="A2559" i="27" s="1"/>
  <c r="N1549" i="32" a="1"/>
  <c r="N1549" i="32" s="1"/>
  <c r="E1549" i="32" s="1"/>
  <c r="F2559" i="27" s="1"/>
  <c r="K1553" i="32"/>
  <c r="L1551" i="32"/>
  <c r="M1551" i="32" l="1" a="1"/>
  <c r="M1551" i="32" s="1"/>
  <c r="D1551" i="32" s="1"/>
  <c r="O1551" i="32" a="1"/>
  <c r="O1551" i="32" s="1"/>
  <c r="M2560" i="27" s="1"/>
  <c r="A2560" i="27" s="1"/>
  <c r="N1551" i="32" a="1"/>
  <c r="N1551" i="32" s="1"/>
  <c r="E1551" i="32" s="1"/>
  <c r="F2560" i="27" s="1"/>
  <c r="K1555" i="32"/>
  <c r="L1553" i="32"/>
  <c r="N1553" i="32" l="1" a="1"/>
  <c r="N1553" i="32" s="1"/>
  <c r="E1553" i="32" s="1"/>
  <c r="F2561" i="27" s="1"/>
  <c r="O1553" i="32" a="1"/>
  <c r="O1553" i="32" s="1"/>
  <c r="M2561" i="27" s="1"/>
  <c r="A2561" i="27" s="1"/>
  <c r="M1553" i="32" a="1"/>
  <c r="M1553" i="32" s="1"/>
  <c r="D1553" i="32" s="1"/>
  <c r="K1557" i="32"/>
  <c r="L1555" i="32"/>
  <c r="N1555" i="32" l="1" a="1"/>
  <c r="N1555" i="32" s="1"/>
  <c r="E1555" i="32" s="1"/>
  <c r="F2562" i="27" s="1"/>
  <c r="M1555" i="32" a="1"/>
  <c r="M1555" i="32" s="1"/>
  <c r="D1555" i="32" s="1"/>
  <c r="O1555" i="32" a="1"/>
  <c r="O1555" i="32" s="1"/>
  <c r="M2562" i="27" s="1"/>
  <c r="A2562" i="27" s="1"/>
  <c r="K1559" i="32"/>
  <c r="L1557" i="32"/>
  <c r="M1557" i="32" l="1" a="1"/>
  <c r="M1557" i="32" s="1"/>
  <c r="D1557" i="32" s="1"/>
  <c r="O1557" i="32" a="1"/>
  <c r="O1557" i="32" s="1"/>
  <c r="M2563" i="27" s="1"/>
  <c r="A2563" i="27" s="1"/>
  <c r="N1557" i="32" a="1"/>
  <c r="N1557" i="32" s="1"/>
  <c r="E1557" i="32" s="1"/>
  <c r="F2563" i="27" s="1"/>
  <c r="K1561" i="32"/>
  <c r="L1559" i="32"/>
  <c r="M1559" i="32" l="1" a="1"/>
  <c r="M1559" i="32" s="1"/>
  <c r="D1559" i="32" s="1"/>
  <c r="N1559" i="32" a="1"/>
  <c r="N1559" i="32" s="1"/>
  <c r="E1559" i="32" s="1"/>
  <c r="F2564" i="27" s="1"/>
  <c r="O1559" i="32" a="1"/>
  <c r="O1559" i="32" s="1"/>
  <c r="M2564" i="27" s="1"/>
  <c r="A2564" i="27" s="1"/>
  <c r="K1563" i="32"/>
  <c r="L1561" i="32"/>
  <c r="N1561" i="32" l="1" a="1"/>
  <c r="N1561" i="32" s="1"/>
  <c r="E1561" i="32" s="1"/>
  <c r="F2565" i="27" s="1"/>
  <c r="O1561" i="32" a="1"/>
  <c r="O1561" i="32" s="1"/>
  <c r="M2565" i="27" s="1"/>
  <c r="A2565" i="27" s="1"/>
  <c r="M1561" i="32" a="1"/>
  <c r="M1561" i="32" s="1"/>
  <c r="D1561" i="32" s="1"/>
  <c r="K1565" i="32"/>
  <c r="L1563" i="32"/>
  <c r="M1563" i="32" l="1" a="1"/>
  <c r="M1563" i="32" s="1"/>
  <c r="D1563" i="32" s="1"/>
  <c r="N1563" i="32" a="1"/>
  <c r="N1563" i="32" s="1"/>
  <c r="E1563" i="32" s="1"/>
  <c r="F2566" i="27" s="1"/>
  <c r="O1563" i="32" a="1"/>
  <c r="O1563" i="32" s="1"/>
  <c r="M2566" i="27" s="1"/>
  <c r="A2566" i="27" s="1"/>
  <c r="K1567" i="32"/>
  <c r="L1565" i="32"/>
  <c r="M1565" i="32" l="1" a="1"/>
  <c r="M1565" i="32" s="1"/>
  <c r="D1565" i="32" s="1"/>
  <c r="O1565" i="32" a="1"/>
  <c r="O1565" i="32" s="1"/>
  <c r="M2567" i="27" s="1"/>
  <c r="A2567" i="27" s="1"/>
  <c r="N1565" i="32" a="1"/>
  <c r="N1565" i="32" s="1"/>
  <c r="E1565" i="32" s="1"/>
  <c r="F2567" i="27" s="1"/>
  <c r="K1569" i="32"/>
  <c r="L1567" i="32"/>
  <c r="O1567" i="32" l="1" a="1"/>
  <c r="O1567" i="32" s="1"/>
  <c r="M2568" i="27" s="1"/>
  <c r="A2568" i="27" s="1"/>
  <c r="N1567" i="32" a="1"/>
  <c r="N1567" i="32" s="1"/>
  <c r="E1567" i="32" s="1"/>
  <c r="F2568" i="27" s="1"/>
  <c r="M1567" i="32" a="1"/>
  <c r="M1567" i="32" s="1"/>
  <c r="D1567" i="32" s="1"/>
  <c r="K1571" i="32"/>
  <c r="L1569" i="32"/>
  <c r="K1573" i="32" l="1"/>
  <c r="L1571" i="32"/>
  <c r="N1569" i="32" a="1"/>
  <c r="N1569" i="32" s="1"/>
  <c r="E1569" i="32" s="1"/>
  <c r="F2569" i="27" s="1"/>
  <c r="M1569" i="32" a="1"/>
  <c r="M1569" i="32" s="1"/>
  <c r="D1569" i="32" s="1"/>
  <c r="O1569" i="32" a="1"/>
  <c r="O1569" i="32" s="1"/>
  <c r="M2569" i="27" s="1"/>
  <c r="A2569" i="27" s="1"/>
  <c r="O1571" i="32" l="1" a="1"/>
  <c r="O1571" i="32" s="1"/>
  <c r="M2570" i="27" s="1"/>
  <c r="A2570" i="27" s="1"/>
  <c r="N1571" i="32" a="1"/>
  <c r="N1571" i="32" s="1"/>
  <c r="E1571" i="32" s="1"/>
  <c r="F2570" i="27" s="1"/>
  <c r="M1571" i="32" a="1"/>
  <c r="M1571" i="32" s="1"/>
  <c r="D1571" i="32" s="1"/>
  <c r="K1575" i="32"/>
  <c r="L1573" i="32"/>
  <c r="M1573" i="32" l="1" a="1"/>
  <c r="M1573" i="32" s="1"/>
  <c r="D1573" i="32" s="1"/>
  <c r="O1573" i="32" a="1"/>
  <c r="O1573" i="32" s="1"/>
  <c r="M2571" i="27" s="1"/>
  <c r="A2571" i="27" s="1"/>
  <c r="N1573" i="32" a="1"/>
  <c r="N1573" i="32" s="1"/>
  <c r="E1573" i="32" s="1"/>
  <c r="F2571" i="27" s="1"/>
  <c r="K1577" i="32"/>
  <c r="L1575" i="32"/>
  <c r="O1575" i="32" l="1" a="1"/>
  <c r="O1575" i="32" s="1"/>
  <c r="M2572" i="27" s="1"/>
  <c r="A2572" i="27" s="1"/>
  <c r="N1575" i="32" a="1"/>
  <c r="N1575" i="32" s="1"/>
  <c r="E1575" i="32" s="1"/>
  <c r="F2572" i="27" s="1"/>
  <c r="M1575" i="32" a="1"/>
  <c r="M1575" i="32" s="1"/>
  <c r="D1575" i="32" s="1"/>
  <c r="K1579" i="32"/>
  <c r="L1577" i="32"/>
  <c r="M1577" i="32" l="1" a="1"/>
  <c r="M1577" i="32" s="1"/>
  <c r="D1577" i="32" s="1"/>
  <c r="N1577" i="32" a="1"/>
  <c r="N1577" i="32" s="1"/>
  <c r="E1577" i="32" s="1"/>
  <c r="F2573" i="27" s="1"/>
  <c r="O1577" i="32" a="1"/>
  <c r="O1577" i="32" s="1"/>
  <c r="M2573" i="27" s="1"/>
  <c r="A2573" i="27" s="1"/>
  <c r="K1581" i="32"/>
  <c r="K1583" i="32" s="1"/>
  <c r="K1585" i="32" s="1"/>
  <c r="K1587" i="32" s="1"/>
  <c r="K1589" i="32" s="1"/>
  <c r="K1591" i="32" s="1"/>
  <c r="K1593" i="32" s="1"/>
  <c r="K1595" i="32" s="1"/>
  <c r="K1597" i="32" s="1"/>
  <c r="K1599" i="32" s="1"/>
  <c r="K1601" i="32" s="1"/>
  <c r="K1603" i="32" s="1"/>
  <c r="K1605" i="32" s="1"/>
  <c r="K1607" i="32" s="1"/>
  <c r="K1609" i="32" s="1"/>
  <c r="K1611" i="32" s="1"/>
  <c r="K1613" i="32" s="1"/>
  <c r="K1615" i="32" s="1"/>
  <c r="K1617" i="32" s="1"/>
  <c r="K1619" i="32" s="1"/>
  <c r="K1621" i="32" s="1"/>
  <c r="K1623" i="32" s="1"/>
  <c r="K1625" i="32" s="1"/>
  <c r="K1627" i="32" s="1"/>
  <c r="K1629" i="32" s="1"/>
  <c r="K1631" i="32" s="1"/>
  <c r="K1633" i="32" s="1"/>
  <c r="K1635" i="32" s="1"/>
  <c r="K1637" i="32" s="1"/>
  <c r="K1639" i="32" s="1"/>
  <c r="K1641" i="32" s="1"/>
  <c r="K1643" i="32" s="1"/>
  <c r="K1645" i="32" s="1"/>
  <c r="K1647" i="32" s="1"/>
  <c r="K1649" i="32" s="1"/>
  <c r="K1651" i="32" s="1"/>
  <c r="K1653" i="32" s="1"/>
  <c r="K1655" i="32" s="1"/>
  <c r="K1657" i="32" s="1"/>
  <c r="K1659" i="32" s="1"/>
  <c r="K1661" i="32" s="1"/>
  <c r="K1663" i="32" s="1"/>
  <c r="K1665" i="32" s="1"/>
  <c r="K1667" i="32" s="1"/>
  <c r="K1669" i="32" s="1"/>
  <c r="K1671" i="32" s="1"/>
  <c r="K1673" i="32" s="1"/>
  <c r="K1675" i="32" s="1"/>
  <c r="K1677" i="32" s="1"/>
  <c r="K1679" i="32" s="1"/>
  <c r="K1681" i="32" s="1"/>
  <c r="K1683" i="32" s="1"/>
  <c r="K1685" i="32" s="1"/>
  <c r="K1687" i="32" s="1"/>
  <c r="K1689" i="32" s="1"/>
  <c r="K1691" i="32" s="1"/>
  <c r="K1693" i="32" s="1"/>
  <c r="K1695" i="32" s="1"/>
  <c r="K1697" i="32" s="1"/>
  <c r="K1699" i="32" s="1"/>
  <c r="K1701" i="32" s="1"/>
  <c r="K1703" i="32" s="1"/>
  <c r="K1705" i="32" s="1"/>
  <c r="K1707" i="32" s="1"/>
  <c r="K1709" i="32" s="1"/>
  <c r="K1711" i="32" s="1"/>
  <c r="K1713" i="32" s="1"/>
  <c r="K1715" i="32" s="1"/>
  <c r="K1717" i="32" s="1"/>
  <c r="K1719" i="32" s="1"/>
  <c r="K1721" i="32" s="1"/>
  <c r="K1723" i="32" s="1"/>
  <c r="K1725" i="32" s="1"/>
  <c r="K1727" i="32" s="1"/>
  <c r="K1729" i="32" s="1"/>
  <c r="K1731" i="32" s="1"/>
  <c r="K1733" i="32" s="1"/>
  <c r="K1735" i="32" s="1"/>
  <c r="K1737" i="32" s="1"/>
  <c r="K1739" i="32" s="1"/>
  <c r="K1741" i="32" s="1"/>
  <c r="K1743" i="32" s="1"/>
  <c r="K1745" i="32" s="1"/>
  <c r="K1747" i="32" s="1"/>
  <c r="K1749" i="32" s="1"/>
  <c r="K1751" i="32" s="1"/>
  <c r="K1753" i="32" s="1"/>
  <c r="K1755" i="32" s="1"/>
  <c r="K1757" i="32" s="1"/>
  <c r="K1759" i="32" s="1"/>
  <c r="K1761" i="32" s="1"/>
  <c r="K1763" i="32" s="1"/>
  <c r="K1765" i="32" s="1"/>
  <c r="K1767" i="32" s="1"/>
  <c r="K1769" i="32" s="1"/>
  <c r="K1771" i="32" s="1"/>
  <c r="K1773" i="32" s="1"/>
  <c r="K1775" i="32" s="1"/>
  <c r="K1777" i="32" s="1"/>
  <c r="K1779" i="32" s="1"/>
  <c r="K1781" i="32" s="1"/>
  <c r="K1783" i="32" s="1"/>
  <c r="K1785" i="32" s="1"/>
  <c r="K1787" i="32" s="1"/>
  <c r="K1789" i="32" s="1"/>
  <c r="K1791" i="32" s="1"/>
  <c r="K1793" i="32" s="1"/>
  <c r="K1795" i="32" s="1"/>
  <c r="K1797" i="32" s="1"/>
  <c r="K1799" i="32" s="1"/>
  <c r="K1801" i="32" s="1"/>
  <c r="K1803" i="32" s="1"/>
  <c r="K1805" i="32" s="1"/>
  <c r="K1807" i="32" s="1"/>
  <c r="K1809" i="32" s="1"/>
  <c r="K1811" i="32" s="1"/>
  <c r="K1813" i="32" s="1"/>
  <c r="K1815" i="32" s="1"/>
  <c r="K1817" i="32" s="1"/>
  <c r="K1819" i="32" s="1"/>
  <c r="L1579" i="32"/>
  <c r="O1579" i="32" l="1" a="1"/>
  <c r="O1579" i="32" s="1"/>
  <c r="M2574" i="27" s="1"/>
  <c r="A2574" i="27" s="1"/>
  <c r="N1579" i="32" a="1"/>
  <c r="N1579" i="32" s="1"/>
  <c r="E1579" i="32" s="1"/>
  <c r="F2574" i="27" s="1"/>
  <c r="M1579" i="32" a="1"/>
  <c r="M1579" i="32" s="1"/>
  <c r="D1579" i="3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<sst xmlns="http://schemas.openxmlformats.org/spreadsheetml/2006/main" count="17817" uniqueCount="7067">
  <si>
    <t>Instructions for filling the performance framework for Global Fund grants</t>
  </si>
  <si>
    <t>Introduction</t>
  </si>
  <si>
    <r>
      <t>1.       These instructions are for all stakeholders involved in the development and review of performance frameworks, at funding request, at grant making, and at</t>
    </r>
    <r>
      <rPr>
        <sz val="11"/>
        <color theme="1"/>
        <rFont val="Arial"/>
        <family val="2"/>
      </rPr>
      <t xml:space="preserve"> grant revision</t>
    </r>
    <r>
      <rPr>
        <sz val="11"/>
        <color rgb="FF000000"/>
        <rFont val="Arial"/>
        <family val="2"/>
      </rPr>
      <t xml:space="preserve"> stages of the grant lifecycle. It includes Country Coordinating Mechanisms (CCMs), Principal Recipients (PRs), other grant implementers, technical assistance providers, the Technical Review Panel, the Global Fund Secretariat and Local Fund Agents (LFAs).</t>
    </r>
  </si>
  <si>
    <r>
      <t xml:space="preserve">2.       </t>
    </r>
    <r>
      <rPr>
        <sz val="11"/>
        <color rgb="FF212121"/>
        <rFont val="Arial"/>
        <family val="2"/>
      </rPr>
      <t xml:space="preserve">A performance framework is part of the Grant Agreement between the Global Fund and the country/Principal Recipient and defines the indicators and targets to be achieved over the grant period. </t>
    </r>
  </si>
  <si>
    <r>
      <t xml:space="preserve">3.       The performance framework includes impact, outcome and coverage indicators, each with associated baselines, targets and timelines for reporting. Each coverage indicator is linked to a specific module supported by the Global Fund grant. The performance framework form provides a standardized list of indicators to select from. These are derived from technical partner guidance to ensure consistent and harmonized reporting. Refer to the </t>
    </r>
    <r>
      <rPr>
        <u/>
        <sz val="11"/>
        <color theme="4" tint="-0.249977111117893"/>
        <rFont val="Arial"/>
        <family val="2"/>
      </rPr>
      <t>Modular Framework Handbook 2023-2025</t>
    </r>
    <r>
      <rPr>
        <sz val="11"/>
        <color theme="1"/>
        <rFont val="Arial"/>
        <family val="2"/>
      </rPr>
      <t xml:space="preserve"> for full list of these indicators.</t>
    </r>
  </si>
  <si>
    <t>The performance framework may include Work Plan Tracking Measures (WPTM), each with associated milestones and/or input/process measures for modules and interventions that do not have suitable coverage indicators to measure progress.</t>
  </si>
  <si>
    <t>General Guidance</t>
  </si>
  <si>
    <t xml:space="preserve">4.       The excel form is compatible with MS Excel 2010 or later versions only. Some drop-down menus and formulae might not work in MS Excel 2007 or earlier versions. Hence, applicants/Principal Recipients with earlier MS versions are requested to upgrade to MS Excel 2010 or later versions before working on this file. </t>
  </si>
  <si>
    <r>
      <t xml:space="preserve">The performance framework form should only be saved in </t>
    </r>
    <r>
      <rPr>
        <sz val="11"/>
        <color theme="1"/>
        <rFont val="Arial"/>
        <family val="2"/>
      </rPr>
      <t xml:space="preserve">the .xlsx </t>
    </r>
    <r>
      <rPr>
        <sz val="11"/>
        <color rgb="FF000000"/>
        <rFont val="Arial"/>
        <family val="2"/>
      </rPr>
      <t>file</t>
    </r>
    <r>
      <rPr>
        <sz val="11"/>
        <color theme="1"/>
        <rFont val="Arial"/>
        <family val="2"/>
      </rPr>
      <t xml:space="preserve"> format.</t>
    </r>
  </si>
  <si>
    <r>
      <t xml:space="preserve">5.       The excel form includes interlinked worksheets and is protected.  </t>
    </r>
    <r>
      <rPr>
        <b/>
        <sz val="11"/>
        <color rgb="FF000000"/>
        <rFont val="Arial"/>
        <family val="2"/>
      </rPr>
      <t>The users should not tamper with the excel form</t>
    </r>
    <r>
      <rPr>
        <sz val="11"/>
        <color rgb="FF000000"/>
        <rFont val="Arial"/>
        <family val="2"/>
      </rPr>
      <t xml:space="preserve">. Tampering will result in loss of some functionality and will not allow it to import back in the Global Fund Grant Operating System. </t>
    </r>
  </si>
  <si>
    <r>
      <t xml:space="preserve">Performance framework forms that were subject to tampering (e.g., where the password protection was broken, drop-down menus were overwritten by copying and pasting values, or structure of the form was changed by adding or deleting columns and/or rows, worksheets, etc.) </t>
    </r>
    <r>
      <rPr>
        <b/>
        <sz val="11"/>
        <color rgb="FF000000"/>
        <rFont val="Arial"/>
        <family val="2"/>
      </rPr>
      <t>will be rejected</t>
    </r>
    <r>
      <rPr>
        <sz val="11"/>
        <color rgb="FF000000"/>
        <rFont val="Arial"/>
        <family val="2"/>
      </rPr>
      <t xml:space="preserve"> and users will be required to resubmit the information in a new form. </t>
    </r>
  </si>
  <si>
    <t xml:space="preserve">6.       The form includes conditional formatting in various cells, such as standardized dates (e.g., 01-March-2023) and number formats. </t>
  </si>
  <si>
    <t xml:space="preserve">    a. Cells shaded in light blue color are pre-populated by the Global Fund.</t>
  </si>
  <si>
    <t xml:space="preserve">    b. Numbers will round up to higher value.</t>
  </si>
  <si>
    <t xml:space="preserve">    c. Please do not change number format. The default settings in the form are as follows:
        o Impact &amp; Outcome indicators: four decimals places for numerators, no decimals for denominators and two decimals for percentages.
        o Coverage Indicators: no decimals for numerators/denominators and 2 decimals for percentages.</t>
  </si>
  <si>
    <t xml:space="preserve">7.       Automated errors reporting fields have been added to the Impact, Outcome and Coverage Indicators sections. </t>
  </si>
  <si>
    <t xml:space="preserve">o   Data validation: these are the pop-ups that do not allow an invalid data entry. For example, typing text in a number field. </t>
  </si>
  <si>
    <t xml:space="preserve">o   Error message: an error message highlighted in red will appear in the rightmost column when data is incorrectly entered. A total count of errors will appear at the top of the sheet, also highlighted in red. </t>
  </si>
  <si>
    <t>8.       The performance framework forms are available in English, French and Spanish. These are provided by the Global Fund Country Teams at funding request, grant making and grant revision as applicable.</t>
  </si>
  <si>
    <r>
      <t xml:space="preserve">9.       </t>
    </r>
    <r>
      <rPr>
        <b/>
        <sz val="11"/>
        <color rgb="FF000000"/>
        <rFont val="Arial"/>
        <family val="2"/>
      </rPr>
      <t>At the Funding Request stage</t>
    </r>
    <r>
      <rPr>
        <sz val="11"/>
        <color rgb="FF000000"/>
        <rFont val="Arial"/>
        <family val="2"/>
      </rPr>
      <t>: one performance framework is developed per applicant covering the full funding request for all nominated Principal Recipients.</t>
    </r>
  </si>
  <si>
    <r>
      <t>10.    </t>
    </r>
    <r>
      <rPr>
        <b/>
        <sz val="11"/>
        <color rgb="FF000000"/>
        <rFont val="Arial"/>
        <family val="2"/>
      </rPr>
      <t>At the Grant Making stage</t>
    </r>
    <r>
      <rPr>
        <sz val="11"/>
        <color rgb="FF000000"/>
        <rFont val="Arial"/>
        <family val="2"/>
      </rPr>
      <t xml:space="preserve">: separate performance frameworks are developed for each Principal Recipient. </t>
    </r>
  </si>
  <si>
    <r>
      <t xml:space="preserve">11.   </t>
    </r>
    <r>
      <rPr>
        <b/>
        <sz val="11"/>
        <color rgb="FF000000"/>
        <rFont val="Arial"/>
        <family val="2"/>
      </rPr>
      <t>At the Grant Revision stage</t>
    </r>
    <r>
      <rPr>
        <sz val="11"/>
        <color rgb="FF000000"/>
        <rFont val="Arial"/>
        <family val="2"/>
      </rPr>
      <t xml:space="preserve">: a performance framework form, prefilled with current information, is provided by the Global Fund Country Teams where required revisions can be made.  </t>
    </r>
  </si>
  <si>
    <t xml:space="preserve">12.   The instructions follow the structure of the performance framework form and are divided accordingly into the following sections: </t>
  </si>
  <si>
    <r>
      <t xml:space="preserve">Section A: </t>
    </r>
    <r>
      <rPr>
        <sz val="11"/>
        <color rgb="FF000000"/>
        <rFont val="Arial"/>
        <family val="2"/>
      </rPr>
      <t>Overview</t>
    </r>
  </si>
  <si>
    <r>
      <t xml:space="preserve">Section B: </t>
    </r>
    <r>
      <rPr>
        <sz val="11"/>
        <color rgb="FF000000"/>
        <rFont val="Arial"/>
        <family val="2"/>
      </rPr>
      <t>Impact Indicators</t>
    </r>
    <r>
      <rPr>
        <b/>
        <sz val="11"/>
        <color rgb="FF000000"/>
        <rFont val="Arial"/>
        <family val="2"/>
      </rPr>
      <t xml:space="preserve"> </t>
    </r>
  </si>
  <si>
    <r>
      <t xml:space="preserve">Section C: </t>
    </r>
    <r>
      <rPr>
        <sz val="11"/>
        <color rgb="FF000000"/>
        <rFont val="Arial"/>
        <family val="2"/>
      </rPr>
      <t>Outcome Indicators</t>
    </r>
  </si>
  <si>
    <r>
      <t xml:space="preserve">Section D: </t>
    </r>
    <r>
      <rPr>
        <sz val="11"/>
        <color rgb="FF000000"/>
        <rFont val="Arial"/>
        <family val="2"/>
      </rPr>
      <t>Coverage Indicators</t>
    </r>
  </si>
  <si>
    <r>
      <t xml:space="preserve">Section E: </t>
    </r>
    <r>
      <rPr>
        <sz val="11"/>
        <color rgb="FF000000"/>
        <rFont val="Arial"/>
        <family val="2"/>
      </rPr>
      <t>Disaggregation (Impact, Outcome and Coverage indicators)</t>
    </r>
  </si>
  <si>
    <r>
      <t xml:space="preserve">Section F: </t>
    </r>
    <r>
      <rPr>
        <sz val="11"/>
        <color rgb="FF000000"/>
        <rFont val="Arial"/>
        <family val="2"/>
      </rPr>
      <t>Work Plan Tracking Measures (WPTM)</t>
    </r>
  </si>
  <si>
    <r>
      <t>Print view:</t>
    </r>
    <r>
      <rPr>
        <sz val="11"/>
        <color rgb="FF000000"/>
        <rFont val="Arial"/>
        <family val="2"/>
      </rPr>
      <t xml:space="preserve"> Easy to print spreadsheets for each of the above sections</t>
    </r>
  </si>
  <si>
    <t xml:space="preserve">Overview- Section A </t>
  </si>
  <si>
    <t>Country/Geography</t>
  </si>
  <si>
    <t>This field is pre-populated by the Global Fund.</t>
  </si>
  <si>
    <t>Grant Name/Funding Request Name</t>
  </si>
  <si>
    <t xml:space="preserve">Implementation Period Start Date </t>
  </si>
  <si>
    <t>The Implementation Period start date generally follows the end date of the previous Implementation Period (including the extension period, if applicable). If the applicant has no existing Global Fund grants, the Implementation Period start date will be the start date of the program as requested by the applicant.</t>
  </si>
  <si>
    <t xml:space="preserve">In case of a need to change the date, this field can be overwritten as per the agreement between the applicants/PRs and the Global Fund Country Team. </t>
  </si>
  <si>
    <t>The start of the Implementation Period should always be the first day of the month.</t>
  </si>
  <si>
    <t xml:space="preserve">This date should be consistent across all required documents (e.g., Budget and Health Product Management Template). </t>
  </si>
  <si>
    <t xml:space="preserve">Implementation Period End Date </t>
  </si>
  <si>
    <t>The Implementation Period end date would be three years after the Implementation Period start date except where the applicant/PRs and the Global Fund have agreed on a shorter Implementation Period.</t>
  </si>
  <si>
    <t xml:space="preserve">In case of a need to change the date, this field can be overwritten as per the agreement between the applicant/PRs and the Global Fund Country Teams. </t>
  </si>
  <si>
    <t>The end of the Implementation Period should be the last day of the month.</t>
  </si>
  <si>
    <t>Reporting Frequency</t>
  </si>
  <si>
    <t xml:space="preserve">This field refers to the frequency with which results will be reported to the Global Fund during grant implementation- semi-annual or annual. </t>
  </si>
  <si>
    <t>Select ‘6’ or ‘12’ depending on the category of the country under the Global Fund differentiation framework.</t>
  </si>
  <si>
    <t xml:space="preserve">      − Portfolios categorized as ‘Focused’ report on an annual basis. </t>
  </si>
  <si>
    <t xml:space="preserve">      − Portfolios categorized as ‘Core’ or ‘High Impact’ are expected to report semi-annually.</t>
  </si>
  <si>
    <t>Allocation Utilization Period Start Date</t>
  </si>
  <si>
    <t xml:space="preserve">Allocation Utilization Period (AUP) is the period during which the country allocation per disease component can be utilized to implement programs. The start date of the AUP should be same as indicated in the Allocation Letters. </t>
  </si>
  <si>
    <t>Allocation Utilization Period End Date</t>
  </si>
  <si>
    <t xml:space="preserve">The end date of the AUP should be same as indicated in the Allocation Letters. </t>
  </si>
  <si>
    <t xml:space="preserve">Page Navigation </t>
  </si>
  <si>
    <t xml:space="preserve">This provides links to facilitate navigation within each page and to the instructions page. </t>
  </si>
  <si>
    <t>Component Name</t>
  </si>
  <si>
    <t xml:space="preserve">The field is pre-populated by the Global Fund. </t>
  </si>
  <si>
    <t xml:space="preserve">Principal Recipients </t>
  </si>
  <si>
    <t>At the Funding Request Stage</t>
  </si>
  <si>
    <t xml:space="preserve">Include the name of the implementer(s) by using the drop-down menu that contains list of all implementers who have previously managed a Global Fund grant. </t>
  </si>
  <si>
    <r>
      <t xml:space="preserve">If the selected implementer is new and has not previously managed Global Fund grants, manually type their name, in a new row, under the </t>
    </r>
    <r>
      <rPr>
        <b/>
        <sz val="11"/>
        <color rgb="FF000000"/>
        <rFont val="Arial"/>
        <family val="2"/>
      </rPr>
      <t xml:space="preserve">New Principal Recipient Name </t>
    </r>
    <r>
      <rPr>
        <sz val="11"/>
        <color rgb="FF000000"/>
        <rFont val="Arial"/>
        <family val="2"/>
      </rPr>
      <t>column.</t>
    </r>
  </si>
  <si>
    <t>At the Grant Making Stage</t>
  </si>
  <si>
    <t xml:space="preserve">Reporting Periods </t>
  </si>
  <si>
    <t xml:space="preserve">This field is pre-populated based on the annual Implementation Period start and end dates and selected Reporting Frequency. The reporting periods should be aligned with the national reporting cycle and do not necessarily need to be linked to the calendar year. </t>
  </si>
  <si>
    <r>
      <t xml:space="preserve">To align the grant start dates with the national reporting cycles, the first and last reporting periods of a grant could be longer or shorter than 6 or 12 months. This can be done by overwriting the end dates of the reporting periods. </t>
    </r>
    <r>
      <rPr>
        <u/>
        <sz val="11"/>
        <color rgb="FF000000"/>
        <rFont val="Arial"/>
        <family val="2"/>
      </rPr>
      <t>For example</t>
    </r>
    <r>
      <rPr>
        <sz val="11"/>
        <color rgb="FF000000"/>
        <rFont val="Arial"/>
        <family val="2"/>
      </rPr>
      <t>, for performance frameworks with annual reporting frequency, if the grant starts on 1st April and the programmatic reporting cycle for the country is January - December, the first reporting period can be nine months (from 1</t>
    </r>
    <r>
      <rPr>
        <vertAlign val="superscript"/>
        <sz val="11"/>
        <color rgb="FF000000"/>
        <rFont val="Arial"/>
        <family val="2"/>
      </rPr>
      <t>st</t>
    </r>
    <r>
      <rPr>
        <sz val="11"/>
        <color rgb="FF000000"/>
        <rFont val="Arial"/>
        <family val="2"/>
      </rPr>
      <t xml:space="preserve"> April to 31</t>
    </r>
    <r>
      <rPr>
        <vertAlign val="superscript"/>
        <sz val="11"/>
        <color rgb="FF000000"/>
        <rFont val="Arial"/>
        <family val="2"/>
      </rPr>
      <t>st</t>
    </r>
    <r>
      <rPr>
        <sz val="11"/>
        <color rgb="FF000000"/>
        <rFont val="Arial"/>
        <family val="2"/>
      </rPr>
      <t xml:space="preserve"> December). Similarly, the end date of the last reporting period can also be adjusted by overwriting the pre-filled date. This will adjust the length of the reporting periods in the Coverage Indicators - Section D and Work-plan Tracking Measures - section F of the form.</t>
    </r>
  </si>
  <si>
    <t xml:space="preserve">The applicant/Principal Recipient should ensure that the programmatic and financial reporting cycles are aligned. In cases where in-country programmatic reporting cycles and fiscal cycles are different, there should be an agreement between CT and applicant/Principal Recipient to have one common reporting cycle (i.e., either aligned to the programmatic reporting cycle or to the fiscal cycle). </t>
  </si>
  <si>
    <t xml:space="preserve">Period Start Date </t>
  </si>
  <si>
    <r>
      <t> </t>
    </r>
    <r>
      <rPr>
        <sz val="11"/>
        <color rgb="FF000000"/>
        <rFont val="Arial"/>
        <family val="2"/>
      </rPr>
      <t>This field is pre-populated by the Global Fund.</t>
    </r>
  </si>
  <si>
    <t xml:space="preserve">Period End Date </t>
  </si>
  <si>
    <t>The end date of the reporting period is usually 6 or 12 months after the start date of the reporting period depending on the agreed reporting frequency. The length of the reporting period may be changed to ensure alignment in the reporting cycle.</t>
  </si>
  <si>
    <t>PUDR Due</t>
  </si>
  <si>
    <t>At the Grant Making stage</t>
  </si>
  <si>
    <t>Indicate if a disbursement request will be submitted with the progress update for each of the reporting periods by selecting “yes” or “no” from the drop-down menu.</t>
  </si>
  <si>
    <t>Select “no” for the last reporting period as no disbursement request should be submitted.</t>
  </si>
  <si>
    <t>Submission Date</t>
  </si>
  <si>
    <t xml:space="preserve">The Progress Update (six-monthly PU) and the Progress Update and Disbursement Request (annual PUDR) submission date is pre-populated. </t>
  </si>
  <si>
    <t xml:space="preserve">Goal Description </t>
  </si>
  <si>
    <t>Include the program goals in this section. Goal(s) are broad and overarching statements of a desired, medium to long-term impact of the program and should be consistent with the national strategic plans or regional strategies.</t>
  </si>
  <si>
    <t xml:space="preserve">Objective Description </t>
  </si>
  <si>
    <t>Include the program objectives in this section. Each goal should have a set of related, more specific objectives that will allow the program to achieve the stated goal(s). These objectives should be consistent with the objectives of the national strategic plans or regional strategies.</t>
  </si>
  <si>
    <t xml:space="preserve">Module Name </t>
  </si>
  <si>
    <t xml:space="preserve">Select the modules related to the program objectives for which indicators and WPTMs are to be included in the performance framework. Modules should be selected from the drop-down list only. DO NOT ADD MODULE NAMES BY OVERWRITING THIS FIELD. </t>
  </si>
  <si>
    <r>
      <t>Only those modules</t>
    </r>
    <r>
      <rPr>
        <sz val="11"/>
        <color rgb="FF000000"/>
        <rFont val="Arial"/>
        <family val="2"/>
      </rPr>
      <t xml:space="preserve"> that are selected on this page will appear in the drop-down lists under the WPTM selection table on the Overview tab and the “Coverage Indicators - Section D” &amp; “WPTM - Section F” of the form.</t>
    </r>
  </si>
  <si>
    <t>If the funding request includes more than one component, the drop-down menu will show all the modules related to these components as well as all the RSSH modules.</t>
  </si>
  <si>
    <r>
      <t xml:space="preserve">For multi-component funding requests, it is recommended to include modules related to each of the components in order, rather than mixing them. </t>
    </r>
    <r>
      <rPr>
        <u/>
        <sz val="11"/>
        <color rgb="FF000000"/>
        <rFont val="Arial"/>
        <family val="2"/>
      </rPr>
      <t>For example</t>
    </r>
    <r>
      <rPr>
        <sz val="11"/>
        <color rgb="FF000000"/>
        <rFont val="Arial"/>
        <family val="2"/>
      </rPr>
      <t>, in a joint HIV and TB funding request, include all relevant HIV modules first, followed by the TB modules or vice versa.</t>
    </r>
  </si>
  <si>
    <t>The number of modules to be enlisted is restricted to fifteen.</t>
  </si>
  <si>
    <t xml:space="preserve">Interventions </t>
  </si>
  <si>
    <t>For each of the modules selected in the Module column, select the required interventions from the drop-down lists only. DO NOT ADD INTERVENTION NAMES BY OVERWRITING THIS FIELD.</t>
  </si>
  <si>
    <t>This field is applicable only when WPTMs are to be included for interventions that cannot be adequately measured through coverage indicators.</t>
  </si>
  <si>
    <t>Impact Indicators – Section B</t>
  </si>
  <si>
    <t>Page Navigation</t>
  </si>
  <si>
    <t>This provides links to the section of the instructions that is relevant to fill the “Impact Indicators - Section B” and the link to the print view spreadsheet.</t>
  </si>
  <si>
    <t>Number of Errors</t>
  </si>
  <si>
    <t xml:space="preserve">This field is pre-populated highlighting in red the total number of data entry errors in Section B of the form. </t>
  </si>
  <si>
    <t xml:space="preserve">Standard Impact Indicator </t>
  </si>
  <si>
    <t xml:space="preserve">Select the relevant standard impact indicators from the drop-down list. Impact indicators are to be reported at the national program level. </t>
  </si>
  <si>
    <t>Recommended indicators for focused portfolios are marked with an “M” in the drop-down list and should be included when relevant for the program.</t>
  </si>
  <si>
    <r>
      <t xml:space="preserve">For multi-component funding requests, it is recommended to include indicators related to each of the components in a systematic order. </t>
    </r>
    <r>
      <rPr>
        <u/>
        <sz val="11"/>
        <color rgb="FF000000"/>
        <rFont val="Arial"/>
        <family val="2"/>
      </rPr>
      <t>For example</t>
    </r>
    <r>
      <rPr>
        <sz val="11"/>
        <color rgb="FF000000"/>
        <rFont val="Arial"/>
        <family val="2"/>
      </rPr>
      <t>, in a joint HIV and TB funding request, include all relevant HIV indicators first, followed by the TB indicators or vice versa.</t>
    </r>
  </si>
  <si>
    <t xml:space="preserve">Custom Impact Indicator </t>
  </si>
  <si>
    <t>Custom impact indicators are allowed only in exceptional cases when available standard indicators are not applicable.</t>
  </si>
  <si>
    <r>
      <t xml:space="preserve">At the Grant Making and Grant Revision stages, the inclusion of custom indicators will require review and validation by the Global Fund. If agreed, custom impact indicators should be coded as follows: (Component) then I (for Impact) - other 1 (the count for number of custom impact indicators). </t>
    </r>
    <r>
      <rPr>
        <u/>
        <sz val="11"/>
        <color rgb="FF000000"/>
        <rFont val="Arial"/>
        <family val="2"/>
      </rPr>
      <t>For example</t>
    </r>
    <r>
      <rPr>
        <sz val="11"/>
        <color rgb="FF000000"/>
        <rFont val="Arial"/>
        <family val="2"/>
      </rPr>
      <t>, a custom indicator for HIV would have the following code: HIV I - Other 1: Percentage of...</t>
    </r>
  </si>
  <si>
    <t>Baseline #N</t>
  </si>
  <si>
    <t>Baselines refer to the latest available results from valid data sources. Provide the baseline numerator (N) and denominator (D) values (as applicable) for each impact indicator. Text is not allowed in these fields.</t>
  </si>
  <si>
    <t xml:space="preserve">Baseline #D </t>
  </si>
  <si>
    <t>For indicators that are reported as rates per 1000 or per 100,000, only the numerator (N) value should be provided. Error messages will pop-up in case the user has entered a denominator or a percentage for such indicators.</t>
  </si>
  <si>
    <t>If no baseline data is available, this field should be left blank. An explanation should be provided in comments’ box (column AA) regarding the actions being taken/planned to collect the baselines, when the baseline is expected to be available, and when the performance framework will be updated.</t>
  </si>
  <si>
    <t>Baseline %</t>
  </si>
  <si>
    <t xml:space="preserve">This field will be automatically calculated in cases where baseline numerator (N) and denominator (D) values are inputted for the indicator. </t>
  </si>
  <si>
    <t xml:space="preserve">In cases where baseline numerator (N) and denominator (D) values are not required, % values can be included manually. Please note that in this case, the % formula will be deleted. </t>
  </si>
  <si>
    <t>If no percentage baseline is available, this field should be left blank. An explanation should be provided in comments’ box (column AA) regarding the actions being taken/planned, when the baseline is expected to be available, and when the performance framework will be updated.</t>
  </si>
  <si>
    <t xml:space="preserve">Baseline Year </t>
  </si>
  <si>
    <t xml:space="preserve">Include the year of the baseline data. </t>
  </si>
  <si>
    <t>If no baseline value is available, this field should be left blank.</t>
  </si>
  <si>
    <t xml:space="preserve">Baseline Source </t>
  </si>
  <si>
    <t>Include the data source for the baseline value. It could refer to, for example, the name of the data system or the name of the survey/study, title of a report, etc.</t>
  </si>
  <si>
    <t>If the data source of the baseline is different from the data source that will be used to report on the indicator, this should be explained in the comments box (column AA).</t>
  </si>
  <si>
    <t xml:space="preserve">Required Disaggregation </t>
  </si>
  <si>
    <t xml:space="preserve">Some selected indicators from the Global Fund core list of indicators require reporting of disaggregated results against pre-identified categories. </t>
  </si>
  <si>
    <r>
      <t xml:space="preserve">For the standard indicators that require disaggregation, this column will be pre-populated with the pre-identified categories. This column indicates the disaggregation categories against which results should be reported, </t>
    </r>
    <r>
      <rPr>
        <b/>
        <sz val="11"/>
        <color rgb="FF000000"/>
        <rFont val="Arial"/>
        <family val="2"/>
      </rPr>
      <t>once a year</t>
    </r>
    <r>
      <rPr>
        <sz val="11"/>
        <color rgb="FF000000"/>
        <rFont val="Arial"/>
        <family val="2"/>
      </rPr>
      <t>, during grant implementation.</t>
    </r>
  </si>
  <si>
    <t>It is not possible to add a disaggregation category for custom indicators.</t>
  </si>
  <si>
    <t>The baselines (value, year and source) for each of the required disaggregation categories are to be included in the tab titled "Disaggregation - Section E". Under the differentiated reporting requirements, the countries classified as “Focused Portfolios” by the Global Fund are not required to fill this tab.</t>
  </si>
  <si>
    <t>Responsible PR</t>
  </si>
  <si>
    <t xml:space="preserve">At the Funding Request Stage </t>
  </si>
  <si>
    <t>The applicant should include the name of the Principal Recipient who is responsible for reporting on these indicators.</t>
  </si>
  <si>
    <t>The name should be selected from the drop-down menu that is pre-populated with the names inputted in the “Overview - Section A”.</t>
  </si>
  <si>
    <t xml:space="preserve">If more than one Principal Recipient was nominated at the funding request stage, separate performance framework forms for each selected Principal Recipient will be made available for grant negotiation. </t>
  </si>
  <si>
    <t>In the grant making performance framework this field is not required and is hidden</t>
  </si>
  <si>
    <t>The PR for the grant will be responsible for reporting on all the indicators included in the grant performance framework.</t>
  </si>
  <si>
    <t>Country</t>
  </si>
  <si>
    <t>For single country applications/grants, select the name of the country from the drop-down list.</t>
  </si>
  <si>
    <t>For regional applications/grants, the applicant/Principal Recipient must select the name of the country pertaining to each selected indicator.</t>
  </si>
  <si>
    <t>For regional applications/grants, if an indicator covers two or more countries, the applicants/Principal Recipient should leave this field blank and specify the related countries/geographic area in the comments’ box (column AA).</t>
  </si>
  <si>
    <t xml:space="preserve">Target Year </t>
  </si>
  <si>
    <t>The target year is pre-populated based on the Implementation Period Start Date.</t>
  </si>
  <si>
    <t>Target #N</t>
  </si>
  <si>
    <t>All targets (N, D and %) fields are number fields and do not allow entering any alphanumeric characters or comments (e.g., &lt;, &gt; or TBD).</t>
  </si>
  <si>
    <t>Target #D</t>
  </si>
  <si>
    <t xml:space="preserve">Error messages will pop-up in case text is entered in these fields. </t>
  </si>
  <si>
    <t>Provide the target numerator (N) and denominator (D) values (as applicable) for each impact indicator. Applicants should refer to the indicator guidance sheets for information on data type.</t>
  </si>
  <si>
    <r>
      <t xml:space="preserve">Targets should be included according to the frequency of their measurement. </t>
    </r>
    <r>
      <rPr>
        <u/>
        <sz val="11"/>
        <color rgb="FF000000"/>
        <rFont val="Arial"/>
        <family val="2"/>
      </rPr>
      <t>For example</t>
    </r>
    <r>
      <rPr>
        <sz val="11"/>
        <color rgb="FF000000"/>
        <rFont val="Arial"/>
        <family val="2"/>
      </rPr>
      <t>, if surveys are conducted in years 1 and 3, only in these years the targets should be provided.</t>
    </r>
  </si>
  <si>
    <t>Targets should be set in the year of the measurement and not when the report/results will be available.</t>
  </si>
  <si>
    <t xml:space="preserve">Target % </t>
  </si>
  <si>
    <t xml:space="preserve">This field will be automatically calculated in cases where target numerator (N) and denominator (D) values are inputted for the indicator. </t>
  </si>
  <si>
    <t>In cases where target numerator (N) and denominator (D) values are not required, % targets can be included manually.</t>
  </si>
  <si>
    <t xml:space="preserve">Report Due Date </t>
  </si>
  <si>
    <r>
      <t xml:space="preserve">Indicate the timelines when results for the impact indicators will be available in the country (official report available). This may be different from the date they will be reported to the Global Fund with the Progress Updates. </t>
    </r>
    <r>
      <rPr>
        <u/>
        <sz val="11"/>
        <color rgb="FF000000"/>
        <rFont val="Arial"/>
        <family val="2"/>
      </rPr>
      <t>For example,</t>
    </r>
    <r>
      <rPr>
        <sz val="11"/>
        <color rgb="FF000000"/>
        <rFont val="Arial"/>
        <family val="2"/>
      </rPr>
      <t xml:space="preserve"> the report due date for the Global TB report should be November each year.</t>
    </r>
  </si>
  <si>
    <t xml:space="preserve">Mark if target is “TBD” </t>
  </si>
  <si>
    <r>
      <t>Input “</t>
    </r>
    <r>
      <rPr>
        <b/>
        <sz val="11"/>
        <color rgb="FF000000"/>
        <rFont val="Arial"/>
        <family val="2"/>
      </rPr>
      <t>TBD</t>
    </r>
    <r>
      <rPr>
        <sz val="11"/>
        <color rgb="FF000000"/>
        <rFont val="Arial"/>
        <family val="2"/>
      </rPr>
      <t xml:space="preserve">” if the targets will be determined at a later stage (for example, in cases where accurate baseline data is not available, or survey results are awaited at the time of developing the performance framework and therefore it is not possible to set a target at the time of the submission of the performance framework). </t>
    </r>
  </si>
  <si>
    <t>In case of targets are to be determined, indicate in the comments’ box (Column AA) the actions being taken/planned, when this information is expected to be available and when the performance framework will be updated.</t>
  </si>
  <si>
    <t xml:space="preserve">Comments </t>
  </si>
  <si>
    <t xml:space="preserve">This column should be used to provide additional information related to the indicator and targets, such as: </t>
  </si>
  <si>
    <t>o Summary of target assumptions, e.g., alignment with NSP or any other country target; links to other indicators, etc.</t>
  </si>
  <si>
    <t xml:space="preserve">o Data sources, if they are different from baseline data sources; </t>
  </si>
  <si>
    <t xml:space="preserve">o Target population, if this is not already indicated in the standard indicator definition; </t>
  </si>
  <si>
    <r>
      <t xml:space="preserve">o </t>
    </r>
    <r>
      <rPr>
        <sz val="11"/>
        <color theme="1"/>
        <rFont val="Arial"/>
        <family val="2"/>
      </rPr>
      <t xml:space="preserve">Description of geographic area if targets are sub-national;  </t>
    </r>
  </si>
  <si>
    <t xml:space="preserve">o Entity responsible for data collection and reporting; </t>
  </si>
  <si>
    <t>o Any change in measurement methodology from previous year.</t>
  </si>
  <si>
    <t>In cases where baselines/targets are not available, indicate the actions being taken/planned, when this information is expected to be available and when the performance framework will be updated.</t>
  </si>
  <si>
    <t>Error message (if relevant)</t>
  </si>
  <si>
    <r>
      <t xml:space="preserve">Error messages for each indicator will appear in this field when data is incorrectly entered for one or more of the required fields. </t>
    </r>
    <r>
      <rPr>
        <sz val="11"/>
        <color theme="1"/>
        <rFont val="Arial"/>
        <family val="2"/>
      </rPr>
      <t xml:space="preserve">This field will be highlighted in red until errors in data entry are corrected. </t>
    </r>
    <r>
      <rPr>
        <sz val="11"/>
        <color rgb="FF000000"/>
        <rFont val="Arial"/>
        <family val="2"/>
      </rPr>
      <t>A total count of errors will appear at the top of the sheet.</t>
    </r>
  </si>
  <si>
    <t xml:space="preserve">Outcome Indicators- Section C </t>
  </si>
  <si>
    <t>This provides links to the section of the instructions that is relevant to fill the “Outcome Indicators - Section C” and the link to the print view spreadsheet.</t>
  </si>
  <si>
    <t xml:space="preserve">This field is pre-populated highlighting in red the total number of data entry errors in Section C of the form. </t>
  </si>
  <si>
    <t xml:space="preserve">Standard Outcome Indicator </t>
  </si>
  <si>
    <t xml:space="preserve">Select the relevant standard outcome indicators from the drop-down list. Outcome indicators are to be reported at the national program level. </t>
  </si>
  <si>
    <t xml:space="preserve">Custom Outcome Indicator </t>
  </si>
  <si>
    <t>Custom outcome indicators are allowed only in exceptional cases when available standard indicators are not applicable.</t>
  </si>
  <si>
    <r>
      <t xml:space="preserve">At the Grant Making and Grant Revision stages, the inclusion of custom indicators will require review and validation by the Global Fund. If agreed, custom outcome indicators should be coded as follows: (Component) then O (for Outcome) - other 1 (the count for number of custom Outcome indicators). </t>
    </r>
    <r>
      <rPr>
        <u/>
        <sz val="11"/>
        <color rgb="FF000000"/>
        <rFont val="Arial"/>
        <family val="2"/>
      </rPr>
      <t>For example</t>
    </r>
    <r>
      <rPr>
        <sz val="11"/>
        <color rgb="FF000000"/>
        <rFont val="Arial"/>
        <family val="2"/>
      </rPr>
      <t>, a custom indicator for HIV would have the following code: HIV O - Other 1: Percentage of...</t>
    </r>
  </si>
  <si>
    <t>Baselines refer to the latest available results from valid data sources. Provide the baseline numerator (N) and denominator (D) values (as applicable) for each outcome indicator. Text is not allowed in these fields.</t>
  </si>
  <si>
    <t xml:space="preserve">Required disaggregation </t>
  </si>
  <si>
    <t>The applicant should include the name of the Principal Recipient who is responsible for reporting on these indicators. The name should be selected from the drop-down menu that is pre-populated with the names inputted in the “Overview - Section A”.</t>
  </si>
  <si>
    <t>In the grant making performance framework this field is not required and is hidden. The PR for the grant will be responsible for reporting on all the indicators included in the grant performance framework.</t>
  </si>
  <si>
    <t xml:space="preserve">Country </t>
  </si>
  <si>
    <t>The target year is pre-populated based on the implementation period start date.</t>
  </si>
  <si>
    <t>Provide the target numerator (N) and denominator (D) values (as applicable) for each outcome indicator. Applicants should refer to the indicator guidance sheets for information on data type.</t>
  </si>
  <si>
    <t>Target should be set in the year of the measurement and not when the report/results will be available.</t>
  </si>
  <si>
    <t xml:space="preserve"> Indicate the timelines when results for the outcome indicators will be available in the country (official report available). This may be different from the date they will be reported to the Global Fund with the Progress Updates. </t>
  </si>
  <si>
    <t>Comments</t>
  </si>
  <si>
    <t>-    Summary of target assumptions, e.g., alignment with NSP or any other country target; links to other indicators, etc.</t>
  </si>
  <si>
    <t xml:space="preserve">-    Data sources, if they are different from baseline data sources; </t>
  </si>
  <si>
    <t xml:space="preserve">-    Target population, if this is not already indicated in the standard indicator definition; </t>
  </si>
  <si>
    <r>
      <t xml:space="preserve">-    </t>
    </r>
    <r>
      <rPr>
        <sz val="11"/>
        <color theme="1"/>
        <rFont val="Arial"/>
        <family val="2"/>
      </rPr>
      <t xml:space="preserve">Description of geographic area if targets are sub-national; </t>
    </r>
  </si>
  <si>
    <r>
      <t xml:space="preserve">-    </t>
    </r>
    <r>
      <rPr>
        <sz val="11"/>
        <color theme="1"/>
        <rFont val="Arial"/>
        <family val="2"/>
      </rPr>
      <t xml:space="preserve">Entity responsible for data collection and reporting; </t>
    </r>
  </si>
  <si>
    <t>-    Any change in measurement methodology from previous year.</t>
  </si>
  <si>
    <t>In case of baselines/targets not being available, indicate the actions being taken/planned when this information is expected to be available and when the performance framework will be updated.</t>
  </si>
  <si>
    <t xml:space="preserve">Coverage Indicators - Section D </t>
  </si>
  <si>
    <t>This provides links to the section of the instructions that is relevant to fill the Coverage Indicators - Section C and the link to the print view spreadsheet.</t>
  </si>
  <si>
    <t>This field is pre-populated highlighting in red the total number of data entry errors in Section D of the form.</t>
  </si>
  <si>
    <t>Select the module name from the drop-down menu. The list will include all the modules included in the Overview - Section A. </t>
  </si>
  <si>
    <t xml:space="preserve">Standard Coverage Indicator </t>
  </si>
  <si>
    <t xml:space="preserve">Select the relevant standard coverage indicators from the drop-down list. </t>
  </si>
  <si>
    <t xml:space="preserve">Custom Coverage Indicator </t>
  </si>
  <si>
    <t xml:space="preserve">Custom coverage indicators are allowed only in exceptional cases. </t>
  </si>
  <si>
    <t xml:space="preserve">The inclusion of custom indicators will require review and approval by the Global Fund. If agreed, custom coverage indicators should be coded as follows: </t>
  </si>
  <si>
    <r>
      <t xml:space="preserve">a)   Module name (abbreviated as in the standard indicator list) - Other 1 (the count for number of custom coverage indicators). </t>
    </r>
    <r>
      <rPr>
        <u/>
        <sz val="11"/>
        <color rgb="FF000000"/>
        <rFont val="Arial"/>
        <family val="2"/>
      </rPr>
      <t>For example</t>
    </r>
    <r>
      <rPr>
        <sz val="11"/>
        <color rgb="FF000000"/>
        <rFont val="Arial"/>
        <family val="2"/>
      </rPr>
      <t>, a custom indicator related to the Malaria module “Case Management” should have the following code: CM - Other 1: Percentage of....</t>
    </r>
  </si>
  <si>
    <r>
      <t xml:space="preserve">b)  If the custom coverage indicator is related to a standard indicator, e.g., a subset or superset, the custom indicator name should have the standard indicator code followed by “Other 1”. For example, a custom indicator for number of people in a specific target group who are currently on ART would be TCS-1 - Other1: Percentage of XX (specify name of the target group) </t>
    </r>
    <r>
      <rPr>
        <sz val="11"/>
        <color theme="1"/>
        <rFont val="Arial"/>
        <family val="2"/>
      </rPr>
      <t>on ART among all people living with HIV at the end of the reporting period.</t>
    </r>
  </si>
  <si>
    <t>Provide the baseline numerator (N) and denominator (D) values (as applicable) for each coverage indicator. Text is not allowed in these fields.</t>
  </si>
  <si>
    <t>Baseline #D</t>
  </si>
  <si>
    <t>If no baseline data is available, this field should be left blank. An explanation should be provided in comments’ box (column AL) regarding the actions being taken/planned to collect the baselines, when the baseline is expected to be available, and when the performance framework will be updated.</t>
  </si>
  <si>
    <t xml:space="preserve">Baseline % </t>
  </si>
  <si>
    <t>Baseline Source</t>
  </si>
  <si>
    <t xml:space="preserve">Include the data source for the baseline value. </t>
  </si>
  <si>
    <t>If the data source of the baseline is different from the data source that will be used to report on the indicator, this should be explained in the comments box (column AL).</t>
  </si>
  <si>
    <t>The baselines (value, year and source) for each of the required disaggregation categories are to be included in the tab titled "Disaggregation - Section E". Under the differentiated reporting requirements, the countries classified as “Focused Portfolios” by the Global Fund are not required to fill this tab. In cases where baselines are not available, an explanation should be provided in comments’ box (column J) on the “Disaggregation - Section E”, regarding the actions being taken/planned to collect the baselines, when the baseline is expected to be available, and when the performance framework will be updated.</t>
  </si>
  <si>
    <t>Include in Global Fund results</t>
  </si>
  <si>
    <r>
      <t>At the Grant Making Stage:</t>
    </r>
    <r>
      <rPr>
        <sz val="11"/>
        <color rgb="FF000000"/>
        <rFont val="Arial"/>
        <family val="2"/>
      </rPr>
      <t xml:space="preserve"> </t>
    </r>
  </si>
  <si>
    <t>This field is to be filled by the Global Fund Country Team/PHME specialist by selecting “Yes” or “No” from the drop-down menu to avoid duplication of reported results in Global Fund annual results report, in case of common indicators across Principal Recipients.</t>
  </si>
  <si>
    <t xml:space="preserve">At the Funding Request Stage: </t>
  </si>
  <si>
    <t>In the grant making performance framework this field is not required and is hidden.</t>
  </si>
  <si>
    <t>Country/Scope of targets</t>
  </si>
  <si>
    <t xml:space="preserve">Country: </t>
  </si>
  <si>
    <t xml:space="preserve">Scope of targets: </t>
  </si>
  <si>
    <r>
      <t>In the second field below the country name, specify</t>
    </r>
    <r>
      <rPr>
        <sz val="11"/>
        <color rgb="FF000000"/>
        <rFont val="Arial"/>
        <family val="2"/>
      </rPr>
      <t xml:space="preserve"> the </t>
    </r>
    <r>
      <rPr>
        <b/>
        <sz val="11"/>
        <color rgb="FF000000"/>
        <rFont val="Arial"/>
        <family val="2"/>
      </rPr>
      <t>scope of targets</t>
    </r>
    <r>
      <rPr>
        <sz val="11"/>
        <color rgb="FF000000"/>
        <rFont val="Arial"/>
        <family val="2"/>
      </rPr>
      <t xml:space="preserve"> for each indicator using the drop-down menu. The options provided help to distinguish if the targets are:</t>
    </r>
  </si>
  <si>
    <t xml:space="preserve">−     Geographically National (i.e., refer to the whole country and represent 100% of the national program target); </t>
  </si>
  <si>
    <r>
      <t xml:space="preserve">−     Geographically Subnational, 100% of national program target (i.e., refer to some geographic areas only but reflect 100% of the national program target). </t>
    </r>
    <r>
      <rPr>
        <u/>
        <sz val="11"/>
        <color rgb="FF000000"/>
        <rFont val="Arial"/>
        <family val="2"/>
      </rPr>
      <t>For example</t>
    </r>
    <r>
      <rPr>
        <sz val="11"/>
        <color rgb="FF000000"/>
        <rFont val="Arial"/>
        <family val="2"/>
      </rPr>
      <t>, in cases where the epidemic is concentrated in some specific areas of the country and the targets refer to all these areas;</t>
    </r>
  </si>
  <si>
    <r>
      <t xml:space="preserve">−     Geographic Subnational, less than 100% national program target (i.e., refer to some geographic areas only and reflect less than 100% of national program target). </t>
    </r>
    <r>
      <rPr>
        <u/>
        <sz val="11"/>
        <color rgb="FF000000"/>
        <rFont val="Arial"/>
        <family val="2"/>
      </rPr>
      <t>For example</t>
    </r>
    <r>
      <rPr>
        <sz val="11"/>
        <color rgb="FF000000"/>
        <rFont val="Arial"/>
        <family val="2"/>
      </rPr>
      <t>, in cases where targets are from some specific areas supported by the Global Fund grant/Principal Recipients and do not cover other affected geographic areas.</t>
    </r>
  </si>
  <si>
    <t>If targets are Subnational, specify the coverage area in the comments box (column AL) for the indicator i.e., the number of provinces or districts and where relevant the name of the areas.</t>
  </si>
  <si>
    <t>Cumulation type</t>
  </si>
  <si>
    <r>
      <t xml:space="preserve">This field is applicable for indicators that are reported </t>
    </r>
    <r>
      <rPr>
        <b/>
        <sz val="11"/>
        <color rgb="FF000000"/>
        <rFont val="Arial"/>
        <family val="2"/>
      </rPr>
      <t>6-monthly</t>
    </r>
    <r>
      <rPr>
        <sz val="11"/>
        <color rgb="FF000000"/>
        <rFont val="Arial"/>
        <family val="2"/>
      </rPr>
      <t>. Under this field, indicate how the targets are set over the reporting periods by selecting relevant cumulation categories from the drop-down lists. These categories will be used by the Global Fund to generate the overall performance over the reporting periods within a year. The dropdown menu provides the following three options:</t>
    </r>
  </si>
  <si>
    <r>
      <t>Non-Cumulative</t>
    </r>
    <r>
      <rPr>
        <sz val="11"/>
        <color rgb="FF000000"/>
        <rFont val="Arial"/>
        <family val="2"/>
      </rPr>
      <t>: These reflect period specific targets (i.e., the value refers to what will be achieved in a reporting period irrespective of the targets in the previous periods). In such cases, the relevant periodic targets (numerators or numerators and denominators as applicable) will be added up to calculate annual indicator performance.</t>
    </r>
  </si>
  <si>
    <r>
      <t>Non-Cumulative- Special</t>
    </r>
    <r>
      <rPr>
        <sz val="11"/>
        <color rgb="FF000000"/>
        <rFont val="Arial"/>
        <family val="2"/>
      </rPr>
      <t>: These also reflect period specific targets, same as the category above, except that in this case the denominators are the same over reporting periods (for example, size estimates for Key Populations). Relevant periodic targets (numerators) will be added up but not the denominator i.e., the denominator in the current reporting period will be used to calculate annual indicator performance.</t>
    </r>
  </si>
  <si>
    <r>
      <t>Non-Cumulative- Other</t>
    </r>
    <r>
      <rPr>
        <sz val="11"/>
        <color rgb="FF000000"/>
        <rFont val="Arial"/>
        <family val="2"/>
      </rPr>
      <t xml:space="preserve">: This is applied to the indicators that refer to people currently receiving services irrespective of the targets in previous periods. </t>
    </r>
    <r>
      <rPr>
        <u/>
        <sz val="11"/>
        <color rgb="FF000000"/>
        <rFont val="Arial"/>
        <family val="2"/>
      </rPr>
      <t>For example</t>
    </r>
    <r>
      <rPr>
        <sz val="11"/>
        <color rgb="FF000000"/>
        <rFont val="Arial"/>
        <family val="2"/>
      </rPr>
      <t>, “Percentage of people on ART”. In such cases, the relevant periodic targets in the last reporting period will be used to calculate annual indicator performance.</t>
    </r>
  </si>
  <si>
    <r>
      <t xml:space="preserve">For indicators that are reported annually </t>
    </r>
    <r>
      <rPr>
        <b/>
        <sz val="11"/>
        <color rgb="FF000000"/>
        <rFont val="Arial"/>
        <family val="2"/>
      </rPr>
      <t>leave this field blank</t>
    </r>
    <r>
      <rPr>
        <sz val="11"/>
        <color rgb="FF000000"/>
        <rFont val="Arial"/>
        <family val="2"/>
      </rPr>
      <t>.</t>
    </r>
  </si>
  <si>
    <t>Provide the target numerator (N) and denominator (D) values (as applicable) for each coverage indicator for the reporting periods when the activity will be implemented. Applicants should refer to the indicator guidance sheets for information on data type.</t>
  </si>
  <si>
    <t>Targets should be consistent with the national strategic plan or any other updated and agreed country targets and based on the programmatic gap analysis in the funding request.</t>
  </si>
  <si>
    <t>Not all indicators need to be reported during each period. Include the targets as per the recommended reporting frequency.</t>
  </si>
  <si>
    <t>Target %</t>
  </si>
  <si>
    <t>For some indicators, even though % targets are set, the results will be required to be reported as numerator, denominator and percentage as per the Indicator Guidance Sheets.</t>
  </si>
  <si>
    <t>Mark if target is "TBD"</t>
  </si>
  <si>
    <t>In case of targets are to be determined, indicate in the comments’ box (Column AL) the actions being taken/planned, when this information is expected to be available and when the performance framework will be updated.</t>
  </si>
  <si>
    <t>-    In case of unavailable baselines/targets, describe the actions being taken/planned to report on this information and when the performance framework will be updated.</t>
  </si>
  <si>
    <t>Note: Target assumptions tab can be used to provide detailed information on target setting.</t>
  </si>
  <si>
    <r>
      <t xml:space="preserve">Additional relevant information. </t>
    </r>
    <r>
      <rPr>
        <u/>
        <sz val="11"/>
        <color rgb="FF000000"/>
        <rFont val="Arial"/>
        <family val="2"/>
      </rPr>
      <t>For example</t>
    </r>
    <r>
      <rPr>
        <sz val="11"/>
        <color rgb="FF000000"/>
        <rFont val="Arial"/>
        <family val="2"/>
      </rPr>
      <t>, the ANC attendance rates when setting Elimination of Vertical Transmission targets, the data sources used to generate the population size estimates, for interventions that include a package of services, describe components of the package.</t>
    </r>
  </si>
  <si>
    <t xml:space="preserve">Reverse – standard indicator </t>
  </si>
  <si>
    <t xml:space="preserve">This field is prepopulated with “Yes” for standard indicators where targets are set to decline over time, i.e., a reverse trend in results is expected. </t>
  </si>
  <si>
    <t xml:space="preserve">Reverse – custom indicator </t>
  </si>
  <si>
    <t>Indicate “Yes” if targets are set to decline overtime (i.e., a reverse trend in results is expected for the custom indicators).</t>
  </si>
  <si>
    <t xml:space="preserve">Disaggregation (Impact, Outcome and Coverage indicators) - Section E </t>
  </si>
  <si>
    <t>Note: Under the disaggregation tab (section E) you may encounter several empty rows for each indicator. This is to facilitate visualization of all possible disaggregation values depending on the order in which indicators are selected on the impact, outcome and coverage indicator tabs. You can use the page navigation menu on the top of the page to go to various sections on this tab. You can use ctrl+home to come back to the page navigation menu.</t>
  </si>
  <si>
    <t xml:space="preserve">Please use the links provided to scroll down to the impact, outcome and coverage indicators on this page that require a disaggregation. </t>
  </si>
  <si>
    <t>It also includes the link to the section of the instructions that is relevant to fill the “Disaggregation - Section E”.</t>
  </si>
  <si>
    <t>Indicator disaggregation</t>
  </si>
  <si>
    <r>
      <t xml:space="preserve">The fields for Impact Indicator Number, Impact Indicator Name, Disaggregation Category and Disaggregation will be pre-populated based on the required disaggregation categories for the standard impact, outcome and coverage indicators selected </t>
    </r>
    <r>
      <rPr>
        <sz val="11"/>
        <color theme="1"/>
        <rFont val="Arial"/>
        <family val="2"/>
      </rPr>
      <t>in sections B, C and D.</t>
    </r>
  </si>
  <si>
    <t>Provide the baseline numerator (N) and denominator (D) values (as applicable) for required disaggregation categories and variables.</t>
  </si>
  <si>
    <t>In cases where baselines are not available, leave this field blank and provide an explanation in comments’ box (column J) regarding the actions being taken/planned to collect the baselines, when the baseline is expected to be available, and when the performance framework will be updated.</t>
  </si>
  <si>
    <t>This field will be automatically calculated in cases where baseline numerator (N) and denominator (D) values are inputted for the indicator.</t>
  </si>
  <si>
    <t>In cases where baseline numerator (N) and denominator (D) values are not required, % values can be included manually.</t>
  </si>
  <si>
    <t>In case no baseline value is available, this field should be left blank.</t>
  </si>
  <si>
    <t>Baseline source</t>
  </si>
  <si>
    <t>In case no data is available, this field should be left blank.</t>
  </si>
  <si>
    <t>Provide any relevant information related to disaggregated data.</t>
  </si>
  <si>
    <t>Indicate if the data source for disaggregation is different from the overall baseline value.</t>
  </si>
  <si>
    <t>Indicate if the data source of the baseline is different from the data source that will be used to report on the indicator.</t>
  </si>
  <si>
    <t>Indicate any actions being taken/planned to collect the missing baseline data and the timeline when performance framework will be updated.</t>
  </si>
  <si>
    <t xml:space="preserve">Work Plan Tracking Measures (WPTM) - Section F </t>
  </si>
  <si>
    <t>Page navigation</t>
  </si>
  <si>
    <t>This provides links to the section of the instructions that is relevant to fill the “WPTM - Section F” and the link to the print view spreadsheet.</t>
  </si>
  <si>
    <t>Module Name</t>
  </si>
  <si>
    <t>Insert the name of the module related to the activity from the drop-down menu. The list will include all the modules included in the “Overview - Section A”.</t>
  </si>
  <si>
    <t>Intervention</t>
  </si>
  <si>
    <t>Under each module, select the intervention related to the tracking measure from the drop-down menu. The list will include all the interventions included in the Overview - Section A.</t>
  </si>
  <si>
    <t xml:space="preserve">Key Activity </t>
  </si>
  <si>
    <t>Include the key activity to be monitored against a defined set of milestones and targets.</t>
  </si>
  <si>
    <t xml:space="preserve">Responsible PR </t>
  </si>
  <si>
    <t>The applicant should include the name of the Principal Recipient who is responsible for reporting on the WPTM. The name should be selected from the drop-down menu that is pre-populated with the names inputted in the “Overview - Section A”.</t>
  </si>
  <si>
    <t xml:space="preserve">In the grant making performance framework, this field is not required and is hidden. </t>
  </si>
  <si>
    <t>The PR for the grant will be responsible for reporting on all the WPTM included in the grant performance framework.</t>
  </si>
  <si>
    <t>For single country applications/grants, include the name of the country.</t>
  </si>
  <si>
    <t>For regional or multi-country applications/grants, the applicant/Principal Recipient select the name of the country pertaining to each selected activity.</t>
  </si>
  <si>
    <t>For regional or multi-country applications/grants, if an activity and related milestone/target covers two or more countries, the applicants/Principal Recipient should leave this field blank and specify the names of these countries/geographic area in the comments’ box (column W).</t>
  </si>
  <si>
    <t xml:space="preserve">Milestones/Targets description </t>
  </si>
  <si>
    <t xml:space="preserve">Include relevant milestones to be achieved during the reporting periods when these are expected to be completed. </t>
  </si>
  <si>
    <t xml:space="preserve">Do not include WPTMs if the grant already includes custom indicators. </t>
  </si>
  <si>
    <t>Milestone description should not exceed 4000 characters.</t>
  </si>
  <si>
    <t>Criterion for completion</t>
  </si>
  <si>
    <t xml:space="preserve">Specify the criterion when the milestone/target will be considered as “not started”, "started", "advanced" or "completed". </t>
  </si>
  <si>
    <t>Provide any relevant information related to the activity and/or the targeted milestones.</t>
  </si>
  <si>
    <t>Sheet: Target Assumptions</t>
  </si>
  <si>
    <t xml:space="preserve">This worksheet is a free text sheet and, if needed, can be used to provide additional information related to target setting for key indicators in the performance framework form. It is available in Excel version only and will not be imported in GOS. </t>
  </si>
  <si>
    <t>Sheet: Print - Summary</t>
  </si>
  <si>
    <t xml:space="preserve">No actions required; the information is based on the data populated in Overview - Section A. </t>
  </si>
  <si>
    <t>Sheet: Print – Goals &amp; Impact</t>
  </si>
  <si>
    <t>No action required; the information is based on the data populated in the Overview and Impact sections (A&amp;B).</t>
  </si>
  <si>
    <t>Sheet: Print – Objectives &amp; Outcome</t>
  </si>
  <si>
    <t>No action required; the information is based on the data populated in the Overview and Outcomes sections (A&amp;C).</t>
  </si>
  <si>
    <t xml:space="preserve">Sheet: Print – Coverage </t>
  </si>
  <si>
    <t>No action required; the information is based on the data populated in Coverage - Section D.</t>
  </si>
  <si>
    <t xml:space="preserve">Sheet: Print – WPTM </t>
  </si>
  <si>
    <t>No action required; the information is based on the data populated in the Work Plan Tracking Measures - Section F.</t>
  </si>
  <si>
    <t>Performance Framework  - Overview - Section A</t>
  </si>
  <si>
    <t>Version 4.0.0</t>
  </si>
  <si>
    <t>IP Record Type</t>
  </si>
  <si>
    <t>Funding Request</t>
  </si>
  <si>
    <t>Implementation Period Start Date</t>
  </si>
  <si>
    <t xml:space="preserve"> </t>
  </si>
  <si>
    <t>Implementation Period End Date</t>
  </si>
  <si>
    <t>IP End Date</t>
  </si>
  <si>
    <t>Programmatic Report Period Frequency</t>
  </si>
  <si>
    <t>Type of Revision</t>
  </si>
  <si>
    <t>AUP1 Start Date</t>
  </si>
  <si>
    <t>IP Record ID</t>
  </si>
  <si>
    <t>a1KDm000000TTafMAG</t>
  </si>
  <si>
    <t>AUP1 End Date</t>
  </si>
  <si>
    <t>sheet name</t>
  </si>
  <si>
    <t>Principal Recipients</t>
  </si>
  <si>
    <t>Reporting Periods</t>
  </si>
  <si>
    <t>Goals</t>
  </si>
  <si>
    <t>Instructions</t>
  </si>
  <si>
    <t>Objectives</t>
  </si>
  <si>
    <t>Modules</t>
  </si>
  <si>
    <t>Interventions</t>
  </si>
  <si>
    <t>Component (Name)</t>
  </si>
  <si>
    <t>[Component Name]</t>
  </si>
  <si>
    <t>[Component (Name)]</t>
  </si>
  <si>
    <t>HIV/AIDS</t>
  </si>
  <si>
    <t>Tuberculosis</t>
  </si>
  <si>
    <t>RSSH</t>
  </si>
  <si>
    <t>Principal Recipient Number</t>
  </si>
  <si>
    <t>Principal Recipient Name</t>
  </si>
  <si>
    <t>Record ID</t>
  </si>
  <si>
    <t>Account Role ID</t>
  </si>
  <si>
    <t>[Account (Name)]</t>
  </si>
  <si>
    <t>[Record ID]</t>
  </si>
  <si>
    <t>[Account Role ID]</t>
  </si>
  <si>
    <t>Principal Recipient Name (Select PRs that have previously had Grants with the Global Fund)</t>
  </si>
  <si>
    <t>New Principal Recipient Name (use if the entity has never been a Global Fund PR or does not appear in dropdown list in previous column)</t>
  </si>
  <si>
    <t>Allow creation from PF</t>
  </si>
  <si>
    <t>Concatenation of Names</t>
  </si>
  <si>
    <t>Temporary Placeholder for Account Id</t>
  </si>
  <si>
    <t>Dummy Account Id</t>
  </si>
  <si>
    <t>Account (Name)</t>
  </si>
  <si>
    <t>[Account Role Number]</t>
  </si>
  <si>
    <t>[Alternative Account]</t>
  </si>
  <si>
    <t>[Account]</t>
  </si>
  <si>
    <t>0013600000zN6z8AAC</t>
  </si>
  <si>
    <t>a12Dm000000bzsAIAQ</t>
  </si>
  <si>
    <t>Funding Request Place Holder</t>
  </si>
  <si>
    <t>AR-11380</t>
  </si>
  <si>
    <t>a12Dm000000bzsBIAQ</t>
  </si>
  <si>
    <t>AR-11381</t>
  </si>
  <si>
    <t>a12Dm000000bzsCIAQ</t>
  </si>
  <si>
    <t>AR-11382</t>
  </si>
  <si>
    <t>a12Dm000000bzsDIAQ</t>
  </si>
  <si>
    <t>AR-11383</t>
  </si>
  <si>
    <t>a12Dm000000bzsEIAQ</t>
  </si>
  <si>
    <t>AR-11384</t>
  </si>
  <si>
    <t>a12Dm000000bzsFIAQ</t>
  </si>
  <si>
    <t>AR-11385</t>
  </si>
  <si>
    <t>a12Dm000000bzsGIAQ</t>
  </si>
  <si>
    <t>AR-11386</t>
  </si>
  <si>
    <t>a12Dm000000bzsHIAQ</t>
  </si>
  <si>
    <t>AR-11387</t>
  </si>
  <si>
    <t>a12Dm000000bzsIIAQ</t>
  </si>
  <si>
    <t>AR-11388</t>
  </si>
  <si>
    <t xml:space="preserve">Reporting Period </t>
  </si>
  <si>
    <t>Period Start Date</t>
  </si>
  <si>
    <t>Period End Date</t>
  </si>
  <si>
    <t>Disbursement Request</t>
  </si>
  <si>
    <t>Disbursement Request(Display)</t>
  </si>
  <si>
    <t>Reporting Period Start Date</t>
  </si>
  <si>
    <t>Reporting Period End Date</t>
  </si>
  <si>
    <t>Submission date</t>
  </si>
  <si>
    <t>[Disbursement Request]</t>
  </si>
  <si>
    <t>[Reporting Period Start Date]</t>
  </si>
  <si>
    <t>[Reporting Period End Date]</t>
  </si>
  <si>
    <t>a1YDm000000TRitMAG</t>
  </si>
  <si>
    <t>a1YDm000000TRiuMAG</t>
  </si>
  <si>
    <t>a1YDm000000TRivMAG</t>
  </si>
  <si>
    <t>a1YDm000000TRiwMAG</t>
  </si>
  <si>
    <t>a1YDm000000TRixMAG</t>
  </si>
  <si>
    <t>a1YDm000000TRiyMAG</t>
  </si>
  <si>
    <t>Goal Number</t>
  </si>
  <si>
    <t>Goal Description</t>
  </si>
  <si>
    <t>[Goal Number]</t>
  </si>
  <si>
    <t>[Goal Name]</t>
  </si>
  <si>
    <t>a1CDm000000TVzXMAW</t>
  </si>
  <si>
    <t>a1CDm000000TVzYMAW</t>
  </si>
  <si>
    <t>a1CDm000000TVzZMAW</t>
  </si>
  <si>
    <t>a1CDm000000TVzaMAG</t>
  </si>
  <si>
    <t>a1CDm000000TVzbMAG</t>
  </si>
  <si>
    <t>a1CDm000000TVzcMAG</t>
  </si>
  <si>
    <t>a1CDm000000TVzdMAG</t>
  </si>
  <si>
    <t>a1CDm000000TVzeMAG</t>
  </si>
  <si>
    <t>a1CDm000000TVzfMAG</t>
  </si>
  <si>
    <t>a1CDm000000TVzgMAG</t>
  </si>
  <si>
    <t>a1CDm000000TVzhMAG</t>
  </si>
  <si>
    <t>a1CDm000000TVziMAG</t>
  </si>
  <si>
    <t>Objective Number</t>
  </si>
  <si>
    <t>Objective Description</t>
  </si>
  <si>
    <t>[Objective Number]</t>
  </si>
  <si>
    <t>[Objective Name]</t>
  </si>
  <si>
    <t>a1RDm000000PC2QMAW</t>
  </si>
  <si>
    <t>a1RDm000000PC2RMAW</t>
  </si>
  <si>
    <t>a1RDm000000PC2SMAW</t>
  </si>
  <si>
    <t>a1RDm000000PC2TMAW</t>
  </si>
  <si>
    <t>a1RDm000000PC2UMAW</t>
  </si>
  <si>
    <t>a1RDm000000PC2VMAW</t>
  </si>
  <si>
    <t>a1RDm000000PC2WMAW</t>
  </si>
  <si>
    <t>a1RDm000000PC2XMAW</t>
  </si>
  <si>
    <t>a1RDm000000PC2YMAW</t>
  </si>
  <si>
    <t>a1RDm000000PC2ZMAW</t>
  </si>
  <si>
    <t>a1RDm000000PC2aMAG</t>
  </si>
  <si>
    <t>a1RDm000000PC2bMAG</t>
  </si>
  <si>
    <t>Module Number</t>
  </si>
  <si>
    <t>module name repeated</t>
  </si>
  <si>
    <t>Module ID</t>
  </si>
  <si>
    <t>Module Reference (Name)</t>
  </si>
  <si>
    <t>Module Reference</t>
  </si>
  <si>
    <t>[Module Number]</t>
  </si>
  <si>
    <t>[Module ID]</t>
  </si>
  <si>
    <t>[Module Reference (Name)]</t>
  </si>
  <si>
    <t>M-82411</t>
  </si>
  <si>
    <t>Prevention package for men who have sex with men (MSM) and their sexual partners</t>
  </si>
  <si>
    <t>a1PDm000000LZBeMAO</t>
  </si>
  <si>
    <t>M-82412</t>
  </si>
  <si>
    <t>Prevention package for sex workers, their clients and other sexual partners</t>
  </si>
  <si>
    <t>a1PDm000000LZBfMAO</t>
  </si>
  <si>
    <t>M-82413</t>
  </si>
  <si>
    <t>Prevention package for transgender people and their sexual partners</t>
  </si>
  <si>
    <t>a1PDm000000LZBgMAO</t>
  </si>
  <si>
    <t>M-82414</t>
  </si>
  <si>
    <t>Prevention package for people who use drugs (PUD) and their sexual partners</t>
  </si>
  <si>
    <t>a1PDm000000LZBhMAO</t>
  </si>
  <si>
    <t>M-82415</t>
  </si>
  <si>
    <t>Differentiated HIV Testing Services</t>
  </si>
  <si>
    <t>a1PDm000000LZBiMAO</t>
  </si>
  <si>
    <t>M-82416</t>
  </si>
  <si>
    <t>Treatment, care and support</t>
  </si>
  <si>
    <t>a1PDm000000LZBjMAO</t>
  </si>
  <si>
    <t>M-82417</t>
  </si>
  <si>
    <t>TB/HIV</t>
  </si>
  <si>
    <t>a1PDm000000LZBkMAO</t>
  </si>
  <si>
    <t>M-82418</t>
  </si>
  <si>
    <t>Drug-resistant (DR)-TB diagnosis, treatment and care</t>
  </si>
  <si>
    <t>a1PDm000000LZBlMAO</t>
  </si>
  <si>
    <t>M-82419</t>
  </si>
  <si>
    <t>a1PDm000000LZBmMAO</t>
  </si>
  <si>
    <t>M-82420</t>
  </si>
  <si>
    <t>a1PDm000000LZBnMAO</t>
  </si>
  <si>
    <t>M-82421</t>
  </si>
  <si>
    <t>a1PDm000000LZBoMAO</t>
  </si>
  <si>
    <t>M-82422</t>
  </si>
  <si>
    <t>a1PDm000000LZBpMAO</t>
  </si>
  <si>
    <t>M-82423</t>
  </si>
  <si>
    <t>a1PDm000000LZBqMAO</t>
  </si>
  <si>
    <t>M-82424</t>
  </si>
  <si>
    <t>a1PDm000000LZBrMAO</t>
  </si>
  <si>
    <t>M-82425</t>
  </si>
  <si>
    <t>a1PDm000000LZBsMAO</t>
  </si>
  <si>
    <t>Only required if you have Work plan Tracking Measures</t>
  </si>
  <si>
    <t>Intervention Number</t>
  </si>
  <si>
    <t>Column5</t>
  </si>
  <si>
    <t>Column6</t>
  </si>
  <si>
    <t>Column7</t>
  </si>
  <si>
    <t>Column8</t>
  </si>
  <si>
    <t>Standard Intervention</t>
  </si>
  <si>
    <t>Intervention Name</t>
  </si>
  <si>
    <t>Dependent List Population Start</t>
  </si>
  <si>
    <t>Dependent List Population Stop</t>
  </si>
  <si>
    <t>Column12</t>
  </si>
  <si>
    <t>Column13</t>
  </si>
  <si>
    <t>Standard Intervention2</t>
  </si>
  <si>
    <t>Column9</t>
  </si>
  <si>
    <t>Allow Field Update</t>
  </si>
  <si>
    <t>Intervention ID</t>
  </si>
  <si>
    <t>Formula to sort module name</t>
  </si>
  <si>
    <t>formula to fetch intervention based on module name-used in WPTM sheet</t>
  </si>
  <si>
    <t>concat module&amp;inter</t>
  </si>
  <si>
    <t>Helper1 module + int + pop</t>
  </si>
  <si>
    <t>helper 2</t>
  </si>
  <si>
    <t>rank</t>
  </si>
  <si>
    <t>sorted</t>
  </si>
  <si>
    <t>module</t>
  </si>
  <si>
    <t>pop</t>
  </si>
  <si>
    <t>module+pop</t>
  </si>
  <si>
    <t>Intervention Sort Order</t>
  </si>
  <si>
    <t>Intervention ID--no use(for putting formula)</t>
  </si>
  <si>
    <t>[Intervention ID (Name)]</t>
  </si>
  <si>
    <t>a1MDm000000XhSfMAK</t>
  </si>
  <si>
    <t>INT-341506</t>
  </si>
  <si>
    <t>a1MDm000000XhSgMAK</t>
  </si>
  <si>
    <t>INT-341507</t>
  </si>
  <si>
    <t>a1MDm000000XhShMAK</t>
  </si>
  <si>
    <t>INT-341508</t>
  </si>
  <si>
    <t>a1MDm000000XhSiMAK</t>
  </si>
  <si>
    <t>INT-341509</t>
  </si>
  <si>
    <t>a1MDm000000XhSjMAK</t>
  </si>
  <si>
    <t>INT-341510</t>
  </si>
  <si>
    <t>a1MDm000000XhSkMAK</t>
  </si>
  <si>
    <t>INT-341511</t>
  </si>
  <si>
    <t>a1MDm000000XhSlMAK</t>
  </si>
  <si>
    <t>INT-341512</t>
  </si>
  <si>
    <t>a1MDm000000XhSmMAK</t>
  </si>
  <si>
    <t>INT-341513</t>
  </si>
  <si>
    <t>a1MDm000000XhSnMAK</t>
  </si>
  <si>
    <t>INT-341514</t>
  </si>
  <si>
    <t>a1MDm000000XhSoMAK</t>
  </si>
  <si>
    <t>INT-341515</t>
  </si>
  <si>
    <t>a1MDm000000XhSpMAK</t>
  </si>
  <si>
    <t>INT-341516</t>
  </si>
  <si>
    <t>a1MDm000000XhSqMAK</t>
  </si>
  <si>
    <t>INT-341517</t>
  </si>
  <si>
    <t>a1MDm000000XhSrMAK</t>
  </si>
  <si>
    <t>INT-341518</t>
  </si>
  <si>
    <t>a1MDm000000XhSsMAK</t>
  </si>
  <si>
    <t>INT-341519</t>
  </si>
  <si>
    <t>a1MDm000000XhStMAK</t>
  </si>
  <si>
    <t>INT-341520</t>
  </si>
  <si>
    <t>a1MDm000000XhSuMAK</t>
  </si>
  <si>
    <t>INT-341521</t>
  </si>
  <si>
    <t>a1MDm000000XhSvMAK</t>
  </si>
  <si>
    <t>INT-341522</t>
  </si>
  <si>
    <t>a1MDm000000XhSwMAK</t>
  </si>
  <si>
    <t>INT-341523</t>
  </si>
  <si>
    <t>a1MDm000000XhSxMAK</t>
  </si>
  <si>
    <t>INT-341524</t>
  </si>
  <si>
    <t>a1MDm000000XhSyMAK</t>
  </si>
  <si>
    <t>INT-341525</t>
  </si>
  <si>
    <t>a1MDm000000XhSzMAK</t>
  </si>
  <si>
    <t>INT-341526</t>
  </si>
  <si>
    <t>a1MDm000000XhT0MAK</t>
  </si>
  <si>
    <t>INT-341527</t>
  </si>
  <si>
    <t>a1MDm000000XhT1MAK</t>
  </si>
  <si>
    <t>INT-341528</t>
  </si>
  <si>
    <t>a1MDm000000XhT2MAK</t>
  </si>
  <si>
    <t>INT-341529</t>
  </si>
  <si>
    <t>a1MDm000000XhT3MAK</t>
  </si>
  <si>
    <t>INT-341530</t>
  </si>
  <si>
    <t>a1MDm000000XhT4MAK</t>
  </si>
  <si>
    <t>INT-341531</t>
  </si>
  <si>
    <t>a1MDm000000XhT5MAK</t>
  </si>
  <si>
    <t>INT-341532</t>
  </si>
  <si>
    <t>a1MDm000000XhT6MAK</t>
  </si>
  <si>
    <t>INT-341533</t>
  </si>
  <si>
    <t>a1MDm000000XhT7MAK</t>
  </si>
  <si>
    <t>INT-341534</t>
  </si>
  <si>
    <t>a1MDm000000XhT8MAK</t>
  </si>
  <si>
    <t>INT-341535</t>
  </si>
  <si>
    <t>a1MDm000000XhT9MAK</t>
  </si>
  <si>
    <t>INT-341536</t>
  </si>
  <si>
    <t>a1MDm000000XhTAMA0</t>
  </si>
  <si>
    <t>INT-341537</t>
  </si>
  <si>
    <t>a1MDm000000XhTBMA0</t>
  </si>
  <si>
    <t>INT-341538</t>
  </si>
  <si>
    <t>a1MDm000000XhTCMA0</t>
  </si>
  <si>
    <t>INT-341539</t>
  </si>
  <si>
    <t>a1MDm000000XhTDMA0</t>
  </si>
  <si>
    <t>INT-341540</t>
  </si>
  <si>
    <t>a1MDm000000XhTEMA0</t>
  </si>
  <si>
    <t>INT-341541</t>
  </si>
  <si>
    <t>a1MDm000000XhTFMA0</t>
  </si>
  <si>
    <t>INT-341542</t>
  </si>
  <si>
    <t>a1MDm000000XhTGMA0</t>
  </si>
  <si>
    <t>INT-341543</t>
  </si>
  <si>
    <t>a1MDm000000XhTHMA0</t>
  </si>
  <si>
    <t>INT-341544</t>
  </si>
  <si>
    <t>a1MDm000000XhTIMA0</t>
  </si>
  <si>
    <t>INT-341545</t>
  </si>
  <si>
    <t>a1MDm000000XhTJMA0</t>
  </si>
  <si>
    <t>INT-341546</t>
  </si>
  <si>
    <t>a1MDm000000XhTKMA0</t>
  </si>
  <si>
    <t>INT-341547</t>
  </si>
  <si>
    <t>a1MDm000000XhTLMA0</t>
  </si>
  <si>
    <t>INT-341548</t>
  </si>
  <si>
    <t>a1MDm000000XhTMMA0</t>
  </si>
  <si>
    <t>INT-341549</t>
  </si>
  <si>
    <t>a1MDm000000XhTNMA0</t>
  </si>
  <si>
    <t>INT-341550</t>
  </si>
  <si>
    <t>a1MDm000000XhTOMA0</t>
  </si>
  <si>
    <t>INT-341551</t>
  </si>
  <si>
    <t>a1MDm000000XhTPMA0</t>
  </si>
  <si>
    <t>INT-341552</t>
  </si>
  <si>
    <t>a1MDm000000XhTQMA0</t>
  </si>
  <si>
    <t>INT-341553</t>
  </si>
  <si>
    <t>a1MDm000000XhTRMA0</t>
  </si>
  <si>
    <t>INT-341554</t>
  </si>
  <si>
    <t>a1MDm000000XhTSMA0</t>
  </si>
  <si>
    <t>INT-341555</t>
  </si>
  <si>
    <t>Not applicable</t>
  </si>
  <si>
    <t>hi</t>
  </si>
  <si>
    <t>Version number</t>
  </si>
  <si>
    <t>Date</t>
  </si>
  <si>
    <t>Changes made</t>
  </si>
  <si>
    <t>Made by</t>
  </si>
  <si>
    <t>At request of</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</si>
  <si>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</si>
  <si>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Tanaka Ndowa</t>
  </si>
  <si>
    <t>Kingsley Awuku</t>
  </si>
  <si>
    <t>• Signed the macro
• Added save attachment on extraction</t>
  </si>
  <si>
    <t>2.0.3</t>
  </si>
  <si>
    <t>1. 0 value fix 
2. Visualization rules
3. Coverage Indicator TBD Fix
4. Print View visualization of 0 values.
5. Enabling 4 decimal places for Impact, Outcome, Disaggregation N#
6. Print view to incorporate 4 decimal place.
7. Print view to incorporate Other language Local
8. Responsible PR formula Fix to include Grant Making logic
9. Allowing WPTM Results for 9 Reporting Periods.
10. Conditional Formatting for Population Columns.</t>
  </si>
  <si>
    <t>Shalini Mitra</t>
  </si>
  <si>
    <t>Irina Kirkman</t>
  </si>
  <si>
    <t>Added Enable and Disable calculations macro to each AddRow operation in the ActionFlow to increase the performance.</t>
  </si>
  <si>
    <t>Vasu Deva Dattatreya</t>
  </si>
  <si>
    <t>Swamikan Nadar</t>
  </si>
  <si>
    <t>2.0.4</t>
  </si>
  <si>
    <t>1.Fixed Target  Result Issue in Impact/outcome Indicator Sections.
2.Fixed the indicator Name issue which exceeds 255 character Limit in Coverage Indicator Section.
3.Fixed Impact disaggreagation comments(exceeds 255 character Limit) issue in disaggregation Section.
4. Fixed the Macro of the Coverage Indicator Section</t>
  </si>
  <si>
    <t>Shalini Mitra &amp; Uma Maheswari</t>
  </si>
  <si>
    <t>Dalvinder Chandok</t>
  </si>
  <si>
    <t>4.0.0</t>
  </si>
  <si>
    <t>Version 4 for the PF template for NFM4.
Multiple changes as per the business requirements of the 2022 Funding Request project.
Removed Population column in Overview, Coverage and WPTM sheets.</t>
  </si>
  <si>
    <t>Nikos Kasioumis</t>
  </si>
  <si>
    <t>Row Count</t>
  </si>
  <si>
    <t>Section B</t>
  </si>
  <si>
    <t>Section C</t>
  </si>
  <si>
    <t>Sectiond D - Top</t>
  </si>
  <si>
    <t>Section E -top</t>
  </si>
  <si>
    <t>Section E - middle</t>
  </si>
  <si>
    <t>Section E - bottom</t>
  </si>
  <si>
    <t>Section f</t>
  </si>
  <si>
    <t>population section a distinct</t>
  </si>
  <si>
    <t>coverage indicator no rows to insert</t>
  </si>
  <si>
    <t>Merged Row</t>
  </si>
  <si>
    <t>section b start</t>
  </si>
  <si>
    <t>section c start</t>
  </si>
  <si>
    <t>section d start</t>
  </si>
  <si>
    <t>section e top start</t>
  </si>
  <si>
    <t>section e middle start</t>
  </si>
  <si>
    <t>section e bottom start</t>
  </si>
  <si>
    <t>section f start</t>
  </si>
  <si>
    <t>Scope of targets</t>
  </si>
  <si>
    <t>cumulative type</t>
  </si>
  <si>
    <t>pr list merged with blank</t>
  </si>
  <si>
    <t>pr distinct without duplicate</t>
  </si>
  <si>
    <t>Non cumulative</t>
  </si>
  <si>
    <t>Geographic National, 100% of national program target</t>
  </si>
  <si>
    <t>Non cumulative – other</t>
  </si>
  <si>
    <t>Geographic Subnational, 100% of national program target</t>
  </si>
  <si>
    <t>Non cumulative - special</t>
  </si>
  <si>
    <t>Geographic Subnational, less than 100% national program target</t>
  </si>
  <si>
    <t>count impact indicator</t>
  </si>
  <si>
    <t>coverage outcome</t>
  </si>
  <si>
    <t>count impact indicator targets</t>
  </si>
  <si>
    <t>coverage impact</t>
  </si>
  <si>
    <t>count Outcome Indicators</t>
  </si>
  <si>
    <t>count Outcome Indicators targets</t>
  </si>
  <si>
    <t>count coverage indicators</t>
  </si>
  <si>
    <t>coverage indicator</t>
  </si>
  <si>
    <t>coverage disaggregation</t>
  </si>
  <si>
    <t>TBD</t>
  </si>
  <si>
    <t>date format</t>
  </si>
  <si>
    <t>Allocation Cycle</t>
  </si>
  <si>
    <t>2020-2022</t>
  </si>
  <si>
    <t>2023-2025</t>
  </si>
  <si>
    <t>2026-2028</t>
  </si>
  <si>
    <t>Sort Order for Intervention</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</si>
  <si>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</si>
  <si>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</si>
  <si>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</si>
  <si>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</si>
  <si>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</si>
  <si>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</si>
  <si>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</si>
  <si>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</si>
  <si>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</si>
  <si>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</si>
  <si>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</si>
  <si>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</si>
  <si>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</si>
  <si>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</si>
  <si>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</si>
  <si>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</si>
  <si>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</si>
  <si>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</si>
  <si>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</si>
  <si>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</si>
  <si>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</si>
  <si>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</si>
  <si>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</si>
  <si>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</si>
  <si>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</si>
  <si>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</si>
  <si>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</si>
  <si>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</si>
  <si>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</si>
  <si>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</si>
  <si>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</si>
  <si>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</si>
  <si>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</si>
  <si>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</si>
  <si>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</si>
  <si>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</si>
  <si>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</si>
  <si>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</si>
  <si>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</si>
  <si>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</si>
  <si>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</si>
  <si>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</si>
  <si>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</si>
  <si>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</si>
  <si>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</si>
  <si>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</si>
  <si>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</si>
  <si>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</si>
  <si>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</si>
  <si>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</si>
  <si>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</si>
  <si>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</si>
  <si>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</si>
  <si>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</si>
  <si>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</si>
  <si>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</si>
  <si>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</si>
  <si>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</si>
  <si>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</si>
  <si>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</si>
  <si>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</si>
  <si>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</si>
  <si>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</si>
  <si>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</si>
  <si>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</si>
  <si>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</si>
  <si>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</si>
  <si>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</si>
  <si>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</si>
  <si>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</si>
  <si>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</si>
  <si>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</si>
  <si>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</si>
  <si>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</si>
  <si>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</si>
  <si>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</si>
  <si>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</si>
  <si>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</si>
  <si>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</si>
  <si>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</si>
  <si>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</si>
  <si>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</si>
  <si>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</si>
  <si>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</si>
  <si>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</si>
  <si>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</si>
  <si>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</si>
  <si>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</si>
  <si>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</si>
  <si>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Performance Framework - Impact Indicators - Section B</t>
  </si>
  <si>
    <t>Print View</t>
  </si>
  <si>
    <t>Impact Indicator Number</t>
  </si>
  <si>
    <t>Standard Indicator</t>
  </si>
  <si>
    <t>Custom Indicator</t>
  </si>
  <si>
    <t>Baseline #N Baseline #D</t>
  </si>
  <si>
    <t>Baseline Year</t>
  </si>
  <si>
    <t>Required Disaggregation</t>
  </si>
  <si>
    <t>Target #N
Target #D</t>
  </si>
  <si>
    <t>Report Due Date</t>
  </si>
  <si>
    <t>Mark if target is TBD</t>
  </si>
  <si>
    <t>impact reference</t>
  </si>
  <si>
    <t>impact targets dispalmap ron no</t>
  </si>
  <si>
    <t>impact dispalmap ron no</t>
  </si>
  <si>
    <t>To get Rate Indicator Value</t>
  </si>
  <si>
    <t>HIV I-4 Number of AIDS-related deaths per 100,000 population</t>
  </si>
  <si>
    <t>RCHV&amp;HIV, RMIC, Electronic HIV Case Tracking System</t>
  </si>
  <si>
    <t>United Nations Development Programme</t>
  </si>
  <si>
    <t>Kyrgyzstan</t>
  </si>
  <si>
    <r>
      <t xml:space="preserve">Number of deaths attributed to HIV/AIDS-related causes in a given time period. 
</t>
    </r>
    <r>
      <rPr>
        <b/>
        <sz val="11"/>
        <rFont val="Arial"/>
        <family val="2"/>
        <charset val="204"/>
      </rPr>
      <t>Numerator</t>
    </r>
    <r>
      <rPr>
        <sz val="11"/>
        <rFont val="Arial"/>
        <family val="2"/>
      </rPr>
      <t xml:space="preserve">: Estimated number of deaths attributed to AIDS-related causes in a given time period, per 100,000 population. 
</t>
    </r>
    <r>
      <rPr>
        <b/>
        <sz val="11"/>
        <rFont val="Arial"/>
        <family val="2"/>
        <charset val="204"/>
      </rPr>
      <t>Denominator</t>
    </r>
    <r>
      <rPr>
        <sz val="11"/>
        <rFont val="Arial"/>
        <family val="2"/>
      </rPr>
      <t xml:space="preserve">: Total population in country (resident population), as per the National Statistic Committee.                                                                                   The absolute number of deaths in 2021 was 40, for the predicted number of deaths, the average for 2021 and 2022 was taken, which amounted to 45. </t>
    </r>
  </si>
  <si>
    <t>HIV I-9a⁽ᴹ⁾ Percentage of men who have sex with men who are living with HIV</t>
  </si>
  <si>
    <t>IBBS 2021 Kyrgyz Republic</t>
  </si>
  <si>
    <r>
      <t xml:space="preserve">As a baseline, the results of the 2021 IBBS are presented, weighted data only for the site of Bishkek, taking into account the size of the social network of respondents. So HIV prevalence among Bishkek MSM was 10.3%. RCHV&amp;HIV report "Biobehavioral study on HIV among people who inject drugs and men who have sex with men in the Kyrgyz Republic, 2021". </t>
    </r>
    <r>
      <rPr>
        <b/>
        <sz val="11"/>
        <rFont val="Arial"/>
        <family val="2"/>
        <charset val="204"/>
      </rPr>
      <t>Numerator</t>
    </r>
    <r>
      <rPr>
        <sz val="11"/>
        <rFont val="Arial"/>
        <family val="2"/>
      </rPr>
      <t xml:space="preserve">: Number of MSM who test positive for HIV </t>
    </r>
    <r>
      <rPr>
        <b/>
        <sz val="11"/>
        <rFont val="Arial"/>
        <family val="2"/>
        <charset val="204"/>
      </rPr>
      <t>Denominator</t>
    </r>
    <r>
      <rPr>
        <sz val="11"/>
        <rFont val="Arial"/>
        <family val="2"/>
      </rPr>
      <t>: Number of MSM tested for HIV</t>
    </r>
  </si>
  <si>
    <t>HIV I-10⁽ᴹ⁾ Percentage of sex workers who are living with HIV</t>
  </si>
  <si>
    <t>IBBS 2022 Kyrgyz Republic</t>
  </si>
  <si>
    <r>
      <t xml:space="preserve">As a baseline, the results of the 2022 IBBS are presented; the next IBBS among SW is planned in 2026. The data are preliminary, no final report has been submitted. </t>
    </r>
    <r>
      <rPr>
        <b/>
        <sz val="11"/>
        <rFont val="Arial"/>
        <family val="2"/>
        <charset val="204"/>
      </rPr>
      <t>Numerator</t>
    </r>
    <r>
      <rPr>
        <sz val="11"/>
        <rFont val="Arial"/>
        <family val="2"/>
      </rPr>
      <t xml:space="preserve">: Number of SW who test positive for HIV </t>
    </r>
    <r>
      <rPr>
        <b/>
        <sz val="11"/>
        <rFont val="Arial"/>
        <family val="2"/>
        <charset val="204"/>
      </rPr>
      <t>Denominator</t>
    </r>
    <r>
      <rPr>
        <sz val="11"/>
        <rFont val="Arial"/>
        <family val="2"/>
      </rPr>
      <t>: Number of SW tested for HIV</t>
    </r>
  </si>
  <si>
    <t>HIV I-9b⁽ᴹ⁾ Percentage of transgender people who are living with HIV</t>
  </si>
  <si>
    <r>
      <t xml:space="preserve">As a baseline, the results of the 2021 IBBS are presented, weighted by the size of the social network of respondents. RCHV&amp;HIV report "Biobehavioral HIV Research among Transgender People, Bishkek, 2021. </t>
    </r>
    <r>
      <rPr>
        <b/>
        <sz val="11"/>
        <rFont val="Arial"/>
        <family val="2"/>
        <charset val="204"/>
      </rPr>
      <t>Numerator</t>
    </r>
    <r>
      <rPr>
        <sz val="11"/>
        <rFont val="Arial"/>
        <family val="2"/>
      </rPr>
      <t xml:space="preserve">: Number of TG people who test positive for HIV </t>
    </r>
    <r>
      <rPr>
        <b/>
        <sz val="11"/>
        <rFont val="Arial"/>
        <family val="2"/>
        <charset val="204"/>
      </rPr>
      <t>Denominator</t>
    </r>
    <r>
      <rPr>
        <sz val="11"/>
        <rFont val="Arial"/>
        <family val="2"/>
      </rPr>
      <t>: Number of TG people tested for HIV</t>
    </r>
  </si>
  <si>
    <t>HIV I-11⁽ᴹ⁾ Percentage of people who inject drugs who are living with HIV</t>
  </si>
  <si>
    <r>
      <t xml:space="preserve">As a baseline, the results of the 2021 IBBS are presented, weighted by the size of the social network of respondents. RCHV&amp;HIV report "Biobehavioral HIV Research among Transgender People, Bishkek, 2021. </t>
    </r>
    <r>
      <rPr>
        <b/>
        <sz val="11"/>
        <rFont val="Arial"/>
        <family val="2"/>
        <charset val="204"/>
      </rPr>
      <t>Numerator</t>
    </r>
    <r>
      <rPr>
        <sz val="11"/>
        <rFont val="Arial"/>
        <family val="2"/>
      </rPr>
      <t xml:space="preserve">: Number of PWID people who test positive for HIV </t>
    </r>
    <r>
      <rPr>
        <b/>
        <sz val="11"/>
        <rFont val="Arial"/>
        <family val="2"/>
        <charset val="204"/>
      </rPr>
      <t>Denominato</t>
    </r>
    <r>
      <rPr>
        <sz val="11"/>
        <rFont val="Arial"/>
        <family val="2"/>
      </rPr>
      <t>r: Number of PWID tested for HIV</t>
    </r>
  </si>
  <si>
    <t>TB I-3⁽ᴹ⁾ TB mortality rate per 100,000 population</t>
  </si>
  <si>
    <t>The report of the National TB Center</t>
  </si>
  <si>
    <t xml:space="preserve">TB Mortality rate in Kyrgyzstan had stably decreased by 8-10% annually from 2001 till 2019. However, in 2020-2021 due to COVID-19 related impact it increased: 3.9 in 2020 and 3.8 in 2021. Striving to reach the 2025 End TB global milestone (75% reduction comparing to 2015), it is expected that the country will restore the gains of NTP and achieve declining the mortality  rate about 0.2-0.3 per 100 000 annually. Thus, the TB mortality rate will be about 2.7 in 2024, 2.5 in 2025, and 2.3 in 2026. </t>
  </si>
  <si>
    <t>TB I-4⁽ᴹ⁾ RR-TB and/or MDR-TB prevalence among new TB patients: Proportion of new TB patients with RR-TB and/or MDR-TB</t>
  </si>
  <si>
    <t xml:space="preserve">The proportion of RR/MDR TB cases among new TB Patients were about 26-27% in 2014-2018 and increased in 2019 - 29% because of the measures on improving the implementation of the diagnostic algorithm including using the GeneXpert as the test of the first choice. With the high FL DST coverage (94% new bacteriologically confirmed cases were tested for RR in 2021), proportion of RR/MDR TB among new TB cases consisted of 25,9%. It is expected that the proportion of RR/MDR TB cases among new cases will decline insignificantly: 24,5% in 2024, 24% - in 2025, 23.5% in 2026. 
The methodology of the data collection is based on the routine DST of the TB patients. The data reporting tool for this indicator relates to the quarterly TB 06 form, (Table 3). Numerator: Number of new TB cases with  RR-TB and or MDR-TBx100. Denominator: Total number of new TB cases with DST results\Xpert result.  Extrapulmonary resistant TB cases should be excluded. </t>
  </si>
  <si>
    <t>no. records to process</t>
  </si>
  <si>
    <t>Target N#</t>
  </si>
  <si>
    <t>cyclic number</t>
  </si>
  <si>
    <t>unique key</t>
  </si>
  <si>
    <t>row number</t>
  </si>
  <si>
    <t>impactIndicator number</t>
  </si>
  <si>
    <t>Target D#</t>
  </si>
  <si>
    <t>Mark if target is TBD?</t>
  </si>
  <si>
    <t>impIndResID</t>
  </si>
  <si>
    <t>impIndID</t>
  </si>
  <si>
    <t>Year of Target</t>
  </si>
  <si>
    <t>impIndRowNo</t>
  </si>
  <si>
    <t>Impact Data - Component - Indicator Reference</t>
  </si>
  <si>
    <t>Impact Outcome Reference (Name)</t>
  </si>
  <si>
    <t>Name</t>
  </si>
  <si>
    <t>Disaggregation Categories</t>
  </si>
  <si>
    <t>Unique Name-Not in use</t>
  </si>
  <si>
    <t>unique Id</t>
  </si>
  <si>
    <t>unique name list</t>
  </si>
  <si>
    <t>Component Indicator Reference ID</t>
  </si>
  <si>
    <t>Record Type (Name)</t>
  </si>
  <si>
    <t>Allocation Cycle (Name)</t>
  </si>
  <si>
    <t>Is Rate Indicator?</t>
  </si>
  <si>
    <t>Sort Order</t>
  </si>
  <si>
    <t>[Impact Outcome Reference (Name)]</t>
  </si>
  <si>
    <t>--Select--</t>
  </si>
  <si>
    <t>[Disaggregation Categories]</t>
  </si>
  <si>
    <t>[Component Indicator Reference ID]</t>
  </si>
  <si>
    <t>[Record Type (Name)]</t>
  </si>
  <si>
    <t>[Allocation Cycle (Name)]</t>
  </si>
  <si>
    <t>[Is Rate Indicator?]</t>
  </si>
  <si>
    <t>[Sort Order]</t>
  </si>
  <si>
    <t>IOR-00143</t>
  </si>
  <si>
    <t>HIV I-13 Percentage of people living with HIV</t>
  </si>
  <si>
    <t>Gender,Gender | Age,Age</t>
  </si>
  <si>
    <t>a1JDm000000k9bcMAA</t>
  </si>
  <si>
    <t>a3zDm000000GmbP</t>
  </si>
  <si>
    <t>Impact</t>
  </si>
  <si>
    <t>IOR-00144</t>
  </si>
  <si>
    <t>HIV I-14 Number of new HIV infections per 1000 uninfected population</t>
  </si>
  <si>
    <t>a1JDm000000k9bdMAA</t>
  </si>
  <si>
    <t>a3zDm000000GmbQ</t>
  </si>
  <si>
    <t>IOR-00145</t>
  </si>
  <si>
    <t>Gender,Age,Gender | Age</t>
  </si>
  <si>
    <t>a1JDm000000k9beMAA</t>
  </si>
  <si>
    <t>a3zDm000000GmbR</t>
  </si>
  <si>
    <t>IOR-00146</t>
  </si>
  <si>
    <t>HIV I-6 Estimated percentage of children newly infected with HIV from mother-to-child transmission among women living with HIV delivering in the past 12 months</t>
  </si>
  <si>
    <t>a1JDm000000k9bfMAA</t>
  </si>
  <si>
    <t>a3zDm000000GmbS</t>
  </si>
  <si>
    <t>IOR-00147</t>
  </si>
  <si>
    <t>Age</t>
  </si>
  <si>
    <t>a1JDm000000k9bgMAA</t>
  </si>
  <si>
    <t>a3zDm000000GmbT</t>
  </si>
  <si>
    <t>IOR-00148</t>
  </si>
  <si>
    <t>a1JDm000000k9bhMAA</t>
  </si>
  <si>
    <t>a3zDm000000GmbU</t>
  </si>
  <si>
    <t>IOR-00149</t>
  </si>
  <si>
    <t>Gender,Age</t>
  </si>
  <si>
    <t>a1JDm000000k9biMAA</t>
  </si>
  <si>
    <t>a3zDm000000GmbV</t>
  </si>
  <si>
    <t>IOR-00150</t>
  </si>
  <si>
    <t>a1JDm000000k9bjMAA</t>
  </si>
  <si>
    <t>a3zDm000000GmbW</t>
  </si>
  <si>
    <t>IOR-00151</t>
  </si>
  <si>
    <t>HIV I-12 Percentage of other vulnerable populations (specify) who are living with HIV</t>
  </si>
  <si>
    <t>a1JDm000000k9bkMAA</t>
  </si>
  <si>
    <t>a3zDm000000GmbX</t>
  </si>
  <si>
    <t>IOR-00152</t>
  </si>
  <si>
    <t>HIV I-15 Percentage of prisoners who are living with HIV</t>
  </si>
  <si>
    <t>a1JDm000000k9blMAA</t>
  </si>
  <si>
    <t>a3zDm000000GmbY</t>
  </si>
  <si>
    <t>IOR-00153</t>
  </si>
  <si>
    <t>HIV I-16 Prevalence of syphilis in specific key and vulnerable populations</t>
  </si>
  <si>
    <t>a1JDm000000k9bmMAA</t>
  </si>
  <si>
    <t>a3zDm000000GmbZ</t>
  </si>
  <si>
    <t>IOR-00157</t>
  </si>
  <si>
    <t>TB/HIV I-1 TB/HIV mortality rate per 100,000 population</t>
  </si>
  <si>
    <t>a1JDm000000k9bqMAA</t>
  </si>
  <si>
    <t>a3zDm000000Gmba</t>
  </si>
  <si>
    <t>IOR-00154</t>
  </si>
  <si>
    <t>TB I-2 TB incidence rate per 100,000 population</t>
  </si>
  <si>
    <t>a1JDm000000k9bnMAA</t>
  </si>
  <si>
    <t>a3zDm000000Gmcd</t>
  </si>
  <si>
    <t>IOR-00155</t>
  </si>
  <si>
    <t>a1JDm000000k9boMAA</t>
  </si>
  <si>
    <t>a3zDm000000Gmce</t>
  </si>
  <si>
    <t>IOR-00156</t>
  </si>
  <si>
    <t>a1JDm000000k9bpMAA</t>
  </si>
  <si>
    <t>a3zDm000000Gmcf</t>
  </si>
  <si>
    <t>a3zDm000000Gmcg</t>
  </si>
  <si>
    <t>Outcome Data - Component - Indicator Reference</t>
  </si>
  <si>
    <t>IOR-00170</t>
  </si>
  <si>
    <t>HIV O-10 Percentage of high risk AGYW (15-24) who say they used a condom the last time they had sex with a non-regular partner, of those who have had sex with such a partner in the last 12 months</t>
  </si>
  <si>
    <t>a1JDm000000k9c3MAA</t>
  </si>
  <si>
    <t>a3zDm000000Gmbb</t>
  </si>
  <si>
    <t>Outcome</t>
  </si>
  <si>
    <t>IOR-00171</t>
  </si>
  <si>
    <t>HIV O-4a⁽ᴹ⁾ Percentage of men reporting using a condom the last time they had anal sex with a male partner</t>
  </si>
  <si>
    <t>a1JDm000000k9c4MAA</t>
  </si>
  <si>
    <t>a3zDm000000Gmbc</t>
  </si>
  <si>
    <t>IOR-00172</t>
  </si>
  <si>
    <t>HIV O-4.1b⁽ᴹ⁾ Percentage of transgender people reporting using a condom during their most recent sexual intercourse or anal sex</t>
  </si>
  <si>
    <t>a1JDm000000k9c5MAA</t>
  </si>
  <si>
    <t>a3zDm000000Gmbd</t>
  </si>
  <si>
    <t>IOR-00173</t>
  </si>
  <si>
    <t>HIV O-5⁽ᴹ⁾ Percentage of sex workers reporting using a condom with their most recent client</t>
  </si>
  <si>
    <t>a1JDm000000k9c6MAA</t>
  </si>
  <si>
    <t>a3zDm000000Gmbe</t>
  </si>
  <si>
    <t>IOR-00174</t>
  </si>
  <si>
    <t>HIV O-6⁽ᴹ⁾ Percentage of people who inject drugs reporting using sterile injecting equipment the last time they injected</t>
  </si>
  <si>
    <t>a1JDm000000k9c7MAA</t>
  </si>
  <si>
    <t>a3zDm000000Gmbf</t>
  </si>
  <si>
    <t>IOR-00175</t>
  </si>
  <si>
    <t>HIV O-9 Percentage of people who inject drugs reporting using a condom the last time they had sexual intercourse</t>
  </si>
  <si>
    <t>a1JDm000000k9c8MAA</t>
  </si>
  <si>
    <t>a3zDm000000Gmbg</t>
  </si>
  <si>
    <t>IOR-00176</t>
  </si>
  <si>
    <t>HIV O-7 Percentage of other vulnerable populations who report the use of a condom at last sexual intercourse</t>
  </si>
  <si>
    <t>a1JDm000000k9c9MAA</t>
  </si>
  <si>
    <t>a3zDm000000Gmbh</t>
  </si>
  <si>
    <t>IOR-00177</t>
  </si>
  <si>
    <t>HIV O-11⁽ᴹ⁾ Percentage of people living with HIV who know their HIV status at the end of the reporting period</t>
  </si>
  <si>
    <t>Gender | Age,Age</t>
  </si>
  <si>
    <t>a1JDm000000k9cAMAQ</t>
  </si>
  <si>
    <t>a3zDm000000Gmbi</t>
  </si>
  <si>
    <t>IOR-00178</t>
  </si>
  <si>
    <t>HIV O-21 Percentage of people living with HIV reported on ART at the end of the last reporting period and newly initiating ART during the current reporting period who were not on ART at the end of current reporting period</t>
  </si>
  <si>
    <t>a1JDm000000k9cBMAQ</t>
  </si>
  <si>
    <t>a3zDm000000Gmbj</t>
  </si>
  <si>
    <t>IOR-00179</t>
  </si>
  <si>
    <t>HIV O-12 Percentage of people living with HIV and on ART who are virologically suppressed</t>
  </si>
  <si>
    <t>a1JDm000000k9cCMAQ</t>
  </si>
  <si>
    <t>a3zDm000000Gmbk</t>
  </si>
  <si>
    <t>IOR-00180</t>
  </si>
  <si>
    <t>HIV O-13 Percentage of ever-married or partnered women aged 15-49 who experienced physical or sexual violence from a male intimate partner in the past 12 months</t>
  </si>
  <si>
    <t>a1JDm000000k9cDMAQ</t>
  </si>
  <si>
    <t>a3zDm000000Gmbl</t>
  </si>
  <si>
    <t>IOR-00181</t>
  </si>
  <si>
    <t>HIV O-17 Percentage of people living with HIV who have experienced rights abuses in the last 12 months and have sought redress</t>
  </si>
  <si>
    <t>Gender,Target / Risk population group</t>
  </si>
  <si>
    <t>a1JDm000000k9cEMAQ</t>
  </si>
  <si>
    <t>a3zDm000000Gmbm</t>
  </si>
  <si>
    <t>IOR-00182</t>
  </si>
  <si>
    <t>HIV O-14 Percentage of women and men aged 15-49 who report discriminatory attitudes towards people living with HIV</t>
  </si>
  <si>
    <t>a1JDm000000k9cFMAQ</t>
  </si>
  <si>
    <t>a3zDm000000Gmbn</t>
  </si>
  <si>
    <t>IOR-00183</t>
  </si>
  <si>
    <t>HIV O-15 Percentage of people living with HIV who report experiences of HIV-related discrimination in health-care settings</t>
  </si>
  <si>
    <t>a1JDm000000k9cGMAQ</t>
  </si>
  <si>
    <t>a3zDm000000Gmbo</t>
  </si>
  <si>
    <t>IOR-00184</t>
  </si>
  <si>
    <t>HIV O-16a Percentage of men who have sex with men who avoid health care because of stigma and discrimination</t>
  </si>
  <si>
    <t>a1JDm000000k9cHMAQ</t>
  </si>
  <si>
    <t>a3zDm000000Gmbp</t>
  </si>
  <si>
    <t>IOR-00185</t>
  </si>
  <si>
    <t>HIV O-16b Percentage of transgender people who avoid health care because of stigma and discrimination</t>
  </si>
  <si>
    <t>a1JDm000000k9cIMAQ</t>
  </si>
  <si>
    <t>a3zDm000000Gmbq</t>
  </si>
  <si>
    <t>IOR-00186</t>
  </si>
  <si>
    <t>HIV O-16c Percentage of sex workers who avoid health care because of stigma and discrimination</t>
  </si>
  <si>
    <t>a1JDm000000k9cJMAQ</t>
  </si>
  <si>
    <t>a3zDm000000Gmbr</t>
  </si>
  <si>
    <t>IOR-00187</t>
  </si>
  <si>
    <t>HIV O-16d Percentage of people who inject drugs who avoid health care because of stigma and discrimination</t>
  </si>
  <si>
    <t>a1JDm000000k9cKMAQ</t>
  </si>
  <si>
    <t>a3zDm000000Gmbs</t>
  </si>
  <si>
    <t>IOR-00188</t>
  </si>
  <si>
    <t>HIV O-22 Percentage of adolescents avoiding HIV and SRH services due to stigma and discrimination</t>
  </si>
  <si>
    <t>a1JDm000000k9cLMAQ</t>
  </si>
  <si>
    <t>a3zDm000000Gmbt</t>
  </si>
  <si>
    <t>IOR-00189</t>
  </si>
  <si>
    <t>HIV O-26 Percentage of people living with HIV who report having experienced stigma and discrimination in the general community in the last 12 months</t>
  </si>
  <si>
    <t>a1JDm000000k9cMMAQ</t>
  </si>
  <si>
    <t>a3zDm000000Gmbu</t>
  </si>
  <si>
    <t>IOR-00190</t>
  </si>
  <si>
    <t>HIV O-27 Percentage of people living with HIV who report internalized stigma</t>
  </si>
  <si>
    <t>a1JDm000000k9cNMAQ</t>
  </si>
  <si>
    <t>a3zDm000000Gmbv</t>
  </si>
  <si>
    <t>IOR-00191</t>
  </si>
  <si>
    <t>HIV O-28a Percentage of MSM who report having experienced stigma and discrimination in the last 6 months</t>
  </si>
  <si>
    <t>a1JDm000000k9cOMAQ</t>
  </si>
  <si>
    <t>a3zDm000000Gmbw</t>
  </si>
  <si>
    <t>IOR-00192</t>
  </si>
  <si>
    <t>HIV O-28b Percentage of transgender people who report having experienced stigma and discrimination in the last 6 months</t>
  </si>
  <si>
    <t>a1JDm000000k9cPMAQ</t>
  </si>
  <si>
    <t>a3zDm000000Gmbx</t>
  </si>
  <si>
    <t>IOR-00193</t>
  </si>
  <si>
    <t>HIV O-28c Percentage of sex workers who report having experienced stigma and discrimination in the last 6 months</t>
  </si>
  <si>
    <t>a1JDm000000k9cQMAQ</t>
  </si>
  <si>
    <t>a3zDm000000Gmby</t>
  </si>
  <si>
    <t>IOR-00194</t>
  </si>
  <si>
    <t>HIV O-28d Percentage of people who inject drugs who report having experienced stigma and discrimination in the last 6 months</t>
  </si>
  <si>
    <t>a1JDm000000k9cRMAQ</t>
  </si>
  <si>
    <t>a3zDm000000Gmbz</t>
  </si>
  <si>
    <t>IOR-00195</t>
  </si>
  <si>
    <t>HIV O-23 Percentage of health workers who report negative attitudes towards key populations</t>
  </si>
  <si>
    <t>a1JDm000000k9cSMAQ</t>
  </si>
  <si>
    <t>a3zDm000000Gmc0</t>
  </si>
  <si>
    <t>IOR-00196</t>
  </si>
  <si>
    <t>HIV O-24 Percentage of health workers who report negative attitudes towards people living with HIV</t>
  </si>
  <si>
    <t>a1JDm000000k9cTMAQ</t>
  </si>
  <si>
    <t>a3zDm000000Gmc1</t>
  </si>
  <si>
    <t>IOR-00197</t>
  </si>
  <si>
    <t>HIV O-25 Percentage of law enforcement officers who report negative attitudes towards key populations</t>
  </si>
  <si>
    <t>a1JDm000000k9cUMAQ</t>
  </si>
  <si>
    <t>a3zDm000000Gmc2</t>
  </si>
  <si>
    <t>IOR-00217</t>
  </si>
  <si>
    <t>RSSH/PP O-1 Systems readiness index for CHWs</t>
  </si>
  <si>
    <t>a1JDm000000k9coMAA</t>
  </si>
  <si>
    <t>a3zDm000000Gmc3</t>
  </si>
  <si>
    <t>IOR-00218</t>
  </si>
  <si>
    <t>RSSH/PP O-2 Digital HMIS maturity profile score</t>
  </si>
  <si>
    <t>a1JDm000000k9cpMAA</t>
  </si>
  <si>
    <t>a3zDm000000Gmc4</t>
  </si>
  <si>
    <t>IOR-00219</t>
  </si>
  <si>
    <t>RSSH O-1 Percentage of facilities providing HIV, TB and malaria integrated services to pregnant women</t>
  </si>
  <si>
    <t>Facility level</t>
  </si>
  <si>
    <t>a1JDm000000k9cqMAA</t>
  </si>
  <si>
    <t>a3zDm000000Gmc5</t>
  </si>
  <si>
    <t>IOR-00220</t>
  </si>
  <si>
    <t>RSSH O-2 Percentage of population with large household expenditure on health as a share of total household expenditure or income (catastrophic spending on health)</t>
  </si>
  <si>
    <t>Household expenditure</t>
  </si>
  <si>
    <t>a1JDm000000k9crMAA</t>
  </si>
  <si>
    <t>a3zDm000000Gmc6</t>
  </si>
  <si>
    <t>IOR-00221</t>
  </si>
  <si>
    <t>RSSH O-3 On-shelf availability: Percentage of facilities with tracer health products for the three diseases - HIV, TB, malaria (as applicable) available on the day of the visit or day of reporting</t>
  </si>
  <si>
    <t>Provider type</t>
  </si>
  <si>
    <t>a1JDm000000k9csMAA</t>
  </si>
  <si>
    <t>a3zDm000000Gmc7</t>
  </si>
  <si>
    <t>IOR-00222</t>
  </si>
  <si>
    <t>RSSH O-4 Maturity level of the national medical products regulatory system</t>
  </si>
  <si>
    <t>Regulatory functions</t>
  </si>
  <si>
    <t>a1JDm000000k9ctMAA</t>
  </si>
  <si>
    <t>a3zDm000000Gmc8</t>
  </si>
  <si>
    <t>a3zDm000000Gmcu</t>
  </si>
  <si>
    <t>a3zDm000000Gmcv</t>
  </si>
  <si>
    <t>a3zDm000000Gmcw</t>
  </si>
  <si>
    <t>a3zDm000000Gmcx</t>
  </si>
  <si>
    <t>a3zDm000000Gmcy</t>
  </si>
  <si>
    <t>a3zDm000000Gmcz</t>
  </si>
  <si>
    <t>IOR-00198</t>
  </si>
  <si>
    <t>TB O-5⁽ᴹ⁾ TB treatment coverage: Percentage of patients with new and relapse TB that were notified and treated among the estimated number of incident TB in the same year (all forms of TB - bacteriologically confirmed plus clinically diagnosed</t>
  </si>
  <si>
    <t>a1JDm000000k9cVMAQ</t>
  </si>
  <si>
    <t>a3zDm000000Gmch</t>
  </si>
  <si>
    <t>IOR-00199</t>
  </si>
  <si>
    <t>TB O-2a Treatment success rate of all forms of TB - bacteriologically confirmed plus clinically diagnosed, new and relapse</t>
  </si>
  <si>
    <t>a1JDm000000k9cWMAQ</t>
  </si>
  <si>
    <t>a3zDm000000Gmci</t>
  </si>
  <si>
    <t>IOR-00200</t>
  </si>
  <si>
    <t>TB O-6 Treatment coverage of RR-TB and/or MDR-TB: Percentage of notified people with bacteriologically confirmed, drug resistant RR-TB and/or MDR-TB as a proportion of all estimated people with RR-TB and/or MDR-TB</t>
  </si>
  <si>
    <t>a1JDm000000k9cXMAQ</t>
  </si>
  <si>
    <t>a3zDm000000Gmcj</t>
  </si>
  <si>
    <t>IOR-00201</t>
  </si>
  <si>
    <t>TB O-4⁽ᴹ⁾ Treatment success rate of RR-TB and/or MDR-TB: Percentage of patients with RR and/or MDR-TB successfully treated</t>
  </si>
  <si>
    <t>a1JDm000000k9cYMAQ</t>
  </si>
  <si>
    <t>a3zDm000000Gmck</t>
  </si>
  <si>
    <t>IOR-00202</t>
  </si>
  <si>
    <t>TB O-7 Percentage of people diagnosed with TB who experienced self-stigma that inhibited them from seeking and accessing TB services</t>
  </si>
  <si>
    <t>a1JDm000000k9cZMAQ</t>
  </si>
  <si>
    <t>a3zDm000000Gmcl</t>
  </si>
  <si>
    <t>IOR-00203</t>
  </si>
  <si>
    <t>TB O-8 Percentage of people diagnosed with TB who report stigma in health care settings that inhibited them from seeking and accessing TB services</t>
  </si>
  <si>
    <t>a1JDm000000k9caMAA</t>
  </si>
  <si>
    <t>a3zDm000000Gmcm</t>
  </si>
  <si>
    <t>IOR-00204</t>
  </si>
  <si>
    <t>TB O-9 Percentage of people diagnosed with TB who report stigma in community settings that inhibited them from seeking and accessing TB services</t>
  </si>
  <si>
    <t>a1JDm000000k9cbMAA</t>
  </si>
  <si>
    <t>a3zDm000000Gmcn</t>
  </si>
  <si>
    <t>a3zDm000000Gmco</t>
  </si>
  <si>
    <t>a3zDm000000Gmcp</t>
  </si>
  <si>
    <t>a3zDm000000Gmcq</t>
  </si>
  <si>
    <t>a3zDm000000Gmcr</t>
  </si>
  <si>
    <t>a3zDm000000Gmcs</t>
  </si>
  <si>
    <t>a3zDm000000Gmct</t>
  </si>
  <si>
    <t>Coverage Data - Module-Coverage-Intervention Reference</t>
  </si>
  <si>
    <t>Module</t>
  </si>
  <si>
    <t>Name ID</t>
  </si>
  <si>
    <t>Column1</t>
  </si>
  <si>
    <t>Column2</t>
  </si>
  <si>
    <t>Column3</t>
  </si>
  <si>
    <t>Soft Delete</t>
  </si>
  <si>
    <t>Cumulation Type</t>
  </si>
  <si>
    <t>Reversed Indicator</t>
  </si>
  <si>
    <t>[Module (Name)]</t>
  </si>
  <si>
    <t>[Name ID]</t>
  </si>
  <si>
    <t>[Soft Delete]</t>
  </si>
  <si>
    <t>[Cumulation Type]</t>
  </si>
  <si>
    <t>[Reversed Indicator]</t>
  </si>
  <si>
    <t>MCI-01296</t>
  </si>
  <si>
    <t>MCI-01623</t>
  </si>
  <si>
    <t>KP-1a⁽ᴹ⁾ Percentage of men who have sex with men reached with HIV prevention programs - defined package of services</t>
  </si>
  <si>
    <t>a1ODm000000GnzaMAC</t>
  </si>
  <si>
    <t>true</t>
  </si>
  <si>
    <t>Non cumulative;Non cumulative – other;Non cumulative - special</t>
  </si>
  <si>
    <t>MCI-01624</t>
  </si>
  <si>
    <t>KP-6a Number of MSM who received any PrEP product at least once during the reporting period</t>
  </si>
  <si>
    <t>PrEP product,Age</t>
  </si>
  <si>
    <t>a1ODm000000GnzbMAC</t>
  </si>
  <si>
    <t>MCI-01625</t>
  </si>
  <si>
    <t>KP-7a Percentage of MSM tested for STIs during the reporting period</t>
  </si>
  <si>
    <t>STI,Age</t>
  </si>
  <si>
    <t>a1ODm000000GnzcMAC</t>
  </si>
  <si>
    <t>MCI-01297</t>
  </si>
  <si>
    <t>MCI-01521</t>
  </si>
  <si>
    <t>KP-1c⁽ᴹ⁾ Percentage of sex workers reached with HIV prevention programs - defined package of services</t>
  </si>
  <si>
    <t>Age,Gender</t>
  </si>
  <si>
    <t>a1ODm000000GnxwMAC</t>
  </si>
  <si>
    <t>MCI-01522</t>
  </si>
  <si>
    <t>KP-6c Number of sex workers who received any PrEP product at least once during the reporting period</t>
  </si>
  <si>
    <t>Gender,PrEP product,Age</t>
  </si>
  <si>
    <t>a1ODm000000GnxxMAC</t>
  </si>
  <si>
    <t>MCI-01523</t>
  </si>
  <si>
    <t>KP-7c Percentage of sex workers tested for STIs during the reporting period</t>
  </si>
  <si>
    <t>STI,Gender,Age</t>
  </si>
  <si>
    <t>a1ODm000000GnxyMAC</t>
  </si>
  <si>
    <t>MCI-01298</t>
  </si>
  <si>
    <t>MCI-01609</t>
  </si>
  <si>
    <t>KP-1b⁽ᴹ⁾ Percentage of transgender people reached with HIV prevention programs - defined package of services</t>
  </si>
  <si>
    <t>a1ODm000000GnzMMAS</t>
  </si>
  <si>
    <t>MCI-01610</t>
  </si>
  <si>
    <t>KP-6b Number of transgender people who received any PrEP product at least once during the reporting period</t>
  </si>
  <si>
    <t>Gender,Age,PrEP product</t>
  </si>
  <si>
    <t>a1ODm000000GnzNMAS</t>
  </si>
  <si>
    <t>MCI-01611</t>
  </si>
  <si>
    <t>KP-7b Percentage of transgender people tested for STIs during the reporting period</t>
  </si>
  <si>
    <t>Age,Gender,STI</t>
  </si>
  <si>
    <t>a1ODm000000GnzOMAS</t>
  </si>
  <si>
    <t>MCI-01299</t>
  </si>
  <si>
    <t>MCI-01524</t>
  </si>
  <si>
    <t>KP-1d⁽ᴹ⁾ Percentage of people who inject drugs reached with HIV prevention programs - defined package of services</t>
  </si>
  <si>
    <t>a1ODm000000GnxzMAC</t>
  </si>
  <si>
    <t>MCI-01525</t>
  </si>
  <si>
    <t>KP-4 Number of needles and syringes distributed per person who injects drugs per year by needle and syringe programs</t>
  </si>
  <si>
    <t>a1ODm000000Gny0MAC</t>
  </si>
  <si>
    <t>MCI-01526</t>
  </si>
  <si>
    <t>KP-5 Percentage of individuals receiving opioid substitution therapy who received treatment for at least 6 months</t>
  </si>
  <si>
    <t>a1ODm000000Gny1MAC</t>
  </si>
  <si>
    <t>MCI-01527</t>
  </si>
  <si>
    <t>KP-6d Number of PWID who received any PrEP product at least once during the reporting period</t>
  </si>
  <si>
    <t>PrEP product,Gender,Age</t>
  </si>
  <si>
    <t>a1ODm000000Gny2MAC</t>
  </si>
  <si>
    <t>MCI-01528</t>
  </si>
  <si>
    <t>KP-8 Percentage of people who inject drugs receiving opioid substitution therapy</t>
  </si>
  <si>
    <t>a1ODm000000Gny3MAC</t>
  </si>
  <si>
    <t>MCI-01300</t>
  </si>
  <si>
    <t>MCI-01612</t>
  </si>
  <si>
    <t>KP-1f⁽ᴹ⁾ Number of people in prisons and other closed settings reached with HIV prevention programs - defined package of services</t>
  </si>
  <si>
    <t>a1ODm000000GnzPMAS</t>
  </si>
  <si>
    <t>MCI-01301</t>
  </si>
  <si>
    <t>MCI-01529</t>
  </si>
  <si>
    <t>KP-1e Percentage of other vulnerable populations reached with HIV prevention programs - defined package of services</t>
  </si>
  <si>
    <t>a1ODm000000Gny4MAC</t>
  </si>
  <si>
    <t>MCI-01302</t>
  </si>
  <si>
    <t>MCI-01639</t>
  </si>
  <si>
    <t>YP-2 Percentage of high-risk adolescent girls and young women reached with HIV prevention programs - defined package of services</t>
  </si>
  <si>
    <t>a1ODm000000GnzqMAC</t>
  </si>
  <si>
    <t>MCI-01640</t>
  </si>
  <si>
    <t>YP-4 Number of high-risk adolescent girls and young women who received any PrEP product at least once during the reporting period</t>
  </si>
  <si>
    <t>a1ODm000000GnzrMAC</t>
  </si>
  <si>
    <t>MCI-01641</t>
  </si>
  <si>
    <t>YP-5 Percentage of high-risk adolescent girls and young women tested for STIs during the reporting period</t>
  </si>
  <si>
    <t>a1ODm000000GnzsMAC</t>
  </si>
  <si>
    <t>MCI-01642</t>
  </si>
  <si>
    <t>YP-6 Number of medical male circumcisions performed according to national standards</t>
  </si>
  <si>
    <t>a1ODm000000GnztMAC</t>
  </si>
  <si>
    <t>MCI-01304</t>
  </si>
  <si>
    <t>MCI-01530</t>
  </si>
  <si>
    <t>VT-1 Percentage of pregnant women who know their HIV status</t>
  </si>
  <si>
    <t>HIV status</t>
  </si>
  <si>
    <t>a1ODm000000Gny5MAC</t>
  </si>
  <si>
    <t>MCI-01531</t>
  </si>
  <si>
    <t>VT-2 Percentage of HIV-exposed infants receiving a virological test for HIV within 2 months of birth</t>
  </si>
  <si>
    <t>a1ODm000000Gny6MAC</t>
  </si>
  <si>
    <t>MCI-01532</t>
  </si>
  <si>
    <t>VT-3 Percentage of women accessing antenatal care services who were tested for syphilis</t>
  </si>
  <si>
    <t>a1ODm000000Gny7MAC</t>
  </si>
  <si>
    <t>MCI-01305</t>
  </si>
  <si>
    <t>MCI-01613</t>
  </si>
  <si>
    <t>HTS-2 Percentage of high risk AGYW that have received an HIV test during the reporting period in AGYW programs</t>
  </si>
  <si>
    <t>a1ODm000000GnzQMAS</t>
  </si>
  <si>
    <t>MCI-01614</t>
  </si>
  <si>
    <t>HTS-3a⁽ᴹ⁾ Percentage of MSM that have received an HIV test during the reporting period in KP-specific programs and know their results</t>
  </si>
  <si>
    <t>a1ODm000000GnzRMAS</t>
  </si>
  <si>
    <t>MCI-01615</t>
  </si>
  <si>
    <t>HTS-3b⁽ᴹ⁾ Percentage of TG that have received an HIV test during the reporting period in KP-specific programs and know their results</t>
  </si>
  <si>
    <t>a1ODm000000GnzSMAS</t>
  </si>
  <si>
    <t>MCI-01616</t>
  </si>
  <si>
    <t>HTS-3c⁽ᴹ⁾ Percentage of sex workers that have received an HIV test during the reporting period in KP-specific programs and know their results</t>
  </si>
  <si>
    <t>a1ODm000000GnzTMAS</t>
  </si>
  <si>
    <t>MCI-01617</t>
  </si>
  <si>
    <t>HTS-3d⁽ᴹ⁾ Percentage of people who inject drugs that have received an HIV test during the reporting period in KP-specific programs and know their results</t>
  </si>
  <si>
    <t>a1ODm000000GnzUMAS</t>
  </si>
  <si>
    <t>MCI-01618</t>
  </si>
  <si>
    <t>HTS-3e Percentage of other vulnerable populations that have received an HIV test during the reporting period and know their results</t>
  </si>
  <si>
    <t>a1ODm000000GnzVMAS</t>
  </si>
  <si>
    <t>MCI-01619</t>
  </si>
  <si>
    <t>HTS-3f⁽ᴹ⁾ Number of people in prisons and other closed settings that have received an HIV test during the reporting period and know their results</t>
  </si>
  <si>
    <t>Gender</t>
  </si>
  <si>
    <t>a1ODm000000GnzWMAS</t>
  </si>
  <si>
    <t>MCI-01620</t>
  </si>
  <si>
    <t>HTS-4 Percentage of HIV-positive results among the total HIV tests performed during the reporting period</t>
  </si>
  <si>
    <t>Age,Gender | Age</t>
  </si>
  <si>
    <t>a1ODm000000GnzXMAS</t>
  </si>
  <si>
    <t>MCI-01621</t>
  </si>
  <si>
    <t>HTS-5 Percentage of people newly diagnosed with HIV initiated on ART</t>
  </si>
  <si>
    <t>a1ODm000000GnzYMAS</t>
  </si>
  <si>
    <t>MCI-01622</t>
  </si>
  <si>
    <t>HTS-6 Number of individual HIV self-test kits distributed</t>
  </si>
  <si>
    <t>a1ODm000000GnzZMAS</t>
  </si>
  <si>
    <t>MCI-01306</t>
  </si>
  <si>
    <t>MCI-01533</t>
  </si>
  <si>
    <t>TCS-1.1⁽ᴹ⁾ Percentage of people on ART among all people living with HIV at the end of the reporting period</t>
  </si>
  <si>
    <t>a1ODm000000Gny8MAC</t>
  </si>
  <si>
    <t>MCI-01534</t>
  </si>
  <si>
    <t>TCS-1b⁽ᴹ⁾ Percentage of adults (15 and above) on ART among all adults living with HIV at the end of the reporting period</t>
  </si>
  <si>
    <t>a1ODm000000Gny9MAC</t>
  </si>
  <si>
    <t>MCI-01535</t>
  </si>
  <si>
    <t>TCS-1c⁽ᴹ⁾ Percentage of children (under 15) on ART among all children living with HIV at the end of the reporting period</t>
  </si>
  <si>
    <t>a1ODm000000GnyAMAS</t>
  </si>
  <si>
    <t>MCI-01536</t>
  </si>
  <si>
    <t>TCS-8 Percentage of people living with HIV and on ART with viral load test result</t>
  </si>
  <si>
    <t>a1ODm000000GnyBMAS</t>
  </si>
  <si>
    <t>MCI-01537</t>
  </si>
  <si>
    <t>TCS-9 Percentage of people living with HIV and currently on antiretroviral therapy who are receiving multi month dispensing of antiretroviral medicine</t>
  </si>
  <si>
    <t>a1ODm000000GnyCMAS</t>
  </si>
  <si>
    <t>MCI-01538</t>
  </si>
  <si>
    <t>TCS-10 Percentage of pregnant women living with HIV who received antiretroviral medicine to reduce the risk of vertical transmission of HIV</t>
  </si>
  <si>
    <t>a1ODm000000GnyDMAS</t>
  </si>
  <si>
    <t>MCI-01308</t>
  </si>
  <si>
    <t>MCI-01539</t>
  </si>
  <si>
    <t>TBDT-1⁽ᴹ⁾ Number of patients with of all forms of TB notified (i.e., bacteriologically confirmed + clinically diagnosed); *includes only those with new and relapse TB</t>
  </si>
  <si>
    <t>HIV status,Gender,TB case definition,Age</t>
  </si>
  <si>
    <t>a1ODm000000GnyEMAS</t>
  </si>
  <si>
    <t>MCI-01540</t>
  </si>
  <si>
    <t>TBDT-3a Percentage of notified patients with all forms of TB (i.e., bacteriologically confirmed + clinically diagnosed) contributed by non-national TB program providers- private/non-governmental facilities; *includes only those with new and relapse TB</t>
  </si>
  <si>
    <t>Private facility type,TB case definition</t>
  </si>
  <si>
    <t>a1ODm000000GnyFMAS</t>
  </si>
  <si>
    <t>MCI-01541</t>
  </si>
  <si>
    <t>TBDT-3b Percentage of notified patients with of all forms of TB (i.e., bacteriologically confirmed + clinically diagnosed) contributed by non-national TB program providers- public sector; *includes only those with new and relapse TB</t>
  </si>
  <si>
    <t>a1ODm000000GnyGMAS</t>
  </si>
  <si>
    <t>MCI-01542</t>
  </si>
  <si>
    <t>TBDT-3c Percentage of notified patients with all forms of TB (i.e., bacteriologically confirmed + clinically diagnosed) contributed by non-national TB program providers- community referrals; *includes only those with new and relapse TB</t>
  </si>
  <si>
    <t>a1ODm000000GnyHMAS</t>
  </si>
  <si>
    <t>MCI-01543</t>
  </si>
  <si>
    <t>TBDT-4⁽ᴹ⁾ Percentage of new and relapse TB patients tested using WHO recommended rapid diagnostic tests at the time of diagnosis</t>
  </si>
  <si>
    <t>a1ODm000000GnyIMAS</t>
  </si>
  <si>
    <t>MCI-01544</t>
  </si>
  <si>
    <t>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t>
  </si>
  <si>
    <t>HIV status,Gender,Age</t>
  </si>
  <si>
    <t>a1ODm000000GnyJMAS</t>
  </si>
  <si>
    <t>MCI-01309</t>
  </si>
  <si>
    <t>MCI-01550</t>
  </si>
  <si>
    <t>DRTB-2⁽ᴹ⁾ Number of people with confirmed RR-TB and/or MDR-TB notified</t>
  </si>
  <si>
    <t>a1ODm000000GnyPMAS</t>
  </si>
  <si>
    <t>MCI-01551</t>
  </si>
  <si>
    <t>DRTB-3⁽ᴹ⁾ Percentage of people with confirmed RR-TB and/or MDR-TB that began second-line treatment</t>
  </si>
  <si>
    <t>Treatment regimen,Gender,Age</t>
  </si>
  <si>
    <t>a1ODm000000GnyQMAS</t>
  </si>
  <si>
    <t>MCI-01552</t>
  </si>
  <si>
    <t>DRTB-4 Percentage of people with RR-TB/MDR-TB who did not start treatment and/or started on treatment for MDR-TB who were lost to follow up during the first six months of treatment</t>
  </si>
  <si>
    <t>a1ODm000000GnyRMAS</t>
  </si>
  <si>
    <t>MCI-01553</t>
  </si>
  <si>
    <t>DRTB-6 Percentage of TB patients with DST result for at least Rifampicin among the total number of notified (new and retreatment) patients during the reporting period</t>
  </si>
  <si>
    <t>a1ODm000000GnySMAS</t>
  </si>
  <si>
    <t>MCI-01554</t>
  </si>
  <si>
    <t>DRTB-5 Percentage of TB patients with DST result for Isoniazid among the total number of notified people with TB (new and retreatment) during the reporting period</t>
  </si>
  <si>
    <t>a1ODm000000GnyTMAS</t>
  </si>
  <si>
    <t>MCI-01555</t>
  </si>
  <si>
    <t>DRTB-7 Percentage of RR/MDR-TB patients with DST results for Fluoroquinolone among the total number of notified RR/MDR-TB patients during the reporting period</t>
  </si>
  <si>
    <t>a1ODm000000GnyUMAS</t>
  </si>
  <si>
    <t>MCI-01556</t>
  </si>
  <si>
    <t>DRTB-11 Percentage of pre-XDR TB patients with DST results for Group A drugs, other than fluoroquinolones, among the total number of notified Pre-XDR TB patients (new and retreatment) during the reporting period</t>
  </si>
  <si>
    <t>a1ODm000000GnyVMAS</t>
  </si>
  <si>
    <t>MCI-01557</t>
  </si>
  <si>
    <t>DRTB-8 Number of people with pre-XDR/XDR TB enrolled on treatment</t>
  </si>
  <si>
    <t>a1ODm000000GnyWMAS</t>
  </si>
  <si>
    <t>MCI-01558</t>
  </si>
  <si>
    <t>DRTB-1 Percentage of DST laboratories showing adequate performance on External Quality Assurance</t>
  </si>
  <si>
    <t>a1ODm000000GnyXMAS</t>
  </si>
  <si>
    <t>Non cumulative – other;Non cumulative - special</t>
  </si>
  <si>
    <t>MCI-01559</t>
  </si>
  <si>
    <t>DRTB-9 Treatment success rate of RR-TB and/or MDR-TB: Percentage of patients with RR and/or MDR-TB successfully treated</t>
  </si>
  <si>
    <t>HIV status,Treatment regimen,Gender,Provider type,Age</t>
  </si>
  <si>
    <t>a1ODm000000GnyYMAS</t>
  </si>
  <si>
    <t>MCI-01560</t>
  </si>
  <si>
    <t>DRTB-10 Treatment Success Rate (TSR) for pre-XDR/XDR-TB: Percentage of bacteriologically confirmed pre-XDR/XDR-TB patients enrolled on treatment successfully treated</t>
  </si>
  <si>
    <t>a1ODm000000GnyZMAS</t>
  </si>
  <si>
    <t>MCI-01310</t>
  </si>
  <si>
    <t>MCI-01636</t>
  </si>
  <si>
    <t>TBP-1⁽ᴹ⁾ Number of people in contact with TB patients who began preventive therapy</t>
  </si>
  <si>
    <t>HIV status,Provider type,Age,TPT regimen</t>
  </si>
  <si>
    <t>a1ODm000000GnznMAC</t>
  </si>
  <si>
    <t>MCI-01637</t>
  </si>
  <si>
    <t>TBP-2 Percentage of people who completed TPT out of those who initiated TB preventive treatment</t>
  </si>
  <si>
    <t>a1ODm000000GnzoMAC</t>
  </si>
  <si>
    <t>MCI-01638</t>
  </si>
  <si>
    <t>TBP-3 Contact investigation coverage: Proportion of contacts of people with bacteriologically confirmed TB evaluated for TB among those eligible</t>
  </si>
  <si>
    <t>a1ODm000000GnzpMAC</t>
  </si>
  <si>
    <t>MCI-01311</t>
  </si>
  <si>
    <t>MCI-01633</t>
  </si>
  <si>
    <t>TBC-1 Treatment Success Rate in private sector: Percentage of TB patients (all forms) bacteriologically confirmed plus clinically diagnosed, successfully treated in the private sector</t>
  </si>
  <si>
    <t>a1ODm000000GnzkMAC</t>
  </si>
  <si>
    <t>MCI-01312</t>
  </si>
  <si>
    <t>MCI-01634</t>
  </si>
  <si>
    <t>KVP-1 Number of people with TB (all forms) notified among prisoners; *includes only those with new and relapse TB</t>
  </si>
  <si>
    <t>a1ODm000000GnzlMAC</t>
  </si>
  <si>
    <t>MCI-01635</t>
  </si>
  <si>
    <t>KVP-2 Number of people with TB (all forms) notified among key affected populations/high risk groups (other than prisoners); *includes only those with new and relapse</t>
  </si>
  <si>
    <t>a1ODm000000GnzmMAC</t>
  </si>
  <si>
    <t>MCI-01313</t>
  </si>
  <si>
    <t>MCI-01545</t>
  </si>
  <si>
    <t>TB/HIV-3.1a Percentage of people living with HIV newly initiated on ART who were screened for TB</t>
  </si>
  <si>
    <t>a1ODm000000GnyKMAS</t>
  </si>
  <si>
    <t>MCI-01546</t>
  </si>
  <si>
    <t>TB/HIV-5 Percentage of registered new and relapse TB patients with documented HIV status</t>
  </si>
  <si>
    <t>Gender,HIV status,Age</t>
  </si>
  <si>
    <t>a1ODm000000GnyLMAS</t>
  </si>
  <si>
    <t>MCI-01547</t>
  </si>
  <si>
    <t>TB/HIV-6⁽ᴹ⁾ Percentage of HIV-positive new and relapse TB patients on ART during TB treatment</t>
  </si>
  <si>
    <t>a1ODm000000GnyMMAS</t>
  </si>
  <si>
    <t>MCI-01548</t>
  </si>
  <si>
    <t>TB/HIV-7.1 Percentage of people living with HIV currently enrolled on antiretroviral therapy who started TB preventive treatment (TPT) during the reporting period</t>
  </si>
  <si>
    <t>Gender,TPT regimen,Age</t>
  </si>
  <si>
    <t>a1ODm000000GnyNMAS</t>
  </si>
  <si>
    <t>MCI-01549</t>
  </si>
  <si>
    <t>TB/HIV-8 Treatment Success Rate for HIV-positive TB patients: Percentage of HIV-positive TB patients, all forms, bacteriologically confirmed plus clinically diagnosed, successfully treated among all HIV-positive TB patients notified during a specified period; *includes only those with new and relapse TB</t>
  </si>
  <si>
    <t>a1ODm000000GnyOMAS</t>
  </si>
  <si>
    <t>MCI-01320</t>
  </si>
  <si>
    <t>MCI-01626</t>
  </si>
  <si>
    <t>HSG-1.1 Percentage of facilities with written and updated clinical guidelines for HIV, TB, malaria and/or PHC (based on the services provided) developed by the national or sub-national government (as appropriate by the country context)</t>
  </si>
  <si>
    <t>a1ODm000000GnzdMAC</t>
  </si>
  <si>
    <t>MCI-01321</t>
  </si>
  <si>
    <t>MCI-01598</t>
  </si>
  <si>
    <t>CSS-2 Number of community organizations that received a pre-defined package of training</t>
  </si>
  <si>
    <t>Organization type,Community-led organization type</t>
  </si>
  <si>
    <t>a1ODm000000GnzBMAS</t>
  </si>
  <si>
    <t>MCI-01599</t>
  </si>
  <si>
    <t>CSS-3 Percentage of health service delivery sites with a community-led monitoring mechanism in place</t>
  </si>
  <si>
    <t>CLM mechanism type</t>
  </si>
  <si>
    <t>a1ODm000000GnzCMAS</t>
  </si>
  <si>
    <t>MCI-01322</t>
  </si>
  <si>
    <t>MCI-01592</t>
  </si>
  <si>
    <t>HFS-1 Percentage of public financial management system components used for grant financial management</t>
  </si>
  <si>
    <t>a1ODm000000Gnz5MAC</t>
  </si>
  <si>
    <t>MCI-01593</t>
  </si>
  <si>
    <t>HFS-2 Percentage of the government budget allocated to health</t>
  </si>
  <si>
    <t>Source of financing,Level of government</t>
  </si>
  <si>
    <t>a1ODm000000Gnz6MAC</t>
  </si>
  <si>
    <t>MCI-01594</t>
  </si>
  <si>
    <t>HFS-3 Percentage execution of the government budget allocated to health</t>
  </si>
  <si>
    <t>a1ODm000000Gnz7MAC</t>
  </si>
  <si>
    <t>MCI-01595</t>
  </si>
  <si>
    <t>HFS-4 Percentage of population covered by financial risk protection schemes</t>
  </si>
  <si>
    <t>Scheme type,Target / Risk population group</t>
  </si>
  <si>
    <t>a1ODm000000Gnz8MAC</t>
  </si>
  <si>
    <t>MCI-01596</t>
  </si>
  <si>
    <t>HFS-5 Percentage of civil society organizations contracted by public entities for provision of community-based services to key populations</t>
  </si>
  <si>
    <t>Source of financing,Disease/program,Target / Risk population group</t>
  </si>
  <si>
    <t>a1ODm000000Gnz9MAC</t>
  </si>
  <si>
    <t>MCI-01597</t>
  </si>
  <si>
    <t>HFS-6 Percentage of healthcare facilities having performance-based contracts with public entities</t>
  </si>
  <si>
    <t>Level of care,Provider type</t>
  </si>
  <si>
    <t>a1ODm000000GnzAMAS</t>
  </si>
  <si>
    <t>MCI-01323</t>
  </si>
  <si>
    <t>MCI-01589</t>
  </si>
  <si>
    <t>HPM-1 LMIS Reporting Rate - Percentage of all health facilities that are required to report that submit an LMIS report to central authority</t>
  </si>
  <si>
    <t>a1ODm000000Gnz2MAC</t>
  </si>
  <si>
    <t>MCI-01590</t>
  </si>
  <si>
    <t>HPM-2 Upstream OTIF (non-PPM*): Percentage of shipments for products that account for 75% of the non-PPM annual health products budget that are delivered to the warehouse on-time and in-full among the total number of shipments expected in the period</t>
  </si>
  <si>
    <t>a1ODm000000Gnz3MAC</t>
  </si>
  <si>
    <t>MCI-01591</t>
  </si>
  <si>
    <t>HPM-3 Procurement administrative lead time (PALT): Percentage of planned procurements for products that account for 75% of the non-PPM annual health products budget with time intervals within the limits of PR procurement rules and regulations</t>
  </si>
  <si>
    <t>a1ODm000000Gnz4MAC</t>
  </si>
  <si>
    <t>MCI-01324</t>
  </si>
  <si>
    <t>MCI-01582</t>
  </si>
  <si>
    <t>RSSH/PP HRH-1 Vacancy rate: Ratio of unfilled posts to total number of posts</t>
  </si>
  <si>
    <t>Occupation group</t>
  </si>
  <si>
    <t>a1ODm000000GnyvMAC</t>
  </si>
  <si>
    <t>MCI-01583</t>
  </si>
  <si>
    <t>RSSH/PP HRH-2 Density of active health workers per 10,000 population</t>
  </si>
  <si>
    <t>a1ODm000000GnywMAC</t>
  </si>
  <si>
    <t>MCI-01584</t>
  </si>
  <si>
    <t>RSSH/PP HRH-3 Percentage of community health workers remunerated on time and in-full (as per their contract) every month during the reporting period</t>
  </si>
  <si>
    <t>CHW attachment,Gender</t>
  </si>
  <si>
    <t>a1ODm000000GnyxMAC</t>
  </si>
  <si>
    <t>MCI-01585</t>
  </si>
  <si>
    <t>RSSH/PP HRH-4 Percentage of community health workers providing high quality HIV, TB and malaria services</t>
  </si>
  <si>
    <t>a1ODm000000GnyyMAC</t>
  </si>
  <si>
    <t>MCI-01586</t>
  </si>
  <si>
    <t>RSSH/PP HRH-5 Percentage of facilities that implement supportive supervision (meeting all key attributes)</t>
  </si>
  <si>
    <t>a1ODm000000GnyzMAC</t>
  </si>
  <si>
    <t>MCI-01587</t>
  </si>
  <si>
    <t>RSSH/PP HRH-6 Percentage of facilities providing effective services</t>
  </si>
  <si>
    <t>a1ODm000000Gnz0MAC</t>
  </si>
  <si>
    <t>MCI-01588</t>
  </si>
  <si>
    <t>RSSH/PP HRH-7 Percentage of facilities providing patient-centered quality of care</t>
  </si>
  <si>
    <t>a1ODm000000Gnz1MAC</t>
  </si>
  <si>
    <t>MCI-01325</t>
  </si>
  <si>
    <t>MCI-01627</t>
  </si>
  <si>
    <t>RSSH/PP LAB-1 Percentage of laboratories accredited according to ISO15189 standard or achieving at least four stars towards accreditation or two-star incremental improvement</t>
  </si>
  <si>
    <t>Accreditation status</t>
  </si>
  <si>
    <t>a1ODm000000GnzeMAC</t>
  </si>
  <si>
    <t>MCI-01628</t>
  </si>
  <si>
    <t>RSSH/PP LAB-2 Percentage of molecular diagnostic analyzers achieving at least 85% functionality (ability to test samples) during the reporting period</t>
  </si>
  <si>
    <t>a1ODm000000GnzfMAC</t>
  </si>
  <si>
    <t>MCI-01629</t>
  </si>
  <si>
    <t>RSSH/PP LAB-3 Percentage of laboratories successfully participating in external quality assurance (EQA) or proficiency testing (PT) schemes</t>
  </si>
  <si>
    <t>Disease/program</t>
  </si>
  <si>
    <t>a1ODm000000GnzgMAC</t>
  </si>
  <si>
    <t>MCI-01630</t>
  </si>
  <si>
    <t>RSSH/PP LAB-4 Percentage of laboratories that have electronic test ordering and results return capability via a remote test order module of the LIMS</t>
  </si>
  <si>
    <t>a1ODm000000GnzhMAC</t>
  </si>
  <si>
    <t>MCI-01631</t>
  </si>
  <si>
    <t>RSSH/PP LAB-5 Percentage of health facilities that have an appropriate set of diagnostics for their healthcare facility level, based on the WHO's model list of essential in vitro diagnostics (EDL 3)</t>
  </si>
  <si>
    <t>a1ODm000000GnziMAC</t>
  </si>
  <si>
    <t>MCI-01326</t>
  </si>
  <si>
    <t>MCI-01632</t>
  </si>
  <si>
    <t>RSSH/PP RCS-1 Percentage of health facilities able to provide oxygen therapy related services among those providing the service</t>
  </si>
  <si>
    <t>Oxygen therapy type</t>
  </si>
  <si>
    <t>a1ODm000000GnzjMAC</t>
  </si>
  <si>
    <t>MCI-01327</t>
  </si>
  <si>
    <t>MCI-01600</t>
  </si>
  <si>
    <t>RSSH/PP M&amp;E-1 Completeness of reporting: Percentage of expected monthly reports (for the reporting period) that are actually received</t>
  </si>
  <si>
    <t>Provider type,Report type</t>
  </si>
  <si>
    <t>a1ODm000000GnzDMAS</t>
  </si>
  <si>
    <t>MCI-01601</t>
  </si>
  <si>
    <t>RSSH/PP M&amp;E-2 Timeliness of reporting: Percentage of submitted monthly reports (for the reporting period) that are received on time per the national guidelines</t>
  </si>
  <si>
    <t>a1ODm000000GnzEMAS</t>
  </si>
  <si>
    <t>MCI-01602</t>
  </si>
  <si>
    <t>RSSH/PP M&amp;E-3 Percentage of health facilities which are reporting key programmatic indicator results on at least a monthly basis using a digital, individual level data system</t>
  </si>
  <si>
    <t>Disease/program,Health facility</t>
  </si>
  <si>
    <t>a1ODm000000GnzFMAS</t>
  </si>
  <si>
    <t>MCI-01603</t>
  </si>
  <si>
    <t>RSSH/PP M&amp;E-4 Percentage of reporting units which triangulate programmatic/consumption data and logistics data on at least a quarterly basis</t>
  </si>
  <si>
    <t>a1ODm000000GnzGMAS</t>
  </si>
  <si>
    <t>MCI-01604</t>
  </si>
  <si>
    <t>RSSH/PP M&amp;E-5 Percentage of labs which are able to return patient lab results electronically to the patient-level programmatic data system</t>
  </si>
  <si>
    <t>a1ODm000000GnzHMAS</t>
  </si>
  <si>
    <t>MCI-01605</t>
  </si>
  <si>
    <t>RSSH/PP M&amp;E-6 Percentage of private health units that report data into the national HMIS</t>
  </si>
  <si>
    <t>Report type</t>
  </si>
  <si>
    <t>a1ODm000000GnzIMAS</t>
  </si>
  <si>
    <t>MCI-01606</t>
  </si>
  <si>
    <t>M&amp;E-4.1 Percentage of service delivery reports from community health units integrated/interoperable with the national HMIS</t>
  </si>
  <si>
    <t>a1ODm000000GnzJMAS</t>
  </si>
  <si>
    <t>MCI-01607</t>
  </si>
  <si>
    <t>M&amp;E-5.1 Percentage of reporting units which digitally enter and submit data at the reporting unit level using the electronic information system</t>
  </si>
  <si>
    <t>a1ODm000000GnzKMAS</t>
  </si>
  <si>
    <t>MCI-01608</t>
  </si>
  <si>
    <t>M&amp;E-6.1 Percentage of districts that produce at least semi-annual analytical reports</t>
  </si>
  <si>
    <t>a1ODm000000GnzLMAS</t>
  </si>
  <si>
    <t>Module Data - Component - Indicator Reference</t>
  </si>
  <si>
    <t>Name-Not in use</t>
  </si>
  <si>
    <t>Module-Coverage-Intervention Reference (Name)</t>
  </si>
  <si>
    <t>Name used on Overview Page for display</t>
  </si>
  <si>
    <t>Reference Record Id</t>
  </si>
  <si>
    <t>unique id</t>
  </si>
  <si>
    <t>Module (Name)</t>
  </si>
  <si>
    <t>[Module-Coverage-Intervention Reference (Name)]</t>
  </si>
  <si>
    <t>Record ID2</t>
  </si>
  <si>
    <t>a3zDm000000GmaOIAS</t>
  </si>
  <si>
    <t>a1ODm000000GnuJMAS</t>
  </si>
  <si>
    <t>a3zDm000000GmaO</t>
  </si>
  <si>
    <t>a3zDm000000GmaPIAS</t>
  </si>
  <si>
    <t>a1ODm000000GnuKMAS</t>
  </si>
  <si>
    <t>a3zDm000000GmaP</t>
  </si>
  <si>
    <t>a3zDm000000GmaQIAS</t>
  </si>
  <si>
    <t>a1ODm000000GnuLMAS</t>
  </si>
  <si>
    <t>a3zDm000000GmaQ</t>
  </si>
  <si>
    <t>a3zDm000000GmaRIAS</t>
  </si>
  <si>
    <t>a1ODm000000GnuMMAS</t>
  </si>
  <si>
    <t>a3zDm000000GmaR</t>
  </si>
  <si>
    <t>Prevention package for people in prisons and other closed settings</t>
  </si>
  <si>
    <t>a3zDm000000GmaSIAS</t>
  </si>
  <si>
    <t>a1ODm000000GnuNMAS</t>
  </si>
  <si>
    <t>a3zDm000000GmaS</t>
  </si>
  <si>
    <t>Prevention package for other vulnerable populations (OVP)</t>
  </si>
  <si>
    <t>a3zDm000000GmaTIAS</t>
  </si>
  <si>
    <t>a1ODm000000GnuOMAS</t>
  </si>
  <si>
    <t>a3zDm000000GmaT</t>
  </si>
  <si>
    <t>Prevention package for adolescent girls and young women (AGYW) and male sexual partners in high HIV incidence settings</t>
  </si>
  <si>
    <t>a3zDm000000GmaUIAS</t>
  </si>
  <si>
    <t>a1ODm000000GnuPMAS</t>
  </si>
  <si>
    <t>a3zDm000000GmaU</t>
  </si>
  <si>
    <t>Prevention program stewardship</t>
  </si>
  <si>
    <t>MCI-01303</t>
  </si>
  <si>
    <t>a3zDm000000GmaVIAS</t>
  </si>
  <si>
    <t>a1ODm000000GnuQMAS</t>
  </si>
  <si>
    <t>a3zDm000000GmaV</t>
  </si>
  <si>
    <t>Elimination of vertical transmission of HIV, syphilis and hepatitis B</t>
  </si>
  <si>
    <t>a3zDm000000GmaWIAS</t>
  </si>
  <si>
    <t>a1ODm000000GnuRMAS</t>
  </si>
  <si>
    <t>a3zDm000000GmaW</t>
  </si>
  <si>
    <t>a3zDm000000GmaXIAS</t>
  </si>
  <si>
    <t>a1ODm000000GnuSMAS</t>
  </si>
  <si>
    <t>a3zDm000000GmaX</t>
  </si>
  <si>
    <t>a3zDm000000GmaYIAS</t>
  </si>
  <si>
    <t>a1ODm000000GnuTMAS</t>
  </si>
  <si>
    <t>a3zDm000000GmaY</t>
  </si>
  <si>
    <t>Reducing human rights-related barriers to HIV/TB services</t>
  </si>
  <si>
    <t>MCI-01307</t>
  </si>
  <si>
    <t>a3zDm000000GmaZIAS</t>
  </si>
  <si>
    <t>a1ODm000000GnuUMAS</t>
  </si>
  <si>
    <t>a3zDm000000GmaZ</t>
  </si>
  <si>
    <t>a3zDm000000GmaaIAC</t>
  </si>
  <si>
    <t>a1ODm000000GnuaMAC</t>
  </si>
  <si>
    <t>a3zDm000000Gmaa</t>
  </si>
  <si>
    <t>RSSH: Health sector planning and governance for integrated people-centered services</t>
  </si>
  <si>
    <t>a3zDm000000GmabIAC</t>
  </si>
  <si>
    <t>a1ODm000000GnuhMAC</t>
  </si>
  <si>
    <t>a3zDm000000Gmab</t>
  </si>
  <si>
    <t>RSSH: Community systems strengthening</t>
  </si>
  <si>
    <t>a3zDm000000GmacIAC</t>
  </si>
  <si>
    <t>a1ODm000000GnuiMAC</t>
  </si>
  <si>
    <t>a3zDm000000Gmac</t>
  </si>
  <si>
    <t>RSSH: Health financing systems</t>
  </si>
  <si>
    <t>a3zDm000000GmadIAC</t>
  </si>
  <si>
    <t>a1ODm000000GnujMAC</t>
  </si>
  <si>
    <t>a3zDm000000Gmad</t>
  </si>
  <si>
    <t>RSSH: Health products management systems</t>
  </si>
  <si>
    <t>a3zDm000000GmaeIAC</t>
  </si>
  <si>
    <t>a1ODm000000GnukMAC</t>
  </si>
  <si>
    <t>a3zDm000000Gmae</t>
  </si>
  <si>
    <t>RSSH/PP: Human resources for health (HRH) and quality of care</t>
  </si>
  <si>
    <t>a3zDm000000GmafIAC</t>
  </si>
  <si>
    <t>a1ODm000000GnulMAC</t>
  </si>
  <si>
    <t>a3zDm000000Gmaf</t>
  </si>
  <si>
    <t>RSSH/PP: Laboratory systems (including national and peripheral)</t>
  </si>
  <si>
    <t>a3zDm000000GmagIAC</t>
  </si>
  <si>
    <t>a1ODm000000GnumMAC</t>
  </si>
  <si>
    <t>a3zDm000000Gmag</t>
  </si>
  <si>
    <t>RSSH/PP: Medical oxygen and respiratory care system</t>
  </si>
  <si>
    <t>a3zDm000000GmahIAC</t>
  </si>
  <si>
    <t>a1ODm000000GnunMAC</t>
  </si>
  <si>
    <t>a3zDm000000Gmah</t>
  </si>
  <si>
    <t>RSSH: Monitoring and evaluation systems</t>
  </si>
  <si>
    <t>a3zDm000000GmaiIAC</t>
  </si>
  <si>
    <t>a1ODm000000GnuoMAC</t>
  </si>
  <si>
    <t>a3zDm000000Gmai</t>
  </si>
  <si>
    <t>Program management</t>
  </si>
  <si>
    <t>MCI-01318</t>
  </si>
  <si>
    <t>a3zDm000000GmajIAC</t>
  </si>
  <si>
    <t>a1ODm000000GnufMAC</t>
  </si>
  <si>
    <t>a3zDm000000Gmaj</t>
  </si>
  <si>
    <t>Payment for results</t>
  </si>
  <si>
    <t>MCI-01319</t>
  </si>
  <si>
    <t>a3zDm000000GmakIAC</t>
  </si>
  <si>
    <t>a1ODm000000GnugMAC</t>
  </si>
  <si>
    <t>a3zDm000000Gmak</t>
  </si>
  <si>
    <t>a3zDm000000GmbFIAS</t>
  </si>
  <si>
    <t>a3zDm000000GmbF</t>
  </si>
  <si>
    <t>a3zDm000000GmbGIAS</t>
  </si>
  <si>
    <t>a3zDm000000GmbG</t>
  </si>
  <si>
    <t>a3zDm000000GmbHIAS</t>
  </si>
  <si>
    <t>a3zDm000000GmbH</t>
  </si>
  <si>
    <t>a3zDm000000GmbIIAS</t>
  </si>
  <si>
    <t>a3zDm000000GmbI</t>
  </si>
  <si>
    <t>a3zDm000000GmbJIAS</t>
  </si>
  <si>
    <t>a3zDm000000GmbJ</t>
  </si>
  <si>
    <t>a3zDm000000GmbKIAS</t>
  </si>
  <si>
    <t>a3zDm000000GmbK</t>
  </si>
  <si>
    <t>a3zDm000000GmbLIAS</t>
  </si>
  <si>
    <t>a3zDm000000GmbL</t>
  </si>
  <si>
    <t>a3zDm000000GmbMIAS</t>
  </si>
  <si>
    <t>a3zDm000000GmbM</t>
  </si>
  <si>
    <t>a3zDm000000GmbNIAS</t>
  </si>
  <si>
    <t>a3zDm000000GmbN</t>
  </si>
  <si>
    <t>a3zDm000000GmbOIAS</t>
  </si>
  <si>
    <t>a3zDm000000GmbO</t>
  </si>
  <si>
    <t>TB diagnosis, treatment and care</t>
  </si>
  <si>
    <t>a3zDm000000GmayIAC</t>
  </si>
  <si>
    <t>a1ODm000000GnuVMAS</t>
  </si>
  <si>
    <t>a3zDm000000Gmay</t>
  </si>
  <si>
    <t>a3zDm000000GmazIAC</t>
  </si>
  <si>
    <t>a1ODm000000GnuWMAS</t>
  </si>
  <si>
    <t>a3zDm000000Gmaz</t>
  </si>
  <si>
    <t>TB/DR-TB Prevention</t>
  </si>
  <si>
    <t>a3zDm000000Gmb0IAC</t>
  </si>
  <si>
    <t>a1ODm000000GnuXMAS</t>
  </si>
  <si>
    <t>a3zDm000000Gmb0</t>
  </si>
  <si>
    <t>Collaboration with other providers and sectors</t>
  </si>
  <si>
    <t>a3zDm000000Gmb1IAC</t>
  </si>
  <si>
    <t>a1ODm000000GnuYMAS</t>
  </si>
  <si>
    <t>a3zDm000000Gmb1</t>
  </si>
  <si>
    <t>Key and vulnerable populations (KVP) – TB/DR-TB</t>
  </si>
  <si>
    <t>a3zDm000000Gmb2IAC</t>
  </si>
  <si>
    <t>a1ODm000000GnuZMAS</t>
  </si>
  <si>
    <t>a3zDm000000Gmb2</t>
  </si>
  <si>
    <t>a3zDm000000Gmb3IAC</t>
  </si>
  <si>
    <t>a3zDm000000Gmb3</t>
  </si>
  <si>
    <t>Removing human rights and gender related barriers to TB services</t>
  </si>
  <si>
    <t>MCI-01314</t>
  </si>
  <si>
    <t>a3zDm000000Gmb4IAC</t>
  </si>
  <si>
    <t>a1ODm000000GnubMAC</t>
  </si>
  <si>
    <t>a3zDm000000Gmb4</t>
  </si>
  <si>
    <t>a3zDm000000Gmb5IAC</t>
  </si>
  <si>
    <t>a3zDm000000Gmb5</t>
  </si>
  <si>
    <t>a3zDm000000Gmb6IAC</t>
  </si>
  <si>
    <t>a3zDm000000Gmb6</t>
  </si>
  <si>
    <t>a3zDm000000Gmb7IAC</t>
  </si>
  <si>
    <t>a3zDm000000Gmb7</t>
  </si>
  <si>
    <t>a3zDm000000Gmb8IAC</t>
  </si>
  <si>
    <t>a3zDm000000Gmb8</t>
  </si>
  <si>
    <t>a3zDm000000Gmb9IAC</t>
  </si>
  <si>
    <t>a3zDm000000Gmb9</t>
  </si>
  <si>
    <t>a3zDm000000GmbAIAS</t>
  </si>
  <si>
    <t>a3zDm000000GmbA</t>
  </si>
  <si>
    <t>a3zDm000000GmbBIAS</t>
  </si>
  <si>
    <t>a3zDm000000GmbB</t>
  </si>
  <si>
    <t>a3zDm000000GmbCIAS</t>
  </si>
  <si>
    <t>a3zDm000000GmbC</t>
  </si>
  <si>
    <t>a3zDm000000GmbDIAS</t>
  </si>
  <si>
    <t>a3zDm000000GmbD</t>
  </si>
  <si>
    <t>a3zDm000000GmbEIAS</t>
  </si>
  <si>
    <t>a3zDm000000GmbE</t>
  </si>
  <si>
    <t>Module-Coverage-Intervention Reference - Intervention</t>
  </si>
  <si>
    <t>concat mod int name</t>
  </si>
  <si>
    <t>Column4</t>
  </si>
  <si>
    <t>MCI-01459</t>
  </si>
  <si>
    <t>Condom and lubricant programing for MSM</t>
  </si>
  <si>
    <t>a1ODm000000GnwwMAC</t>
  </si>
  <si>
    <t>MCI-01460</t>
  </si>
  <si>
    <t>Pre-exposure prophylaxis (PrEP) programing for MSM</t>
  </si>
  <si>
    <t>a1ODm000000GnwxMAC</t>
  </si>
  <si>
    <t>MCI-01461</t>
  </si>
  <si>
    <t>HIV prevention communication, information and demand creation for MSM</t>
  </si>
  <si>
    <t>a1ODm000000GnwyMAC</t>
  </si>
  <si>
    <t>MCI-01462</t>
  </si>
  <si>
    <t>Community empowerment for MSM</t>
  </si>
  <si>
    <t>a1ODm000000GnwzMAC</t>
  </si>
  <si>
    <t>MCI-01463</t>
  </si>
  <si>
    <t>Sexual and reproductive health services, including STIs, hepatitis, post-violence care for MSM</t>
  </si>
  <si>
    <t>a1ODm000000Gnx0MAC</t>
  </si>
  <si>
    <t>MCI-01464</t>
  </si>
  <si>
    <t>Removing human rights-related barriers to prevention for MSM</t>
  </si>
  <si>
    <t>a1ODm000000Gnx1MAC</t>
  </si>
  <si>
    <t>MCI-01328</t>
  </si>
  <si>
    <t>Condom and lubricant programing for sex workers</t>
  </si>
  <si>
    <t>a1ODm000000GnupMAC</t>
  </si>
  <si>
    <t>MCI-01329</t>
  </si>
  <si>
    <t>Pre-exposure prophylaxis (PrEP) programing for sex workers</t>
  </si>
  <si>
    <t>a1ODm000000GnuqMAC</t>
  </si>
  <si>
    <t>MCI-01330</t>
  </si>
  <si>
    <t>HIV prevention communication, information and demand creation for sex workers</t>
  </si>
  <si>
    <t>a1ODm000000GnurMAC</t>
  </si>
  <si>
    <t>MCI-01331</t>
  </si>
  <si>
    <t>Community empowerment for sex workers</t>
  </si>
  <si>
    <t>a1ODm000000GnusMAC</t>
  </si>
  <si>
    <t>MCI-01332</t>
  </si>
  <si>
    <t>Sexual and reproductive health services, including STIs, hepatitis, post-violence care for sex workers</t>
  </si>
  <si>
    <t>a1ODm000000GnutMAC</t>
  </si>
  <si>
    <t>MCI-01333</t>
  </si>
  <si>
    <t>Removing human rights-related barriers to prevention for sex workers</t>
  </si>
  <si>
    <t>a1ODm000000GnuuMAC</t>
  </si>
  <si>
    <t>MCI-01438</t>
  </si>
  <si>
    <t>Condom and lubricant programing for transgender people</t>
  </si>
  <si>
    <t>a1ODm000000GnwbMAC</t>
  </si>
  <si>
    <t>MCI-01439</t>
  </si>
  <si>
    <t>Pre-exposure prophylaxis (PrEP) programing for transgender people</t>
  </si>
  <si>
    <t>a1ODm000000GnwcMAC</t>
  </si>
  <si>
    <t>MCI-01440</t>
  </si>
  <si>
    <t>HIV prevention communication, information and demand creation for transgender people</t>
  </si>
  <si>
    <t>a1ODm000000GnwdMAC</t>
  </si>
  <si>
    <t>MCI-01441</t>
  </si>
  <si>
    <t>Community empowerment for transgender people</t>
  </si>
  <si>
    <t>a1ODm000000GnweMAC</t>
  </si>
  <si>
    <t>MCI-01442</t>
  </si>
  <si>
    <t>Sexual and reproductive health services, including STIs, hepatitis, post-violence care for transgender people</t>
  </si>
  <si>
    <t>a1ODm000000GnwfMAC</t>
  </si>
  <si>
    <t>MCI-01443</t>
  </si>
  <si>
    <t>Removing human rights-related barriers to prevention for transgender people</t>
  </si>
  <si>
    <t>a1ODm000000GnwgMAC</t>
  </si>
  <si>
    <t>MCI-01334</t>
  </si>
  <si>
    <t>Needle and syringe programs for PWID</t>
  </si>
  <si>
    <t>a1ODm000000GnuvMAC</t>
  </si>
  <si>
    <t>MCI-01335</t>
  </si>
  <si>
    <t>Opioid substitution therapy and other medically assisted drug dependence treatment for PWID</t>
  </si>
  <si>
    <t>a1ODm000000GnuwMAC</t>
  </si>
  <si>
    <t>MCI-01336</t>
  </si>
  <si>
    <t>Overdose prevention and management for PWID</t>
  </si>
  <si>
    <t>a1ODm000000GnuxMAC</t>
  </si>
  <si>
    <t>MCI-01337</t>
  </si>
  <si>
    <t>Condom and lubricant programing for PUD</t>
  </si>
  <si>
    <t>a1ODm000000GnuyMAC</t>
  </si>
  <si>
    <t>MCI-01338</t>
  </si>
  <si>
    <t>Pre-exposure prophylaxis (PrEP) programing for PUD</t>
  </si>
  <si>
    <t>a1ODm000000GnuzMAC</t>
  </si>
  <si>
    <t>MCI-01339</t>
  </si>
  <si>
    <t>HIV prevention communication, information and demand creation for PUD</t>
  </si>
  <si>
    <t>a1ODm000000Gnv0MAC</t>
  </si>
  <si>
    <t>MCI-01340</t>
  </si>
  <si>
    <t>Community empowerment for PUD</t>
  </si>
  <si>
    <t>a1ODm000000Gnv1MAC</t>
  </si>
  <si>
    <t>MCI-01341</t>
  </si>
  <si>
    <t>Sexual and reproductive health services, including STIs, hepatitis, post-violence care for PUD</t>
  </si>
  <si>
    <t>a1ODm000000Gnv2MAC</t>
  </si>
  <si>
    <t>MCI-01342</t>
  </si>
  <si>
    <t>Removing human rights-related barriers to prevention for PUD</t>
  </si>
  <si>
    <t>a1ODm000000Gnv3MAC</t>
  </si>
  <si>
    <t>MCI-01444</t>
  </si>
  <si>
    <t>Condom and lubricant programing for prisoners</t>
  </si>
  <si>
    <t>a1ODm000000GnwhMAC</t>
  </si>
  <si>
    <t>MCI-01445</t>
  </si>
  <si>
    <t>Pre-exposure prophylaxis (PrEP) programing for prisoners</t>
  </si>
  <si>
    <t>a1ODm000000GnwiMAC</t>
  </si>
  <si>
    <t>MCI-01446</t>
  </si>
  <si>
    <t>HIV prevention communication, information and demand creation for prisoners</t>
  </si>
  <si>
    <t>a1ODm000000GnwjMAC</t>
  </si>
  <si>
    <t>MCI-01447</t>
  </si>
  <si>
    <t>Sexual and reproductive health services, including STIs, hepatitis, post-violence care for prisoners</t>
  </si>
  <si>
    <t>a1ODm000000GnwkMAC</t>
  </si>
  <si>
    <t>MCI-01448</t>
  </si>
  <si>
    <t>Harm reduction interventions for drug use for prisoners</t>
  </si>
  <si>
    <t>a1ODm000000GnwlMAC</t>
  </si>
  <si>
    <t>MCI-01449</t>
  </si>
  <si>
    <t>Removing human rights-related barriers to prevention for prisoners</t>
  </si>
  <si>
    <t>a1ODm000000GnwmMAC</t>
  </si>
  <si>
    <t>MCI-01343</t>
  </si>
  <si>
    <t>Condom and lubricant programing for OVP</t>
  </si>
  <si>
    <t>a1ODm000000Gnv4MAC</t>
  </si>
  <si>
    <t>MCI-01344</t>
  </si>
  <si>
    <t>Pre-exposure prophylaxis (PrEP) programing for OVP</t>
  </si>
  <si>
    <t>a1ODm000000Gnv5MAC</t>
  </si>
  <si>
    <t>MCI-01345</t>
  </si>
  <si>
    <t>HIV prevention communication, information and demand creation for OVP</t>
  </si>
  <si>
    <t>a1ODm000000Gnv6MAC</t>
  </si>
  <si>
    <t>MCI-01346</t>
  </si>
  <si>
    <t>Community empowerment for OVP</t>
  </si>
  <si>
    <t>a1ODm000000Gnv7MAC</t>
  </si>
  <si>
    <t>MCI-01347</t>
  </si>
  <si>
    <t>Sexual and reproductive health services, including STIs, hepatitis, post-violence care for OVP</t>
  </si>
  <si>
    <t>a1ODm000000Gnv8MAC</t>
  </si>
  <si>
    <t>MCI-01348</t>
  </si>
  <si>
    <t>Removing human rights-related barriers to prevention for OVP</t>
  </si>
  <si>
    <t>a1ODm000000Gnv9MAC</t>
  </si>
  <si>
    <t>MCI-01510</t>
  </si>
  <si>
    <t>Condom and lubricant programing for AGYW in high HIV incidence settings</t>
  </si>
  <si>
    <t>a1ODm000000GnxlMAC</t>
  </si>
  <si>
    <t>MCI-01511</t>
  </si>
  <si>
    <t>Condom and lubricant programing for male sexual partners of AGYW in high HIV incidence settings</t>
  </si>
  <si>
    <t>a1ODm000000GnxmMAC</t>
  </si>
  <si>
    <t>MCI-01512</t>
  </si>
  <si>
    <t>HIV prevention communication, information and demand creation for AGYW in high HIV incidence settings</t>
  </si>
  <si>
    <t>a1ODm000000GnxnMAC</t>
  </si>
  <si>
    <t>MCI-01513</t>
  </si>
  <si>
    <t>HIV prevention communication, information and demand creation for male sexual partners of AGYW in high HIV incidence settings</t>
  </si>
  <si>
    <t>a1ODm000000GnxoMAC</t>
  </si>
  <si>
    <t>MCI-01514</t>
  </si>
  <si>
    <t>Comprehensive sexuality education for adolescent girls and young women (AGYW) and adolescent boys and young men (ABYM)</t>
  </si>
  <si>
    <t>a1ODm000000GnxpMAC</t>
  </si>
  <si>
    <t>MCI-01515</t>
  </si>
  <si>
    <t>Pre-exposure prophylaxis (PrEP) programing for AGYW in high HIV incidence settings</t>
  </si>
  <si>
    <t>a1ODm000000GnxqMAC</t>
  </si>
  <si>
    <t>MCI-01516</t>
  </si>
  <si>
    <t>Pre-exposure prophylaxis (PrEP) programing for male sexual partners of AGYW in high HIV incidence settings</t>
  </si>
  <si>
    <t>a1ODm000000GnxrMAC</t>
  </si>
  <si>
    <t>MCI-01517</t>
  </si>
  <si>
    <t>Sexual and reproductive health services, including STIs, hepatitis, post-violence care for AGYW and male sexual partners in high HIV incidence settings</t>
  </si>
  <si>
    <t>a1ODm000000GnxsMAC</t>
  </si>
  <si>
    <t>MCI-01518</t>
  </si>
  <si>
    <t>Removing human rights-related barriers to prevention for AGYW in high HIV incidence settings</t>
  </si>
  <si>
    <t>a1ODm000000GnxtMAC</t>
  </si>
  <si>
    <t>MCI-01519</t>
  </si>
  <si>
    <t>Social protection interventions for AGYW in high HIV incidence settings</t>
  </si>
  <si>
    <t>a1ODm000000GnxuMAC</t>
  </si>
  <si>
    <t>MCI-01520</t>
  </si>
  <si>
    <t>Voluntary medical male circumcision</t>
  </si>
  <si>
    <t>a1ODm000000GnxvMAC</t>
  </si>
  <si>
    <t>MCI-01493</t>
  </si>
  <si>
    <t>a1ODm000000GnxUMAS</t>
  </si>
  <si>
    <t>MCI-01349</t>
  </si>
  <si>
    <t>Integrated testing of pregnant women for HIV, syphilis and hepatitis B</t>
  </si>
  <si>
    <t>a1ODm000000GnvAMAS</t>
  </si>
  <si>
    <t>MCI-01350</t>
  </si>
  <si>
    <t>Prevention of incident HIV among pregnant and breastfeeding women</t>
  </si>
  <si>
    <t>a1ODm000000GnvBMAS</t>
  </si>
  <si>
    <t>MCI-01351</t>
  </si>
  <si>
    <t>Post-natal infant prophylaxis</t>
  </si>
  <si>
    <t>a1ODm000000GnvCMAS</t>
  </si>
  <si>
    <t>MCI-01352</t>
  </si>
  <si>
    <t>Early infant diagnosis and follow-up HIV testing for exposed infants</t>
  </si>
  <si>
    <t>a1ODm000000GnvDMAS</t>
  </si>
  <si>
    <t>MCI-01353</t>
  </si>
  <si>
    <t>Retention support for pregnant and breastfeeding women (facility and community)</t>
  </si>
  <si>
    <t>a1ODm000000GnvEMAS</t>
  </si>
  <si>
    <t>MCI-01450</t>
  </si>
  <si>
    <t>Facility-based testing for key population (KP) programs</t>
  </si>
  <si>
    <t>a1ODm000000GnwnMAC</t>
  </si>
  <si>
    <t>MCI-01451</t>
  </si>
  <si>
    <t>Facility-based testing for adolescent girls and young women (AGYW) and their male sexual partners programs</t>
  </si>
  <si>
    <t>a1ODm000000GnwoMAC</t>
  </si>
  <si>
    <t>MCI-01452</t>
  </si>
  <si>
    <t>Facility-based testing outside of key population (KP) and adolescent girls and young women (AGYW) programs</t>
  </si>
  <si>
    <t>a1ODm000000GnwpMAC</t>
  </si>
  <si>
    <t>MCI-01453</t>
  </si>
  <si>
    <t>Community-based testing for KP programs</t>
  </si>
  <si>
    <t>a1ODm000000GnwqMAC</t>
  </si>
  <si>
    <t>MCI-01454</t>
  </si>
  <si>
    <t>Community-based testing for AGYW and their male sexual partners programs</t>
  </si>
  <si>
    <t>a1ODm000000GnwrMAC</t>
  </si>
  <si>
    <t>MCI-01455</t>
  </si>
  <si>
    <t>Community-based testing outside of KP and AGYW programs</t>
  </si>
  <si>
    <t>a1ODm000000GnwsMAC</t>
  </si>
  <si>
    <t>MCI-01456</t>
  </si>
  <si>
    <t>Self-testing for KP programs</t>
  </si>
  <si>
    <t>a1ODm000000GnwtMAC</t>
  </si>
  <si>
    <t>MCI-01457</t>
  </si>
  <si>
    <t>Self-testing for AGYW and their male sexual partners programs</t>
  </si>
  <si>
    <t>a1ODm000000GnwuMAC</t>
  </si>
  <si>
    <t>MCI-01458</t>
  </si>
  <si>
    <t>Self-testing outside of KP and AGYW programs</t>
  </si>
  <si>
    <t>a1ODm000000GnwvMAC</t>
  </si>
  <si>
    <t>MCI-01354</t>
  </si>
  <si>
    <t>HIV treatment and differentiated service delivery - adults (15 and above)</t>
  </si>
  <si>
    <t>a1ODm000000GnvFMAS</t>
  </si>
  <si>
    <t>MCI-01355</t>
  </si>
  <si>
    <t>HIV treatment and differentiated service delivery - children (under 15)</t>
  </si>
  <si>
    <t>a1ODm000000GnvGMAS</t>
  </si>
  <si>
    <t>MCI-01356</t>
  </si>
  <si>
    <t>Treatment monitoring - Drug resistance</t>
  </si>
  <si>
    <t>a1ODm000000GnvHMAS</t>
  </si>
  <si>
    <t>MCI-01357</t>
  </si>
  <si>
    <t>Treatment monitoring - Viral load and antiretroviral (ARV) toxicity</t>
  </si>
  <si>
    <t>a1ODm000000GnvIMAS</t>
  </si>
  <si>
    <t>MCI-01358</t>
  </si>
  <si>
    <t>Integrated management of common co-infections and co-morbidities (adults and children)</t>
  </si>
  <si>
    <t>a1ODm000000GnvJMAS</t>
  </si>
  <si>
    <t>MCI-01359</t>
  </si>
  <si>
    <t>Diagnosis and management of advanced disease (adults and children)</t>
  </si>
  <si>
    <t>a1ODm000000GnvKMAS</t>
  </si>
  <si>
    <t>MCI-01465</t>
  </si>
  <si>
    <t>Eliminating stigma and discrimination in all settings</t>
  </si>
  <si>
    <t>a1ODm000000Gnx2MAC</t>
  </si>
  <si>
    <t>MCI-01466</t>
  </si>
  <si>
    <t>Legal literacy (“Know Your Rights”) (HIV/TB)</t>
  </si>
  <si>
    <t>a1ODm000000Gnx3MAC</t>
  </si>
  <si>
    <t>MCI-01467</t>
  </si>
  <si>
    <t>Ensuring nondiscriminatory provision of health care</t>
  </si>
  <si>
    <t>a1ODm000000Gnx4MAC</t>
  </si>
  <si>
    <t>MCI-01468</t>
  </si>
  <si>
    <t>Increasing access to justice (HIV/TB)</t>
  </si>
  <si>
    <t>a1ODm000000Gnx5MAC</t>
  </si>
  <si>
    <t>MCI-01469</t>
  </si>
  <si>
    <t>Ensuring rights-based law enforcement practices</t>
  </si>
  <si>
    <t>a1ODm000000Gnx6MAC</t>
  </si>
  <si>
    <t>MCI-01470</t>
  </si>
  <si>
    <t>Improving laws, regulations and polices relating to HIV and HIV/TB</t>
  </si>
  <si>
    <t>a1ODm000000Gnx7MAC</t>
  </si>
  <si>
    <t>MCI-01471</t>
  </si>
  <si>
    <t>Reducing HIV-related gender discrimination, harmful gender norms and violence against women and girls in all their diversity</t>
  </si>
  <si>
    <t>a1ODm000000Gnx8MAC</t>
  </si>
  <si>
    <t>MCI-01472</t>
  </si>
  <si>
    <t>Community mobilization and advocacy for human rights</t>
  </si>
  <si>
    <t>a1ODm000000Gnx9MAC</t>
  </si>
  <si>
    <t>MCI-01360</t>
  </si>
  <si>
    <t>TB screening and diagnosis</t>
  </si>
  <si>
    <t>a1ODm000000GnvLMAS</t>
  </si>
  <si>
    <t>MCI-01361</t>
  </si>
  <si>
    <t>TB treatment, care and support</t>
  </si>
  <si>
    <t>a1ODm000000GnvMMAS</t>
  </si>
  <si>
    <t>MCI-01368</t>
  </si>
  <si>
    <t>DR-TB diagnosis/drug susceptibility testing (DST)</t>
  </si>
  <si>
    <t>a1ODm000000GnvTMAS</t>
  </si>
  <si>
    <t>MCI-01369</t>
  </si>
  <si>
    <t>DR-TB treatment, care and support</t>
  </si>
  <si>
    <t>a1ODm000000GnvUMAS</t>
  </si>
  <si>
    <t>MCI-01507</t>
  </si>
  <si>
    <t>Screening/testing for TB infection</t>
  </si>
  <si>
    <t>a1ODm000000GnxiMAC</t>
  </si>
  <si>
    <t>MCI-01508</t>
  </si>
  <si>
    <t>Preventive treatment</t>
  </si>
  <si>
    <t>a1ODm000000GnxjMAC</t>
  </si>
  <si>
    <t>MCI-01509</t>
  </si>
  <si>
    <t>Infection prevention and control (IPC)</t>
  </si>
  <si>
    <t>a1ODm000000GnxkMAC</t>
  </si>
  <si>
    <t>MCI-01498</t>
  </si>
  <si>
    <t>Private provider engagement in TB/DR-TB care</t>
  </si>
  <si>
    <t>a1ODm000000GnxZMAS</t>
  </si>
  <si>
    <t>MCI-01499</t>
  </si>
  <si>
    <t>Community-based TB/DR-TB care</t>
  </si>
  <si>
    <t>a1ODm000000GnxaMAC</t>
  </si>
  <si>
    <t>MCI-01500</t>
  </si>
  <si>
    <t>Collaboration with other programs/sectors</t>
  </si>
  <si>
    <t>a1ODm000000GnxbMAC</t>
  </si>
  <si>
    <t>MCI-01501</t>
  </si>
  <si>
    <t>KVP - Children and adolescents</t>
  </si>
  <si>
    <t>a1ODm000000GnxcMAC</t>
  </si>
  <si>
    <t>MCI-01502</t>
  </si>
  <si>
    <t>KVP - People in prisons/jails/detention centers</t>
  </si>
  <si>
    <t>a1ODm000000GnxdMAC</t>
  </si>
  <si>
    <t>MCI-01503</t>
  </si>
  <si>
    <t>KVP - Mobile population (migrants/refugees/IDPs)</t>
  </si>
  <si>
    <t>a1ODm000000GnxeMAC</t>
  </si>
  <si>
    <t>MCI-01504</t>
  </si>
  <si>
    <t>KVP - Miners and mining communities</t>
  </si>
  <si>
    <t>a1ODm000000GnxfMAC</t>
  </si>
  <si>
    <t>MCI-01505</t>
  </si>
  <si>
    <t>KVP - Urban poor/slum dwellers</t>
  </si>
  <si>
    <t>a1ODm000000GnxgMAC</t>
  </si>
  <si>
    <t>MCI-01506</t>
  </si>
  <si>
    <t>KVP - Others</t>
  </si>
  <si>
    <t>a1ODm000000GnxhMAC</t>
  </si>
  <si>
    <t>MCI-01362</t>
  </si>
  <si>
    <t>TB/HIV - Collaborative interventions</t>
  </si>
  <si>
    <t>a1ODm000000GnvNMAS</t>
  </si>
  <si>
    <t>MCI-01363</t>
  </si>
  <si>
    <t>TB/HIV - Screening, testing and diagnosis</t>
  </si>
  <si>
    <t>a1ODm000000GnvOMAS</t>
  </si>
  <si>
    <t>MCI-01364</t>
  </si>
  <si>
    <t>TB/HIV - Treatment and care</t>
  </si>
  <si>
    <t>a1ODm000000GnvPMAS</t>
  </si>
  <si>
    <t>MCI-01365</t>
  </si>
  <si>
    <t>TB/HIV - Prevention</t>
  </si>
  <si>
    <t>a1ODm000000GnvQMAS</t>
  </si>
  <si>
    <t>MCI-01366</t>
  </si>
  <si>
    <t>TB/HIV - Community care delivery</t>
  </si>
  <si>
    <t>a1ODm000000GnvRMAS</t>
  </si>
  <si>
    <t>MCI-01367</t>
  </si>
  <si>
    <t>TB/HIV - Key populations</t>
  </si>
  <si>
    <t>a1ODm000000GnvSMAS</t>
  </si>
  <si>
    <t>MCI-01476</t>
  </si>
  <si>
    <t>Eliminating TB-related stigma and discrimination</t>
  </si>
  <si>
    <t>a1ODm000000GnxDMAS</t>
  </si>
  <si>
    <t>MCI-01477</t>
  </si>
  <si>
    <t>Ensuring people-centered and rights-based TB services at health facilities</t>
  </si>
  <si>
    <t>a1ODm000000GnxEMAS</t>
  </si>
  <si>
    <t>MCI-01478</t>
  </si>
  <si>
    <t>Ensuring people-centered and rights-based law enforcement practices</t>
  </si>
  <si>
    <t>a1ODm000000GnxFMAS</t>
  </si>
  <si>
    <t>MCI-01479</t>
  </si>
  <si>
    <t>Legal literacy (“Know Your Rights”) (TB)</t>
  </si>
  <si>
    <t>a1ODm000000GnxGMAS</t>
  </si>
  <si>
    <t>MCI-01480</t>
  </si>
  <si>
    <t>Increasing access to justice (TB)</t>
  </si>
  <si>
    <t>a1ODm000000GnxHMAS</t>
  </si>
  <si>
    <t>MCI-01481</t>
  </si>
  <si>
    <t>Monitoring and reforming policies, regulations and laws</t>
  </si>
  <si>
    <t>a1ODm000000GnxIMAS</t>
  </si>
  <si>
    <t>MCI-01482</t>
  </si>
  <si>
    <t>Addressing needs of people in prisons and other closed settings</t>
  </si>
  <si>
    <t>a1ODm000000GnxJMAS</t>
  </si>
  <si>
    <t>MCI-01483</t>
  </si>
  <si>
    <t>Reducing TB-related gender discrimination, harmful gender norms and violence</t>
  </si>
  <si>
    <t>a1ODm000000GnxKMAS</t>
  </si>
  <si>
    <t>MCI-01484</t>
  </si>
  <si>
    <t>Community mobilization and advocacy, including support to TB survivor-led groups</t>
  </si>
  <si>
    <t>a1ODm000000GnxLMAS</t>
  </si>
  <si>
    <t>MCI-01435</t>
  </si>
  <si>
    <t>Coordination and management of national disease control programs</t>
  </si>
  <si>
    <t>a1ODm000000GnwYMAS</t>
  </si>
  <si>
    <t>MCI-01436</t>
  </si>
  <si>
    <t>Grant management</t>
  </si>
  <si>
    <t>a1ODm000000GnwZMAS</t>
  </si>
  <si>
    <t>MCI-01437</t>
  </si>
  <si>
    <t>a1ODm000000GnwaMAC</t>
  </si>
  <si>
    <t>MCI-01473</t>
  </si>
  <si>
    <t>National health sector strategy, policy &amp; regulations</t>
  </si>
  <si>
    <t>a1ODm000000GnxAMAS</t>
  </si>
  <si>
    <t>MCI-01474</t>
  </si>
  <si>
    <t>Integration/coordination across disease programs and at the service delivery level</t>
  </si>
  <si>
    <t>a1ODm000000GnxBMAS</t>
  </si>
  <si>
    <t>MCI-01475</t>
  </si>
  <si>
    <t>Supporting private sector engagement</t>
  </si>
  <si>
    <t>a1ODm000000GnxCMAS</t>
  </si>
  <si>
    <t>MCI-01422</t>
  </si>
  <si>
    <t>Community-led monitoring</t>
  </si>
  <si>
    <t>a1ODm000000GnwLMAS</t>
  </si>
  <si>
    <t>MCI-01423</t>
  </si>
  <si>
    <t>Community-led research and advocacy</t>
  </si>
  <si>
    <t>a1ODm000000GnwMMAS</t>
  </si>
  <si>
    <t>MCI-01424</t>
  </si>
  <si>
    <t>Community engagement, linkages and coordination</t>
  </si>
  <si>
    <t>a1ODm000000GnwNMAS</t>
  </si>
  <si>
    <t>MCI-01425</t>
  </si>
  <si>
    <t>Capacity building and leadership development</t>
  </si>
  <si>
    <t>a1ODm000000GnwOMAS</t>
  </si>
  <si>
    <t>MCI-01415</t>
  </si>
  <si>
    <t>Health financing strategies and planning</t>
  </si>
  <si>
    <t>a1ODm000000GnwEMAS</t>
  </si>
  <si>
    <t>MCI-01416</t>
  </si>
  <si>
    <t>Public financial management (PFM) systems</t>
  </si>
  <si>
    <t>a1ODm000000GnwFMAS</t>
  </si>
  <si>
    <t>MCI-01417</t>
  </si>
  <si>
    <t>Routine financial management systems</t>
  </si>
  <si>
    <t>a1ODm000000GnwGMAS</t>
  </si>
  <si>
    <t>MCI-01418</t>
  </si>
  <si>
    <t>Community-led advocacy and monitoring of domestic resource mobilization</t>
  </si>
  <si>
    <t>a1ODm000000GnwHMAS</t>
  </si>
  <si>
    <t>MCI-01419</t>
  </si>
  <si>
    <t>Social contracting</t>
  </si>
  <si>
    <t>a1ODm000000GnwIMAS</t>
  </si>
  <si>
    <t>MCI-01420</t>
  </si>
  <si>
    <t>Health financing data and analytics</t>
  </si>
  <si>
    <t>a1ODm000000GnwJMAS</t>
  </si>
  <si>
    <t>MCI-01421</t>
  </si>
  <si>
    <t>Blended financing arrangements</t>
  </si>
  <si>
    <t>a1ODm000000GnwKMAS</t>
  </si>
  <si>
    <t>MCI-01408</t>
  </si>
  <si>
    <t>Policy, strategy, governance</t>
  </si>
  <si>
    <t>a1ODm000000Gnw7MAC</t>
  </si>
  <si>
    <t>MCI-01409</t>
  </si>
  <si>
    <t>Storage and distribution capacity, design &amp; operations</t>
  </si>
  <si>
    <t>a1ODm000000Gnw8MAC</t>
  </si>
  <si>
    <t>MCI-01410</t>
  </si>
  <si>
    <t>Planning and procurement capacity</t>
  </si>
  <si>
    <t>a1ODm000000Gnw9MAC</t>
  </si>
  <si>
    <t>MCI-01411</t>
  </si>
  <si>
    <t>Regulatory/quality assurance support</t>
  </si>
  <si>
    <t>a1ODm000000GnwAMAS</t>
  </si>
  <si>
    <t>MCI-01412</t>
  </si>
  <si>
    <t>Avoidance, reduction and management of health care waste</t>
  </si>
  <si>
    <t>a1ODm000000GnwBMAS</t>
  </si>
  <si>
    <t>MCI-01413</t>
  </si>
  <si>
    <t>Supply chain information systems</t>
  </si>
  <si>
    <t>a1ODm000000GnwCMAS</t>
  </si>
  <si>
    <t>MCI-01414</t>
  </si>
  <si>
    <t>Augmenting national supply chain system with outsourcing</t>
  </si>
  <si>
    <t>a1ODm000000GnwDMAS</t>
  </si>
  <si>
    <t>MCI-01398</t>
  </si>
  <si>
    <t>RSSH/PP: HRH planning, management and governance including for community health workers (CHWs)</t>
  </si>
  <si>
    <t>a1ODm000000GnvxMAC</t>
  </si>
  <si>
    <t>MCI-01399</t>
  </si>
  <si>
    <t>RSSH/PP: Education and production of new health workers (excluding community health workers)</t>
  </si>
  <si>
    <t>a1ODm000000GnvyMAC</t>
  </si>
  <si>
    <t>MCI-01400</t>
  </si>
  <si>
    <t>RSSH/PP: Remuneration and deployment of existing/new staff (excluding community health workers)</t>
  </si>
  <si>
    <t>a1ODm000000GnvzMAC</t>
  </si>
  <si>
    <t>MCI-01401</t>
  </si>
  <si>
    <t>RSSH/PP: In-service training (excluding community health workers)</t>
  </si>
  <si>
    <t>a1ODm000000Gnw0MAC</t>
  </si>
  <si>
    <t>MCI-01402</t>
  </si>
  <si>
    <t>RSSH/PP: Integrated supportive supervision for health workers (excluding CHWs)</t>
  </si>
  <si>
    <t>a1ODm000000Gnw1MAC</t>
  </si>
  <si>
    <t>MCI-01403</t>
  </si>
  <si>
    <t>RSSH/PP: Quality improvement and capacity building for quality of care</t>
  </si>
  <si>
    <t>a1ODm000000Gnw2MAC</t>
  </si>
  <si>
    <t>MCI-01404</t>
  </si>
  <si>
    <t>RSSH/PP: Community health workers: selection, pre-service training and certification</t>
  </si>
  <si>
    <t>a1ODm000000Gnw3MAC</t>
  </si>
  <si>
    <t>MCI-01405</t>
  </si>
  <si>
    <t>RSSH/PP: Community health workers: contracting, remuneration and retention</t>
  </si>
  <si>
    <t>a1ODm000000Gnw4MAC</t>
  </si>
  <si>
    <t>MCI-01406</t>
  </si>
  <si>
    <t>RSSH/PP: Community health workers: In-service training</t>
  </si>
  <si>
    <t>a1ODm000000Gnw5MAC</t>
  </si>
  <si>
    <t>MCI-01407</t>
  </si>
  <si>
    <t>RSSH/PP: Community health workers: Integrated supportive supervision</t>
  </si>
  <si>
    <t>a1ODm000000Gnw6MAC</t>
  </si>
  <si>
    <t>MCI-01485</t>
  </si>
  <si>
    <t>RSSH/PP: National laboratory governance and management structures</t>
  </si>
  <si>
    <t>a1ODm000000GnxMMAS</t>
  </si>
  <si>
    <t>MCI-01486</t>
  </si>
  <si>
    <t>RSSH/PP: Quality management systems and accreditation</t>
  </si>
  <si>
    <t>a1ODm000000GnxNMAS</t>
  </si>
  <si>
    <t>MCI-01487</t>
  </si>
  <si>
    <t>RSSH/PP: Laboratory Information systems</t>
  </si>
  <si>
    <t>a1ODm000000GnxOMAS</t>
  </si>
  <si>
    <t>MCI-01488</t>
  </si>
  <si>
    <t>RSSH/PP: Network optimization and geospatial analysis</t>
  </si>
  <si>
    <t>a1ODm000000GnxPMAS</t>
  </si>
  <si>
    <t>MCI-01489</t>
  </si>
  <si>
    <t>RSSH/PP: Laboratory-based surveillance</t>
  </si>
  <si>
    <t>a1ODm000000GnxQMAS</t>
  </si>
  <si>
    <t>MCI-01490</t>
  </si>
  <si>
    <t>RSSH/PP: Laboratory supply chain systems</t>
  </si>
  <si>
    <t>a1ODm000000GnxRMAS</t>
  </si>
  <si>
    <t>MCI-01491</t>
  </si>
  <si>
    <t>RSSH/PP: Specimen referral and transport system</t>
  </si>
  <si>
    <t>a1ODm000000GnxSMAS</t>
  </si>
  <si>
    <t>MCI-01492</t>
  </si>
  <si>
    <t>RSSH/PP: Biosafety and biosecurity, infrastructure and equipment</t>
  </si>
  <si>
    <t>a1ODm000000GnxTMAS</t>
  </si>
  <si>
    <t>MCI-01494</t>
  </si>
  <si>
    <t>RSSH/PP: Bulk Oxygen supply</t>
  </si>
  <si>
    <t>a1ODm000000GnxVMAS</t>
  </si>
  <si>
    <t>MCI-01495</t>
  </si>
  <si>
    <t>RSSH/PP: Oxygen distribution and storage</t>
  </si>
  <si>
    <t>a1ODm000000GnxWMAS</t>
  </si>
  <si>
    <t>MCI-01496</t>
  </si>
  <si>
    <t>RSSH/PP: Oxygen delivery and respiratory care</t>
  </si>
  <si>
    <t>a1ODm000000GnxXMAS</t>
  </si>
  <si>
    <t>MCI-01497</t>
  </si>
  <si>
    <t>RSSH/PP: Oxygen support systems</t>
  </si>
  <si>
    <t>a1ODm000000GnxYMAS</t>
  </si>
  <si>
    <t>MCI-01426</t>
  </si>
  <si>
    <t>Routine reporting</t>
  </si>
  <si>
    <t>a1ODm000000GnwPMAS</t>
  </si>
  <si>
    <t>MCI-01427</t>
  </si>
  <si>
    <t>Surveillance for HIV, tuberculosis and malaria</t>
  </si>
  <si>
    <t>a1ODm000000GnwQMAS</t>
  </si>
  <si>
    <t>MCI-01428</t>
  </si>
  <si>
    <t>RSSH/PP: Surveillance for priority epidemic-prone diseases and events</t>
  </si>
  <si>
    <t>a1ODm000000GnwRMAS</t>
  </si>
  <si>
    <t>MCI-01429</t>
  </si>
  <si>
    <t>Surveys</t>
  </si>
  <si>
    <t>a1ODm000000GnwSMAS</t>
  </si>
  <si>
    <t>MCI-01430</t>
  </si>
  <si>
    <t>Data quality</t>
  </si>
  <si>
    <t>a1ODm000000GnwTMAS</t>
  </si>
  <si>
    <t>MCI-01431</t>
  </si>
  <si>
    <t>Analyses, evaluations, reviews and data use</t>
  </si>
  <si>
    <t>a1ODm000000GnwUMAS</t>
  </si>
  <si>
    <t>MCI-01432</t>
  </si>
  <si>
    <t>Administrative data sources</t>
  </si>
  <si>
    <t>a1ODm000000GnwVMAS</t>
  </si>
  <si>
    <t>MCI-01433</t>
  </si>
  <si>
    <t>Civil registration and vital statistics</t>
  </si>
  <si>
    <t>a1ODm000000GnwWMAS</t>
  </si>
  <si>
    <t>MCI-01434</t>
  </si>
  <si>
    <t>Operational Research</t>
  </si>
  <si>
    <t>a1ODm000000GnwXMAS</t>
  </si>
  <si>
    <t>Funding Request Name</t>
  </si>
  <si>
    <t>FR1405-KGZ-C</t>
  </si>
  <si>
    <t>Country (Name)</t>
  </si>
  <si>
    <t>a1A360000013M04EAE</t>
  </si>
  <si>
    <t>Group of Countries (Name)</t>
  </si>
  <si>
    <t>Grant</t>
  </si>
  <si>
    <t>Grant Name</t>
  </si>
  <si>
    <t>Geography (Name)</t>
  </si>
  <si>
    <t>Grant Countries</t>
  </si>
  <si>
    <t>Project (Name)</t>
  </si>
  <si>
    <t>Geography ID</t>
  </si>
  <si>
    <t>[Geography (Name)]</t>
  </si>
  <si>
    <t>[Project (Name)]</t>
  </si>
  <si>
    <t>Azerbaijan</t>
  </si>
  <si>
    <t>a1A360000013M0aEAE</t>
  </si>
  <si>
    <t>Belarus</t>
  </si>
  <si>
    <t>a1A360000013M0rEAE</t>
  </si>
  <si>
    <t>Georgia</t>
  </si>
  <si>
    <t>a1A360000013M0dEAE</t>
  </si>
  <si>
    <t>Kazakhstan</t>
  </si>
  <si>
    <t>a1A360000013M03EAE</t>
  </si>
  <si>
    <t>Moldova</t>
  </si>
  <si>
    <t>a1A360000013M0wEAE</t>
  </si>
  <si>
    <t>Turkmenistan</t>
  </si>
  <si>
    <t>a1A360000013M06EAE</t>
  </si>
  <si>
    <t>Ukraine</t>
  </si>
  <si>
    <t>a1A360000013M10EAE</t>
  </si>
  <si>
    <t>Uzbekistan</t>
  </si>
  <si>
    <t>a1A360000013M07EAE</t>
  </si>
  <si>
    <t>Tajikistan</t>
  </si>
  <si>
    <t>a1A360000013M05EAE</t>
  </si>
  <si>
    <t>Armenia</t>
  </si>
  <si>
    <t>a1A360000013M0ZEAU</t>
  </si>
  <si>
    <t>Djibouti</t>
  </si>
  <si>
    <t>a1A360000013M21EAE</t>
  </si>
  <si>
    <t>Ethiopia</t>
  </si>
  <si>
    <t>a1A360000013M2MEAU</t>
  </si>
  <si>
    <t>Kenya</t>
  </si>
  <si>
    <t>a1A360000013M2XEAU</t>
  </si>
  <si>
    <t>South Sudan</t>
  </si>
  <si>
    <t>a1A360000013M1zEAE</t>
  </si>
  <si>
    <t>Sudan</t>
  </si>
  <si>
    <t>a1A360000013M33EAE</t>
  </si>
  <si>
    <t>Uganda</t>
  </si>
  <si>
    <t>a1A360000013M2kEAE</t>
  </si>
  <si>
    <t>Somalia</t>
  </si>
  <si>
    <t>a1A360000013M2jEAE</t>
  </si>
  <si>
    <t>Benin</t>
  </si>
  <si>
    <t>a1A360000013M3CEAU</t>
  </si>
  <si>
    <t>Mongolia</t>
  </si>
  <si>
    <t>a1A360000013M0CEAU</t>
  </si>
  <si>
    <t>Bhutan</t>
  </si>
  <si>
    <t>a1A360000013M0SEAU</t>
  </si>
  <si>
    <t>Papua New Guinea</t>
  </si>
  <si>
    <t>a1A360000013M1dEAE</t>
  </si>
  <si>
    <t>Malaysia</t>
  </si>
  <si>
    <t>a1A360000013M0IEAU</t>
  </si>
  <si>
    <t>Timor-Leste</t>
  </si>
  <si>
    <t>a1A360000013M0NEAU</t>
  </si>
  <si>
    <t>Lao (Peoples Democratic Republic)</t>
  </si>
  <si>
    <t>a1A360000013M0HEAU</t>
  </si>
  <si>
    <t>IP Countries</t>
  </si>
  <si>
    <t>IP (Name)</t>
  </si>
  <si>
    <t>[Country (Name)]</t>
  </si>
  <si>
    <t>[IP (Name)]</t>
  </si>
  <si>
    <t>Grant Revision</t>
  </si>
  <si>
    <t>Being uploaded from PF(IP)</t>
  </si>
  <si>
    <t>Being uploaded from PF</t>
  </si>
  <si>
    <t>Population By Interventions</t>
  </si>
  <si>
    <t>No  Applicate</t>
  </si>
  <si>
    <t>[Allocation Cycle]</t>
  </si>
  <si>
    <t>Population By Coverage</t>
  </si>
  <si>
    <t>[Name]</t>
  </si>
  <si>
    <t>Performance Framework -Outcome Indicators - Section C</t>
  </si>
  <si>
    <t>Outcome
Indicator
Number</t>
  </si>
  <si>
    <t>Rate Indicator</t>
  </si>
  <si>
    <r>
      <t xml:space="preserve">As a baseline, the results of the 2021 IBBS are presented, weighted by the Bishkek site only, taking into account the size of the social network of respondents. RCHV&amp;HIV report "Biobehavioral HIV survey among people who inject drugs and men who have sex with men in the Kyrgyz Republic, 2021.  </t>
    </r>
    <r>
      <rPr>
        <b/>
        <sz val="11"/>
        <color theme="1"/>
        <rFont val="Arial"/>
        <family val="2"/>
        <charset val="204"/>
      </rPr>
      <t>Numerator</t>
    </r>
    <r>
      <rPr>
        <sz val="11"/>
        <color theme="1"/>
        <rFont val="Arial"/>
        <family val="2"/>
      </rPr>
      <t xml:space="preserve">: Number of men who have sex with men who reported using a condom the last time they had anal sex </t>
    </r>
    <r>
      <rPr>
        <b/>
        <sz val="11"/>
        <color theme="1"/>
        <rFont val="Arial"/>
        <family val="2"/>
        <charset val="204"/>
      </rPr>
      <t>Denominator</t>
    </r>
    <r>
      <rPr>
        <sz val="11"/>
        <color theme="1"/>
        <rFont val="Arial"/>
        <family val="2"/>
      </rPr>
      <t>: Number of men who have sex with men who reported having had anal sex with a male partner in the past six months</t>
    </r>
  </si>
  <si>
    <r>
      <t xml:space="preserve">As a baseline, preliminary 2022 IBBS results are presented, no final report has been submitted at the time of application. </t>
    </r>
    <r>
      <rPr>
        <b/>
        <sz val="11"/>
        <color theme="1"/>
        <rFont val="Arial"/>
        <family val="2"/>
        <charset val="204"/>
      </rPr>
      <t>Numerator</t>
    </r>
    <r>
      <rPr>
        <sz val="11"/>
        <color theme="1"/>
        <rFont val="Arial"/>
        <family val="2"/>
      </rPr>
      <t xml:space="preserve">: Number of sex workers who reported using a condom with their last client </t>
    </r>
    <r>
      <rPr>
        <b/>
        <sz val="11"/>
        <color theme="1"/>
        <rFont val="Arial"/>
        <family val="2"/>
        <charset val="204"/>
      </rPr>
      <t>Denominator</t>
    </r>
    <r>
      <rPr>
        <sz val="11"/>
        <color theme="1"/>
        <rFont val="Arial"/>
        <family val="2"/>
      </rPr>
      <t>: Number of sex workers who reported having commercial sex in the past 12 months</t>
    </r>
  </si>
  <si>
    <r>
      <t>As a baseline, the results of the 2021 IBBS are presented, weighted by the size of the social network of respondents. RCHV&amp;HIV report "Biobehavioral HIV Research among Transgender People, Bishkek, 2021</t>
    </r>
    <r>
      <rPr>
        <b/>
        <sz val="11"/>
        <color theme="1"/>
        <rFont val="Arial"/>
        <family val="2"/>
        <charset val="204"/>
      </rPr>
      <t>. Numerator</t>
    </r>
    <r>
      <rPr>
        <sz val="11"/>
        <color theme="1"/>
        <rFont val="Arial"/>
        <family val="2"/>
      </rPr>
      <t xml:space="preserve">: Number of transgender people who reported using a condom at last sexual intercourse or anal sex </t>
    </r>
    <r>
      <rPr>
        <b/>
        <sz val="11"/>
        <color theme="1"/>
        <rFont val="Arial"/>
        <family val="2"/>
        <charset val="204"/>
      </rPr>
      <t>Denominator</t>
    </r>
    <r>
      <rPr>
        <sz val="11"/>
        <color theme="1"/>
        <rFont val="Arial"/>
        <family val="2"/>
      </rPr>
      <t>:Number of transgender people surveyed who reported having sexual intercourse or anal sex in the past six months</t>
    </r>
  </si>
  <si>
    <r>
      <t xml:space="preserve">As a baseline, the results of the 2021 IBBS are presented, weighted by the size of the social network of respondents. RCHV&amp;HIV report "Biobehavioral HIV Research among Transgender People, Bishkek, 2021. </t>
    </r>
    <r>
      <rPr>
        <b/>
        <sz val="11"/>
        <color theme="1"/>
        <rFont val="Arial"/>
        <family val="2"/>
        <charset val="204"/>
      </rPr>
      <t>Numerator</t>
    </r>
    <r>
      <rPr>
        <sz val="11"/>
        <color theme="1"/>
        <rFont val="Arial"/>
        <family val="2"/>
      </rPr>
      <t xml:space="preserve">: Number of people who inject drugs who report using sterile injecting equipment the last time they injected drugs </t>
    </r>
    <r>
      <rPr>
        <b/>
        <sz val="11"/>
        <color theme="1"/>
        <rFont val="Arial"/>
        <family val="2"/>
        <charset val="204"/>
      </rPr>
      <t>Denominator</t>
    </r>
    <r>
      <rPr>
        <sz val="11"/>
        <color theme="1"/>
        <rFont val="Arial"/>
        <family val="2"/>
      </rPr>
      <t>: Number of people who inject drugs who report injecting drugs in the past month</t>
    </r>
  </si>
  <si>
    <t>RCHV&amp;HIV, Electronic HIV Case Tracking System</t>
  </si>
  <si>
    <r>
      <rPr>
        <b/>
        <sz val="11"/>
        <color theme="1"/>
        <rFont val="Arial"/>
        <family val="2"/>
        <charset val="204"/>
      </rPr>
      <t>Numerator</t>
    </r>
    <r>
      <rPr>
        <sz val="11"/>
        <color theme="1"/>
        <rFont val="Arial"/>
        <family val="2"/>
      </rPr>
      <t xml:space="preserve">: Number of people living with HIV who know their HIV status. 
</t>
    </r>
    <r>
      <rPr>
        <b/>
        <sz val="11"/>
        <color theme="1"/>
        <rFont val="Arial"/>
        <family val="2"/>
        <charset val="204"/>
      </rPr>
      <t>Denominator</t>
    </r>
    <r>
      <rPr>
        <sz val="11"/>
        <color theme="1"/>
        <rFont val="Arial"/>
        <family val="2"/>
      </rPr>
      <t xml:space="preserve">: Number of people living with HIV (estimated numbers according to the SPECTRUM data. 
 </t>
    </r>
  </si>
  <si>
    <r>
      <rPr>
        <b/>
        <sz val="11"/>
        <color theme="1"/>
        <rFont val="Arial"/>
        <family val="2"/>
        <charset val="204"/>
      </rPr>
      <t>Numerator:</t>
    </r>
    <r>
      <rPr>
        <sz val="11"/>
        <color theme="1"/>
        <rFont val="Arial"/>
        <family val="2"/>
      </rPr>
      <t xml:space="preserve"> Number of people living with HIV on ART for at least 6 months and with at least one routine VL test result who have virological suppression (&lt;1000 copies/mL) during the reporting period </t>
    </r>
    <r>
      <rPr>
        <b/>
        <sz val="11"/>
        <color theme="1"/>
        <rFont val="Arial"/>
        <family val="2"/>
        <charset val="204"/>
      </rPr>
      <t>Denominator</t>
    </r>
    <r>
      <rPr>
        <sz val="11"/>
        <color theme="1"/>
        <rFont val="Arial"/>
        <family val="2"/>
      </rPr>
      <t xml:space="preserve">: Number of people living with HIV on ART for at least 6 months with at least one routine VL result in a medical or lab record during the reporting period. </t>
    </r>
  </si>
  <si>
    <t>Index Stigmy-2.0</t>
  </si>
  <si>
    <r>
      <t xml:space="preserve">The last PLHIV Stigma Index was conducted in 2020-2022, with the next Stigma Index scheduled for 2023. A report on the results of the study is provided by: https://www.stigmaindex.org/country-reports/#/m/KG                    </t>
    </r>
    <r>
      <rPr>
        <b/>
        <sz val="11"/>
        <color theme="1"/>
        <rFont val="Arial"/>
        <family val="2"/>
        <charset val="204"/>
      </rPr>
      <t>Numerator</t>
    </r>
    <r>
      <rPr>
        <sz val="11"/>
        <color theme="1"/>
        <rFont val="Arial"/>
        <family val="2"/>
      </rPr>
      <t xml:space="preserve">: Number of respondents who respond in the affirmative (“Yes”) to at least one of the seven items per question </t>
    </r>
    <r>
      <rPr>
        <b/>
        <sz val="11"/>
        <color theme="1"/>
        <rFont val="Arial"/>
        <family val="2"/>
        <charset val="204"/>
      </rPr>
      <t>Denominator</t>
    </r>
    <r>
      <rPr>
        <sz val="11"/>
        <color theme="1"/>
        <rFont val="Arial"/>
        <family val="2"/>
      </rPr>
      <t>: Number of survey respondents</t>
    </r>
  </si>
  <si>
    <t>Global TB report</t>
  </si>
  <si>
    <t>This indicator was included first time in the grant application in 2018-2020, and up to COVID-19 pandemic continuously approved: 77% in 2017, 87% in 2018 and 2019. Due to COVID-19 related impact, the TB treatment coverage decreased till 62% in 2020, and continues to decline in 2021 (54%). It is expected that activities within active case finding, contact investigation and screening will contribute to detection of TB cases to be enrolled on treatment. Thus, TB treatment coverage will be improving: 60% in 2024, 65% in 2025 and 70% in 2026. Numerator: Number of new and relapse cases that were notified and treated. Denominator: Estimated number of incident people with TB in the same year (all form of TB - bacteriologically confirmed plus clinically diagnosed). Data will be reported based on published WHO Global TB report: 2024 – to be reported in October 2025, 2025 - to be reported in October 2026, 2026 - to be reported in October 2027.</t>
  </si>
  <si>
    <t>The report of the National TB CEnter</t>
  </si>
  <si>
    <t>Only the comprehensive patient-oriented approach and availability of the most effective treatment schemes countrywide promote improving the treatment results. It is envisaged, that 40-50% RR/MDR TB patient will be covered by new shorten regimens (BPaL and BPalM), which also contribute to increasing a treatment success rate in the country. Kyrgyzstan will achieve the 2025 WHO Europe regional milestone (≥80% treatment success). Numerator: Number of bacteriologically-confirmed RR and/or MDR-TB cases enrolled on second-line anti-TB treatment during the year of assessment who are successfully treated (cured plus completed treatment). Denominator: Total number of bacteriologically-confirmed RR TB and/or MDR-TB cases enrolled on second-line anti-TB treatment during the year of assessment. The National annual TB report. The data reporting tool for this indicator relates to the quarterly TB 08 U form.
According to the reporting cycle applied in the country (National Guidance on M&amp;E), the results on cohort 2022 will be assessed in 2024 and data will be available in April 2025. The data will be collected, processed and provided by NTP.</t>
  </si>
  <si>
    <t>TB Index Stigma Assesment</t>
  </si>
  <si>
    <t>The baseline data will be available in the end of 2023 when the TB Stigma Assessment (the first stigma assessment which is conducted by community using the Stigma Assessment Tool developed by Stop TB Partnership) is completed. Based on results of the Assessment, the targets will be defined. Numerator: Number of people diagnosed with TB who report stigma in health care settings that inhibited them from seeking and accessing TB services. Denominator: Number of people diagnosed with TB who participated at the TB Stigma Assessment. The results will be collected once in year 2025 and reported in 2026.</t>
  </si>
  <si>
    <t>Performance Framework - Coverage Indicators - Section D</t>
  </si>
  <si>
    <t>Coverage Indicator Number</t>
  </si>
  <si>
    <t>Include in GF results</t>
  </si>
  <si>
    <t>Country / Scope of targets</t>
  </si>
  <si>
    <t>coverage displayMap row no.</t>
  </si>
  <si>
    <t>coverage target  dispalymap Row NO</t>
  </si>
  <si>
    <t>Reverse - standard indicator</t>
  </si>
  <si>
    <t>Reverse - custom indicator</t>
  </si>
  <si>
    <t>Administrative reports</t>
  </si>
  <si>
    <t>Yes</t>
  </si>
  <si>
    <r>
      <t xml:space="preserve">For 2022 there are no up-to-date data on the estimate of the number of MSM in the country. The last IBBS was conducted in 2021 with the technical support of the CDC, but only for Bishkek, the IBBS for Osh could not be conducted. The denominator shows the MSM population estimates for 2016, the denominator will be revised after the MSM population estimate in the new cycle.                                                                           </t>
    </r>
    <r>
      <rPr>
        <b/>
        <sz val="11"/>
        <color theme="1"/>
        <rFont val="Arial"/>
        <family val="2"/>
        <charset val="204"/>
      </rPr>
      <t>Numerator</t>
    </r>
    <r>
      <rPr>
        <sz val="11"/>
        <color theme="1"/>
        <rFont val="Arial"/>
        <family val="2"/>
      </rPr>
      <t xml:space="preserve">: Number of clients of the organization (UIC) who received at least once the minimal package of services (condoms and information component (IEM and/or counseling) during the reporting period. The results will also include those who received a minimum package of services through the online platform. For 1 year of implementation the minimum package through the online platform is 10% of the total coverage, the second year-15%, the third year-20%. </t>
    </r>
    <r>
      <rPr>
        <b/>
        <sz val="11"/>
        <color theme="1"/>
        <rFont val="Arial"/>
        <family val="2"/>
        <charset val="204"/>
      </rPr>
      <t>Denumerator</t>
    </r>
    <r>
      <rPr>
        <sz val="11"/>
        <color theme="1"/>
        <rFont val="Arial"/>
        <family val="2"/>
      </rPr>
      <t xml:space="preserve">: Estimated number of men who have sex with men in the targeted area </t>
    </r>
  </si>
  <si>
    <r>
      <rPr>
        <sz val="11"/>
        <color rgb="FF000000"/>
        <rFont val="Arial"/>
        <family val="2"/>
        <charset val="204"/>
      </rPr>
      <t xml:space="preserve">For 2022 there is no current data on the estimate of the number of SW in the country. Analysis of data on SW has not been completed. In the denominator there are estimates of the number of SW in 2013.              </t>
    </r>
    <r>
      <rPr>
        <b/>
        <sz val="11"/>
        <color rgb="FF000000"/>
        <rFont val="Arial"/>
        <family val="2"/>
        <charset val="204"/>
      </rPr>
      <t>Numerator</t>
    </r>
    <r>
      <rPr>
        <sz val="11"/>
        <color rgb="FF000000"/>
        <rFont val="Arial"/>
        <family val="2"/>
        <charset val="204"/>
      </rPr>
      <t xml:space="preserve">: Number of clients of the organization (UIC) who received at least once the minimal package of services (condoms and information component (IEM and/or counseling) during the reporting period. The results will also include those who received a minimum package of services through the online platform. For 1 year of implementation the minimum package through the online platform is 10% of the total coverage, the second year-15%, the third year-20%. </t>
    </r>
    <r>
      <rPr>
        <b/>
        <sz val="11"/>
        <color rgb="FF000000"/>
        <rFont val="Arial"/>
        <family val="2"/>
        <charset val="204"/>
      </rPr>
      <t>Denumerator</t>
    </r>
    <r>
      <rPr>
        <sz val="11"/>
        <color rgb="FF000000"/>
        <rFont val="Arial"/>
        <family val="2"/>
        <charset val="204"/>
      </rPr>
      <t>: Estimated number of SW in the targeted area. Coverage of SWs in this cycle was not fully achieved for various reasons. Coverage of SWs in this cycle was not fully achieved for various reasons.</t>
    </r>
  </si>
  <si>
    <r>
      <rPr>
        <sz val="11"/>
        <color rgb="FF000000"/>
        <rFont val="Arial"/>
        <family val="2"/>
        <charset val="204"/>
      </rPr>
      <t xml:space="preserve">In the denominator program data on coverage of TG people in the framework of UNDP/GF project for 2022, there is no estimated data on the number of TG people in the country. In 2022 there was an attempt to conduct IBBS among TG people (RDS was used), but 56 TG people took part in IBBS and did not reach convergence.                                                               </t>
    </r>
    <r>
      <rPr>
        <b/>
        <sz val="11"/>
        <color rgb="FF000000"/>
        <rFont val="Arial"/>
        <family val="2"/>
        <charset val="204"/>
      </rPr>
      <t>Numerator</t>
    </r>
    <r>
      <rPr>
        <sz val="11"/>
        <color rgb="FF000000"/>
        <rFont val="Arial"/>
        <family val="2"/>
        <charset val="204"/>
      </rPr>
      <t>: Number of clients of the organization (UIC) who received at least once the minimal package of services (condoms and information component (IEM and/or counseling) during the reporting period. The results will also include those who received a minimum package of services through the online platform. For 1 year of implementation the minimum package through the online platform is 10% of the total coverage, the second year-15%, the third year-20%.</t>
    </r>
    <r>
      <rPr>
        <b/>
        <sz val="11"/>
        <color rgb="FF000000"/>
        <rFont val="Arial"/>
        <family val="2"/>
        <charset val="204"/>
      </rPr>
      <t xml:space="preserve"> Denumerator</t>
    </r>
    <r>
      <rPr>
        <sz val="11"/>
        <color rgb="FF000000"/>
        <rFont val="Arial"/>
        <family val="2"/>
        <charset val="204"/>
      </rPr>
      <t>: Number of TG people in the project. In this cycle, there was no separate indicator for the TG group, TG people were in MSM coverage.</t>
    </r>
  </si>
  <si>
    <r>
      <rPr>
        <sz val="11"/>
        <color rgb="FF000000"/>
        <rFont val="Arial"/>
        <family val="2"/>
        <charset val="204"/>
      </rPr>
      <t xml:space="preserve">According to the 2021 PWID data, the estimate of the number of PWID in the country was 11,500, while the coverage of PWID by prevention programs was 17,379 for the year 2022. The denominator is program data, but prevention programs do not cover all PWID in the country, so the denominator is set at 20,000. After assessing the number of PWID in the country, the denominator will be revised.                                                                               </t>
    </r>
    <r>
      <rPr>
        <b/>
        <sz val="11"/>
        <color rgb="FF000000"/>
        <rFont val="Arial"/>
        <family val="2"/>
        <charset val="204"/>
      </rPr>
      <t>Numerato</t>
    </r>
    <r>
      <rPr>
        <sz val="11"/>
        <color rgb="FF000000"/>
        <rFont val="Arial"/>
        <family val="2"/>
        <charset val="204"/>
      </rPr>
      <t xml:space="preserve">r: Number of clients of the organization (UIC) who received at least once the minimal package of services (syringes, condoms, information component). The results will also include those who received a minimum package of services through the online platform. For 1 year of implementation the minimum package through the online platform is 10% of the total coverage, the second year-15%, the third year-20%. </t>
    </r>
    <r>
      <rPr>
        <b/>
        <sz val="11"/>
        <color rgb="FF000000"/>
        <rFont val="Arial"/>
        <family val="2"/>
        <charset val="204"/>
      </rPr>
      <t>Denumerator</t>
    </r>
    <r>
      <rPr>
        <sz val="11"/>
        <color rgb="FF000000"/>
        <rFont val="Arial"/>
        <family val="2"/>
        <charset val="204"/>
      </rPr>
      <t xml:space="preserve">: Estimated number of PWID in the targeted area.  </t>
    </r>
  </si>
  <si>
    <t>Electronic HIV Case Tracking System and RCHV&amp;HIV report
and data from UNAIDS (Estimated Number on PLHIV)</t>
  </si>
  <si>
    <t>In the previous cycle, the target for MSM pre-exposure prophylaxis coverage was 150 MSM per year, an indicator new to the country; in the new cycle the target is 170 MSM per year, in the second year 200, in the third year 250.                                                                                                 Number of clients (UIC) who received pre-treatment counseling services and were accompanied to the AIDS Center for pre-exposure prophylaxis in this reporting period.</t>
  </si>
  <si>
    <r>
      <rPr>
        <b/>
        <sz val="11"/>
        <color theme="1"/>
        <rFont val="Arial"/>
        <family val="2"/>
        <charset val="204"/>
      </rPr>
      <t>Numerator</t>
    </r>
    <r>
      <rPr>
        <sz val="11"/>
        <color theme="1"/>
        <rFont val="Arial"/>
        <family val="2"/>
      </rPr>
      <t xml:space="preserve">: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t>
    </r>
    <r>
      <rPr>
        <b/>
        <sz val="11"/>
        <color theme="1"/>
        <rFont val="Arial"/>
        <family val="2"/>
        <charset val="204"/>
      </rPr>
      <t>Denumerator</t>
    </r>
    <r>
      <rPr>
        <sz val="11"/>
        <color theme="1"/>
        <rFont val="Arial"/>
        <family val="2"/>
      </rPr>
      <t>: The number of program clients covered by the minimum package of services
Each quarter, different clients (UIC) must be tested, so the number of customers tested for quarters in total should give the total number of customers tested (UIC) for six months</t>
    </r>
    <r>
      <rPr>
        <sz val="11"/>
        <color theme="1"/>
        <rFont val="Arial"/>
        <family val="2"/>
        <charset val="204"/>
      </rPr>
      <t xml:space="preserve">. </t>
    </r>
  </si>
  <si>
    <r>
      <rPr>
        <b/>
        <sz val="11"/>
        <color rgb="FF000000"/>
        <rFont val="Arial"/>
        <family val="2"/>
        <charset val="204"/>
      </rPr>
      <t>Numerator</t>
    </r>
    <r>
      <rPr>
        <sz val="11"/>
        <color rgb="FF000000"/>
        <rFont val="Arial"/>
        <family val="2"/>
        <charset val="204"/>
      </rPr>
      <t xml:space="preserve">: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t>
    </r>
    <r>
      <rPr>
        <b/>
        <sz val="11"/>
        <color rgb="FF000000"/>
        <rFont val="Arial"/>
        <family val="2"/>
        <charset val="204"/>
      </rPr>
      <t>Denumerator</t>
    </r>
    <r>
      <rPr>
        <sz val="11"/>
        <color rgb="FF000000"/>
        <rFont val="Arial"/>
        <family val="2"/>
        <charset val="204"/>
      </rPr>
      <t>: The number of program clients covered by the minimum package of services
Each quarter, different clients (UIC) must be tested, so the number of customers tested for quarters in total should give the total number of customers tested (UIC) for six months. Due to the fact that SW coverage with the minimum package of services is not achieved, testing coverage was also not achieved in this cycle.</t>
    </r>
  </si>
  <si>
    <r>
      <rPr>
        <b/>
        <sz val="11"/>
        <color rgb="FF000000"/>
        <rFont val="Arial"/>
        <family val="2"/>
        <charset val="204"/>
      </rPr>
      <t>Numerator</t>
    </r>
    <r>
      <rPr>
        <sz val="11"/>
        <color rgb="FF000000"/>
        <rFont val="Arial"/>
        <family val="2"/>
        <charset val="204"/>
      </rPr>
      <t xml:space="preserve">: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t>
    </r>
    <r>
      <rPr>
        <b/>
        <sz val="11"/>
        <color rgb="FF000000"/>
        <rFont val="Arial"/>
        <family val="2"/>
        <charset val="204"/>
      </rPr>
      <t>Denumerator</t>
    </r>
    <r>
      <rPr>
        <sz val="11"/>
        <color rgb="FF000000"/>
        <rFont val="Arial"/>
        <family val="2"/>
        <charset val="204"/>
      </rPr>
      <t>: The number of program clients covered by the minimum package of services
Each quarter, different clients (UIC) must be tested, so the number of customers tested for quarters in total should give the total number of customers tested (UIC) for six months. In this cycle, there was no separate indicator for the TG group, TG people were in MSM coverage.</t>
    </r>
  </si>
  <si>
    <r>
      <rPr>
        <b/>
        <sz val="11"/>
        <color theme="1"/>
        <rFont val="Arial"/>
        <family val="2"/>
        <charset val="204"/>
      </rPr>
      <t>Numerator:</t>
    </r>
    <r>
      <rPr>
        <sz val="11"/>
        <color theme="1"/>
        <rFont val="Arial"/>
        <family val="2"/>
      </rPr>
      <t xml:space="preserve">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t>
    </r>
    <r>
      <rPr>
        <b/>
        <sz val="11"/>
        <color theme="1"/>
        <rFont val="Arial"/>
        <family val="2"/>
        <charset val="204"/>
      </rPr>
      <t>Denumerato</t>
    </r>
    <r>
      <rPr>
        <sz val="11"/>
        <color theme="1"/>
        <rFont val="Arial"/>
        <family val="2"/>
      </rPr>
      <t>r: The number of program clients covered by the minimum package of services
Each quarter, different clients (UIC) must be tested, so the number of customers tested for quarters in total should give the total number of customers tested (UIC) for six months</t>
    </r>
  </si>
  <si>
    <t xml:space="preserve">VCT register, consolidated table on SSES in Excel table </t>
  </si>
  <si>
    <r>
      <rPr>
        <b/>
        <sz val="11"/>
        <color theme="1"/>
        <rFont val="Arial"/>
        <family val="2"/>
        <charset val="204"/>
      </rPr>
      <t>Numerator</t>
    </r>
    <r>
      <rPr>
        <sz val="11"/>
        <color theme="1"/>
        <rFont val="Arial"/>
        <family val="2"/>
      </rPr>
      <t xml:space="preserve">:The number of clients (UIN) who passed a rapid HIV testing in this reporting period (including pre and post counseling) or received referrals for HIV testing. </t>
    </r>
    <r>
      <rPr>
        <b/>
        <sz val="11"/>
        <color theme="1"/>
        <rFont val="Arial"/>
        <family val="2"/>
        <charset val="204"/>
      </rPr>
      <t>Denumerator</t>
    </r>
    <r>
      <rPr>
        <sz val="11"/>
        <color theme="1"/>
        <rFont val="Arial"/>
        <family val="2"/>
      </rPr>
      <t>: The number of prison population                                                            Each quarter should be tested different clients ans the sum of tested cleints is the number of tested for the Semester. 
Every year  71% people in prison should be tested for HIV and know their results.</t>
    </r>
  </si>
  <si>
    <r>
      <rPr>
        <b/>
        <sz val="11"/>
        <color theme="1"/>
        <rFont val="Arial"/>
        <family val="2"/>
        <charset val="204"/>
      </rPr>
      <t>Numerator</t>
    </r>
    <r>
      <rPr>
        <sz val="11"/>
        <color theme="1"/>
        <rFont val="Arial"/>
        <family val="2"/>
      </rPr>
      <t xml:space="preserve">: Number of people on ART at the end of the reporting period. 
</t>
    </r>
    <r>
      <rPr>
        <b/>
        <sz val="11"/>
        <color theme="1"/>
        <rFont val="Arial"/>
        <family val="2"/>
        <charset val="204"/>
      </rPr>
      <t>Denominator</t>
    </r>
    <r>
      <rPr>
        <sz val="11"/>
        <color theme="1"/>
        <rFont val="Arial"/>
        <family val="2"/>
      </rPr>
      <t>: Estimated number of people living with HIV (data - generated by SPECTRUM) according to the UNAIDS (average numbers, pls refer to the link for more information: ahttp://aidsinfo.unaids.org/). The updated data according to the Spectrum on denominator will be provided in each reporting period. It is expected that all measures within the grant in support of HIV new cases identification and adherence to ART will allow country to achieve target 95.</t>
    </r>
  </si>
  <si>
    <r>
      <rPr>
        <b/>
        <sz val="11"/>
        <color theme="1"/>
        <rFont val="Arial"/>
        <family val="2"/>
        <charset val="204"/>
      </rPr>
      <t>Numerator</t>
    </r>
    <r>
      <rPr>
        <sz val="11"/>
        <color theme="1"/>
        <rFont val="Arial"/>
        <family val="2"/>
      </rPr>
      <t xml:space="preserve">: Number of adults (15 and above) on ART at the end of the reporting period. 
</t>
    </r>
    <r>
      <rPr>
        <b/>
        <sz val="11"/>
        <color theme="1"/>
        <rFont val="Arial"/>
        <family val="2"/>
        <charset val="204"/>
      </rPr>
      <t>Denominator</t>
    </r>
    <r>
      <rPr>
        <sz val="11"/>
        <color theme="1"/>
        <rFont val="Arial"/>
        <family val="2"/>
      </rPr>
      <t>: Estimated number of adults (15 and above) living with HIV (data - generated by SPECTRUM) according to the UNAIDS (average numbers, pls refer to the link for more information: ahttp://aidsinfo.unaids.org/). The updated data according to the Spectrum on denominator will be provided in each reporting period. It is expected that all measures within the grant in support of HIV new cases identification and adherence to ART will allow country to achieve target 95.</t>
    </r>
  </si>
  <si>
    <r>
      <rPr>
        <b/>
        <sz val="11"/>
        <color theme="1"/>
        <rFont val="Arial"/>
        <family val="2"/>
        <charset val="204"/>
      </rPr>
      <t>Numerator</t>
    </r>
    <r>
      <rPr>
        <sz val="11"/>
        <color theme="1"/>
        <rFont val="Arial"/>
        <family val="2"/>
      </rPr>
      <t xml:space="preserve">: Number of children (under 15) ART at the end of the reporting period. 
</t>
    </r>
    <r>
      <rPr>
        <b/>
        <sz val="11"/>
        <color theme="1"/>
        <rFont val="Arial"/>
        <family val="2"/>
        <charset val="204"/>
      </rPr>
      <t>Denominator</t>
    </r>
    <r>
      <rPr>
        <sz val="11"/>
        <color theme="1"/>
        <rFont val="Arial"/>
        <family val="2"/>
      </rPr>
      <t>: Estimated number of children (under 15) living with HIV (data - generated by SPECTRUM) according to the UNAIDS (average numbers, pls refer to the link for more information: ahttp://aidsinfo.unaids.org/). The updated data according to the Spectrum on denominator will be provided in each reporting period. It is expected that all measures within the grant in support of HIV new cases identification and adherence to ART will allow country to achieve target 95.</t>
    </r>
  </si>
  <si>
    <r>
      <rPr>
        <b/>
        <sz val="11"/>
        <color theme="1"/>
        <rFont val="Arial"/>
        <family val="2"/>
        <charset val="204"/>
      </rPr>
      <t>Numerator</t>
    </r>
    <r>
      <rPr>
        <sz val="11"/>
        <color theme="1"/>
        <rFont val="Arial"/>
        <family val="2"/>
      </rPr>
      <t xml:space="preserve">: Number of HIV-positive new and relapsed TB patients started on TB treatment during the reporting period who are already on ART or who start on ART during TB treatment. 
</t>
    </r>
    <r>
      <rPr>
        <b/>
        <sz val="11"/>
        <color theme="1"/>
        <rFont val="Arial"/>
        <family val="2"/>
        <charset val="204"/>
      </rPr>
      <t>Denominator</t>
    </r>
    <r>
      <rPr>
        <sz val="11"/>
        <color theme="1"/>
        <rFont val="Arial"/>
        <family val="2"/>
      </rPr>
      <t xml:space="preserve">: Number of HIV-positive new and relapsed TB patients registered during the reporting period. The indicator is linked to percentage and absolute numbers will be provided when 
reporting results. </t>
    </r>
  </si>
  <si>
    <r>
      <rPr>
        <b/>
        <sz val="11"/>
        <color theme="1"/>
        <rFont val="Arial"/>
        <family val="2"/>
        <charset val="204"/>
      </rPr>
      <t>Numerator</t>
    </r>
    <r>
      <rPr>
        <sz val="11"/>
        <color theme="1"/>
        <rFont val="Arial"/>
        <family val="2"/>
      </rPr>
      <t xml:space="preserve">: Number of people who inject drugs and are receiving opioid substitution therapy at a specified date                                                     </t>
    </r>
    <r>
      <rPr>
        <b/>
        <sz val="11"/>
        <color theme="1"/>
        <rFont val="Arial"/>
        <family val="2"/>
        <charset val="204"/>
      </rPr>
      <t>Denominator</t>
    </r>
    <r>
      <rPr>
        <sz val="11"/>
        <color theme="1"/>
        <rFont val="Arial"/>
        <family val="2"/>
      </rPr>
      <t>: Estimated number of opioid-dependent people who inject drugs in the targeted area</t>
    </r>
    <r>
      <rPr>
        <sz val="11"/>
        <color theme="1"/>
        <rFont val="Arial"/>
        <family val="2"/>
        <charset val="204"/>
      </rPr>
      <t xml:space="preserve">.                                                                      About 5% of PWID in the country are in the OST program each year. Given that the drug scene in the country is changing and new substance users are emerging, the number of OST participants is decreasing from year to year. The results for 2022 are taken as a baseline. </t>
    </r>
  </si>
  <si>
    <r>
      <rPr>
        <b/>
        <sz val="11"/>
        <color theme="1"/>
        <rFont val="Arial"/>
        <family val="2"/>
        <charset val="204"/>
      </rPr>
      <t>Numerator</t>
    </r>
    <r>
      <rPr>
        <sz val="11"/>
        <color theme="1"/>
        <rFont val="Arial"/>
        <family val="2"/>
      </rPr>
      <t xml:space="preserve">: Number of people newly diagnosed with HIV during the reporting period who started ART. Initiation on ART will be measured for treatment initiation- 30 days of diagnosis. Thus, people newly diagnosed with HIV should start treatment within 30 days after they are diagnosed. </t>
    </r>
    <r>
      <rPr>
        <b/>
        <sz val="11"/>
        <color theme="1"/>
        <rFont val="Arial"/>
        <family val="2"/>
        <charset val="204"/>
      </rPr>
      <t>Denominator</t>
    </r>
    <r>
      <rPr>
        <sz val="11"/>
        <color theme="1"/>
        <rFont val="Arial"/>
        <family val="2"/>
      </rPr>
      <t xml:space="preserve">: Number of people 
newly diagnosed with HIV during the reporting period. Denominator will include number of people newly diagnosed with HIV during the reporting period who already have 30 days of diagnosis. 
Disaggregated reporting by time period after diagnosis (30 days) provides an indication of the quality of care with respect to national guidelines on when treatment should be started. This indicator will be reported on annual basis. </t>
    </r>
  </si>
  <si>
    <t>Electronic HIV Case Tracking System and RCHV&amp;HIV report</t>
  </si>
  <si>
    <t>In the previous cycle, the self-test service was not available. For the next cycle 2024-2026, it is planned to cover part of the clients of preventive programs through the online platform. Since the indicator is new, 80-90% of coverage through the online platform is planned to be covered by self-testing.</t>
  </si>
  <si>
    <t>Treatment, Care and Support</t>
  </si>
  <si>
    <r>
      <t>Аs a baseline, the results for 2022 are taken.</t>
    </r>
    <r>
      <rPr>
        <b/>
        <sz val="11"/>
        <color theme="1"/>
        <rFont val="Arial"/>
        <family val="2"/>
        <charset val="204"/>
      </rPr>
      <t xml:space="preserve">                                    Numerator</t>
    </r>
    <r>
      <rPr>
        <sz val="11"/>
        <color theme="1"/>
        <rFont val="Arial"/>
        <family val="2"/>
      </rPr>
      <t>: Number of people living with HIV and currently on ART who received 3 – 5 or &gt;6 months of ARV medicine at their most recent ARV medicine pick-up</t>
    </r>
    <r>
      <rPr>
        <sz val="11"/>
        <color theme="1"/>
        <rFont val="Arial"/>
        <family val="2"/>
        <charset val="204"/>
      </rPr>
      <t xml:space="preserve">                                                                          </t>
    </r>
    <r>
      <rPr>
        <b/>
        <sz val="11"/>
        <color theme="1"/>
        <rFont val="Arial"/>
        <family val="2"/>
        <charset val="204"/>
      </rPr>
      <t>Denominator</t>
    </r>
    <r>
      <rPr>
        <sz val="11"/>
        <color theme="1"/>
        <rFont val="Arial"/>
        <family val="2"/>
        <charset val="204"/>
      </rPr>
      <t>: Number of people living with HIV and currently on ART</t>
    </r>
  </si>
  <si>
    <t>The report of the National TB center</t>
  </si>
  <si>
    <t xml:space="preserve">The number of reported TB cases annually, including RR/MDR-TB, has fallen by more than 30% during the COVID-19 period. In 2021, 918 confirmed RR/MDR-TB cases were notified, which is 37% lower than in 2019 (1468). The total number of RR/MDR-TB cases was 968 in 2021, 5.2% of them were clinically diagnosed cases.
It is expected that activities aimed at active case finding and contact testing, as well as improved access to rapid diagnostic methods recommended by WHO, will increase the number of detected TB cases in 2024-2026 and return to 2019 level. Thus, it is planned that in 2024 about 1200 RR/MDR-TB cases will be detected, incl. 1150 confirmed RR/MDR-TB cases, in 2025 - about 1250 cases, incl. 1200 confirmed RR/MDR-TB cases, and in 2026 - more than 1300, incl. 1250 confirmed RR/MDR-TB cases. Numerator: Number of bacteriologically confirmed RR-TB and/or MDR-TB cases notified. Denominator: Not applicable. The source of information is TB06U form. The reporting cycle for 2024-2026 will be applied in the Q-1 modality: the data on 2024 will be available in April 2025, etc. The data will be collected, processed and provided by NTP.
</t>
  </si>
  <si>
    <t>It is expected that at least 98% of notified RR/MDR TB cases will be enrolled on SL TB treatment. Numerator: Number of people with bacteriologically confirmed RR-TB and/or MDR-TB notified and started on second-line treatment regimen during the specified reporting period. Denominator: Total number of people with bacteriologically confirmed RR-TB and/or MDR-TB notified during the same reporting period. The source of information is TB06U form. XDR TB cases are included. The reporting cycle for 2024-2026 will be applied in the Q-1 modality: the data on 2024 will be available in April 2025, etc. The data will be collected, processed, and provided by NTP.</t>
  </si>
  <si>
    <t>Testing for drug susceptibility for WHO recommended drugs is essential to provide the right treatment for every person diagnosed with TB. Numerator: Number of TB patients with DST results in the specified reporting period. DST coverage includes results from molecular diagnostic tests (e.g. Xpert MTB/RIF, Xpert MTB/RIF Ultra, Truenat MTB) as well as conventional phenotypic DST results. Denominator: The denominator should include all bacteriologically confirmed new and retreatment TB cases. The denominator should include total cases notified including new, relapse and other retreatment.</t>
  </si>
  <si>
    <t>The baseline data includes only bacteriologically confirmed RR/MDR TB cases notified. Totally 986 RR/MDR TB cases were notified in 2021, 726 out of them (74%) have DST result to FQ. Numerator: Number of RR/MDR-TB patients with DST results for Fluoroquinolone in the specified reporting period. Denominator: Total number of notified RR/MDR-TB patients in the same reporting period. The source of the data is TB o6 Table 3 Form.  The National annual report. The reporting cycle for 2024-2026 will be applied in the Q-1 modality: the data on 2024 will be available in April 2025, etc. The data will be collected, processed, and provided by NTP.</t>
  </si>
  <si>
    <t>Performance Framework - Disaggregation - Section E</t>
  </si>
  <si>
    <t>Coverage</t>
  </si>
  <si>
    <t xml:space="preserve">                                                     </t>
  </si>
  <si>
    <t>Impact Indicator Disaggregation</t>
  </si>
  <si>
    <t>record id</t>
  </si>
  <si>
    <t xml:space="preserve">Impact Indicator Name </t>
  </si>
  <si>
    <t>Category</t>
  </si>
  <si>
    <t>Disaggregation</t>
  </si>
  <si>
    <t>AIDS deaths for 2021 are presented as the baseline (40). The largest number of deaths among men, in the age category of 15 years and older.</t>
  </si>
  <si>
    <t>IBBS</t>
  </si>
  <si>
    <t xml:space="preserve">As a baseline, the results of the 2021 IBBS are presented, weighted data only for the site of Bishkek, taking into account the size of the social network of respondents. So HIV prevalence among Bishkek MSM was 10.3%. RCHV&amp;HIV report "Biobehavioral study on HIV among people who inject drugs and men who have sex with men in the Kyrgyz Republic, 2021". Numerator: Number of MSM who tested positive for HIV in this age group Denominator: Number of MSM tested for HIV in this age group
</t>
  </si>
  <si>
    <t>As a baseline, the results of the 2022 IBBS are presented; the next IBBS among SW is planned in 2026. The data are preliminary, no final report has been submitted. Numerator: Number of SW who test positive for HIV in this age group Denominator: Number of SW tested for HIV in this age group</t>
  </si>
  <si>
    <t>As a baseline, the results of the 2022 IBBS are presented; the next IBBS among TG people is planned in 2026. The data are preliminary, no final report has been submitted. Numerator: Number of TG people who test positive for HIV in this age group Denominator: Number of TG people tested for HIV in this age group</t>
  </si>
  <si>
    <t>As a baseline, the results of the 2021 IBBS are presented; the next IBBS among PWID is planned in 2024. Numerator: Number of PWID who test positive for HIV in this age group Denominator: Number of PWID tested for HIV in this age group</t>
  </si>
  <si>
    <t>Outcome Indicator Disaggregation</t>
  </si>
  <si>
    <t>Outcome Indicator Number</t>
  </si>
  <si>
    <t xml:space="preserve">Outcome Indicator Name </t>
  </si>
  <si>
    <t>Numerator: Number of people living with HIV who know their HIV status	Denumerator: Number of people living with HIV
8,121 PLHIV in this age group know their HIV status at the end of the reporting period. Thus, percentage of PLHIV who know their HIV status in the reporting period was 84,23%.</t>
  </si>
  <si>
    <t>Numerator: Number of people living with HIV who know their HIV status	Denumerator: Number of people living with HIV
186 PLHIV in this age group know their HIV status at the end of the reporting period. Thus, percentage of PLHIV who know their HIV status in the reporting period was 46,62%."</t>
  </si>
  <si>
    <t>Numerator: Number of people living with HIV who know their HIV status	Denumerator: Number of people living with HIV
4764  PLHIV in this age group know their HIV status at the end of the reporting period. Thus, percentage of PLHIV who know their HIV status in the reporting period was 185%, perhaps an estimated amount in this group is not true</t>
  </si>
  <si>
    <t xml:space="preserve">Numerator: Number of people living with HIV who know their HIV status	Denumerator: Number of people living with HIV
3357 PLHIV in this age group know their HIV status at the end of the reporting period. Thus, percentage of PLHIV who know their HIV status in the reporting period was 90,39%.
</t>
  </si>
  <si>
    <t>This data is in line with the National M&amp;E reporting system. In accordance to the official data submitted by the Republican Center for the Control of Hemocontact viral hepatitis and HIV (RCCHVH&amp;HIV), as of 31 December 2022 number of adults and children receiving antiretroviral therapy in the reporting period with suppressed viral load was 4617. Thus, percentage of adults and children receiving antiretroviral therapy who were virally suppressed in the reporting period was 96%.</t>
  </si>
  <si>
    <t>This data is in line with the National M&amp;E reporting system. In accordance to the official data submitted by the Republican Center for the Control of Hemocontact viral hepatitis and HIV (RCCHVH&amp;HIV), as of 31 December 2022 number of adults and children receiving antiretroviral therapy in the reporting period with suppressed viral load was 133. Thus, percentage of adults and children receiving antiretroviral therapy who were virally suppressed in the reporting period was 87,5%.</t>
  </si>
  <si>
    <t>This data is in line with the National M&amp;E reporting system. In accordance to the official data submitted by the Republican Center for the Control of Hemocontact viral hepatitis and HIV (RCCHVH&amp;HIV), as of 31 December 2022 number of adults and children receiving antiretroviral therapy in the reporting period with suppressed viral load was 2447. Thus, percentage of adults and children receiving antiretroviral therapy who were virally suppressed in the reporting period was 95,59%.</t>
  </si>
  <si>
    <t>This data is in line with the National M&amp;E reporting system. In accordance to the official data submitted by the Republican Center for the Control of Hemocontact viral hepatitis and HIV (RCCHVH&amp;HIV), as of 31 December 2022 number of adults and children receiving antiretroviral therapy in the reporting period with suppressed viral load was 2170. Thus, percentage of adults and children receiving antiretroviral therapy who were virally suppressed in the reporting period was 96,83%.</t>
  </si>
  <si>
    <t xml:space="preserve">According to NTP, the National recording and reporting system (R&amp;R) doesn't allow to disagregate the data on cases started TB treatment in the reporting period by age and gender. Due to this, data is not available. </t>
  </si>
  <si>
    <t xml:space="preserve">According to NTP, the National recording and reporting system (R&amp;R) doesn't allow to disagregate the data on cases started TB treatment in the reporting period by age and gender. Due to this, data is not available. 
</t>
  </si>
  <si>
    <t>Coverage Indicator Disaggregation</t>
  </si>
  <si>
    <t xml:space="preserve">Coverage Indicator Name </t>
  </si>
  <si>
    <t>Admistrative report</t>
  </si>
  <si>
    <t>The last IBBS among MSM was conducted in the country in 2021 with the technical support of the CDC in Bishkek and Osh, in the south the sample was not reached. The estimated number of MSM according to the results of the study is presented only for Bishkek. There is no breakdown of MSM population estimates by age group.</t>
  </si>
  <si>
    <t>IBBS among SW began in 2022, and at the moment of PUDR submission, data analysis is not finalized. According to preliminary data, - HIV prevalence among SWs is 3.38%.There is no data on the estimated number of SW by age group</t>
  </si>
  <si>
    <t>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t>
  </si>
  <si>
    <t>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t>
  </si>
  <si>
    <t>In the previous cycle, the target for MSM pre-exposure prophylaxis coverage was 150 MSM per year, this indicator was new for the country; disaggregated by age, earn more in the 25 and older age group and less in the 15-19 age group. The country uses only the tablet form of the drug.</t>
  </si>
  <si>
    <t>The last IBBS among SWs is held in the country in 2022 with the technical support of the Global Fund in Bishkek and Osh. At the time of preparation of the application, there is no final report and estimate of the number of SWs by country and age groups.</t>
  </si>
  <si>
    <t>The numerator is the number of people who received the testing service and know their results, and the denominator is the prison population at the end of 2022.</t>
  </si>
  <si>
    <t xml:space="preserve">Electronic HIV Case Tracking System and RCHV&amp;HIV report
</t>
  </si>
  <si>
    <t xml:space="preserve">Numerator: Number of people on ART at the end of the reporting period 	Denumerator: Estimated number of people living with HIV </t>
  </si>
  <si>
    <r>
      <rPr>
        <b/>
        <sz val="11"/>
        <color rgb="FF000000"/>
        <rFont val="Arial"/>
        <family val="2"/>
        <charset val="204"/>
      </rPr>
      <t>Numerato</t>
    </r>
    <r>
      <rPr>
        <sz val="11"/>
        <color rgb="FF000000"/>
        <rFont val="Arial"/>
        <family val="2"/>
        <charset val="204"/>
      </rPr>
      <t xml:space="preserve">r: Number of adults (15 and above) on ART at the end of the reporting period	</t>
    </r>
    <r>
      <rPr>
        <b/>
        <sz val="11"/>
        <color rgb="FF000000"/>
        <rFont val="Arial"/>
        <family val="2"/>
        <charset val="204"/>
      </rPr>
      <t>Denumerator</t>
    </r>
    <r>
      <rPr>
        <sz val="11"/>
        <color rgb="FF000000"/>
        <rFont val="Arial"/>
        <family val="2"/>
        <charset val="204"/>
      </rPr>
      <t xml:space="preserve">: Estimated number of adults (15 and above) living with HIV  </t>
    </r>
  </si>
  <si>
    <r>
      <rPr>
        <b/>
        <sz val="11"/>
        <color rgb="FF000000"/>
        <rFont val="Arial"/>
        <family val="2"/>
        <charset val="204"/>
      </rPr>
      <t>Numerator</t>
    </r>
    <r>
      <rPr>
        <sz val="11"/>
        <color rgb="FF000000"/>
        <rFont val="Arial"/>
        <family val="2"/>
        <charset val="204"/>
      </rPr>
      <t xml:space="preserve">: Number of adults (15 and above) on ART at the end of the reporting period	</t>
    </r>
    <r>
      <rPr>
        <b/>
        <sz val="11"/>
        <color rgb="FF000000"/>
        <rFont val="Arial"/>
        <family val="2"/>
        <charset val="204"/>
      </rPr>
      <t>Denumerator</t>
    </r>
    <r>
      <rPr>
        <sz val="11"/>
        <color rgb="FF000000"/>
        <rFont val="Arial"/>
        <family val="2"/>
        <charset val="204"/>
      </rPr>
      <t xml:space="preserve">: Estimated number of adults (15 and above) living with HIV  </t>
    </r>
  </si>
  <si>
    <t xml:space="preserve">Numerator: Number of children (under 15) on ART at the end of the reporting period	Denumerator: Estimated number of children (under 15)  living with HIV  
	</t>
  </si>
  <si>
    <t>Numerator: Number of HIV-positive new and relapsed TB patients started on TB treatment during the reporting period who are already on ART or who start on ART during TB treatment	
Denumerator: Number of HIV-positive new and relapsed TB patients registered during the reporting period.</t>
  </si>
  <si>
    <t>“Numerator: Number of people who inject drugs and who are on opioid substitution therapy on the given date. Denominator: Estimated number of people with opioid dependence who inject drugs in the target area.
At the time of writing, there are no age-disaggregated estimates for PWID.
About 5% of PWID in the country are on OST every year Due to the fact that the drug situation in the country is changing and new users of psychoactive substances are appearing, the number of OST participants is decreasing year by year, based on the results of 2022".</t>
  </si>
  <si>
    <t xml:space="preserve">"Numerator: Number of people newly diagnosed with HIV during the reporting period in this age group who started ART. Initiation on ART will be measured for treatment initiation- 30 days of diagnosis.  Denominator: Number of people 
newly diagnosed with HIV in this age group during the reporting period. Denominator will include number of people newly diagnosed with HIV during the reporting period who already have 30 days of diagnosis. 
</t>
  </si>
  <si>
    <r>
      <rPr>
        <b/>
        <sz val="11"/>
        <color rgb="FF000000"/>
        <rFont val="Arial"/>
        <family val="2"/>
        <charset val="204"/>
      </rPr>
      <t>Numerator</t>
    </r>
    <r>
      <rPr>
        <sz val="11"/>
        <color rgb="FF000000"/>
        <rFont val="Arial"/>
        <family val="2"/>
        <charset val="204"/>
      </rPr>
      <t xml:space="preserve">:Total number of people living with HIV currently enrolled on antiretroviral therapy who started TB preventive treatment (TPT) during the reporting period in this age group. 
</t>
    </r>
    <r>
      <rPr>
        <b/>
        <sz val="11"/>
        <color rgb="FF000000"/>
        <rFont val="Arial"/>
        <family val="2"/>
        <charset val="204"/>
      </rPr>
      <t>Denumerator</t>
    </r>
    <r>
      <rPr>
        <sz val="11"/>
        <color rgb="FF000000"/>
        <rFont val="Arial"/>
        <family val="2"/>
        <charset val="204"/>
      </rPr>
      <t>:Total number who started ART and without active TB</t>
    </r>
  </si>
  <si>
    <t>The data is not available</t>
  </si>
  <si>
    <t xml:space="preserve">The data is not available
</t>
  </si>
  <si>
    <r>
      <rPr>
        <sz val="11"/>
        <color rgb="FF000000"/>
        <rFont val="Arial"/>
        <family val="2"/>
        <charset val="204"/>
      </rPr>
      <t>"</t>
    </r>
    <r>
      <rPr>
        <b/>
        <sz val="11"/>
        <color rgb="FF000000"/>
        <rFont val="Arial"/>
        <family val="2"/>
        <charset val="204"/>
      </rPr>
      <t>Numerato</t>
    </r>
    <r>
      <rPr>
        <sz val="11"/>
        <color rgb="FF000000"/>
        <rFont val="Arial"/>
        <family val="2"/>
        <charset val="204"/>
      </rPr>
      <t xml:space="preserve">r:Total number of people living with HIV currently enrolled on antiretroviral therapy who started TB preventive treatment (TPT) during the reporting period in this age group. 
</t>
    </r>
    <r>
      <rPr>
        <b/>
        <sz val="11"/>
        <color rgb="FF000000"/>
        <rFont val="Arial"/>
        <family val="2"/>
        <charset val="204"/>
      </rPr>
      <t>Denumerator</t>
    </r>
    <r>
      <rPr>
        <sz val="11"/>
        <color rgb="FF000000"/>
        <rFont val="Arial"/>
        <family val="2"/>
        <charset val="204"/>
      </rPr>
      <t>:Total number who started ART and without active TB"</t>
    </r>
  </si>
  <si>
    <r>
      <rPr>
        <sz val="11"/>
        <color rgb="FF000000"/>
        <rFont val="Arial"/>
        <family val="2"/>
        <charset val="204"/>
      </rPr>
      <t>"</t>
    </r>
    <r>
      <rPr>
        <b/>
        <sz val="11"/>
        <color rgb="FF000000"/>
        <rFont val="Arial"/>
        <family val="2"/>
        <charset val="204"/>
      </rPr>
      <t>Numerator</t>
    </r>
    <r>
      <rPr>
        <sz val="11"/>
        <color rgb="FF000000"/>
        <rFont val="Arial"/>
        <family val="2"/>
        <charset val="204"/>
      </rPr>
      <t xml:space="preserve">:Total number of people living with HIV currently enrolled on antiretroviral therapy who started TB preventive treatment (TPT) during the reporting period in this age group. 
</t>
    </r>
    <r>
      <rPr>
        <b/>
        <sz val="11"/>
        <color rgb="FF000000"/>
        <rFont val="Arial"/>
        <family val="2"/>
        <charset val="204"/>
      </rPr>
      <t>Denumerator</t>
    </r>
    <r>
      <rPr>
        <sz val="11"/>
        <color rgb="FF000000"/>
        <rFont val="Arial"/>
        <family val="2"/>
        <charset val="204"/>
      </rPr>
      <t>:Total number who started ART and without active TB"</t>
    </r>
  </si>
  <si>
    <t xml:space="preserve">The data is not available
</t>
  </si>
  <si>
    <r>
      <rPr>
        <b/>
        <sz val="11"/>
        <color rgb="FF000000"/>
        <rFont val="Arial"/>
        <family val="2"/>
        <charset val="204"/>
      </rPr>
      <t>"Numerator:</t>
    </r>
    <r>
      <rPr>
        <sz val="11"/>
        <color rgb="FF000000"/>
        <rFont val="Arial"/>
        <family val="2"/>
        <charset val="204"/>
      </rPr>
      <t xml:space="preserve">Total number of people living with HIV currently enrolled on antiretroviral therapy who started TB preventive treatment (TPT) during the reporting period in this age group. 
</t>
    </r>
    <r>
      <rPr>
        <b/>
        <sz val="11"/>
        <color rgb="FF000000"/>
        <rFont val="Arial"/>
        <family val="2"/>
        <charset val="204"/>
      </rPr>
      <t>Denumerator:</t>
    </r>
    <r>
      <rPr>
        <sz val="11"/>
        <color rgb="FF000000"/>
        <rFont val="Arial"/>
        <family val="2"/>
        <charset val="204"/>
      </rPr>
      <t>Total number who started ART and without active TB"</t>
    </r>
  </si>
  <si>
    <t xml:space="preserve">Аs a baseline, the results for 2022 are taken.                                    Numerator: Number of people living with HIV in this age group and currently on ART who received 3 – 5 or &gt;6 months of ARV medicine at their most recent ARV medicine pick-up                                                                          Denominator: Number of people living with HIV in this age group and currently on ART
</t>
  </si>
  <si>
    <t xml:space="preserve">Totally 59 children under 15 years old were notified in the reporting period, but only 19 out of them were bacteriologically confirmed. Proportion of children among all RR/MDR TB cases was traditionally about 2%. </t>
  </si>
  <si>
    <t xml:space="preserve">The national R&amp;R system allows to diagregate data only at RR/MDR TB cases whith HIV positive status and other cases.   </t>
  </si>
  <si>
    <t xml:space="preserve">Approximately, 69% out of all RR/MDR TB cases notified in 2021 were males. According to NTP, the national digital data base doesn’t allow to get a report on # of cases disaggregated by gender. National R&amp;R system includes only disaggregated data for all RR/MDR TB cases (bacteriologically confirmed and clinically diagnosed). </t>
  </si>
  <si>
    <t xml:space="preserve">405 out of 986 all RR/MDR TB cases (bacteriologically confirmed and clinically diagnosed) were notified in 2021 what made up 41% among all RR/MDR TB cases. According to NTP, the national digital data base doesn’t allow to get a report on # of cases disaggregated by gender. National R&amp;R system includes only disaggregated data for all RR/MDR TB cases (bacteriologically confirmed and clinically diagnosed). </t>
  </si>
  <si>
    <t xml:space="preserve">About 6% out of all RR/MDR TB cases enrolled on treatment made up  children under 15 years old, but % of children among bacteriologically confirmed cases is unknown. The national recording and reporting (R&amp;R) system doesn't allow to disaggregate the data on bacteriligically confirmed cases by age.
</t>
  </si>
  <si>
    <t xml:space="preserve">About 41% out of all RR/MDR TB cases enrolled on treatment made up  women, but % of women among bacteriologically confirmed cases is unknown. The national recording and reporting (R&amp;R) system doesn't allow to disaggregate the data on bacteriligically confirmed cases by age.
</t>
  </si>
  <si>
    <t xml:space="preserve">Starting from 2017 both longer individualized and shorten regimens are available in the country. The longer individualized regimens are includes regimens with Bdq/Dlm and without these new TB drugs. 695 (97%) cases o individualized regimen recieved the scheme with Bdq or/and Dlm. </t>
  </si>
  <si>
    <t xml:space="preserve">Starting from 2017 both longer individualized and shorten regimens are available in the country. From 2021 shorten regimens includes BPaL and mSTR. 24 (16%) cases were enrolled on BPaL regimen, 69 (45%) were enrolled on mSTR, and 61 (40%) were enrolled on standart STR regimen. </t>
  </si>
  <si>
    <t>the data is not available</t>
  </si>
  <si>
    <t xml:space="preserve">TB treatment is available only in the public and penitentiary sector, no private provides are involved in TB treatment. </t>
  </si>
  <si>
    <t>Performance Framework - WPTM - Section F</t>
  </si>
  <si>
    <t>No</t>
  </si>
  <si>
    <t>Key Activity</t>
  </si>
  <si>
    <t>Milestone / Target Description</t>
  </si>
  <si>
    <t>Criteria for Completion</t>
  </si>
  <si>
    <t>concat module&amp;int</t>
  </si>
  <si>
    <t>WPTM row no display map</t>
  </si>
  <si>
    <t>wptm resutls row no display map</t>
  </si>
  <si>
    <t>Impact indicator  (section B)</t>
  </si>
  <si>
    <t>rownumber</t>
  </si>
  <si>
    <t>number to calculated id</t>
  </si>
  <si>
    <t>impact indicator no row for impact</t>
  </si>
  <si>
    <t>outcome indicator no row for outcome</t>
  </si>
  <si>
    <t>coverage indicator targets no row</t>
  </si>
  <si>
    <t>wptm results no row for wptm</t>
  </si>
  <si>
    <t>coverage idicator no row</t>
  </si>
  <si>
    <t>helper section d</t>
  </si>
  <si>
    <t>coverage target period no</t>
  </si>
  <si>
    <t>impact target period no</t>
  </si>
  <si>
    <t>coverage indicator disaggregation</t>
  </si>
  <si>
    <t>outcome indicator disaggregation</t>
  </si>
  <si>
    <t>impact indicator disaggregation</t>
  </si>
  <si>
    <t>Baseline D#</t>
  </si>
  <si>
    <t>Baseline N#</t>
  </si>
  <si>
    <t>Comment</t>
  </si>
  <si>
    <t>Impact Reference (Name)</t>
  </si>
  <si>
    <t>Responsible PR (Name)</t>
  </si>
  <si>
    <t>Impact Indicator Name</t>
  </si>
  <si>
    <t>[Responsible PR (Name)]</t>
  </si>
  <si>
    <t>[Impact Indicator Name]</t>
  </si>
  <si>
    <t>[Impact Indicator Number]</t>
  </si>
  <si>
    <t>a1IDm0000004agfMAA</t>
  </si>
  <si>
    <t>a1IDm0000004aggMAA</t>
  </si>
  <si>
    <t>a1IDm0000004aghMAA</t>
  </si>
  <si>
    <t>a1IDm0000004agiMAA</t>
  </si>
  <si>
    <t>a1IDm0000004agjMAA</t>
  </si>
  <si>
    <t>a1IDm0000004agkMAA</t>
  </si>
  <si>
    <t>a1IDm0000004aglMAA</t>
  </si>
  <si>
    <t>a1IDm0000004agmMAA</t>
  </si>
  <si>
    <t>a1IDm0000004agnMAA</t>
  </si>
  <si>
    <t>a1IDm0000004agoMAA</t>
  </si>
  <si>
    <t>a1IDm0000004agpMAA</t>
  </si>
  <si>
    <t>a1IDm0000004agqMAA</t>
  </si>
  <si>
    <t>a1IDm0000004agrMAA</t>
  </si>
  <si>
    <t>a1IDm0000004agsMAA</t>
  </si>
  <si>
    <t>a1IDm0000004agtMAA</t>
  </si>
  <si>
    <t>Impact indicator targets  (section B)</t>
  </si>
  <si>
    <t>Impact Indicator (Name)</t>
  </si>
  <si>
    <t>countif</t>
  </si>
  <si>
    <t>calculated record id</t>
  </si>
  <si>
    <t>a1HDm000000bvilMAA</t>
  </si>
  <si>
    <t>II-63878</t>
  </si>
  <si>
    <t>a1HDm000000bvj0MAA</t>
  </si>
  <si>
    <t>a1HDm000000bvjFMAQ</t>
  </si>
  <si>
    <t>a1HDm000000bvjUMAQ</t>
  </si>
  <si>
    <t>a1HDm000000bvjjMAA</t>
  </si>
  <si>
    <t>a1HDm000000bvjyMAA</t>
  </si>
  <si>
    <t>a1HDm000000bvimMAA</t>
  </si>
  <si>
    <t>II-63879</t>
  </si>
  <si>
    <t>a1HDm000000bvj1MAA</t>
  </si>
  <si>
    <t>a1HDm000000bvjGMAQ</t>
  </si>
  <si>
    <t>a1HDm000000bvjVMAQ</t>
  </si>
  <si>
    <t>a1HDm000000bvjkMAA</t>
  </si>
  <si>
    <t>a1HDm000000bvjzMAA</t>
  </si>
  <si>
    <t>a1HDm000000bvinMAA</t>
  </si>
  <si>
    <t>II-63880</t>
  </si>
  <si>
    <t>a1HDm000000bvj2MAA</t>
  </si>
  <si>
    <t>a1HDm000000bvjHMAQ</t>
  </si>
  <si>
    <t>a1HDm000000bvjWMAQ</t>
  </si>
  <si>
    <t>a1HDm000000bvjlMAA</t>
  </si>
  <si>
    <t>a1HDm000000bvk0MAA</t>
  </si>
  <si>
    <t>a1HDm000000bvioMAA</t>
  </si>
  <si>
    <t>II-63881</t>
  </si>
  <si>
    <t>a1HDm000000bvj3MAA</t>
  </si>
  <si>
    <t>a1HDm000000bvjIMAQ</t>
  </si>
  <si>
    <t>a1HDm000000bvjXMAQ</t>
  </si>
  <si>
    <t>a1HDm000000bvjmMAA</t>
  </si>
  <si>
    <t>a1HDm000000bvk1MAA</t>
  </si>
  <si>
    <t>a1HDm000000bvipMAA</t>
  </si>
  <si>
    <t>II-63882</t>
  </si>
  <si>
    <t>a1HDm000000bvj4MAA</t>
  </si>
  <si>
    <t>a1HDm000000bvjJMAQ</t>
  </si>
  <si>
    <t>a1HDm000000bvjYMAQ</t>
  </si>
  <si>
    <t>a1HDm000000bvjnMAA</t>
  </si>
  <si>
    <t>a1HDm000000bvk2MAA</t>
  </si>
  <si>
    <t>a1HDm000000bviqMAA</t>
  </si>
  <si>
    <t>II-63883</t>
  </si>
  <si>
    <t>a1HDm000000bvj5MAA</t>
  </si>
  <si>
    <t>a1HDm000000bvjKMAQ</t>
  </si>
  <si>
    <t>a1HDm000000bvjZMAQ</t>
  </si>
  <si>
    <t>a1HDm000000bvjoMAA</t>
  </si>
  <si>
    <t>a1HDm000000bvk3MAA</t>
  </si>
  <si>
    <t>a1HDm000000bvirMAA</t>
  </si>
  <si>
    <t>II-63884</t>
  </si>
  <si>
    <t>a1HDm000000bvj6MAA</t>
  </si>
  <si>
    <t>a1HDm000000bvjLMAQ</t>
  </si>
  <si>
    <t>a1HDm000000bvjaMAA</t>
  </si>
  <si>
    <t>a1HDm000000bvjpMAA</t>
  </si>
  <si>
    <t>a1HDm000000bvk4MAA</t>
  </si>
  <si>
    <t>a1HDm000000bvisMAA</t>
  </si>
  <si>
    <t>II-63885</t>
  </si>
  <si>
    <t>a1HDm000000bvj7MAA</t>
  </si>
  <si>
    <t>a1HDm000000bvjMMAQ</t>
  </si>
  <si>
    <t>a1HDm000000bvjbMAA</t>
  </si>
  <si>
    <t>a1HDm000000bvjqMAA</t>
  </si>
  <si>
    <t>a1HDm000000bvk5MAA</t>
  </si>
  <si>
    <t>a1HDm000000bvitMAA</t>
  </si>
  <si>
    <t>II-63886</t>
  </si>
  <si>
    <t>a1HDm000000bvj8MAA</t>
  </si>
  <si>
    <t>a1HDm000000bvjNMAQ</t>
  </si>
  <si>
    <t>a1HDm000000bvjcMAA</t>
  </si>
  <si>
    <t>a1HDm000000bvjrMAA</t>
  </si>
  <si>
    <t>a1HDm000000bvk6MAA</t>
  </si>
  <si>
    <t>a1HDm000000bviuMAA</t>
  </si>
  <si>
    <t>II-63887</t>
  </si>
  <si>
    <t>a1HDm000000bvj9MAA</t>
  </si>
  <si>
    <t>a1HDm000000bvjOMAQ</t>
  </si>
  <si>
    <t>a1HDm000000bvjdMAA</t>
  </si>
  <si>
    <t>a1HDm000000bvjsMAA</t>
  </si>
  <si>
    <t>a1HDm000000bvk7MAA</t>
  </si>
  <si>
    <t>a1HDm000000bvivMAA</t>
  </si>
  <si>
    <t>II-63888</t>
  </si>
  <si>
    <t>a1HDm000000bvjAMAQ</t>
  </si>
  <si>
    <t>a1HDm000000bvjPMAQ</t>
  </si>
  <si>
    <t>a1HDm000000bvjeMAA</t>
  </si>
  <si>
    <t>a1HDm000000bvjtMAA</t>
  </si>
  <si>
    <t>a1HDm000000bvk8MAA</t>
  </si>
  <si>
    <t>a1HDm000000bviwMAA</t>
  </si>
  <si>
    <t>II-63889</t>
  </si>
  <si>
    <t>a1HDm000000bvjBMAQ</t>
  </si>
  <si>
    <t>a1HDm000000bvjQMAQ</t>
  </si>
  <si>
    <t>a1HDm000000bvjfMAA</t>
  </si>
  <si>
    <t>a1HDm000000bvjuMAA</t>
  </si>
  <si>
    <t>a1HDm000000bvk9MAA</t>
  </si>
  <si>
    <t>a1HDm000000bvixMAA</t>
  </si>
  <si>
    <t>II-63890</t>
  </si>
  <si>
    <t>a1HDm000000bvjCMAQ</t>
  </si>
  <si>
    <t>a1HDm000000bvjRMAQ</t>
  </si>
  <si>
    <t>a1HDm000000bvjgMAA</t>
  </si>
  <si>
    <t>a1HDm000000bvjvMAA</t>
  </si>
  <si>
    <t>a1HDm000000bvkAMAQ</t>
  </si>
  <si>
    <t>a1HDm000000bviyMAA</t>
  </si>
  <si>
    <t>II-63891</t>
  </si>
  <si>
    <t>a1HDm000000bvjDMAQ</t>
  </si>
  <si>
    <t>a1HDm000000bvjSMAQ</t>
  </si>
  <si>
    <t>a1HDm000000bvjhMAA</t>
  </si>
  <si>
    <t>a1HDm000000bvjwMAA</t>
  </si>
  <si>
    <t>a1HDm000000bvkBMAQ</t>
  </si>
  <si>
    <t>a1HDm000000bvizMAA</t>
  </si>
  <si>
    <t>II-63892</t>
  </si>
  <si>
    <t>a1HDm000000bvjEMAQ</t>
  </si>
  <si>
    <t>a1HDm000000bvjTMAQ</t>
  </si>
  <si>
    <t>a1HDm000000bvjiMAA</t>
  </si>
  <si>
    <t>a1HDm000000bvjxMAA</t>
  </si>
  <si>
    <t>a1HDm000000bvkCMAQ</t>
  </si>
  <si>
    <t>Outcome indicators (section C)</t>
  </si>
  <si>
    <t>Outcome Number</t>
  </si>
  <si>
    <t>Custom Outcome Indicator</t>
  </si>
  <si>
    <t>Outcome Reference (Name)</t>
  </si>
  <si>
    <t>Outcome Indicator Name</t>
  </si>
  <si>
    <t>[Outcome Indicator Name]</t>
  </si>
  <si>
    <t>a1XDm000000GoW7MAK</t>
  </si>
  <si>
    <t>a1XDm000000GoW8MAK</t>
  </si>
  <si>
    <t>a1XDm000000GoW9MAK</t>
  </si>
  <si>
    <t>a1XDm000000GoWAMA0</t>
  </si>
  <si>
    <t>a1XDm000000GoWBMA0</t>
  </si>
  <si>
    <t>a1XDm000000GoWCMA0</t>
  </si>
  <si>
    <t>a1XDm000000GoWDMA0</t>
  </si>
  <si>
    <t>a1XDm000000GoWEMA0</t>
  </si>
  <si>
    <t>a1XDm000000GoWFMA0</t>
  </si>
  <si>
    <t>a1XDm000000GoWGMA0</t>
  </si>
  <si>
    <t>a1XDm000000GoWHMA0</t>
  </si>
  <si>
    <t>a1XDm000000GoWIMA0</t>
  </si>
  <si>
    <t>a1XDm000000GoWJMA0</t>
  </si>
  <si>
    <t>a1XDm000000GoWKMA0</t>
  </si>
  <si>
    <t>a1XDm000000GoWLMA0</t>
  </si>
  <si>
    <t>Outcome indicators Targets (section C)</t>
  </si>
  <si>
    <t>Outcome Indicator Baseline ID (Name)</t>
  </si>
  <si>
    <t>a1WDm000000bx0UMAQ</t>
  </si>
  <si>
    <t>OI-63286</t>
  </si>
  <si>
    <t>a1WDm000000bx0jMAA</t>
  </si>
  <si>
    <t>a1WDm000000bx0yMAA</t>
  </si>
  <si>
    <t>a1WDm000000bx1DMAQ</t>
  </si>
  <si>
    <t>a1WDm000000bx1SMAQ</t>
  </si>
  <si>
    <t>a1WDm000000bx1hMAA</t>
  </si>
  <si>
    <t>a1WDm000000bx0VMAQ</t>
  </si>
  <si>
    <t>OI-63287</t>
  </si>
  <si>
    <t>a1WDm000000bx0kMAA</t>
  </si>
  <si>
    <t>a1WDm000000bx0zMAA</t>
  </si>
  <si>
    <t>a1WDm000000bx1EMAQ</t>
  </si>
  <si>
    <t>a1WDm000000bx1TMAQ</t>
  </si>
  <si>
    <t>a1WDm000000bx1iMAA</t>
  </si>
  <si>
    <t>a1WDm000000bx0WMAQ</t>
  </si>
  <si>
    <t>OI-63288</t>
  </si>
  <si>
    <t>a1WDm000000bx0lMAA</t>
  </si>
  <si>
    <t>a1WDm000000bx10MAA</t>
  </si>
  <si>
    <t>a1WDm000000bx1FMAQ</t>
  </si>
  <si>
    <t>a1WDm000000bx1UMAQ</t>
  </si>
  <si>
    <t>a1WDm000000bx1jMAA</t>
  </si>
  <si>
    <t>a1WDm000000bx0XMAQ</t>
  </si>
  <si>
    <t>OI-63289</t>
  </si>
  <si>
    <t>a1WDm000000bx0mMAA</t>
  </si>
  <si>
    <t>a1WDm000000bx11MAA</t>
  </si>
  <si>
    <t>a1WDm000000bx1GMAQ</t>
  </si>
  <si>
    <t>a1WDm000000bx1VMAQ</t>
  </si>
  <si>
    <t>a1WDm000000bx1kMAA</t>
  </si>
  <si>
    <t>a1WDm000000bx0YMAQ</t>
  </si>
  <si>
    <t>OI-63290</t>
  </si>
  <si>
    <t>a1WDm000000bx0nMAA</t>
  </si>
  <si>
    <t>a1WDm000000bx12MAA</t>
  </si>
  <si>
    <t>a1WDm000000bx1HMAQ</t>
  </si>
  <si>
    <t>a1WDm000000bx1WMAQ</t>
  </si>
  <si>
    <t>a1WDm000000bx1lMAA</t>
  </si>
  <si>
    <t>a1WDm000000bx0ZMAQ</t>
  </si>
  <si>
    <t>OI-63291</t>
  </si>
  <si>
    <t>a1WDm000000bx0oMAA</t>
  </si>
  <si>
    <t>a1WDm000000bx13MAA</t>
  </si>
  <si>
    <t>a1WDm000000bx1IMAQ</t>
  </si>
  <si>
    <t>a1WDm000000bx1XMAQ</t>
  </si>
  <si>
    <t>a1WDm000000bx1mMAA</t>
  </si>
  <si>
    <t>a1WDm000000bx0aMAA</t>
  </si>
  <si>
    <t>OI-63292</t>
  </si>
  <si>
    <t>a1WDm000000bx0pMAA</t>
  </si>
  <si>
    <t>a1WDm000000bx14MAA</t>
  </si>
  <si>
    <t>a1WDm000000bx1JMAQ</t>
  </si>
  <si>
    <t>a1WDm000000bx1YMAQ</t>
  </si>
  <si>
    <t>a1WDm000000bx1nMAA</t>
  </si>
  <si>
    <t>a1WDm000000bx0bMAA</t>
  </si>
  <si>
    <t>OI-63293</t>
  </si>
  <si>
    <t>a1WDm000000bx0qMAA</t>
  </si>
  <si>
    <t>a1WDm000000bx15MAA</t>
  </si>
  <si>
    <t>a1WDm000000bx1KMAQ</t>
  </si>
  <si>
    <t>a1WDm000000bx1ZMAQ</t>
  </si>
  <si>
    <t>a1WDm000000bx1oMAA</t>
  </si>
  <si>
    <t>a1WDm000000bx0cMAA</t>
  </si>
  <si>
    <t>OI-63294</t>
  </si>
  <si>
    <t>a1WDm000000bx0rMAA</t>
  </si>
  <si>
    <t>a1WDm000000bx16MAA</t>
  </si>
  <si>
    <t>a1WDm000000bx1LMAQ</t>
  </si>
  <si>
    <t>a1WDm000000bx1aMAA</t>
  </si>
  <si>
    <t>a1WDm000000bx1pMAA</t>
  </si>
  <si>
    <t>a1WDm000000bx0dMAA</t>
  </si>
  <si>
    <t>OI-63295</t>
  </si>
  <si>
    <t>a1WDm000000bx0sMAA</t>
  </si>
  <si>
    <t>a1WDm000000bx17MAA</t>
  </si>
  <si>
    <t>a1WDm000000bx1MMAQ</t>
  </si>
  <si>
    <t>a1WDm000000bx1bMAA</t>
  </si>
  <si>
    <t>a1WDm000000bx1qMAA</t>
  </si>
  <si>
    <t>a1WDm000000bx0eMAA</t>
  </si>
  <si>
    <t>OI-63296</t>
  </si>
  <si>
    <t>a1WDm000000bx0tMAA</t>
  </si>
  <si>
    <t>a1WDm000000bx18MAA</t>
  </si>
  <si>
    <t>a1WDm000000bx1NMAQ</t>
  </si>
  <si>
    <t>a1WDm000000bx1cMAA</t>
  </si>
  <si>
    <t>a1WDm000000bx1rMAA</t>
  </si>
  <si>
    <t>a1WDm000000bx0fMAA</t>
  </si>
  <si>
    <t>OI-63297</t>
  </si>
  <si>
    <t>a1WDm000000bx0uMAA</t>
  </si>
  <si>
    <t>a1WDm000000bx19MAA</t>
  </si>
  <si>
    <t>a1WDm000000bx1OMAQ</t>
  </si>
  <si>
    <t>a1WDm000000bx1dMAA</t>
  </si>
  <si>
    <t>a1WDm000000bx1sMAA</t>
  </si>
  <si>
    <t>a1WDm000000bx0gMAA</t>
  </si>
  <si>
    <t>OI-63298</t>
  </si>
  <si>
    <t>a1WDm000000bx0vMAA</t>
  </si>
  <si>
    <t>a1WDm000000bx1AMAQ</t>
  </si>
  <si>
    <t>a1WDm000000bx1PMAQ</t>
  </si>
  <si>
    <t>a1WDm000000bx1eMAA</t>
  </si>
  <si>
    <t>a1WDm000000bx1tMAA</t>
  </si>
  <si>
    <t>a1WDm000000bx0hMAA</t>
  </si>
  <si>
    <t>OI-63299</t>
  </si>
  <si>
    <t>a1WDm000000bx0wMAA</t>
  </si>
  <si>
    <t>a1WDm000000bx1BMAQ</t>
  </si>
  <si>
    <t>a1WDm000000bx1QMAQ</t>
  </si>
  <si>
    <t>a1WDm000000bx1fMAA</t>
  </si>
  <si>
    <t>a1WDm000000bx1uMAA</t>
  </si>
  <si>
    <t>a1WDm000000bx0iMAA</t>
  </si>
  <si>
    <t>OI-63300</t>
  </si>
  <si>
    <t>a1WDm000000bx0xMAA</t>
  </si>
  <si>
    <t>a1WDm000000bx1CMAQ</t>
  </si>
  <si>
    <t>a1WDm000000bx1RMAQ</t>
  </si>
  <si>
    <t>a1WDm000000bx1gMAA</t>
  </si>
  <si>
    <t>a1WDm000000bx1vMAA</t>
  </si>
  <si>
    <t>Coverage indicators (secton D)</t>
  </si>
  <si>
    <t>Coverage Indicator Reference ID (Name)</t>
  </si>
  <si>
    <t>Module ID (Name)</t>
  </si>
  <si>
    <t>Year</t>
  </si>
  <si>
    <t>Population (Name)</t>
  </si>
  <si>
    <t>Custom Coverage Indicator Name - EN</t>
  </si>
  <si>
    <t>Geographic Coverage</t>
  </si>
  <si>
    <t>Rating Cumulation Type</t>
  </si>
  <si>
    <t>Subset</t>
  </si>
  <si>
    <t>Coverage Indicator Name</t>
  </si>
  <si>
    <t>Reversed indicator</t>
  </si>
  <si>
    <t>[Coverage Indicator Number]</t>
  </si>
  <si>
    <t>[Coverage Indicator Name]</t>
  </si>
  <si>
    <t>[Module Name]</t>
  </si>
  <si>
    <t>a18Dm000000GrolIAC</t>
  </si>
  <si>
    <t>a18Dm000000GromIAC</t>
  </si>
  <si>
    <t>a18Dm000000GronIAC</t>
  </si>
  <si>
    <t>a18Dm000000GrooIAC</t>
  </si>
  <si>
    <t>a18Dm000000GropIAC</t>
  </si>
  <si>
    <t>a18Dm000000GroqIAC</t>
  </si>
  <si>
    <t>a18Dm000000GrorIAC</t>
  </si>
  <si>
    <t>a18Dm000000GrosIAC</t>
  </si>
  <si>
    <t>a18Dm000000GrotIAC</t>
  </si>
  <si>
    <t>a18Dm000000GrouIAC</t>
  </si>
  <si>
    <t>a18Dm000000GrovIAC</t>
  </si>
  <si>
    <t>a18Dm000000GrowIAC</t>
  </si>
  <si>
    <t>a18Dm000000GroxIAC</t>
  </si>
  <si>
    <t>a18Dm000000GroyIAC</t>
  </si>
  <si>
    <t>a18Dm000000GrozIAC</t>
  </si>
  <si>
    <t>a18Dm000000Grp0IAC</t>
  </si>
  <si>
    <t>a18Dm000000Grp1IAC</t>
  </si>
  <si>
    <t>a18Dm000000Grp2IAC</t>
  </si>
  <si>
    <t>a18Dm000000Grp3IAC</t>
  </si>
  <si>
    <t>a18Dm000000Grp4IAC</t>
  </si>
  <si>
    <t>a18Dm000000Grp5IAC</t>
  </si>
  <si>
    <t>a18Dm000000Grp6IAC</t>
  </si>
  <si>
    <t>a18Dm000000Grp7IAC</t>
  </si>
  <si>
    <t>a18Dm000000Grp8IAC</t>
  </si>
  <si>
    <t>a18Dm000000Grp9IAC</t>
  </si>
  <si>
    <t>a18Dm000000GrpAIAS</t>
  </si>
  <si>
    <t>a18Dm000000GrpBIAS</t>
  </si>
  <si>
    <t>a18Dm000000GrpCIAS</t>
  </si>
  <si>
    <t>a18Dm000000GrpDIAS</t>
  </si>
  <si>
    <t>a18Dm000000GrpEIAS</t>
  </si>
  <si>
    <t>Coverage Indicator Targets (section D)</t>
  </si>
  <si>
    <t>Coverage Indicator ID (Name)</t>
  </si>
  <si>
    <t>calculated Coverage Indicator Number</t>
  </si>
  <si>
    <t>Due for Reporting</t>
  </si>
  <si>
    <t>[Due for Reporting]</t>
  </si>
  <si>
    <t>a17Dm000000KyD3IAK</t>
  </si>
  <si>
    <t>CI-131623</t>
  </si>
  <si>
    <t>a17Dm000000KyDXIA0</t>
  </si>
  <si>
    <t>a17Dm000000KyE1IAK</t>
  </si>
  <si>
    <t>a17Dm000000KyEVIA0</t>
  </si>
  <si>
    <t>a17Dm000000KyEzIAK</t>
  </si>
  <si>
    <t>a17Dm000000KyFTIA0</t>
  </si>
  <si>
    <t>a17Dm000000KyD4IAK</t>
  </si>
  <si>
    <t>CI-131624</t>
  </si>
  <si>
    <t>a17Dm000000KyDYIA0</t>
  </si>
  <si>
    <t>a17Dm000000KyE2IAK</t>
  </si>
  <si>
    <t>a17Dm000000KyEWIA0</t>
  </si>
  <si>
    <t>a17Dm000000KyF0IAK</t>
  </si>
  <si>
    <t>a17Dm000000KyFUIA0</t>
  </si>
  <si>
    <t>a17Dm000000KyD5IAK</t>
  </si>
  <si>
    <t>CI-131625</t>
  </si>
  <si>
    <t>a17Dm000000KyDZIA0</t>
  </si>
  <si>
    <t>a17Dm000000KyE3IAK</t>
  </si>
  <si>
    <t>a17Dm000000KyEXIA0</t>
  </si>
  <si>
    <t>a17Dm000000KyF1IAK</t>
  </si>
  <si>
    <t>a17Dm000000KyFVIA0</t>
  </si>
  <si>
    <t>a17Dm000000KyD6IAK</t>
  </si>
  <si>
    <t>CI-131626</t>
  </si>
  <si>
    <t>a17Dm000000KyDaIAK</t>
  </si>
  <si>
    <t>a17Dm000000KyE4IAK</t>
  </si>
  <si>
    <t>a17Dm000000KyEYIA0</t>
  </si>
  <si>
    <t>a17Dm000000KyF2IAK</t>
  </si>
  <si>
    <t>a17Dm000000KyFWIA0</t>
  </si>
  <si>
    <t>a17Dm000000KyD7IAK</t>
  </si>
  <si>
    <t>CI-131627</t>
  </si>
  <si>
    <t>a17Dm000000KyDbIAK</t>
  </si>
  <si>
    <t>a17Dm000000KyE5IAK</t>
  </si>
  <si>
    <t>a17Dm000000KyEZIA0</t>
  </si>
  <si>
    <t>a17Dm000000KyF3IAK</t>
  </si>
  <si>
    <t>a17Dm000000KyFXIA0</t>
  </si>
  <si>
    <t>a17Dm000000KyD8IAK</t>
  </si>
  <si>
    <t>CI-131628</t>
  </si>
  <si>
    <t>a17Dm000000KyDcIAK</t>
  </si>
  <si>
    <t>a17Dm000000KyE6IAK</t>
  </si>
  <si>
    <t>a17Dm000000KyEaIAK</t>
  </si>
  <si>
    <t>a17Dm000000KyF4IAK</t>
  </si>
  <si>
    <t>a17Dm000000KyFYIA0</t>
  </si>
  <si>
    <t>a17Dm000000KyD9IAK</t>
  </si>
  <si>
    <t>CI-131629</t>
  </si>
  <si>
    <t>a17Dm000000KyDdIAK</t>
  </si>
  <si>
    <t>a17Dm000000KyE7IAK</t>
  </si>
  <si>
    <t>a17Dm000000KyEbIAK</t>
  </si>
  <si>
    <t>a17Dm000000KyF5IAK</t>
  </si>
  <si>
    <t>a17Dm000000KyFZIA0</t>
  </si>
  <si>
    <t>a17Dm000000KyDAIA0</t>
  </si>
  <si>
    <t>CI-131630</t>
  </si>
  <si>
    <t>a17Dm000000KyDeIAK</t>
  </si>
  <si>
    <t>a17Dm000000KyE8IAK</t>
  </si>
  <si>
    <t>a17Dm000000KyEcIAK</t>
  </si>
  <si>
    <t>a17Dm000000KyF6IAK</t>
  </si>
  <si>
    <t>a17Dm000000KyFaIAK</t>
  </si>
  <si>
    <t>a17Dm000000KyDBIA0</t>
  </si>
  <si>
    <t>CI-131631</t>
  </si>
  <si>
    <t>a17Dm000000KyDfIAK</t>
  </si>
  <si>
    <t>a17Dm000000KyE9IAK</t>
  </si>
  <si>
    <t>a17Dm000000KyEdIAK</t>
  </si>
  <si>
    <t>a17Dm000000KyF7IAK</t>
  </si>
  <si>
    <t>a17Dm000000KyFbIAK</t>
  </si>
  <si>
    <t>a17Dm000000KyDCIA0</t>
  </si>
  <si>
    <t>CI-131632</t>
  </si>
  <si>
    <t>a17Dm000000KyDgIAK</t>
  </si>
  <si>
    <t>a17Dm000000KyEAIA0</t>
  </si>
  <si>
    <t>a17Dm000000KyEeIAK</t>
  </si>
  <si>
    <t>a17Dm000000KyF8IAK</t>
  </si>
  <si>
    <t>a17Dm000000KyFcIAK</t>
  </si>
  <si>
    <t>a17Dm000000KyDDIA0</t>
  </si>
  <si>
    <t>CI-131633</t>
  </si>
  <si>
    <t>a17Dm000000KyDhIAK</t>
  </si>
  <si>
    <t>a17Dm000000KyEBIA0</t>
  </si>
  <si>
    <t>a17Dm000000KyEfIAK</t>
  </si>
  <si>
    <t>a17Dm000000KyF9IAK</t>
  </si>
  <si>
    <t>a17Dm000000KyFdIAK</t>
  </si>
  <si>
    <t>a17Dm000000KyDEIA0</t>
  </si>
  <si>
    <t>CI-131634</t>
  </si>
  <si>
    <t>a17Dm000000KyDiIAK</t>
  </si>
  <si>
    <t>a17Dm000000KyECIA0</t>
  </si>
  <si>
    <t>a17Dm000000KyEgIAK</t>
  </si>
  <si>
    <t>a17Dm000000KyFAIA0</t>
  </si>
  <si>
    <t>a17Dm000000KyFeIAK</t>
  </si>
  <si>
    <t>a17Dm000000KyDFIA0</t>
  </si>
  <si>
    <t>CI-131635</t>
  </si>
  <si>
    <t>a17Dm000000KyDjIAK</t>
  </si>
  <si>
    <t>a17Dm000000KyEDIA0</t>
  </si>
  <si>
    <t>a17Dm000000KyEhIAK</t>
  </si>
  <si>
    <t>a17Dm000000KyFBIA0</t>
  </si>
  <si>
    <t>a17Dm000000KyFfIAK</t>
  </si>
  <si>
    <t>a17Dm000000KyDGIA0</t>
  </si>
  <si>
    <t>CI-131636</t>
  </si>
  <si>
    <t>a17Dm000000KyDkIAK</t>
  </si>
  <si>
    <t>a17Dm000000KyEEIA0</t>
  </si>
  <si>
    <t>a17Dm000000KyEiIAK</t>
  </si>
  <si>
    <t>a17Dm000000KyFCIA0</t>
  </si>
  <si>
    <t>a17Dm000000KyFgIAK</t>
  </si>
  <si>
    <t>a17Dm000000KyDHIA0</t>
  </si>
  <si>
    <t>CI-131637</t>
  </si>
  <si>
    <t>a17Dm000000KyDlIAK</t>
  </si>
  <si>
    <t>a17Dm000000KyEFIA0</t>
  </si>
  <si>
    <t>a17Dm000000KyEjIAK</t>
  </si>
  <si>
    <t>a17Dm000000KyFDIA0</t>
  </si>
  <si>
    <t>a17Dm000000KyFhIAK</t>
  </si>
  <si>
    <t>a17Dm000000KyDIIA0</t>
  </si>
  <si>
    <t>CI-131638</t>
  </si>
  <si>
    <t>a17Dm000000KyDmIAK</t>
  </si>
  <si>
    <t>a17Dm000000KyEGIA0</t>
  </si>
  <si>
    <t>a17Dm000000KyEkIAK</t>
  </si>
  <si>
    <t>a17Dm000000KyFEIA0</t>
  </si>
  <si>
    <t>a17Dm000000KyFiIAK</t>
  </si>
  <si>
    <t>a17Dm000000KyDJIA0</t>
  </si>
  <si>
    <t>CI-131639</t>
  </si>
  <si>
    <t>a17Dm000000KyDnIAK</t>
  </si>
  <si>
    <t>a17Dm000000KyEHIA0</t>
  </si>
  <si>
    <t>a17Dm000000KyElIAK</t>
  </si>
  <si>
    <t>a17Dm000000KyFFIA0</t>
  </si>
  <si>
    <t>a17Dm000000KyFjIAK</t>
  </si>
  <si>
    <t>a17Dm000000KyDKIA0</t>
  </si>
  <si>
    <t>CI-131640</t>
  </si>
  <si>
    <t>a17Dm000000KyDoIAK</t>
  </si>
  <si>
    <t>a17Dm000000KyEIIA0</t>
  </si>
  <si>
    <t>a17Dm000000KyEmIAK</t>
  </si>
  <si>
    <t>a17Dm000000KyFGIA0</t>
  </si>
  <si>
    <t>a17Dm000000KyFkIAK</t>
  </si>
  <si>
    <t>a17Dm000000KyDLIA0</t>
  </si>
  <si>
    <t>CI-131641</t>
  </si>
  <si>
    <t>a17Dm000000KyDpIAK</t>
  </si>
  <si>
    <t>a17Dm000000KyEJIA0</t>
  </si>
  <si>
    <t>a17Dm000000KyEnIAK</t>
  </si>
  <si>
    <t>a17Dm000000KyFHIA0</t>
  </si>
  <si>
    <t>a17Dm000000KyFlIAK</t>
  </si>
  <si>
    <t>a17Dm000000KyDMIA0</t>
  </si>
  <si>
    <t>CI-131642</t>
  </si>
  <si>
    <t>a17Dm000000KyDqIAK</t>
  </si>
  <si>
    <t>a17Dm000000KyEKIA0</t>
  </si>
  <si>
    <t>a17Dm000000KyEoIAK</t>
  </si>
  <si>
    <t>a17Dm000000KyFIIA0</t>
  </si>
  <si>
    <t>a17Dm000000KyFmIAK</t>
  </si>
  <si>
    <t>a17Dm000000KyDNIA0</t>
  </si>
  <si>
    <t>CI-131643</t>
  </si>
  <si>
    <t>a17Dm000000KyDrIAK</t>
  </si>
  <si>
    <t>a17Dm000000KyELIA0</t>
  </si>
  <si>
    <t>a17Dm000000KyEpIAK</t>
  </si>
  <si>
    <t>a17Dm000000KyFJIA0</t>
  </si>
  <si>
    <t>a17Dm000000KyFnIAK</t>
  </si>
  <si>
    <t>a17Dm000000KyDOIA0</t>
  </si>
  <si>
    <t>CI-131644</t>
  </si>
  <si>
    <t>a17Dm000000KyDsIAK</t>
  </si>
  <si>
    <t>a17Dm000000KyEMIA0</t>
  </si>
  <si>
    <t>a17Dm000000KyEqIAK</t>
  </si>
  <si>
    <t>a17Dm000000KyFKIA0</t>
  </si>
  <si>
    <t>a17Dm000000KyFoIAK</t>
  </si>
  <si>
    <t>a17Dm000000KyDPIA0</t>
  </si>
  <si>
    <t>CI-131645</t>
  </si>
  <si>
    <t>a17Dm000000KyDtIAK</t>
  </si>
  <si>
    <t>a17Dm000000KyENIA0</t>
  </si>
  <si>
    <t>a17Dm000000KyErIAK</t>
  </si>
  <si>
    <t>a17Dm000000KyFLIA0</t>
  </si>
  <si>
    <t>a17Dm000000KyFpIAK</t>
  </si>
  <si>
    <t>a17Dm000000KyDQIA0</t>
  </si>
  <si>
    <t>CI-131646</t>
  </si>
  <si>
    <t>a17Dm000000KyDuIAK</t>
  </si>
  <si>
    <t>a17Dm000000KyEOIA0</t>
  </si>
  <si>
    <t>a17Dm000000KyEsIAK</t>
  </si>
  <si>
    <t>a17Dm000000KyFMIA0</t>
  </si>
  <si>
    <t>a17Dm000000KyFqIAK</t>
  </si>
  <si>
    <t>a17Dm000000KyDRIA0</t>
  </si>
  <si>
    <t>CI-131647</t>
  </si>
  <si>
    <t>a17Dm000000KyDvIAK</t>
  </si>
  <si>
    <t>a17Dm000000KyEPIA0</t>
  </si>
  <si>
    <t>a17Dm000000KyEtIAK</t>
  </si>
  <si>
    <t>a17Dm000000KyFNIA0</t>
  </si>
  <si>
    <t>a17Dm000000KyFrIAK</t>
  </si>
  <si>
    <t>a17Dm000000KyDSIA0</t>
  </si>
  <si>
    <t>CI-131648</t>
  </si>
  <si>
    <t>a17Dm000000KyDwIAK</t>
  </si>
  <si>
    <t>a17Dm000000KyEQIA0</t>
  </si>
  <si>
    <t>a17Dm000000KyEuIAK</t>
  </si>
  <si>
    <t>a17Dm000000KyFOIA0</t>
  </si>
  <si>
    <t>a17Dm000000KyFsIAK</t>
  </si>
  <si>
    <t>a17Dm000000KyDTIA0</t>
  </si>
  <si>
    <t>CI-131649</t>
  </si>
  <si>
    <t>a17Dm000000KyDxIAK</t>
  </si>
  <si>
    <t>a17Dm000000KyERIA0</t>
  </si>
  <si>
    <t>a17Dm000000KyEvIAK</t>
  </si>
  <si>
    <t>a17Dm000000KyFPIA0</t>
  </si>
  <si>
    <t>a17Dm000000KyFtIAK</t>
  </si>
  <si>
    <t>a17Dm000000KyDUIA0</t>
  </si>
  <si>
    <t>CI-131650</t>
  </si>
  <si>
    <t>a17Dm000000KyDyIAK</t>
  </si>
  <si>
    <t>a17Dm000000KyESIA0</t>
  </si>
  <si>
    <t>a17Dm000000KyEwIAK</t>
  </si>
  <si>
    <t>a17Dm000000KyFQIA0</t>
  </si>
  <si>
    <t>a17Dm000000KyFuIAK</t>
  </si>
  <si>
    <t>a17Dm000000KyDVIA0</t>
  </si>
  <si>
    <t>CI-131651</t>
  </si>
  <si>
    <t>a17Dm000000KyDzIAK</t>
  </si>
  <si>
    <t>a17Dm000000KyETIA0</t>
  </si>
  <si>
    <t>a17Dm000000KyExIAK</t>
  </si>
  <si>
    <t>a17Dm000000KyFRIA0</t>
  </si>
  <si>
    <t>a17Dm000000KyFvIAK</t>
  </si>
  <si>
    <t>a17Dm000000KyDWIA0</t>
  </si>
  <si>
    <t>CI-131652</t>
  </si>
  <si>
    <t>a17Dm000000KyE0IAK</t>
  </si>
  <si>
    <t>a17Dm000000KyEUIA0</t>
  </si>
  <si>
    <t>a17Dm000000KyEyIAK</t>
  </si>
  <si>
    <t>a17Dm000000KyFSIA0</t>
  </si>
  <si>
    <t>a17Dm000000KyFwIAK</t>
  </si>
  <si>
    <t xml:space="preserve"> Disaggregation - Section E </t>
  </si>
  <si>
    <t>intervention</t>
  </si>
  <si>
    <t>Indicator-Disaggregation Reference (Name)</t>
  </si>
  <si>
    <t>Outcome Indicator ID (Name)</t>
  </si>
  <si>
    <t>a1VDm000000PRahMAG</t>
  </si>
  <si>
    <t>a1VDm000000PRaiMAG</t>
  </si>
  <si>
    <t>a1VDm000000PRajMAG</t>
  </si>
  <si>
    <t>a1VDm000000PRakMAG</t>
  </si>
  <si>
    <t>a1VDm000000PRalMAG</t>
  </si>
  <si>
    <t>a1VDm000000PRamMAG</t>
  </si>
  <si>
    <t>a1VDm000000PRanMAG</t>
  </si>
  <si>
    <t>a1VDm000000PRaoMAG</t>
  </si>
  <si>
    <t>a1VDm000000PRapMAG</t>
  </si>
  <si>
    <t>a1VDm000000PRaqMAG</t>
  </si>
  <si>
    <t>a1VDm000000PRarMAG</t>
  </si>
  <si>
    <t>a1VDm000000PRasMAG</t>
  </si>
  <si>
    <t>a1VDm000000PRatMAG</t>
  </si>
  <si>
    <t>a1VDm000000PRauMAG</t>
  </si>
  <si>
    <t>a1VDm000000PRavMAG</t>
  </si>
  <si>
    <t>a1VDm000000PRawMAG</t>
  </si>
  <si>
    <t>a1VDm000000PRaxMAG</t>
  </si>
  <si>
    <t>a1VDm000000PRayMAG</t>
  </si>
  <si>
    <t>a1VDm000000PRazMAG</t>
  </si>
  <si>
    <t>a1VDm000000PRb0MAG</t>
  </si>
  <si>
    <t>a1VDm000000PRb1MAG</t>
  </si>
  <si>
    <t>a1VDm000000PRb2MAG</t>
  </si>
  <si>
    <t>a1VDm000000PRb3MAG</t>
  </si>
  <si>
    <t>a1VDm000000PRb4MAG</t>
  </si>
  <si>
    <t>a1VDm000000PRb5MAG</t>
  </si>
  <si>
    <t>a1VDm000000PRb6MAG</t>
  </si>
  <si>
    <t>a1VDm000000PRb7MAG</t>
  </si>
  <si>
    <t>a1VDm000000PRb8MAG</t>
  </si>
  <si>
    <t>a1VDm000000PRb9MAG</t>
  </si>
  <si>
    <t>a1VDm000000PRbAMAW</t>
  </si>
  <si>
    <t>a1VDm000000PRbBMAW</t>
  </si>
  <si>
    <t>a1VDm000000PRbCMAW</t>
  </si>
  <si>
    <t>a1VDm000000PRbDMAW</t>
  </si>
  <si>
    <t>a1VDm000000PRbEMAW</t>
  </si>
  <si>
    <t>a1VDm000000PRbFMAW</t>
  </si>
  <si>
    <t>a1VDm000000PRbGMAW</t>
  </si>
  <si>
    <t>a1VDm000000PRbHMAW</t>
  </si>
  <si>
    <t>a1VDm000000PRbIMAW</t>
  </si>
  <si>
    <t>a1VDm000000PRbJMAW</t>
  </si>
  <si>
    <t>a1VDm000000PRbKMAW</t>
  </si>
  <si>
    <t>a1VDm000000PRbLMAW</t>
  </si>
  <si>
    <t>a1VDm000000PRbMMAW</t>
  </si>
  <si>
    <t>a1VDm000000PRbNMAW</t>
  </si>
  <si>
    <t>a1VDm000000PRbOMAW</t>
  </si>
  <si>
    <t>a1VDm000000PRbPMAW</t>
  </si>
  <si>
    <t>a1VDm000000PRbQMAW</t>
  </si>
  <si>
    <t>a1VDm000000PRbRMAW</t>
  </si>
  <si>
    <t>a1VDm000000PRbSMAW</t>
  </si>
  <si>
    <t>a1VDm000000PRbTMAW</t>
  </si>
  <si>
    <t>a1VDm000000PRbUMAW</t>
  </si>
  <si>
    <t>a1VDm000000PRbVMAW</t>
  </si>
  <si>
    <t>a1VDm000000PRbWMAW</t>
  </si>
  <si>
    <t>a1VDm000000PRbXMAW</t>
  </si>
  <si>
    <t>a1VDm000000PRbYMAW</t>
  </si>
  <si>
    <t>a1VDm000000PRbZMAW</t>
  </si>
  <si>
    <t>a1VDm000000PRbaMAG</t>
  </si>
  <si>
    <t>a1VDm000000PRbbMAG</t>
  </si>
  <si>
    <t>a1VDm000000PRbcMAG</t>
  </si>
  <si>
    <t>a1VDm000000PRbdMAG</t>
  </si>
  <si>
    <t>a1VDm000000PRbeMAG</t>
  </si>
  <si>
    <t>a1VDm000000PRbfMAG</t>
  </si>
  <si>
    <t>a1VDm000000PRbgMAG</t>
  </si>
  <si>
    <t>a1VDm000000PRbhMAG</t>
  </si>
  <si>
    <t>a1VDm000000PRbiMAG</t>
  </si>
  <si>
    <t>a1VDm000000PRbjMAG</t>
  </si>
  <si>
    <t>a1VDm000000PRbkMAG</t>
  </si>
  <si>
    <t>a1VDm000000PRblMAG</t>
  </si>
  <si>
    <t>a1VDm000000PRbmMAG</t>
  </si>
  <si>
    <t>a1VDm000000PRbnMAG</t>
  </si>
  <si>
    <t>a1VDm000000PRboMAG</t>
  </si>
  <si>
    <t>a1VDm000000PRbpMAG</t>
  </si>
  <si>
    <t>a1VDm000000PRbqMAG</t>
  </si>
  <si>
    <t>a1VDm000000PRbrMAG</t>
  </si>
  <si>
    <t>a1VDm000000PRbsMAG</t>
  </si>
  <si>
    <t>a1VDm000000PRbtMAG</t>
  </si>
  <si>
    <t>a1VDm000000PRbuMAG</t>
  </si>
  <si>
    <t>a1VDm000000PRbvMAG</t>
  </si>
  <si>
    <t>a1VDm000000PRbwMAG</t>
  </si>
  <si>
    <t>a1VDm000000PRbxMAG</t>
  </si>
  <si>
    <t>a1VDm000000PRbyMAG</t>
  </si>
  <si>
    <t>a1VDm000000PRbzMAG</t>
  </si>
  <si>
    <t>a1VDm000000PRc0MAG</t>
  </si>
  <si>
    <t>a1VDm000000PRc1MAG</t>
  </si>
  <si>
    <t>a1VDm000000PRc2MAG</t>
  </si>
  <si>
    <t>a1VDm000000PRc3MAG</t>
  </si>
  <si>
    <t>a1VDm000000PRc4MAG</t>
  </si>
  <si>
    <t>a1VDm000000PRc5MAG</t>
  </si>
  <si>
    <t>a1VDm000000PRc6MAG</t>
  </si>
  <si>
    <t>a1VDm000000PRc7MAG</t>
  </si>
  <si>
    <t>a1VDm000000PRc8MAG</t>
  </si>
  <si>
    <t>a1VDm000000PRc9MAG</t>
  </si>
  <si>
    <t>a1VDm000000PRcAMAW</t>
  </si>
  <si>
    <t>a1VDm000000PRcBMAW</t>
  </si>
  <si>
    <t>a1VDm000000PRcCMAW</t>
  </si>
  <si>
    <t>a1VDm000000PRcDMAW</t>
  </si>
  <si>
    <t>a1VDm000000PRcEMAW</t>
  </si>
  <si>
    <t>a1VDm000000PRcFMAW</t>
  </si>
  <si>
    <t>a1VDm000000PRcGMAW</t>
  </si>
  <si>
    <t>a1VDm000000PRcHMAW</t>
  </si>
  <si>
    <t>a1VDm000000PRcIMAW</t>
  </si>
  <si>
    <t>a1VDm000000PRcJMAW</t>
  </si>
  <si>
    <t>a1VDm000000PRcKMAW</t>
  </si>
  <si>
    <t>a1VDm000000PRcLMAW</t>
  </si>
  <si>
    <t>a1VDm000000PRcMMAW</t>
  </si>
  <si>
    <t>a1VDm000000PRcNMAW</t>
  </si>
  <si>
    <t>a1VDm000000PRcOMAW</t>
  </si>
  <si>
    <t>a1VDm000000PRcPMAW</t>
  </si>
  <si>
    <t>a1VDm000000PRcQMAW</t>
  </si>
  <si>
    <t>a1VDm000000PRcRMAW</t>
  </si>
  <si>
    <t>a1VDm000000PRcSMAW</t>
  </si>
  <si>
    <t>a1VDm000000PRcTMAW</t>
  </si>
  <si>
    <t>a1VDm000000PRcUMAW</t>
  </si>
  <si>
    <t>a1VDm000000PRcVMAW</t>
  </si>
  <si>
    <t>a1VDm000000PRcWMAW</t>
  </si>
  <si>
    <t>a1VDm000000PRcXMAW</t>
  </si>
  <si>
    <t>a1VDm000000PRcYMAW</t>
  </si>
  <si>
    <t>a1VDm000000PRcZMAW</t>
  </si>
  <si>
    <t>a1VDm000000PRcaMAG</t>
  </si>
  <si>
    <t>a1VDm000000PRcbMAG</t>
  </si>
  <si>
    <t>a1VDm000000PRccMAG</t>
  </si>
  <si>
    <t>a1VDm000000PRcdMAG</t>
  </si>
  <si>
    <t>a1VDm000000PRceMAG</t>
  </si>
  <si>
    <t>a1VDm000000PRcfMAG</t>
  </si>
  <si>
    <t>a1VDm000000PRcgMAG</t>
  </si>
  <si>
    <t>a1VDm000000PRchMAG</t>
  </si>
  <si>
    <t>a1VDm000000PRciMAG</t>
  </si>
  <si>
    <t>a1VDm000000PRcjMAG</t>
  </si>
  <si>
    <t>a1VDm000000PRckMAG</t>
  </si>
  <si>
    <t>a1VDm000000PRclMAG</t>
  </si>
  <si>
    <t>a1VDm000000PRcmMAG</t>
  </si>
  <si>
    <t>a1VDm000000PRcnMAG</t>
  </si>
  <si>
    <t>a1VDm000000PRcoMAG</t>
  </si>
  <si>
    <t>a1VDm000000PRcpMAG</t>
  </si>
  <si>
    <t>a1VDm000000PRcqMAG</t>
  </si>
  <si>
    <t>a1VDm000000PRcrMAG</t>
  </si>
  <si>
    <t>a1VDm000000PRcsMAG</t>
  </si>
  <si>
    <t>a1VDm000000PRctMAG</t>
  </si>
  <si>
    <t>a1VDm000000PRcuMAG</t>
  </si>
  <si>
    <t>a1VDm000000PRcvMAG</t>
  </si>
  <si>
    <t>a1VDm000000PRcwMAG</t>
  </si>
  <si>
    <t>a1VDm000000PRcxMAG</t>
  </si>
  <si>
    <t>a1VDm000000PRcyMAG</t>
  </si>
  <si>
    <t>a1VDm000000PRczMAG</t>
  </si>
  <si>
    <t>a1VDm000000PRd0MAG</t>
  </si>
  <si>
    <t>a1VDm000000PRd1MAG</t>
  </si>
  <si>
    <t>a1VDm000000PRd2MAG</t>
  </si>
  <si>
    <t>a1VDm000000PRd3MAG</t>
  </si>
  <si>
    <t>a1VDm000000PRd4MAG</t>
  </si>
  <si>
    <t>a1VDm000000PRd5MAG</t>
  </si>
  <si>
    <t>a1VDm000000PRd6MAG</t>
  </si>
  <si>
    <t>Impact Indicator ID (Name)</t>
  </si>
  <si>
    <t>a1GDm000000XmkmMAC</t>
  </si>
  <si>
    <t>a1GDm000000XmknMAC</t>
  </si>
  <si>
    <t>a1GDm000000XmkoMAC</t>
  </si>
  <si>
    <t>a1GDm000000XmkpMAC</t>
  </si>
  <si>
    <t>a1GDm000000XmkqMAC</t>
  </si>
  <si>
    <t>a1GDm000000XmkrMAC</t>
  </si>
  <si>
    <t>a1GDm000000XmksMAC</t>
  </si>
  <si>
    <t>a1GDm000000XmktMAC</t>
  </si>
  <si>
    <t>a1GDm000000XmkuMAC</t>
  </si>
  <si>
    <t>a1GDm000000XmkvMAC</t>
  </si>
  <si>
    <t>a1GDm000000XmkwMAC</t>
  </si>
  <si>
    <t>a1GDm000000XmkxMAC</t>
  </si>
  <si>
    <t>a1GDm000000XmkyMAC</t>
  </si>
  <si>
    <t>a1GDm000000XmkzMAC</t>
  </si>
  <si>
    <t>a1GDm000000Xml0MAC</t>
  </si>
  <si>
    <t>a1GDm000000Xml1MAC</t>
  </si>
  <si>
    <t>a1GDm000000Xml2MAC</t>
  </si>
  <si>
    <t>a1GDm000000Xml3MAC</t>
  </si>
  <si>
    <t>a1GDm000000Xml4MAC</t>
  </si>
  <si>
    <t>a1GDm000000Xml5MAC</t>
  </si>
  <si>
    <t>a1GDm000000Xml6MAC</t>
  </si>
  <si>
    <t>a1GDm000000Xml7MAC</t>
  </si>
  <si>
    <t>a1GDm000000Xml8MAC</t>
  </si>
  <si>
    <t>a1GDm000000Xml9MAC</t>
  </si>
  <si>
    <t>a1GDm000000XmlAMAS</t>
  </si>
  <si>
    <t>a1GDm000000XmlBMAS</t>
  </si>
  <si>
    <t>a1GDm000000XmlCMAS</t>
  </si>
  <si>
    <t>a1GDm000000XmlDMAS</t>
  </si>
  <si>
    <t>a1GDm000000XmlEMAS</t>
  </si>
  <si>
    <t>a1GDm000000XmlFMAS</t>
  </si>
  <si>
    <t>a1GDm000000XmlGMAS</t>
  </si>
  <si>
    <t>a1GDm000000XmlHMAS</t>
  </si>
  <si>
    <t>a1GDm000000XmlIMAS</t>
  </si>
  <si>
    <t>a1GDm000000XmlJMAS</t>
  </si>
  <si>
    <t>a1GDm000000XmlKMAS</t>
  </si>
  <si>
    <t>a1GDm000000XmlLMAS</t>
  </si>
  <si>
    <t>a1GDm000000XmlMMAS</t>
  </si>
  <si>
    <t>a1GDm000000XmlNMAS</t>
  </si>
  <si>
    <t>a1GDm000000XmlOMAS</t>
  </si>
  <si>
    <t>a1GDm000000XmlPMAS</t>
  </si>
  <si>
    <t>a1GDm000000XmlQMAS</t>
  </si>
  <si>
    <t>a1GDm000000XmlRMAS</t>
  </si>
  <si>
    <t>a1GDm000000XmlSMAS</t>
  </si>
  <si>
    <t>a1GDm000000XmlTMAS</t>
  </si>
  <si>
    <t>a1GDm000000XmlUMAS</t>
  </si>
  <si>
    <t>a1GDm000000XmlVMAS</t>
  </si>
  <si>
    <t>a1GDm000000XmlWMAS</t>
  </si>
  <si>
    <t>a1GDm000000XmlXMAS</t>
  </si>
  <si>
    <t>a1GDm000000XmlYMAS</t>
  </si>
  <si>
    <t>a1GDm000000XmlZMAS</t>
  </si>
  <si>
    <t>a1GDm000000XmlaMAC</t>
  </si>
  <si>
    <t>a1GDm000000XmlbMAC</t>
  </si>
  <si>
    <t>a1GDm000000XmlcMAC</t>
  </si>
  <si>
    <t>a1GDm000000XmldMAC</t>
  </si>
  <si>
    <t>a1GDm000000XmleMAC</t>
  </si>
  <si>
    <t>a1GDm000000XmlfMAC</t>
  </si>
  <si>
    <t>a1GDm000000XmlgMAC</t>
  </si>
  <si>
    <t>a1GDm000000XmlhMAC</t>
  </si>
  <si>
    <t>a1GDm000000XmliMAC</t>
  </si>
  <si>
    <t>a1GDm000000XmljMAC</t>
  </si>
  <si>
    <t>a1GDm000000XmlkMAC</t>
  </si>
  <si>
    <t>a1GDm000000XmllMAC</t>
  </si>
  <si>
    <t>a1GDm000000XmlmMAC</t>
  </si>
  <si>
    <t>a1GDm000000XmlnMAC</t>
  </si>
  <si>
    <t>a1GDm000000XmloMAC</t>
  </si>
  <si>
    <t>a1GDm000000XmlpMAC</t>
  </si>
  <si>
    <t>a1GDm000000XmlqMAC</t>
  </si>
  <si>
    <t>a1GDm000000XmlrMAC</t>
  </si>
  <si>
    <t>a1GDm000000XmlsMAC</t>
  </si>
  <si>
    <t>a1GDm000000XmltMAC</t>
  </si>
  <si>
    <t>a1GDm000000XmluMAC</t>
  </si>
  <si>
    <t>a1GDm000000XmlvMAC</t>
  </si>
  <si>
    <t>a1GDm000000XmlwMAC</t>
  </si>
  <si>
    <t>a1GDm000000XmlxMAC</t>
  </si>
  <si>
    <t>a1GDm000000XmlyMAC</t>
  </si>
  <si>
    <t>a1GDm000000XmlzMAC</t>
  </si>
  <si>
    <t>a1GDm000000Xmm0MAC</t>
  </si>
  <si>
    <t>a1GDm000000Xmm1MAC</t>
  </si>
  <si>
    <t>a1GDm000000Xmm2MAC</t>
  </si>
  <si>
    <t>a1GDm000000Xmm3MAC</t>
  </si>
  <si>
    <t>a1GDm000000Xmm4MAC</t>
  </si>
  <si>
    <t>a1GDm000000Xmm5MAC</t>
  </si>
  <si>
    <t>a1GDm000000Xmm6MAC</t>
  </si>
  <si>
    <t>a1GDm000000Xmm7MAC</t>
  </si>
  <si>
    <t>a1GDm000000Xmm8MAC</t>
  </si>
  <si>
    <t>a1GDm000000Xmm9MAC</t>
  </si>
  <si>
    <t>a1GDm000000XmmAMAS</t>
  </si>
  <si>
    <t>a1GDm000000XmmBMAS</t>
  </si>
  <si>
    <t>a1GDm000000XmmCMAS</t>
  </si>
  <si>
    <t>a1GDm000000XmmDMAS</t>
  </si>
  <si>
    <t>a1GDm000000XmmEMAS</t>
  </si>
  <si>
    <t>a1GDm000000XmmFMAS</t>
  </si>
  <si>
    <t>a1GDm000000XmmGMAS</t>
  </si>
  <si>
    <t>a1GDm000000XmmHMAS</t>
  </si>
  <si>
    <t>a1GDm000000XmmIMAS</t>
  </si>
  <si>
    <t>a1GDm000000XmmJMAS</t>
  </si>
  <si>
    <t>a1GDm000000XmmKMAS</t>
  </si>
  <si>
    <t>a1GDm000000XmmLMAS</t>
  </si>
  <si>
    <t>a1GDm000000XmmMMAS</t>
  </si>
  <si>
    <t>a1GDm000000XmmNMAS</t>
  </si>
  <si>
    <t>a1GDm000000XmmOMAS</t>
  </si>
  <si>
    <t>a1GDm000000XmmPMAS</t>
  </si>
  <si>
    <t>a1GDm000000XmmQMAS</t>
  </si>
  <si>
    <t>a1GDm000000XmmRMAS</t>
  </si>
  <si>
    <t>a1GDm000000XmmSMAS</t>
  </si>
  <si>
    <t>a1GDm000000XmmTMAS</t>
  </si>
  <si>
    <t>a1GDm000000XmmUMAS</t>
  </si>
  <si>
    <t>a1GDm000000XmmVMAS</t>
  </si>
  <si>
    <t>a1GDm000000XmmWMAS</t>
  </si>
  <si>
    <t>a1GDm000000XmmXMAS</t>
  </si>
  <si>
    <t>a1GDm000000XmmYMAS</t>
  </si>
  <si>
    <t>a1GDm000000XmmZMAS</t>
  </si>
  <si>
    <t>a1GDm000000XmmaMAC</t>
  </si>
  <si>
    <t>a1GDm000000XmmbMAC</t>
  </si>
  <si>
    <t>a1GDm000000XmmcMAC</t>
  </si>
  <si>
    <t>a1GDm000000XmmdMAC</t>
  </si>
  <si>
    <t>a1GDm000000XmmeMAC</t>
  </si>
  <si>
    <t>a1GDm000000XmmfMAC</t>
  </si>
  <si>
    <t>a1GDm000000XmmgMAC</t>
  </si>
  <si>
    <t>a1GDm000000XmmhMAC</t>
  </si>
  <si>
    <t>a1GDm000000XmmiMAC</t>
  </si>
  <si>
    <t>a1GDm000000XmmjMAC</t>
  </si>
  <si>
    <t>a1GDm000000XmmkMAC</t>
  </si>
  <si>
    <t>a1GDm000000XmmlMAC</t>
  </si>
  <si>
    <t>a1GDm000000XmmmMAC</t>
  </si>
  <si>
    <t>a1GDm000000XmmnMAC</t>
  </si>
  <si>
    <t>a1GDm000000XmmoMAC</t>
  </si>
  <si>
    <t>a1GDm000000XmmpMAC</t>
  </si>
  <si>
    <t>a1GDm000000XmmqMAC</t>
  </si>
  <si>
    <t>a1GDm000000XmmrMAC</t>
  </si>
  <si>
    <t>a1GDm000000XmmsMAC</t>
  </si>
  <si>
    <t>a1GDm000000XmmtMAC</t>
  </si>
  <si>
    <t>a1GDm000000XmmuMAC</t>
  </si>
  <si>
    <t>a1GDm000000XmmvMAC</t>
  </si>
  <si>
    <t>a1GDm000000XmmwMAC</t>
  </si>
  <si>
    <t>a1GDm000000XmmxMAC</t>
  </si>
  <si>
    <t>a1GDm000000XmmyMAC</t>
  </si>
  <si>
    <t>a1GDm000000XmmzMAC</t>
  </si>
  <si>
    <t>a1GDm000000Xmn0MAC</t>
  </si>
  <si>
    <t>a1GDm000000Xmn1MAC</t>
  </si>
  <si>
    <t>a1GDm000000Xmn2MAC</t>
  </si>
  <si>
    <t>a1GDm000000Xmn3MAC</t>
  </si>
  <si>
    <t>a1GDm000000Xmn4MAC</t>
  </si>
  <si>
    <t>a1GDm000000Xmn5MAC</t>
  </si>
  <si>
    <t>a1GDm000000Xmn6MAC</t>
  </si>
  <si>
    <t>a1GDm000000Xmn7MAC</t>
  </si>
  <si>
    <t>a1GDm000000Xmn8MAC</t>
  </si>
  <si>
    <t>a1GDm000000Xmn9MAC</t>
  </si>
  <si>
    <t>a1GDm000000XmnAMAS</t>
  </si>
  <si>
    <t>a1GDm000000XmnBMAS</t>
  </si>
  <si>
    <t>Coverage Indicator (Name)</t>
  </si>
  <si>
    <t>a16Dm000000LZZWIA4</t>
  </si>
  <si>
    <t>a16Dm000000LZZXIA4</t>
  </si>
  <si>
    <t>a16Dm000000LZZYIA4</t>
  </si>
  <si>
    <t>a16Dm000000LZZZIA4</t>
  </si>
  <si>
    <t>a16Dm000000LZZaIAO</t>
  </si>
  <si>
    <t>a16Dm000000LZZbIAO</t>
  </si>
  <si>
    <t>a16Dm000000LZZcIAO</t>
  </si>
  <si>
    <t>a16Dm000000LZZdIAO</t>
  </si>
  <si>
    <t>a16Dm000000LZZeIAO</t>
  </si>
  <si>
    <t>a16Dm000000LZZfIAO</t>
  </si>
  <si>
    <t>a16Dm000000LZZgIAO</t>
  </si>
  <si>
    <t>a16Dm000000LZZhIAO</t>
  </si>
  <si>
    <t>a16Dm000000LZZiIAO</t>
  </si>
  <si>
    <t>a16Dm000000LZZjIAO</t>
  </si>
  <si>
    <t>a16Dm000000LZZkIAO</t>
  </si>
  <si>
    <t>a16Dm000000LZZlIAO</t>
  </si>
  <si>
    <t>a16Dm000000LZZmIAO</t>
  </si>
  <si>
    <t>a16Dm000000LZZnIAO</t>
  </si>
  <si>
    <t>a16Dm000000LZZoIAO</t>
  </si>
  <si>
    <t>a16Dm000000LZZpIAO</t>
  </si>
  <si>
    <t>a16Dm000000LZZqIAO</t>
  </si>
  <si>
    <t>a16Dm000000LZZrIAO</t>
  </si>
  <si>
    <t>a16Dm000000LZZsIAO</t>
  </si>
  <si>
    <t>a16Dm000000LZZtIAO</t>
  </si>
  <si>
    <t>a16Dm000000LZZuIAO</t>
  </si>
  <si>
    <t>a16Dm000000LZZvIAO</t>
  </si>
  <si>
    <t>a16Dm000000LZZwIAO</t>
  </si>
  <si>
    <t>a16Dm000000LZZxIAO</t>
  </si>
  <si>
    <t>a16Dm000000LZZyIAO</t>
  </si>
  <si>
    <t>a16Dm000000LZZzIAO</t>
  </si>
  <si>
    <t>a16Dm000000LZa0IAG</t>
  </si>
  <si>
    <t>a16Dm000000LZa1IAG</t>
  </si>
  <si>
    <t>a16Dm000000LZa2IAG</t>
  </si>
  <si>
    <t>a16Dm000000LZa3IAG</t>
  </si>
  <si>
    <t>a16Dm000000LZa4IAG</t>
  </si>
  <si>
    <t>a16Dm000000LZa5IAG</t>
  </si>
  <si>
    <t>a16Dm000000LZa6IAG</t>
  </si>
  <si>
    <t>a16Dm000000LZa7IAG</t>
  </si>
  <si>
    <t>a16Dm000000LZa8IAG</t>
  </si>
  <si>
    <t>a16Dm000000LZa9IAG</t>
  </si>
  <si>
    <t>a16Dm000000LZaAIAW</t>
  </si>
  <si>
    <t>a16Dm000000LZaBIAW</t>
  </si>
  <si>
    <t>a16Dm000000LZaCIAW</t>
  </si>
  <si>
    <t>a16Dm000000LZaDIAW</t>
  </si>
  <si>
    <t>a16Dm000000LZaEIAW</t>
  </si>
  <si>
    <t>a16Dm000000LZaFIAW</t>
  </si>
  <si>
    <t>a16Dm000000LZaGIAW</t>
  </si>
  <si>
    <t>a16Dm000000LZaHIAW</t>
  </si>
  <si>
    <t>a16Dm000000LZaIIAW</t>
  </si>
  <si>
    <t>a16Dm000000LZaJIAW</t>
  </si>
  <si>
    <t>a16Dm000000LZaKIAW</t>
  </si>
  <si>
    <t>a16Dm000000LZaLIAW</t>
  </si>
  <si>
    <t>a16Dm000000LZaMIAW</t>
  </si>
  <si>
    <t>a16Dm000000LZaNIAW</t>
  </si>
  <si>
    <t>a16Dm000000LZaOIAW</t>
  </si>
  <si>
    <t>a16Dm000000LZaPIAW</t>
  </si>
  <si>
    <t>a16Dm000000LZaQIAW</t>
  </si>
  <si>
    <t>a16Dm000000LZaRIAW</t>
  </si>
  <si>
    <t>a16Dm000000LZaSIAW</t>
  </si>
  <si>
    <t>a16Dm000000LZaTIAW</t>
  </si>
  <si>
    <t>a16Dm000000LZaUIAW</t>
  </si>
  <si>
    <t>a16Dm000000LZaVIAW</t>
  </si>
  <si>
    <t>a16Dm000000LZaWIAW</t>
  </si>
  <si>
    <t>a16Dm000000LZaXIAW</t>
  </si>
  <si>
    <t>a16Dm000000LZaYIAW</t>
  </si>
  <si>
    <t>a16Dm000000LZaZIAW</t>
  </si>
  <si>
    <t>a16Dm000000LZaaIAG</t>
  </si>
  <si>
    <t>a16Dm000000LZabIAG</t>
  </si>
  <si>
    <t>a16Dm000000LZacIAG</t>
  </si>
  <si>
    <t>a16Dm000000LZadIAG</t>
  </si>
  <si>
    <t>a16Dm000000LZaeIAG</t>
  </si>
  <si>
    <t>a16Dm000000LZafIAG</t>
  </si>
  <si>
    <t>a16Dm000000LZagIAG</t>
  </si>
  <si>
    <t>a16Dm000000LZahIAG</t>
  </si>
  <si>
    <t>a16Dm000000LZaiIAG</t>
  </si>
  <si>
    <t>a16Dm000000LZajIAG</t>
  </si>
  <si>
    <t>a16Dm000000LZakIAG</t>
  </si>
  <si>
    <t>a16Dm000000LZalIAG</t>
  </si>
  <si>
    <t>a16Dm000000LZamIAG</t>
  </si>
  <si>
    <t>a16Dm000000LZanIAG</t>
  </si>
  <si>
    <t>a16Dm000000LZaoIAG</t>
  </si>
  <si>
    <t>a16Dm000000LZapIAG</t>
  </si>
  <si>
    <t>a16Dm000000LZaqIAG</t>
  </si>
  <si>
    <t>a16Dm000000LZarIAG</t>
  </si>
  <si>
    <t>a16Dm000000LZasIAG</t>
  </si>
  <si>
    <t>a16Dm000000LZatIAG</t>
  </si>
  <si>
    <t>a16Dm000000LZauIAG</t>
  </si>
  <si>
    <t>a16Dm000000LZavIAG</t>
  </si>
  <si>
    <t>a16Dm000000LZawIAG</t>
  </si>
  <si>
    <t>a16Dm000000LZaxIAG</t>
  </si>
  <si>
    <t>a16Dm000000LZayIAG</t>
  </si>
  <si>
    <t>a16Dm000000LZazIAG</t>
  </si>
  <si>
    <t>a16Dm000000LZb0IAG</t>
  </si>
  <si>
    <t>a16Dm000000LZb1IAG</t>
  </si>
  <si>
    <t>a16Dm000000LZb2IAG</t>
  </si>
  <si>
    <t>a16Dm000000LZb3IAG</t>
  </si>
  <si>
    <t>a16Dm000000LZb4IAG</t>
  </si>
  <si>
    <t>a16Dm000000LZb5IAG</t>
  </si>
  <si>
    <t>a16Dm000000LZb6IAG</t>
  </si>
  <si>
    <t>a16Dm000000LZb7IAG</t>
  </si>
  <si>
    <t>a16Dm000000LZb8IAG</t>
  </si>
  <si>
    <t>a16Dm000000LZb9IAG</t>
  </si>
  <si>
    <t>a16Dm000000LZbAIAW</t>
  </si>
  <si>
    <t>a16Dm000000LZbBIAW</t>
  </si>
  <si>
    <t>a16Dm000000LZbCIAW</t>
  </si>
  <si>
    <t>a16Dm000000LZbDIAW</t>
  </si>
  <si>
    <t>a16Dm000000LZbEIAW</t>
  </si>
  <si>
    <t>a16Dm000000LZbFIAW</t>
  </si>
  <si>
    <t>a16Dm000000LZbGIAW</t>
  </si>
  <si>
    <t>a16Dm000000LZbHIAW</t>
  </si>
  <si>
    <t>a16Dm000000LZbIIAW</t>
  </si>
  <si>
    <t>a16Dm000000LZbJIAW</t>
  </si>
  <si>
    <t>a16Dm000000LZbKIAW</t>
  </si>
  <si>
    <t>a16Dm000000LZbLIAW</t>
  </si>
  <si>
    <t>a16Dm000000LZbMIAW</t>
  </si>
  <si>
    <t>a16Dm000000LZbNIAW</t>
  </si>
  <si>
    <t>a16Dm000000LZbOIAW</t>
  </si>
  <si>
    <t>a16Dm000000LZbPIAW</t>
  </si>
  <si>
    <t>a16Dm000000LZbQIAW</t>
  </si>
  <si>
    <t>a16Dm000000LZbRIAW</t>
  </si>
  <si>
    <t>a16Dm000000LZbSIAW</t>
  </si>
  <si>
    <t>a16Dm000000LZbTIAW</t>
  </si>
  <si>
    <t>a16Dm000000LZbUIAW</t>
  </si>
  <si>
    <t>a16Dm000000LZbVIAW</t>
  </si>
  <si>
    <t>a16Dm000000LZbWIAW</t>
  </si>
  <si>
    <t>a16Dm000000LZbXIAW</t>
  </si>
  <si>
    <t>a16Dm000000LZbYIAW</t>
  </si>
  <si>
    <t>a16Dm000000LZbZIAW</t>
  </si>
  <si>
    <t>a16Dm000000LZbaIAG</t>
  </si>
  <si>
    <t>a16Dm000000LZbbIAG</t>
  </si>
  <si>
    <t>a16Dm000000LZbcIAG</t>
  </si>
  <si>
    <t>a16Dm000000LZbdIAG</t>
  </si>
  <si>
    <t>a16Dm000000LZbeIAG</t>
  </si>
  <si>
    <t>a16Dm000000LZbfIAG</t>
  </si>
  <si>
    <t>a16Dm000000LZbgIAG</t>
  </si>
  <si>
    <t>a16Dm000000LZbhIAG</t>
  </si>
  <si>
    <t>a16Dm000000LZbiIAG</t>
  </si>
  <si>
    <t>a16Dm000000LZbjIAG</t>
  </si>
  <si>
    <t>a16Dm000000LZbkIAG</t>
  </si>
  <si>
    <t>a16Dm000000LZblIAG</t>
  </si>
  <si>
    <t>a16Dm000000LZbmIAG</t>
  </si>
  <si>
    <t>a16Dm000000LZbnIAG</t>
  </si>
  <si>
    <t>a16Dm000000LZboIAG</t>
  </si>
  <si>
    <t>a16Dm000000LZbpIAG</t>
  </si>
  <si>
    <t>a16Dm000000LZbqIAG</t>
  </si>
  <si>
    <t>a16Dm000000LZbrIAG</t>
  </si>
  <si>
    <t>a16Dm000000LZbsIAG</t>
  </si>
  <si>
    <t>a16Dm000000LZbtIAG</t>
  </si>
  <si>
    <t>a16Dm000000LZbuIAG</t>
  </si>
  <si>
    <t>a16Dm000000LZbvIAG</t>
  </si>
  <si>
    <t>a16Dm000000LZbwIAG</t>
  </si>
  <si>
    <t>a16Dm000000LZbxIAG</t>
  </si>
  <si>
    <t>a16Dm000000LZbyIAG</t>
  </si>
  <si>
    <t>a16Dm000000LZbzIAG</t>
  </si>
  <si>
    <t>a16Dm000000LZc0IAG</t>
  </si>
  <si>
    <t>a16Dm000000LZc1IAG</t>
  </si>
  <si>
    <t>a16Dm000000LZc2IAG</t>
  </si>
  <si>
    <t>a16Dm000000LZc3IAG</t>
  </si>
  <si>
    <t>a16Dm000000LZc4IAG</t>
  </si>
  <si>
    <t>a16Dm000000LZc5IAG</t>
  </si>
  <si>
    <t>a16Dm000000LZc6IAG</t>
  </si>
  <si>
    <t>a16Dm000000LZc7IAG</t>
  </si>
  <si>
    <t>a16Dm000000LZc8IAG</t>
  </si>
  <si>
    <t>a16Dm000000LZc9IAG</t>
  </si>
  <si>
    <t>a16Dm000000LZcAIAW</t>
  </si>
  <si>
    <t>a16Dm000000LZcBIAW</t>
  </si>
  <si>
    <t>a16Dm000000LZcCIAW</t>
  </si>
  <si>
    <t>a16Dm000000LZcDIAW</t>
  </si>
  <si>
    <t>a16Dm000000LZcEIAW</t>
  </si>
  <si>
    <t>a16Dm000000LZcFIAW</t>
  </si>
  <si>
    <t>a16Dm000000LZcGIAW</t>
  </si>
  <si>
    <t>a16Dm000000LZcHIAW</t>
  </si>
  <si>
    <t>a16Dm000000LZcIIAW</t>
  </si>
  <si>
    <t>a16Dm000000LZcJIAW</t>
  </si>
  <si>
    <t>a16Dm000000LZcKIAW</t>
  </si>
  <si>
    <t>a16Dm000000LZcLIAW</t>
  </si>
  <si>
    <t>a16Dm000000LZcMIAW</t>
  </si>
  <si>
    <t>a16Dm000000LZcNIAW</t>
  </si>
  <si>
    <t>a16Dm000000LZcOIAW</t>
  </si>
  <si>
    <t>a16Dm000000LZcPIAW</t>
  </si>
  <si>
    <t>a16Dm000000LZcQIAW</t>
  </si>
  <si>
    <t>a16Dm000000LZcRIAW</t>
  </si>
  <si>
    <t>a16Dm000000LZcSIAW</t>
  </si>
  <si>
    <t>a16Dm000000LZcTIAW</t>
  </si>
  <si>
    <t>a16Dm000000LZcUIAW</t>
  </si>
  <si>
    <t>a16Dm000000LZcVIAW</t>
  </si>
  <si>
    <t>a16Dm000000LZcWIAW</t>
  </si>
  <si>
    <t>a16Dm000000LZcXIAW</t>
  </si>
  <si>
    <t>a16Dm000000LZcYIAW</t>
  </si>
  <si>
    <t>a16Dm000000LZcZIAW</t>
  </si>
  <si>
    <t>a16Dm000000LZcaIAG</t>
  </si>
  <si>
    <t>a16Dm000000LZcbIAG</t>
  </si>
  <si>
    <t>a16Dm000000LZccIAG</t>
  </si>
  <si>
    <t>a16Dm000000LZcdIAG</t>
  </si>
  <si>
    <t>a16Dm000000LZceIAG</t>
  </si>
  <si>
    <t>a16Dm000000LZcfIAG</t>
  </si>
  <si>
    <t>a16Dm000000LZcgIAG</t>
  </si>
  <si>
    <t>a16Dm000000LZchIAG</t>
  </si>
  <si>
    <t>a16Dm000000LZciIAG</t>
  </si>
  <si>
    <t>a16Dm000000LZcjIAG</t>
  </si>
  <si>
    <t>a16Dm000000LZckIAG</t>
  </si>
  <si>
    <t>a16Dm000000LZclIAG</t>
  </si>
  <si>
    <t>a16Dm000000LZcmIAG</t>
  </si>
  <si>
    <t>a16Dm000000LZcnIAG</t>
  </si>
  <si>
    <t>a16Dm000000LZcoIAG</t>
  </si>
  <si>
    <t>a16Dm000000LZcpIAG</t>
  </si>
  <si>
    <t>a16Dm000000LZcqIAG</t>
  </si>
  <si>
    <t>a16Dm000000LZcrIAG</t>
  </si>
  <si>
    <t>a16Dm000000LZcsIAG</t>
  </si>
  <si>
    <t>a16Dm000000LZctIAG</t>
  </si>
  <si>
    <t>a16Dm000000LZcuIAG</t>
  </si>
  <si>
    <t>a16Dm000000LZcvIAG</t>
  </si>
  <si>
    <t>a16Dm000000LZcwIAG</t>
  </si>
  <si>
    <t>a16Dm000000LZcxIAG</t>
  </si>
  <si>
    <t>a16Dm000000LZcyIAG</t>
  </si>
  <si>
    <t>a16Dm000000LZczIAG</t>
  </si>
  <si>
    <t>a16Dm000000LZd0IAG</t>
  </si>
  <si>
    <t>a16Dm000000LZd1IAG</t>
  </si>
  <si>
    <t>a16Dm000000LZd2IAG</t>
  </si>
  <si>
    <t>a16Dm000000LZd3IAG</t>
  </si>
  <si>
    <t>a16Dm000000LZd4IAG</t>
  </si>
  <si>
    <t>a16Dm000000LZd5IAG</t>
  </si>
  <si>
    <t>a16Dm000000LZd6IAG</t>
  </si>
  <si>
    <t>a16Dm000000LZd7IAG</t>
  </si>
  <si>
    <t>a16Dm000000LZd8IAG</t>
  </si>
  <si>
    <t>a16Dm000000LZd9IAG</t>
  </si>
  <si>
    <t>a16Dm000000LZdAIAW</t>
  </si>
  <si>
    <t>a16Dm000000LZdBIAW</t>
  </si>
  <si>
    <t>a16Dm000000LZdCIAW</t>
  </si>
  <si>
    <t>a16Dm000000LZdDIAW</t>
  </si>
  <si>
    <t>a16Dm000000LZdEIAW</t>
  </si>
  <si>
    <t>a16Dm000000LZdFIAW</t>
  </si>
  <si>
    <t>a16Dm000000LZdGIAW</t>
  </si>
  <si>
    <t>a16Dm000000LZdHIAW</t>
  </si>
  <si>
    <t>a16Dm000000LZdIIAW</t>
  </si>
  <si>
    <t>a16Dm000000LZdJIAW</t>
  </si>
  <si>
    <t>a16Dm000000LZdKIAW</t>
  </si>
  <si>
    <t>a16Dm000000LZdLIAW</t>
  </si>
  <si>
    <t>a16Dm000000LZdMIAW</t>
  </si>
  <si>
    <t>a16Dm000000LZdNIAW</t>
  </si>
  <si>
    <t>a16Dm000000LZdOIAW</t>
  </si>
  <si>
    <t>a16Dm000000LZdPIAW</t>
  </si>
  <si>
    <t>a16Dm000000LZdQIAW</t>
  </si>
  <si>
    <t>a16Dm000000LZdRIAW</t>
  </si>
  <si>
    <t>a16Dm000000LZdSIAW</t>
  </si>
  <si>
    <t>a16Dm000000LZdTIAW</t>
  </si>
  <si>
    <t>a16Dm000000LZdUIAW</t>
  </si>
  <si>
    <t>a16Dm000000LZdVIAW</t>
  </si>
  <si>
    <t>a16Dm000000LZdWIAW</t>
  </si>
  <si>
    <t>a16Dm000000LZdXIAW</t>
  </si>
  <si>
    <t>a16Dm000000LZdYIAW</t>
  </si>
  <si>
    <t>a16Dm000000LZdZIAW</t>
  </si>
  <si>
    <t>a16Dm000000LZdaIAG</t>
  </si>
  <si>
    <t>a16Dm000000LZdbIAG</t>
  </si>
  <si>
    <t>a16Dm000000LZdcIAG</t>
  </si>
  <si>
    <t>a16Dm000000LZddIAG</t>
  </si>
  <si>
    <t>a16Dm000000LZdeIAG</t>
  </si>
  <si>
    <t>a16Dm000000LZdfIAG</t>
  </si>
  <si>
    <t>a16Dm000000LZdgIAG</t>
  </si>
  <si>
    <t>a16Dm000000LZdhIAG</t>
  </si>
  <si>
    <t>a16Dm000000LZdiIAG</t>
  </si>
  <si>
    <t>a16Dm000000LZdjIAG</t>
  </si>
  <si>
    <t>a16Dm000000LZdkIAG</t>
  </si>
  <si>
    <t>a16Dm000000LZdlIAG</t>
  </si>
  <si>
    <t>a16Dm000000LZdmIAG</t>
  </si>
  <si>
    <t>a16Dm000000LZdnIAG</t>
  </si>
  <si>
    <t>a16Dm000000LZdoIAG</t>
  </si>
  <si>
    <t>a16Dm000000LZdpIAG</t>
  </si>
  <si>
    <t>a16Dm000000LZdqIAG</t>
  </si>
  <si>
    <t>a16Dm000000LZdrIAG</t>
  </si>
  <si>
    <t>a16Dm000000LZdsIAG</t>
  </si>
  <si>
    <t>a16Dm000000LZdtIAG</t>
  </si>
  <si>
    <t>a16Dm000000LZduIAG</t>
  </si>
  <si>
    <t>a16Dm000000LZdvIAG</t>
  </si>
  <si>
    <t>a16Dm000000LZdwIAG</t>
  </si>
  <si>
    <t>a16Dm000000LZdxIAG</t>
  </si>
  <si>
    <t>a16Dm000000LZdyIAG</t>
  </si>
  <si>
    <t>a16Dm000000LZdzIAG</t>
  </si>
  <si>
    <t>a16Dm000000LZe0IAG</t>
  </si>
  <si>
    <t>a16Dm000000LZe1IAG</t>
  </si>
  <si>
    <t>a16Dm000000LZe2IAG</t>
  </si>
  <si>
    <t>a16Dm000000LZe3IAG</t>
  </si>
  <si>
    <t>a16Dm000000LZe4IAG</t>
  </si>
  <si>
    <t>a16Dm000000LZe5IAG</t>
  </si>
  <si>
    <t>a16Dm000000LZe6IAG</t>
  </si>
  <si>
    <t>a16Dm000000LZe7IAG</t>
  </si>
  <si>
    <t>a16Dm000000LZe8IAG</t>
  </si>
  <si>
    <t>a16Dm000000LZe9IAG</t>
  </si>
  <si>
    <t>a16Dm000000LZeAIAW</t>
  </si>
  <si>
    <t>a16Dm000000LZeBIAW</t>
  </si>
  <si>
    <t>a16Dm000000LZeCIAW</t>
  </si>
  <si>
    <t>a16Dm000000LZeDIAW</t>
  </si>
  <si>
    <t>a16Dm000000LZeEIAW</t>
  </si>
  <si>
    <t>a16Dm000000LZeFIAW</t>
  </si>
  <si>
    <t>a16Dm000000LZeGIAW</t>
  </si>
  <si>
    <t>a16Dm000000LZeHIAW</t>
  </si>
  <si>
    <t>a16Dm000000LZeIIAW</t>
  </si>
  <si>
    <t>a16Dm000000LZeJIAW</t>
  </si>
  <si>
    <t>a16Dm000000LZeKIAW</t>
  </si>
  <si>
    <t>a16Dm000000LZeLIAW</t>
  </si>
  <si>
    <t>a16Dm000000LZeMIAW</t>
  </si>
  <si>
    <t>a16Dm000000LZeNIAW</t>
  </si>
  <si>
    <t>a16Dm000000LZeOIAW</t>
  </si>
  <si>
    <t>a16Dm000000LZePIAW</t>
  </si>
  <si>
    <t>a16Dm000000LZeQIAW</t>
  </si>
  <si>
    <t>a16Dm000000LZeRIAW</t>
  </si>
  <si>
    <t>a16Dm000000LZeSIAW</t>
  </si>
  <si>
    <t>a16Dm000000LZeTIAW</t>
  </si>
  <si>
    <t>a16Dm000000LZeUIAW</t>
  </si>
  <si>
    <t>a16Dm000000LZeVIAW</t>
  </si>
  <si>
    <t>a16Dm000000LZeWIAW</t>
  </si>
  <si>
    <t>a16Dm000000LZeXIAW</t>
  </si>
  <si>
    <t>a16Dm000000LZeYIAW</t>
  </si>
  <si>
    <t>a16Dm000000LZeZIAW</t>
  </si>
  <si>
    <t>a16Dm000000LZeaIAG</t>
  </si>
  <si>
    <t>a16Dm000000LZebIAG</t>
  </si>
  <si>
    <t>a16Dm000000LZecIAG</t>
  </si>
  <si>
    <t>a16Dm000000LZedIAG</t>
  </si>
  <si>
    <t>a16Dm000000LZeeIAG</t>
  </si>
  <si>
    <t>a16Dm000000LZefIAG</t>
  </si>
  <si>
    <t>a16Dm000000LZegIAG</t>
  </si>
  <si>
    <t>a16Dm000000LZehIAG</t>
  </si>
  <si>
    <t>a16Dm000000LZeiIAG</t>
  </si>
  <si>
    <t>a16Dm000000LZejIAG</t>
  </si>
  <si>
    <t>a16Dm000000LZekIAG</t>
  </si>
  <si>
    <t>a16Dm000000LZelIAG</t>
  </si>
  <si>
    <t>a16Dm000000LZemIAG</t>
  </si>
  <si>
    <t>a16Dm000000LZenIAG</t>
  </si>
  <si>
    <t>a16Dm000000LZeoIAG</t>
  </si>
  <si>
    <t>a16Dm000000LZepIAG</t>
  </si>
  <si>
    <t>a16Dm000000LZeqIAG</t>
  </si>
  <si>
    <t>a16Dm000000LZerIAG</t>
  </si>
  <si>
    <t>a16Dm000000LZesIAG</t>
  </si>
  <si>
    <t>a16Dm000000LZetIAG</t>
  </si>
  <si>
    <t>a16Dm000000LZeuIAG</t>
  </si>
  <si>
    <t>a16Dm000000LZevIAG</t>
  </si>
  <si>
    <t>a16Dm000000LZewIAG</t>
  </si>
  <si>
    <t>a16Dm000000LZexIAG</t>
  </si>
  <si>
    <t>a16Dm000000LZeyIAG</t>
  </si>
  <si>
    <t>a16Dm000000LZezIAG</t>
  </si>
  <si>
    <t>a16Dm000000LZf0IAG</t>
  </si>
  <si>
    <t>a16Dm000000LZf1IAG</t>
  </si>
  <si>
    <t>a16Dm000000LZf2IAG</t>
  </si>
  <si>
    <t>a16Dm000000LZf3IAG</t>
  </si>
  <si>
    <t>a16Dm000000LZf4IAG</t>
  </si>
  <si>
    <t>a16Dm000000LZf5IAG</t>
  </si>
  <si>
    <t>a16Dm000000LZf6IAG</t>
  </si>
  <si>
    <t>a16Dm000000LZf7IAG</t>
  </si>
  <si>
    <t>a16Dm000000LZf8IAG</t>
  </si>
  <si>
    <t>a16Dm000000LZf9IAG</t>
  </si>
  <si>
    <t>a16Dm000000LZfAIAW</t>
  </si>
  <si>
    <t>a16Dm000000LZfBIAW</t>
  </si>
  <si>
    <t>a16Dm000000LZfCIAW</t>
  </si>
  <si>
    <t>a16Dm000000LZfDIAW</t>
  </si>
  <si>
    <t>a16Dm000000LZfEIAW</t>
  </si>
  <si>
    <t>a16Dm000000LZfFIAW</t>
  </si>
  <si>
    <t>a16Dm000000LZfGIAW</t>
  </si>
  <si>
    <t>a16Dm000000LZfHIAW</t>
  </si>
  <si>
    <t>a16Dm000000LZfIIAW</t>
  </si>
  <si>
    <t>a16Dm000000LZfJIAW</t>
  </si>
  <si>
    <t>a16Dm000000LZfKIAW</t>
  </si>
  <si>
    <t>a16Dm000000LZfLIAW</t>
  </si>
  <si>
    <t>a16Dm000000LZfMIAW</t>
  </si>
  <si>
    <t>a16Dm000000LZfNIAW</t>
  </si>
  <si>
    <t>a16Dm000000LZfOIAW</t>
  </si>
  <si>
    <t>a16Dm000000LZfPIAW</t>
  </si>
  <si>
    <t>a16Dm000000LZfQIAW</t>
  </si>
  <si>
    <t>a16Dm000000LZfRIAW</t>
  </si>
  <si>
    <t>a16Dm000000LZfSIAW</t>
  </si>
  <si>
    <t>a16Dm000000LZfTIAW</t>
  </si>
  <si>
    <t>a16Dm000000LZfUIAW</t>
  </si>
  <si>
    <t>a16Dm000000LZfVIAW</t>
  </si>
  <si>
    <t>a16Dm000000LZfWIAW</t>
  </si>
  <si>
    <t>a16Dm000000LZfXIAW</t>
  </si>
  <si>
    <t>a16Dm000000LZfYIAW</t>
  </si>
  <si>
    <t>a16Dm000000LZfZIAW</t>
  </si>
  <si>
    <t>a16Dm000000LZfaIAG</t>
  </si>
  <si>
    <t>a16Dm000000LZfbIAG</t>
  </si>
  <si>
    <t>a16Dm000000LZfcIAG</t>
  </si>
  <si>
    <t>a16Dm000000LZfdIAG</t>
  </si>
  <si>
    <t>a16Dm000000LZfeIAG</t>
  </si>
  <si>
    <t>a16Dm000000LZffIAG</t>
  </si>
  <si>
    <t>a16Dm000000LZfgIAG</t>
  </si>
  <si>
    <t>a16Dm000000LZfhIAG</t>
  </si>
  <si>
    <t>a16Dm000000LZfiIAG</t>
  </si>
  <si>
    <t>a16Dm000000LZfjIAG</t>
  </si>
  <si>
    <t>a16Dm000000LZfkIAG</t>
  </si>
  <si>
    <t>a16Dm000000LZflIAG</t>
  </si>
  <si>
    <t>a16Dm000000LZfmIAG</t>
  </si>
  <si>
    <t>a16Dm000000LZfnIAG</t>
  </si>
  <si>
    <t>a16Dm000000LZfoIAG</t>
  </si>
  <si>
    <t>a16Dm000000LZfpIAG</t>
  </si>
  <si>
    <t>a16Dm000000LZfqIAG</t>
  </si>
  <si>
    <t>a16Dm000000LZfrIAG</t>
  </si>
  <si>
    <t>a16Dm000000LZfsIAG</t>
  </si>
  <si>
    <t>a16Dm000000LZftIAG</t>
  </si>
  <si>
    <t>a16Dm000000LZfuIAG</t>
  </si>
  <si>
    <t>a16Dm000000LZfvIAG</t>
  </si>
  <si>
    <t>a16Dm000000LZfwIAG</t>
  </si>
  <si>
    <t>a16Dm000000LZfxIAG</t>
  </si>
  <si>
    <t>a16Dm000000LZfyIAG</t>
  </si>
  <si>
    <t>a16Dm000000LZfzIAG</t>
  </si>
  <si>
    <t>a16Dm000000LZg0IAG</t>
  </si>
  <si>
    <t>a16Dm000000LZg1IAG</t>
  </si>
  <si>
    <t>a16Dm000000LZg2IAG</t>
  </si>
  <si>
    <t>a16Dm000000LZg3IAG</t>
  </si>
  <si>
    <t>a16Dm000000LZg4IAG</t>
  </si>
  <si>
    <t>a16Dm000000LZg5IAG</t>
  </si>
  <si>
    <t>a16Dm000000LZg6IAG</t>
  </si>
  <si>
    <t>a16Dm000000LZg7IAG</t>
  </si>
  <si>
    <t>a16Dm000000LZg8IAG</t>
  </si>
  <si>
    <t>a16Dm000000LZg9IAG</t>
  </si>
  <si>
    <t>a16Dm000000LZgAIAW</t>
  </si>
  <si>
    <t>a16Dm000000LZgBIAW</t>
  </si>
  <si>
    <t>a16Dm000000LZgCIAW</t>
  </si>
  <si>
    <t>a16Dm000000LZgDIAW</t>
  </si>
  <si>
    <t>a16Dm000000LZgEIAW</t>
  </si>
  <si>
    <t>a16Dm000000LZgFIAW</t>
  </si>
  <si>
    <t>a16Dm000000LZgGIAW</t>
  </si>
  <si>
    <t>a16Dm000000LZgHIAW</t>
  </si>
  <si>
    <t>a16Dm000000LZgIIAW</t>
  </si>
  <si>
    <t>a16Dm000000LZgJIAW</t>
  </si>
  <si>
    <t>a16Dm000000LZgKIAW</t>
  </si>
  <si>
    <t>a16Dm000000LZgLIAW</t>
  </si>
  <si>
    <t>a16Dm000000LZgMIAW</t>
  </si>
  <si>
    <t>a16Dm000000LZgNIAW</t>
  </si>
  <si>
    <t>a16Dm000000LZgOIAW</t>
  </si>
  <si>
    <t>a16Dm000000LZgPIAW</t>
  </si>
  <si>
    <t>a16Dm000000LZgQIAW</t>
  </si>
  <si>
    <t>a16Dm000000LZgRIAW</t>
  </si>
  <si>
    <t>a16Dm000000LZgSIAW</t>
  </si>
  <si>
    <t>a16Dm000000LZgTIAW</t>
  </si>
  <si>
    <t>a16Dm000000LZgUIAW</t>
  </si>
  <si>
    <t>a16Dm000000LZgVIAW</t>
  </si>
  <si>
    <t>a16Dm000000LZgWIAW</t>
  </si>
  <si>
    <t>a16Dm000000LZgXIAW</t>
  </si>
  <si>
    <t>a16Dm000000LZgYIAW</t>
  </si>
  <si>
    <t>a16Dm000000LZgZIAW</t>
  </si>
  <si>
    <t>a16Dm000000LZgaIAG</t>
  </si>
  <si>
    <t>a16Dm000000LZgbIAG</t>
  </si>
  <si>
    <t>a16Dm000000LZgcIAG</t>
  </si>
  <si>
    <t>a16Dm000000LZgdIAG</t>
  </si>
  <si>
    <t>a16Dm000000LZgeIAG</t>
  </si>
  <si>
    <t>a16Dm000000LZgfIAG</t>
  </si>
  <si>
    <t>a16Dm000000LZggIAG</t>
  </si>
  <si>
    <t>a16Dm000000LZghIAG</t>
  </si>
  <si>
    <t>a16Dm000000LZgiIAG</t>
  </si>
  <si>
    <t>a16Dm000000LZgjIAG</t>
  </si>
  <si>
    <t>a16Dm000000LZgkIAG</t>
  </si>
  <si>
    <t>a16Dm000000LZglIAG</t>
  </si>
  <si>
    <t>a16Dm000000LZgmIAG</t>
  </si>
  <si>
    <t>a16Dm000000LZgnIAG</t>
  </si>
  <si>
    <t>a16Dm000000LZgoIAG</t>
  </si>
  <si>
    <t>a16Dm000000LZgpIAG</t>
  </si>
  <si>
    <t>a16Dm000000LZgqIAG</t>
  </si>
  <si>
    <t>a16Dm000000LZgrIAG</t>
  </si>
  <si>
    <t>a16Dm000000LZgsIAG</t>
  </si>
  <si>
    <t>a16Dm000000LZgtIAG</t>
  </si>
  <si>
    <t>a16Dm000000LZguIAG</t>
  </si>
  <si>
    <t>a16Dm000000LZgvIAG</t>
  </si>
  <si>
    <t>a16Dm000000LZgwIAG</t>
  </si>
  <si>
    <t>a16Dm000000LZgxIAG</t>
  </si>
  <si>
    <t>a16Dm000000LZgyIAG</t>
  </si>
  <si>
    <t>a16Dm000000LZgzIAG</t>
  </si>
  <si>
    <t>a16Dm000000LZh0IAG</t>
  </si>
  <si>
    <t>a16Dm000000LZh1IAG</t>
  </si>
  <si>
    <t>a16Dm000000LZh2IAG</t>
  </si>
  <si>
    <t>a16Dm000000LZh3IAG</t>
  </si>
  <si>
    <t>a16Dm000000LZh4IAG</t>
  </si>
  <si>
    <t>a16Dm000000LZh5IAG</t>
  </si>
  <si>
    <t>a16Dm000000LZh6IAG</t>
  </si>
  <si>
    <t>a16Dm000000LZh7IAG</t>
  </si>
  <si>
    <t>a16Dm000000LZh8IAG</t>
  </si>
  <si>
    <t>a16Dm000000LZh9IAG</t>
  </si>
  <si>
    <t>a16Dm000000LZhAIAW</t>
  </si>
  <si>
    <t>a16Dm000000LZhBIAW</t>
  </si>
  <si>
    <t>a16Dm000000LZhCIAW</t>
  </si>
  <si>
    <t>a16Dm000000LZhDIAW</t>
  </si>
  <si>
    <t>a16Dm000000LZhEIAW</t>
  </si>
  <si>
    <t>a16Dm000000LZhFIAW</t>
  </si>
  <si>
    <t>a16Dm000000LZhGIAW</t>
  </si>
  <si>
    <t>a16Dm000000LZhHIAW</t>
  </si>
  <si>
    <t>a16Dm000000LZhIIAW</t>
  </si>
  <si>
    <t>a16Dm000000LZhJIAW</t>
  </si>
  <si>
    <t>a16Dm000000LZhKIAW</t>
  </si>
  <si>
    <t>a16Dm000000LZhLIAW</t>
  </si>
  <si>
    <t>a16Dm000000LZhMIAW</t>
  </si>
  <si>
    <t>a16Dm000000LZhNIAW</t>
  </si>
  <si>
    <t>a16Dm000000LZhOIAW</t>
  </si>
  <si>
    <t>a16Dm000000LZhPIAW</t>
  </si>
  <si>
    <t>a16Dm000000LZhQIAW</t>
  </si>
  <si>
    <t>a16Dm000000LZhRIAW</t>
  </si>
  <si>
    <t>a16Dm000000LZhSIAW</t>
  </si>
  <si>
    <t>a16Dm000000LZhTIAW</t>
  </si>
  <si>
    <t>a16Dm000000LZhUIAW</t>
  </si>
  <si>
    <t>a16Dm000000LZhVIAW</t>
  </si>
  <si>
    <t>a16Dm000000LZhWIAW</t>
  </si>
  <si>
    <t>a16Dm000000LZhXIAW</t>
  </si>
  <si>
    <t>a16Dm000000LZhYIAW</t>
  </si>
  <si>
    <t>a16Dm000000LZhZIAW</t>
  </si>
  <si>
    <t>a16Dm000000LZhaIAG</t>
  </si>
  <si>
    <t>a16Dm000000LZhbIAG</t>
  </si>
  <si>
    <t>a16Dm000000LZhcIAG</t>
  </si>
  <si>
    <t>a16Dm000000LZhdIAG</t>
  </si>
  <si>
    <t>a16Dm000000LZheIAG</t>
  </si>
  <si>
    <t>a16Dm000000LZhfIAG</t>
  </si>
  <si>
    <t>a16Dm000000LZhgIAG</t>
  </si>
  <si>
    <t>a16Dm000000LZhhIAG</t>
  </si>
  <si>
    <t>a16Dm000000LZhiIAG</t>
  </si>
  <si>
    <t>a16Dm000000LZhjIAG</t>
  </si>
  <si>
    <t>a16Dm000000LZhkIAG</t>
  </si>
  <si>
    <t>a16Dm000000LZhlIAG</t>
  </si>
  <si>
    <t>a16Dm000000LZhmIAG</t>
  </si>
  <si>
    <t>a16Dm000000LZhnIAG</t>
  </si>
  <si>
    <t>a16Dm000000LZhoIAG</t>
  </si>
  <si>
    <t>a16Dm000000LZhpIAG</t>
  </si>
  <si>
    <t>a16Dm000000LZhqIAG</t>
  </si>
  <si>
    <t>a16Dm000000LZhrIAG</t>
  </si>
  <si>
    <t>a16Dm000000LZhsIAG</t>
  </si>
  <si>
    <t>a16Dm000000LZhtIAG</t>
  </si>
  <si>
    <t>a16Dm000000LZhuIAG</t>
  </si>
  <si>
    <t>a16Dm000000LZhvIAG</t>
  </si>
  <si>
    <t>a16Dm000000LZhwIAG</t>
  </si>
  <si>
    <t>a16Dm000000LZhxIAG</t>
  </si>
  <si>
    <t>a16Dm000000LZhyIAG</t>
  </si>
  <si>
    <t>a16Dm000000LZhzIAG</t>
  </si>
  <si>
    <t>a16Dm000000LZi0IAG</t>
  </si>
  <si>
    <t>a16Dm000000LZi1IAG</t>
  </si>
  <si>
    <t>a16Dm000000LZi2IAG</t>
  </si>
  <si>
    <t>a16Dm000000LZi3IAG</t>
  </si>
  <si>
    <t>a16Dm000000LZi4IAG</t>
  </si>
  <si>
    <t>a16Dm000000LZi5IAG</t>
  </si>
  <si>
    <t>a16Dm000000LZi6IAG</t>
  </si>
  <si>
    <t>a16Dm000000LZi7IAG</t>
  </si>
  <si>
    <t>a16Dm000000LZi8IAG</t>
  </si>
  <si>
    <t>a16Dm000000LZi9IAG</t>
  </si>
  <si>
    <t>a16Dm000000LZiAIAW</t>
  </si>
  <si>
    <t>a16Dm000000LZiBIAW</t>
  </si>
  <si>
    <t>a16Dm000000LZiCIAW</t>
  </si>
  <si>
    <t>a16Dm000000LZiDIAW</t>
  </si>
  <si>
    <t>a16Dm000000LZiEIAW</t>
  </si>
  <si>
    <t>a16Dm000000LZiFIAW</t>
  </si>
  <si>
    <t>a16Dm000000LZiGIAW</t>
  </si>
  <si>
    <t>a16Dm000000LZiHIAW</t>
  </si>
  <si>
    <t>a16Dm000000LZiIIAW</t>
  </si>
  <si>
    <t>a16Dm000000LZiJIAW</t>
  </si>
  <si>
    <t>a16Dm000000LZiKIAW</t>
  </si>
  <si>
    <t>a16Dm000000LZiLIAW</t>
  </si>
  <si>
    <t>a16Dm000000LZiMIAW</t>
  </si>
  <si>
    <t>a16Dm000000LZiNIAW</t>
  </si>
  <si>
    <t>a16Dm000000LZiOIAW</t>
  </si>
  <si>
    <t>a16Dm000000LZiPIAW</t>
  </si>
  <si>
    <t>a16Dm000000LZiQIAW</t>
  </si>
  <si>
    <t>a16Dm000000LZiRIAW</t>
  </si>
  <si>
    <t>a16Dm000000LZiSIAW</t>
  </si>
  <si>
    <t>a16Dm000000LZiTIAW</t>
  </si>
  <si>
    <t>a16Dm000000LZiUIAW</t>
  </si>
  <si>
    <t>a16Dm000000LZiVIAW</t>
  </si>
  <si>
    <t>a16Dm000000LZiWIAW</t>
  </si>
  <si>
    <t>a16Dm000000LZiXIAW</t>
  </si>
  <si>
    <t>a16Dm000000LZiYIAW</t>
  </si>
  <si>
    <t>a16Dm000000LZiZIAW</t>
  </si>
  <si>
    <t>a16Dm000000LZiaIAG</t>
  </si>
  <si>
    <t>a16Dm000000LZibIAG</t>
  </si>
  <si>
    <t>a16Dm000000LZicIAG</t>
  </si>
  <si>
    <t>a16Dm000000LZidIAG</t>
  </si>
  <si>
    <t>a16Dm000000LZieIAG</t>
  </si>
  <si>
    <t>a16Dm000000LZifIAG</t>
  </si>
  <si>
    <t>a16Dm000000LZigIAG</t>
  </si>
  <si>
    <t>a16Dm000000LZihIAG</t>
  </si>
  <si>
    <t>a16Dm000000LZiiIAG</t>
  </si>
  <si>
    <t>a16Dm000000LZijIAG</t>
  </si>
  <si>
    <t>a16Dm000000LZikIAG</t>
  </si>
  <si>
    <t>a16Dm000000LZilIAG</t>
  </si>
  <si>
    <t>a16Dm000000LZimIAG</t>
  </si>
  <si>
    <t>a16Dm000000LZinIAG</t>
  </si>
  <si>
    <t>a16Dm000000LZioIAG</t>
  </si>
  <si>
    <t>a16Dm000000LZipIAG</t>
  </si>
  <si>
    <t>a16Dm000000LZiqIAG</t>
  </si>
  <si>
    <t>a16Dm000000LZirIAG</t>
  </si>
  <si>
    <t>a16Dm000000LZisIAG</t>
  </si>
  <si>
    <t>a16Dm000000LZitIAG</t>
  </si>
  <si>
    <t>a16Dm000000LZiuIAG</t>
  </si>
  <si>
    <t>a16Dm000000LZivIAG</t>
  </si>
  <si>
    <t>a16Dm000000LZiwIAG</t>
  </si>
  <si>
    <t>a16Dm000000LZixIAG</t>
  </si>
  <si>
    <t>a16Dm000000LZiyIAG</t>
  </si>
  <si>
    <t>a16Dm000000LZizIAG</t>
  </si>
  <si>
    <t>a16Dm000000LZj0IAG</t>
  </si>
  <si>
    <t>a16Dm000000LZj1IAG</t>
  </si>
  <si>
    <t>a16Dm000000LZj2IAG</t>
  </si>
  <si>
    <t>a16Dm000000LZj3IAG</t>
  </si>
  <si>
    <t>a16Dm000000LZj4IAG</t>
  </si>
  <si>
    <t>a16Dm000000LZj5IAG</t>
  </si>
  <si>
    <t>a16Dm000000LZj6IAG</t>
  </si>
  <si>
    <t>a16Dm000000LZj7IAG</t>
  </si>
  <si>
    <t>a16Dm000000LZj8IAG</t>
  </si>
  <si>
    <t>a16Dm000000LZj9IAG</t>
  </si>
  <si>
    <t>a16Dm000000LZjAIAW</t>
  </si>
  <si>
    <t>a16Dm000000LZjBIAW</t>
  </si>
  <si>
    <t>WPTM  - Section F</t>
  </si>
  <si>
    <t>Intervention ID (Name)</t>
  </si>
  <si>
    <t>Criterion for Completion</t>
  </si>
  <si>
    <t>Key Activity Milestone ID</t>
  </si>
  <si>
    <t>Key Activity Milestone Number</t>
  </si>
  <si>
    <t>[Temporary Placeholder for Account Id]</t>
  </si>
  <si>
    <t>[Module]</t>
  </si>
  <si>
    <t>[Key Activity Milestone Number]</t>
  </si>
  <si>
    <t>a1NDm000000GuPdMAK</t>
  </si>
  <si>
    <t>KAM-315318</t>
  </si>
  <si>
    <t>a1NDm000000GuPeMAK</t>
  </si>
  <si>
    <t>KAM-315319</t>
  </si>
  <si>
    <t>a1NDm000000GuPfMAK</t>
  </si>
  <si>
    <t>KAM-315320</t>
  </si>
  <si>
    <t>a1NDm000000GuPgMAK</t>
  </si>
  <si>
    <t>KAM-315321</t>
  </si>
  <si>
    <t>a1NDm000000GuPhMAK</t>
  </si>
  <si>
    <t>KAM-315322</t>
  </si>
  <si>
    <t>a1NDm000000GuPiMAK</t>
  </si>
  <si>
    <t>KAM-315323</t>
  </si>
  <si>
    <t>a1NDm000000GuPjMAK</t>
  </si>
  <si>
    <t>KAM-315324</t>
  </si>
  <si>
    <t>a1NDm000000GuPkMAK</t>
  </si>
  <si>
    <t>KAM-315325</t>
  </si>
  <si>
    <t>a1NDm000000GuPlMAK</t>
  </si>
  <si>
    <t>KAM-315326</t>
  </si>
  <si>
    <t>a1NDm000000GuPmMAK</t>
  </si>
  <si>
    <t>KAM-315327</t>
  </si>
  <si>
    <t>a1NDm000000GuPnMAK</t>
  </si>
  <si>
    <t>KAM-315328</t>
  </si>
  <si>
    <t>a1NDm000000GuPoMAK</t>
  </si>
  <si>
    <t>KAM-315329</t>
  </si>
  <si>
    <t>a1NDm000000GuPpMAK</t>
  </si>
  <si>
    <t>KAM-315330</t>
  </si>
  <si>
    <t>a1NDm000000GuPqMAK</t>
  </si>
  <si>
    <t>KAM-315331</t>
  </si>
  <si>
    <t>a1NDm000000GuPrMAK</t>
  </si>
  <si>
    <t>KAM-315332</t>
  </si>
  <si>
    <t>a1NDm000000GuPsMAK</t>
  </si>
  <si>
    <t>KAM-315333</t>
  </si>
  <si>
    <t>a1NDm000000GuPtMAK</t>
  </si>
  <si>
    <t>KAM-315334</t>
  </si>
  <si>
    <t>a1NDm000000GuPuMAK</t>
  </si>
  <si>
    <t>KAM-315335</t>
  </si>
  <si>
    <t>a1NDm000000GuPvMAK</t>
  </si>
  <si>
    <t>KAM-315336</t>
  </si>
  <si>
    <t>a1NDm000000GuPwMAK</t>
  </si>
  <si>
    <t>KAM-315337</t>
  </si>
  <si>
    <t>a1NDm000000GuPxMAK</t>
  </si>
  <si>
    <t>KAM-315338</t>
  </si>
  <si>
    <t>a1NDm000000GuPyMAK</t>
  </si>
  <si>
    <t>KAM-315339</t>
  </si>
  <si>
    <t>a1NDm000000GuPzMAK</t>
  </si>
  <si>
    <t>KAM-315340</t>
  </si>
  <si>
    <t>a1NDm000000GuQ0MAK</t>
  </si>
  <si>
    <t>KAM-315341</t>
  </si>
  <si>
    <t>a1NDm000000GuQ1MAK</t>
  </si>
  <si>
    <t>KAM-315342</t>
  </si>
  <si>
    <t>a1NDm000000GuQ2MAK</t>
  </si>
  <si>
    <t>KAM-315343</t>
  </si>
  <si>
    <t>a1NDm000000GuQ3MAK</t>
  </si>
  <si>
    <t>KAM-315344</t>
  </si>
  <si>
    <t>a1NDm000000GuQ4MAK</t>
  </si>
  <si>
    <t>KAM-315345</t>
  </si>
  <si>
    <t>a1NDm000000GuQ5MAK</t>
  </si>
  <si>
    <t>KAM-315346</t>
  </si>
  <si>
    <t>a1NDm000000GuQ6MAK</t>
  </si>
  <si>
    <t>KAM-315347</t>
  </si>
  <si>
    <t>a1NDm000000GuQ7MAK</t>
  </si>
  <si>
    <t>KAM-315348</t>
  </si>
  <si>
    <t>a1NDm000000GuQ8MAK</t>
  </si>
  <si>
    <t>KAM-315349</t>
  </si>
  <si>
    <t>a1NDm000000GuQ9MAK</t>
  </si>
  <si>
    <t>KAM-315350</t>
  </si>
  <si>
    <t>a1NDm000000GuQAMA0</t>
  </si>
  <si>
    <t>KAM-315351</t>
  </si>
  <si>
    <t>a1NDm000000GuQBMA0</t>
  </si>
  <si>
    <t>KAM-315352</t>
  </si>
  <si>
    <t>a1NDm000000GuQCMA0</t>
  </si>
  <si>
    <t>KAM-315353</t>
  </si>
  <si>
    <t>a1NDm000000GuQDMA0</t>
  </si>
  <si>
    <t>KAM-315354</t>
  </si>
  <si>
    <t>a1NDm000000GuQEMA0</t>
  </si>
  <si>
    <t>KAM-315355</t>
  </si>
  <si>
    <t>a1NDm000000GuQFMA0</t>
  </si>
  <si>
    <t>KAM-315356</t>
  </si>
  <si>
    <t>a1NDm000000GuQGMA0</t>
  </si>
  <si>
    <t>KAM-315357</t>
  </si>
  <si>
    <t>a1NDm000000GuQHMA0</t>
  </si>
  <si>
    <t>KAM-315358</t>
  </si>
  <si>
    <t>a1NDm000000GuQIMA0</t>
  </si>
  <si>
    <t>KAM-315359</t>
  </si>
  <si>
    <t>a1NDm000000GuQJMA0</t>
  </si>
  <si>
    <t>KAM-315360</t>
  </si>
  <si>
    <t>a1NDm000000GuQKMA0</t>
  </si>
  <si>
    <t>KAM-315361</t>
  </si>
  <si>
    <t>a1NDm000000GuQLMA0</t>
  </si>
  <si>
    <t>KAM-315362</t>
  </si>
  <si>
    <t>a1NDm000000GuQMMA0</t>
  </si>
  <si>
    <t>KAM-315363</t>
  </si>
  <si>
    <t>a1NDm000000GuQNMA0</t>
  </si>
  <si>
    <t>KAM-315364</t>
  </si>
  <si>
    <t>a1NDm000000GuQOMA0</t>
  </si>
  <si>
    <t>KAM-315365</t>
  </si>
  <si>
    <t>a1NDm000000GuQPMA0</t>
  </si>
  <si>
    <t>KAM-315366</t>
  </si>
  <si>
    <t>a1NDm000000GuQQMA0</t>
  </si>
  <si>
    <t>KAM-315367</t>
  </si>
  <si>
    <t>a1NDm000000GuQRMA0</t>
  </si>
  <si>
    <t>KAM-315368</t>
  </si>
  <si>
    <t>a1NDm000000GuQSMA0</t>
  </si>
  <si>
    <t>KAM-315369</t>
  </si>
  <si>
    <t>a1NDm000000GuQTMA0</t>
  </si>
  <si>
    <t>KAM-315370</t>
  </si>
  <si>
    <t>a1NDm000000GuQUMA0</t>
  </si>
  <si>
    <t>KAM-315371</t>
  </si>
  <si>
    <t>a1NDm000000GuQVMA0</t>
  </si>
  <si>
    <t>KAM-315372</t>
  </si>
  <si>
    <t>a1NDm000000GuQWMA0</t>
  </si>
  <si>
    <t>KAM-315373</t>
  </si>
  <si>
    <t>a1NDm000000GuQXMA0</t>
  </si>
  <si>
    <t>KAM-315374</t>
  </si>
  <si>
    <t>a1NDm000000GuQYMA0</t>
  </si>
  <si>
    <t>KAM-315375</t>
  </si>
  <si>
    <t>a1NDm000000GuQZMA0</t>
  </si>
  <si>
    <t>KAM-315376</t>
  </si>
  <si>
    <t>a1NDm000000GuQaMAK</t>
  </si>
  <si>
    <t>KAM-315377</t>
  </si>
  <si>
    <t>a1NDm000000GuQbMAK</t>
  </si>
  <si>
    <t>KAM-315378</t>
  </si>
  <si>
    <t>a1NDm000000GuQcMAK</t>
  </si>
  <si>
    <t>KAM-315379</t>
  </si>
  <si>
    <t>a1NDm000000GuQdMAK</t>
  </si>
  <si>
    <t>KAM-315380</t>
  </si>
  <si>
    <t>a1NDm000000GuQeMAK</t>
  </si>
  <si>
    <t>KAM-315381</t>
  </si>
  <si>
    <t>a1NDm000000GuQfMAK</t>
  </si>
  <si>
    <t>KAM-315382</t>
  </si>
  <si>
    <t>a1NDm000000GuQgMAK</t>
  </si>
  <si>
    <t>KAM-315383</t>
  </si>
  <si>
    <t>a1NDm000000GuQhMAK</t>
  </si>
  <si>
    <t>KAM-315384</t>
  </si>
  <si>
    <t>a1NDm000000GuQiMAK</t>
  </si>
  <si>
    <t>KAM-315385</t>
  </si>
  <si>
    <t>a1NDm000000GuQjMAK</t>
  </si>
  <si>
    <t>KAM-315386</t>
  </si>
  <si>
    <t>a1NDm000000GuQkMAK</t>
  </si>
  <si>
    <t>KAM-315387</t>
  </si>
  <si>
    <t>a1NDm000000GuQlMAK</t>
  </si>
  <si>
    <t>KAM-315388</t>
  </si>
  <si>
    <t>a1NDm000000GuQmMAK</t>
  </si>
  <si>
    <t>KAM-315389</t>
  </si>
  <si>
    <t>a1NDm000000GuQnMAK</t>
  </si>
  <si>
    <t>KAM-315390</t>
  </si>
  <si>
    <t>a1NDm000000GuQoMAK</t>
  </si>
  <si>
    <t>KAM-315391</t>
  </si>
  <si>
    <t>a1NDm000000GuQpMAK</t>
  </si>
  <si>
    <t>KAM-315392</t>
  </si>
  <si>
    <t>a1NDm000000GuQqMAK</t>
  </si>
  <si>
    <t>KAM-315393</t>
  </si>
  <si>
    <t>a1NDm000000GuQrMAK</t>
  </si>
  <si>
    <t>KAM-315394</t>
  </si>
  <si>
    <t>a1NDm000000GuQsMAK</t>
  </si>
  <si>
    <t>KAM-315395</t>
  </si>
  <si>
    <t>a1NDm000000GuQtMAK</t>
  </si>
  <si>
    <t>KAM-315396</t>
  </si>
  <si>
    <t>a1NDm000000GuQuMAK</t>
  </si>
  <si>
    <t>KAM-315397</t>
  </si>
  <si>
    <t>WPTM Results</t>
  </si>
  <si>
    <t>Key Activity-Milestone ID (Name)</t>
  </si>
  <si>
    <t>a1bDm000000Y7pBIAS</t>
  </si>
  <si>
    <t>a1bDm000000Y7qTIAS</t>
  </si>
  <si>
    <t>a1bDm000000Y7rlIAC</t>
  </si>
  <si>
    <t>a1bDm000000Y7t3IAC</t>
  </si>
  <si>
    <t>a1bDm000000Y7uLIAS</t>
  </si>
  <si>
    <t>a1bDm000000Y7vdIAC</t>
  </si>
  <si>
    <t>a1bDm000000Y7pCIAS</t>
  </si>
  <si>
    <t>a1bDm000000Y7qUIAS</t>
  </si>
  <si>
    <t>a1bDm000000Y7rmIAC</t>
  </si>
  <si>
    <t>a1bDm000000Y7t4IAC</t>
  </si>
  <si>
    <t>a1bDm000000Y7uMIAS</t>
  </si>
  <si>
    <t>a1bDm000000Y7veIAC</t>
  </si>
  <si>
    <t>a1bDm000000Y7pDIAS</t>
  </si>
  <si>
    <t>a1bDm000000Y7qVIAS</t>
  </si>
  <si>
    <t>a1bDm000000Y7rnIAC</t>
  </si>
  <si>
    <t>a1bDm000000Y7t5IAC</t>
  </si>
  <si>
    <t>a1bDm000000Y7uNIAS</t>
  </si>
  <si>
    <t>a1bDm000000Y7vfIAC</t>
  </si>
  <si>
    <t>a1bDm000000Y7pEIAS</t>
  </si>
  <si>
    <t>a1bDm000000Y7qWIAS</t>
  </si>
  <si>
    <t>a1bDm000000Y7roIAC</t>
  </si>
  <si>
    <t>a1bDm000000Y7t6IAC</t>
  </si>
  <si>
    <t>a1bDm000000Y7uOIAS</t>
  </si>
  <si>
    <t>a1bDm000000Y7vgIAC</t>
  </si>
  <si>
    <t>a1bDm000000Y7pFIAS</t>
  </si>
  <si>
    <t>a1bDm000000Y7qXIAS</t>
  </si>
  <si>
    <t>a1bDm000000Y7rpIAC</t>
  </si>
  <si>
    <t>a1bDm000000Y7t7IAC</t>
  </si>
  <si>
    <t>a1bDm000000Y7uPIAS</t>
  </si>
  <si>
    <t>a1bDm000000Y7vhIAC</t>
  </si>
  <si>
    <t>a1bDm000000Y7pGIAS</t>
  </si>
  <si>
    <t>a1bDm000000Y7qYIAS</t>
  </si>
  <si>
    <t>a1bDm000000Y7rqIAC</t>
  </si>
  <si>
    <t>a1bDm000000Y7t8IAC</t>
  </si>
  <si>
    <t>a1bDm000000Y7uQIAS</t>
  </si>
  <si>
    <t>a1bDm000000Y7viIAC</t>
  </si>
  <si>
    <t>a1bDm000000Y7pHIAS</t>
  </si>
  <si>
    <t>a1bDm000000Y7qZIAS</t>
  </si>
  <si>
    <t>a1bDm000000Y7rrIAC</t>
  </si>
  <si>
    <t>a1bDm000000Y7t9IAC</t>
  </si>
  <si>
    <t>a1bDm000000Y7uRIAS</t>
  </si>
  <si>
    <t>a1bDm000000Y7vjIAC</t>
  </si>
  <si>
    <t>a1bDm000000Y7pIIAS</t>
  </si>
  <si>
    <t>a1bDm000000Y7qaIAC</t>
  </si>
  <si>
    <t>a1bDm000000Y7rsIAC</t>
  </si>
  <si>
    <t>a1bDm000000Y7tAIAS</t>
  </si>
  <si>
    <t>a1bDm000000Y7uSIAS</t>
  </si>
  <si>
    <t>a1bDm000000Y7vkIAC</t>
  </si>
  <si>
    <t>a1bDm000000Y7pJIAS</t>
  </si>
  <si>
    <t>a1bDm000000Y7qbIAC</t>
  </si>
  <si>
    <t>a1bDm000000Y7rtIAC</t>
  </si>
  <si>
    <t>a1bDm000000Y7tBIAS</t>
  </si>
  <si>
    <t>a1bDm000000Y7uTIAS</t>
  </si>
  <si>
    <t>a1bDm000000Y7vlIAC</t>
  </si>
  <si>
    <t>a1bDm000000Y7pKIAS</t>
  </si>
  <si>
    <t>a1bDm000000Y7qcIAC</t>
  </si>
  <si>
    <t>a1bDm000000Y7ruIAC</t>
  </si>
  <si>
    <t>a1bDm000000Y7tCIAS</t>
  </si>
  <si>
    <t>a1bDm000000Y7uUIAS</t>
  </si>
  <si>
    <t>a1bDm000000Y7vmIAC</t>
  </si>
  <si>
    <t>a1bDm000000Y7pLIAS</t>
  </si>
  <si>
    <t>a1bDm000000Y7qdIAC</t>
  </si>
  <si>
    <t>a1bDm000000Y7rvIAC</t>
  </si>
  <si>
    <t>a1bDm000000Y7tDIAS</t>
  </si>
  <si>
    <t>a1bDm000000Y7uVIAS</t>
  </si>
  <si>
    <t>a1bDm000000Y7vnIAC</t>
  </si>
  <si>
    <t>a1bDm000000Y7pMIAS</t>
  </si>
  <si>
    <t>a1bDm000000Y7qeIAC</t>
  </si>
  <si>
    <t>a1bDm000000Y7rwIAC</t>
  </si>
  <si>
    <t>a1bDm000000Y7tEIAS</t>
  </si>
  <si>
    <t>a1bDm000000Y7uWIAS</t>
  </si>
  <si>
    <t>a1bDm000000Y7voIAC</t>
  </si>
  <si>
    <t>a1bDm000000Y7pNIAS</t>
  </si>
  <si>
    <t>a1bDm000000Y7qfIAC</t>
  </si>
  <si>
    <t>a1bDm000000Y7rxIAC</t>
  </si>
  <si>
    <t>a1bDm000000Y7tFIAS</t>
  </si>
  <si>
    <t>a1bDm000000Y7uXIAS</t>
  </si>
  <si>
    <t>a1bDm000000Y7vpIAC</t>
  </si>
  <si>
    <t>a1bDm000000Y7pOIAS</t>
  </si>
  <si>
    <t>a1bDm000000Y7qgIAC</t>
  </si>
  <si>
    <t>a1bDm000000Y7ryIAC</t>
  </si>
  <si>
    <t>a1bDm000000Y7tGIAS</t>
  </si>
  <si>
    <t>a1bDm000000Y7uYIAS</t>
  </si>
  <si>
    <t>a1bDm000000Y7vqIAC</t>
  </si>
  <si>
    <t>a1bDm000000Y7pPIAS</t>
  </si>
  <si>
    <t>a1bDm000000Y7qhIAC</t>
  </si>
  <si>
    <t>a1bDm000000Y7rzIAC</t>
  </si>
  <si>
    <t>a1bDm000000Y7tHIAS</t>
  </si>
  <si>
    <t>a1bDm000000Y7uZIAS</t>
  </si>
  <si>
    <t>a1bDm000000Y7vrIAC</t>
  </si>
  <si>
    <t>a1bDm000000Y7pQIAS</t>
  </si>
  <si>
    <t>a1bDm000000Y7qiIAC</t>
  </si>
  <si>
    <t>a1bDm000000Y7s0IAC</t>
  </si>
  <si>
    <t>a1bDm000000Y7tIIAS</t>
  </si>
  <si>
    <t>a1bDm000000Y7uaIAC</t>
  </si>
  <si>
    <t>a1bDm000000Y7vsIAC</t>
  </si>
  <si>
    <t>a1bDm000000Y7pRIAS</t>
  </si>
  <si>
    <t>a1bDm000000Y7qjIAC</t>
  </si>
  <si>
    <t>a1bDm000000Y7s1IAC</t>
  </si>
  <si>
    <t>a1bDm000000Y7tJIAS</t>
  </si>
  <si>
    <t>a1bDm000000Y7ubIAC</t>
  </si>
  <si>
    <t>a1bDm000000Y7vtIAC</t>
  </si>
  <si>
    <t>a1bDm000000Y7pSIAS</t>
  </si>
  <si>
    <t>a1bDm000000Y7qkIAC</t>
  </si>
  <si>
    <t>a1bDm000000Y7s2IAC</t>
  </si>
  <si>
    <t>a1bDm000000Y7tKIAS</t>
  </si>
  <si>
    <t>a1bDm000000Y7ucIAC</t>
  </si>
  <si>
    <t>a1bDm000000Y7vuIAC</t>
  </si>
  <si>
    <t>a1bDm000000Y7pTIAS</t>
  </si>
  <si>
    <t>a1bDm000000Y7qlIAC</t>
  </si>
  <si>
    <t>a1bDm000000Y7s3IAC</t>
  </si>
  <si>
    <t>a1bDm000000Y7tLIAS</t>
  </si>
  <si>
    <t>a1bDm000000Y7udIAC</t>
  </si>
  <si>
    <t>a1bDm000000Y7vvIAC</t>
  </si>
  <si>
    <t>a1bDm000000Y7pUIAS</t>
  </si>
  <si>
    <t>a1bDm000000Y7qmIAC</t>
  </si>
  <si>
    <t>a1bDm000000Y7s4IAC</t>
  </si>
  <si>
    <t>a1bDm000000Y7tMIAS</t>
  </si>
  <si>
    <t>a1bDm000000Y7ueIAC</t>
  </si>
  <si>
    <t>a1bDm000000Y7vwIAC</t>
  </si>
  <si>
    <t>a1bDm000000Y7pVIAS</t>
  </si>
  <si>
    <t>a1bDm000000Y7qnIAC</t>
  </si>
  <si>
    <t>a1bDm000000Y7s5IAC</t>
  </si>
  <si>
    <t>a1bDm000000Y7tNIAS</t>
  </si>
  <si>
    <t>a1bDm000000Y7ufIAC</t>
  </si>
  <si>
    <t>a1bDm000000Y7vxIAC</t>
  </si>
  <si>
    <t>a1bDm000000Y7pWIAS</t>
  </si>
  <si>
    <t>a1bDm000000Y7qoIAC</t>
  </si>
  <si>
    <t>a1bDm000000Y7s6IAC</t>
  </si>
  <si>
    <t>a1bDm000000Y7tOIAS</t>
  </si>
  <si>
    <t>a1bDm000000Y7ugIAC</t>
  </si>
  <si>
    <t>a1bDm000000Y7vyIAC</t>
  </si>
  <si>
    <t>a1bDm000000Y7pXIAS</t>
  </si>
  <si>
    <t>a1bDm000000Y7qpIAC</t>
  </si>
  <si>
    <t>a1bDm000000Y7s7IAC</t>
  </si>
  <si>
    <t>a1bDm000000Y7tPIAS</t>
  </si>
  <si>
    <t>a1bDm000000Y7uhIAC</t>
  </si>
  <si>
    <t>a1bDm000000Y7vzIAC</t>
  </si>
  <si>
    <t>a1bDm000000Y7pYIAS</t>
  </si>
  <si>
    <t>a1bDm000000Y7qqIAC</t>
  </si>
  <si>
    <t>a1bDm000000Y7s8IAC</t>
  </si>
  <si>
    <t>a1bDm000000Y7tQIAS</t>
  </si>
  <si>
    <t>a1bDm000000Y7uiIAC</t>
  </si>
  <si>
    <t>a1bDm000000Y7w0IAC</t>
  </si>
  <si>
    <t>a1bDm000000Y7pZIAS</t>
  </si>
  <si>
    <t>a1bDm000000Y7qrIAC</t>
  </si>
  <si>
    <t>a1bDm000000Y7s9IAC</t>
  </si>
  <si>
    <t>a1bDm000000Y7tRIAS</t>
  </si>
  <si>
    <t>a1bDm000000Y7ujIAC</t>
  </si>
  <si>
    <t>a1bDm000000Y7w1IAC</t>
  </si>
  <si>
    <t>a1bDm000000Y7paIAC</t>
  </si>
  <si>
    <t>a1bDm000000Y7qsIAC</t>
  </si>
  <si>
    <t>a1bDm000000Y7sAIAS</t>
  </si>
  <si>
    <t>a1bDm000000Y7tSIAS</t>
  </si>
  <si>
    <t>a1bDm000000Y7ukIAC</t>
  </si>
  <si>
    <t>a1bDm000000Y7w2IAC</t>
  </si>
  <si>
    <t>a1bDm000000Y7pbIAC</t>
  </si>
  <si>
    <t>a1bDm000000Y7qtIAC</t>
  </si>
  <si>
    <t>a1bDm000000Y7sBIAS</t>
  </si>
  <si>
    <t>a1bDm000000Y7tTIAS</t>
  </si>
  <si>
    <t>a1bDm000000Y7ulIAC</t>
  </si>
  <si>
    <t>a1bDm000000Y7w3IAC</t>
  </si>
  <si>
    <t>a1bDm000000Y7pcIAC</t>
  </si>
  <si>
    <t>a1bDm000000Y7quIAC</t>
  </si>
  <si>
    <t>a1bDm000000Y7sCIAS</t>
  </si>
  <si>
    <t>a1bDm000000Y7tUIAS</t>
  </si>
  <si>
    <t>a1bDm000000Y7umIAC</t>
  </si>
  <si>
    <t>a1bDm000000Y7w4IAC</t>
  </si>
  <si>
    <t>a1bDm000000Y7pdIAC</t>
  </si>
  <si>
    <t>a1bDm000000Y7qvIAC</t>
  </si>
  <si>
    <t>a1bDm000000Y7sDIAS</t>
  </si>
  <si>
    <t>a1bDm000000Y7tVIAS</t>
  </si>
  <si>
    <t>a1bDm000000Y7unIAC</t>
  </si>
  <si>
    <t>a1bDm000000Y7w5IAC</t>
  </si>
  <si>
    <t>a1bDm000000Y7peIAC</t>
  </si>
  <si>
    <t>a1bDm000000Y7qwIAC</t>
  </si>
  <si>
    <t>a1bDm000000Y7sEIAS</t>
  </si>
  <si>
    <t>a1bDm000000Y7tWIAS</t>
  </si>
  <si>
    <t>a1bDm000000Y7uoIAC</t>
  </si>
  <si>
    <t>a1bDm000000Y7w6IAC</t>
  </si>
  <si>
    <t>a1bDm000000Y7pfIAC</t>
  </si>
  <si>
    <t>a1bDm000000Y7qxIAC</t>
  </si>
  <si>
    <t>a1bDm000000Y7sFIAS</t>
  </si>
  <si>
    <t>a1bDm000000Y7tXIAS</t>
  </si>
  <si>
    <t>a1bDm000000Y7upIAC</t>
  </si>
  <si>
    <t>a1bDm000000Y7w7IAC</t>
  </si>
  <si>
    <t>a1bDm000000Y7pgIAC</t>
  </si>
  <si>
    <t>a1bDm000000Y7qyIAC</t>
  </si>
  <si>
    <t>a1bDm000000Y7sGIAS</t>
  </si>
  <si>
    <t>a1bDm000000Y7tYIAS</t>
  </si>
  <si>
    <t>a1bDm000000Y7uqIAC</t>
  </si>
  <si>
    <t>a1bDm000000Y7w8IAC</t>
  </si>
  <si>
    <t>a1bDm000000Y7phIAC</t>
  </si>
  <si>
    <t>a1bDm000000Y7qzIAC</t>
  </si>
  <si>
    <t>a1bDm000000Y7sHIAS</t>
  </si>
  <si>
    <t>a1bDm000000Y7tZIAS</t>
  </si>
  <si>
    <t>a1bDm000000Y7urIAC</t>
  </si>
  <si>
    <t>a1bDm000000Y7w9IAC</t>
  </si>
  <si>
    <t>a1bDm000000Y7piIAC</t>
  </si>
  <si>
    <t>a1bDm000000Y7r0IAC</t>
  </si>
  <si>
    <t>a1bDm000000Y7sIIAS</t>
  </si>
  <si>
    <t>a1bDm000000Y7taIAC</t>
  </si>
  <si>
    <t>a1bDm000000Y7usIAC</t>
  </si>
  <si>
    <t>a1bDm000000Y7wAIAS</t>
  </si>
  <si>
    <t>a1bDm000000Y7pjIAC</t>
  </si>
  <si>
    <t>a1bDm000000Y7r1IAC</t>
  </si>
  <si>
    <t>a1bDm000000Y7sJIAS</t>
  </si>
  <si>
    <t>a1bDm000000Y7tbIAC</t>
  </si>
  <si>
    <t>a1bDm000000Y7utIAC</t>
  </si>
  <si>
    <t>a1bDm000000Y7wBIAS</t>
  </si>
  <si>
    <t>a1bDm000000Y7pkIAC</t>
  </si>
  <si>
    <t>a1bDm000000Y7r2IAC</t>
  </si>
  <si>
    <t>a1bDm000000Y7sKIAS</t>
  </si>
  <si>
    <t>a1bDm000000Y7tcIAC</t>
  </si>
  <si>
    <t>a1bDm000000Y7uuIAC</t>
  </si>
  <si>
    <t>a1bDm000000Y7wCIAS</t>
  </si>
  <si>
    <t>a1bDm000000Y7plIAC</t>
  </si>
  <si>
    <t>a1bDm000000Y7r3IAC</t>
  </si>
  <si>
    <t>a1bDm000000Y7sLIAS</t>
  </si>
  <si>
    <t>a1bDm000000Y7tdIAC</t>
  </si>
  <si>
    <t>a1bDm000000Y7uvIAC</t>
  </si>
  <si>
    <t>a1bDm000000Y7wDIAS</t>
  </si>
  <si>
    <t>a1bDm000000Y7pmIAC</t>
  </si>
  <si>
    <t>a1bDm000000Y7r4IAC</t>
  </si>
  <si>
    <t>a1bDm000000Y7sMIAS</t>
  </si>
  <si>
    <t>a1bDm000000Y7teIAC</t>
  </si>
  <si>
    <t>a1bDm000000Y7uwIAC</t>
  </si>
  <si>
    <t>a1bDm000000Y7wEIAS</t>
  </si>
  <si>
    <t>a1bDm000000Y7pnIAC</t>
  </si>
  <si>
    <t>a1bDm000000Y7r5IAC</t>
  </si>
  <si>
    <t>a1bDm000000Y7sNIAS</t>
  </si>
  <si>
    <t>a1bDm000000Y7tfIAC</t>
  </si>
  <si>
    <t>a1bDm000000Y7uxIAC</t>
  </si>
  <si>
    <t>a1bDm000000Y7wFIAS</t>
  </si>
  <si>
    <t>a1bDm000000Y7poIAC</t>
  </si>
  <si>
    <t>a1bDm000000Y7r6IAC</t>
  </si>
  <si>
    <t>a1bDm000000Y7sOIAS</t>
  </si>
  <si>
    <t>a1bDm000000Y7tgIAC</t>
  </si>
  <si>
    <t>a1bDm000000Y7uyIAC</t>
  </si>
  <si>
    <t>a1bDm000000Y7wGIAS</t>
  </si>
  <si>
    <t>a1bDm000000Y7ppIAC</t>
  </si>
  <si>
    <t>a1bDm000000Y7r7IAC</t>
  </si>
  <si>
    <t>a1bDm000000Y7sPIAS</t>
  </si>
  <si>
    <t>a1bDm000000Y7thIAC</t>
  </si>
  <si>
    <t>a1bDm000000Y7uzIAC</t>
  </si>
  <si>
    <t>a1bDm000000Y7wHIAS</t>
  </si>
  <si>
    <t>a1bDm000000Y7pqIAC</t>
  </si>
  <si>
    <t>a1bDm000000Y7r8IAC</t>
  </si>
  <si>
    <t>a1bDm000000Y7sQIAS</t>
  </si>
  <si>
    <t>a1bDm000000Y7tiIAC</t>
  </si>
  <si>
    <t>a1bDm000000Y7v0IAC</t>
  </si>
  <si>
    <t>a1bDm000000Y7wIIAS</t>
  </si>
  <si>
    <t>a1bDm000000Y7prIAC</t>
  </si>
  <si>
    <t>a1bDm000000Y7r9IAC</t>
  </si>
  <si>
    <t>a1bDm000000Y7sRIAS</t>
  </si>
  <si>
    <t>a1bDm000000Y7tjIAC</t>
  </si>
  <si>
    <t>a1bDm000000Y7v1IAC</t>
  </si>
  <si>
    <t>a1bDm000000Y7wJIAS</t>
  </si>
  <si>
    <t>a1bDm000000Y7psIAC</t>
  </si>
  <si>
    <t>a1bDm000000Y7rAIAS</t>
  </si>
  <si>
    <t>a1bDm000000Y7sSIAS</t>
  </si>
  <si>
    <t>a1bDm000000Y7tkIAC</t>
  </si>
  <si>
    <t>a1bDm000000Y7v2IAC</t>
  </si>
  <si>
    <t>a1bDm000000Y7wKIAS</t>
  </si>
  <si>
    <t>a1bDm000000Y7ptIAC</t>
  </si>
  <si>
    <t>a1bDm000000Y7rBIAS</t>
  </si>
  <si>
    <t>a1bDm000000Y7sTIAS</t>
  </si>
  <si>
    <t>a1bDm000000Y7tlIAC</t>
  </si>
  <si>
    <t>a1bDm000000Y7v3IAC</t>
  </si>
  <si>
    <t>a1bDm000000Y7wLIAS</t>
  </si>
  <si>
    <t>a1bDm000000Y7puIAC</t>
  </si>
  <si>
    <t>a1bDm000000Y7rCIAS</t>
  </si>
  <si>
    <t>a1bDm000000Y7sUIAS</t>
  </si>
  <si>
    <t>a1bDm000000Y7tmIAC</t>
  </si>
  <si>
    <t>a1bDm000000Y7v4IAC</t>
  </si>
  <si>
    <t>a1bDm000000Y7wMIAS</t>
  </si>
  <si>
    <t>a1bDm000000Y7pvIAC</t>
  </si>
  <si>
    <t>a1bDm000000Y7rDIAS</t>
  </si>
  <si>
    <t>a1bDm000000Y7sVIAS</t>
  </si>
  <si>
    <t>a1bDm000000Y7tnIAC</t>
  </si>
  <si>
    <t>a1bDm000000Y7v5IAC</t>
  </si>
  <si>
    <t>a1bDm000000Y7wNIAS</t>
  </si>
  <si>
    <t>a1bDm000000Y7pwIAC</t>
  </si>
  <si>
    <t>a1bDm000000Y7rEIAS</t>
  </si>
  <si>
    <t>a1bDm000000Y7sWIAS</t>
  </si>
  <si>
    <t>a1bDm000000Y7toIAC</t>
  </si>
  <si>
    <t>a1bDm000000Y7v6IAC</t>
  </si>
  <si>
    <t>a1bDm000000Y7wOIAS</t>
  </si>
  <si>
    <t>a1bDm000000Y7pxIAC</t>
  </si>
  <si>
    <t>a1bDm000000Y7rFIAS</t>
  </si>
  <si>
    <t>a1bDm000000Y7sXIAS</t>
  </si>
  <si>
    <t>a1bDm000000Y7tpIAC</t>
  </si>
  <si>
    <t>a1bDm000000Y7v7IAC</t>
  </si>
  <si>
    <t>a1bDm000000Y7wPIAS</t>
  </si>
  <si>
    <t>a1bDm000000Y7pyIAC</t>
  </si>
  <si>
    <t>a1bDm000000Y7rGIAS</t>
  </si>
  <si>
    <t>a1bDm000000Y7sYIAS</t>
  </si>
  <si>
    <t>a1bDm000000Y7tqIAC</t>
  </si>
  <si>
    <t>a1bDm000000Y7v8IAC</t>
  </si>
  <si>
    <t>a1bDm000000Y7wQIAS</t>
  </si>
  <si>
    <t>a1bDm000000Y7pzIAC</t>
  </si>
  <si>
    <t>a1bDm000000Y7rHIAS</t>
  </si>
  <si>
    <t>a1bDm000000Y7sZIAS</t>
  </si>
  <si>
    <t>a1bDm000000Y7trIAC</t>
  </si>
  <si>
    <t>a1bDm000000Y7v9IAC</t>
  </si>
  <si>
    <t>a1bDm000000Y7wRIAS</t>
  </si>
  <si>
    <t>a1bDm000000Y7q0IAC</t>
  </si>
  <si>
    <t>a1bDm000000Y7rIIAS</t>
  </si>
  <si>
    <t>a1bDm000000Y7saIAC</t>
  </si>
  <si>
    <t>a1bDm000000Y7tsIAC</t>
  </si>
  <si>
    <t>a1bDm000000Y7vAIAS</t>
  </si>
  <si>
    <t>a1bDm000000Y7wSIAS</t>
  </si>
  <si>
    <t>a1bDm000000Y7q1IAC</t>
  </si>
  <si>
    <t>a1bDm000000Y7rJIAS</t>
  </si>
  <si>
    <t>a1bDm000000Y7sbIAC</t>
  </si>
  <si>
    <t>a1bDm000000Y7ttIAC</t>
  </si>
  <si>
    <t>a1bDm000000Y7vBIAS</t>
  </si>
  <si>
    <t>a1bDm000000Y7wTIAS</t>
  </si>
  <si>
    <t>a1bDm000000Y7q2IAC</t>
  </si>
  <si>
    <t>a1bDm000000Y7rKIAS</t>
  </si>
  <si>
    <t>a1bDm000000Y7scIAC</t>
  </si>
  <si>
    <t>a1bDm000000Y7tuIAC</t>
  </si>
  <si>
    <t>a1bDm000000Y7vCIAS</t>
  </si>
  <si>
    <t>a1bDm000000Y7wUIAS</t>
  </si>
  <si>
    <t>a1bDm000000Y7q3IAC</t>
  </si>
  <si>
    <t>a1bDm000000Y7rLIAS</t>
  </si>
  <si>
    <t>a1bDm000000Y7sdIAC</t>
  </si>
  <si>
    <t>a1bDm000000Y7tvIAC</t>
  </si>
  <si>
    <t>a1bDm000000Y7vDIAS</t>
  </si>
  <si>
    <t>a1bDm000000Y7wVIAS</t>
  </si>
  <si>
    <t>a1bDm000000Y7q4IAC</t>
  </si>
  <si>
    <t>a1bDm000000Y7rMIAS</t>
  </si>
  <si>
    <t>a1bDm000000Y7seIAC</t>
  </si>
  <si>
    <t>a1bDm000000Y7twIAC</t>
  </si>
  <si>
    <t>a1bDm000000Y7vEIAS</t>
  </si>
  <si>
    <t>a1bDm000000Y7wWIAS</t>
  </si>
  <si>
    <t>a1bDm000000Y7q5IAC</t>
  </si>
  <si>
    <t>a1bDm000000Y7rNIAS</t>
  </si>
  <si>
    <t>a1bDm000000Y7sfIAC</t>
  </si>
  <si>
    <t>a1bDm000000Y7txIAC</t>
  </si>
  <si>
    <t>a1bDm000000Y7vFIAS</t>
  </si>
  <si>
    <t>a1bDm000000Y7wXIAS</t>
  </si>
  <si>
    <t>a1bDm000000Y7q6IAC</t>
  </si>
  <si>
    <t>a1bDm000000Y7rOIAS</t>
  </si>
  <si>
    <t>a1bDm000000Y7sgIAC</t>
  </si>
  <si>
    <t>a1bDm000000Y7tyIAC</t>
  </si>
  <si>
    <t>a1bDm000000Y7vGIAS</t>
  </si>
  <si>
    <t>a1bDm000000Y7wYIAS</t>
  </si>
  <si>
    <t>a1bDm000000Y7q7IAC</t>
  </si>
  <si>
    <t>a1bDm000000Y7rPIAS</t>
  </si>
  <si>
    <t>a1bDm000000Y7shIAC</t>
  </si>
  <si>
    <t>a1bDm000000Y7tzIAC</t>
  </si>
  <si>
    <t>a1bDm000000Y7vHIAS</t>
  </si>
  <si>
    <t>a1bDm000000Y7wZIAS</t>
  </si>
  <si>
    <t>a1bDm000000Y7q8IAC</t>
  </si>
  <si>
    <t>a1bDm000000Y7rQIAS</t>
  </si>
  <si>
    <t>a1bDm000000Y7siIAC</t>
  </si>
  <si>
    <t>a1bDm000000Y7u0IAC</t>
  </si>
  <si>
    <t>a1bDm000000Y7vIIAS</t>
  </si>
  <si>
    <t>a1bDm000000Y7waIAC</t>
  </si>
  <si>
    <t>a1bDm000000Y7q9IAC</t>
  </si>
  <si>
    <t>a1bDm000000Y7rRIAS</t>
  </si>
  <si>
    <t>a1bDm000000Y7sjIAC</t>
  </si>
  <si>
    <t>a1bDm000000Y7u1IAC</t>
  </si>
  <si>
    <t>a1bDm000000Y7vJIAS</t>
  </si>
  <si>
    <t>a1bDm000000Y7wbIAC</t>
  </si>
  <si>
    <t>a1bDm000000Y7qAIAS</t>
  </si>
  <si>
    <t>a1bDm000000Y7rSIAS</t>
  </si>
  <si>
    <t>a1bDm000000Y7skIAC</t>
  </si>
  <si>
    <t>a1bDm000000Y7u2IAC</t>
  </si>
  <si>
    <t>a1bDm000000Y7vKIAS</t>
  </si>
  <si>
    <t>a1bDm000000Y7wcIAC</t>
  </si>
  <si>
    <t>a1bDm000000Y7qBIAS</t>
  </si>
  <si>
    <t>a1bDm000000Y7rTIAS</t>
  </si>
  <si>
    <t>a1bDm000000Y7slIAC</t>
  </si>
  <si>
    <t>a1bDm000000Y7u3IAC</t>
  </si>
  <si>
    <t>a1bDm000000Y7vLIAS</t>
  </si>
  <si>
    <t>a1bDm000000Y7wdIAC</t>
  </si>
  <si>
    <t>a1bDm000000Y7qCIAS</t>
  </si>
  <si>
    <t>a1bDm000000Y7rUIAS</t>
  </si>
  <si>
    <t>a1bDm000000Y7smIAC</t>
  </si>
  <si>
    <t>a1bDm000000Y7u4IAC</t>
  </si>
  <si>
    <t>a1bDm000000Y7vMIAS</t>
  </si>
  <si>
    <t>a1bDm000000Y7weIAC</t>
  </si>
  <si>
    <t>a1bDm000000Y7qDIAS</t>
  </si>
  <si>
    <t>a1bDm000000Y7rVIAS</t>
  </si>
  <si>
    <t>a1bDm000000Y7snIAC</t>
  </si>
  <si>
    <t>a1bDm000000Y7u5IAC</t>
  </si>
  <si>
    <t>a1bDm000000Y7vNIAS</t>
  </si>
  <si>
    <t>a1bDm000000Y7wfIAC</t>
  </si>
  <si>
    <t>a1bDm000000Y7qEIAS</t>
  </si>
  <si>
    <t>a1bDm000000Y7rWIAS</t>
  </si>
  <si>
    <t>a1bDm000000Y7soIAC</t>
  </si>
  <si>
    <t>a1bDm000000Y7u6IAC</t>
  </si>
  <si>
    <t>a1bDm000000Y7vOIAS</t>
  </si>
  <si>
    <t>a1bDm000000Y7wgIAC</t>
  </si>
  <si>
    <t>a1bDm000000Y7qFIAS</t>
  </si>
  <si>
    <t>a1bDm000000Y7rXIAS</t>
  </si>
  <si>
    <t>a1bDm000000Y7spIAC</t>
  </si>
  <si>
    <t>a1bDm000000Y7u7IAC</t>
  </si>
  <si>
    <t>a1bDm000000Y7vPIAS</t>
  </si>
  <si>
    <t>a1bDm000000Y7whIAC</t>
  </si>
  <si>
    <t>a1bDm000000Y7qGIAS</t>
  </si>
  <si>
    <t>a1bDm000000Y7rYIAS</t>
  </si>
  <si>
    <t>a1bDm000000Y7sqIAC</t>
  </si>
  <si>
    <t>a1bDm000000Y7u8IAC</t>
  </si>
  <si>
    <t>a1bDm000000Y7vQIAS</t>
  </si>
  <si>
    <t>a1bDm000000Y7wiIAC</t>
  </si>
  <si>
    <t>a1bDm000000Y7qHIAS</t>
  </si>
  <si>
    <t>a1bDm000000Y7rZIAS</t>
  </si>
  <si>
    <t>a1bDm000000Y7srIAC</t>
  </si>
  <si>
    <t>a1bDm000000Y7u9IAC</t>
  </si>
  <si>
    <t>a1bDm000000Y7vRIAS</t>
  </si>
  <si>
    <t>a1bDm000000Y7wjIAC</t>
  </si>
  <si>
    <t>a1bDm000000Y7qIIAS</t>
  </si>
  <si>
    <t>a1bDm000000Y7raIAC</t>
  </si>
  <si>
    <t>a1bDm000000Y7ssIAC</t>
  </si>
  <si>
    <t>a1bDm000000Y7uAIAS</t>
  </si>
  <si>
    <t>a1bDm000000Y7vSIAS</t>
  </si>
  <si>
    <t>a1bDm000000Y7wkIAC</t>
  </si>
  <si>
    <t>a1bDm000000Y7qJIAS</t>
  </si>
  <si>
    <t>a1bDm000000Y7rbIAC</t>
  </si>
  <si>
    <t>a1bDm000000Y7stIAC</t>
  </si>
  <si>
    <t>a1bDm000000Y7uBIAS</t>
  </si>
  <si>
    <t>a1bDm000000Y7vTIAS</t>
  </si>
  <si>
    <t>a1bDm000000Y7wlIAC</t>
  </si>
  <si>
    <t>a1bDm000000Y7qKIAS</t>
  </si>
  <si>
    <t>a1bDm000000Y7rcIAC</t>
  </si>
  <si>
    <t>a1bDm000000Y7suIAC</t>
  </si>
  <si>
    <t>a1bDm000000Y7uCIAS</t>
  </si>
  <si>
    <t>a1bDm000000Y7vUIAS</t>
  </si>
  <si>
    <t>a1bDm000000Y7wmIAC</t>
  </si>
  <si>
    <t>a1bDm000000Y7qLIAS</t>
  </si>
  <si>
    <t>a1bDm000000Y7rdIAC</t>
  </si>
  <si>
    <t>a1bDm000000Y7svIAC</t>
  </si>
  <si>
    <t>a1bDm000000Y7uDIAS</t>
  </si>
  <si>
    <t>a1bDm000000Y7vVIAS</t>
  </si>
  <si>
    <t>a1bDm000000Y7wnIAC</t>
  </si>
  <si>
    <t>a1bDm000000Y7qMIAS</t>
  </si>
  <si>
    <t>a1bDm000000Y7reIAC</t>
  </si>
  <si>
    <t>a1bDm000000Y7swIAC</t>
  </si>
  <si>
    <t>a1bDm000000Y7uEIAS</t>
  </si>
  <si>
    <t>a1bDm000000Y7vWIAS</t>
  </si>
  <si>
    <t>a1bDm000000Y7woIAC</t>
  </si>
  <si>
    <t>a1bDm000000Y7qNIAS</t>
  </si>
  <si>
    <t>a1bDm000000Y7rfIAC</t>
  </si>
  <si>
    <t>a1bDm000000Y7sxIAC</t>
  </si>
  <si>
    <t>a1bDm000000Y7uFIAS</t>
  </si>
  <si>
    <t>a1bDm000000Y7vXIAS</t>
  </si>
  <si>
    <t>a1bDm000000Y7wpIAC</t>
  </si>
  <si>
    <t>a1bDm000000Y7qOIAS</t>
  </si>
  <si>
    <t>a1bDm000000Y7rgIAC</t>
  </si>
  <si>
    <t>a1bDm000000Y7syIAC</t>
  </si>
  <si>
    <t>a1bDm000000Y7uGIAS</t>
  </si>
  <si>
    <t>a1bDm000000Y7vYIAS</t>
  </si>
  <si>
    <t>a1bDm000000Y7wqIAC</t>
  </si>
  <si>
    <t>a1bDm000000Y7qPIAS</t>
  </si>
  <si>
    <t>a1bDm000000Y7rhIAC</t>
  </si>
  <si>
    <t>a1bDm000000Y7szIAC</t>
  </si>
  <si>
    <t>a1bDm000000Y7uHIAS</t>
  </si>
  <si>
    <t>a1bDm000000Y7vZIAS</t>
  </si>
  <si>
    <t>a1bDm000000Y7wrIAC</t>
  </si>
  <si>
    <t>a1bDm000000Y7qQIAS</t>
  </si>
  <si>
    <t>a1bDm000000Y7riIAC</t>
  </si>
  <si>
    <t>a1bDm000000Y7t0IAC</t>
  </si>
  <si>
    <t>a1bDm000000Y7uIIAS</t>
  </si>
  <si>
    <t>a1bDm000000Y7vaIAC</t>
  </si>
  <si>
    <t>a1bDm000000Y7wsIAC</t>
  </si>
  <si>
    <t>a1bDm000000Y7qRIAS</t>
  </si>
  <si>
    <t>a1bDm000000Y7rjIAC</t>
  </si>
  <si>
    <t>a1bDm000000Y7t1IAC</t>
  </si>
  <si>
    <t>a1bDm000000Y7uJIAS</t>
  </si>
  <si>
    <t>a1bDm000000Y7vbIAC</t>
  </si>
  <si>
    <t>a1bDm000000Y7wtIAC</t>
  </si>
  <si>
    <t>a1bDm000000Y7qSIAS</t>
  </si>
  <si>
    <t>a1bDm000000Y7rkIAC</t>
  </si>
  <si>
    <t>a1bDm000000Y7t2IAC</t>
  </si>
  <si>
    <t>a1bDm000000Y7uKIAS</t>
  </si>
  <si>
    <t>a1bDm000000Y7vcIAC</t>
  </si>
  <si>
    <t>a1bDm000000Y7wuIAC</t>
  </si>
  <si>
    <t>Performance Framework</t>
  </si>
  <si>
    <t>Overview</t>
  </si>
  <si>
    <t>Start Date</t>
  </si>
  <si>
    <t>End Date</t>
  </si>
  <si>
    <t>Country / Geography</t>
  </si>
  <si>
    <t>Implementation Period</t>
  </si>
  <si>
    <t>Grant Name / Funding Request Name</t>
  </si>
  <si>
    <t>Allocation Utilization Period</t>
  </si>
  <si>
    <t>Reporting Period</t>
  </si>
  <si>
    <t>Impact Indicators</t>
  </si>
  <si>
    <t xml:space="preserve"># </t>
  </si>
  <si>
    <t>Goal</t>
  </si>
  <si>
    <t>#</t>
  </si>
  <si>
    <t>Baseline</t>
  </si>
  <si>
    <t>Targets</t>
  </si>
  <si>
    <t>Numerator</t>
  </si>
  <si>
    <t>Denominator</t>
  </si>
  <si>
    <t>Percentage</t>
  </si>
  <si>
    <t>Outcome Indicators</t>
  </si>
  <si>
    <t>Objective</t>
  </si>
  <si>
    <t>Coverage Indicators</t>
  </si>
  <si>
    <t>Scope of Targets</t>
  </si>
  <si>
    <t>Workplan Tracking Measures</t>
  </si>
  <si>
    <t>This sheet queries Component - Indicator Reference object to bring all the reference data without filter of Soft Delete</t>
  </si>
  <si>
    <t>Data Type Target</t>
  </si>
  <si>
    <t>[Data Type Target]</t>
  </si>
  <si>
    <t>a3zDm000000GmcdIAC</t>
  </si>
  <si>
    <t>a3zDm000000GmceIAC</t>
  </si>
  <si>
    <t>a3zDm000000GmcfIAC</t>
  </si>
  <si>
    <t>a3zDm000000GmcgIAC</t>
  </si>
  <si>
    <t>a3zDm000000GmbPIAS</t>
  </si>
  <si>
    <t>a3zDm000000GmbQIAS</t>
  </si>
  <si>
    <t>a3zDm000000GmbRIAS</t>
  </si>
  <si>
    <t>a3zDm000000GmbSIAS</t>
  </si>
  <si>
    <t>a3zDm000000GmbTIAS</t>
  </si>
  <si>
    <t>a3zDm000000GmbUIAS</t>
  </si>
  <si>
    <t>a3zDm000000GmbVIAS</t>
  </si>
  <si>
    <t>a3zDm000000GmbWIAS</t>
  </si>
  <si>
    <t>a3zDm000000GmbXIAS</t>
  </si>
  <si>
    <t>a3zDm000000GmbYIAS</t>
  </si>
  <si>
    <t>a3zDm000000GmbZIAS</t>
  </si>
  <si>
    <t>a3zDm000000GmbaIAC</t>
  </si>
  <si>
    <t>a3zDm000000Gmc2IAC</t>
  </si>
  <si>
    <t>a3zDm000000Gmc3IAC</t>
  </si>
  <si>
    <t>a3zDm000000Gmc4IAC</t>
  </si>
  <si>
    <t>a3zDm000000Gmc5IAC</t>
  </si>
  <si>
    <t>a3zDm000000Gmc6IAC</t>
  </si>
  <si>
    <t>a3zDm000000Gmc7IAC</t>
  </si>
  <si>
    <t>a3zDm000000Gmc8IAC</t>
  </si>
  <si>
    <t>a3zDm000000GmchIAC</t>
  </si>
  <si>
    <t>a3zDm000000GmciIAC</t>
  </si>
  <si>
    <t>a3zDm000000GmcjIAC</t>
  </si>
  <si>
    <t>a3zDm000000GmckIAC</t>
  </si>
  <si>
    <t>a3zDm000000GmclIAC</t>
  </si>
  <si>
    <t>a3zDm000000GmcmIAC</t>
  </si>
  <si>
    <t>a3zDm000000GmcnIAC</t>
  </si>
  <si>
    <t>a3zDm000000GmcoIAC</t>
  </si>
  <si>
    <t>a3zDm000000GmcpIAC</t>
  </si>
  <si>
    <t>a3zDm000000GmcqIAC</t>
  </si>
  <si>
    <t>a3zDm000000GmcrIAC</t>
  </si>
  <si>
    <t>a3zDm000000GmcsIAC</t>
  </si>
  <si>
    <t>a3zDm000000GmctIAC</t>
  </si>
  <si>
    <t>a3zDm000000GmcuIAC</t>
  </si>
  <si>
    <t>a3zDm000000GmcvIAC</t>
  </si>
  <si>
    <t>a3zDm000000GmcwIAC</t>
  </si>
  <si>
    <t>a3zDm000000GmcxIAC</t>
  </si>
  <si>
    <t>a3zDm000000GmcyIAC</t>
  </si>
  <si>
    <t>a3zDm000000GmczIAC</t>
  </si>
  <si>
    <t>a3zDm000000GmbbIAC</t>
  </si>
  <si>
    <t>a3zDm000000GmbcIAC</t>
  </si>
  <si>
    <t>a3zDm000000GmbdIAC</t>
  </si>
  <si>
    <t>a3zDm000000GmbeIAC</t>
  </si>
  <si>
    <t>a3zDm000000GmbfIAC</t>
  </si>
  <si>
    <t>a3zDm000000GmbgIAC</t>
  </si>
  <si>
    <t>a3zDm000000GmbhIAC</t>
  </si>
  <si>
    <t>a3zDm000000GmbiIAC</t>
  </si>
  <si>
    <t>a3zDm000000GmbjIAC</t>
  </si>
  <si>
    <t>a3zDm000000GmbkIAC</t>
  </si>
  <si>
    <t>a3zDm000000GmblIAC</t>
  </si>
  <si>
    <t>a3zDm000000GmbmIAC</t>
  </si>
  <si>
    <t>a3zDm000000GmbnIAC</t>
  </si>
  <si>
    <t>a3zDm000000GmboIAC</t>
  </si>
  <si>
    <t>a3zDm000000GmbpIAC</t>
  </si>
  <si>
    <t>a3zDm000000GmbqIAC</t>
  </si>
  <si>
    <t>a3zDm000000GmbrIAC</t>
  </si>
  <si>
    <t>a3zDm000000GmbsIAC</t>
  </si>
  <si>
    <t>a3zDm000000GmbtIAC</t>
  </si>
  <si>
    <t>a3zDm000000GmbuIAC</t>
  </si>
  <si>
    <t>a3zDm000000GmbvIAC</t>
  </si>
  <si>
    <t>a3zDm000000GmbwIAC</t>
  </si>
  <si>
    <t>a3zDm000000GmbxIAC</t>
  </si>
  <si>
    <t>a3zDm000000GmbyIAC</t>
  </si>
  <si>
    <t>a3zDm000000GmbzIAC</t>
  </si>
  <si>
    <t>a3zDm000000Gmc0IAC</t>
  </si>
  <si>
    <t>a3zDm000000Gmc1IAC</t>
  </si>
  <si>
    <t>Module Data - Module-Coverage-Intervention Reference</t>
  </si>
  <si>
    <t>Record ID Reference</t>
  </si>
  <si>
    <t>Data Type</t>
  </si>
  <si>
    <t>[Data Type]</t>
  </si>
  <si>
    <t>Intervention Data - Module-Coverage-Intervention Reference</t>
  </si>
  <si>
    <t>Impact Data - Indicator-Disaggregation Reference</t>
  </si>
  <si>
    <t>Impact-Outcome Indicator  Reference (Name)</t>
  </si>
  <si>
    <t>Concatenated Name</t>
  </si>
  <si>
    <t>Disaggregation Reference ID</t>
  </si>
  <si>
    <t>[Impact-Outcome Indicator  Reference (Name)]</t>
  </si>
  <si>
    <t>[Category]</t>
  </si>
  <si>
    <t>[Disaggregation]</t>
  </si>
  <si>
    <t>[Disaggregation Reference ID]</t>
  </si>
  <si>
    <t>15+</t>
  </si>
  <si>
    <t>a1LDm000000CazLMAS</t>
  </si>
  <si>
    <t>IDR-01029</t>
  </si>
  <si>
    <t>&lt;15</t>
  </si>
  <si>
    <t>a1LDm000000CazKMAS</t>
  </si>
  <si>
    <t>IDR-01028</t>
  </si>
  <si>
    <t>Gender | Age</t>
  </si>
  <si>
    <t>Male 20-24</t>
  </si>
  <si>
    <t>a1LDm000000CazJMAS</t>
  </si>
  <si>
    <t>IDR-01027</t>
  </si>
  <si>
    <t>Male 15-19</t>
  </si>
  <si>
    <t>a1LDm000000CazIMAS</t>
  </si>
  <si>
    <t>IDR-01026</t>
  </si>
  <si>
    <t>Male</t>
  </si>
  <si>
    <t>a1LDm000000CazHMAS</t>
  </si>
  <si>
    <t>IDR-01025</t>
  </si>
  <si>
    <t>Female 20-24</t>
  </si>
  <si>
    <t>a1LDm000000CazGMAS</t>
  </si>
  <si>
    <t>IDR-01024</t>
  </si>
  <si>
    <t>Female 15-19</t>
  </si>
  <si>
    <t>a1LDm000000CazFMAS</t>
  </si>
  <si>
    <t>IDR-01023</t>
  </si>
  <si>
    <t>Female</t>
  </si>
  <si>
    <t>a1LDm000000CazEMAS</t>
  </si>
  <si>
    <t>IDR-01022</t>
  </si>
  <si>
    <t>a1LDm000000CazTMAS</t>
  </si>
  <si>
    <t>IDR-01037</t>
  </si>
  <si>
    <t>a1LDm000000CazSMAS</t>
  </si>
  <si>
    <t>IDR-01036</t>
  </si>
  <si>
    <t>a1LDm000000CazRMAS</t>
  </si>
  <si>
    <t>IDR-01035</t>
  </si>
  <si>
    <t>a1LDm000000CazQMAS</t>
  </si>
  <si>
    <t>IDR-01034</t>
  </si>
  <si>
    <t>a1LDm000000CazPMAS</t>
  </si>
  <si>
    <t>IDR-01033</t>
  </si>
  <si>
    <t>a1LDm000000CazOMAS</t>
  </si>
  <si>
    <t>IDR-01032</t>
  </si>
  <si>
    <t>a1LDm000000CazNMAS</t>
  </si>
  <si>
    <t>IDR-01031</t>
  </si>
  <si>
    <t>a1LDm000000CazMMAS</t>
  </si>
  <si>
    <t>IDR-01030</t>
  </si>
  <si>
    <t>a1LDm000000CazcMAC</t>
  </si>
  <si>
    <t>IDR-01046</t>
  </si>
  <si>
    <t>a1LDm000000CazbMAC</t>
  </si>
  <si>
    <t>IDR-01045</t>
  </si>
  <si>
    <t>a1LDm000000CazaMAC</t>
  </si>
  <si>
    <t>IDR-01044</t>
  </si>
  <si>
    <t>a1LDm000000CazZMAS</t>
  </si>
  <si>
    <t>IDR-01043</t>
  </si>
  <si>
    <t>5-14</t>
  </si>
  <si>
    <t>a1LDm000000CazYMAS</t>
  </si>
  <si>
    <t>IDR-01042</t>
  </si>
  <si>
    <t>a1LDm000000CazXMAS</t>
  </si>
  <si>
    <t>IDR-01041</t>
  </si>
  <si>
    <t>a1LDm000000CazWMAS</t>
  </si>
  <si>
    <t>IDR-01040</t>
  </si>
  <si>
    <t>&lt;5</t>
  </si>
  <si>
    <t>a1LDm000000CazVMAS</t>
  </si>
  <si>
    <t>IDR-01039</t>
  </si>
  <si>
    <t>a1LDm000000CazUMAS</t>
  </si>
  <si>
    <t>IDR-01038</t>
  </si>
  <si>
    <t>25+</t>
  </si>
  <si>
    <t>a1LDm000000CazeMAC</t>
  </si>
  <si>
    <t>IDR-01048</t>
  </si>
  <si>
    <t>&lt;25</t>
  </si>
  <si>
    <t>a1LDm000000CazdMAC</t>
  </si>
  <si>
    <t>IDR-01047</t>
  </si>
  <si>
    <t>a1LDm000000CazgMAC</t>
  </si>
  <si>
    <t>IDR-01050</t>
  </si>
  <si>
    <t>a1LDm000000CazfMAC</t>
  </si>
  <si>
    <t>IDR-01049</t>
  </si>
  <si>
    <t>a1LDm000000CazlMAC</t>
  </si>
  <si>
    <t>IDR-01055</t>
  </si>
  <si>
    <t>a1LDm000000CazkMAC</t>
  </si>
  <si>
    <t>IDR-01054</t>
  </si>
  <si>
    <t>Transgender</t>
  </si>
  <si>
    <t>a1LDm000000CazjMAC</t>
  </si>
  <si>
    <t>IDR-01053</t>
  </si>
  <si>
    <t>a1LDm000000CaziMAC</t>
  </si>
  <si>
    <t>IDR-01052</t>
  </si>
  <si>
    <t>a1LDm000000CazhMAC</t>
  </si>
  <si>
    <t>IDR-01051</t>
  </si>
  <si>
    <t>a1LDm000000CazqMAC</t>
  </si>
  <si>
    <t>IDR-01060</t>
  </si>
  <si>
    <t>a1LDm000000CazpMAC</t>
  </si>
  <si>
    <t>IDR-01059</t>
  </si>
  <si>
    <t>a1LDm000000CazoMAC</t>
  </si>
  <si>
    <t>IDR-01058</t>
  </si>
  <si>
    <t>a1LDm000000CaznMAC</t>
  </si>
  <si>
    <t>IDR-01057</t>
  </si>
  <si>
    <t>a1LDm000000CazmMAC</t>
  </si>
  <si>
    <t>IDR-01056</t>
  </si>
  <si>
    <t>IOR-00158</t>
  </si>
  <si>
    <t>Malaria I-1⁽ᴹ⁾ Reported malaria cases (presumed and confirmed)</t>
  </si>
  <si>
    <t>a1LDm000000CazvMAC</t>
  </si>
  <si>
    <t>IDR-01065</t>
  </si>
  <si>
    <t>a1LDm000000CazuMAC</t>
  </si>
  <si>
    <t>IDR-01064</t>
  </si>
  <si>
    <t>Malaria case definition</t>
  </si>
  <si>
    <t>Presumptive</t>
  </si>
  <si>
    <t>a1LDm000000CaztMAC</t>
  </si>
  <si>
    <t>IDR-01063</t>
  </si>
  <si>
    <t>Confirmed</t>
  </si>
  <si>
    <t>a1LDm000000CazsMAC</t>
  </si>
  <si>
    <t>IDR-01062</t>
  </si>
  <si>
    <t>a1LDm000000CazrMAC</t>
  </si>
  <si>
    <t>IDR-01061</t>
  </si>
  <si>
    <t>IOR-00159</t>
  </si>
  <si>
    <t>Malaria I-2.1 Confirmed malaria cases (microscopy or RDT): rate per 1000 persons per year</t>
  </si>
  <si>
    <t>a1LDm000000Cb02MAC</t>
  </si>
  <si>
    <t>IDR-01072</t>
  </si>
  <si>
    <t>Species</t>
  </si>
  <si>
    <t>Other species</t>
  </si>
  <si>
    <t>a1LDm000000Cb01MAC</t>
  </si>
  <si>
    <t>IDR-01071</t>
  </si>
  <si>
    <t>Mixed</t>
  </si>
  <si>
    <t>a1LDm000000Cb00MAC</t>
  </si>
  <si>
    <t>IDR-01070</t>
  </si>
  <si>
    <t>a1LDm000000CazzMAC</t>
  </si>
  <si>
    <t>IDR-01069</t>
  </si>
  <si>
    <t>P. falciparum</t>
  </si>
  <si>
    <t>a1LDm000000CazyMAC</t>
  </si>
  <si>
    <t>IDR-01068</t>
  </si>
  <si>
    <t>P. vivax</t>
  </si>
  <si>
    <t>a1LDm000000CazxMAC</t>
  </si>
  <si>
    <t>IDR-01067</t>
  </si>
  <si>
    <t>a1LDm000000CazwMAC</t>
  </si>
  <si>
    <t>IDR-01066</t>
  </si>
  <si>
    <t>IOR-00160</t>
  </si>
  <si>
    <t>Malaria I-3.1⁽ᴹ⁾ In-patient malaria deaths: rate per 100,000 persons per year</t>
  </si>
  <si>
    <t>a1LDm000000Cb05MAC</t>
  </si>
  <si>
    <t>IDR-01075</t>
  </si>
  <si>
    <t>a1LDm000000Cb04MAC</t>
  </si>
  <si>
    <t>IDR-01074</t>
  </si>
  <si>
    <t>a1LDm000000Cb03MAC</t>
  </si>
  <si>
    <t>IDR-01073</t>
  </si>
  <si>
    <t>IOR-00161</t>
  </si>
  <si>
    <t>Malaria I-4 Malaria test positivity rate</t>
  </si>
  <si>
    <t>Testing type</t>
  </si>
  <si>
    <t>Rapid diagnostic test</t>
  </si>
  <si>
    <t>a1LDm000000Cb07MAC</t>
  </si>
  <si>
    <t>IDR-01077</t>
  </si>
  <si>
    <t>Microscopy</t>
  </si>
  <si>
    <t>a1LDm000000Cb06MAC</t>
  </si>
  <si>
    <t>IDR-01076</t>
  </si>
  <si>
    <t>IOR-00162</t>
  </si>
  <si>
    <t>Malaria I-5.1 Malaria Parasite prevalence: Proportion of population with malaria infection</t>
  </si>
  <si>
    <t>a1LDm000000Cb0CMAS</t>
  </si>
  <si>
    <t>IDR-01082</t>
  </si>
  <si>
    <t>a1LDm000000Cb0BMAS</t>
  </si>
  <si>
    <t>IDR-01081</t>
  </si>
  <si>
    <t>a1LDm000000Cb0AMAS</t>
  </si>
  <si>
    <t>IDR-01080</t>
  </si>
  <si>
    <t>a1LDm000000Cb09MAC</t>
  </si>
  <si>
    <t>IDR-01079</t>
  </si>
  <si>
    <t>a1LDm000000Cb08MAC</t>
  </si>
  <si>
    <t>IDR-01078</t>
  </si>
  <si>
    <t>IOR-00163</t>
  </si>
  <si>
    <t>Malaria I-10⁽ᴹ⁾ Annual parasite incidence: Confirmed malaria cases (microscopy or RDT): rate per 1000 persons per year (Elimination settings)</t>
  </si>
  <si>
    <t>Source of infection</t>
  </si>
  <si>
    <t>Locally acquired</t>
  </si>
  <si>
    <t>a1LDm000000Cb0EMAS</t>
  </si>
  <si>
    <t>IDR-01084</t>
  </si>
  <si>
    <t>Imported</t>
  </si>
  <si>
    <t>a1LDm000000Cb0DMAS</t>
  </si>
  <si>
    <t>IDR-01083</t>
  </si>
  <si>
    <t>IOR-00165</t>
  </si>
  <si>
    <t>Malaria I-12 Malaria mortality: rate per 100 000 people per year</t>
  </si>
  <si>
    <t>a1LDm000000Cb0HMAS</t>
  </si>
  <si>
    <t>IDR-01087</t>
  </si>
  <si>
    <t>a1LDm000000Cb0GMAS</t>
  </si>
  <si>
    <t>IDR-01086</t>
  </si>
  <si>
    <t>a1LDm000000Cb0FMAS</t>
  </si>
  <si>
    <t>IDR-01085</t>
  </si>
  <si>
    <t>IOR-00166</t>
  </si>
  <si>
    <t>Malaria I-13 Malaria case fatality rate: Percentage of deaths among confirmed malaria cases (for elimination settings)</t>
  </si>
  <si>
    <t>a1LDm000000Cb0KMAS</t>
  </si>
  <si>
    <t>IDR-01090</t>
  </si>
  <si>
    <t>a1LDm000000Cb0JMAS</t>
  </si>
  <si>
    <t>IDR-01089</t>
  </si>
  <si>
    <t>a1LDm000000Cb0IMAS</t>
  </si>
  <si>
    <t>IDR-01088</t>
  </si>
  <si>
    <t>IOR-00167</t>
  </si>
  <si>
    <t>Malaria I-14 Malaria admissions: rate per 100,000 pop per year</t>
  </si>
  <si>
    <t>a1LDm000000Cb0NMAS</t>
  </si>
  <si>
    <t>IDR-01093</t>
  </si>
  <si>
    <t>a1LDm000000Cb0MMAS</t>
  </si>
  <si>
    <t>IDR-01092</t>
  </si>
  <si>
    <t>a1LDm000000Cb0LMAS</t>
  </si>
  <si>
    <t>IDR-01091</t>
  </si>
  <si>
    <t>IOR-00168</t>
  </si>
  <si>
    <t>Malaria I-15 Number of locally acquired malaria cases</t>
  </si>
  <si>
    <t>a1LDm000000Cb0RMAS</t>
  </si>
  <si>
    <t>IDR-01097</t>
  </si>
  <si>
    <t>a1LDm000000Cb0QMAS</t>
  </si>
  <si>
    <t>IDR-01096</t>
  </si>
  <si>
    <t>a1LDm000000Cb0PMAS</t>
  </si>
  <si>
    <t>IDR-01095</t>
  </si>
  <si>
    <t>a1LDm000000Cb0OMAS</t>
  </si>
  <si>
    <t>IDR-01094</t>
  </si>
  <si>
    <t>Outcome Data - Indicator-Disaggregation Reference</t>
  </si>
  <si>
    <t>20-24</t>
  </si>
  <si>
    <t>a1LDm000000Cb0TMAS</t>
  </si>
  <si>
    <t>IDR-01099</t>
  </si>
  <si>
    <t>15-19</t>
  </si>
  <si>
    <t>a1LDm000000Cb0SMAS</t>
  </si>
  <si>
    <t>IDR-01098</t>
  </si>
  <si>
    <t>a1LDm000000Cb0XMAS</t>
  </si>
  <si>
    <t>IDR-01103</t>
  </si>
  <si>
    <t>a1LDm000000Cb0WMAS</t>
  </si>
  <si>
    <t>IDR-01102</t>
  </si>
  <si>
    <t>Male 15+</t>
  </si>
  <si>
    <t>a1LDm000000Cb0VMAS</t>
  </si>
  <si>
    <t>IDR-01101</t>
  </si>
  <si>
    <t>Female 15+</t>
  </si>
  <si>
    <t>a1LDm000000Cb0UMAS</t>
  </si>
  <si>
    <t>IDR-01100</t>
  </si>
  <si>
    <t>a1LDm000000Cb0bMAC</t>
  </si>
  <si>
    <t>IDR-01107</t>
  </si>
  <si>
    <t>a1LDm000000Cb0aMAC</t>
  </si>
  <si>
    <t>IDR-01106</t>
  </si>
  <si>
    <t>a1LDm000000Cb0ZMAS</t>
  </si>
  <si>
    <t>IDR-01105</t>
  </si>
  <si>
    <t>a1LDm000000Cb0YMAS</t>
  </si>
  <si>
    <t>IDR-01104</t>
  </si>
  <si>
    <t>a1LDm000000Cb0fMAC</t>
  </si>
  <si>
    <t>IDR-01111</t>
  </si>
  <si>
    <t>a1LDm000000Cb0eMAC</t>
  </si>
  <si>
    <t>IDR-01110</t>
  </si>
  <si>
    <t>a1LDm000000Cb0dMAC</t>
  </si>
  <si>
    <t>IDR-01109</t>
  </si>
  <si>
    <t>a1LDm000000Cb0cMAC</t>
  </si>
  <si>
    <t>IDR-01108</t>
  </si>
  <si>
    <t>25-49</t>
  </si>
  <si>
    <t>a1LDm000000Cb0iMAC</t>
  </si>
  <si>
    <t>IDR-01114</t>
  </si>
  <si>
    <t>a1LDm000000Cb0hMAC</t>
  </si>
  <si>
    <t>IDR-01113</t>
  </si>
  <si>
    <t>a1LDm000000Cb0gMAC</t>
  </si>
  <si>
    <t>IDR-01112</t>
  </si>
  <si>
    <t>Target / Risk population group</t>
  </si>
  <si>
    <t>a1LDm000000Cb0qMAC</t>
  </si>
  <si>
    <t>IDR-01122</t>
  </si>
  <si>
    <t>Prisoners</t>
  </si>
  <si>
    <t>a1LDm000000Cb0pMAC</t>
  </si>
  <si>
    <t>IDR-01121</t>
  </si>
  <si>
    <t>PUD</t>
  </si>
  <si>
    <t>a1LDm000000Cb0oMAC</t>
  </si>
  <si>
    <t>IDR-01120</t>
  </si>
  <si>
    <t>Sex workers</t>
  </si>
  <si>
    <t>a1LDm000000Cb0nMAC</t>
  </si>
  <si>
    <t>IDR-01119</t>
  </si>
  <si>
    <t>MSM</t>
  </si>
  <si>
    <t>a1LDm000000Cb0mMAC</t>
  </si>
  <si>
    <t>IDR-01118</t>
  </si>
  <si>
    <t>a1LDm000000Cb0lMAC</t>
  </si>
  <si>
    <t>IDR-01117</t>
  </si>
  <si>
    <t>a1LDm000000Cb0kMAC</t>
  </si>
  <si>
    <t>IDR-01116</t>
  </si>
  <si>
    <t>a1LDm000000Cb0jMAC</t>
  </si>
  <si>
    <t>IDR-01115</t>
  </si>
  <si>
    <t>a1LDm000000Cb0sMAC</t>
  </si>
  <si>
    <t>IDR-01124</t>
  </si>
  <si>
    <t>a1LDm000000Cb0rMAC</t>
  </si>
  <si>
    <t>IDR-01123</t>
  </si>
  <si>
    <t>a1LDm000000Cb0uMAC</t>
  </si>
  <si>
    <t>IDR-01126</t>
  </si>
  <si>
    <t>a1LDm000000Cb0tMAC</t>
  </si>
  <si>
    <t>IDR-01125</t>
  </si>
  <si>
    <t>a1LDm000000Cb0zMAC</t>
  </si>
  <si>
    <t>IDR-01131</t>
  </si>
  <si>
    <t>a1LDm000000Cb0yMAC</t>
  </si>
  <si>
    <t>IDR-01130</t>
  </si>
  <si>
    <t>a1LDm000000Cb0xMAC</t>
  </si>
  <si>
    <t>IDR-01129</t>
  </si>
  <si>
    <t>a1LDm000000Cb0wMAC</t>
  </si>
  <si>
    <t>IDR-01128</t>
  </si>
  <si>
    <t>a1LDm000000Cb0vMAC</t>
  </si>
  <si>
    <t>IDR-01127</t>
  </si>
  <si>
    <t>a1LDm000000Cb14MAC</t>
  </si>
  <si>
    <t>IDR-01136</t>
  </si>
  <si>
    <t>a1LDm000000Cb13MAC</t>
  </si>
  <si>
    <t>IDR-01135</t>
  </si>
  <si>
    <t>a1LDm000000Cb12MAC</t>
  </si>
  <si>
    <t>IDR-01134</t>
  </si>
  <si>
    <t>a1LDm000000Cb11MAC</t>
  </si>
  <si>
    <t>IDR-01133</t>
  </si>
  <si>
    <t>a1LDm000000Cb10MAC</t>
  </si>
  <si>
    <t>IDR-01132</t>
  </si>
  <si>
    <t>a1LDm000000Cb18MAC</t>
  </si>
  <si>
    <t>IDR-01140</t>
  </si>
  <si>
    <t>a1LDm000000Cb17MAC</t>
  </si>
  <si>
    <t>IDR-01139</t>
  </si>
  <si>
    <t>a1LDm000000Cb16MAC</t>
  </si>
  <si>
    <t>IDR-01138</t>
  </si>
  <si>
    <t>a1LDm000000Cb15MAC</t>
  </si>
  <si>
    <t>IDR-01137</t>
  </si>
  <si>
    <t>IOR-00205</t>
  </si>
  <si>
    <t>Malaria O-1a Proportion of population that slept under an insecticide-treated net the previous night</t>
  </si>
  <si>
    <t>a1LDm000000Cb1AMAS</t>
  </si>
  <si>
    <t>IDR-01142</t>
  </si>
  <si>
    <t>a1LDm000000Cb19MAC</t>
  </si>
  <si>
    <t>IDR-01141</t>
  </si>
  <si>
    <t>IOR-00212</t>
  </si>
  <si>
    <t>Malaria O-12 Proportion of targeted risk groups covered by distributed ITNs</t>
  </si>
  <si>
    <t>Others</t>
  </si>
  <si>
    <t>a1LDm000000Cb1DMAS</t>
  </si>
  <si>
    <t>IDR-01145</t>
  </si>
  <si>
    <t>a1LDm000000Cb1CMAS</t>
  </si>
  <si>
    <t>IDR-01144</t>
  </si>
  <si>
    <t>Migrants/ refugees/ IDPs</t>
  </si>
  <si>
    <t>a1LDm000000Cb1BMAS</t>
  </si>
  <si>
    <t>IDR-01143</t>
  </si>
  <si>
    <t>IOR-00213</t>
  </si>
  <si>
    <t>Malaria O-9⁽ᴹ⁾ Annual blood examination rate: per 100 population per year (Elimination settings)</t>
  </si>
  <si>
    <t>Case detection</t>
  </si>
  <si>
    <t>Passive</t>
  </si>
  <si>
    <t>a1LDm000000Cb1FMAS</t>
  </si>
  <si>
    <t>IDR-01147</t>
  </si>
  <si>
    <t>Active</t>
  </si>
  <si>
    <t>a1LDm000000Cb1EMAS</t>
  </si>
  <si>
    <t>IDR-01146</t>
  </si>
  <si>
    <t>Tertiary</t>
  </si>
  <si>
    <t>a1LDm000000Cb1IMAS</t>
  </si>
  <si>
    <t>IDR-01150</t>
  </si>
  <si>
    <t>Secondary</t>
  </si>
  <si>
    <t>a1LDm000000Cb1HMAS</t>
  </si>
  <si>
    <t>IDR-01149</t>
  </si>
  <si>
    <t>Primary</t>
  </si>
  <si>
    <t>a1LDm000000Cb1GMAS</t>
  </si>
  <si>
    <t>IDR-01148</t>
  </si>
  <si>
    <t>&gt;25% of total household expenditure/income</t>
  </si>
  <si>
    <t>a1LDm000000Cb1KMAS</t>
  </si>
  <si>
    <t>IDR-01152</t>
  </si>
  <si>
    <t>&gt;10% of total household expenditure/income</t>
  </si>
  <si>
    <t>a1LDm000000Cb1JMAS</t>
  </si>
  <si>
    <t>IDR-01151</t>
  </si>
  <si>
    <t>Private</t>
  </si>
  <si>
    <t>a1LDm000000Cb1MMAS</t>
  </si>
  <si>
    <t>IDR-01154</t>
  </si>
  <si>
    <t>Public</t>
  </si>
  <si>
    <t>a1LDm000000Cb1LMAS</t>
  </si>
  <si>
    <t>IDR-01153</t>
  </si>
  <si>
    <t>Lot release of vaccines</t>
  </si>
  <si>
    <t>a1LDm000000Cb1UMAS</t>
  </si>
  <si>
    <t>IDR-01162</t>
  </si>
  <si>
    <t>Clinical trials oversight</t>
  </si>
  <si>
    <t>a1LDm000000Cb1TMAS</t>
  </si>
  <si>
    <t>IDR-01161</t>
  </si>
  <si>
    <t>Laboratory testing</t>
  </si>
  <si>
    <t>a1LDm000000Cb1SMAS</t>
  </si>
  <si>
    <t>IDR-01160</t>
  </si>
  <si>
    <t>Regulatory inspections</t>
  </si>
  <si>
    <t>a1LDm000000Cb1RMAS</t>
  </si>
  <si>
    <t>IDR-01159</t>
  </si>
  <si>
    <t>Licensing of establishments</t>
  </si>
  <si>
    <t>a1LDm000000Cb1QMAS</t>
  </si>
  <si>
    <t>IDR-01158</t>
  </si>
  <si>
    <t>Market surveillance and control</t>
  </si>
  <si>
    <t>a1LDm000000Cb1PMAS</t>
  </si>
  <si>
    <t>IDR-01157</t>
  </si>
  <si>
    <t>Pharmacovigilance</t>
  </si>
  <si>
    <t>a1LDm000000Cb1OMAS</t>
  </si>
  <si>
    <t>IDR-01156</t>
  </si>
  <si>
    <t>Registration and marketing authorization</t>
  </si>
  <si>
    <t>a1LDm000000Cb1NMAS</t>
  </si>
  <si>
    <t>IDR-01155</t>
  </si>
  <si>
    <t>Coverage Data - Indicator-Disaggregation Reference</t>
  </si>
  <si>
    <t>Coverage Indicator  Reference (Name)</t>
  </si>
  <si>
    <t>[Coverage Indicator  Reference (Name)]</t>
  </si>
  <si>
    <t>a1LDm000000Cb28MAC</t>
  </si>
  <si>
    <t>IDR-01202</t>
  </si>
  <si>
    <t>a1LDm000000Cb27MAC</t>
  </si>
  <si>
    <t>IDR-01201</t>
  </si>
  <si>
    <t>a1LDm000000Cb26MAC</t>
  </si>
  <si>
    <t>IDR-01200</t>
  </si>
  <si>
    <t>a1LDm000000Cb25MAC</t>
  </si>
  <si>
    <t>IDR-01199</t>
  </si>
  <si>
    <t>a1LDm000000Cb24MAC</t>
  </si>
  <si>
    <t>IDR-01198</t>
  </si>
  <si>
    <t>a1LDm000000Cb23MAC</t>
  </si>
  <si>
    <t>IDR-01197</t>
  </si>
  <si>
    <t>a1LDm000000Cb2HMAS</t>
  </si>
  <si>
    <t>IDR-01211</t>
  </si>
  <si>
    <t>a1LDm000000Cb2GMAS</t>
  </si>
  <si>
    <t>IDR-01210</t>
  </si>
  <si>
    <t>a1LDm000000Cb2FMAS</t>
  </si>
  <si>
    <t>IDR-01209</t>
  </si>
  <si>
    <t>a1LDm000000Cb2EMAS</t>
  </si>
  <si>
    <t>IDR-01208</t>
  </si>
  <si>
    <t>PrEP product</t>
  </si>
  <si>
    <t>DPV-VR</t>
  </si>
  <si>
    <t>a1LDm000000Cb2DMAS</t>
  </si>
  <si>
    <t>IDR-01207</t>
  </si>
  <si>
    <t>Injectable PrEP</t>
  </si>
  <si>
    <t>a1LDm000000Cb2CMAS</t>
  </si>
  <si>
    <t>IDR-01206</t>
  </si>
  <si>
    <t>a1LDm000000Cb2BMAS</t>
  </si>
  <si>
    <t>IDR-01205</t>
  </si>
  <si>
    <t>a1LDm000000Cb2AMAS</t>
  </si>
  <si>
    <t>IDR-01204</t>
  </si>
  <si>
    <t>Oral PrEP</t>
  </si>
  <si>
    <t>a1LDm000000Cb29MAC</t>
  </si>
  <si>
    <t>IDR-01203</t>
  </si>
  <si>
    <t>a1LDm000000Cb2PMAS</t>
  </si>
  <si>
    <t>IDR-01219</t>
  </si>
  <si>
    <t>a1LDm000000Cb2OMAS</t>
  </si>
  <si>
    <t>IDR-01218</t>
  </si>
  <si>
    <t>a1LDm000000Cb2NMAS</t>
  </si>
  <si>
    <t>IDR-01217</t>
  </si>
  <si>
    <t>a1LDm000000Cb2MMAS</t>
  </si>
  <si>
    <t>IDR-01216</t>
  </si>
  <si>
    <t>a1LDm000000Cb2LMAS</t>
  </si>
  <si>
    <t>IDR-01215</t>
  </si>
  <si>
    <t>STI</t>
  </si>
  <si>
    <t>Gonorrhea</t>
  </si>
  <si>
    <t>a1LDm000000Cb2KMAS</t>
  </si>
  <si>
    <t>IDR-01214</t>
  </si>
  <si>
    <t>a1LDm000000Cb2JMAS</t>
  </si>
  <si>
    <t>IDR-01213</t>
  </si>
  <si>
    <t>Syphilis</t>
  </si>
  <si>
    <t>a1LDm000000Cb2IMAS</t>
  </si>
  <si>
    <t>IDR-01212</t>
  </si>
  <si>
    <t>a1LDm000000Cb2UMAS</t>
  </si>
  <si>
    <t>IDR-01224</t>
  </si>
  <si>
    <t>a1LDm000000Cb2TMAS</t>
  </si>
  <si>
    <t>IDR-01223</t>
  </si>
  <si>
    <t>a1LDm000000Cb2SMAS</t>
  </si>
  <si>
    <t>IDR-01222</t>
  </si>
  <si>
    <t>a1LDm000000Cb2RMAS</t>
  </si>
  <si>
    <t>IDR-01221</t>
  </si>
  <si>
    <t>a1LDm000000Cb2QMAS</t>
  </si>
  <si>
    <t>IDR-01220</t>
  </si>
  <si>
    <t>a1LDm000000Cb2ZMAS</t>
  </si>
  <si>
    <t>IDR-01229</t>
  </si>
  <si>
    <t>a1LDm000000Cb2YMAS</t>
  </si>
  <si>
    <t>IDR-01228</t>
  </si>
  <si>
    <t>a1LDm000000Cb2XMAS</t>
  </si>
  <si>
    <t>IDR-01227</t>
  </si>
  <si>
    <t>a1LDm000000Cb2WMAS</t>
  </si>
  <si>
    <t>IDR-01226</t>
  </si>
  <si>
    <t>a1LDm000000Cb2VMAS</t>
  </si>
  <si>
    <t>IDR-01225</t>
  </si>
  <si>
    <t>a1LDm000000Cb2hMAC</t>
  </si>
  <si>
    <t>IDR-01237</t>
  </si>
  <si>
    <t>a1LDm000000Cb2gMAC</t>
  </si>
  <si>
    <t>IDR-01236</t>
  </si>
  <si>
    <t>a1LDm000000Cb2fMAC</t>
  </si>
  <si>
    <t>IDR-01235</t>
  </si>
  <si>
    <t>a1LDm000000Cb2eMAC</t>
  </si>
  <si>
    <t>IDR-01234</t>
  </si>
  <si>
    <t>a1LDm000000Cb2dMAC</t>
  </si>
  <si>
    <t>IDR-01233</t>
  </si>
  <si>
    <t>a1LDm000000Cb2cMAC</t>
  </si>
  <si>
    <t>IDR-01232</t>
  </si>
  <si>
    <t>a1LDm000000Cb2bMAC</t>
  </si>
  <si>
    <t>IDR-01231</t>
  </si>
  <si>
    <t>a1LDm000000Cb2aMAC</t>
  </si>
  <si>
    <t>IDR-01230</t>
  </si>
  <si>
    <t>a1LDm000000Cb2mMAC</t>
  </si>
  <si>
    <t>IDR-01242</t>
  </si>
  <si>
    <t>a1LDm000000Cb2lMAC</t>
  </si>
  <si>
    <t>IDR-01241</t>
  </si>
  <si>
    <t>a1LDm000000Cb2kMAC</t>
  </si>
  <si>
    <t>IDR-01240</t>
  </si>
  <si>
    <t>a1LDm000000Cb2jMAC</t>
  </si>
  <si>
    <t>IDR-01239</t>
  </si>
  <si>
    <t>a1LDm000000Cb2iMAC</t>
  </si>
  <si>
    <t>IDR-01238</t>
  </si>
  <si>
    <t>a1LDm000000Cb2pMAC</t>
  </si>
  <si>
    <t>IDR-01245</t>
  </si>
  <si>
    <t>a1LDm000000Cb2oMAC</t>
  </si>
  <si>
    <t>IDR-01244</t>
  </si>
  <si>
    <t>a1LDm000000Cb2nMAC</t>
  </si>
  <si>
    <t>IDR-01243</t>
  </si>
  <si>
    <t>Unknown</t>
  </si>
  <si>
    <t>a1LDm000000Cb36MAC</t>
  </si>
  <si>
    <t>IDR-01262</t>
  </si>
  <si>
    <t>Negative</t>
  </si>
  <si>
    <t>a1LDm000000Cb35MAC</t>
  </si>
  <si>
    <t>IDR-01261</t>
  </si>
  <si>
    <t>Positive</t>
  </si>
  <si>
    <t>a1LDm000000Cb34MAC</t>
  </si>
  <si>
    <t>IDR-01260</t>
  </si>
  <si>
    <t>a1LDm000000Cb39MAC</t>
  </si>
  <si>
    <t>IDR-01265</t>
  </si>
  <si>
    <t>a1LDm000000Cb38MAC</t>
  </si>
  <si>
    <t>IDR-01264</t>
  </si>
  <si>
    <t>a1LDm000000Cb37MAC</t>
  </si>
  <si>
    <t>IDR-01263</t>
  </si>
  <si>
    <t>a1LDm000000Cb3gMAC</t>
  </si>
  <si>
    <t>IDR-01298</t>
  </si>
  <si>
    <t>a1LDm000000Cb3fMAC</t>
  </si>
  <si>
    <t>IDR-01297</t>
  </si>
  <si>
    <t>a1LDm000000Cb3iMAC</t>
  </si>
  <si>
    <t>IDR-01300</t>
  </si>
  <si>
    <t>a1LDm000000Cb3hMAC</t>
  </si>
  <si>
    <t>IDR-01299</t>
  </si>
  <si>
    <t>a1LDm000000Cb3kMAC</t>
  </si>
  <si>
    <t>IDR-01302</t>
  </si>
  <si>
    <t>a1LDm000000Cb3jMAC</t>
  </si>
  <si>
    <t>IDR-01301</t>
  </si>
  <si>
    <t>a1LDm000000Cb3oMAC</t>
  </si>
  <si>
    <t>IDR-01306</t>
  </si>
  <si>
    <t>a1LDm000000Cb3nMAC</t>
  </si>
  <si>
    <t>IDR-01305</t>
  </si>
  <si>
    <t>a1LDm000000Cb3mMAC</t>
  </si>
  <si>
    <t>IDR-01304</t>
  </si>
  <si>
    <t>a1LDm000000Cb3lMAC</t>
  </si>
  <si>
    <t>IDR-01303</t>
  </si>
  <si>
    <t>a1LDm000000Cb3sMAC</t>
  </si>
  <si>
    <t>IDR-01310</t>
  </si>
  <si>
    <t>a1LDm000000Cb3rMAC</t>
  </si>
  <si>
    <t>IDR-01309</t>
  </si>
  <si>
    <t>a1LDm000000Cb3qMAC</t>
  </si>
  <si>
    <t>IDR-01308</t>
  </si>
  <si>
    <t>a1LDm000000Cb3pMAC</t>
  </si>
  <si>
    <t>IDR-01307</t>
  </si>
  <si>
    <t>a1LDm000000Cb40MAC</t>
  </si>
  <si>
    <t>IDR-01318</t>
  </si>
  <si>
    <t>a1LDm000000Cb3zMAC</t>
  </si>
  <si>
    <t>IDR-01317</t>
  </si>
  <si>
    <t>a1LDm000000Cb3yMAC</t>
  </si>
  <si>
    <t>IDR-01316</t>
  </si>
  <si>
    <t>a1LDm000000Cb3xMAC</t>
  </si>
  <si>
    <t>IDR-01315</t>
  </si>
  <si>
    <t>a1LDm000000Cb3wMAC</t>
  </si>
  <si>
    <t>IDR-01314</t>
  </si>
  <si>
    <t>TB case definition</t>
  </si>
  <si>
    <t>Bacteriologically confirmed</t>
  </si>
  <si>
    <t>a1LDm000000Cb3vMAC</t>
  </si>
  <si>
    <t>IDR-01313</t>
  </si>
  <si>
    <t>a1LDm000000Cb3uMAC</t>
  </si>
  <si>
    <t>IDR-01312</t>
  </si>
  <si>
    <t>a1LDm000000Cb3tMAC</t>
  </si>
  <si>
    <t>IDR-01311</t>
  </si>
  <si>
    <t>Private facility type</t>
  </si>
  <si>
    <t>Private for-profit</t>
  </si>
  <si>
    <t>a1LDm000000Cb43MAC</t>
  </si>
  <si>
    <t>IDR-01321</t>
  </si>
  <si>
    <t>a1LDm000000Cb42MAC</t>
  </si>
  <si>
    <t>IDR-01320</t>
  </si>
  <si>
    <t>NGO</t>
  </si>
  <si>
    <t>a1LDm000000Cb41MAC</t>
  </si>
  <si>
    <t>IDR-01319</t>
  </si>
  <si>
    <t>a1LDm000000Cb45MAC</t>
  </si>
  <si>
    <t>IDR-01323</t>
  </si>
  <si>
    <t>a1LDm000000Cb44MAC</t>
  </si>
  <si>
    <t>IDR-01322</t>
  </si>
  <si>
    <t>a1LDm000000Cb4CMAS</t>
  </si>
  <si>
    <t>IDR-01330</t>
  </si>
  <si>
    <t>a1LDm000000Cb4BMAS</t>
  </si>
  <si>
    <t>IDR-01329</t>
  </si>
  <si>
    <t>a1LDm000000Cb4AMAS</t>
  </si>
  <si>
    <t>IDR-01328</t>
  </si>
  <si>
    <t>a1LDm000000Cb49MAC</t>
  </si>
  <si>
    <t>IDR-01327</t>
  </si>
  <si>
    <t>a1LDm000000Cb48MAC</t>
  </si>
  <si>
    <t>IDR-01326</t>
  </si>
  <si>
    <t>a1LDm000000Cb47MAC</t>
  </si>
  <si>
    <t>IDR-01325</t>
  </si>
  <si>
    <t>a1LDm000000Cb46MAC</t>
  </si>
  <si>
    <t>IDR-01324</t>
  </si>
  <si>
    <t>a1LDm000000Cb4UMAS</t>
  </si>
  <si>
    <t>IDR-01348</t>
  </si>
  <si>
    <t>a1LDm000000Cb4TMAS</t>
  </si>
  <si>
    <t>IDR-01347</t>
  </si>
  <si>
    <t>a1LDm000000Cb4SMAS</t>
  </si>
  <si>
    <t>IDR-01346</t>
  </si>
  <si>
    <t>a1LDm000000Cb4RMAS</t>
  </si>
  <si>
    <t>IDR-01345</t>
  </si>
  <si>
    <t>a1LDm000000Cb4QMAS</t>
  </si>
  <si>
    <t>IDR-01344</t>
  </si>
  <si>
    <t>a1LDm000000Cb4cMAC</t>
  </si>
  <si>
    <t>IDR-01356</t>
  </si>
  <si>
    <t>a1LDm000000Cb4bMAC</t>
  </si>
  <si>
    <t>IDR-01355</t>
  </si>
  <si>
    <t>a1LDm000000Cb4aMAC</t>
  </si>
  <si>
    <t>IDR-01354</t>
  </si>
  <si>
    <t>a1LDm000000Cb4ZMAS</t>
  </si>
  <si>
    <t>IDR-01353</t>
  </si>
  <si>
    <t>a1LDm000000Cb4YMAS</t>
  </si>
  <si>
    <t>IDR-01352</t>
  </si>
  <si>
    <t>a1LDm000000Cb4XMAS</t>
  </si>
  <si>
    <t>IDR-01351</t>
  </si>
  <si>
    <t>a1LDm000000Cb4WMAS</t>
  </si>
  <si>
    <t>IDR-01350</t>
  </si>
  <si>
    <t>a1LDm000000Cb4VMAS</t>
  </si>
  <si>
    <t>IDR-01349</t>
  </si>
  <si>
    <t>a1LDm000000Cb4hMAC</t>
  </si>
  <si>
    <t>IDR-01361</t>
  </si>
  <si>
    <t>a1LDm000000Cb4gMAC</t>
  </si>
  <si>
    <t>IDR-01360</t>
  </si>
  <si>
    <t>a1LDm000000Cb4fMAC</t>
  </si>
  <si>
    <t>IDR-01359</t>
  </si>
  <si>
    <t>a1LDm000000Cb4eMAC</t>
  </si>
  <si>
    <t>IDR-01358</t>
  </si>
  <si>
    <t>a1LDm000000Cb4dMAC</t>
  </si>
  <si>
    <t>IDR-01357</t>
  </si>
  <si>
    <t>a1LDm000000Cb4rMAC</t>
  </si>
  <si>
    <t>IDR-01371</t>
  </si>
  <si>
    <t>TPT regimen</t>
  </si>
  <si>
    <t>6H</t>
  </si>
  <si>
    <t>a1LDm000000Cb4qMAC</t>
  </si>
  <si>
    <t>IDR-01370</t>
  </si>
  <si>
    <t>3RH</t>
  </si>
  <si>
    <t>a1LDm000000Cb4pMAC</t>
  </si>
  <si>
    <t>IDR-01369</t>
  </si>
  <si>
    <t>RIF</t>
  </si>
  <si>
    <t>a1LDm000000Cb4oMAC</t>
  </si>
  <si>
    <t>IDR-01368</t>
  </si>
  <si>
    <t>a1LDm000000Cb4nMAC</t>
  </si>
  <si>
    <t>IDR-01367</t>
  </si>
  <si>
    <t>a1LDm000000Cb4mMAC</t>
  </si>
  <si>
    <t>IDR-01366</t>
  </si>
  <si>
    <t>1HP</t>
  </si>
  <si>
    <t>a1LDm000000Cb4lMAC</t>
  </si>
  <si>
    <t>IDR-01365</t>
  </si>
  <si>
    <t>a1LDm000000Cb4kMAC</t>
  </si>
  <si>
    <t>IDR-01364</t>
  </si>
  <si>
    <t>3HP</t>
  </si>
  <si>
    <t>a1LDm000000Cb4jMAC</t>
  </si>
  <si>
    <t>IDR-01363</t>
  </si>
  <si>
    <t>a1LDm000000Cb4iMAC</t>
  </si>
  <si>
    <t>IDR-01362</t>
  </si>
  <si>
    <t>a1LDm000000Cb4yMAC</t>
  </si>
  <si>
    <t>IDR-01378</t>
  </si>
  <si>
    <t>a1LDm000000Cb4xMAC</t>
  </si>
  <si>
    <t>IDR-01377</t>
  </si>
  <si>
    <t>a1LDm000000Cb4wMAC</t>
  </si>
  <si>
    <t>IDR-01376</t>
  </si>
  <si>
    <t>a1LDm000000Cb4vMAC</t>
  </si>
  <si>
    <t>IDR-01375</t>
  </si>
  <si>
    <t>a1LDm000000Cb4uMAC</t>
  </si>
  <si>
    <t>IDR-01374</t>
  </si>
  <si>
    <t>a1LDm000000Cb4tMAC</t>
  </si>
  <si>
    <t>IDR-01373</t>
  </si>
  <si>
    <t>a1LDm000000Cb4sMAC</t>
  </si>
  <si>
    <t>IDR-01372</t>
  </si>
  <si>
    <t>a1LDm000000Cb54MAC</t>
  </si>
  <si>
    <t>IDR-01384</t>
  </si>
  <si>
    <t>a1LDm000000Cb53MAC</t>
  </si>
  <si>
    <t>IDR-01383</t>
  </si>
  <si>
    <t>a1LDm000000Cb52MAC</t>
  </si>
  <si>
    <t>IDR-01382</t>
  </si>
  <si>
    <t>Treatment regimen</t>
  </si>
  <si>
    <t>Longer individualized</t>
  </si>
  <si>
    <t>a1LDm000000Cb51MAC</t>
  </si>
  <si>
    <t>IDR-01381</t>
  </si>
  <si>
    <t>a1LDm000000Cb50MAC</t>
  </si>
  <si>
    <t>IDR-01380</t>
  </si>
  <si>
    <t>Shorter 6-9 month</t>
  </si>
  <si>
    <t>a1LDm000000Cb4zMAC</t>
  </si>
  <si>
    <t>IDR-01379</t>
  </si>
  <si>
    <t>a1LDm000000Cb5FMAS</t>
  </si>
  <si>
    <t>IDR-01395</t>
  </si>
  <si>
    <t>a1LDm000000Cb5EMAS</t>
  </si>
  <si>
    <t>IDR-01394</t>
  </si>
  <si>
    <t>a1LDm000000Cb5DMAS</t>
  </si>
  <si>
    <t>IDR-01393</t>
  </si>
  <si>
    <t>a1LDm000000Cb5CMAS</t>
  </si>
  <si>
    <t>IDR-01392</t>
  </si>
  <si>
    <t>a1LDm000000Cb5BMAS</t>
  </si>
  <si>
    <t>IDR-01391</t>
  </si>
  <si>
    <t>a1LDm000000Cb5AMAS</t>
  </si>
  <si>
    <t>IDR-01390</t>
  </si>
  <si>
    <t>a1LDm000000Cb59MAC</t>
  </si>
  <si>
    <t>IDR-01389</t>
  </si>
  <si>
    <t>a1LDm000000Cb58MAC</t>
  </si>
  <si>
    <t>IDR-01388</t>
  </si>
  <si>
    <t>a1LDm000000Cb57MAC</t>
  </si>
  <si>
    <t>IDR-01387</t>
  </si>
  <si>
    <t>a1LDm000000Cb56MAC</t>
  </si>
  <si>
    <t>IDR-01386</t>
  </si>
  <si>
    <t>a1LDm000000Cb55MAC</t>
  </si>
  <si>
    <t>IDR-01385</t>
  </si>
  <si>
    <t>a1LDm000000Cb5MMAS</t>
  </si>
  <si>
    <t>IDR-01402</t>
  </si>
  <si>
    <t>a1LDm000000Cb5LMAS</t>
  </si>
  <si>
    <t>IDR-01401</t>
  </si>
  <si>
    <t>a1LDm000000Cb5KMAS</t>
  </si>
  <si>
    <t>IDR-01400</t>
  </si>
  <si>
    <t>a1LDm000000Cb5JMAS</t>
  </si>
  <si>
    <t>IDR-01399</t>
  </si>
  <si>
    <t>a1LDm000000Cb5IMAS</t>
  </si>
  <si>
    <t>IDR-01398</t>
  </si>
  <si>
    <t>a1LDm000000Cb5HMAS</t>
  </si>
  <si>
    <t>IDR-01397</t>
  </si>
  <si>
    <t>a1LDm000000Cb5GMAS</t>
  </si>
  <si>
    <t>IDR-01396</t>
  </si>
  <si>
    <t>MCI-01562</t>
  </si>
  <si>
    <t>VC-3⁽ᴹ⁾ Number of insecticide-treated nets distributed to targeted risk groups through continuous distribution</t>
  </si>
  <si>
    <t>a1LDm000000Cb5QMAS</t>
  </si>
  <si>
    <t>IDR-01406</t>
  </si>
  <si>
    <t>School children</t>
  </si>
  <si>
    <t>a1LDm000000Cb5PMAS</t>
  </si>
  <si>
    <t>IDR-01405</t>
  </si>
  <si>
    <t>Children 0-5</t>
  </si>
  <si>
    <t>a1LDm000000Cb5OMAS</t>
  </si>
  <si>
    <t>IDR-01404</t>
  </si>
  <si>
    <t>Pregnant women</t>
  </si>
  <si>
    <t>a1LDm000000Cb5NMAS</t>
  </si>
  <si>
    <t>IDR-01403</t>
  </si>
  <si>
    <t>MCI-01565</t>
  </si>
  <si>
    <t>CM-1a⁽ᴹ⁾ Proportion of suspected malaria cases that receive a parasitological test at public sector health facilities</t>
  </si>
  <si>
    <t>5+</t>
  </si>
  <si>
    <t>a1LDm000000Cb5UMAS</t>
  </si>
  <si>
    <t>IDR-01410</t>
  </si>
  <si>
    <t>a1LDm000000Cb5TMAS</t>
  </si>
  <si>
    <t>IDR-01409</t>
  </si>
  <si>
    <t>a1LDm000000Cb5SMAS</t>
  </si>
  <si>
    <t>IDR-01408</t>
  </si>
  <si>
    <t>a1LDm000000Cb5RMAS</t>
  </si>
  <si>
    <t>IDR-01407</t>
  </si>
  <si>
    <t>MCI-01566</t>
  </si>
  <si>
    <t>CM-1b⁽ᴹ⁾ Proportion of suspected malaria cases that receive a parasitological test in the community</t>
  </si>
  <si>
    <t>a1LDm000000Cb5YMAS</t>
  </si>
  <si>
    <t>IDR-01414</t>
  </si>
  <si>
    <t>a1LDm000000Cb5XMAS</t>
  </si>
  <si>
    <t>IDR-01413</t>
  </si>
  <si>
    <t>a1LDm000000Cb5WMAS</t>
  </si>
  <si>
    <t>IDR-01412</t>
  </si>
  <si>
    <t>a1LDm000000Cb5VMAS</t>
  </si>
  <si>
    <t>IDR-01411</t>
  </si>
  <si>
    <t>MCI-01567</t>
  </si>
  <si>
    <t>CM-1c⁽ᴹ⁾ Proportion of suspected malaria cases that receive a parasitological test at private sector sites</t>
  </si>
  <si>
    <t>a1LDm000000Cb5cMAC</t>
  </si>
  <si>
    <t>IDR-01418</t>
  </si>
  <si>
    <t>a1LDm000000Cb5bMAC</t>
  </si>
  <si>
    <t>IDR-01417</t>
  </si>
  <si>
    <t>a1LDm000000Cb5aMAC</t>
  </si>
  <si>
    <t>IDR-01416</t>
  </si>
  <si>
    <t>a1LDm000000Cb5ZMAS</t>
  </si>
  <si>
    <t>IDR-01415</t>
  </si>
  <si>
    <t>MCI-01568</t>
  </si>
  <si>
    <t>CM-2a⁽ᴹ⁾ Proportion of confirmed malaria cases that received first-line antimalarial treatment at public sector health facilities</t>
  </si>
  <si>
    <t>a1LDm000000Cb5eMAC</t>
  </si>
  <si>
    <t>IDR-01420</t>
  </si>
  <si>
    <t>a1LDm000000Cb5dMAC</t>
  </si>
  <si>
    <t>IDR-01419</t>
  </si>
  <si>
    <t>MCI-01569</t>
  </si>
  <si>
    <t>CM-2b⁽ᴹ⁾ Proportion of confirmed malaria cases that received first-line antimalarial treatment in the community</t>
  </si>
  <si>
    <t>a1LDm000000Cb5gMAC</t>
  </si>
  <si>
    <t>IDR-01422</t>
  </si>
  <si>
    <t>a1LDm000000Cb5fMAC</t>
  </si>
  <si>
    <t>IDR-01421</t>
  </si>
  <si>
    <t>MCI-01570</t>
  </si>
  <si>
    <t>CM-2c⁽ᴹ⁾ Proportion of confirmed malaria cases that received first-line antimalarial treatment at private sector sites</t>
  </si>
  <si>
    <t>a1LDm000000Cb5iMAC</t>
  </si>
  <si>
    <t>IDR-01424</t>
  </si>
  <si>
    <t>a1LDm000000Cb5hMAC</t>
  </si>
  <si>
    <t>IDR-01423</t>
  </si>
  <si>
    <t>MCI-01571</t>
  </si>
  <si>
    <t>CM-5⁽ᴹ⁾ Percentage of confirmed cases fully investigated and classified as per national guidance</t>
  </si>
  <si>
    <t>a1LDm000000Cb5kMAC</t>
  </si>
  <si>
    <t>IDR-01426</t>
  </si>
  <si>
    <t>a1LDm000000Cb5jMAC</t>
  </si>
  <si>
    <t>IDR-01425</t>
  </si>
  <si>
    <t>MCI-01573</t>
  </si>
  <si>
    <t>CM-7 Percentage of districts achieving national target for the proportion of suspected malaria patients who receive a parasitological test</t>
  </si>
  <si>
    <t>Community</t>
  </si>
  <si>
    <t>a1LDm000000Cb5nMAC</t>
  </si>
  <si>
    <t>IDR-01429</t>
  </si>
  <si>
    <t>a1LDm000000Cb5mMAC</t>
  </si>
  <si>
    <t>IDR-01428</t>
  </si>
  <si>
    <t>a1LDm000000Cb5lMAC</t>
  </si>
  <si>
    <t>IDR-01427</t>
  </si>
  <si>
    <t>MCI-01574</t>
  </si>
  <si>
    <t>CM-8 Percentage of districts achieving national target for the proportion of confirmed malaria patients who received first-line antimalarial treatment</t>
  </si>
  <si>
    <t>a1LDm000000Cb5qMAC</t>
  </si>
  <si>
    <t>IDR-01432</t>
  </si>
  <si>
    <t>a1LDm000000Cb5pMAC</t>
  </si>
  <si>
    <t>IDR-01431</t>
  </si>
  <si>
    <t>a1LDm000000Cb5oMAC</t>
  </si>
  <si>
    <t>IDR-01430</t>
  </si>
  <si>
    <t>Community health workers</t>
  </si>
  <si>
    <t>a1LDm000000Cb6VMAS</t>
  </si>
  <si>
    <t>IDR-01473</t>
  </si>
  <si>
    <t>Pharmacists</t>
  </si>
  <si>
    <t>a1LDm000000Cb6UMAS</t>
  </si>
  <si>
    <t>IDR-01472</t>
  </si>
  <si>
    <t>Laboratory technicians</t>
  </si>
  <si>
    <t>a1LDm000000Cb6TMAS</t>
  </si>
  <si>
    <t>IDR-01471</t>
  </si>
  <si>
    <t>Nurses and midwives</t>
  </si>
  <si>
    <t>a1LDm000000Cb6SMAS</t>
  </si>
  <si>
    <t>IDR-01470</t>
  </si>
  <si>
    <t>Physicians</t>
  </si>
  <si>
    <t>a1LDm000000Cb6RMAS</t>
  </si>
  <si>
    <t>IDR-01469</t>
  </si>
  <si>
    <t>a1LDm000000Cb6aMAC</t>
  </si>
  <si>
    <t>IDR-01478</t>
  </si>
  <si>
    <t>a1LDm000000Cb6ZMAS</t>
  </si>
  <si>
    <t>IDR-01477</t>
  </si>
  <si>
    <t>a1LDm000000Cb6YMAS</t>
  </si>
  <si>
    <t>IDR-01476</t>
  </si>
  <si>
    <t>a1LDm000000Cb6XMAS</t>
  </si>
  <si>
    <t>IDR-01475</t>
  </si>
  <si>
    <t>a1LDm000000Cb6WMAS</t>
  </si>
  <si>
    <t>IDR-01474</t>
  </si>
  <si>
    <t>a1LDm000000Cb6fMAC</t>
  </si>
  <si>
    <t>IDR-01483</t>
  </si>
  <si>
    <t>a1LDm000000Cb6eMAC</t>
  </si>
  <si>
    <t>IDR-01482</t>
  </si>
  <si>
    <t>CHW attachment</t>
  </si>
  <si>
    <t>CLO/CBO</t>
  </si>
  <si>
    <t>a1LDm000000Cb6dMAC</t>
  </si>
  <si>
    <t>IDR-01481</t>
  </si>
  <si>
    <t>Public sector health facility</t>
  </si>
  <si>
    <t>a1LDm000000Cb6cMAC</t>
  </si>
  <si>
    <t>IDR-01480</t>
  </si>
  <si>
    <t>a1LDm000000Cb6bMAC</t>
  </si>
  <si>
    <t>IDR-01479</t>
  </si>
  <si>
    <t>Level of government</t>
  </si>
  <si>
    <t>Central and sub-national governments</t>
  </si>
  <si>
    <t>a1LDm000000Cb64MAC</t>
  </si>
  <si>
    <t>IDR-01446</t>
  </si>
  <si>
    <t>Central government</t>
  </si>
  <si>
    <t>a1LDm000000Cb63MAC</t>
  </si>
  <si>
    <t>IDR-01445</t>
  </si>
  <si>
    <t>Source of financing</t>
  </si>
  <si>
    <t>External</t>
  </si>
  <si>
    <t>a1LDm000000Cb62MAC</t>
  </si>
  <si>
    <t>IDR-01444</t>
  </si>
  <si>
    <t>Domestic</t>
  </si>
  <si>
    <t>a1LDm000000Cb61MAC</t>
  </si>
  <si>
    <t>IDR-01443</t>
  </si>
  <si>
    <t>a1LDm000000Cb68MAC</t>
  </si>
  <si>
    <t>IDR-01450</t>
  </si>
  <si>
    <t>a1LDm000000Cb67MAC</t>
  </si>
  <si>
    <t>IDR-01449</t>
  </si>
  <si>
    <t>a1LDm000000Cb66MAC</t>
  </si>
  <si>
    <t>IDR-01448</t>
  </si>
  <si>
    <t>a1LDm000000Cb65MAC</t>
  </si>
  <si>
    <t>IDR-01447</t>
  </si>
  <si>
    <t>People living with HIV</t>
  </si>
  <si>
    <t>a1LDm000000Cb6CMAS</t>
  </si>
  <si>
    <t>IDR-01454</t>
  </si>
  <si>
    <t>Scheme type</t>
  </si>
  <si>
    <t>Other financial risk protection schemes</t>
  </si>
  <si>
    <t>a1LDm000000Cb6BMAS</t>
  </si>
  <si>
    <t>IDR-01453</t>
  </si>
  <si>
    <t>Health funds</t>
  </si>
  <si>
    <t>a1LDm000000Cb6AMAS</t>
  </si>
  <si>
    <t>IDR-01452</t>
  </si>
  <si>
    <t>Social health insurance</t>
  </si>
  <si>
    <t>a1LDm000000Cb69MAC</t>
  </si>
  <si>
    <t>IDR-01451</t>
  </si>
  <si>
    <t>a1LDm000000Cb6MMAS</t>
  </si>
  <si>
    <t>IDR-01464</t>
  </si>
  <si>
    <t>a1LDm000000Cb6LMAS</t>
  </si>
  <si>
    <t>IDR-01463</t>
  </si>
  <si>
    <t>PWID</t>
  </si>
  <si>
    <t>a1LDm000000Cb6KMAS</t>
  </si>
  <si>
    <t>IDR-01462</t>
  </si>
  <si>
    <t>a1LDm000000Cb6JMAS</t>
  </si>
  <si>
    <t>IDR-01461</t>
  </si>
  <si>
    <t>a1LDm000000Cb6IMAS</t>
  </si>
  <si>
    <t>IDR-01460</t>
  </si>
  <si>
    <t>Malaria</t>
  </si>
  <si>
    <t>a1LDm000000Cb6HMAS</t>
  </si>
  <si>
    <t>IDR-01459</t>
  </si>
  <si>
    <t>TB</t>
  </si>
  <si>
    <t>a1LDm000000Cb6GMAS</t>
  </si>
  <si>
    <t>IDR-01458</t>
  </si>
  <si>
    <t>HIV</t>
  </si>
  <si>
    <t>a1LDm000000Cb6FMAS</t>
  </si>
  <si>
    <t>IDR-01457</t>
  </si>
  <si>
    <t>a1LDm000000Cb6EMAS</t>
  </si>
  <si>
    <t>IDR-01456</t>
  </si>
  <si>
    <t>a1LDm000000Cb6DMAS</t>
  </si>
  <si>
    <t>IDR-01455</t>
  </si>
  <si>
    <t>Level of care</t>
  </si>
  <si>
    <t>a1LDm000000Cb6QMAS</t>
  </si>
  <si>
    <t>IDR-01468</t>
  </si>
  <si>
    <t>a1LDm000000Cb6PMAS</t>
  </si>
  <si>
    <t>IDR-01467</t>
  </si>
  <si>
    <t>a1LDm000000Cb6OMAS</t>
  </si>
  <si>
    <t>IDR-01466</t>
  </si>
  <si>
    <t>a1LDm000000Cb6NMAS</t>
  </si>
  <si>
    <t>IDR-01465</t>
  </si>
  <si>
    <t>Community-led organization type</t>
  </si>
  <si>
    <t>Women-led (all diseases)</t>
  </si>
  <si>
    <t>a1LDm000000Cb5vMAC</t>
  </si>
  <si>
    <t>IDR-01437</t>
  </si>
  <si>
    <t>Organization type</t>
  </si>
  <si>
    <t>Community-led organizations</t>
  </si>
  <si>
    <t>a1LDm000000Cb5uMAC</t>
  </si>
  <si>
    <t>IDR-01436</t>
  </si>
  <si>
    <t>KP-led (HIV)</t>
  </si>
  <si>
    <t>a1LDm000000Cb5tMAC</t>
  </si>
  <si>
    <t>IDR-01435</t>
  </si>
  <si>
    <t>KVP-led (TB)</t>
  </si>
  <si>
    <t>a1LDm000000Cb5sMAC</t>
  </si>
  <si>
    <t>IDR-01434</t>
  </si>
  <si>
    <t>Community-based organizations</t>
  </si>
  <si>
    <t>a1LDm000000Cb5rMAC</t>
  </si>
  <si>
    <t>IDR-01433</t>
  </si>
  <si>
    <t>TB/HIV/malaria</t>
  </si>
  <si>
    <t>a1LDm000000Cb60MAC</t>
  </si>
  <si>
    <t>IDR-01442</t>
  </si>
  <si>
    <t>a1LDm000000Cb5zMAC</t>
  </si>
  <si>
    <t>IDR-01441</t>
  </si>
  <si>
    <t>a1LDm000000Cb5yMAC</t>
  </si>
  <si>
    <t>IDR-01440</t>
  </si>
  <si>
    <t>a1LDm000000Cb5xMAC</t>
  </si>
  <si>
    <t>IDR-01439</t>
  </si>
  <si>
    <t>a1LDm000000Cb5wMAC</t>
  </si>
  <si>
    <t>IDR-01438</t>
  </si>
  <si>
    <t>Notifiable diseases and event surveillance reports</t>
  </si>
  <si>
    <t>a1LDm000000Cb6vMAC</t>
  </si>
  <si>
    <t>IDR-01499</t>
  </si>
  <si>
    <t>a1LDm000000Cb6uMAC</t>
  </si>
  <si>
    <t>IDR-01498</t>
  </si>
  <si>
    <t>Integrated reports</t>
  </si>
  <si>
    <t>a1LDm000000Cb6tMAC</t>
  </si>
  <si>
    <t>IDR-01497</t>
  </si>
  <si>
    <t>Malaria reports</t>
  </si>
  <si>
    <t>a1LDm000000Cb6sMAC</t>
  </si>
  <si>
    <t>IDR-01496</t>
  </si>
  <si>
    <t>a1LDm000000Cb6rMAC</t>
  </si>
  <si>
    <t>IDR-01495</t>
  </si>
  <si>
    <t>TB reports</t>
  </si>
  <si>
    <t>a1LDm000000Cb6qMAC</t>
  </si>
  <si>
    <t>IDR-01494</t>
  </si>
  <si>
    <t>HIV reports</t>
  </si>
  <si>
    <t>a1LDm000000Cb6pMAC</t>
  </si>
  <si>
    <t>IDR-01493</t>
  </si>
  <si>
    <t>a1LDm000000Cb6oMAC</t>
  </si>
  <si>
    <t>IDR-01492</t>
  </si>
  <si>
    <t>a1LDm000000Cb72MAC</t>
  </si>
  <si>
    <t>IDR-01506</t>
  </si>
  <si>
    <t>a1LDm000000Cb71MAC</t>
  </si>
  <si>
    <t>IDR-01505</t>
  </si>
  <si>
    <t>a1LDm000000Cb70MAC</t>
  </si>
  <si>
    <t>IDR-01504</t>
  </si>
  <si>
    <t>a1LDm000000Cb6zMAC</t>
  </si>
  <si>
    <t>IDR-01503</t>
  </si>
  <si>
    <t>a1LDm000000Cb6yMAC</t>
  </si>
  <si>
    <t>IDR-01502</t>
  </si>
  <si>
    <t>a1LDm000000Cb6xMAC</t>
  </si>
  <si>
    <t>IDR-01501</t>
  </si>
  <si>
    <t>a1LDm000000Cb6wMAC</t>
  </si>
  <si>
    <t>IDR-01500</t>
  </si>
  <si>
    <t>Notifiable diseases and events</t>
  </si>
  <si>
    <t>a1LDm000000Cb79MAC</t>
  </si>
  <si>
    <t>IDR-01513</t>
  </si>
  <si>
    <t>Health facility</t>
  </si>
  <si>
    <t>Health posts</t>
  </si>
  <si>
    <t>a1LDm000000Cb78MAC</t>
  </si>
  <si>
    <t>IDR-01512</t>
  </si>
  <si>
    <t>a1LDm000000Cb77MAC</t>
  </si>
  <si>
    <t>IDR-01511</t>
  </si>
  <si>
    <t>a1LDm000000Cb76MAC</t>
  </si>
  <si>
    <t>IDR-01510</t>
  </si>
  <si>
    <t>Health centers</t>
  </si>
  <si>
    <t>a1LDm000000Cb75MAC</t>
  </si>
  <si>
    <t>IDR-01509</t>
  </si>
  <si>
    <t>a1LDm000000Cb74MAC</t>
  </si>
  <si>
    <t>IDR-01508</t>
  </si>
  <si>
    <t>Hospitals</t>
  </si>
  <si>
    <t>a1LDm000000Cb73MAC</t>
  </si>
  <si>
    <t>IDR-01507</t>
  </si>
  <si>
    <t>a1LDm000000Cb7EMAS</t>
  </si>
  <si>
    <t>IDR-01518</t>
  </si>
  <si>
    <t>a1LDm000000Cb7DMAS</t>
  </si>
  <si>
    <t>IDR-01517</t>
  </si>
  <si>
    <t>a1LDm000000Cb7CMAS</t>
  </si>
  <si>
    <t>IDR-01516</t>
  </si>
  <si>
    <t>a1LDm000000Cb7BMAS</t>
  </si>
  <si>
    <t>IDR-01515</t>
  </si>
  <si>
    <t>a1LDm000000Cb7AMAS</t>
  </si>
  <si>
    <t>IDR-01514</t>
  </si>
  <si>
    <t>a1LDm000000Cb7IMAS</t>
  </si>
  <si>
    <t>IDR-01522</t>
  </si>
  <si>
    <t>a1LDm000000Cb7HMAS</t>
  </si>
  <si>
    <t>IDR-01521</t>
  </si>
  <si>
    <t>a1LDm000000Cb7GMAS</t>
  </si>
  <si>
    <t>IDR-01520</t>
  </si>
  <si>
    <t>a1LDm000000Cb7FMAS</t>
  </si>
  <si>
    <t>IDR-01519</t>
  </si>
  <si>
    <t>a1LDm000000Cb1nMAC</t>
  </si>
  <si>
    <t>IDR-01181</t>
  </si>
  <si>
    <t>a1LDm000000Cb1mMAC</t>
  </si>
  <si>
    <t>IDR-01180</t>
  </si>
  <si>
    <t>Transwomen</t>
  </si>
  <si>
    <t>a1LDm000000Cb1lMAC</t>
  </si>
  <si>
    <t>IDR-01179</t>
  </si>
  <si>
    <t>Transmen</t>
  </si>
  <si>
    <t>a1LDm000000Cb1kMAC</t>
  </si>
  <si>
    <t>IDR-01178</t>
  </si>
  <si>
    <t>a1LDm000000Cb1jMAC</t>
  </si>
  <si>
    <t>IDR-01177</t>
  </si>
  <si>
    <t>a1LDm000000Cb1vMAC</t>
  </si>
  <si>
    <t>IDR-01189</t>
  </si>
  <si>
    <t>a1LDm000000Cb1uMAC</t>
  </si>
  <si>
    <t>IDR-01188</t>
  </si>
  <si>
    <t>a1LDm000000Cb1tMAC</t>
  </si>
  <si>
    <t>IDR-01187</t>
  </si>
  <si>
    <t>a1LDm000000Cb1sMAC</t>
  </si>
  <si>
    <t>IDR-01186</t>
  </si>
  <si>
    <t>a1LDm000000Cb1rMAC</t>
  </si>
  <si>
    <t>IDR-01185</t>
  </si>
  <si>
    <t>a1LDm000000Cb1qMAC</t>
  </si>
  <si>
    <t>IDR-01184</t>
  </si>
  <si>
    <t>a1LDm000000Cb1pMAC</t>
  </si>
  <si>
    <t>IDR-01183</t>
  </si>
  <si>
    <t>a1LDm000000Cb1oMAC</t>
  </si>
  <si>
    <t>IDR-01182</t>
  </si>
  <si>
    <t>a1LDm000000Cb22MAC</t>
  </si>
  <si>
    <t>IDR-01196</t>
  </si>
  <si>
    <t>a1LDm000000Cb21MAC</t>
  </si>
  <si>
    <t>IDR-01195</t>
  </si>
  <si>
    <t>a1LDm000000Cb20MAC</t>
  </si>
  <si>
    <t>IDR-01194</t>
  </si>
  <si>
    <t>a1LDm000000Cb1zMAC</t>
  </si>
  <si>
    <t>IDR-01193</t>
  </si>
  <si>
    <t>a1LDm000000Cb1yMAC</t>
  </si>
  <si>
    <t>IDR-01192</t>
  </si>
  <si>
    <t>a1LDm000000Cb1xMAC</t>
  </si>
  <si>
    <t>IDR-01191</t>
  </si>
  <si>
    <t>a1LDm000000Cb1wMAC</t>
  </si>
  <si>
    <t>IDR-01190</t>
  </si>
  <si>
    <t>a1LDm000000Cb3BMAS</t>
  </si>
  <si>
    <t>IDR-01267</t>
  </si>
  <si>
    <t>a1LDm000000Cb3AMAS</t>
  </si>
  <si>
    <t>IDR-01266</t>
  </si>
  <si>
    <t>a1LDm000000Cb3EMAS</t>
  </si>
  <si>
    <t>IDR-01270</t>
  </si>
  <si>
    <t>a1LDm000000Cb3DMAS</t>
  </si>
  <si>
    <t>IDR-01269</t>
  </si>
  <si>
    <t>a1LDm000000Cb3CMAS</t>
  </si>
  <si>
    <t>IDR-01268</t>
  </si>
  <si>
    <t>a1LDm000000Cb3JMAS</t>
  </si>
  <si>
    <t>IDR-01275</t>
  </si>
  <si>
    <t>a1LDm000000Cb3IMAS</t>
  </si>
  <si>
    <t>IDR-01274</t>
  </si>
  <si>
    <t>a1LDm000000Cb3HMAS</t>
  </si>
  <si>
    <t>IDR-01273</t>
  </si>
  <si>
    <t>a1LDm000000Cb3GMAS</t>
  </si>
  <si>
    <t>IDR-01272</t>
  </si>
  <si>
    <t>a1LDm000000Cb3FMAS</t>
  </si>
  <si>
    <t>IDR-01271</t>
  </si>
  <si>
    <t>a1LDm000000Cb3PMAS</t>
  </si>
  <si>
    <t>IDR-01281</t>
  </si>
  <si>
    <t>a1LDm000000Cb3OMAS</t>
  </si>
  <si>
    <t>IDR-01280</t>
  </si>
  <si>
    <t>a1LDm000000Cb3NMAS</t>
  </si>
  <si>
    <t>IDR-01279</t>
  </si>
  <si>
    <t>a1LDm000000Cb3MMAS</t>
  </si>
  <si>
    <t>IDR-01278</t>
  </si>
  <si>
    <t>a1LDm000000Cb3LMAS</t>
  </si>
  <si>
    <t>IDR-01277</t>
  </si>
  <si>
    <t>a1LDm000000Cb3KMAS</t>
  </si>
  <si>
    <t>IDR-01276</t>
  </si>
  <si>
    <t>a1LDm000000Cb3UMAS</t>
  </si>
  <si>
    <t>IDR-01286</t>
  </si>
  <si>
    <t>a1LDm000000Cb3TMAS</t>
  </si>
  <si>
    <t>IDR-01285</t>
  </si>
  <si>
    <t>a1LDm000000Cb3SMAS</t>
  </si>
  <si>
    <t>IDR-01284</t>
  </si>
  <si>
    <t>a1LDm000000Cb3RMAS</t>
  </si>
  <si>
    <t>IDR-01283</t>
  </si>
  <si>
    <t>a1LDm000000Cb3QMAS</t>
  </si>
  <si>
    <t>IDR-01282</t>
  </si>
  <si>
    <t>a1LDm000000Cb3WMAS</t>
  </si>
  <si>
    <t>IDR-01288</t>
  </si>
  <si>
    <t>a1LDm000000Cb3VMAS</t>
  </si>
  <si>
    <t>IDR-01287</t>
  </si>
  <si>
    <t>a1LDm000000Cb3aMAC</t>
  </si>
  <si>
    <t>IDR-01292</t>
  </si>
  <si>
    <t>a1LDm000000Cb3ZMAS</t>
  </si>
  <si>
    <t>IDR-01291</t>
  </si>
  <si>
    <t>a1LDm000000Cb3YMAS</t>
  </si>
  <si>
    <t>IDR-01290</t>
  </si>
  <si>
    <t>a1LDm000000Cb3XMAS</t>
  </si>
  <si>
    <t>IDR-01289</t>
  </si>
  <si>
    <t>a1LDm000000Cb3eMAC</t>
  </si>
  <si>
    <t>IDR-01296</t>
  </si>
  <si>
    <t>a1LDm000000Cb3dMAC</t>
  </si>
  <si>
    <t>IDR-01295</t>
  </si>
  <si>
    <t>a1LDm000000Cb3cMAC</t>
  </si>
  <si>
    <t>IDR-01294</t>
  </si>
  <si>
    <t>a1LDm000000Cb3bMAC</t>
  </si>
  <si>
    <t>IDR-01293</t>
  </si>
  <si>
    <t>a1LDm000000Cb1XMAS</t>
  </si>
  <si>
    <t>IDR-01165</t>
  </si>
  <si>
    <t>a1LDm000000Cb1WMAS</t>
  </si>
  <si>
    <t>IDR-01164</t>
  </si>
  <si>
    <t>a1LDm000000Cb1VMAS</t>
  </si>
  <si>
    <t>IDR-01163</t>
  </si>
  <si>
    <t>a1LDm000000Cb1dMAC</t>
  </si>
  <si>
    <t>IDR-01171</t>
  </si>
  <si>
    <t>a1LDm000000Cb1cMAC</t>
  </si>
  <si>
    <t>IDR-01170</t>
  </si>
  <si>
    <t>a1LDm000000Cb1bMAC</t>
  </si>
  <si>
    <t>IDR-01169</t>
  </si>
  <si>
    <t>a1LDm000000Cb1aMAC</t>
  </si>
  <si>
    <t>IDR-01168</t>
  </si>
  <si>
    <t>a1LDm000000Cb1ZMAS</t>
  </si>
  <si>
    <t>IDR-01167</t>
  </si>
  <si>
    <t>a1LDm000000Cb1YMAS</t>
  </si>
  <si>
    <t>IDR-01166</t>
  </si>
  <si>
    <t>a1LDm000000Cb1iMAC</t>
  </si>
  <si>
    <t>IDR-01176</t>
  </si>
  <si>
    <t>a1LDm000000Cb1hMAC</t>
  </si>
  <si>
    <t>IDR-01175</t>
  </si>
  <si>
    <t>a1LDm000000Cb1gMAC</t>
  </si>
  <si>
    <t>IDR-01174</t>
  </si>
  <si>
    <t>a1LDm000000Cb1fMAC</t>
  </si>
  <si>
    <t>IDR-01173</t>
  </si>
  <si>
    <t>a1LDm000000Cb1eMAC</t>
  </si>
  <si>
    <t>IDR-01172</t>
  </si>
  <si>
    <t>Two stars</t>
  </si>
  <si>
    <t>a1LDm000000Cb6hMAC</t>
  </si>
  <si>
    <t>IDR-01485</t>
  </si>
  <si>
    <t>Four stars</t>
  </si>
  <si>
    <t>a1LDm000000Cb6gMAC</t>
  </si>
  <si>
    <t>IDR-01484</t>
  </si>
  <si>
    <t>Other</t>
  </si>
  <si>
    <t>a1LDm000000Cb6lMAC</t>
  </si>
  <si>
    <t>IDR-01489</t>
  </si>
  <si>
    <t>a1LDm000000Cb6kMAC</t>
  </si>
  <si>
    <t>IDR-01488</t>
  </si>
  <si>
    <t>a1LDm000000Cb6jMAC</t>
  </si>
  <si>
    <t>IDR-01487</t>
  </si>
  <si>
    <t>a1LDm000000Cb6iMAC</t>
  </si>
  <si>
    <t>IDR-01486</t>
  </si>
  <si>
    <t>Oxygen administration</t>
  </si>
  <si>
    <t>a1LDm000000Cb6nMAC</t>
  </si>
  <si>
    <t>IDR-01491</t>
  </si>
  <si>
    <t>Measure of blood oxygen saturation (pulse oximeter)</t>
  </si>
  <si>
    <t>a1LDm000000Cb6mMAC</t>
  </si>
  <si>
    <t>IDR-01490</t>
  </si>
  <si>
    <t>a1LDm000000Cb4PMAS</t>
  </si>
  <si>
    <t>IDR-01343</t>
  </si>
  <si>
    <t>a1LDm000000Cb4OMAS</t>
  </si>
  <si>
    <t>IDR-01342</t>
  </si>
  <si>
    <t>a1LDm000000Cb4NMAS</t>
  </si>
  <si>
    <t>IDR-01341</t>
  </si>
  <si>
    <t>a1LDm000000Cb4MMAS</t>
  </si>
  <si>
    <t>IDR-01340</t>
  </si>
  <si>
    <t>a1LDm000000Cb4LMAS</t>
  </si>
  <si>
    <t>IDR-01339</t>
  </si>
  <si>
    <t>a1LDm000000Cb4KMAS</t>
  </si>
  <si>
    <t>IDR-01338</t>
  </si>
  <si>
    <t>a1LDm000000Cb4JMAS</t>
  </si>
  <si>
    <t>IDR-01337</t>
  </si>
  <si>
    <t>a1LDm000000Cb4IMAS</t>
  </si>
  <si>
    <t>IDR-01336</t>
  </si>
  <si>
    <t>a1LDm000000Cb4HMAS</t>
  </si>
  <si>
    <t>IDR-01335</t>
  </si>
  <si>
    <t>a1LDm000000Cb4GMAS</t>
  </si>
  <si>
    <t>IDR-01334</t>
  </si>
  <si>
    <t>a1LDm000000Cb4FMAS</t>
  </si>
  <si>
    <t>IDR-01333</t>
  </si>
  <si>
    <t>a1LDm000000Cb4EMAS</t>
  </si>
  <si>
    <t>IDR-01332</t>
  </si>
  <si>
    <t>a1LDm000000Cb4DMAS</t>
  </si>
  <si>
    <t>IDR-01331</t>
  </si>
  <si>
    <t>a1LDm000000Cb2rMAC</t>
  </si>
  <si>
    <t>IDR-01247</t>
  </si>
  <si>
    <t>a1LDm000000Cb2qMAC</t>
  </si>
  <si>
    <t>IDR-01246</t>
  </si>
  <si>
    <t>a1LDm000000Cb2wMAC</t>
  </si>
  <si>
    <t>IDR-01252</t>
  </si>
  <si>
    <t>a1LDm000000Cb2vMAC</t>
  </si>
  <si>
    <t>IDR-01251</t>
  </si>
  <si>
    <t>a1LDm000000Cb2uMAC</t>
  </si>
  <si>
    <t>IDR-01250</t>
  </si>
  <si>
    <t>a1LDm000000Cb2tMAC</t>
  </si>
  <si>
    <t>IDR-01249</t>
  </si>
  <si>
    <t>a1LDm000000Cb2sMAC</t>
  </si>
  <si>
    <t>IDR-01248</t>
  </si>
  <si>
    <t>a1LDm000000Cb30MAC</t>
  </si>
  <si>
    <t>IDR-01256</t>
  </si>
  <si>
    <t>a1LDm000000Cb2zMAC</t>
  </si>
  <si>
    <t>IDR-01255</t>
  </si>
  <si>
    <t>a1LDm000000Cb2yMAC</t>
  </si>
  <si>
    <t>IDR-01254</t>
  </si>
  <si>
    <t>a1LDm000000Cb2xMAC</t>
  </si>
  <si>
    <t>IDR-01253</t>
  </si>
  <si>
    <t>a1LDm000000Cb33MAC</t>
  </si>
  <si>
    <t>IDR-01259</t>
  </si>
  <si>
    <t>a1LDm000000Cb32MAC</t>
  </si>
  <si>
    <t>IDR-01258</t>
  </si>
  <si>
    <t>a1LDm000000Cb31MAC</t>
  </si>
  <si>
    <t>IDR-01257</t>
  </si>
  <si>
    <t>Impact Disaggregation</t>
  </si>
  <si>
    <t>Impact Disaggregation ID</t>
  </si>
  <si>
    <t>Concatenation</t>
  </si>
  <si>
    <t>Baseline Value</t>
  </si>
  <si>
    <t>[Impact Disaggregation ID]</t>
  </si>
  <si>
    <t>[Impact Indicator ID (Name)]</t>
  </si>
  <si>
    <t>[Baseline Value]</t>
  </si>
  <si>
    <t>[Baseline Year]</t>
  </si>
  <si>
    <t>[Baseline Source]</t>
  </si>
  <si>
    <t>[Comments]</t>
  </si>
  <si>
    <t>[Baseline D#]</t>
  </si>
  <si>
    <t>[Baseline N#]</t>
  </si>
  <si>
    <t>[Baseline %]</t>
  </si>
  <si>
    <t>ID-607210</t>
  </si>
  <si>
    <t>ID-607211</t>
  </si>
  <si>
    <t>ID-607212</t>
  </si>
  <si>
    <t>ID-607213</t>
  </si>
  <si>
    <t>ID-607214</t>
  </si>
  <si>
    <t>ID-607215</t>
  </si>
  <si>
    <t>ID-607216</t>
  </si>
  <si>
    <t>ID-607217</t>
  </si>
  <si>
    <t>ID-607218</t>
  </si>
  <si>
    <t>ID-607219</t>
  </si>
  <si>
    <t>ID-607220</t>
  </si>
  <si>
    <t>ID-607221</t>
  </si>
  <si>
    <t>ID-607222</t>
  </si>
  <si>
    <t>ID-607223</t>
  </si>
  <si>
    <t>ID-607224</t>
  </si>
  <si>
    <t>ID-607225</t>
  </si>
  <si>
    <t>ID-607226</t>
  </si>
  <si>
    <t>ID-607227</t>
  </si>
  <si>
    <t>ID-607228</t>
  </si>
  <si>
    <t>ID-607229</t>
  </si>
  <si>
    <t>ID-607230</t>
  </si>
  <si>
    <t>ID-607231</t>
  </si>
  <si>
    <t>ID-607232</t>
  </si>
  <si>
    <t>ID-607233</t>
  </si>
  <si>
    <t>ID-607234</t>
  </si>
  <si>
    <t>ID-607235</t>
  </si>
  <si>
    <t>ID-607236</t>
  </si>
  <si>
    <t>ID-607237</t>
  </si>
  <si>
    <t>ID-607238</t>
  </si>
  <si>
    <t>ID-607239</t>
  </si>
  <si>
    <t>ID-607240</t>
  </si>
  <si>
    <t>ID-607241</t>
  </si>
  <si>
    <t>ID-607242</t>
  </si>
  <si>
    <t>ID-607243</t>
  </si>
  <si>
    <t>ID-607244</t>
  </si>
  <si>
    <t>ID-607245</t>
  </si>
  <si>
    <t>ID-607246</t>
  </si>
  <si>
    <t>ID-607247</t>
  </si>
  <si>
    <t>ID-607248</t>
  </si>
  <si>
    <t>ID-607249</t>
  </si>
  <si>
    <t>ID-607250</t>
  </si>
  <si>
    <t>ID-607251</t>
  </si>
  <si>
    <t>ID-607252</t>
  </si>
  <si>
    <t>ID-607253</t>
  </si>
  <si>
    <t>ID-607254</t>
  </si>
  <si>
    <t>ID-607255</t>
  </si>
  <si>
    <t>ID-607256</t>
  </si>
  <si>
    <t>ID-607257</t>
  </si>
  <si>
    <t>ID-607258</t>
  </si>
  <si>
    <t>ID-607259</t>
  </si>
  <si>
    <t>ID-607260</t>
  </si>
  <si>
    <t>ID-607261</t>
  </si>
  <si>
    <t>ID-607262</t>
  </si>
  <si>
    <t>ID-607263</t>
  </si>
  <si>
    <t>ID-607264</t>
  </si>
  <si>
    <t>ID-607265</t>
  </si>
  <si>
    <t>ID-607266</t>
  </si>
  <si>
    <t>ID-607267</t>
  </si>
  <si>
    <t>ID-607268</t>
  </si>
  <si>
    <t>ID-607269</t>
  </si>
  <si>
    <t>ID-607270</t>
  </si>
  <si>
    <t>ID-607271</t>
  </si>
  <si>
    <t>ID-607272</t>
  </si>
  <si>
    <t>ID-607273</t>
  </si>
  <si>
    <t>ID-607274</t>
  </si>
  <si>
    <t>ID-607275</t>
  </si>
  <si>
    <t>ID-607276</t>
  </si>
  <si>
    <t>ID-607277</t>
  </si>
  <si>
    <t>ID-607278</t>
  </si>
  <si>
    <t>ID-607279</t>
  </si>
  <si>
    <t>ID-607280</t>
  </si>
  <si>
    <t>ID-607281</t>
  </si>
  <si>
    <t>ID-607282</t>
  </si>
  <si>
    <t>ID-607283</t>
  </si>
  <si>
    <t>ID-607284</t>
  </si>
  <si>
    <t>ID-607285</t>
  </si>
  <si>
    <t>ID-607286</t>
  </si>
  <si>
    <t>ID-607287</t>
  </si>
  <si>
    <t>ID-607288</t>
  </si>
  <si>
    <t>ID-607289</t>
  </si>
  <si>
    <t>ID-607290</t>
  </si>
  <si>
    <t>ID-607291</t>
  </si>
  <si>
    <t>ID-607292</t>
  </si>
  <si>
    <t>ID-607293</t>
  </si>
  <si>
    <t>ID-607294</t>
  </si>
  <si>
    <t>ID-607295</t>
  </si>
  <si>
    <t>ID-607296</t>
  </si>
  <si>
    <t>ID-607297</t>
  </si>
  <si>
    <t>ID-607298</t>
  </si>
  <si>
    <t>ID-607299</t>
  </si>
  <si>
    <t>ID-607300</t>
  </si>
  <si>
    <t>ID-607301</t>
  </si>
  <si>
    <t>ID-607302</t>
  </si>
  <si>
    <t>ID-607303</t>
  </si>
  <si>
    <t>ID-607304</t>
  </si>
  <si>
    <t>ID-607305</t>
  </si>
  <si>
    <t>ID-607306</t>
  </si>
  <si>
    <t>ID-607307</t>
  </si>
  <si>
    <t>ID-607308</t>
  </si>
  <si>
    <t>ID-607309</t>
  </si>
  <si>
    <t>ID-607310</t>
  </si>
  <si>
    <t>ID-607311</t>
  </si>
  <si>
    <t>ID-607312</t>
  </si>
  <si>
    <t>ID-607313</t>
  </si>
  <si>
    <t>ID-607314</t>
  </si>
  <si>
    <t>ID-607315</t>
  </si>
  <si>
    <t>ID-607316</t>
  </si>
  <si>
    <t>ID-607317</t>
  </si>
  <si>
    <t>ID-607318</t>
  </si>
  <si>
    <t>ID-607319</t>
  </si>
  <si>
    <t>ID-607320</t>
  </si>
  <si>
    <t>ID-607321</t>
  </si>
  <si>
    <t>ID-607322</t>
  </si>
  <si>
    <t>ID-607323</t>
  </si>
  <si>
    <t>ID-607324</t>
  </si>
  <si>
    <t>ID-607325</t>
  </si>
  <si>
    <t>ID-607326</t>
  </si>
  <si>
    <t>ID-607327</t>
  </si>
  <si>
    <t>ID-607328</t>
  </si>
  <si>
    <t>ID-607329</t>
  </si>
  <si>
    <t>ID-607330</t>
  </si>
  <si>
    <t>ID-607331</t>
  </si>
  <si>
    <t>ID-607332</t>
  </si>
  <si>
    <t>ID-607333</t>
  </si>
  <si>
    <t>ID-607334</t>
  </si>
  <si>
    <t>ID-607335</t>
  </si>
  <si>
    <t>ID-607336</t>
  </si>
  <si>
    <t>ID-607337</t>
  </si>
  <si>
    <t>ID-607338</t>
  </si>
  <si>
    <t>ID-607339</t>
  </si>
  <si>
    <t>ID-607340</t>
  </si>
  <si>
    <t>ID-607341</t>
  </si>
  <si>
    <t>ID-607342</t>
  </si>
  <si>
    <t>ID-607343</t>
  </si>
  <si>
    <t>ID-607344</t>
  </si>
  <si>
    <t>ID-607345</t>
  </si>
  <si>
    <t>ID-607346</t>
  </si>
  <si>
    <t>ID-607347</t>
  </si>
  <si>
    <t>ID-607348</t>
  </si>
  <si>
    <t>ID-607349</t>
  </si>
  <si>
    <t>ID-607350</t>
  </si>
  <si>
    <t>ID-607351</t>
  </si>
  <si>
    <t>ID-607352</t>
  </si>
  <si>
    <t>ID-607353</t>
  </si>
  <si>
    <t>ID-607354</t>
  </si>
  <si>
    <t>ID-607355</t>
  </si>
  <si>
    <t>ID-607356</t>
  </si>
  <si>
    <t>ID-607357</t>
  </si>
  <si>
    <t>ID-607358</t>
  </si>
  <si>
    <t>ID-607359</t>
  </si>
  <si>
    <t>Outcome Disaggregation</t>
  </si>
  <si>
    <t>Outcome Disaggregation ID</t>
  </si>
  <si>
    <t>[Outcome Disaggregation ID]</t>
  </si>
  <si>
    <t>[Outcome Indicator ID (Name)]</t>
  </si>
  <si>
    <t>ODN-601114</t>
  </si>
  <si>
    <t>ODN-601115</t>
  </si>
  <si>
    <t>ODN-601116</t>
  </si>
  <si>
    <t>ODN-601117</t>
  </si>
  <si>
    <t>ODN-601118</t>
  </si>
  <si>
    <t>ODN-601119</t>
  </si>
  <si>
    <t>ODN-601120</t>
  </si>
  <si>
    <t>ODN-601121</t>
  </si>
  <si>
    <t>ODN-601122</t>
  </si>
  <si>
    <t>ODN-601123</t>
  </si>
  <si>
    <t>ODN-601124</t>
  </si>
  <si>
    <t>ODN-601125</t>
  </si>
  <si>
    <t>ODN-601126</t>
  </si>
  <si>
    <t>ODN-601127</t>
  </si>
  <si>
    <t>ODN-601128</t>
  </si>
  <si>
    <t>ODN-601129</t>
  </si>
  <si>
    <t>ODN-601130</t>
  </si>
  <si>
    <t>ODN-601131</t>
  </si>
  <si>
    <t>ODN-601132</t>
  </si>
  <si>
    <t>ODN-601133</t>
  </si>
  <si>
    <t>ODN-601134</t>
  </si>
  <si>
    <t>ODN-601135</t>
  </si>
  <si>
    <t>ODN-601136</t>
  </si>
  <si>
    <t>ODN-601137</t>
  </si>
  <si>
    <t>ODN-601138</t>
  </si>
  <si>
    <t>ODN-601139</t>
  </si>
  <si>
    <t>ODN-601140</t>
  </si>
  <si>
    <t>ODN-601141</t>
  </si>
  <si>
    <t>ODN-601142</t>
  </si>
  <si>
    <t>ODN-601143</t>
  </si>
  <si>
    <t>ODN-601144</t>
  </si>
  <si>
    <t>ODN-601145</t>
  </si>
  <si>
    <t>ODN-601146</t>
  </si>
  <si>
    <t>ODN-601147</t>
  </si>
  <si>
    <t>ODN-601148</t>
  </si>
  <si>
    <t>ODN-601149</t>
  </si>
  <si>
    <t>ODN-601150</t>
  </si>
  <si>
    <t>ODN-601151</t>
  </si>
  <si>
    <t>ODN-601152</t>
  </si>
  <si>
    <t>ODN-601153</t>
  </si>
  <si>
    <t>ODN-601154</t>
  </si>
  <si>
    <t>ODN-601155</t>
  </si>
  <si>
    <t>ODN-601156</t>
  </si>
  <si>
    <t>ODN-601157</t>
  </si>
  <si>
    <t>ODN-601158</t>
  </si>
  <si>
    <t>ODN-601159</t>
  </si>
  <si>
    <t>ODN-601160</t>
  </si>
  <si>
    <t>ODN-601161</t>
  </si>
  <si>
    <t>ODN-601162</t>
  </si>
  <si>
    <t>ODN-601163</t>
  </si>
  <si>
    <t>ODN-601164</t>
  </si>
  <si>
    <t>ODN-601165</t>
  </si>
  <si>
    <t>ODN-601166</t>
  </si>
  <si>
    <t>ODN-601167</t>
  </si>
  <si>
    <t>ODN-601168</t>
  </si>
  <si>
    <t>ODN-601169</t>
  </si>
  <si>
    <t>ODN-601170</t>
  </si>
  <si>
    <t>ODN-601171</t>
  </si>
  <si>
    <t>ODN-601172</t>
  </si>
  <si>
    <t>ODN-601173</t>
  </si>
  <si>
    <t>ODN-601174</t>
  </si>
  <si>
    <t>ODN-601175</t>
  </si>
  <si>
    <t>ODN-601176</t>
  </si>
  <si>
    <t>ODN-601177</t>
  </si>
  <si>
    <t>ODN-601178</t>
  </si>
  <si>
    <t>ODN-601179</t>
  </si>
  <si>
    <t>ODN-601180</t>
  </si>
  <si>
    <t>ODN-601181</t>
  </si>
  <si>
    <t>ODN-601182</t>
  </si>
  <si>
    <t>ODN-601183</t>
  </si>
  <si>
    <t>ODN-601184</t>
  </si>
  <si>
    <t>ODN-601185</t>
  </si>
  <si>
    <t>ODN-601186</t>
  </si>
  <si>
    <t>ODN-601187</t>
  </si>
  <si>
    <t>ODN-601188</t>
  </si>
  <si>
    <t>ODN-601189</t>
  </si>
  <si>
    <t>ODN-601190</t>
  </si>
  <si>
    <t>ODN-601191</t>
  </si>
  <si>
    <t>ODN-601192</t>
  </si>
  <si>
    <t>ODN-601193</t>
  </si>
  <si>
    <t>ODN-601194</t>
  </si>
  <si>
    <t>ODN-601195</t>
  </si>
  <si>
    <t>ODN-601196</t>
  </si>
  <si>
    <t>ODN-601197</t>
  </si>
  <si>
    <t>ODN-601198</t>
  </si>
  <si>
    <t>ODN-601199</t>
  </si>
  <si>
    <t>ODN-601200</t>
  </si>
  <si>
    <t>ODN-601201</t>
  </si>
  <si>
    <t>ODN-601202</t>
  </si>
  <si>
    <t>ODN-601203</t>
  </si>
  <si>
    <t>ODN-601204</t>
  </si>
  <si>
    <t>ODN-601205</t>
  </si>
  <si>
    <t>ODN-601206</t>
  </si>
  <si>
    <t>ODN-601207</t>
  </si>
  <si>
    <t>ODN-601208</t>
  </si>
  <si>
    <t>ODN-601209</t>
  </si>
  <si>
    <t>ODN-601210</t>
  </si>
  <si>
    <t>ODN-601211</t>
  </si>
  <si>
    <t>ODN-601212</t>
  </si>
  <si>
    <t>ODN-601213</t>
  </si>
  <si>
    <t>ODN-601214</t>
  </si>
  <si>
    <t>ODN-601215</t>
  </si>
  <si>
    <t>ODN-601216</t>
  </si>
  <si>
    <t>ODN-601217</t>
  </si>
  <si>
    <t>ODN-601218</t>
  </si>
  <si>
    <t>ODN-601219</t>
  </si>
  <si>
    <t>ODN-601220</t>
  </si>
  <si>
    <t>ODN-601221</t>
  </si>
  <si>
    <t>ODN-601222</t>
  </si>
  <si>
    <t>ODN-601223</t>
  </si>
  <si>
    <t>ODN-601224</t>
  </si>
  <si>
    <t>ODN-601225</t>
  </si>
  <si>
    <t>ODN-601226</t>
  </si>
  <si>
    <t>ODN-601227</t>
  </si>
  <si>
    <t>ODN-601228</t>
  </si>
  <si>
    <t>ODN-601229</t>
  </si>
  <si>
    <t>ODN-601230</t>
  </si>
  <si>
    <t>ODN-601231</t>
  </si>
  <si>
    <t>ODN-601232</t>
  </si>
  <si>
    <t>ODN-601233</t>
  </si>
  <si>
    <t>ODN-601234</t>
  </si>
  <si>
    <t>ODN-601235</t>
  </si>
  <si>
    <t>ODN-601236</t>
  </si>
  <si>
    <t>ODN-601237</t>
  </si>
  <si>
    <t>ODN-601238</t>
  </si>
  <si>
    <t>ODN-601239</t>
  </si>
  <si>
    <t>ODN-601240</t>
  </si>
  <si>
    <t>ODN-601241</t>
  </si>
  <si>
    <t>ODN-601242</t>
  </si>
  <si>
    <t>ODN-601243</t>
  </si>
  <si>
    <t>ODN-601244</t>
  </si>
  <si>
    <t>ODN-601245</t>
  </si>
  <si>
    <t>ODN-601246</t>
  </si>
  <si>
    <t>ODN-601247</t>
  </si>
  <si>
    <t>ODN-601248</t>
  </si>
  <si>
    <t>ODN-601249</t>
  </si>
  <si>
    <t>ODN-601250</t>
  </si>
  <si>
    <t>ODN-601251</t>
  </si>
  <si>
    <t>ODN-601252</t>
  </si>
  <si>
    <t>ODN-601253</t>
  </si>
  <si>
    <t>ODN-601254</t>
  </si>
  <si>
    <t>ODN-601255</t>
  </si>
  <si>
    <t>ODN-601256</t>
  </si>
  <si>
    <t>ODN-601257</t>
  </si>
  <si>
    <t>ODN-601258</t>
  </si>
  <si>
    <t>ODN-601259</t>
  </si>
  <si>
    <t>ODN-601260</t>
  </si>
  <si>
    <t>ODN-601261</t>
  </si>
  <si>
    <t>ODN-601262</t>
  </si>
  <si>
    <t>ODN-601263</t>
  </si>
  <si>
    <t>Coverage Disaggregation</t>
  </si>
  <si>
    <t>Coverage Disaggregation ID</t>
  </si>
  <si>
    <t>[Coverage Disaggregation ID]</t>
  </si>
  <si>
    <t>[Coverage Indicator (Name)]</t>
  </si>
  <si>
    <t>[Year]</t>
  </si>
  <si>
    <t>CD-1880189</t>
  </si>
  <si>
    <t>CD-1880190</t>
  </si>
  <si>
    <t>CD-1880191</t>
  </si>
  <si>
    <t>CD-1880192</t>
  </si>
  <si>
    <t>CD-1880193</t>
  </si>
  <si>
    <t>CD-1880194</t>
  </si>
  <si>
    <t>CD-1880195</t>
  </si>
  <si>
    <t>CD-1880196</t>
  </si>
  <si>
    <t>CD-1880197</t>
  </si>
  <si>
    <t>CD-1880198</t>
  </si>
  <si>
    <t>CD-1880199</t>
  </si>
  <si>
    <t>CD-1880200</t>
  </si>
  <si>
    <t>CD-1880201</t>
  </si>
  <si>
    <t>CD-1880202</t>
  </si>
  <si>
    <t>CD-1880203</t>
  </si>
  <si>
    <t>CD-1880204</t>
  </si>
  <si>
    <t>CD-1880205</t>
  </si>
  <si>
    <t>CD-1880206</t>
  </si>
  <si>
    <t>CD-1880207</t>
  </si>
  <si>
    <t>CD-1880208</t>
  </si>
  <si>
    <t>CD-1880209</t>
  </si>
  <si>
    <t>CD-1880210</t>
  </si>
  <si>
    <t>CD-1880211</t>
  </si>
  <si>
    <t>CD-1880212</t>
  </si>
  <si>
    <t>CD-1880213</t>
  </si>
  <si>
    <t>CD-1880214</t>
  </si>
  <si>
    <t>CD-1880215</t>
  </si>
  <si>
    <t>CD-1880216</t>
  </si>
  <si>
    <t>CD-1880217</t>
  </si>
  <si>
    <t>CD-1880218</t>
  </si>
  <si>
    <t>CD-1880219</t>
  </si>
  <si>
    <t>CD-1880220</t>
  </si>
  <si>
    <t>CD-1880221</t>
  </si>
  <si>
    <t>CD-1880222</t>
  </si>
  <si>
    <t>CD-1880223</t>
  </si>
  <si>
    <t>CD-1880224</t>
  </si>
  <si>
    <t>CD-1880225</t>
  </si>
  <si>
    <t>CD-1880226</t>
  </si>
  <si>
    <t>CD-1880227</t>
  </si>
  <si>
    <t>CD-1880228</t>
  </si>
  <si>
    <t>CD-1880229</t>
  </si>
  <si>
    <t>CD-1880230</t>
  </si>
  <si>
    <t>CD-1880231</t>
  </si>
  <si>
    <t>CD-1880232</t>
  </si>
  <si>
    <t>CD-1880233</t>
  </si>
  <si>
    <t>CD-1880234</t>
  </si>
  <si>
    <t>CD-1880235</t>
  </si>
  <si>
    <t>CD-1880236</t>
  </si>
  <si>
    <t>CD-1880237</t>
  </si>
  <si>
    <t>CD-1880238</t>
  </si>
  <si>
    <t>CD-1880239</t>
  </si>
  <si>
    <t>CD-1880240</t>
  </si>
  <si>
    <t>CD-1880241</t>
  </si>
  <si>
    <t>CD-1880242</t>
  </si>
  <si>
    <t>CD-1880243</t>
  </si>
  <si>
    <t>CD-1880244</t>
  </si>
  <si>
    <t>CD-1880245</t>
  </si>
  <si>
    <t>CD-1880246</t>
  </si>
  <si>
    <t>CD-1880247</t>
  </si>
  <si>
    <t>CD-1880248</t>
  </si>
  <si>
    <t>CD-1880249</t>
  </si>
  <si>
    <t>CD-1880250</t>
  </si>
  <si>
    <t>CD-1880251</t>
  </si>
  <si>
    <t>CD-1880252</t>
  </si>
  <si>
    <t>CD-1880253</t>
  </si>
  <si>
    <t>CD-1880254</t>
  </si>
  <si>
    <t>CD-1880255</t>
  </si>
  <si>
    <t>CD-1880256</t>
  </si>
  <si>
    <t>CD-1880257</t>
  </si>
  <si>
    <t>CD-1880258</t>
  </si>
  <si>
    <t>CD-1880259</t>
  </si>
  <si>
    <t>CD-1880260</t>
  </si>
  <si>
    <t>CD-1880261</t>
  </si>
  <si>
    <t>CD-1880262</t>
  </si>
  <si>
    <t>CD-1880263</t>
  </si>
  <si>
    <t>CD-1880264</t>
  </si>
  <si>
    <t>CD-1880265</t>
  </si>
  <si>
    <t>CD-1880266</t>
  </si>
  <si>
    <t>CD-1880267</t>
  </si>
  <si>
    <t>CD-1880268</t>
  </si>
  <si>
    <t>CD-1880269</t>
  </si>
  <si>
    <t>CD-1880270</t>
  </si>
  <si>
    <t>CD-1880271</t>
  </si>
  <si>
    <t>CD-1880272</t>
  </si>
  <si>
    <t>CD-1880273</t>
  </si>
  <si>
    <t>CD-1880274</t>
  </si>
  <si>
    <t>CD-1880275</t>
  </si>
  <si>
    <t>CD-1880276</t>
  </si>
  <si>
    <t>CD-1880277</t>
  </si>
  <si>
    <t>CD-1880278</t>
  </si>
  <si>
    <t>CD-1880279</t>
  </si>
  <si>
    <t>CD-1880280</t>
  </si>
  <si>
    <t>CD-1880281</t>
  </si>
  <si>
    <t>CD-1880282</t>
  </si>
  <si>
    <t>CD-1880283</t>
  </si>
  <si>
    <t>CD-1880284</t>
  </si>
  <si>
    <t>CD-1880285</t>
  </si>
  <si>
    <t>CD-1880286</t>
  </si>
  <si>
    <t>CD-1880287</t>
  </si>
  <si>
    <t>CD-1880288</t>
  </si>
  <si>
    <t>CD-1880289</t>
  </si>
  <si>
    <t>CD-1880290</t>
  </si>
  <si>
    <t>CD-1880291</t>
  </si>
  <si>
    <t>CD-1880292</t>
  </si>
  <si>
    <t>CD-1880293</t>
  </si>
  <si>
    <t>CD-1880294</t>
  </si>
  <si>
    <t>CD-1880295</t>
  </si>
  <si>
    <t>CD-1880296</t>
  </si>
  <si>
    <t>CD-1880297</t>
  </si>
  <si>
    <t>CD-1880298</t>
  </si>
  <si>
    <t>CD-1880299</t>
  </si>
  <si>
    <t>CD-1880300</t>
  </si>
  <si>
    <t>CD-1880301</t>
  </si>
  <si>
    <t>CD-1880302</t>
  </si>
  <si>
    <t>CD-1880303</t>
  </si>
  <si>
    <t>CD-1880304</t>
  </si>
  <si>
    <t>CD-1880305</t>
  </si>
  <si>
    <t>CD-1880306</t>
  </si>
  <si>
    <t>CD-1880307</t>
  </si>
  <si>
    <t>CD-1880308</t>
  </si>
  <si>
    <t>CD-1880309</t>
  </si>
  <si>
    <t>CD-1880310</t>
  </si>
  <si>
    <t>CD-1880311</t>
  </si>
  <si>
    <t>CD-1880312</t>
  </si>
  <si>
    <t>CD-1880313</t>
  </si>
  <si>
    <t>CD-1880314</t>
  </si>
  <si>
    <t>CD-1880315</t>
  </si>
  <si>
    <t>CD-1880316</t>
  </si>
  <si>
    <t>CD-1880317</t>
  </si>
  <si>
    <t>CD-1880318</t>
  </si>
  <si>
    <t>CD-1880319</t>
  </si>
  <si>
    <t>CD-1880320</t>
  </si>
  <si>
    <t>CD-1880321</t>
  </si>
  <si>
    <t>CD-1880322</t>
  </si>
  <si>
    <t>CD-1880323</t>
  </si>
  <si>
    <t>CD-1880324</t>
  </si>
  <si>
    <t>CD-1880325</t>
  </si>
  <si>
    <t>CD-1880326</t>
  </si>
  <si>
    <t>CD-1880327</t>
  </si>
  <si>
    <t>CD-1880328</t>
  </si>
  <si>
    <t>CD-1880329</t>
  </si>
  <si>
    <t>CD-1880330</t>
  </si>
  <si>
    <t>CD-1880331</t>
  </si>
  <si>
    <t>CD-1880332</t>
  </si>
  <si>
    <t>CD-1880333</t>
  </si>
  <si>
    <t>CD-1880334</t>
  </si>
  <si>
    <t>CD-1880335</t>
  </si>
  <si>
    <t>CD-1880336</t>
  </si>
  <si>
    <t>CD-1880337</t>
  </si>
  <si>
    <t>CD-1880338</t>
  </si>
  <si>
    <t>CD-1880339</t>
  </si>
  <si>
    <t>CD-1880340</t>
  </si>
  <si>
    <t>CD-1880341</t>
  </si>
  <si>
    <t>CD-1880342</t>
  </si>
  <si>
    <t>CD-1880343</t>
  </si>
  <si>
    <t>CD-1880344</t>
  </si>
  <si>
    <t>CD-1880345</t>
  </si>
  <si>
    <t>CD-1880346</t>
  </si>
  <si>
    <t>CD-1880347</t>
  </si>
  <si>
    <t>CD-1880348</t>
  </si>
  <si>
    <t>CD-1880349</t>
  </si>
  <si>
    <t>CD-1880350</t>
  </si>
  <si>
    <t>CD-1880351</t>
  </si>
  <si>
    <t>CD-1880352</t>
  </si>
  <si>
    <t>CD-1880353</t>
  </si>
  <si>
    <t>CD-1880354</t>
  </si>
  <si>
    <t>CD-1880355</t>
  </si>
  <si>
    <t>CD-1880356</t>
  </si>
  <si>
    <t>CD-1880357</t>
  </si>
  <si>
    <t>CD-1880358</t>
  </si>
  <si>
    <t>CD-1880359</t>
  </si>
  <si>
    <t>CD-1880360</t>
  </si>
  <si>
    <t>CD-1880361</t>
  </si>
  <si>
    <t>CD-1880362</t>
  </si>
  <si>
    <t>CD-1880363</t>
  </si>
  <si>
    <t>CD-1880364</t>
  </si>
  <si>
    <t>CD-1880365</t>
  </si>
  <si>
    <t>CD-1880366</t>
  </si>
  <si>
    <t>CD-1880367</t>
  </si>
  <si>
    <t>CD-1880368</t>
  </si>
  <si>
    <t>CD-1880369</t>
  </si>
  <si>
    <t>CD-1880370</t>
  </si>
  <si>
    <t>CD-1880371</t>
  </si>
  <si>
    <t>CD-1880372</t>
  </si>
  <si>
    <t>CD-1880373</t>
  </si>
  <si>
    <t>CD-1880374</t>
  </si>
  <si>
    <t>CD-1880375</t>
  </si>
  <si>
    <t>CD-1880376</t>
  </si>
  <si>
    <t>CD-1880377</t>
  </si>
  <si>
    <t>CD-1880378</t>
  </si>
  <si>
    <t>CD-1880379</t>
  </si>
  <si>
    <t>CD-1880380</t>
  </si>
  <si>
    <t>CD-1880381</t>
  </si>
  <si>
    <t>CD-1880382</t>
  </si>
  <si>
    <t>CD-1880383</t>
  </si>
  <si>
    <t>CD-1880384</t>
  </si>
  <si>
    <t>CD-1880385</t>
  </si>
  <si>
    <t>CD-1880386</t>
  </si>
  <si>
    <t>CD-1880387</t>
  </si>
  <si>
    <t>CD-1880388</t>
  </si>
  <si>
    <t>CD-1880389</t>
  </si>
  <si>
    <t>CD-1880390</t>
  </si>
  <si>
    <t>CD-1880391</t>
  </si>
  <si>
    <t>CD-1880392</t>
  </si>
  <si>
    <t>CD-1880393</t>
  </si>
  <si>
    <t>CD-1880394</t>
  </si>
  <si>
    <t>CD-1880395</t>
  </si>
  <si>
    <t>CD-1880396</t>
  </si>
  <si>
    <t>CD-1880397</t>
  </si>
  <si>
    <t>CD-1880398</t>
  </si>
  <si>
    <t>CD-1880399</t>
  </si>
  <si>
    <t>CD-1880400</t>
  </si>
  <si>
    <t>CD-1880401</t>
  </si>
  <si>
    <t>CD-1880402</t>
  </si>
  <si>
    <t>CD-1880403</t>
  </si>
  <si>
    <t>CD-1880404</t>
  </si>
  <si>
    <t>CD-1880405</t>
  </si>
  <si>
    <t>CD-1880406</t>
  </si>
  <si>
    <t>CD-1880407</t>
  </si>
  <si>
    <t>CD-1880408</t>
  </si>
  <si>
    <t>CD-1880409</t>
  </si>
  <si>
    <t>CD-1880410</t>
  </si>
  <si>
    <t>CD-1880411</t>
  </si>
  <si>
    <t>CD-1880412</t>
  </si>
  <si>
    <t>CD-1880413</t>
  </si>
  <si>
    <t>CD-1880414</t>
  </si>
  <si>
    <t>CD-1880415</t>
  </si>
  <si>
    <t>CD-1880416</t>
  </si>
  <si>
    <t>CD-1880417</t>
  </si>
  <si>
    <t>CD-1880418</t>
  </si>
  <si>
    <t>CD-1880419</t>
  </si>
  <si>
    <t>CD-1880420</t>
  </si>
  <si>
    <t>CD-1880421</t>
  </si>
  <si>
    <t>CD-1880422</t>
  </si>
  <si>
    <t>CD-1880423</t>
  </si>
  <si>
    <t>CD-1880424</t>
  </si>
  <si>
    <t>CD-1880425</t>
  </si>
  <si>
    <t>CD-1880426</t>
  </si>
  <si>
    <t>CD-1880427</t>
  </si>
  <si>
    <t>CD-1880428</t>
  </si>
  <si>
    <t>CD-1880429</t>
  </si>
  <si>
    <t>CD-1880430</t>
  </si>
  <si>
    <t>CD-1880431</t>
  </si>
  <si>
    <t>CD-1880432</t>
  </si>
  <si>
    <t>CD-1880433</t>
  </si>
  <si>
    <t>CD-1880434</t>
  </si>
  <si>
    <t>CD-1880435</t>
  </si>
  <si>
    <t>CD-1880436</t>
  </si>
  <si>
    <t>CD-1880437</t>
  </si>
  <si>
    <t>CD-1880438</t>
  </si>
  <si>
    <t>CD-1880439</t>
  </si>
  <si>
    <t>CD-1880440</t>
  </si>
  <si>
    <t>CD-1880441</t>
  </si>
  <si>
    <t>CD-1880442</t>
  </si>
  <si>
    <t>CD-1880443</t>
  </si>
  <si>
    <t>CD-1880444</t>
  </si>
  <si>
    <t>CD-1880445</t>
  </si>
  <si>
    <t>CD-1880446</t>
  </si>
  <si>
    <t>CD-1880447</t>
  </si>
  <si>
    <t>CD-1880448</t>
  </si>
  <si>
    <t>CD-1880449</t>
  </si>
  <si>
    <t>CD-1880450</t>
  </si>
  <si>
    <t>CD-1880451</t>
  </si>
  <si>
    <t>CD-1880452</t>
  </si>
  <si>
    <t>CD-1880453</t>
  </si>
  <si>
    <t>CD-1880454</t>
  </si>
  <si>
    <t>CD-1880455</t>
  </si>
  <si>
    <t>CD-1880456</t>
  </si>
  <si>
    <t>CD-1880457</t>
  </si>
  <si>
    <t>CD-1880458</t>
  </si>
  <si>
    <t>CD-1880459</t>
  </si>
  <si>
    <t>CD-1880460</t>
  </si>
  <si>
    <t>CD-1880461</t>
  </si>
  <si>
    <t>CD-1880462</t>
  </si>
  <si>
    <t>CD-1880463</t>
  </si>
  <si>
    <t>CD-1880464</t>
  </si>
  <si>
    <t>CD-1880465</t>
  </si>
  <si>
    <t>CD-1880466</t>
  </si>
  <si>
    <t>CD-1880467</t>
  </si>
  <si>
    <t>CD-1880468</t>
  </si>
  <si>
    <t>CD-1880469</t>
  </si>
  <si>
    <t>CD-1880470</t>
  </si>
  <si>
    <t>CD-1880471</t>
  </si>
  <si>
    <t>CD-1880472</t>
  </si>
  <si>
    <t>CD-1880473</t>
  </si>
  <si>
    <t>CD-1880474</t>
  </si>
  <si>
    <t>CD-1880475</t>
  </si>
  <si>
    <t>CD-1880476</t>
  </si>
  <si>
    <t>CD-1880477</t>
  </si>
  <si>
    <t>CD-1880478</t>
  </si>
  <si>
    <t>CD-1880479</t>
  </si>
  <si>
    <t>CD-1880480</t>
  </si>
  <si>
    <t>CD-1880481</t>
  </si>
  <si>
    <t>CD-1880482</t>
  </si>
  <si>
    <t>CD-1880483</t>
  </si>
  <si>
    <t>CD-1880484</t>
  </si>
  <si>
    <t>CD-1880485</t>
  </si>
  <si>
    <t>CD-1880486</t>
  </si>
  <si>
    <t>CD-1880487</t>
  </si>
  <si>
    <t>CD-1880488</t>
  </si>
  <si>
    <t>CD-1880489</t>
  </si>
  <si>
    <t>CD-1880490</t>
  </si>
  <si>
    <t>CD-1880491</t>
  </si>
  <si>
    <t>CD-1880492</t>
  </si>
  <si>
    <t>CD-1880493</t>
  </si>
  <si>
    <t>CD-1880494</t>
  </si>
  <si>
    <t>CD-1880495</t>
  </si>
  <si>
    <t>CD-1880496</t>
  </si>
  <si>
    <t>CD-1880497</t>
  </si>
  <si>
    <t>CD-1880498</t>
  </si>
  <si>
    <t>CD-1880499</t>
  </si>
  <si>
    <t>CD-1880500</t>
  </si>
  <si>
    <t>CD-1880501</t>
  </si>
  <si>
    <t>CD-1880502</t>
  </si>
  <si>
    <t>CD-1880503</t>
  </si>
  <si>
    <t>CD-1880504</t>
  </si>
  <si>
    <t>CD-1880505</t>
  </si>
  <si>
    <t>CD-1880506</t>
  </si>
  <si>
    <t>CD-1880507</t>
  </si>
  <si>
    <t>CD-1880508</t>
  </si>
  <si>
    <t>CD-1880509</t>
  </si>
  <si>
    <t>CD-1880510</t>
  </si>
  <si>
    <t>CD-1880511</t>
  </si>
  <si>
    <t>CD-1880512</t>
  </si>
  <si>
    <t>CD-1880513</t>
  </si>
  <si>
    <t>CD-1880514</t>
  </si>
  <si>
    <t>CD-1880515</t>
  </si>
  <si>
    <t>CD-1880516</t>
  </si>
  <si>
    <t>CD-1880517</t>
  </si>
  <si>
    <t>CD-1880518</t>
  </si>
  <si>
    <t>CD-1880519</t>
  </si>
  <si>
    <t>CD-1880520</t>
  </si>
  <si>
    <t>CD-1880521</t>
  </si>
  <si>
    <t>CD-1880522</t>
  </si>
  <si>
    <t>CD-1880523</t>
  </si>
  <si>
    <t>CD-1880524</t>
  </si>
  <si>
    <t>CD-1880525</t>
  </si>
  <si>
    <t>CD-1880526</t>
  </si>
  <si>
    <t>CD-1880527</t>
  </si>
  <si>
    <t>CD-1880528</t>
  </si>
  <si>
    <t>CD-1880529</t>
  </si>
  <si>
    <t>CD-1880530</t>
  </si>
  <si>
    <t>CD-1880531</t>
  </si>
  <si>
    <t>CD-1880532</t>
  </si>
  <si>
    <t>CD-1880533</t>
  </si>
  <si>
    <t>CD-1880534</t>
  </si>
  <si>
    <t>CD-1880535</t>
  </si>
  <si>
    <t>CD-1880536</t>
  </si>
  <si>
    <t>CD-1880537</t>
  </si>
  <si>
    <t>CD-1880538</t>
  </si>
  <si>
    <t>CD-1880539</t>
  </si>
  <si>
    <t>CD-1880540</t>
  </si>
  <si>
    <t>CD-1880541</t>
  </si>
  <si>
    <t>CD-1880542</t>
  </si>
  <si>
    <t>CD-1880543</t>
  </si>
  <si>
    <t>CD-1880544</t>
  </si>
  <si>
    <t>CD-1880545</t>
  </si>
  <si>
    <t>CD-1880546</t>
  </si>
  <si>
    <t>CD-1880547</t>
  </si>
  <si>
    <t>CD-1880548</t>
  </si>
  <si>
    <t>CD-1880549</t>
  </si>
  <si>
    <t>CD-1880550</t>
  </si>
  <si>
    <t>CD-1880551</t>
  </si>
  <si>
    <t>CD-1880552</t>
  </si>
  <si>
    <t>CD-1880553</t>
  </si>
  <si>
    <t>CD-1880554</t>
  </si>
  <si>
    <t>CD-1880555</t>
  </si>
  <si>
    <t>CD-1880556</t>
  </si>
  <si>
    <t>CD-1880557</t>
  </si>
  <si>
    <t>CD-1880558</t>
  </si>
  <si>
    <t>CD-1880559</t>
  </si>
  <si>
    <t>CD-1880560</t>
  </si>
  <si>
    <t>CD-1880561</t>
  </si>
  <si>
    <t>CD-1880562</t>
  </si>
  <si>
    <t>CD-1880563</t>
  </si>
  <si>
    <t>CD-1880564</t>
  </si>
  <si>
    <t>CD-1880565</t>
  </si>
  <si>
    <t>CD-1880566</t>
  </si>
  <si>
    <t>CD-1880567</t>
  </si>
  <si>
    <t>CD-1880568</t>
  </si>
  <si>
    <t>CD-1880569</t>
  </si>
  <si>
    <t>CD-1880570</t>
  </si>
  <si>
    <t>CD-1880571</t>
  </si>
  <si>
    <t>CD-1880572</t>
  </si>
  <si>
    <t>CD-1880573</t>
  </si>
  <si>
    <t>CD-1880574</t>
  </si>
  <si>
    <t>CD-1880575</t>
  </si>
  <si>
    <t>CD-1880576</t>
  </si>
  <si>
    <t>CD-1880577</t>
  </si>
  <si>
    <t>CD-1880578</t>
  </si>
  <si>
    <t>CD-1880579</t>
  </si>
  <si>
    <t>CD-1880580</t>
  </si>
  <si>
    <t>CD-1880581</t>
  </si>
  <si>
    <t>CD-1880582</t>
  </si>
  <si>
    <t>CD-1880583</t>
  </si>
  <si>
    <t>CD-1880584</t>
  </si>
  <si>
    <t>CD-1880585</t>
  </si>
  <si>
    <t>CD-1880586</t>
  </si>
  <si>
    <t>CD-1880587</t>
  </si>
  <si>
    <t>CD-1880588</t>
  </si>
  <si>
    <t>CD-1880589</t>
  </si>
  <si>
    <t>CD-1880590</t>
  </si>
  <si>
    <t>CD-1880591</t>
  </si>
  <si>
    <t>CD-1880592</t>
  </si>
  <si>
    <t>CD-1880593</t>
  </si>
  <si>
    <t>CD-1880594</t>
  </si>
  <si>
    <t>CD-1880595</t>
  </si>
  <si>
    <t>CD-1880596</t>
  </si>
  <si>
    <t>CD-1880597</t>
  </si>
  <si>
    <t>CD-1880598</t>
  </si>
  <si>
    <t>CD-1880599</t>
  </si>
  <si>
    <t>CD-1880600</t>
  </si>
  <si>
    <t>CD-1880601</t>
  </si>
  <si>
    <t>CD-1880602</t>
  </si>
  <si>
    <t>CD-1880603</t>
  </si>
  <si>
    <t>CD-1880604</t>
  </si>
  <si>
    <t>CD-1880605</t>
  </si>
  <si>
    <t>CD-1880606</t>
  </si>
  <si>
    <t>CD-1880607</t>
  </si>
  <si>
    <t>CD-1880608</t>
  </si>
  <si>
    <t>CD-1880609</t>
  </si>
  <si>
    <t>CD-1880610</t>
  </si>
  <si>
    <t>CD-1880611</t>
  </si>
  <si>
    <t>CD-1880612</t>
  </si>
  <si>
    <t>CD-1880613</t>
  </si>
  <si>
    <t>CD-1880614</t>
  </si>
  <si>
    <t>CD-1880615</t>
  </si>
  <si>
    <t>CD-1880616</t>
  </si>
  <si>
    <t>CD-1880617</t>
  </si>
  <si>
    <t>CD-1880618</t>
  </si>
  <si>
    <t>CD-1880619</t>
  </si>
  <si>
    <t>CD-1880620</t>
  </si>
  <si>
    <t>CD-1880621</t>
  </si>
  <si>
    <t>CD-1880622</t>
  </si>
  <si>
    <t>CD-1880623</t>
  </si>
  <si>
    <t>CD-1880624</t>
  </si>
  <si>
    <t>CD-1880625</t>
  </si>
  <si>
    <t>CD-1880626</t>
  </si>
  <si>
    <t>CD-1880627</t>
  </si>
  <si>
    <t>CD-1880628</t>
  </si>
  <si>
    <t>CD-1880629</t>
  </si>
  <si>
    <t>CD-1880630</t>
  </si>
  <si>
    <t>CD-1880631</t>
  </si>
  <si>
    <t>CD-1880632</t>
  </si>
  <si>
    <t>CD-1880633</t>
  </si>
  <si>
    <t>CD-1880634</t>
  </si>
  <si>
    <t>CD-1880635</t>
  </si>
  <si>
    <t>CD-1880636</t>
  </si>
  <si>
    <t>CD-1880637</t>
  </si>
  <si>
    <t>CD-1880638</t>
  </si>
  <si>
    <t>CD-1880639</t>
  </si>
  <si>
    <t>CD-1880640</t>
  </si>
  <si>
    <t>CD-1880641</t>
  </si>
  <si>
    <t>CD-1880642</t>
  </si>
  <si>
    <t>CD-1880643</t>
  </si>
  <si>
    <t>CD-1880644</t>
  </si>
  <si>
    <t>CD-1880645</t>
  </si>
  <si>
    <t>CD-1880646</t>
  </si>
  <si>
    <t>CD-1880647</t>
  </si>
  <si>
    <t>CD-1880648</t>
  </si>
  <si>
    <t>CD-1880649</t>
  </si>
  <si>
    <t>CD-1880650</t>
  </si>
  <si>
    <t>CD-1880651</t>
  </si>
  <si>
    <t>CD-1880652</t>
  </si>
  <si>
    <t>CD-1880653</t>
  </si>
  <si>
    <t>CD-1880654</t>
  </si>
  <si>
    <t>CD-1880655</t>
  </si>
  <si>
    <t>CD-1880656</t>
  </si>
  <si>
    <t>CD-1880657</t>
  </si>
  <si>
    <t>CD-1880658</t>
  </si>
  <si>
    <t>CD-1880659</t>
  </si>
  <si>
    <t>CD-1880660</t>
  </si>
  <si>
    <t>CD-1880661</t>
  </si>
  <si>
    <t>CD-1880662</t>
  </si>
  <si>
    <t>CD-1880663</t>
  </si>
  <si>
    <t>CD-1880664</t>
  </si>
  <si>
    <t>CD-1880665</t>
  </si>
  <si>
    <t>CD-1880666</t>
  </si>
  <si>
    <t>CD-1880667</t>
  </si>
  <si>
    <t>CD-1880668</t>
  </si>
  <si>
    <t>CD-1880669</t>
  </si>
  <si>
    <t>CD-1880670</t>
  </si>
  <si>
    <t>CD-1880671</t>
  </si>
  <si>
    <t>CD-1880672</t>
  </si>
  <si>
    <t>CD-1880673</t>
  </si>
  <si>
    <t>CD-1880674</t>
  </si>
  <si>
    <t>CD-1880675</t>
  </si>
  <si>
    <t>CD-1880676</t>
  </si>
  <si>
    <t>CD-1880677</t>
  </si>
  <si>
    <t>CD-1880678</t>
  </si>
  <si>
    <t>CD-1880679</t>
  </si>
  <si>
    <t>CD-1880680</t>
  </si>
  <si>
    <t>CD-1880681</t>
  </si>
  <si>
    <t>CD-1880682</t>
  </si>
  <si>
    <t>CD-1880683</t>
  </si>
  <si>
    <t>CD-1880684</t>
  </si>
  <si>
    <t>CD-1880685</t>
  </si>
  <si>
    <t>CD-1880686</t>
  </si>
  <si>
    <t>CD-1880687</t>
  </si>
  <si>
    <t>CD-1880688</t>
  </si>
  <si>
    <t>CD-1880689</t>
  </si>
  <si>
    <t>CD-1880690</t>
  </si>
  <si>
    <t>CD-1880691</t>
  </si>
  <si>
    <t>CD-1880692</t>
  </si>
  <si>
    <t>CD-1880693</t>
  </si>
  <si>
    <t>CD-1880694</t>
  </si>
  <si>
    <t>CD-1880695</t>
  </si>
  <si>
    <t>CD-1880696</t>
  </si>
  <si>
    <t>CD-1880697</t>
  </si>
  <si>
    <t>CD-1880698</t>
  </si>
  <si>
    <t>CD-1880699</t>
  </si>
  <si>
    <t>CD-1880700</t>
  </si>
  <si>
    <t>CD-1880701</t>
  </si>
  <si>
    <t>CD-1880702</t>
  </si>
  <si>
    <t>CD-1880703</t>
  </si>
  <si>
    <t>CD-1880704</t>
  </si>
  <si>
    <t>CD-1880705</t>
  </si>
  <si>
    <t>CD-1880706</t>
  </si>
  <si>
    <t>CD-1880707</t>
  </si>
  <si>
    <t>CD-1880708</t>
  </si>
  <si>
    <t>CD-1880709</t>
  </si>
  <si>
    <t>CD-1880710</t>
  </si>
  <si>
    <t>CD-1880711</t>
  </si>
  <si>
    <t>CD-1880712</t>
  </si>
  <si>
    <t>CD-1880713</t>
  </si>
  <si>
    <t>CD-1880714</t>
  </si>
  <si>
    <t>CD-1880715</t>
  </si>
  <si>
    <t>CD-1880716</t>
  </si>
  <si>
    <t>CD-1880717</t>
  </si>
  <si>
    <t>CD-1880718</t>
  </si>
  <si>
    <t>CD-1880719</t>
  </si>
  <si>
    <t>CD-1880720</t>
  </si>
  <si>
    <t>CD-1880721</t>
  </si>
  <si>
    <t>CD-1880722</t>
  </si>
  <si>
    <t>CD-1880723</t>
  </si>
  <si>
    <t>CD-1880724</t>
  </si>
  <si>
    <t>CD-1880725</t>
  </si>
  <si>
    <t>CD-1880726</t>
  </si>
  <si>
    <t>CD-1880727</t>
  </si>
  <si>
    <t>CD-1880728</t>
  </si>
  <si>
    <t>CD-1880729</t>
  </si>
  <si>
    <t>CD-1880730</t>
  </si>
  <si>
    <t>CD-1880731</t>
  </si>
  <si>
    <t>CD-1880732</t>
  </si>
  <si>
    <t>CD-1880733</t>
  </si>
  <si>
    <t>CD-1880734</t>
  </si>
  <si>
    <t>CD-1880735</t>
  </si>
  <si>
    <t>CD-1880736</t>
  </si>
  <si>
    <t>CD-1880737</t>
  </si>
  <si>
    <t>CD-1880738</t>
  </si>
  <si>
    <t>CD-1880739</t>
  </si>
  <si>
    <t>CD-1880740</t>
  </si>
  <si>
    <t>CD-1880741</t>
  </si>
  <si>
    <t>CD-1880742</t>
  </si>
  <si>
    <t>CD-1880743</t>
  </si>
  <si>
    <t>CD-1880744</t>
  </si>
  <si>
    <t>CD-1880745</t>
  </si>
  <si>
    <t>CD-1880746</t>
  </si>
  <si>
    <t>CD-1880747</t>
  </si>
  <si>
    <t>CD-1880748</t>
  </si>
  <si>
    <t>CD-1880749</t>
  </si>
  <si>
    <t>CD-1880750</t>
  </si>
  <si>
    <t>CD-1880751</t>
  </si>
  <si>
    <t>CD-1880752</t>
  </si>
  <si>
    <t>CD-1880753</t>
  </si>
  <si>
    <t>CD-1880754</t>
  </si>
  <si>
    <t>CD-1880755</t>
  </si>
  <si>
    <t>CD-1880756</t>
  </si>
  <si>
    <t>CD-1880757</t>
  </si>
  <si>
    <t>CD-1880758</t>
  </si>
  <si>
    <t>CD-1880759</t>
  </si>
  <si>
    <t>CD-1880760</t>
  </si>
  <si>
    <t>CD-1880761</t>
  </si>
  <si>
    <t>CD-1880762</t>
  </si>
  <si>
    <t>CD-1880763</t>
  </si>
  <si>
    <t>CD-1880764</t>
  </si>
  <si>
    <t>CD-1880765</t>
  </si>
  <si>
    <t>CD-1880766</t>
  </si>
  <si>
    <t>CD-1880767</t>
  </si>
  <si>
    <t>CD-1880768</t>
  </si>
  <si>
    <t>CD-1880769</t>
  </si>
  <si>
    <t>CD-1880770</t>
  </si>
  <si>
    <t>CD-1880771</t>
  </si>
  <si>
    <t>CD-1880772</t>
  </si>
  <si>
    <t>CD-1880773</t>
  </si>
  <si>
    <t>CD-1880774</t>
  </si>
  <si>
    <t>CD-1880775</t>
  </si>
  <si>
    <t>CD-1880776</t>
  </si>
  <si>
    <t>CD-1880777</t>
  </si>
  <si>
    <t>CD-1880778</t>
  </si>
  <si>
    <t>CD-1880779</t>
  </si>
  <si>
    <t>CD-1880780</t>
  </si>
  <si>
    <t>CD-1880781</t>
  </si>
  <si>
    <t>CD-1880782</t>
  </si>
  <si>
    <t>CD-1880783</t>
  </si>
  <si>
    <t>CD-1880784</t>
  </si>
  <si>
    <t>CD-1880785</t>
  </si>
  <si>
    <t>CD-1880786</t>
  </si>
  <si>
    <t>CD-1880787</t>
  </si>
  <si>
    <t>CD-1880788</t>
  </si>
  <si>
    <t>Quering Account Role for Single Country</t>
  </si>
  <si>
    <t>Account</t>
  </si>
  <si>
    <t>AR-07593</t>
  </si>
  <si>
    <t>0013600000xoEIwAAM</t>
  </si>
  <si>
    <t>a121R00000MSeIFQA1</t>
  </si>
  <si>
    <t>AR-01028</t>
  </si>
  <si>
    <t>a1236000007WBcRAAW</t>
  </si>
  <si>
    <t>AR-01029</t>
  </si>
  <si>
    <t>a1236000007WBcSAAW</t>
  </si>
  <si>
    <t>AR-01030</t>
  </si>
  <si>
    <t>a1236000007WBcTAAW</t>
  </si>
  <si>
    <t>AR-01618</t>
  </si>
  <si>
    <t>Project HOPE  - the People to People Health Foundation</t>
  </si>
  <si>
    <t>0013600000xoEGGAA2</t>
  </si>
  <si>
    <t>a1236000007WBlxAAG</t>
  </si>
  <si>
    <t>AR-01027</t>
  </si>
  <si>
    <t>a1236000007WBcQAAW</t>
  </si>
  <si>
    <t>AR-04177</t>
  </si>
  <si>
    <t>a1236000009dLx3AAE</t>
  </si>
  <si>
    <t>AR-08389</t>
  </si>
  <si>
    <t>a123p000005V283AAC</t>
  </si>
  <si>
    <t>Querying Account Role for Group of countries</t>
  </si>
  <si>
    <t>AR-07339</t>
  </si>
  <si>
    <t>Kazakh scientific center of dermatology and infectious diseases of the Ministry of Health of the Republic of Kazakhstan</t>
  </si>
  <si>
    <t>0013600000xoEIZAA2</t>
  </si>
  <si>
    <t>AR-01446</t>
  </si>
  <si>
    <t>0013600000xoEKBAA2</t>
  </si>
  <si>
    <t>AR-01444</t>
  </si>
  <si>
    <t>RSE on REU “National Scientific Center of Phthisiopulmonology of the Republic of  Kazakhstan” of the Ministry of Health of the Republic of  Kazakhstan</t>
  </si>
  <si>
    <t>0013600000xoEFqAAM</t>
  </si>
  <si>
    <t>AR-01445</t>
  </si>
  <si>
    <t>AR-02572</t>
  </si>
  <si>
    <t>AR-03357</t>
  </si>
  <si>
    <t>AR-06232</t>
  </si>
  <si>
    <t>AR-10770</t>
  </si>
  <si>
    <t>AR-08148</t>
  </si>
  <si>
    <t>0013600000xoEJ2AAM</t>
  </si>
  <si>
    <t>AR-01617</t>
  </si>
  <si>
    <t>AR-01620</t>
  </si>
  <si>
    <t>Republican Center of Tuberculosis Control - Tajikistan</t>
  </si>
  <si>
    <t>0013600000xoEKeAAM</t>
  </si>
  <si>
    <t>AR-01164</t>
  </si>
  <si>
    <t>AR-01212</t>
  </si>
  <si>
    <t>AR-01619</t>
  </si>
  <si>
    <t>AR-02643</t>
  </si>
  <si>
    <t>AR-02645</t>
  </si>
  <si>
    <t>AR-03114</t>
  </si>
  <si>
    <t>AR-03420</t>
  </si>
  <si>
    <t>AR-03421</t>
  </si>
  <si>
    <t>AR-08713</t>
  </si>
  <si>
    <t>AR-08084</t>
  </si>
  <si>
    <t>0013600000xoEIxAAM</t>
  </si>
  <si>
    <t>AR-01213</t>
  </si>
  <si>
    <t>AR-01166</t>
  </si>
  <si>
    <t>AR-03510</t>
  </si>
  <si>
    <t>AR-07859</t>
  </si>
  <si>
    <t>Republican Center to Fight AIDS</t>
  </si>
  <si>
    <t>0013600000xoEKzAAM</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</si>
  <si>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</si>
  <si>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</si>
  <si>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</si>
  <si>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</si>
  <si>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</si>
  <si>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</si>
  <si>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</si>
  <si>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</si>
  <si>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</si>
  <si>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</si>
  <si>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AR-01639</t>
  </si>
  <si>
    <t>AR-04028</t>
  </si>
  <si>
    <t>AR-04033</t>
  </si>
  <si>
    <t>AR-06749</t>
  </si>
  <si>
    <t>Republican Specialized Scientific-Practical Medical Center of Phthisiology and Pulmonology</t>
  </si>
  <si>
    <t>0011R00002AIPnkQAH</t>
  </si>
  <si>
    <t>AR-04031</t>
  </si>
  <si>
    <t>AR-09048</t>
  </si>
  <si>
    <t>AR-09305</t>
  </si>
  <si>
    <t>AR-07674</t>
  </si>
  <si>
    <t>Ministry of Health of Mongolia</t>
  </si>
  <si>
    <t>0013600000xoEIFAA2</t>
  </si>
  <si>
    <t>AR-07675</t>
  </si>
  <si>
    <t>AR-01493</t>
  </si>
  <si>
    <t>AR-01494</t>
  </si>
  <si>
    <t>AR-03429</t>
  </si>
  <si>
    <t>AR-04069</t>
  </si>
  <si>
    <t>AR-08547</t>
  </si>
  <si>
    <t>AR-06921</t>
  </si>
  <si>
    <t>Ministry of Health of the Lao People's Democratic Republic</t>
  </si>
  <si>
    <t>0013600000xoEHUAA2</t>
  </si>
  <si>
    <t>AR-01455</t>
  </si>
  <si>
    <t>AR-01452</t>
  </si>
  <si>
    <t>AR-01454</t>
  </si>
  <si>
    <t>AR-01453</t>
  </si>
  <si>
    <t>AR-02574</t>
  </si>
  <si>
    <t>AR-04328</t>
  </si>
  <si>
    <t>AR-03267</t>
  </si>
  <si>
    <t>AR-08550</t>
  </si>
  <si>
    <t>AR-01520</t>
  </si>
  <si>
    <t>Malaysian AIDS Council</t>
  </si>
  <si>
    <t>0013600000xoEFcAAM</t>
  </si>
  <si>
    <t>AR-05118</t>
  </si>
  <si>
    <t>AR-05119</t>
  </si>
  <si>
    <t>AR-10743</t>
  </si>
  <si>
    <t>AR-07764</t>
  </si>
  <si>
    <t>Ministry of Health of the Democratic Republic of Timor-Leste</t>
  </si>
  <si>
    <t>0013600000xoEIeAAM</t>
  </si>
  <si>
    <t>AR-07773</t>
  </si>
  <si>
    <t>AR-07782</t>
  </si>
  <si>
    <t>AR-01621</t>
  </si>
  <si>
    <t>AR-01623</t>
  </si>
  <si>
    <t>AR-01622</t>
  </si>
  <si>
    <t>AR-03033</t>
  </si>
  <si>
    <t>AR-03078</t>
  </si>
  <si>
    <t>AR-07922</t>
  </si>
  <si>
    <t>Ministry of Health of the Royal Government of Bhutan</t>
  </si>
  <si>
    <t>0013600000xoEHnAAM</t>
  </si>
  <si>
    <t>AR-08304</t>
  </si>
  <si>
    <t>AR-01315</t>
  </si>
  <si>
    <t>AR-01316</t>
  </si>
  <si>
    <t>AR-01317</t>
  </si>
  <si>
    <t>AR-04421</t>
  </si>
  <si>
    <t>AR-04430</t>
  </si>
  <si>
    <t>AR-04439</t>
  </si>
  <si>
    <t>AR-09071</t>
  </si>
  <si>
    <t>AR-01277</t>
  </si>
  <si>
    <t>Ministry of Health of the Republic of Armenia</t>
  </si>
  <si>
    <t>0013600000xoEHJAA2</t>
  </si>
  <si>
    <t>AR-01275</t>
  </si>
  <si>
    <t>Mission East</t>
  </si>
  <si>
    <t>0013600000xoEKiAAM</t>
  </si>
  <si>
    <t>AR-01276</t>
  </si>
  <si>
    <t>AR-01278</t>
  </si>
  <si>
    <t>AR-05283</t>
  </si>
  <si>
    <t>AR-06064</t>
  </si>
  <si>
    <t>AR-06162</t>
  </si>
  <si>
    <t>AR-06165</t>
  </si>
  <si>
    <t>AR-08932</t>
  </si>
  <si>
    <t>AR-07647</t>
  </si>
  <si>
    <t>Ministry of Health of the Republic of Azerbaijan</t>
  </si>
  <si>
    <t>0013600000xoEHXAA2</t>
  </si>
  <si>
    <t>AR-01279</t>
  </si>
  <si>
    <t>AR-01280</t>
  </si>
  <si>
    <t>AR-01282</t>
  </si>
  <si>
    <t>AR-01283</t>
  </si>
  <si>
    <t>Main Medical Department of the Ministry of Justice of the Republic of Azerbaijan</t>
  </si>
  <si>
    <t>0013600000xoEF5AAM</t>
  </si>
  <si>
    <t>AR-01281</t>
  </si>
  <si>
    <t>AR-04132</t>
  </si>
  <si>
    <t>AR-04141</t>
  </si>
  <si>
    <t>AR-08561</t>
  </si>
  <si>
    <t>AR-06752</t>
  </si>
  <si>
    <t>National Center For Disease Control and Public Health</t>
  </si>
  <si>
    <t>0013600000xoEJJAA2</t>
  </si>
  <si>
    <t>AR-06673</t>
  </si>
  <si>
    <t>AR-01391</t>
  </si>
  <si>
    <t>AR-01390</t>
  </si>
  <si>
    <t>AR-09055</t>
  </si>
  <si>
    <t>AR-10960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</si>
  <si>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</si>
  <si>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</si>
  <si>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</si>
  <si>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</si>
  <si>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</si>
  <si>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</si>
  <si>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</si>
  <si>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</si>
  <si>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</si>
  <si>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</si>
  <si>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</si>
  <si>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AR-08538</t>
  </si>
  <si>
    <t>AR-10983</t>
  </si>
  <si>
    <t>AR-10996</t>
  </si>
  <si>
    <t>AR-07620</t>
  </si>
  <si>
    <t>Public Institution - Coordination, Implementation and Monitoring Unit of the Health  System Projects</t>
  </si>
  <si>
    <t>0013600000xoEHCAA2</t>
  </si>
  <si>
    <t>AR-01478</t>
  </si>
  <si>
    <t>AR-01477</t>
  </si>
  <si>
    <t>AR-01497</t>
  </si>
  <si>
    <t>Center for Health Policies and Studies</t>
  </si>
  <si>
    <t>0013600000xoEGDAA2</t>
  </si>
  <si>
    <t>AR-01496</t>
  </si>
  <si>
    <t>AR-01495</t>
  </si>
  <si>
    <t>AR-03990</t>
  </si>
  <si>
    <t>AR-03991</t>
  </si>
  <si>
    <t>AR-04018</t>
  </si>
  <si>
    <t>AR-04019</t>
  </si>
  <si>
    <t>AR-04474</t>
  </si>
  <si>
    <t>AR-07746</t>
  </si>
  <si>
    <t>State Institution "Public Health Center of the Ministry of Health of Ukraine"</t>
  </si>
  <si>
    <t>0013600000xoEHhAAM</t>
  </si>
  <si>
    <t>AR-07747</t>
  </si>
  <si>
    <t>Charitable Organization "All-Ukrainian Network of People Living with HIV/AIDS"</t>
  </si>
  <si>
    <t>0013600000xoEFOAA2</t>
  </si>
  <si>
    <t>AR-07748</t>
  </si>
  <si>
    <t>International Charitable Foundation “Alliance for Public Health”</t>
  </si>
  <si>
    <t>0013600000xoEHGAA2</t>
  </si>
  <si>
    <t>AR-01216</t>
  </si>
  <si>
    <t>United Nations Children's Fund</t>
  </si>
  <si>
    <t>0013600000xoEHWAA2</t>
  </si>
  <si>
    <t>AR-01636</t>
  </si>
  <si>
    <t>AR-01637</t>
  </si>
  <si>
    <t>AR-01634</t>
  </si>
  <si>
    <t>AR-01633</t>
  </si>
  <si>
    <t>AR-01635</t>
  </si>
  <si>
    <t>AR-01631</t>
  </si>
  <si>
    <t>AR-01632</t>
  </si>
  <si>
    <t>AR-03177</t>
  </si>
  <si>
    <t>AR-03178</t>
  </si>
  <si>
    <t>AR-03179</t>
  </si>
  <si>
    <t>AR-10943</t>
  </si>
  <si>
    <t>AR-10944</t>
  </si>
  <si>
    <t>AR-07728</t>
  </si>
  <si>
    <t>World Vision (PNG) Trust</t>
  </si>
  <si>
    <t>0013600000xoEKJAA2</t>
  </si>
  <si>
    <t>AR-07737</t>
  </si>
  <si>
    <t>The Rotary Club of Port Moresby Inc.</t>
  </si>
  <si>
    <t>0013600000xoEIbAAM</t>
  </si>
  <si>
    <t>AR-01558</t>
  </si>
  <si>
    <t>Oil Search Foundation</t>
  </si>
  <si>
    <t>0013600000xoEHKAA2</t>
  </si>
  <si>
    <t>AR-00985</t>
  </si>
  <si>
    <t>Population Services International</t>
  </si>
  <si>
    <t>0013600000xoEIOAA2</t>
  </si>
  <si>
    <t>AR-01559</t>
  </si>
  <si>
    <t>AR-01101</t>
  </si>
  <si>
    <t>AR-06746</t>
  </si>
  <si>
    <t>AR-03105</t>
  </si>
  <si>
    <t>AR-03106</t>
  </si>
  <si>
    <t>AR-04097</t>
  </si>
  <si>
    <t>AR-04469</t>
  </si>
  <si>
    <t>AR-07475</t>
  </si>
  <si>
    <t>0013600000xoEIuAAM</t>
  </si>
  <si>
    <t>AR-09355</t>
  </si>
  <si>
    <t>AR-09356</t>
  </si>
  <si>
    <t>0013p000026yQ7oAAE</t>
  </si>
  <si>
    <t>AR-01141</t>
  </si>
  <si>
    <t>AR-01144</t>
  </si>
  <si>
    <t>AR-00981</t>
  </si>
  <si>
    <t>AR-01140</t>
  </si>
  <si>
    <t>AR-01145</t>
  </si>
  <si>
    <t>AR-01142</t>
  </si>
  <si>
    <t>AR-01143</t>
  </si>
  <si>
    <t>AR-04376</t>
  </si>
  <si>
    <t>AR-04401</t>
  </si>
  <si>
    <t>AR-04402</t>
  </si>
  <si>
    <t>AR-04410</t>
  </si>
  <si>
    <t>AR-08529</t>
  </si>
  <si>
    <t>AR-08775</t>
  </si>
  <si>
    <t>AR-09387</t>
  </si>
  <si>
    <t>AR-08030</t>
  </si>
  <si>
    <t>0013600000xoEJAAA2</t>
  </si>
  <si>
    <t>AR-00999</t>
  </si>
  <si>
    <t>AR-00998</t>
  </si>
  <si>
    <t>AR-01001</t>
  </si>
  <si>
    <t>AR-01000</t>
  </si>
  <si>
    <t>AR-03918</t>
  </si>
  <si>
    <t>AR-03919</t>
  </si>
  <si>
    <t>AR-03927</t>
  </si>
  <si>
    <t>AR-03928</t>
  </si>
  <si>
    <t>AR-08883</t>
  </si>
  <si>
    <t>AR-06767</t>
  </si>
  <si>
    <t>0011R00002FW6goQAD</t>
  </si>
  <si>
    <t>AR-06768</t>
  </si>
  <si>
    <t>AR-08194</t>
  </si>
  <si>
    <t>Federal Ministry of Health of the Federal Democratic Republic of Ethiopia</t>
  </si>
  <si>
    <t>0013600000xoEHiAAM</t>
  </si>
  <si>
    <t>AR-08195</t>
  </si>
  <si>
    <t>HIV/AIDS Prevention and Control Office</t>
  </si>
  <si>
    <t>0013600000xoEHsAAM</t>
  </si>
  <si>
    <t>AR-01385</t>
  </si>
  <si>
    <t>AR-01383</t>
  </si>
  <si>
    <t>AR-01386</t>
  </si>
  <si>
    <t>AR-01382</t>
  </si>
  <si>
    <t>AR-01381</t>
  </si>
  <si>
    <t>AR-01384</t>
  </si>
  <si>
    <t>AR-01387</t>
  </si>
  <si>
    <t>AR-03168</t>
  </si>
  <si>
    <t>AR-03972</t>
  </si>
  <si>
    <t>AR-04119</t>
  </si>
  <si>
    <t>AR-04120</t>
  </si>
  <si>
    <t>AR-08490</t>
  </si>
  <si>
    <t>AR-08617</t>
  </si>
  <si>
    <t>AR-01449</t>
  </si>
  <si>
    <t>Amref Health Africa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</si>
  <si>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</si>
  <si>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</si>
  <si>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</si>
  <si>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</si>
  <si>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</si>
  <si>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</si>
  <si>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</si>
  <si>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</si>
  <si>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</si>
  <si>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</si>
  <si>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</si>
  <si>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</si>
  <si>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</si>
  <si>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</si>
  <si>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</si>
  <si>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AR-08454</t>
  </si>
  <si>
    <t>AR-08455</t>
  </si>
  <si>
    <t>AR-08456</t>
  </si>
  <si>
    <t>AR-08463</t>
  </si>
  <si>
    <t>AR-08464</t>
  </si>
  <si>
    <t>AR-07166</t>
  </si>
  <si>
    <t>World Vision International</t>
  </si>
  <si>
    <t>0013600000xoEIgAAM</t>
  </si>
  <si>
    <t>AR-07611</t>
  </si>
  <si>
    <t>AR-07701</t>
  </si>
  <si>
    <t>AR-01133</t>
  </si>
  <si>
    <t>AR-01135</t>
  </si>
  <si>
    <t>AR-01136</t>
  </si>
  <si>
    <t>AR-01130</t>
  </si>
  <si>
    <t>AR-01131</t>
  </si>
  <si>
    <t>AR-03204</t>
  </si>
  <si>
    <t>AR-03222</t>
  </si>
  <si>
    <t>AR-04067</t>
  </si>
  <si>
    <t>AR-06903</t>
  </si>
  <si>
    <t>Ministry of Finance, Planning and Economic Development of the Republic of Uganda</t>
  </si>
  <si>
    <t>0013600000xoEI0AAM</t>
  </si>
  <si>
    <t>AR-06904</t>
  </si>
  <si>
    <t>The AIDS Support Organisation (Uganda) Limited</t>
  </si>
  <si>
    <t>0013600000xoEGeAAM</t>
  </si>
  <si>
    <t>AR-06905</t>
  </si>
  <si>
    <t>AR-06906</t>
  </si>
  <si>
    <t>AR-06912</t>
  </si>
  <si>
    <t>AR-06913</t>
  </si>
  <si>
    <t>AR-01255</t>
  </si>
  <si>
    <t>AR-01257</t>
  </si>
  <si>
    <t>AR-01263</t>
  </si>
  <si>
    <t>AR-01629</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</si>
  <si>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</si>
  <si>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</si>
  <si>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</si>
  <si>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</si>
  <si>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</si>
  <si>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</si>
  <si>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</si>
  <si>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</si>
  <si>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</si>
  <si>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</si>
  <si>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</si>
  <si>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</si>
  <si>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</si>
  <si>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</si>
  <si>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</si>
  <si>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</si>
  <si>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</si>
  <si>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</si>
  <si>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</si>
  <si>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</si>
  <si>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</si>
  <si>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</si>
  <si>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</si>
  <si>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</si>
  <si>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AR-08369</t>
  </si>
  <si>
    <t>AR-08370</t>
  </si>
  <si>
    <t>AR-06680</t>
  </si>
  <si>
    <t>Conseil National de Lutte contre le VIH/SIDA, la Tuberculose, le Paludisme, les Hépatites, les Infections sexuellement transmissibles et les Epidémies</t>
  </si>
  <si>
    <t>0013600001xf7DgAAI</t>
  </si>
  <si>
    <t>AR-07994</t>
  </si>
  <si>
    <t>Programme santé de lutte contre le Sida</t>
  </si>
  <si>
    <t>0013600000xoEGoAAM</t>
  </si>
  <si>
    <t>AR-07995</t>
  </si>
  <si>
    <t>Plan International, Inc.</t>
  </si>
  <si>
    <t>0013600000xoEHAAA2</t>
  </si>
  <si>
    <t>AR-08003</t>
  </si>
  <si>
    <t>Programme National de Lutte contre le Paludisme de la République du Bénin</t>
  </si>
  <si>
    <t>0013600000xoEKkAAM</t>
  </si>
  <si>
    <t>AR-08012</t>
  </si>
  <si>
    <t>National Tuberculosis Programme of the Republic of Benin</t>
  </si>
  <si>
    <t>0013600000xoEF9AAM</t>
  </si>
  <si>
    <t>AR-08204</t>
  </si>
  <si>
    <t>AR-08205</t>
  </si>
  <si>
    <t>AR-01295</t>
  </si>
  <si>
    <t>AR-01294</t>
  </si>
  <si>
    <t>Africare</t>
  </si>
  <si>
    <t>0013600000xoEFKAA2</t>
  </si>
  <si>
    <t>AR-00952</t>
  </si>
  <si>
    <t>Catholic Relief Services - United States Conference of Catholic Bishops</t>
  </si>
  <si>
    <t>0013600000xoEG6AAM</t>
  </si>
  <si>
    <t>AR-01298</t>
  </si>
  <si>
    <t>AR-00953</t>
  </si>
  <si>
    <t>AR-01297</t>
  </si>
  <si>
    <t>Health System Performance Program</t>
  </si>
  <si>
    <t>0013600000xoEJNAA2</t>
  </si>
  <si>
    <t>AR-01296</t>
  </si>
  <si>
    <t>AR-04030</t>
  </si>
  <si>
    <t>AR-04244</t>
  </si>
  <si>
    <t>AR-04050</t>
  </si>
  <si>
    <t>AR-04243</t>
  </si>
  <si>
    <t>AR-06638</t>
  </si>
  <si>
    <t>AR-06639</t>
  </si>
  <si>
    <t>5e6872ac-0f9e-4780-9624-dc103a091530</t>
  </si>
  <si>
    <t xml:space="preserve">     </t>
  </si>
  <si>
    <t>PickListValue</t>
  </si>
  <si>
    <t>PickListKey</t>
  </si>
  <si>
    <t>AIM_Reporting_Period__c.AIM_Report_Period_Category__c</t>
  </si>
  <si>
    <t>AIM_Coverage_Indicator__c.AIM_Geographic_Coverage__c</t>
  </si>
  <si>
    <t>AIM_Coverage_Indicator__c.AIM_Rating_Cumulation_Type__c</t>
  </si>
  <si>
    <t>AIM_Coverage_Indicator__c.AIM_Year__c</t>
  </si>
  <si>
    <t>AIM_Coverage_Indicator_Targets_Results__c.AIM_Due_for_Reporting__c</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</si>
  <si>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</si>
  <si>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</si>
  <si>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</si>
  <si>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</si>
  <si>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</si>
  <si>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</si>
  <si>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</si>
  <si>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</si>
  <si>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AIM_Outcome_Indicator_Targets_Result__c.AIM_Year_of_Target__c</t>
  </si>
  <si>
    <t>AIM_Outcome_Indicator_Targets_Result__c.AIM_Mark_if_target_is_TBD__c</t>
  </si>
  <si>
    <t>AIM_Grant_Revision__c.aim_revision_type__c</t>
  </si>
  <si>
    <t>AIM_Impact_Outcome_References__c.AIM_Data_Type_Target__c</t>
  </si>
  <si>
    <t>AIM_Module_Coverage_Interventio_Comp_Ref__c.AIM_Data_Type__c</t>
  </si>
  <si>
    <t>AIM_Module_Coverage_Interventio_Comp_Ref__c.Coverage_by_Population.AIM_Data_Type__c</t>
  </si>
  <si>
    <t>AIM_Module_Coverage_Interventio_Comp_Ref__c.Intervention_By_Population.AIM_Data_Type__c</t>
  </si>
  <si>
    <t>AIM_Module_Coverage_Interventio_Comp_Ref__c.Coverage.AIM_Data_Type__c</t>
  </si>
  <si>
    <t>AIM_Module_Coverage_Interventio_Comp_Ref__c.Intervention.AIM_Data_Type__c</t>
  </si>
  <si>
    <t>AIM_Module_Coverage_Interventio_Comp_Ref__c.Module.AIM_Data_Type__c</t>
  </si>
  <si>
    <t>AIM_Module_Coverage_Interventio_Comp_Ref__c.Master.AIM_Data_Type__c</t>
  </si>
  <si>
    <t>AIM_Module_Coverage_Interventio_Comp_Ref__c.L1FR_Cumulation_Type__c</t>
  </si>
  <si>
    <t>AIM_Module_Coverage_Interventio_Comp_Ref__c.Coverage_by_Population.L1FR_Cumulation_Type__c</t>
  </si>
  <si>
    <t>AIM_Module_Coverage_Interventio_Comp_Ref__c.Intervention_By_Population.L1FR_Cumulation_Type__c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</si>
  <si>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</si>
  <si>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</si>
  <si>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</si>
  <si>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</si>
  <si>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Coverage by Population</t>
  </si>
  <si>
    <t>Coverage_by_Population</t>
  </si>
  <si>
    <t>Implementation</t>
  </si>
  <si>
    <t>National</t>
  </si>
  <si>
    <t>N-Non-cumulative</t>
  </si>
  <si>
    <t>2002</t>
  </si>
  <si>
    <t>End-Date Revision</t>
  </si>
  <si>
    <t>Number</t>
  </si>
  <si>
    <t>Intervention By Population</t>
  </si>
  <si>
    <t>Intervention_By_Population</t>
  </si>
  <si>
    <t>Subnational</t>
  </si>
  <si>
    <t>N-Non -cumulative (other)</t>
  </si>
  <si>
    <t>2003</t>
  </si>
  <si>
    <t>Additional Funding</t>
  </si>
  <si>
    <t>Percent</t>
  </si>
  <si>
    <t>N-Non -cumulative (special)</t>
  </si>
  <si>
    <t>2004</t>
  </si>
  <si>
    <t>Program revision / Budget revision</t>
  </si>
  <si>
    <t>Number and Percent</t>
  </si>
  <si>
    <t>2005</t>
  </si>
  <si>
    <t>Admin Revision</t>
  </si>
  <si>
    <t>Numerator and Denominator</t>
  </si>
  <si>
    <t>2006</t>
  </si>
  <si>
    <t>Master</t>
  </si>
  <si>
    <t>2007</t>
  </si>
  <si>
    <t>Y- Cumulative annually</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</si>
  <si>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</si>
  <si>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</si>
  <si>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</si>
  <si>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</si>
  <si>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</si>
  <si>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</si>
  <si>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</si>
  <si>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</si>
  <si>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</si>
  <si>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</si>
  <si>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</si>
  <si>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</si>
  <si>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</si>
  <si>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</si>
  <si>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</si>
  <si>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</si>
  <si>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</si>
  <si>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</si>
  <si>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</si>
  <si>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</si>
  <si>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</si>
  <si>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</si>
  <si>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</si>
  <si>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This indicator is new, we have not previously reported on it. In the country about 45% of PLHIV on ART receive preventive TB treatment annually. According to the clinical protocol, preventive TB treatment is given to newly diagnosed PLHIV or for clinical indications. Denominator, the number of PLHIV who started ART and do not have active tuberculosis.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</si>
</sst>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0_);_(* \(#,##0.0\);_(@_)"/>
    <numFmt numFmtId="165" formatCode="dd\.mm\.yyyy"/>
    <numFmt numFmtId="166" formatCode="_(* #,##0.00_);_(* \(#,##0.00\);_(@_)"/>
    <numFmt numFmtId="167" formatCode="_(* #,##0_);_(* \(#,##0\);_(@_)"/>
    <numFmt numFmtId="168" formatCode="#,##0.00%"/>
    <numFmt numFmtId="169" formatCode="#\'##0.00"/>
    <numFmt numFmtId="170" formatCode="0.000000"/>
    <numFmt numFmtId="171" formatCode="[$-809]dd\-mmm\-yyyy;@"/>
    <numFmt numFmtId="172" formatCode="[$-809]dd\-mmm\-\ yyyy;@"/>
    <numFmt numFmtId="173" formatCode="#,##0.0000"/>
    <numFmt numFmtId="174" formatCode="#,##0.0000_);[Red]\(#,##0.0000\)"/>
    <numFmt numFmtId="175" formatCode="#,##0.0000;[Red]#,##0.0000"/>
    <numFmt numFmtId="176" formatCode="_(* #,##0.0000_);_(* \(#,##0.0000\);_(@_)"/>
    <numFmt numFmtId="177" formatCode="[$$-409]#,##0.00"/>
    <numFmt numFmtId="178" formatCode="#,##0.0%"/>
  </numFmts>
  <fonts count="5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10"/>
      <name val="Arial"/>
      <family val="2"/>
    </font>
    <font>
      <b/>
      <sz val="10"/>
      <name val="Arial"/>
      <family val="2"/>
    </font>
    <font>
      <sz val="12"/>
      <name val="Calibri"/>
      <family val="2"/>
      <charset val="238"/>
      <scheme val="minor"/>
    </font>
    <font>
      <sz val="12"/>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b/>
      <sz val="9"/>
      <color rgb="FF1D1C1D"/>
      <name val="Arial"/>
      <family val="2"/>
      <charset val="238"/>
    </font>
    <font>
      <sz val="10"/>
      <color rgb="FF000000"/>
      <name val="Calibri"/>
      <family val="2"/>
      <scheme val="minor"/>
    </font>
    <font>
      <u/>
      <sz val="10"/>
      <color theme="10"/>
      <name val="Calibri"/>
      <family val="2"/>
      <scheme val="minor"/>
    </font>
    <font>
      <sz val="8"/>
      <name val="Calibri"/>
      <family val="2"/>
      <scheme val="minor"/>
    </font>
    <font>
      <b/>
      <sz val="18"/>
      <color theme="0"/>
      <name val="Arial"/>
      <family val="2"/>
    </font>
    <font>
      <b/>
      <sz val="11"/>
      <color theme="1"/>
      <name val="Arial"/>
      <family val="2"/>
    </font>
    <font>
      <sz val="11"/>
      <color theme="1"/>
      <name val="Arial"/>
      <family val="2"/>
    </font>
    <font>
      <b/>
      <sz val="11"/>
      <color rgb="FF000000"/>
      <name val="Arial"/>
      <family val="2"/>
    </font>
    <font>
      <sz val="11"/>
      <color rgb="FF000000"/>
      <name val="Arial"/>
      <family val="2"/>
    </font>
    <font>
      <sz val="11"/>
      <color rgb="FF212121"/>
      <name val="Arial"/>
      <family val="2"/>
    </font>
    <font>
      <u/>
      <sz val="11"/>
      <color theme="4" tint="-0.249977111117893"/>
      <name val="Arial"/>
      <family val="2"/>
    </font>
    <font>
      <u/>
      <sz val="11"/>
      <color theme="10"/>
      <name val="Arial"/>
      <family val="2"/>
    </font>
    <font>
      <u/>
      <sz val="11"/>
      <color rgb="FF000000"/>
      <name val="Arial"/>
      <family val="2"/>
    </font>
    <font>
      <vertAlign val="superscript"/>
      <sz val="11"/>
      <color rgb="FF000000"/>
      <name val="Arial"/>
      <family val="2"/>
    </font>
    <font>
      <b/>
      <i/>
      <sz val="11"/>
      <color rgb="FF000000"/>
      <name val="Arial"/>
      <family val="2"/>
    </font>
    <font>
      <b/>
      <sz val="11"/>
      <color theme="0"/>
      <name val="Arial"/>
      <family val="2"/>
    </font>
    <font>
      <sz val="11"/>
      <color theme="0"/>
      <name val="Arial"/>
      <family val="2"/>
    </font>
    <font>
      <b/>
      <sz val="11"/>
      <name val="Arial"/>
      <family val="2"/>
    </font>
    <font>
      <b/>
      <sz val="18"/>
      <color theme="0"/>
      <name val="Arial Black"/>
      <family val="2"/>
    </font>
    <font>
      <sz val="18"/>
      <color theme="0"/>
      <name val="Arial Black"/>
      <family val="2"/>
    </font>
    <font>
      <sz val="11"/>
      <name val="Arial"/>
      <family val="2"/>
    </font>
    <font>
      <sz val="11"/>
      <color rgb="FFFF0000"/>
      <name val="Arial"/>
      <family val="2"/>
    </font>
    <font>
      <sz val="11"/>
      <color theme="0" tint="-0.34998626667073579"/>
      <name val="Arial"/>
      <family val="2"/>
    </font>
    <font>
      <b/>
      <sz val="11"/>
      <color theme="8" tint="0.39997558519241921"/>
      <name val="Arial"/>
      <family val="2"/>
    </font>
    <font>
      <b/>
      <sz val="11"/>
      <color theme="0" tint="-0.34998626667073579"/>
      <name val="Arial"/>
      <family val="2"/>
    </font>
    <font>
      <b/>
      <sz val="11"/>
      <color theme="0" tint="-0.499984740745262"/>
      <name val="Arial"/>
      <family val="2"/>
    </font>
    <font>
      <b/>
      <sz val="11"/>
      <color rgb="FFFF0000"/>
      <name val="Arial"/>
      <family val="2"/>
    </font>
    <font>
      <b/>
      <u/>
      <sz val="12"/>
      <color theme="10"/>
      <name val="Arial"/>
      <family val="2"/>
    </font>
    <font>
      <sz val="11"/>
      <color indexed="8"/>
      <name val="Calibri"/>
      <family val="2"/>
      <charset val="204"/>
    </font>
    <font>
      <b/>
      <sz val="11"/>
      <color theme="1"/>
      <name val="Arial"/>
      <family val="2"/>
      <charset val="204"/>
    </font>
    <font>
      <sz val="11"/>
      <color theme="1"/>
      <name val="Arial"/>
      <family val="2"/>
      <charset val="204"/>
    </font>
    <font>
      <b/>
      <sz val="11"/>
      <name val="Arial"/>
      <family val="2"/>
      <charset val="204"/>
    </font>
    <font>
      <sz val="11"/>
      <color theme="1"/>
      <name val="Arial"/>
      <family val="2"/>
      <charset val="204"/>
    </font>
    <font>
      <sz val="11"/>
      <color rgb="FF000000"/>
      <name val="Arial"/>
      <family val="2"/>
      <charset val="204"/>
    </font>
    <font>
      <b/>
      <sz val="11"/>
      <color rgb="FF000000"/>
      <name val="Arial"/>
      <family val="2"/>
      <charset val="204"/>
    </font>
  </fonts>
  <fills count="26">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DAEEF3"/>
        <bgColor indexed="64"/>
      </patternFill>
    </fill>
    <fill>
      <patternFill patternType="solid">
        <fgColor theme="4"/>
        <bgColor theme="4"/>
      </patternFill>
    </fill>
    <fill>
      <patternFill patternType="solid">
        <fgColor theme="4" tint="0.59999389629810485"/>
        <bgColor indexed="64"/>
      </patternFill>
    </fill>
    <fill>
      <patternFill patternType="solid">
        <fgColor theme="2"/>
        <bgColor indexed="64"/>
      </patternFill>
    </fill>
    <fill>
      <patternFill patternType="solid">
        <fgColor theme="0" tint="-0.24994659260841701"/>
        <bgColor indexed="64"/>
      </patternFill>
    </fill>
    <fill>
      <patternFill patternType="solid">
        <fgColor theme="4" tint="0.59999389629810485"/>
        <bgColor theme="4" tint="0.59999389629810485"/>
      </patternFill>
    </fill>
    <fill>
      <patternFill patternType="solid">
        <fgColor rgb="FFDAEEF7"/>
        <bgColor indexed="64"/>
      </patternFill>
    </fill>
    <fill>
      <patternFill patternType="solid">
        <fgColor theme="5"/>
        <bgColor indexed="64"/>
      </patternFill>
    </fill>
    <fill>
      <patternFill patternType="solid">
        <fgColor rgb="FFA6A6A6"/>
        <bgColor indexed="64"/>
      </patternFill>
    </fill>
    <fill>
      <patternFill patternType="solid">
        <fgColor rgb="FFE9E9E9"/>
        <bgColor indexed="64"/>
      </patternFill>
    </fill>
    <fill>
      <patternFill patternType="solid">
        <fgColor rgb="FF8294FB"/>
        <bgColor indexed="64"/>
      </patternFill>
    </fill>
    <fill>
      <patternFill patternType="solid">
        <fgColor theme="1"/>
        <bgColor indexed="64"/>
      </patternFill>
    </fill>
    <fill>
      <patternFill patternType="solid">
        <fgColor rgb="FFD9D9D9"/>
        <bgColor indexed="64"/>
      </patternFill>
    </fill>
    <fill>
      <patternFill patternType="solid">
        <fgColor rgb="FFFEF7CF"/>
        <bgColor indexed="64"/>
      </patternFill>
    </fill>
    <fill>
      <patternFill patternType="solid">
        <fgColor rgb="FFFAD90D"/>
        <bgColor indexed="64"/>
      </patternFill>
    </fill>
    <fill>
      <patternFill patternType="solid">
        <fgColor rgb="FFD1A9EE"/>
        <bgColor indexed="64"/>
      </patternFill>
    </fill>
    <fill>
      <patternFill patternType="solid">
        <fgColor rgb="FFD1D3D4"/>
        <bgColor indexed="64"/>
      </patternFill>
    </fill>
    <fill>
      <patternFill patternType="solid">
        <fgColor rgb="FF8294FB"/>
        <bgColor rgb="FF000000"/>
      </patternFill>
    </fill>
    <fill>
      <patternFill patternType="solid">
        <fgColor theme="6" tint="0.79998168889431442"/>
        <bgColor indexed="64"/>
      </patternFill>
    </fill>
    <fill>
      <patternFill patternType="solid">
        <fgColor theme="2" tint="-0.249977111117893"/>
        <bgColor indexed="64"/>
      </patternFill>
    </fill>
    <fill>
      <patternFill patternType="solid">
        <fgColor rgb="FFE7E6E6"/>
        <bgColor indexed="64"/>
      </patternFill>
    </fill>
  </fills>
  <borders count="114">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right style="thin">
        <color indexed="64"/>
      </right>
      <top/>
      <bottom style="thin">
        <color indexed="64"/>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auto="1"/>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style="medium">
        <color indexed="64"/>
      </left>
      <right/>
      <top style="thin">
        <color indexed="64"/>
      </top>
      <bottom style="thin">
        <color indexed="64"/>
      </bottom>
      <diagonal/>
    </border>
    <border>
      <left style="thin">
        <color theme="4"/>
      </left>
      <right/>
      <top style="thin">
        <color theme="4"/>
      </top>
      <bottom/>
      <diagonal/>
    </border>
    <border>
      <left style="thin">
        <color theme="4"/>
      </left>
      <right/>
      <top style="thin">
        <color theme="4"/>
      </top>
      <bottom style="thin">
        <color theme="4"/>
      </bottom>
      <diagonal/>
    </border>
    <border>
      <left style="thin">
        <color theme="4" tint="-0.249977111117893"/>
      </left>
      <right style="thin">
        <color theme="4" tint="-0.249977111117893"/>
      </right>
      <top style="thin">
        <color theme="4" tint="-0.249977111117893"/>
      </top>
      <bottom style="thin">
        <color theme="4" tint="-0.249977111117893"/>
      </bottom>
      <diagonal/>
    </border>
    <border diagonalUp="1">
      <left style="thin">
        <color rgb="FFFFFFFF"/>
      </left>
      <right style="thin">
        <color rgb="FFFFFFFF"/>
      </right>
      <top/>
      <bottom style="thin">
        <color rgb="FFFFFFFF"/>
      </bottom>
      <diagonal style="thin">
        <color rgb="FFFFFFFF"/>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CCCCCC"/>
      </right>
      <top style="thin">
        <color rgb="FFCCCCCC"/>
      </top>
      <bottom/>
      <diagonal/>
    </border>
    <border>
      <left style="thin">
        <color rgb="FFCCCCCC"/>
      </left>
      <right style="thin">
        <color rgb="FFCCCCCC"/>
      </right>
      <top style="thin">
        <color rgb="FFCCCCCC"/>
      </top>
      <bottom/>
      <diagonal/>
    </border>
    <border>
      <left style="thin">
        <color rgb="FFCCCCCC"/>
      </left>
      <right style="thin">
        <color rgb="FF000000"/>
      </right>
      <top style="thin">
        <color rgb="FFCCCCCC"/>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CCCCCC"/>
      </right>
      <top style="thin">
        <color rgb="FFCCCCCC"/>
      </top>
      <bottom/>
      <diagonal/>
    </border>
    <border>
      <left style="thin">
        <color rgb="FF000000"/>
      </left>
      <right style="thin">
        <color rgb="FFCCCCCC"/>
      </right>
      <top/>
      <bottom style="thin">
        <color rgb="FF000000"/>
      </bottom>
      <diagonal/>
    </border>
    <border>
      <left style="thin">
        <color rgb="FFCCCCCC"/>
      </left>
      <right style="thin">
        <color rgb="FFCCCCCC"/>
      </right>
      <top/>
      <bottom style="thin">
        <color rgb="FF000000"/>
      </bottom>
      <diagonal/>
    </border>
    <border>
      <left style="thin">
        <color rgb="FFCCCCCC"/>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CCCCCC"/>
      </left>
      <right style="thin">
        <color rgb="FFCCCCCC"/>
      </right>
      <top/>
      <bottom/>
      <diagonal/>
    </border>
    <border>
      <left style="thin">
        <color rgb="FF000000"/>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top style="thin">
        <color rgb="FFCCCCCC"/>
      </top>
      <bottom/>
      <diagonal/>
    </border>
    <border>
      <left/>
      <right style="thin">
        <color indexed="64"/>
      </right>
      <top style="thin">
        <color rgb="FF000000"/>
      </top>
      <bottom/>
      <diagonal/>
    </border>
    <border>
      <left/>
      <right style="thin">
        <color indexed="64"/>
      </right>
      <top/>
      <bottom/>
      <diagonal/>
    </border>
    <border>
      <left/>
      <right style="thin">
        <color rgb="FFCCCCCC"/>
      </right>
      <top style="thin">
        <color rgb="FFCCCCCC"/>
      </top>
      <bottom style="thin">
        <color rgb="FFCCCCCC"/>
      </bottom>
      <diagonal/>
    </border>
    <border>
      <left/>
      <right style="thin">
        <color indexed="64"/>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right/>
      <top style="thin">
        <color indexed="64"/>
      </top>
      <bottom style="thin">
        <color rgb="FF000000"/>
      </bottom>
      <diagonal/>
    </border>
    <border>
      <left style="thin">
        <color indexed="64"/>
      </left>
      <right/>
      <top style="thin">
        <color rgb="FF000000"/>
      </top>
      <bottom/>
      <diagonal/>
    </border>
    <border>
      <left style="thin">
        <color rgb="FFCCCCCC"/>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rgb="FFCCCCCC"/>
      </left>
      <right/>
      <top style="thin">
        <color rgb="FFCCCCCC"/>
      </top>
      <bottom style="thin">
        <color rgb="FF000000"/>
      </bottom>
      <diagonal/>
    </border>
    <border>
      <left style="thin">
        <color rgb="FFCCCCCC"/>
      </left>
      <right/>
      <top style="thin">
        <color rgb="FFCCCCCC"/>
      </top>
      <bottom style="thin">
        <color rgb="FFCCCCCC"/>
      </bottom>
      <diagonal/>
    </border>
    <border>
      <left style="thin">
        <color rgb="FFCCCCCC"/>
      </left>
      <right/>
      <top/>
      <bottom/>
      <diagonal/>
    </border>
    <border diagonalUp="1">
      <left style="thin">
        <color rgb="FFFFFFFF"/>
      </left>
      <right style="thin">
        <color rgb="FFFFFFFF"/>
      </right>
      <top style="thin">
        <color theme="4" tint="-0.249977111117893"/>
      </top>
      <bottom style="medium">
        <color indexed="64"/>
      </bottom>
      <diagonal style="thin">
        <color rgb="FFFFFFFF"/>
      </diagonal>
    </border>
    <border>
      <left style="thin">
        <color indexed="64"/>
      </left>
      <right style="thin">
        <color indexed="64"/>
      </right>
      <top/>
      <bottom/>
      <diagonal/>
    </border>
    <border>
      <left style="thin">
        <color rgb="FF000000"/>
      </left>
      <right style="thin">
        <color rgb="FF000000"/>
      </right>
      <top style="thin">
        <color indexed="64"/>
      </top>
      <bottom style="thin">
        <color rgb="FF000000"/>
      </bottom>
      <diagonal/>
    </border>
    <border>
      <left style="thin">
        <color rgb="FF000000"/>
      </left>
      <right style="thin">
        <color rgb="FFCCCCCC"/>
      </right>
      <top/>
      <bottom/>
      <diagonal/>
    </border>
    <border>
      <left/>
      <right style="medium">
        <color rgb="FF000000"/>
      </right>
      <top/>
      <bottom style="medium">
        <color indexed="64"/>
      </bottom>
      <diagonal/>
    </border>
    <border>
      <left/>
      <right style="medium">
        <color rgb="FF000000"/>
      </right>
      <top/>
      <bottom/>
      <diagonal/>
    </border>
    <border>
      <left/>
      <right style="medium">
        <color rgb="FF000000"/>
      </right>
      <top style="medium">
        <color indexed="64"/>
      </top>
      <bottom style="medium">
        <color indexed="64"/>
      </bottom>
      <diagonal/>
    </border>
    <border>
      <left/>
      <right style="medium">
        <color rgb="FF000000"/>
      </right>
      <top style="medium">
        <color indexed="64"/>
      </top>
      <bottom/>
      <diagonal/>
    </border>
    <border>
      <left/>
      <right style="medium">
        <color indexed="64"/>
      </right>
      <top style="thin">
        <color indexed="64"/>
      </top>
      <bottom style="thin">
        <color indexed="64"/>
      </bottom>
      <diagonal/>
    </border>
    <border>
      <left style="thin">
        <color indexed="64"/>
      </left>
      <right/>
      <top/>
      <bottom/>
      <diagonal/>
    </border>
    <border>
      <left style="thin">
        <color indexed="64"/>
      </left>
      <right style="medium">
        <color auto="1"/>
      </right>
      <top style="thin">
        <color indexed="64"/>
      </top>
      <bottom/>
      <diagonal/>
    </border>
    <border>
      <left style="thin">
        <color indexed="64"/>
      </left>
      <right style="medium">
        <color auto="1"/>
      </right>
      <top/>
      <bottom style="thin">
        <color indexed="64"/>
      </bottom>
      <diagonal/>
    </border>
  </borders>
  <cellStyleXfs count="148">
    <xf numFmtId="0" fontId="0" fillId="0" borderId="0"/>
    <xf numFmtId="0" fontId="8" fillId="0" borderId="0" applyNumberFormat="0" applyFill="0" applyBorder="0" applyAlignment="0" applyProtection="0"/>
    <xf numFmtId="0" fontId="9" fillId="0" borderId="0"/>
    <xf numFmtId="0" fontId="7" fillId="0" borderId="0"/>
    <xf numFmtId="0" fontId="12" fillId="0" borderId="0"/>
    <xf numFmtId="0" fontId="8" fillId="0" borderId="0" applyNumberFormat="0" applyFill="0" applyBorder="0" applyAlignment="0" applyProtection="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8" fillId="0" borderId="0" applyNumberForma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cellStyleXfs>
  <cellXfs count="704">
    <xf numFmtId="0" fontId="0" fillId="0" borderId="0" xfId="0"/>
    <xf numFmtId="0" fontId="9" fillId="0" borderId="0" xfId="2"/>
    <xf numFmtId="0" fontId="10" fillId="0" borderId="0" xfId="2" applyFont="1"/>
    <xf numFmtId="0" fontId="9" fillId="0" borderId="0" xfId="2" quotePrefix="1" applyAlignment="1">
      <alignment horizontal="left"/>
    </xf>
    <xf numFmtId="11" fontId="0" fillId="0" borderId="0" xfId="0" applyNumberFormat="1"/>
    <xf numFmtId="0" fontId="7" fillId="0" borderId="21" xfId="3" applyBorder="1"/>
    <xf numFmtId="0" fontId="7" fillId="0" borderId="21" xfId="3" applyBorder="1" applyAlignment="1">
      <alignment wrapText="1"/>
    </xf>
    <xf numFmtId="0" fontId="7" fillId="0" borderId="21" xfId="3" applyBorder="1" applyAlignment="1">
      <alignment horizontal="center" vertical="center"/>
    </xf>
    <xf numFmtId="14" fontId="7" fillId="0" borderId="21" xfId="3" applyNumberFormat="1" applyBorder="1" applyAlignment="1">
      <alignment horizontal="center" vertical="center"/>
    </xf>
    <xf numFmtId="14" fontId="7" fillId="0" borderId="21" xfId="3" applyNumberFormat="1" applyBorder="1"/>
    <xf numFmtId="17" fontId="11" fillId="0" borderId="21" xfId="0" applyNumberFormat="1" applyFont="1" applyBorder="1" applyAlignment="1">
      <alignment horizontal="center" vertical="center" wrapText="1"/>
    </xf>
    <xf numFmtId="17" fontId="11" fillId="0" borderId="0" xfId="0" applyNumberFormat="1" applyFont="1" applyAlignment="1">
      <alignment horizontal="center" vertical="center" wrapText="1"/>
    </xf>
    <xf numFmtId="14" fontId="0" fillId="0" borderId="0" xfId="0" applyNumberFormat="1"/>
    <xf numFmtId="49" fontId="0" fillId="0" borderId="0" xfId="0" applyNumberFormat="1"/>
    <xf numFmtId="0" fontId="9" fillId="0" borderId="23" xfId="2" applyBorder="1"/>
    <xf numFmtId="49" fontId="9" fillId="0" borderId="23" xfId="2" applyNumberFormat="1" applyBorder="1"/>
    <xf numFmtId="49" fontId="9" fillId="0" borderId="23" xfId="2" quotePrefix="1" applyNumberFormat="1" applyBorder="1"/>
    <xf numFmtId="0" fontId="9" fillId="0" borderId="23" xfId="2" quotePrefix="1" applyBorder="1" applyAlignment="1">
      <alignment horizontal="left"/>
    </xf>
    <xf numFmtId="0" fontId="9" fillId="0" borderId="23" xfId="2" quotePrefix="1" applyBorder="1"/>
    <xf numFmtId="166" fontId="9" fillId="0" borderId="23" xfId="2" applyNumberFormat="1" applyBorder="1"/>
    <xf numFmtId="167" fontId="9" fillId="0" borderId="23" xfId="2" applyNumberFormat="1" applyBorder="1"/>
    <xf numFmtId="164" fontId="9" fillId="0" borderId="23" xfId="2" applyNumberFormat="1" applyBorder="1"/>
    <xf numFmtId="0" fontId="0" fillId="0" borderId="0" xfId="0" applyAlignment="1">
      <alignment wrapText="1"/>
    </xf>
    <xf numFmtId="0" fontId="13" fillId="0" borderId="0" xfId="2" applyFont="1"/>
    <xf numFmtId="49" fontId="9" fillId="0" borderId="0" xfId="2" applyNumberFormat="1"/>
    <xf numFmtId="0" fontId="14" fillId="0" borderId="0" xfId="0" applyFont="1"/>
    <xf numFmtId="0" fontId="10" fillId="6" borderId="49" xfId="2" applyFont="1" applyFill="1" applyBorder="1"/>
    <xf numFmtId="0" fontId="9" fillId="0" borderId="50" xfId="2" applyBorder="1"/>
    <xf numFmtId="0" fontId="16" fillId="0" borderId="0" xfId="0" applyFont="1"/>
    <xf numFmtId="15" fontId="7" fillId="0" borderId="21" xfId="3" applyNumberFormat="1" applyBorder="1"/>
    <xf numFmtId="49" fontId="22" fillId="13" borderId="0" xfId="0" applyNumberFormat="1" applyFont="1" applyFill="1" applyAlignment="1">
      <alignment horizontal="left" vertical="center" wrapText="1"/>
    </xf>
    <xf numFmtId="0" fontId="22" fillId="0" borderId="0" xfId="8" applyFont="1"/>
    <xf numFmtId="0" fontId="23" fillId="0" borderId="42" xfId="0" applyFont="1" applyBorder="1" applyAlignment="1">
      <alignment vertical="center" wrapText="1"/>
    </xf>
    <xf numFmtId="0" fontId="24" fillId="0" borderId="16" xfId="0" applyFont="1" applyBorder="1" applyAlignment="1">
      <alignment vertical="center" wrapText="1"/>
    </xf>
    <xf numFmtId="0" fontId="24" fillId="0" borderId="13" xfId="0" applyFont="1" applyBorder="1" applyAlignment="1">
      <alignment vertical="center" wrapText="1"/>
    </xf>
    <xf numFmtId="0" fontId="23" fillId="0" borderId="16" xfId="0" applyFont="1" applyBorder="1" applyAlignment="1">
      <alignment vertical="center" wrapText="1"/>
    </xf>
    <xf numFmtId="0" fontId="23" fillId="0" borderId="13" xfId="0" applyFont="1" applyBorder="1" applyAlignment="1">
      <alignment vertical="center" wrapText="1"/>
    </xf>
    <xf numFmtId="0" fontId="21" fillId="0" borderId="13" xfId="0" applyFont="1" applyBorder="1" applyAlignment="1">
      <alignment vertical="center" wrapText="1"/>
    </xf>
    <xf numFmtId="0" fontId="23" fillId="0" borderId="43" xfId="0" applyFont="1" applyBorder="1" applyAlignment="1">
      <alignment vertical="center" wrapText="1"/>
    </xf>
    <xf numFmtId="0" fontId="24" fillId="0" borderId="16" xfId="0" applyFont="1" applyBorder="1" applyAlignment="1">
      <alignment vertical="center"/>
    </xf>
    <xf numFmtId="0" fontId="24" fillId="0" borderId="13" xfId="0" applyFont="1" applyBorder="1" applyAlignment="1">
      <alignment horizontal="left" vertical="center" wrapText="1" indent="2"/>
    </xf>
    <xf numFmtId="0" fontId="22" fillId="0" borderId="13" xfId="0" applyFont="1" applyBorder="1" applyAlignment="1">
      <alignment horizontal="left" vertical="center" wrapText="1" indent="2"/>
    </xf>
    <xf numFmtId="0" fontId="24" fillId="0" borderId="13" xfId="0" applyFont="1" applyBorder="1" applyAlignment="1">
      <alignment vertical="center"/>
    </xf>
    <xf numFmtId="0" fontId="24" fillId="0" borderId="13" xfId="0" applyFont="1" applyBorder="1" applyAlignment="1">
      <alignment horizontal="left" vertical="center" indent="1"/>
    </xf>
    <xf numFmtId="0" fontId="24" fillId="0" borderId="13" xfId="0" applyFont="1" applyBorder="1" applyAlignment="1">
      <alignment horizontal="left" vertical="center" wrapText="1" indent="1"/>
    </xf>
    <xf numFmtId="0" fontId="24" fillId="0" borderId="16" xfId="0" applyFont="1" applyBorder="1" applyAlignment="1">
      <alignment horizontal="left" vertical="center" wrapText="1" indent="1"/>
    </xf>
    <xf numFmtId="0" fontId="24" fillId="0" borderId="42" xfId="0" applyFont="1" applyBorder="1" applyAlignment="1">
      <alignment vertical="center" wrapText="1"/>
    </xf>
    <xf numFmtId="0" fontId="24" fillId="0" borderId="0" xfId="0" applyFont="1" applyAlignment="1">
      <alignment vertical="center" wrapText="1"/>
    </xf>
    <xf numFmtId="0" fontId="23" fillId="0" borderId="14" xfId="0" applyFont="1" applyBorder="1" applyAlignment="1">
      <alignment vertical="center" wrapText="1"/>
    </xf>
    <xf numFmtId="0" fontId="21" fillId="0" borderId="1" xfId="8" applyFont="1" applyBorder="1" applyAlignment="1">
      <alignment vertical="center" wrapText="1"/>
    </xf>
    <xf numFmtId="0" fontId="21" fillId="0" borderId="0" xfId="8" applyFont="1" applyAlignment="1">
      <alignment vertical="center" wrapText="1"/>
    </xf>
    <xf numFmtId="0" fontId="21" fillId="0" borderId="44" xfId="8" applyFont="1" applyBorder="1" applyAlignment="1">
      <alignment vertical="center" wrapText="1"/>
    </xf>
    <xf numFmtId="0" fontId="22" fillId="0" borderId="0" xfId="0" applyFont="1"/>
    <xf numFmtId="0" fontId="22" fillId="0" borderId="16" xfId="0" applyFont="1" applyBorder="1" applyAlignment="1">
      <alignment vertical="center" wrapText="1"/>
    </xf>
    <xf numFmtId="0" fontId="22" fillId="0" borderId="1" xfId="0" applyFont="1" applyBorder="1"/>
    <xf numFmtId="0" fontId="22" fillId="0" borderId="42" xfId="0" applyFont="1" applyBorder="1" applyAlignment="1">
      <alignment vertical="top" wrapText="1"/>
    </xf>
    <xf numFmtId="0" fontId="22" fillId="0" borderId="43" xfId="0" applyFont="1" applyBorder="1" applyAlignment="1">
      <alignment vertical="top" wrapText="1"/>
    </xf>
    <xf numFmtId="0" fontId="22" fillId="0" borderId="13" xfId="0" applyFont="1" applyBorder="1" applyAlignment="1">
      <alignment vertical="center" wrapText="1"/>
    </xf>
    <xf numFmtId="0" fontId="22" fillId="0" borderId="42" xfId="0" applyFont="1" applyBorder="1" applyAlignment="1">
      <alignment vertical="center" wrapText="1"/>
    </xf>
    <xf numFmtId="0" fontId="22" fillId="0" borderId="0" xfId="0" applyFont="1" applyAlignment="1">
      <alignment horizontal="left" vertical="top"/>
    </xf>
    <xf numFmtId="0" fontId="24" fillId="21" borderId="16" xfId="0" applyFont="1" applyFill="1" applyBorder="1" applyAlignment="1">
      <alignment vertical="center" wrapText="1"/>
    </xf>
    <xf numFmtId="0" fontId="24" fillId="21" borderId="14" xfId="0" applyFont="1" applyFill="1" applyBorder="1" applyAlignment="1">
      <alignment vertical="center" wrapText="1"/>
    </xf>
    <xf numFmtId="0" fontId="24" fillId="0" borderId="0" xfId="0" applyFont="1"/>
    <xf numFmtId="0" fontId="23" fillId="22" borderId="59" xfId="0" applyFont="1" applyFill="1" applyBorder="1" applyAlignment="1">
      <alignment horizontal="left" vertical="top" readingOrder="1"/>
    </xf>
    <xf numFmtId="15" fontId="24" fillId="0" borderId="59" xfId="0" applyNumberFormat="1" applyFont="1" applyBorder="1" applyAlignment="1">
      <alignment horizontal="right" vertical="center"/>
    </xf>
    <xf numFmtId="0" fontId="24" fillId="0" borderId="55" xfId="0" applyFont="1" applyBorder="1" applyAlignment="1">
      <alignment horizontal="left" vertical="top" readingOrder="1"/>
    </xf>
    <xf numFmtId="0" fontId="24" fillId="0" borderId="56" xfId="0" applyFont="1" applyBorder="1" applyAlignment="1">
      <alignment horizontal="left" vertical="top" readingOrder="1"/>
    </xf>
    <xf numFmtId="0" fontId="24" fillId="0" borderId="81" xfId="0" applyFont="1" applyBorder="1" applyAlignment="1">
      <alignment horizontal="left" vertical="top" readingOrder="1"/>
    </xf>
    <xf numFmtId="0" fontId="24" fillId="0" borderId="61" xfId="0" applyFont="1" applyBorder="1" applyAlignment="1">
      <alignment horizontal="left" vertical="top" readingOrder="1"/>
    </xf>
    <xf numFmtId="0" fontId="24" fillId="0" borderId="0" xfId="0" applyFont="1" applyAlignment="1">
      <alignment horizontal="left" vertical="top" readingOrder="1"/>
    </xf>
    <xf numFmtId="0" fontId="24" fillId="0" borderId="105" xfId="0" applyFont="1" applyBorder="1" applyAlignment="1">
      <alignment horizontal="left" vertical="top" readingOrder="1"/>
    </xf>
    <xf numFmtId="0" fontId="24" fillId="0" borderId="75" xfId="0" applyFont="1" applyBorder="1" applyAlignment="1">
      <alignment horizontal="left" vertical="top" readingOrder="1"/>
    </xf>
    <xf numFmtId="0" fontId="24" fillId="0" borderId="101" xfId="0" applyFont="1" applyBorder="1" applyAlignment="1">
      <alignment horizontal="left" vertical="top" readingOrder="1"/>
    </xf>
    <xf numFmtId="0" fontId="24" fillId="0" borderId="62" xfId="0" applyFont="1" applyBorder="1" applyAlignment="1">
      <alignment horizontal="left" vertical="top" readingOrder="1"/>
    </xf>
    <xf numFmtId="0" fontId="24" fillId="0" borderId="63" xfId="0" applyFont="1" applyBorder="1" applyAlignment="1">
      <alignment horizontal="left" vertical="top" readingOrder="1"/>
    </xf>
    <xf numFmtId="0" fontId="24" fillId="0" borderId="64" xfId="0" applyFont="1" applyBorder="1" applyAlignment="1">
      <alignment horizontal="left" vertical="top" readingOrder="1"/>
    </xf>
    <xf numFmtId="0" fontId="24" fillId="0" borderId="57" xfId="0" applyFont="1" applyBorder="1" applyAlignment="1">
      <alignment horizontal="left" vertical="top" readingOrder="1"/>
    </xf>
    <xf numFmtId="0" fontId="23" fillId="22" borderId="65" xfId="0" applyFont="1" applyFill="1" applyBorder="1" applyAlignment="1">
      <alignment horizontal="left" vertical="top" readingOrder="1"/>
    </xf>
    <xf numFmtId="0" fontId="23" fillId="22" borderId="60" xfId="0" applyFont="1" applyFill="1" applyBorder="1" applyAlignment="1">
      <alignment horizontal="left" vertical="top" readingOrder="1"/>
    </xf>
    <xf numFmtId="0" fontId="24" fillId="0" borderId="59" xfId="0" applyFont="1" applyBorder="1" applyAlignment="1">
      <alignment horizontal="left" vertical="top" readingOrder="1"/>
    </xf>
    <xf numFmtId="175" fontId="24" fillId="0" borderId="59" xfId="0" applyNumberFormat="1" applyFont="1" applyBorder="1" applyAlignment="1">
      <alignment horizontal="left" vertical="top" readingOrder="1"/>
    </xf>
    <xf numFmtId="175" fontId="22" fillId="0" borderId="0" xfId="0" applyNumberFormat="1" applyFont="1"/>
    <xf numFmtId="4" fontId="24" fillId="0" borderId="59" xfId="0" applyNumberFormat="1" applyFont="1" applyBorder="1" applyAlignment="1">
      <alignment horizontal="left" vertical="top" readingOrder="1"/>
    </xf>
    <xf numFmtId="4" fontId="22" fillId="0" borderId="0" xfId="0" applyNumberFormat="1" applyFont="1"/>
    <xf numFmtId="174" fontId="24" fillId="0" borderId="59" xfId="0" applyNumberFormat="1" applyFont="1" applyBorder="1" applyAlignment="1">
      <alignment horizontal="left" vertical="top" readingOrder="1"/>
    </xf>
    <xf numFmtId="174" fontId="22" fillId="0" borderId="0" xfId="0" applyNumberFormat="1" applyFont="1"/>
    <xf numFmtId="0" fontId="24" fillId="0" borderId="0" xfId="0" applyFont="1" applyAlignment="1">
      <alignment horizontal="left" vertical="top" wrapText="1"/>
    </xf>
    <xf numFmtId="0" fontId="22" fillId="0" borderId="0" xfId="0" applyFont="1" applyAlignment="1">
      <alignment wrapText="1"/>
    </xf>
    <xf numFmtId="0" fontId="24" fillId="0" borderId="55" xfId="0" applyFont="1" applyBorder="1" applyAlignment="1">
      <alignment horizontal="left" vertical="top" wrapText="1" readingOrder="1"/>
    </xf>
    <xf numFmtId="0" fontId="24" fillId="0" borderId="56" xfId="0" applyFont="1" applyBorder="1" applyAlignment="1">
      <alignment horizontal="left" vertical="top" wrapText="1" readingOrder="1"/>
    </xf>
    <xf numFmtId="0" fontId="24" fillId="0" borderId="61" xfId="0" applyFont="1" applyBorder="1" applyAlignment="1">
      <alignment horizontal="left" vertical="top" wrapText="1" readingOrder="1"/>
    </xf>
    <xf numFmtId="0" fontId="24" fillId="0" borderId="105" xfId="0" applyFont="1" applyBorder="1" applyAlignment="1">
      <alignment horizontal="left" vertical="top" wrapText="1" readingOrder="1"/>
    </xf>
    <xf numFmtId="0" fontId="24" fillId="0" borderId="75" xfId="0" applyFont="1" applyBorder="1" applyAlignment="1">
      <alignment horizontal="left" vertical="top" wrapText="1" readingOrder="1"/>
    </xf>
    <xf numFmtId="0" fontId="23" fillId="22" borderId="59" xfId="0" applyFont="1" applyFill="1" applyBorder="1" applyAlignment="1">
      <alignment horizontal="left" vertical="top" wrapText="1" readingOrder="1"/>
    </xf>
    <xf numFmtId="0" fontId="24" fillId="0" borderId="59" xfId="0" applyFont="1" applyBorder="1" applyAlignment="1">
      <alignment horizontal="left" vertical="top" wrapText="1" readingOrder="1"/>
    </xf>
    <xf numFmtId="38" fontId="24" fillId="0" borderId="59" xfId="0" applyNumberFormat="1" applyFont="1" applyBorder="1" applyAlignment="1">
      <alignment horizontal="left" vertical="top" wrapText="1" readingOrder="1"/>
    </xf>
    <xf numFmtId="38" fontId="24" fillId="0" borderId="0" xfId="0" applyNumberFormat="1" applyFont="1" applyAlignment="1">
      <alignment horizontal="left" vertical="top" wrapText="1"/>
    </xf>
    <xf numFmtId="38" fontId="22" fillId="0" borderId="0" xfId="0" applyNumberFormat="1" applyFont="1" applyAlignment="1">
      <alignment wrapText="1"/>
    </xf>
    <xf numFmtId="3" fontId="24" fillId="0" borderId="59" xfId="0" applyNumberFormat="1" applyFont="1" applyBorder="1" applyAlignment="1">
      <alignment horizontal="left" vertical="top" wrapText="1" readingOrder="1"/>
    </xf>
    <xf numFmtId="3" fontId="24" fillId="0" borderId="0" xfId="0" applyNumberFormat="1" applyFont="1" applyAlignment="1">
      <alignment horizontal="left" vertical="top" wrapText="1"/>
    </xf>
    <xf numFmtId="3" fontId="22" fillId="0" borderId="0" xfId="0" applyNumberFormat="1" applyFont="1" applyAlignment="1">
      <alignment wrapText="1"/>
    </xf>
    <xf numFmtId="0" fontId="24" fillId="0" borderId="76" xfId="0" applyFont="1" applyBorder="1" applyAlignment="1">
      <alignment horizontal="left" vertical="top" wrapText="1" readingOrder="1"/>
    </xf>
    <xf numFmtId="0" fontId="24" fillId="0" borderId="77" xfId="0" applyFont="1" applyBorder="1" applyAlignment="1">
      <alignment horizontal="left" vertical="top" wrapText="1" readingOrder="1"/>
    </xf>
    <xf numFmtId="0" fontId="24" fillId="0" borderId="78" xfId="0" applyFont="1" applyBorder="1" applyAlignment="1">
      <alignment horizontal="left" vertical="top" wrapText="1" readingOrder="1"/>
    </xf>
    <xf numFmtId="0" fontId="24" fillId="0" borderId="100" xfId="0" applyFont="1" applyBorder="1" applyAlignment="1">
      <alignment horizontal="left" vertical="top" wrapText="1" readingOrder="1"/>
    </xf>
    <xf numFmtId="0" fontId="24" fillId="0" borderId="84" xfId="0" applyFont="1" applyBorder="1" applyAlignment="1">
      <alignment horizontal="left" vertical="top" wrapText="1" readingOrder="1"/>
    </xf>
    <xf numFmtId="0" fontId="24" fillId="0" borderId="99" xfId="0" applyFont="1" applyBorder="1" applyAlignment="1">
      <alignment horizontal="left" vertical="top" wrapText="1" readingOrder="1"/>
    </xf>
    <xf numFmtId="0" fontId="23" fillId="22" borderId="80" xfId="0" applyFont="1" applyFill="1" applyBorder="1" applyAlignment="1">
      <alignment horizontal="left" vertical="top" wrapText="1" readingOrder="1"/>
    </xf>
    <xf numFmtId="0" fontId="23" fillId="22" borderId="79" xfId="0" applyFont="1" applyFill="1" applyBorder="1" applyAlignment="1">
      <alignment horizontal="left" vertical="top" wrapText="1" readingOrder="1"/>
    </xf>
    <xf numFmtId="0" fontId="23" fillId="22" borderId="86" xfId="0" applyFont="1" applyFill="1" applyBorder="1" applyAlignment="1">
      <alignment horizontal="left" vertical="top" wrapText="1" readingOrder="1"/>
    </xf>
    <xf numFmtId="0" fontId="23" fillId="22" borderId="96" xfId="0" applyFont="1" applyFill="1" applyBorder="1" applyAlignment="1">
      <alignment horizontal="left" vertical="top" wrapText="1" readingOrder="1"/>
    </xf>
    <xf numFmtId="0" fontId="23" fillId="22" borderId="104" xfId="0" applyFont="1" applyFill="1" applyBorder="1" applyAlignment="1">
      <alignment horizontal="left" vertical="top" wrapText="1" readingOrder="1"/>
    </xf>
    <xf numFmtId="0" fontId="21" fillId="13" borderId="6" xfId="0" applyFont="1" applyFill="1" applyBorder="1" applyAlignment="1">
      <alignment vertical="center"/>
    </xf>
    <xf numFmtId="0" fontId="27" fillId="13" borderId="3" xfId="1" applyFont="1" applyFill="1" applyBorder="1" applyAlignment="1" applyProtection="1">
      <alignment horizontal="center" vertical="center"/>
    </xf>
    <xf numFmtId="0" fontId="32" fillId="0" borderId="0" xfId="0" applyFont="1"/>
    <xf numFmtId="0" fontId="22" fillId="0" borderId="26" xfId="0" applyFont="1" applyBorder="1"/>
    <xf numFmtId="0" fontId="22" fillId="0" borderId="30" xfId="0" applyFont="1" applyBorder="1"/>
    <xf numFmtId="0" fontId="22" fillId="0" borderId="37" xfId="0" applyFont="1" applyBorder="1" applyAlignment="1">
      <alignment horizontal="center"/>
    </xf>
    <xf numFmtId="17" fontId="33" fillId="15" borderId="22" xfId="0" applyNumberFormat="1" applyFont="1" applyFill="1" applyBorder="1" applyAlignment="1">
      <alignment horizontal="center" vertical="center" wrapText="1"/>
    </xf>
    <xf numFmtId="17" fontId="33" fillId="15" borderId="21" xfId="0" applyNumberFormat="1" applyFont="1" applyFill="1" applyBorder="1" applyAlignment="1">
      <alignment horizontal="center" vertical="center" wrapText="1"/>
    </xf>
    <xf numFmtId="17" fontId="33" fillId="15" borderId="103" xfId="0" applyNumberFormat="1" applyFont="1" applyFill="1" applyBorder="1" applyAlignment="1">
      <alignment horizontal="center" vertical="center" wrapText="1"/>
    </xf>
    <xf numFmtId="0" fontId="22" fillId="13" borderId="21" xfId="4" applyFont="1" applyFill="1" applyBorder="1" applyAlignment="1">
      <alignment horizontal="center" vertical="center" wrapText="1"/>
    </xf>
    <xf numFmtId="0" fontId="22" fillId="14" borderId="21" xfId="0" applyFont="1" applyFill="1" applyBorder="1" applyAlignment="1" applyProtection="1">
      <alignment horizontal="left" vertical="center" wrapText="1"/>
      <protection locked="0"/>
    </xf>
    <xf numFmtId="0" fontId="22" fillId="14" borderId="21" xfId="0" applyFont="1" applyFill="1" applyBorder="1" applyAlignment="1" applyProtection="1">
      <alignment horizontal="left" vertical="center"/>
      <protection locked="0"/>
    </xf>
    <xf numFmtId="0" fontId="22" fillId="0" borderId="21" xfId="0" applyFont="1" applyBorder="1" applyAlignment="1" applyProtection="1">
      <alignment horizontal="left" vertical="center" wrapText="1"/>
      <protection locked="0"/>
    </xf>
    <xf numFmtId="0" fontId="22" fillId="0" borderId="21" xfId="0" applyFont="1" applyBorder="1" applyAlignment="1" applyProtection="1">
      <alignment horizontal="left" vertical="center"/>
      <protection locked="0"/>
    </xf>
    <xf numFmtId="0" fontId="21" fillId="2" borderId="17" xfId="0" quotePrefix="1" applyFont="1" applyFill="1" applyBorder="1" applyAlignment="1">
      <alignment vertical="center"/>
    </xf>
    <xf numFmtId="0" fontId="21" fillId="2" borderId="0" xfId="0" quotePrefix="1" applyFont="1" applyFill="1" applyAlignment="1">
      <alignment vertical="center"/>
    </xf>
    <xf numFmtId="0" fontId="27" fillId="13" borderId="6" xfId="1" applyFont="1" applyFill="1" applyBorder="1" applyAlignment="1" applyProtection="1">
      <alignment horizontal="center" vertical="center"/>
    </xf>
    <xf numFmtId="0" fontId="33" fillId="15" borderId="21" xfId="0" applyFont="1" applyFill="1" applyBorder="1" applyAlignment="1">
      <alignment horizontal="center" vertical="center" wrapText="1"/>
    </xf>
    <xf numFmtId="0" fontId="22" fillId="2" borderId="0" xfId="0" applyFont="1" applyFill="1"/>
    <xf numFmtId="173" fontId="22" fillId="2" borderId="21" xfId="0" applyNumberFormat="1" applyFont="1" applyFill="1" applyBorder="1" applyAlignment="1" applyProtection="1">
      <alignment horizontal="center" vertical="center"/>
      <protection locked="0"/>
    </xf>
    <xf numFmtId="4" fontId="22" fillId="2" borderId="21" xfId="0" applyNumberFormat="1" applyFont="1" applyFill="1" applyBorder="1" applyAlignment="1" applyProtection="1">
      <alignment horizontal="center" vertical="center"/>
      <protection locked="0"/>
    </xf>
    <xf numFmtId="0" fontId="22" fillId="2" borderId="0" xfId="0" applyFont="1" applyFill="1" applyAlignment="1">
      <alignment shrinkToFit="1"/>
    </xf>
    <xf numFmtId="0" fontId="22" fillId="2" borderId="0" xfId="0" applyFont="1" applyFill="1" applyAlignment="1" applyProtection="1">
      <alignment horizontal="center"/>
      <protection locked="0"/>
    </xf>
    <xf numFmtId="0" fontId="22" fillId="2" borderId="0" xfId="0" applyFont="1" applyFill="1" applyAlignment="1">
      <alignment horizontal="center"/>
    </xf>
    <xf numFmtId="0" fontId="22" fillId="0" borderId="0" xfId="0" applyFont="1" applyProtection="1">
      <protection locked="0"/>
    </xf>
    <xf numFmtId="0" fontId="36" fillId="0" borderId="0" xfId="0" applyFont="1"/>
    <xf numFmtId="0" fontId="32" fillId="2" borderId="0" xfId="0" applyFont="1" applyFill="1"/>
    <xf numFmtId="0" fontId="32" fillId="0" borderId="0" xfId="0" applyFont="1" applyProtection="1">
      <protection hidden="1"/>
    </xf>
    <xf numFmtId="0" fontId="21" fillId="13" borderId="6" xfId="0" applyFont="1" applyFill="1" applyBorder="1" applyAlignment="1">
      <alignment horizontal="center" vertical="center"/>
    </xf>
    <xf numFmtId="0" fontId="22" fillId="0" borderId="111" xfId="0" applyFont="1" applyBorder="1"/>
    <xf numFmtId="0" fontId="22" fillId="15" borderId="0" xfId="0" applyFont="1" applyFill="1"/>
    <xf numFmtId="0" fontId="33" fillId="12" borderId="22" xfId="0" applyFont="1" applyFill="1" applyBorder="1" applyAlignment="1">
      <alignment horizontal="center" vertical="center"/>
    </xf>
    <xf numFmtId="38" fontId="22" fillId="14" borderId="21" xfId="0" applyNumberFormat="1" applyFont="1" applyFill="1" applyBorder="1" applyAlignment="1" applyProtection="1">
      <alignment horizontal="center" vertical="center"/>
      <protection locked="0"/>
    </xf>
    <xf numFmtId="0" fontId="22" fillId="14" borderId="21" xfId="0" applyFont="1" applyFill="1" applyBorder="1" applyAlignment="1" applyProtection="1">
      <alignment horizontal="center" vertical="center" wrapText="1"/>
      <protection locked="0"/>
    </xf>
    <xf numFmtId="3" fontId="22" fillId="14" borderId="21" xfId="0" applyNumberFormat="1" applyFont="1" applyFill="1" applyBorder="1" applyAlignment="1" applyProtection="1">
      <alignment horizontal="center" vertical="center"/>
      <protection locked="0"/>
    </xf>
    <xf numFmtId="0" fontId="22" fillId="14" borderId="0" xfId="0" applyFont="1" applyFill="1"/>
    <xf numFmtId="0" fontId="22" fillId="14" borderId="0" xfId="0" applyFont="1" applyFill="1" applyProtection="1">
      <protection hidden="1"/>
    </xf>
    <xf numFmtId="0" fontId="22" fillId="14" borderId="0" xfId="0" applyFont="1" applyFill="1" applyAlignment="1">
      <alignment horizontal="center"/>
    </xf>
    <xf numFmtId="0" fontId="32" fillId="2" borderId="0" xfId="0" applyFont="1" applyFill="1" applyAlignment="1">
      <alignment horizontal="center" vertical="center"/>
    </xf>
    <xf numFmtId="0" fontId="22" fillId="14" borderId="22" xfId="0" applyFont="1" applyFill="1" applyBorder="1" applyAlignment="1" applyProtection="1">
      <alignment vertical="center" wrapText="1"/>
      <protection locked="0"/>
    </xf>
    <xf numFmtId="38" fontId="22" fillId="0" borderId="21" xfId="0" applyNumberFormat="1" applyFont="1" applyBorder="1" applyAlignment="1" applyProtection="1">
      <alignment horizontal="center" vertical="center"/>
      <protection locked="0"/>
    </xf>
    <xf numFmtId="0" fontId="22" fillId="0" borderId="21" xfId="0" applyFont="1" applyBorder="1" applyAlignment="1" applyProtection="1">
      <alignment horizontal="center" vertical="center" wrapText="1"/>
      <protection locked="0"/>
    </xf>
    <xf numFmtId="3" fontId="22" fillId="0" borderId="21" xfId="0" applyNumberFormat="1" applyFont="1" applyBorder="1" applyAlignment="1" applyProtection="1">
      <alignment horizontal="center" vertical="center"/>
      <protection locked="0"/>
    </xf>
    <xf numFmtId="0" fontId="22" fillId="0" borderId="0" xfId="0" applyFont="1" applyProtection="1">
      <protection hidden="1"/>
    </xf>
    <xf numFmtId="0" fontId="22" fillId="0" borderId="0" xfId="0" applyFont="1" applyAlignment="1">
      <alignment horizontal="center"/>
    </xf>
    <xf numFmtId="0" fontId="22" fillId="0" borderId="22" xfId="0" applyFont="1" applyBorder="1" applyAlignment="1" applyProtection="1">
      <alignment vertical="center" wrapText="1"/>
      <protection locked="0"/>
    </xf>
    <xf numFmtId="0" fontId="21" fillId="2" borderId="0" xfId="0" applyFont="1" applyFill="1" applyAlignment="1">
      <alignment vertical="center"/>
    </xf>
    <xf numFmtId="0" fontId="37" fillId="2" borderId="0" xfId="0" applyFont="1" applyFill="1"/>
    <xf numFmtId="0" fontId="22" fillId="0" borderId="0" xfId="0" quotePrefix="1" applyFont="1"/>
    <xf numFmtId="0" fontId="22" fillId="0" borderId="26" xfId="0" applyFont="1" applyBorder="1" applyAlignment="1">
      <alignment vertical="center" wrapText="1"/>
    </xf>
    <xf numFmtId="174" fontId="22" fillId="14" borderId="21" xfId="0" applyNumberFormat="1" applyFont="1" applyFill="1" applyBorder="1" applyAlignment="1" applyProtection="1">
      <alignment horizontal="center" vertical="center"/>
      <protection locked="0"/>
    </xf>
    <xf numFmtId="174" fontId="22" fillId="0" borderId="21" xfId="0" applyNumberFormat="1" applyFont="1" applyBorder="1" applyAlignment="1" applyProtection="1">
      <alignment horizontal="center" vertical="center"/>
      <protection locked="0"/>
    </xf>
    <xf numFmtId="174" fontId="22" fillId="2" borderId="21" xfId="0" applyNumberFormat="1" applyFont="1" applyFill="1" applyBorder="1" applyAlignment="1" applyProtection="1">
      <alignment horizontal="center" vertical="center"/>
      <protection locked="0"/>
    </xf>
    <xf numFmtId="0" fontId="21" fillId="2" borderId="0" xfId="0" applyFont="1" applyFill="1" applyAlignment="1" applyProtection="1">
      <alignment vertical="center"/>
      <protection hidden="1"/>
    </xf>
    <xf numFmtId="0" fontId="21" fillId="2" borderId="39" xfId="0" applyFont="1" applyFill="1" applyBorder="1" applyAlignment="1" applyProtection="1">
      <alignment vertical="center"/>
      <protection hidden="1"/>
    </xf>
    <xf numFmtId="0" fontId="22" fillId="0" borderId="52" xfId="0" applyFont="1" applyBorder="1"/>
    <xf numFmtId="0" fontId="22" fillId="0" borderId="102" xfId="0" applyFont="1" applyBorder="1"/>
    <xf numFmtId="0" fontId="22" fillId="0" borderId="36" xfId="0" applyFont="1" applyBorder="1"/>
    <xf numFmtId="0" fontId="22" fillId="0" borderId="34" xfId="0" applyFont="1" applyBorder="1"/>
    <xf numFmtId="0" fontId="22" fillId="0" borderId="33" xfId="0" applyFont="1" applyBorder="1"/>
    <xf numFmtId="0" fontId="22" fillId="0" borderId="31" xfId="0" applyFont="1" applyBorder="1"/>
    <xf numFmtId="0" fontId="32" fillId="0" borderId="31" xfId="0" applyFont="1" applyBorder="1"/>
    <xf numFmtId="0" fontId="36" fillId="0" borderId="31" xfId="0" applyFont="1" applyBorder="1"/>
    <xf numFmtId="0" fontId="32" fillId="2" borderId="31" xfId="0" applyFont="1" applyFill="1" applyBorder="1"/>
    <xf numFmtId="0" fontId="37" fillId="2" borderId="31" xfId="0" applyFont="1" applyFill="1" applyBorder="1"/>
    <xf numFmtId="0" fontId="22" fillId="2" borderId="31" xfId="0" applyFont="1" applyFill="1" applyBorder="1"/>
    <xf numFmtId="0" fontId="21" fillId="13" borderId="6" xfId="0" applyFont="1" applyFill="1" applyBorder="1" applyAlignment="1" applyProtection="1">
      <alignment vertical="center"/>
      <protection hidden="1"/>
    </xf>
    <xf numFmtId="0" fontId="22" fillId="0" borderId="35" xfId="0" applyFont="1" applyBorder="1"/>
    <xf numFmtId="0" fontId="21" fillId="13" borderId="6" xfId="0" applyFont="1" applyFill="1" applyBorder="1" applyAlignment="1" applyProtection="1">
      <alignment horizontal="center" vertical="center"/>
      <protection hidden="1"/>
    </xf>
    <xf numFmtId="0" fontId="32" fillId="0" borderId="34" xfId="0" applyFont="1" applyBorder="1"/>
    <xf numFmtId="0" fontId="22" fillId="0" borderId="32" xfId="0" applyFont="1" applyBorder="1"/>
    <xf numFmtId="0" fontId="32" fillId="0" borderId="32" xfId="0" applyFont="1" applyBorder="1"/>
    <xf numFmtId="0" fontId="36" fillId="0" borderId="32" xfId="0" applyFont="1" applyBorder="1"/>
    <xf numFmtId="0" fontId="32" fillId="2" borderId="32" xfId="0" applyFont="1" applyFill="1" applyBorder="1"/>
    <xf numFmtId="0" fontId="37" fillId="2" borderId="32" xfId="0" applyFont="1" applyFill="1" applyBorder="1"/>
    <xf numFmtId="0" fontId="22" fillId="2" borderId="32" xfId="0" applyFont="1" applyFill="1" applyBorder="1"/>
    <xf numFmtId="0" fontId="22" fillId="0" borderId="26" xfId="0" applyFont="1" applyBorder="1" applyAlignment="1">
      <alignment horizontal="center" vertical="center" wrapText="1"/>
    </xf>
    <xf numFmtId="0" fontId="22" fillId="0" borderId="37" xfId="0" applyFont="1" applyBorder="1" applyAlignment="1">
      <alignment vertical="center" wrapText="1"/>
    </xf>
    <xf numFmtId="0" fontId="32" fillId="0" borderId="26" xfId="0" applyFont="1" applyBorder="1"/>
    <xf numFmtId="17" fontId="33" fillId="15" borderId="22" xfId="0" applyNumberFormat="1" applyFont="1" applyFill="1" applyBorder="1" applyAlignment="1" applyProtection="1">
      <alignment horizontal="center" vertical="center" wrapText="1"/>
      <protection hidden="1"/>
    </xf>
    <xf numFmtId="17" fontId="33" fillId="15" borderId="103" xfId="0" applyNumberFormat="1" applyFont="1" applyFill="1" applyBorder="1" applyAlignment="1" applyProtection="1">
      <alignment horizontal="center" vertical="center" wrapText="1"/>
      <protection hidden="1"/>
    </xf>
    <xf numFmtId="174" fontId="36" fillId="14" borderId="21" xfId="0" applyNumberFormat="1" applyFont="1" applyFill="1" applyBorder="1" applyAlignment="1" applyProtection="1">
      <alignment horizontal="center" vertical="center" wrapText="1"/>
      <protection locked="0"/>
    </xf>
    <xf numFmtId="38" fontId="36" fillId="14" borderId="21" xfId="0" applyNumberFormat="1" applyFont="1" applyFill="1" applyBorder="1" applyAlignment="1" applyProtection="1">
      <alignment horizontal="center" vertical="center" wrapText="1"/>
      <protection locked="0"/>
    </xf>
    <xf numFmtId="174" fontId="36" fillId="0" borderId="21" xfId="0" applyNumberFormat="1" applyFont="1" applyBorder="1" applyAlignment="1" applyProtection="1">
      <alignment horizontal="center" vertical="center" wrapText="1"/>
      <protection locked="0"/>
    </xf>
    <xf numFmtId="38" fontId="36" fillId="0" borderId="21" xfId="0" applyNumberFormat="1" applyFont="1" applyBorder="1" applyAlignment="1" applyProtection="1">
      <alignment horizontal="center" vertical="center" wrapText="1"/>
      <protection locked="0"/>
    </xf>
    <xf numFmtId="2" fontId="22" fillId="0" borderId="0" xfId="0" applyNumberFormat="1" applyFont="1"/>
    <xf numFmtId="0" fontId="22" fillId="0" borderId="0" xfId="0" applyFont="1" applyAlignment="1">
      <alignment vertical="center"/>
    </xf>
    <xf numFmtId="0" fontId="36" fillId="0" borderId="0" xfId="0" applyFont="1" applyAlignment="1">
      <alignment vertical="center"/>
    </xf>
    <xf numFmtId="0" fontId="22" fillId="13" borderId="22" xfId="0" applyFont="1" applyFill="1" applyBorder="1"/>
    <xf numFmtId="0" fontId="22" fillId="0" borderId="22" xfId="0" applyFont="1" applyBorder="1"/>
    <xf numFmtId="170" fontId="21" fillId="2" borderId="0" xfId="0" applyNumberFormat="1" applyFont="1" applyFill="1" applyAlignment="1">
      <alignment horizontal="right" vertical="center"/>
    </xf>
    <xf numFmtId="0" fontId="22" fillId="2" borderId="0" xfId="0" applyFont="1" applyFill="1" applyAlignment="1" applyProtection="1">
      <alignment horizontal="center" vertical="center"/>
      <protection locked="0"/>
    </xf>
    <xf numFmtId="17" fontId="27" fillId="2" borderId="0" xfId="1" quotePrefix="1" applyNumberFormat="1" applyFont="1" applyFill="1" applyBorder="1" applyAlignment="1" applyProtection="1">
      <alignment horizontal="center" vertical="center"/>
    </xf>
    <xf numFmtId="0" fontId="22" fillId="0" borderId="0" xfId="0" applyFont="1" applyAlignment="1">
      <alignment horizontal="center" wrapText="1"/>
    </xf>
    <xf numFmtId="0" fontId="21" fillId="15" borderId="4" xfId="0" applyFont="1" applyFill="1" applyBorder="1" applyAlignment="1">
      <alignment horizontal="center" vertical="center"/>
    </xf>
    <xf numFmtId="0" fontId="21" fillId="4" borderId="0" xfId="0" applyFont="1" applyFill="1" applyAlignment="1">
      <alignment horizontal="center" vertical="center"/>
    </xf>
    <xf numFmtId="0" fontId="21" fillId="4" borderId="13" xfId="0" applyFont="1" applyFill="1" applyBorder="1" applyAlignment="1">
      <alignment horizontal="center" vertical="center" wrapText="1"/>
    </xf>
    <xf numFmtId="0" fontId="22" fillId="13" borderId="9" xfId="0" applyFont="1" applyFill="1" applyBorder="1" applyAlignment="1" applyProtection="1">
      <alignment horizontal="center" vertical="center" wrapText="1"/>
      <protection hidden="1"/>
    </xf>
    <xf numFmtId="0" fontId="22" fillId="0" borderId="0" xfId="0" applyFont="1" applyAlignment="1">
      <alignment horizontal="center" vertical="center"/>
    </xf>
    <xf numFmtId="0" fontId="38" fillId="0" borderId="0" xfId="0" applyFont="1"/>
    <xf numFmtId="0" fontId="22" fillId="13" borderId="10" xfId="0" quotePrefix="1" applyFont="1" applyFill="1" applyBorder="1" applyAlignment="1" applyProtection="1">
      <alignment horizontal="center" vertical="center" wrapText="1"/>
      <protection hidden="1"/>
    </xf>
    <xf numFmtId="15" fontId="22" fillId="17" borderId="10" xfId="0" applyNumberFormat="1" applyFont="1" applyFill="1" applyBorder="1" applyAlignment="1" applyProtection="1">
      <alignment horizontal="center" vertical="center"/>
      <protection locked="0"/>
    </xf>
    <xf numFmtId="15" fontId="22" fillId="0" borderId="0" xfId="0" applyNumberFormat="1" applyFont="1" applyAlignment="1">
      <alignment horizontal="center" vertical="center"/>
    </xf>
    <xf numFmtId="0" fontId="31" fillId="0" borderId="0" xfId="0" applyFont="1" applyAlignment="1">
      <alignment horizontal="center" vertical="center"/>
    </xf>
    <xf numFmtId="0" fontId="39" fillId="4" borderId="13" xfId="0" applyFont="1" applyFill="1" applyBorder="1" applyAlignment="1">
      <alignment horizontal="center" vertical="center" wrapText="1"/>
    </xf>
    <xf numFmtId="15" fontId="32" fillId="0" borderId="0" xfId="0" applyNumberFormat="1" applyFont="1" applyAlignment="1">
      <alignment horizontal="center" vertical="center" wrapText="1"/>
    </xf>
    <xf numFmtId="0" fontId="32" fillId="0" borderId="0" xfId="0" applyFont="1" applyAlignment="1">
      <alignment wrapText="1"/>
    </xf>
    <xf numFmtId="15" fontId="32" fillId="2" borderId="0" xfId="0" applyNumberFormat="1" applyFont="1" applyFill="1" applyAlignment="1">
      <alignment horizontal="center" vertical="center"/>
    </xf>
    <xf numFmtId="15" fontId="32" fillId="2" borderId="0" xfId="0" applyNumberFormat="1" applyFont="1" applyFill="1" applyAlignment="1">
      <alignment horizontal="center" vertical="center" wrapText="1"/>
    </xf>
    <xf numFmtId="15" fontId="22" fillId="2" borderId="0" xfId="0" applyNumberFormat="1" applyFont="1" applyFill="1" applyAlignment="1">
      <alignment horizontal="center" vertical="center"/>
    </xf>
    <xf numFmtId="17" fontId="22" fillId="2" borderId="0" xfId="0" applyNumberFormat="1" applyFont="1" applyFill="1" applyAlignment="1">
      <alignment horizontal="center" vertical="center"/>
    </xf>
    <xf numFmtId="0" fontId="22" fillId="2" borderId="0" xfId="0" applyFont="1" applyFill="1" applyAlignment="1">
      <alignment horizontal="center" vertical="center"/>
    </xf>
    <xf numFmtId="0" fontId="38" fillId="2" borderId="0" xfId="0" applyFont="1" applyFill="1"/>
    <xf numFmtId="0" fontId="36" fillId="2" borderId="0" xfId="0" applyFont="1" applyFill="1"/>
    <xf numFmtId="0" fontId="21" fillId="13" borderId="7" xfId="0" applyFont="1" applyFill="1" applyBorder="1" applyAlignment="1">
      <alignment horizontal="center" vertical="center"/>
    </xf>
    <xf numFmtId="0" fontId="21" fillId="13" borderId="17" xfId="0" applyFont="1" applyFill="1" applyBorder="1" applyAlignment="1">
      <alignment horizontal="center" vertical="center"/>
    </xf>
    <xf numFmtId="0" fontId="27" fillId="13" borderId="2" xfId="1" applyFont="1" applyFill="1" applyBorder="1" applyAlignment="1" applyProtection="1">
      <alignment horizontal="center" vertical="center"/>
    </xf>
    <xf numFmtId="0" fontId="27" fillId="13" borderId="4" xfId="1" applyFont="1" applyFill="1" applyBorder="1" applyAlignment="1" applyProtection="1">
      <alignment horizontal="center" vertical="center"/>
    </xf>
    <xf numFmtId="0" fontId="22" fillId="13" borderId="0" xfId="0" applyFont="1" applyFill="1"/>
    <xf numFmtId="0" fontId="27" fillId="13" borderId="0" xfId="1" applyFont="1" applyFill="1" applyBorder="1" applyAlignment="1" applyProtection="1">
      <alignment horizontal="center" vertical="center"/>
    </xf>
    <xf numFmtId="0" fontId="22" fillId="13" borderId="0" xfId="0" applyFont="1" applyFill="1" applyAlignment="1">
      <alignment horizontal="center" wrapText="1"/>
    </xf>
    <xf numFmtId="0" fontId="36" fillId="13" borderId="0" xfId="0" applyFont="1" applyFill="1"/>
    <xf numFmtId="0" fontId="21" fillId="13" borderId="14" xfId="0" applyFont="1" applyFill="1" applyBorder="1" applyAlignment="1">
      <alignment horizontal="center" vertical="center"/>
    </xf>
    <xf numFmtId="0" fontId="21" fillId="13" borderId="15" xfId="0" applyFont="1" applyFill="1" applyBorder="1" applyAlignment="1">
      <alignment horizontal="center" vertical="center"/>
    </xf>
    <xf numFmtId="17" fontId="27" fillId="2" borderId="7" xfId="1" quotePrefix="1" applyNumberFormat="1" applyFont="1" applyFill="1" applyBorder="1" applyAlignment="1" applyProtection="1">
      <alignment horizontal="center" vertical="center"/>
    </xf>
    <xf numFmtId="17" fontId="27" fillId="2" borderId="17" xfId="1" quotePrefix="1" applyNumberFormat="1" applyFont="1" applyFill="1" applyBorder="1" applyAlignment="1" applyProtection="1">
      <alignment horizontal="center" vertical="center"/>
    </xf>
    <xf numFmtId="17" fontId="27" fillId="2" borderId="8" xfId="1" quotePrefix="1" applyNumberFormat="1" applyFont="1" applyFill="1" applyBorder="1" applyAlignment="1" applyProtection="1">
      <alignment horizontal="center" vertical="center"/>
    </xf>
    <xf numFmtId="0" fontId="21" fillId="15" borderId="23" xfId="0" applyFont="1" applyFill="1" applyBorder="1" applyAlignment="1">
      <alignment horizontal="center" vertical="center" wrapText="1"/>
    </xf>
    <xf numFmtId="0" fontId="21" fillId="4" borderId="23" xfId="0" applyFont="1" applyFill="1" applyBorder="1" applyAlignment="1">
      <alignment horizontal="center" vertical="center" wrapText="1"/>
    </xf>
    <xf numFmtId="17" fontId="27" fillId="2" borderId="13" xfId="1" quotePrefix="1" applyNumberFormat="1" applyFont="1" applyFill="1" applyBorder="1" applyAlignment="1" applyProtection="1">
      <alignment horizontal="center" vertical="center"/>
    </xf>
    <xf numFmtId="49" fontId="22" fillId="5" borderId="23" xfId="0" applyNumberFormat="1" applyFont="1" applyFill="1" applyBorder="1" applyAlignment="1">
      <alignment horizontal="center" vertical="center"/>
    </xf>
    <xf numFmtId="49" fontId="22" fillId="2" borderId="40" xfId="0" applyNumberFormat="1" applyFont="1" applyFill="1" applyBorder="1" applyAlignment="1">
      <alignment horizontal="center" vertical="center"/>
    </xf>
    <xf numFmtId="49" fontId="22" fillId="5" borderId="41" xfId="0" applyNumberFormat="1" applyFont="1" applyFill="1" applyBorder="1" applyAlignment="1">
      <alignment horizontal="center" vertical="center"/>
    </xf>
    <xf numFmtId="17" fontId="27" fillId="0" borderId="0" xfId="1" quotePrefix="1" applyNumberFormat="1" applyFont="1" applyFill="1" applyBorder="1" applyAlignment="1" applyProtection="1">
      <alignment horizontal="center" vertical="center"/>
    </xf>
    <xf numFmtId="0" fontId="22" fillId="0" borderId="17" xfId="0" applyFont="1" applyBorder="1"/>
    <xf numFmtId="0" fontId="22" fillId="0" borderId="13" xfId="0" applyFont="1" applyBorder="1"/>
    <xf numFmtId="0" fontId="21" fillId="15" borderId="45" xfId="0" applyFont="1" applyFill="1" applyBorder="1" applyAlignment="1">
      <alignment horizontal="center" vertical="center" wrapText="1"/>
    </xf>
    <xf numFmtId="0" fontId="21" fillId="15" borderId="12" xfId="0" applyFont="1" applyFill="1" applyBorder="1" applyAlignment="1">
      <alignment horizontal="center" vertical="center" wrapText="1"/>
    </xf>
    <xf numFmtId="0" fontId="21" fillId="15" borderId="46" xfId="0" quotePrefix="1" applyFont="1" applyFill="1" applyBorder="1" applyAlignment="1">
      <alignment horizontal="center" vertical="center" wrapText="1"/>
    </xf>
    <xf numFmtId="0" fontId="21" fillId="0" borderId="0" xfId="0" applyFont="1" applyAlignment="1">
      <alignment horizontal="center" vertical="center" wrapText="1"/>
    </xf>
    <xf numFmtId="0" fontId="31" fillId="0" borderId="0" xfId="0" applyFont="1" applyAlignment="1">
      <alignment horizontal="center" vertical="center" wrapText="1"/>
    </xf>
    <xf numFmtId="0" fontId="21" fillId="0" borderId="13" xfId="0" applyFont="1" applyBorder="1" applyAlignment="1">
      <alignment horizontal="center" vertical="center" wrapText="1"/>
    </xf>
    <xf numFmtId="17" fontId="33" fillId="2" borderId="0" xfId="0" applyNumberFormat="1" applyFont="1" applyFill="1" applyAlignment="1">
      <alignment horizontal="center" vertical="center" wrapText="1"/>
    </xf>
    <xf numFmtId="17" fontId="33" fillId="2" borderId="0" xfId="0" applyNumberFormat="1" applyFont="1" applyFill="1" applyAlignment="1">
      <alignment vertical="center" wrapText="1"/>
    </xf>
    <xf numFmtId="17" fontId="33" fillId="2" borderId="0" xfId="0" quotePrefix="1" applyNumberFormat="1" applyFont="1" applyFill="1" applyAlignment="1">
      <alignment vertical="center" wrapText="1"/>
    </xf>
    <xf numFmtId="17" fontId="21" fillId="0" borderId="0" xfId="0" applyNumberFormat="1" applyFont="1" applyAlignment="1">
      <alignment horizontal="center" vertical="center" wrapText="1"/>
    </xf>
    <xf numFmtId="1" fontId="22" fillId="13" borderId="0" xfId="0" applyNumberFormat="1" applyFont="1" applyFill="1" applyAlignment="1">
      <alignment horizontal="center" vertical="center"/>
    </xf>
    <xf numFmtId="49" fontId="22" fillId="13" borderId="0" xfId="0" applyNumberFormat="1" applyFont="1" applyFill="1" applyAlignment="1">
      <alignment horizontal="center" vertical="center"/>
    </xf>
    <xf numFmtId="0" fontId="22" fillId="0" borderId="0" xfId="0" quotePrefix="1" applyFont="1" applyAlignment="1" applyProtection="1">
      <alignment horizontal="left" vertical="center" wrapText="1"/>
      <protection locked="0"/>
    </xf>
    <xf numFmtId="0" fontId="32" fillId="0" borderId="0" xfId="0" quotePrefix="1" applyFont="1" applyAlignment="1">
      <alignment horizontal="left" vertical="center" wrapText="1"/>
    </xf>
    <xf numFmtId="0" fontId="36" fillId="2" borderId="0" xfId="0" applyFont="1" applyFill="1" applyAlignment="1">
      <alignment horizontal="left" vertical="center" wrapText="1"/>
    </xf>
    <xf numFmtId="0" fontId="36" fillId="2" borderId="0" xfId="0" applyFont="1" applyFill="1" applyAlignment="1">
      <alignment wrapText="1"/>
    </xf>
    <xf numFmtId="0" fontId="22" fillId="2" borderId="0" xfId="0" applyFont="1" applyFill="1" applyAlignment="1">
      <alignment horizontal="left" vertical="center" wrapText="1"/>
    </xf>
    <xf numFmtId="0" fontId="22" fillId="0" borderId="47" xfId="0" applyFont="1" applyBorder="1"/>
    <xf numFmtId="0" fontId="21" fillId="2" borderId="17" xfId="0" applyFont="1" applyFill="1" applyBorder="1" applyAlignment="1">
      <alignment vertical="center"/>
    </xf>
    <xf numFmtId="0" fontId="22" fillId="0" borderId="8" xfId="0" applyFont="1" applyBorder="1"/>
    <xf numFmtId="0" fontId="22" fillId="0" borderId="15" xfId="0" applyFont="1" applyBorder="1"/>
    <xf numFmtId="17" fontId="22" fillId="0" borderId="15" xfId="0" applyNumberFormat="1" applyFont="1" applyBorder="1"/>
    <xf numFmtId="0" fontId="21" fillId="2" borderId="15" xfId="0" applyFont="1" applyFill="1" applyBorder="1" applyAlignment="1">
      <alignment vertical="center"/>
    </xf>
    <xf numFmtId="0" fontId="22" fillId="0" borderId="16" xfId="0" applyFont="1" applyBorder="1"/>
    <xf numFmtId="17" fontId="22" fillId="0" borderId="0" xfId="0" applyNumberFormat="1" applyFont="1"/>
    <xf numFmtId="17" fontId="22" fillId="0" borderId="13" xfId="0" applyNumberFormat="1" applyFont="1" applyBorder="1"/>
    <xf numFmtId="0" fontId="21" fillId="0" borderId="0" xfId="0" applyFont="1" applyAlignment="1">
      <alignment vertical="center"/>
    </xf>
    <xf numFmtId="17" fontId="21" fillId="15" borderId="23" xfId="0" applyNumberFormat="1" applyFont="1" applyFill="1" applyBorder="1" applyAlignment="1">
      <alignment horizontal="center" vertical="center" wrapText="1"/>
    </xf>
    <xf numFmtId="0" fontId="31" fillId="15" borderId="23" xfId="0" applyFont="1" applyFill="1" applyBorder="1" applyAlignment="1">
      <alignment vertical="center"/>
    </xf>
    <xf numFmtId="0" fontId="22" fillId="15" borderId="23" xfId="0" applyFont="1" applyFill="1" applyBorder="1"/>
    <xf numFmtId="0" fontId="32" fillId="0" borderId="23" xfId="0" applyFont="1" applyBorder="1"/>
    <xf numFmtId="15" fontId="22" fillId="13" borderId="23" xfId="0" applyNumberFormat="1" applyFont="1" applyFill="1" applyBorder="1" applyAlignment="1">
      <alignment horizontal="center" vertical="center"/>
    </xf>
    <xf numFmtId="0" fontId="22" fillId="0" borderId="23" xfId="0" applyFont="1" applyBorder="1" applyAlignment="1">
      <alignment horizontal="center" vertical="center"/>
    </xf>
    <xf numFmtId="0" fontId="22" fillId="0" borderId="23" xfId="0" applyFont="1" applyBorder="1"/>
    <xf numFmtId="15" fontId="22" fillId="0" borderId="23" xfId="0" applyNumberFormat="1" applyFont="1" applyBorder="1" applyAlignment="1" applyProtection="1">
      <alignment horizontal="center" vertical="center"/>
      <protection locked="0"/>
    </xf>
    <xf numFmtId="0" fontId="22" fillId="0" borderId="23" xfId="0" applyFont="1" applyBorder="1" applyAlignment="1" applyProtection="1">
      <alignment horizontal="center" vertical="center"/>
      <protection locked="0"/>
    </xf>
    <xf numFmtId="165" fontId="32" fillId="0" borderId="23" xfId="0" applyNumberFormat="1" applyFont="1" applyBorder="1"/>
    <xf numFmtId="15" fontId="32" fillId="0" borderId="23" xfId="0" applyNumberFormat="1" applyFont="1" applyBorder="1"/>
    <xf numFmtId="0" fontId="31" fillId="2" borderId="23" xfId="0" applyFont="1" applyFill="1" applyBorder="1" applyAlignment="1">
      <alignment vertical="center"/>
    </xf>
    <xf numFmtId="0" fontId="22" fillId="0" borderId="14" xfId="0" applyFont="1" applyBorder="1"/>
    <xf numFmtId="14" fontId="22" fillId="0" borderId="0" xfId="0" applyNumberFormat="1" applyFont="1"/>
    <xf numFmtId="15" fontId="22" fillId="2" borderId="1" xfId="0" applyNumberFormat="1" applyFont="1" applyFill="1" applyBorder="1" applyAlignment="1">
      <alignment horizontal="center" vertical="center"/>
    </xf>
    <xf numFmtId="0" fontId="33" fillId="0" borderId="17" xfId="0" applyFont="1" applyBorder="1" applyAlignment="1">
      <alignment horizontal="center" vertical="center"/>
    </xf>
    <xf numFmtId="0" fontId="33" fillId="0" borderId="8" xfId="0" applyFont="1" applyBorder="1" applyAlignment="1">
      <alignment horizontal="center" vertical="center"/>
    </xf>
    <xf numFmtId="0" fontId="33" fillId="0" borderId="0" xfId="0" applyFont="1" applyAlignment="1">
      <alignment horizontal="center" vertical="center"/>
    </xf>
    <xf numFmtId="17" fontId="33" fillId="0" borderId="0" xfId="0" applyNumberFormat="1" applyFont="1" applyAlignment="1">
      <alignment horizontal="center" vertical="center"/>
    </xf>
    <xf numFmtId="17" fontId="33" fillId="0" borderId="13" xfId="0" applyNumberFormat="1" applyFont="1" applyBorder="1" applyAlignment="1">
      <alignment horizontal="center" vertical="center"/>
    </xf>
    <xf numFmtId="17" fontId="33" fillId="2" borderId="0" xfId="0" applyNumberFormat="1" applyFont="1" applyFill="1" applyAlignment="1">
      <alignment vertical="center"/>
    </xf>
    <xf numFmtId="17" fontId="33" fillId="0" borderId="0" xfId="0" applyNumberFormat="1" applyFont="1" applyAlignment="1">
      <alignment vertical="center"/>
    </xf>
    <xf numFmtId="0" fontId="36" fillId="0" borderId="0" xfId="0" applyFont="1" applyAlignment="1">
      <alignment horizontal="left" wrapText="1"/>
    </xf>
    <xf numFmtId="0" fontId="36" fillId="0" borderId="13" xfId="0" applyFont="1" applyBorder="1" applyAlignment="1">
      <alignment horizontal="left" wrapText="1"/>
    </xf>
    <xf numFmtId="0" fontId="22" fillId="2" borderId="14" xfId="0" applyFont="1" applyFill="1" applyBorder="1"/>
    <xf numFmtId="0" fontId="22" fillId="2" borderId="15" xfId="0" applyFont="1" applyFill="1" applyBorder="1"/>
    <xf numFmtId="0" fontId="22" fillId="2" borderId="16" xfId="0" applyFont="1" applyFill="1" applyBorder="1"/>
    <xf numFmtId="0" fontId="22" fillId="0" borderId="0" xfId="0" applyFont="1" applyAlignment="1">
      <alignment horizontal="center" vertical="center" wrapText="1"/>
    </xf>
    <xf numFmtId="0" fontId="21" fillId="2" borderId="0" xfId="0" applyFont="1" applyFill="1"/>
    <xf numFmtId="0" fontId="31" fillId="0" borderId="17" xfId="0" applyFont="1" applyBorder="1" applyAlignment="1">
      <alignment horizontal="center" vertical="center"/>
    </xf>
    <xf numFmtId="0" fontId="31" fillId="0" borderId="8" xfId="0" applyFont="1" applyBorder="1" applyAlignment="1">
      <alignment horizontal="center" vertical="center"/>
    </xf>
    <xf numFmtId="0" fontId="22" fillId="2" borderId="1" xfId="0" applyFont="1" applyFill="1" applyBorder="1" applyAlignment="1">
      <alignment horizontal="center" vertical="center"/>
    </xf>
    <xf numFmtId="0" fontId="21" fillId="3" borderId="2" xfId="0" applyFont="1" applyFill="1" applyBorder="1" applyAlignment="1">
      <alignment horizontal="center" vertical="center"/>
    </xf>
    <xf numFmtId="0" fontId="22" fillId="0" borderId="2" xfId="0" applyFont="1" applyBorder="1"/>
    <xf numFmtId="0" fontId="22" fillId="0" borderId="3" xfId="0" applyFont="1" applyBorder="1"/>
    <xf numFmtId="0" fontId="21" fillId="4" borderId="2" xfId="0" applyFont="1" applyFill="1" applyBorder="1" applyAlignment="1">
      <alignment horizontal="center" vertical="center"/>
    </xf>
    <xf numFmtId="0" fontId="21" fillId="4" borderId="17" xfId="0" applyFont="1" applyFill="1" applyBorder="1" applyAlignment="1">
      <alignment horizontal="center" vertical="center"/>
    </xf>
    <xf numFmtId="0" fontId="37" fillId="0" borderId="17" xfId="0" applyFont="1" applyBorder="1"/>
    <xf numFmtId="0" fontId="32" fillId="0" borderId="17" xfId="0" applyFont="1" applyBorder="1"/>
    <xf numFmtId="0" fontId="32" fillId="0" borderId="8" xfId="0" applyFont="1" applyBorder="1"/>
    <xf numFmtId="0" fontId="37" fillId="0" borderId="0" xfId="0" applyFont="1"/>
    <xf numFmtId="0" fontId="37" fillId="0" borderId="0" xfId="0" applyFont="1" applyAlignment="1">
      <alignment horizontal="left"/>
    </xf>
    <xf numFmtId="0" fontId="22" fillId="0" borderId="19" xfId="0" applyFont="1" applyBorder="1"/>
    <xf numFmtId="0" fontId="22" fillId="0" borderId="20" xfId="0" applyFont="1" applyBorder="1"/>
    <xf numFmtId="0" fontId="22" fillId="0" borderId="20" xfId="0" applyFont="1" applyBorder="1" applyProtection="1">
      <protection locked="0"/>
    </xf>
    <xf numFmtId="0" fontId="27" fillId="0" borderId="0" xfId="1" quotePrefix="1" applyFont="1" applyProtection="1"/>
    <xf numFmtId="15" fontId="22" fillId="17" borderId="23" xfId="0" applyNumberFormat="1" applyFont="1" applyFill="1" applyBorder="1" applyAlignment="1" applyProtection="1">
      <alignment horizontal="center" vertical="center"/>
      <protection locked="0"/>
    </xf>
    <xf numFmtId="0" fontId="21" fillId="0" borderId="0" xfId="0" applyFont="1" applyAlignment="1">
      <alignment horizontal="center" vertical="center"/>
    </xf>
    <xf numFmtId="15" fontId="22" fillId="13" borderId="10" xfId="0" applyNumberFormat="1" applyFont="1" applyFill="1" applyBorder="1" applyAlignment="1">
      <alignment horizontal="center" vertical="center"/>
    </xf>
    <xf numFmtId="15" fontId="22" fillId="13" borderId="11" xfId="0" applyNumberFormat="1" applyFont="1" applyFill="1" applyBorder="1" applyAlignment="1">
      <alignment horizontal="center" vertical="center"/>
    </xf>
    <xf numFmtId="0" fontId="23" fillId="0" borderId="44" xfId="0" applyFont="1" applyBorder="1" applyAlignment="1">
      <alignment vertical="center" wrapText="1"/>
    </xf>
    <xf numFmtId="0" fontId="8" fillId="13" borderId="3" xfId="1" applyFill="1" applyBorder="1" applyAlignment="1" applyProtection="1">
      <alignment horizontal="center" vertical="center"/>
    </xf>
    <xf numFmtId="167" fontId="22" fillId="2" borderId="11" xfId="0" applyNumberFormat="1" applyFont="1" applyFill="1" applyBorder="1" applyAlignment="1" applyProtection="1">
      <alignment horizontal="center" vertical="center"/>
      <protection locked="0" hidden="1"/>
    </xf>
    <xf numFmtId="49" fontId="38" fillId="0" borderId="0" xfId="0" applyNumberFormat="1" applyFont="1"/>
    <xf numFmtId="167" fontId="32" fillId="0" borderId="0" xfId="0" applyNumberFormat="1" applyFont="1"/>
    <xf numFmtId="0" fontId="33" fillId="15" borderId="23" xfId="0" applyFont="1" applyFill="1" applyBorder="1" applyAlignment="1">
      <alignment horizontal="center" vertical="center"/>
    </xf>
    <xf numFmtId="17" fontId="33" fillId="15" borderId="23" xfId="0" applyNumberFormat="1" applyFont="1" applyFill="1" applyBorder="1" applyAlignment="1">
      <alignment horizontal="center" vertical="center"/>
    </xf>
    <xf numFmtId="17" fontId="31" fillId="0" borderId="23" xfId="0" applyNumberFormat="1" applyFont="1" applyBorder="1" applyAlignment="1">
      <alignment horizontal="center" vertical="center"/>
    </xf>
    <xf numFmtId="49" fontId="22" fillId="13" borderId="23" xfId="0" applyNumberFormat="1" applyFont="1" applyFill="1" applyBorder="1" applyAlignment="1">
      <alignment horizontal="center" vertical="center"/>
    </xf>
    <xf numFmtId="49" fontId="22" fillId="18" borderId="23" xfId="0" applyNumberFormat="1" applyFont="1" applyFill="1" applyBorder="1" applyAlignment="1" applyProtection="1">
      <alignment horizontal="left" vertical="center" wrapText="1"/>
      <protection locked="0"/>
    </xf>
    <xf numFmtId="0" fontId="32" fillId="0" borderId="23" xfId="0" applyFont="1" applyBorder="1" applyAlignment="1">
      <alignment horizontal="left" wrapText="1"/>
    </xf>
    <xf numFmtId="0" fontId="38" fillId="15" borderId="23" xfId="0" applyFont="1" applyFill="1" applyBorder="1"/>
    <xf numFmtId="0" fontId="40" fillId="15" borderId="23" xfId="0" applyFont="1" applyFill="1" applyBorder="1" applyAlignment="1">
      <alignment horizontal="center" vertical="center"/>
    </xf>
    <xf numFmtId="0" fontId="31" fillId="0" borderId="23" xfId="0" applyFont="1" applyBorder="1" applyAlignment="1">
      <alignment horizontal="center" vertical="center"/>
    </xf>
    <xf numFmtId="0" fontId="31" fillId="0" borderId="23" xfId="0" applyFont="1" applyBorder="1" applyAlignment="1">
      <alignment horizontal="center" vertical="center" wrapText="1"/>
    </xf>
    <xf numFmtId="0" fontId="36" fillId="5" borderId="23" xfId="0" applyFont="1" applyFill="1" applyBorder="1" applyAlignment="1">
      <alignment horizontal="center" vertical="center"/>
    </xf>
    <xf numFmtId="0" fontId="38" fillId="9" borderId="23" xfId="0" applyFont="1" applyFill="1" applyBorder="1"/>
    <xf numFmtId="49" fontId="38" fillId="9" borderId="23" xfId="0" quotePrefix="1" applyNumberFormat="1" applyFont="1" applyFill="1" applyBorder="1" applyAlignment="1">
      <alignment horizontal="left" wrapText="1"/>
    </xf>
    <xf numFmtId="0" fontId="22" fillId="2" borderId="23" xfId="0" quotePrefix="1" applyFont="1" applyFill="1" applyBorder="1" applyAlignment="1" applyProtection="1">
      <alignment horizontal="left" vertical="center" wrapText="1"/>
      <protection locked="0"/>
    </xf>
    <xf numFmtId="0" fontId="32" fillId="0" borderId="23" xfId="0" quotePrefix="1" applyFont="1" applyBorder="1" applyAlignment="1">
      <alignment horizontal="left" wrapText="1"/>
    </xf>
    <xf numFmtId="0" fontId="32" fillId="0" borderId="23" xfId="0" quotePrefix="1" applyFont="1" applyBorder="1" applyAlignment="1">
      <alignment horizontal="center" wrapText="1"/>
    </xf>
    <xf numFmtId="0" fontId="33" fillId="4" borderId="23" xfId="0" applyFont="1" applyFill="1" applyBorder="1" applyAlignment="1">
      <alignment horizontal="center" vertical="center"/>
    </xf>
    <xf numFmtId="0" fontId="41" fillId="4" borderId="23" xfId="0" applyFont="1" applyFill="1" applyBorder="1" applyAlignment="1">
      <alignment horizontal="center" vertical="center"/>
    </xf>
    <xf numFmtId="0" fontId="33" fillId="0" borderId="23" xfId="0" applyFont="1" applyBorder="1" applyAlignment="1">
      <alignment horizontal="center" vertical="center" wrapText="1"/>
    </xf>
    <xf numFmtId="17" fontId="31" fillId="2" borderId="23" xfId="0" applyNumberFormat="1" applyFont="1" applyFill="1" applyBorder="1" applyAlignment="1">
      <alignment vertical="center"/>
    </xf>
    <xf numFmtId="0" fontId="36" fillId="0" borderId="23" xfId="0" applyFont="1" applyBorder="1"/>
    <xf numFmtId="17" fontId="42" fillId="2" borderId="23" xfId="0" applyNumberFormat="1" applyFont="1" applyFill="1" applyBorder="1" applyAlignment="1">
      <alignment horizontal="center" vertical="center" wrapText="1"/>
    </xf>
    <xf numFmtId="17" fontId="42" fillId="2" borderId="23" xfId="0" applyNumberFormat="1" applyFont="1" applyFill="1" applyBorder="1" applyAlignment="1">
      <alignment vertical="center"/>
    </xf>
    <xf numFmtId="0" fontId="37" fillId="0" borderId="23" xfId="0" applyFont="1" applyBorder="1"/>
    <xf numFmtId="0" fontId="37" fillId="8" borderId="23" xfId="0" applyFont="1" applyFill="1" applyBorder="1"/>
    <xf numFmtId="0" fontId="36" fillId="2" borderId="23" xfId="0" applyFont="1" applyFill="1" applyBorder="1" applyAlignment="1">
      <alignment horizontal="center" vertical="center"/>
    </xf>
    <xf numFmtId="49" fontId="32" fillId="2" borderId="23" xfId="0" applyNumberFormat="1" applyFont="1" applyFill="1" applyBorder="1" applyAlignment="1">
      <alignment horizontal="center" vertical="center"/>
    </xf>
    <xf numFmtId="49" fontId="22" fillId="2" borderId="23" xfId="0" applyNumberFormat="1" applyFont="1" applyFill="1" applyBorder="1" applyAlignment="1">
      <alignment horizontal="center" vertical="center"/>
    </xf>
    <xf numFmtId="0" fontId="36" fillId="2" borderId="23" xfId="0" applyFont="1" applyFill="1" applyBorder="1" applyAlignment="1" applyProtection="1">
      <alignment horizontal="left" vertical="center" wrapText="1"/>
      <protection locked="0"/>
    </xf>
    <xf numFmtId="0" fontId="37" fillId="2" borderId="23" xfId="0" applyFont="1" applyFill="1" applyBorder="1" applyAlignment="1">
      <alignment horizontal="left" vertical="center" wrapText="1"/>
    </xf>
    <xf numFmtId="0" fontId="36" fillId="2" borderId="23" xfId="0" applyFont="1" applyFill="1" applyBorder="1" applyAlignment="1">
      <alignment horizontal="left" vertical="center" wrapText="1"/>
    </xf>
    <xf numFmtId="49" fontId="32" fillId="2" borderId="23" xfId="0" applyNumberFormat="1" applyFont="1" applyFill="1" applyBorder="1" applyAlignment="1">
      <alignment horizontal="left" vertical="center" wrapText="1"/>
    </xf>
    <xf numFmtId="0" fontId="32" fillId="2" borderId="23" xfId="0" applyFont="1" applyFill="1" applyBorder="1" applyAlignment="1">
      <alignment horizontal="left" vertical="center" wrapText="1"/>
    </xf>
    <xf numFmtId="0" fontId="36" fillId="0" borderId="23" xfId="0" applyFont="1" applyBorder="1" applyAlignment="1">
      <alignment horizontal="left" vertical="center" wrapText="1"/>
    </xf>
    <xf numFmtId="0" fontId="32" fillId="2" borderId="23" xfId="0" applyFont="1" applyFill="1" applyBorder="1"/>
    <xf numFmtId="0" fontId="37" fillId="2" borderId="23" xfId="0" applyFont="1" applyFill="1" applyBorder="1"/>
    <xf numFmtId="49" fontId="37" fillId="0" borderId="23" xfId="0" applyNumberFormat="1" applyFont="1" applyBorder="1"/>
    <xf numFmtId="0" fontId="10" fillId="6" borderId="23" xfId="2" applyFont="1" applyFill="1" applyBorder="1"/>
    <xf numFmtId="0" fontId="9" fillId="0" borderId="23" xfId="2" applyBorder="1" applyAlignment="1">
      <alignment horizontal="left"/>
    </xf>
    <xf numFmtId="0" fontId="10" fillId="6" borderId="23" xfId="2" applyFont="1" applyFill="1" applyBorder="1" applyAlignment="1">
      <alignment horizontal="left"/>
    </xf>
    <xf numFmtId="0" fontId="9" fillId="10" borderId="23" xfId="2" applyFill="1" applyBorder="1"/>
    <xf numFmtId="49" fontId="9" fillId="10" borderId="23" xfId="2" applyNumberFormat="1" applyFill="1" applyBorder="1"/>
    <xf numFmtId="176" fontId="9" fillId="0" borderId="23" xfId="2" applyNumberFormat="1" applyBorder="1"/>
    <xf numFmtId="0" fontId="22" fillId="15" borderId="23" xfId="0" quotePrefix="1" applyFont="1" applyFill="1" applyBorder="1" applyAlignment="1">
      <alignment horizontal="center" vertical="center" wrapText="1"/>
    </xf>
    <xf numFmtId="17" fontId="22" fillId="15" borderId="23" xfId="0" applyNumberFormat="1" applyFont="1" applyFill="1" applyBorder="1" applyAlignment="1">
      <alignment horizontal="center" vertical="center" wrapText="1"/>
    </xf>
    <xf numFmtId="0" fontId="32" fillId="0" borderId="23" xfId="0" applyFont="1" applyBorder="1" applyAlignment="1">
      <alignment wrapText="1"/>
    </xf>
    <xf numFmtId="49" fontId="22" fillId="0" borderId="23" xfId="0" applyNumberFormat="1" applyFont="1" applyBorder="1" applyAlignment="1" applyProtection="1">
      <alignment horizontal="left" vertical="center" wrapText="1"/>
      <protection locked="0"/>
    </xf>
    <xf numFmtId="17" fontId="22" fillId="0" borderId="23" xfId="0" applyNumberFormat="1" applyFont="1" applyBorder="1" applyAlignment="1">
      <alignment horizontal="center" vertical="center"/>
    </xf>
    <xf numFmtId="17" fontId="32" fillId="0" borderId="23" xfId="0" applyNumberFormat="1" applyFont="1" applyBorder="1" applyAlignment="1">
      <alignment vertical="center"/>
    </xf>
    <xf numFmtId="49" fontId="32" fillId="0" borderId="23" xfId="0" applyNumberFormat="1" applyFont="1" applyBorder="1" applyAlignment="1">
      <alignment vertical="center"/>
    </xf>
    <xf numFmtId="0" fontId="32" fillId="0" borderId="23" xfId="0" applyFont="1" applyBorder="1" applyAlignment="1">
      <alignment vertical="center"/>
    </xf>
    <xf numFmtId="17" fontId="32" fillId="0" borderId="23" xfId="0" applyNumberFormat="1" applyFont="1" applyBorder="1"/>
    <xf numFmtId="0" fontId="0" fillId="7" borderId="0" xfId="0" applyFill="1" applyProtection="1">
      <protection locked="0"/>
    </xf>
    <xf numFmtId="0" fontId="0" fillId="0" borderId="0" xfId="0" applyProtection="1">
      <protection locked="0"/>
    </xf>
    <xf numFmtId="0" fontId="0" fillId="0" borderId="23" xfId="0" applyBorder="1" applyProtection="1">
      <protection locked="0"/>
    </xf>
    <xf numFmtId="0" fontId="0" fillId="0" borderId="23" xfId="0" applyBorder="1" applyAlignment="1" applyProtection="1">
      <alignment wrapText="1"/>
      <protection locked="0"/>
    </xf>
    <xf numFmtId="166" fontId="0" fillId="0" borderId="23" xfId="0" applyNumberFormat="1" applyBorder="1" applyProtection="1">
      <protection locked="0"/>
    </xf>
    <xf numFmtId="2" fontId="0" fillId="0" borderId="23" xfId="0" applyNumberFormat="1" applyBorder="1" applyProtection="1">
      <protection locked="0"/>
    </xf>
    <xf numFmtId="49" fontId="0" fillId="0" borderId="23" xfId="0" applyNumberFormat="1" applyBorder="1" applyProtection="1">
      <protection locked="0"/>
    </xf>
    <xf numFmtId="167" fontId="0" fillId="0" borderId="23" xfId="0" applyNumberFormat="1" applyBorder="1" applyProtection="1">
      <protection locked="0"/>
    </xf>
    <xf numFmtId="0" fontId="0" fillId="0" borderId="0" xfId="0" applyAlignment="1" applyProtection="1">
      <alignment wrapText="1"/>
      <protection locked="0"/>
    </xf>
    <xf numFmtId="2" fontId="0" fillId="0" borderId="0" xfId="0" applyNumberFormat="1" applyProtection="1">
      <protection locked="0"/>
    </xf>
    <xf numFmtId="0" fontId="15" fillId="0" borderId="0" xfId="0" applyFont="1" applyProtection="1">
      <protection locked="0"/>
    </xf>
    <xf numFmtId="0" fontId="0" fillId="0" borderId="23" xfId="0" applyBorder="1"/>
    <xf numFmtId="1" fontId="0" fillId="0" borderId="23" xfId="0" applyNumberFormat="1" applyBorder="1" applyProtection="1">
      <protection locked="0"/>
    </xf>
    <xf numFmtId="169" fontId="0" fillId="0" borderId="23" xfId="0" applyNumberFormat="1" applyBorder="1" applyProtection="1">
      <protection locked="0"/>
    </xf>
    <xf numFmtId="14" fontId="0" fillId="0" borderId="23" xfId="0" applyNumberFormat="1" applyBorder="1" applyProtection="1">
      <protection locked="0"/>
    </xf>
    <xf numFmtId="0" fontId="0" fillId="0" borderId="23" xfId="0" quotePrefix="1" applyBorder="1" applyProtection="1">
      <protection locked="0"/>
    </xf>
    <xf numFmtId="167" fontId="0" fillId="0" borderId="23" xfId="0" quotePrefix="1" applyNumberFormat="1" applyBorder="1" applyProtection="1">
      <protection locked="0"/>
    </xf>
    <xf numFmtId="176" fontId="0" fillId="0" borderId="23" xfId="0" applyNumberFormat="1" applyBorder="1" applyProtection="1">
      <protection locked="0"/>
    </xf>
    <xf numFmtId="0" fontId="0" fillId="0" borderId="23" xfId="0" quotePrefix="1" applyBorder="1"/>
    <xf numFmtId="49" fontId="0" fillId="0" borderId="23" xfId="0" quotePrefix="1" applyNumberFormat="1" applyBorder="1" applyProtection="1">
      <protection locked="0"/>
    </xf>
    <xf numFmtId="0" fontId="1" fillId="0" borderId="21" xfId="3" applyFont="1" applyBorder="1" applyAlignment="1">
      <alignment wrapText="1"/>
    </xf>
    <xf numFmtId="0" fontId="1" fillId="0" borderId="21" xfId="3" applyFont="1" applyBorder="1"/>
    <xf numFmtId="38" fontId="22" fillId="8" borderId="21" xfId="0" applyNumberFormat="1" applyFont="1" applyFill="1" applyBorder="1" applyAlignment="1" applyProtection="1">
      <alignment horizontal="center" vertical="center"/>
      <protection locked="0"/>
    </xf>
    <xf numFmtId="38" fontId="22" fillId="2" borderId="21" xfId="0" applyNumberFormat="1" applyFont="1" applyFill="1" applyBorder="1" applyAlignment="1" applyProtection="1">
      <alignment horizontal="center" vertical="center"/>
      <protection locked="0"/>
    </xf>
    <xf numFmtId="38" fontId="22" fillId="23" borderId="21" xfId="0" applyNumberFormat="1" applyFont="1" applyFill="1" applyBorder="1" applyAlignment="1" applyProtection="1">
      <alignment horizontal="center" vertical="center"/>
      <protection locked="0"/>
    </xf>
    <xf numFmtId="0" fontId="22" fillId="0" borderId="27" xfId="0" applyFont="1" applyBorder="1" applyProtection="1">
      <protection locked="0"/>
    </xf>
    <xf numFmtId="0" fontId="22" fillId="0" borderId="22" xfId="0" applyFont="1" applyBorder="1" applyProtection="1">
      <protection locked="0"/>
    </xf>
    <xf numFmtId="3" fontId="22" fillId="8" borderId="21" xfId="0" applyNumberFormat="1" applyFont="1" applyFill="1" applyBorder="1" applyAlignment="1" applyProtection="1">
      <alignment horizontal="center" vertical="center"/>
      <protection locked="0"/>
    </xf>
    <xf numFmtId="1" fontId="0" fillId="0" borderId="21" xfId="0" applyNumberFormat="1" applyBorder="1" applyProtection="1">
      <protection locked="0"/>
    </xf>
    <xf numFmtId="38" fontId="36" fillId="0" borderId="21" xfId="0" applyNumberFormat="1" applyFont="1" applyBorder="1" applyAlignment="1" applyProtection="1">
      <alignment horizontal="center" vertical="center"/>
      <protection locked="0"/>
    </xf>
    <xf numFmtId="38" fontId="36" fillId="14" borderId="21" xfId="0" applyNumberFormat="1" applyFont="1" applyFill="1" applyBorder="1" applyAlignment="1" applyProtection="1">
      <alignment horizontal="center" vertical="center"/>
      <protection locked="0"/>
    </xf>
    <xf numFmtId="0" fontId="48" fillId="0" borderId="27"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9" fontId="22" fillId="0" borderId="0" xfId="0" applyNumberFormat="1" applyFont="1" applyProtection="1">
      <protection locked="0"/>
    </xf>
    <xf numFmtId="0" fontId="49" fillId="0" borderId="21" xfId="0" applyFont="1" applyBorder="1" applyProtection="1">
      <protection locked="0"/>
    </xf>
    <xf numFmtId="0" fontId="49" fillId="0" borderId="22" xfId="0" applyFont="1" applyBorder="1" applyProtection="1">
      <protection locked="0"/>
    </xf>
    <xf numFmtId="173" fontId="22" fillId="0" borderId="21" xfId="0" applyNumberFormat="1" applyFont="1" applyFill="1" applyBorder="1" applyAlignment="1" applyProtection="1">
      <alignment horizontal="center" vertical="center"/>
      <protection locked="0"/>
    </xf>
    <xf numFmtId="4" fontId="22" fillId="0" borderId="21" xfId="0" applyNumberFormat="1" applyFont="1" applyFill="1" applyBorder="1" applyAlignment="1" applyProtection="1">
      <alignment horizontal="center" vertical="center"/>
      <protection locked="0"/>
    </xf>
    <xf numFmtId="0" fontId="24" fillId="0" borderId="1" xfId="0" applyFont="1" applyBorder="1" applyAlignment="1">
      <alignment horizontal="left" vertical="center" wrapText="1"/>
    </xf>
    <xf numFmtId="0" fontId="24" fillId="0" borderId="13" xfId="0" applyFont="1" applyBorder="1" applyAlignment="1">
      <alignment horizontal="left" vertical="center" wrapText="1"/>
    </xf>
    <xf numFmtId="0" fontId="24" fillId="0" borderId="14" xfId="0" applyFont="1" applyBorder="1" applyAlignment="1">
      <alignment horizontal="left" vertical="center" wrapText="1"/>
    </xf>
    <xf numFmtId="0" fontId="24" fillId="0" borderId="16" xfId="0" applyFont="1" applyBorder="1" applyAlignment="1">
      <alignment horizontal="left" vertical="center" wrapText="1"/>
    </xf>
    <xf numFmtId="0" fontId="24" fillId="0" borderId="7" xfId="0" applyFont="1" applyBorder="1" applyAlignment="1">
      <alignment horizontal="left" vertical="center" wrapText="1"/>
    </xf>
    <xf numFmtId="0" fontId="24" fillId="0" borderId="109" xfId="0" applyFont="1" applyBorder="1" applyAlignment="1">
      <alignment horizontal="left" vertical="center" wrapText="1"/>
    </xf>
    <xf numFmtId="0" fontId="23" fillId="0" borderId="44" xfId="0" applyFont="1" applyBorder="1" applyAlignment="1">
      <alignment vertical="center" wrapText="1"/>
    </xf>
    <xf numFmtId="0" fontId="23" fillId="0" borderId="43" xfId="0" applyFont="1" applyBorder="1" applyAlignment="1">
      <alignment vertical="center" wrapText="1"/>
    </xf>
    <xf numFmtId="0" fontId="23" fillId="0" borderId="42" xfId="0" applyFont="1" applyBorder="1" applyAlignment="1">
      <alignment vertical="center" wrapText="1"/>
    </xf>
    <xf numFmtId="0" fontId="43" fillId="19" borderId="7" xfId="1" applyFont="1" applyFill="1" applyBorder="1" applyAlignment="1">
      <alignment vertical="center" wrapText="1"/>
    </xf>
    <xf numFmtId="0" fontId="43" fillId="19" borderId="8" xfId="1" applyFont="1" applyFill="1" applyBorder="1" applyAlignment="1">
      <alignment vertical="center" wrapText="1"/>
    </xf>
    <xf numFmtId="0" fontId="24" fillId="19" borderId="14" xfId="0" applyFont="1" applyFill="1" applyBorder="1" applyAlignment="1">
      <alignment vertical="center" wrapText="1"/>
    </xf>
    <xf numFmtId="0" fontId="24" fillId="19" borderId="16" xfId="0" applyFont="1" applyFill="1" applyBorder="1" applyAlignment="1">
      <alignment vertical="center" wrapText="1"/>
    </xf>
    <xf numFmtId="0" fontId="22" fillId="19" borderId="4" xfId="1" applyFont="1" applyFill="1" applyBorder="1" applyAlignment="1">
      <alignment horizontal="left" vertical="center" wrapText="1"/>
    </xf>
    <xf numFmtId="0" fontId="22" fillId="19" borderId="3" xfId="1" applyFont="1" applyFill="1" applyBorder="1" applyAlignment="1">
      <alignment horizontal="left" vertical="center" wrapText="1"/>
    </xf>
    <xf numFmtId="0" fontId="22" fillId="0" borderId="4" xfId="0" applyFont="1" applyBorder="1" applyAlignment="1">
      <alignment horizontal="left" vertical="top"/>
    </xf>
    <xf numFmtId="0" fontId="22" fillId="0" borderId="3" xfId="0" applyFont="1" applyBorder="1" applyAlignment="1">
      <alignment horizontal="left" vertical="top"/>
    </xf>
    <xf numFmtId="0" fontId="43" fillId="19" borderId="4" xfId="1" applyFont="1" applyFill="1" applyBorder="1" applyAlignment="1">
      <alignment vertical="center" wrapText="1"/>
    </xf>
    <xf numFmtId="0" fontId="43" fillId="19" borderId="3" xfId="1" applyFont="1" applyFill="1" applyBorder="1" applyAlignment="1">
      <alignment vertical="center" wrapText="1"/>
    </xf>
    <xf numFmtId="0" fontId="30" fillId="21" borderId="4" xfId="0" applyFont="1" applyFill="1" applyBorder="1" applyAlignment="1">
      <alignment vertical="center" wrapText="1"/>
    </xf>
    <xf numFmtId="0" fontId="30" fillId="21" borderId="3" xfId="0" applyFont="1" applyFill="1" applyBorder="1" applyAlignment="1">
      <alignment vertical="center" wrapText="1"/>
    </xf>
    <xf numFmtId="0" fontId="22" fillId="0" borderId="4" xfId="0" applyFont="1" applyBorder="1" applyAlignment="1">
      <alignment horizontal="left" vertical="top" wrapText="1"/>
    </xf>
    <xf numFmtId="0" fontId="22" fillId="0" borderId="3" xfId="0" applyFont="1" applyBorder="1" applyAlignment="1">
      <alignment horizontal="left" vertical="top" wrapText="1"/>
    </xf>
    <xf numFmtId="0" fontId="24" fillId="21" borderId="4" xfId="0" applyFont="1" applyFill="1" applyBorder="1" applyAlignment="1">
      <alignment vertical="center" wrapText="1"/>
    </xf>
    <xf numFmtId="0" fontId="24" fillId="21" borderId="3" xfId="0" applyFont="1" applyFill="1" applyBorder="1" applyAlignment="1">
      <alignment vertical="center" wrapText="1"/>
    </xf>
    <xf numFmtId="0" fontId="20" fillId="16" borderId="0" xfId="8" applyFont="1" applyFill="1" applyAlignment="1">
      <alignment horizontal="center" vertical="center"/>
    </xf>
    <xf numFmtId="0" fontId="24" fillId="0" borderId="107" xfId="0" applyFont="1" applyBorder="1" applyAlignment="1">
      <alignment horizontal="left" vertical="center" wrapText="1"/>
    </xf>
    <xf numFmtId="0" fontId="24" fillId="0" borderId="4" xfId="0" applyFont="1" applyBorder="1" applyAlignment="1">
      <alignment horizontal="left" vertical="center" wrapText="1"/>
    </xf>
    <xf numFmtId="0" fontId="24" fillId="0" borderId="3" xfId="0" applyFont="1" applyBorder="1" applyAlignment="1">
      <alignment horizontal="left" vertical="center" wrapText="1"/>
    </xf>
    <xf numFmtId="0" fontId="23" fillId="0" borderId="1" xfId="0" applyFont="1" applyBorder="1" applyAlignment="1">
      <alignment horizontal="left" vertical="center" wrapText="1"/>
    </xf>
    <xf numFmtId="0" fontId="23" fillId="0" borderId="13" xfId="0" applyFont="1" applyBorder="1" applyAlignment="1">
      <alignment horizontal="left" vertical="center" wrapText="1"/>
    </xf>
    <xf numFmtId="0" fontId="23" fillId="20" borderId="4" xfId="0" applyFont="1" applyFill="1" applyBorder="1" applyAlignment="1">
      <alignment vertical="center" wrapText="1"/>
    </xf>
    <xf numFmtId="0" fontId="23" fillId="20" borderId="3" xfId="0" applyFont="1" applyFill="1" applyBorder="1" applyAlignment="1">
      <alignment vertical="center" wrapText="1"/>
    </xf>
    <xf numFmtId="0" fontId="24" fillId="0" borderId="106" xfId="0" applyFont="1" applyBorder="1" applyAlignment="1">
      <alignment horizontal="left" vertical="center" wrapText="1"/>
    </xf>
    <xf numFmtId="0" fontId="24" fillId="0" borderId="108" xfId="0" applyFont="1" applyBorder="1" applyAlignment="1">
      <alignment horizontal="left" vertical="center" wrapText="1"/>
    </xf>
    <xf numFmtId="0" fontId="22" fillId="0" borderId="7" xfId="1" applyFont="1" applyBorder="1" applyAlignment="1">
      <alignment horizontal="left" vertical="center" wrapText="1"/>
    </xf>
    <xf numFmtId="0" fontId="22" fillId="0" borderId="109" xfId="1" applyFont="1" applyBorder="1" applyAlignment="1">
      <alignment horizontal="left" vertical="center" wrapText="1"/>
    </xf>
    <xf numFmtId="0" fontId="23" fillId="20" borderId="108" xfId="0" applyFont="1" applyFill="1" applyBorder="1" applyAlignment="1">
      <alignment vertical="center" wrapText="1"/>
    </xf>
    <xf numFmtId="0" fontId="23" fillId="0" borderId="14" xfId="0" applyFont="1" applyBorder="1" applyAlignment="1">
      <alignment horizontal="left" vertical="center" wrapText="1"/>
    </xf>
    <xf numFmtId="0" fontId="23" fillId="0" borderId="16" xfId="0" applyFont="1" applyBorder="1" applyAlignment="1">
      <alignment horizontal="left" vertical="center" wrapText="1"/>
    </xf>
    <xf numFmtId="0" fontId="24" fillId="0" borderId="8" xfId="0" applyFont="1" applyBorder="1" applyAlignment="1">
      <alignment horizontal="left" vertical="center" wrapText="1"/>
    </xf>
    <xf numFmtId="0" fontId="34" fillId="16" borderId="7" xfId="0" applyFont="1" applyFill="1" applyBorder="1" applyAlignment="1">
      <alignment horizontal="center" vertical="center"/>
    </xf>
    <xf numFmtId="0" fontId="34" fillId="16" borderId="17" xfId="0" applyFont="1" applyFill="1" applyBorder="1" applyAlignment="1">
      <alignment horizontal="center" vertical="center"/>
    </xf>
    <xf numFmtId="0" fontId="34" fillId="16" borderId="8" xfId="0" applyFont="1" applyFill="1" applyBorder="1" applyAlignment="1">
      <alignment horizontal="center" vertical="center"/>
    </xf>
    <xf numFmtId="0" fontId="34" fillId="16" borderId="14" xfId="0" applyFont="1" applyFill="1" applyBorder="1" applyAlignment="1">
      <alignment horizontal="center" vertical="center"/>
    </xf>
    <xf numFmtId="0" fontId="34" fillId="16" borderId="15" xfId="0" applyFont="1" applyFill="1" applyBorder="1" applyAlignment="1">
      <alignment horizontal="center" vertical="center"/>
    </xf>
    <xf numFmtId="0" fontId="34" fillId="16" borderId="16" xfId="0" applyFont="1" applyFill="1" applyBorder="1" applyAlignment="1">
      <alignment horizontal="center" vertical="center"/>
    </xf>
    <xf numFmtId="0" fontId="21" fillId="15" borderId="4" xfId="0" applyFont="1" applyFill="1" applyBorder="1" applyAlignment="1">
      <alignment horizontal="center" vertical="center"/>
    </xf>
    <xf numFmtId="0" fontId="21" fillId="15" borderId="2" xfId="0" applyFont="1" applyFill="1" applyBorder="1" applyAlignment="1">
      <alignment horizontal="center" vertical="center"/>
    </xf>
    <xf numFmtId="0" fontId="37" fillId="0" borderId="0" xfId="0" applyFont="1" applyAlignment="1">
      <alignment horizontal="center" vertical="center" wrapText="1"/>
    </xf>
    <xf numFmtId="0" fontId="21" fillId="13" borderId="6" xfId="0" applyFont="1" applyFill="1" applyBorder="1" applyAlignment="1">
      <alignment horizontal="center" vertical="center"/>
    </xf>
    <xf numFmtId="0" fontId="21" fillId="0" borderId="0" xfId="0" applyFont="1" applyAlignment="1">
      <alignment horizontal="center" vertical="center"/>
    </xf>
    <xf numFmtId="0" fontId="21" fillId="19" borderId="4" xfId="0" applyFont="1" applyFill="1" applyBorder="1" applyAlignment="1">
      <alignment horizontal="center" vertical="center"/>
    </xf>
    <xf numFmtId="0" fontId="21" fillId="19" borderId="2" xfId="0" applyFont="1" applyFill="1" applyBorder="1" applyAlignment="1">
      <alignment horizontal="center" vertical="center"/>
    </xf>
    <xf numFmtId="0" fontId="22" fillId="0" borderId="0" xfId="0" applyFont="1" applyAlignment="1">
      <alignment horizontal="center" vertical="center" wrapText="1"/>
    </xf>
    <xf numFmtId="0" fontId="21" fillId="15" borderId="5" xfId="0" applyFont="1" applyFill="1" applyBorder="1" applyAlignment="1">
      <alignment horizontal="center" vertical="center"/>
    </xf>
    <xf numFmtId="0" fontId="21" fillId="15" borderId="18" xfId="0" applyFont="1" applyFill="1" applyBorder="1" applyAlignment="1">
      <alignment horizontal="center" vertical="center"/>
    </xf>
    <xf numFmtId="0" fontId="32" fillId="2" borderId="0" xfId="0" applyFont="1" applyFill="1" applyAlignment="1">
      <alignment horizontal="center" vertical="center"/>
    </xf>
    <xf numFmtId="0" fontId="36" fillId="14" borderId="27" xfId="0" applyFont="1" applyFill="1" applyBorder="1" applyAlignment="1" applyProtection="1">
      <alignment horizontal="left" vertical="center" wrapText="1"/>
      <protection locked="0"/>
    </xf>
    <xf numFmtId="0" fontId="36" fillId="14" borderId="22" xfId="0" applyFont="1" applyFill="1" applyBorder="1" applyAlignment="1" applyProtection="1">
      <alignment horizontal="left" vertical="center" wrapText="1"/>
      <protection locked="0"/>
    </xf>
    <xf numFmtId="0" fontId="22" fillId="0" borderId="0" xfId="0" applyFont="1" applyAlignment="1">
      <alignment horizontal="center"/>
    </xf>
    <xf numFmtId="168" fontId="36" fillId="14" borderId="27" xfId="0" applyNumberFormat="1" applyFont="1" applyFill="1" applyBorder="1" applyAlignment="1" applyProtection="1">
      <alignment horizontal="center" vertical="center" wrapText="1"/>
      <protection locked="0"/>
    </xf>
    <xf numFmtId="168" fontId="36" fillId="14" borderId="22" xfId="0" applyNumberFormat="1" applyFont="1" applyFill="1" applyBorder="1" applyAlignment="1" applyProtection="1">
      <alignment horizontal="center" vertical="center" wrapText="1"/>
      <protection locked="0"/>
    </xf>
    <xf numFmtId="171" fontId="36" fillId="14" borderId="27" xfId="0" applyNumberFormat="1" applyFont="1" applyFill="1" applyBorder="1" applyAlignment="1" applyProtection="1">
      <alignment horizontal="center" vertical="center" wrapText="1"/>
      <protection locked="0"/>
    </xf>
    <xf numFmtId="171" fontId="36" fillId="14" borderId="22" xfId="0" applyNumberFormat="1" applyFont="1" applyFill="1" applyBorder="1" applyAlignment="1" applyProtection="1">
      <alignment horizontal="center" vertical="center" wrapText="1"/>
      <protection locked="0"/>
    </xf>
    <xf numFmtId="172" fontId="36" fillId="14" borderId="27" xfId="0" applyNumberFormat="1" applyFont="1" applyFill="1" applyBorder="1" applyAlignment="1" applyProtection="1">
      <alignment horizontal="center" vertical="center" wrapText="1"/>
      <protection locked="0"/>
    </xf>
    <xf numFmtId="172" fontId="36" fillId="14" borderId="22" xfId="0" applyNumberFormat="1" applyFont="1" applyFill="1" applyBorder="1" applyAlignment="1" applyProtection="1">
      <alignment horizontal="center" vertical="center" wrapText="1"/>
      <protection locked="0"/>
    </xf>
    <xf numFmtId="0" fontId="22" fillId="13" borderId="27" xfId="0" applyFont="1" applyFill="1" applyBorder="1" applyAlignment="1">
      <alignment horizontal="center" vertical="center" wrapText="1"/>
    </xf>
    <xf numFmtId="0" fontId="22" fillId="13" borderId="22" xfId="0" applyFont="1" applyFill="1" applyBorder="1" applyAlignment="1">
      <alignment horizontal="center" vertical="center" wrapText="1"/>
    </xf>
    <xf numFmtId="168" fontId="36" fillId="14" borderId="27" xfId="0" applyNumberFormat="1" applyFont="1" applyFill="1" applyBorder="1" applyAlignment="1" applyProtection="1">
      <alignment horizontal="left" vertical="center" wrapText="1"/>
      <protection locked="0"/>
    </xf>
    <xf numFmtId="168" fontId="36" fillId="14" borderId="22" xfId="0" applyNumberFormat="1" applyFont="1" applyFill="1" applyBorder="1" applyAlignment="1" applyProtection="1">
      <alignment horizontal="left" vertical="center" wrapText="1"/>
      <protection locked="0"/>
    </xf>
    <xf numFmtId="0" fontId="22" fillId="5" borderId="28" xfId="0" applyFont="1" applyFill="1" applyBorder="1" applyAlignment="1" applyProtection="1">
      <alignment horizontal="center" vertical="center" wrapText="1"/>
      <protection hidden="1"/>
    </xf>
    <xf numFmtId="0" fontId="22" fillId="5" borderId="29" xfId="0" applyFont="1" applyFill="1" applyBorder="1" applyAlignment="1" applyProtection="1">
      <alignment horizontal="center" vertical="center" wrapText="1"/>
      <protection hidden="1"/>
    </xf>
    <xf numFmtId="0" fontId="36" fillId="14" borderId="27" xfId="0" applyFont="1" applyFill="1" applyBorder="1" applyAlignment="1" applyProtection="1">
      <alignment horizontal="center" vertical="center" wrapText="1"/>
      <protection locked="0"/>
    </xf>
    <xf numFmtId="0" fontId="36" fillId="14" borderId="22" xfId="0" applyFont="1" applyFill="1" applyBorder="1" applyAlignment="1" applyProtection="1">
      <alignment horizontal="center" vertical="center" wrapText="1"/>
      <protection locked="0"/>
    </xf>
    <xf numFmtId="168" fontId="36" fillId="0" borderId="27" xfId="0" applyNumberFormat="1" applyFont="1" applyBorder="1" applyAlignment="1" applyProtection="1">
      <alignment horizontal="center" vertical="center" wrapText="1"/>
      <protection locked="0"/>
    </xf>
    <xf numFmtId="168" fontId="36" fillId="0" borderId="22" xfId="0" applyNumberFormat="1" applyFont="1" applyBorder="1" applyAlignment="1" applyProtection="1">
      <alignment horizontal="center" vertical="center" wrapText="1"/>
      <protection locked="0"/>
    </xf>
    <xf numFmtId="171" fontId="36" fillId="0" borderId="27" xfId="0" applyNumberFormat="1" applyFont="1" applyBorder="1" applyAlignment="1" applyProtection="1">
      <alignment horizontal="center" vertical="center" wrapText="1"/>
      <protection locked="0"/>
    </xf>
    <xf numFmtId="171" fontId="36" fillId="0" borderId="22" xfId="0" applyNumberFormat="1" applyFont="1" applyBorder="1" applyAlignment="1" applyProtection="1">
      <alignment horizontal="center" vertical="center" wrapText="1"/>
      <protection locked="0"/>
    </xf>
    <xf numFmtId="172" fontId="36" fillId="0" borderId="27" xfId="0" applyNumberFormat="1" applyFont="1" applyBorder="1" applyAlignment="1" applyProtection="1">
      <alignment horizontal="center" vertical="center" wrapText="1"/>
      <protection locked="0"/>
    </xf>
    <xf numFmtId="172" fontId="36" fillId="0" borderId="22" xfId="0" applyNumberFormat="1" applyFont="1" applyBorder="1" applyAlignment="1" applyProtection="1">
      <alignment horizontal="center" vertical="center" wrapText="1"/>
      <protection locked="0"/>
    </xf>
    <xf numFmtId="0" fontId="36" fillId="0" borderId="27" xfId="0" applyFont="1" applyBorder="1" applyAlignment="1" applyProtection="1">
      <alignment horizontal="left" vertical="center" wrapText="1"/>
      <protection locked="0"/>
    </xf>
    <xf numFmtId="0" fontId="36" fillId="0" borderId="22" xfId="0" applyFont="1" applyBorder="1" applyAlignment="1" applyProtection="1">
      <alignment horizontal="left" vertical="center" wrapText="1"/>
      <protection locked="0"/>
    </xf>
    <xf numFmtId="168" fontId="36" fillId="0" borderId="27" xfId="0" applyNumberFormat="1" applyFont="1" applyBorder="1" applyAlignment="1" applyProtection="1">
      <alignment horizontal="left" vertical="center" wrapText="1"/>
      <protection locked="0"/>
    </xf>
    <xf numFmtId="168" fontId="36" fillId="0" borderId="22" xfId="0" applyNumberFormat="1" applyFont="1" applyBorder="1" applyAlignment="1" applyProtection="1">
      <alignment horizontal="left" vertical="center" wrapText="1"/>
      <protection locked="0"/>
    </xf>
    <xf numFmtId="0" fontId="36" fillId="0" borderId="27" xfId="0" applyFont="1" applyBorder="1" applyAlignment="1" applyProtection="1">
      <alignment horizontal="center" vertical="center" wrapText="1"/>
      <protection locked="0"/>
    </xf>
    <xf numFmtId="0" fontId="36" fillId="0" borderId="22" xfId="0" applyFont="1" applyBorder="1" applyAlignment="1" applyProtection="1">
      <alignment horizontal="center" vertical="center" wrapText="1"/>
      <protection locked="0"/>
    </xf>
    <xf numFmtId="0" fontId="36" fillId="2" borderId="27" xfId="0" applyFont="1" applyFill="1" applyBorder="1" applyAlignment="1" applyProtection="1">
      <alignment horizontal="center" vertical="center" wrapText="1"/>
      <protection locked="0"/>
    </xf>
    <xf numFmtId="0" fontId="36" fillId="2" borderId="22" xfId="0" applyFont="1" applyFill="1" applyBorder="1" applyAlignment="1" applyProtection="1">
      <alignment horizontal="center" vertical="center" wrapText="1"/>
      <protection locked="0"/>
    </xf>
    <xf numFmtId="0" fontId="36" fillId="14" borderId="112" xfId="0" applyFont="1" applyFill="1" applyBorder="1" applyAlignment="1" applyProtection="1">
      <alignment horizontal="left" vertical="center" wrapText="1"/>
      <protection locked="0"/>
    </xf>
    <xf numFmtId="0" fontId="36" fillId="14" borderId="113" xfId="0" applyFont="1" applyFill="1" applyBorder="1" applyAlignment="1" applyProtection="1">
      <alignment horizontal="left" vertical="center" wrapText="1"/>
      <protection locked="0"/>
    </xf>
    <xf numFmtId="0" fontId="22" fillId="13" borderId="24" xfId="0" applyFont="1" applyFill="1" applyBorder="1" applyAlignment="1">
      <alignment horizontal="center" vertical="center" wrapText="1"/>
    </xf>
    <xf numFmtId="0" fontId="22" fillId="13" borderId="25" xfId="0" applyFont="1" applyFill="1" applyBorder="1" applyAlignment="1">
      <alignment horizontal="center" vertical="center" wrapText="1"/>
    </xf>
    <xf numFmtId="0" fontId="22" fillId="13" borderId="110" xfId="0" applyFont="1" applyFill="1" applyBorder="1" applyAlignment="1">
      <alignment horizontal="center" vertical="center" wrapText="1"/>
    </xf>
    <xf numFmtId="0" fontId="22" fillId="13" borderId="48" xfId="0" applyFont="1" applyFill="1" applyBorder="1" applyAlignment="1">
      <alignment horizontal="center" vertical="center" wrapText="1"/>
    </xf>
    <xf numFmtId="0" fontId="22" fillId="13" borderId="38" xfId="0" applyFont="1" applyFill="1" applyBorder="1" applyAlignment="1">
      <alignment horizontal="center" vertical="center" wrapText="1"/>
    </xf>
    <xf numFmtId="0" fontId="36" fillId="13" borderId="21" xfId="0" applyFont="1" applyFill="1" applyBorder="1" applyAlignment="1">
      <alignment horizontal="center" vertical="center" wrapText="1"/>
    </xf>
    <xf numFmtId="0" fontId="34" fillId="16" borderId="51" xfId="0" applyFont="1" applyFill="1" applyBorder="1" applyAlignment="1" applyProtection="1">
      <alignment horizontal="center" vertical="center"/>
      <protection hidden="1"/>
    </xf>
    <xf numFmtId="0" fontId="21" fillId="2" borderId="0" xfId="0" applyFont="1" applyFill="1" applyAlignment="1" applyProtection="1">
      <alignment horizontal="center" vertical="center"/>
      <protection hidden="1"/>
    </xf>
    <xf numFmtId="0" fontId="21" fillId="2" borderId="39" xfId="0" applyFont="1" applyFill="1" applyBorder="1" applyAlignment="1" applyProtection="1">
      <alignment horizontal="center" vertical="center"/>
      <protection hidden="1"/>
    </xf>
    <xf numFmtId="0" fontId="32" fillId="2" borderId="0" xfId="0" applyFont="1" applyFill="1" applyAlignment="1">
      <alignment horizontal="center" vertical="center" wrapText="1"/>
    </xf>
    <xf numFmtId="0" fontId="22" fillId="14" borderId="27" xfId="0" applyFont="1" applyFill="1" applyBorder="1" applyAlignment="1" applyProtection="1">
      <alignment horizontal="left" vertical="center" wrapText="1"/>
      <protection locked="0"/>
    </xf>
    <xf numFmtId="0" fontId="22" fillId="14" borderId="22" xfId="0" applyFont="1" applyFill="1" applyBorder="1" applyAlignment="1" applyProtection="1">
      <alignment horizontal="left" vertical="center" wrapText="1"/>
      <protection locked="0"/>
    </xf>
    <xf numFmtId="168" fontId="22" fillId="14" borderId="27" xfId="0" applyNumberFormat="1" applyFont="1" applyFill="1" applyBorder="1" applyAlignment="1" applyProtection="1">
      <alignment horizontal="center" vertical="center"/>
      <protection locked="0"/>
    </xf>
    <xf numFmtId="168" fontId="22" fillId="14" borderId="22" xfId="0" applyNumberFormat="1" applyFont="1" applyFill="1" applyBorder="1" applyAlignment="1" applyProtection="1">
      <alignment horizontal="center" vertical="center"/>
      <protection locked="0"/>
    </xf>
    <xf numFmtId="171" fontId="22" fillId="14" borderId="27" xfId="0" applyNumberFormat="1" applyFont="1" applyFill="1" applyBorder="1" applyAlignment="1" applyProtection="1">
      <alignment horizontal="left" vertical="center" wrapText="1"/>
      <protection locked="0"/>
    </xf>
    <xf numFmtId="171" fontId="22" fillId="14" borderId="22" xfId="0" applyNumberFormat="1" applyFont="1" applyFill="1" applyBorder="1" applyAlignment="1" applyProtection="1">
      <alignment horizontal="left" vertical="center" wrapText="1"/>
      <protection locked="0"/>
    </xf>
    <xf numFmtId="0" fontId="22" fillId="13" borderId="28" xfId="0" applyFont="1" applyFill="1" applyBorder="1" applyAlignment="1" applyProtection="1">
      <alignment horizontal="center" vertical="center" wrapText="1"/>
      <protection hidden="1"/>
    </xf>
    <xf numFmtId="0" fontId="22" fillId="13" borderId="29" xfId="0" applyFont="1" applyFill="1" applyBorder="1" applyAlignment="1" applyProtection="1">
      <alignment horizontal="center" vertical="center" wrapText="1"/>
      <protection hidden="1"/>
    </xf>
    <xf numFmtId="0" fontId="22" fillId="0" borderId="27" xfId="0" applyFont="1" applyBorder="1" applyAlignment="1" applyProtection="1">
      <alignment horizontal="left" vertical="center" wrapText="1"/>
      <protection locked="0"/>
    </xf>
    <xf numFmtId="0" fontId="22" fillId="0" borderId="22" xfId="0" applyFont="1" applyBorder="1" applyAlignment="1" applyProtection="1">
      <alignment horizontal="left" vertical="center" wrapText="1"/>
      <protection locked="0"/>
    </xf>
    <xf numFmtId="0" fontId="22" fillId="2" borderId="27" xfId="0" applyFont="1" applyFill="1" applyBorder="1" applyAlignment="1" applyProtection="1">
      <alignment horizontal="left" vertical="center" wrapText="1"/>
      <protection locked="0"/>
    </xf>
    <xf numFmtId="0" fontId="22" fillId="2" borderId="22" xfId="0" applyFont="1" applyFill="1" applyBorder="1" applyAlignment="1" applyProtection="1">
      <alignment horizontal="left" vertical="center" wrapText="1"/>
      <protection locked="0"/>
    </xf>
    <xf numFmtId="168" fontId="22" fillId="0" borderId="27" xfId="0" applyNumberFormat="1" applyFont="1" applyBorder="1" applyAlignment="1" applyProtection="1">
      <alignment horizontal="left" vertical="center" wrapText="1"/>
      <protection locked="0"/>
    </xf>
    <xf numFmtId="168" fontId="22" fillId="0" borderId="22" xfId="0" applyNumberFormat="1" applyFont="1" applyBorder="1" applyAlignment="1" applyProtection="1">
      <alignment horizontal="left" vertical="center" wrapText="1"/>
      <protection locked="0"/>
    </xf>
    <xf numFmtId="0" fontId="22" fillId="5" borderId="27" xfId="4" applyFont="1" applyFill="1" applyBorder="1" applyAlignment="1">
      <alignment horizontal="center" vertical="center" wrapText="1"/>
    </xf>
    <xf numFmtId="0" fontId="22" fillId="5" borderId="22" xfId="4" applyFont="1" applyFill="1" applyBorder="1" applyAlignment="1">
      <alignment horizontal="center" vertical="center" wrapText="1"/>
    </xf>
    <xf numFmtId="0" fontId="22" fillId="0" borderId="2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168" fontId="22" fillId="14" borderId="27" xfId="0" applyNumberFormat="1" applyFont="1" applyFill="1" applyBorder="1" applyAlignment="1" applyProtection="1">
      <alignment horizontal="left" vertical="center" wrapText="1"/>
      <protection locked="0"/>
    </xf>
    <xf numFmtId="168" fontId="22" fillId="14" borderId="22" xfId="0" applyNumberFormat="1" applyFont="1" applyFill="1" applyBorder="1" applyAlignment="1" applyProtection="1">
      <alignment horizontal="left" vertical="center" wrapText="1"/>
      <protection locked="0"/>
    </xf>
    <xf numFmtId="0" fontId="22" fillId="14" borderId="27" xfId="0" applyFont="1" applyFill="1" applyBorder="1" applyAlignment="1" applyProtection="1">
      <alignment horizontal="center" vertical="center" wrapText="1"/>
      <protection locked="0"/>
    </xf>
    <xf numFmtId="0" fontId="22" fillId="14" borderId="22" xfId="0" applyFont="1" applyFill="1" applyBorder="1" applyAlignment="1" applyProtection="1">
      <alignment horizontal="center" vertical="center" wrapText="1"/>
      <protection locked="0"/>
    </xf>
    <xf numFmtId="168" fontId="22" fillId="0" borderId="27" xfId="0" applyNumberFormat="1" applyFont="1" applyBorder="1" applyAlignment="1" applyProtection="1">
      <alignment horizontal="center" vertical="center"/>
      <protection locked="0"/>
    </xf>
    <xf numFmtId="168" fontId="22" fillId="0" borderId="22" xfId="0" applyNumberFormat="1" applyFont="1" applyBorder="1" applyAlignment="1" applyProtection="1">
      <alignment horizontal="center" vertical="center"/>
      <protection locked="0"/>
    </xf>
    <xf numFmtId="171" fontId="22" fillId="0" borderId="27" xfId="0" applyNumberFormat="1" applyFont="1" applyBorder="1" applyAlignment="1" applyProtection="1">
      <alignment horizontal="left" vertical="center" wrapText="1"/>
      <protection locked="0"/>
    </xf>
    <xf numFmtId="171" fontId="22" fillId="0" borderId="22" xfId="0" applyNumberFormat="1" applyFont="1" applyBorder="1" applyAlignment="1" applyProtection="1">
      <alignment horizontal="left" vertical="center" wrapText="1"/>
      <protection locked="0"/>
    </xf>
    <xf numFmtId="0" fontId="48" fillId="0" borderId="27"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178" fontId="22" fillId="8" borderId="27" xfId="0" applyNumberFormat="1" applyFont="1" applyFill="1" applyBorder="1" applyAlignment="1" applyProtection="1">
      <alignment horizontal="left" vertical="center" wrapText="1"/>
      <protection locked="0"/>
    </xf>
    <xf numFmtId="178" fontId="22" fillId="8" borderId="22" xfId="0" applyNumberFormat="1" applyFont="1" applyFill="1" applyBorder="1" applyAlignment="1" applyProtection="1">
      <alignment horizontal="left" vertical="center" wrapText="1"/>
      <protection locked="0"/>
    </xf>
    <xf numFmtId="0" fontId="22" fillId="8" borderId="27" xfId="0" applyFont="1" applyFill="1" applyBorder="1" applyAlignment="1" applyProtection="1">
      <alignment horizontal="left" vertical="center" wrapText="1"/>
      <protection locked="0"/>
    </xf>
    <xf numFmtId="0" fontId="22" fillId="8" borderId="22" xfId="0" applyFont="1" applyFill="1" applyBorder="1" applyAlignment="1" applyProtection="1">
      <alignment horizontal="left" vertical="center" wrapText="1"/>
      <protection locked="0"/>
    </xf>
    <xf numFmtId="0" fontId="46" fillId="14" borderId="27" xfId="0" applyFont="1" applyFill="1" applyBorder="1" applyAlignment="1" applyProtection="1">
      <alignment horizontal="left" vertical="center" wrapText="1"/>
      <protection locked="0"/>
    </xf>
    <xf numFmtId="0" fontId="46" fillId="0" borderId="27"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wrapText="1"/>
      <protection locked="0"/>
    </xf>
    <xf numFmtId="0" fontId="36" fillId="2" borderId="113" xfId="0" applyFont="1" applyFill="1" applyBorder="1" applyAlignment="1" applyProtection="1">
      <alignment horizontal="left" vertical="center" wrapText="1"/>
      <protection locked="0"/>
    </xf>
    <xf numFmtId="0" fontId="34" fillId="16" borderId="51" xfId="0" applyFont="1" applyFill="1" applyBorder="1" applyAlignment="1">
      <alignment horizontal="center" vertical="center"/>
    </xf>
    <xf numFmtId="0" fontId="22" fillId="13" borderId="28" xfId="0" applyFont="1" applyFill="1" applyBorder="1" applyAlignment="1">
      <alignment horizontal="center" vertical="center" wrapText="1"/>
    </xf>
    <xf numFmtId="0" fontId="22" fillId="13" borderId="29" xfId="0" applyFont="1" applyFill="1" applyBorder="1" applyAlignment="1">
      <alignment horizontal="center" vertical="center" wrapText="1"/>
    </xf>
    <xf numFmtId="0" fontId="22" fillId="2" borderId="0" xfId="0" applyFont="1" applyFill="1" applyAlignment="1">
      <alignment horizontal="center"/>
    </xf>
    <xf numFmtId="0" fontId="22" fillId="14" borderId="21" xfId="0" applyFont="1" applyFill="1" applyBorder="1" applyAlignment="1" applyProtection="1">
      <alignment horizontal="center" vertical="center"/>
      <protection locked="0"/>
    </xf>
    <xf numFmtId="0" fontId="22" fillId="2" borderId="21" xfId="0" applyFont="1" applyFill="1" applyBorder="1" applyAlignment="1" applyProtection="1">
      <alignment horizontal="center" vertical="center"/>
      <protection locked="0"/>
    </xf>
    <xf numFmtId="0" fontId="22" fillId="14" borderId="21" xfId="0" applyFont="1" applyFill="1" applyBorder="1" applyAlignment="1">
      <alignment horizontal="center" vertical="center"/>
    </xf>
    <xf numFmtId="0" fontId="22" fillId="2" borderId="21" xfId="0" applyFont="1" applyFill="1" applyBorder="1" applyAlignment="1">
      <alignment horizontal="center" vertical="center"/>
    </xf>
    <xf numFmtId="0" fontId="22" fillId="14" borderId="27" xfId="0" applyFont="1" applyFill="1" applyBorder="1" applyAlignment="1" applyProtection="1">
      <alignment horizontal="center" vertical="center"/>
      <protection locked="0"/>
    </xf>
    <xf numFmtId="0" fontId="22" fillId="14" borderId="22" xfId="0" applyFont="1" applyFill="1" applyBorder="1" applyAlignment="1" applyProtection="1">
      <alignment horizontal="center" vertical="center"/>
      <protection locked="0"/>
    </xf>
    <xf numFmtId="0" fontId="22" fillId="14" borderId="0" xfId="0" applyFont="1" applyFill="1" applyAlignment="1">
      <alignment horizontal="center"/>
    </xf>
    <xf numFmtId="0" fontId="22" fillId="0" borderId="27" xfId="0" applyFont="1" applyBorder="1" applyAlignment="1" applyProtection="1">
      <alignment horizontal="center" vertical="center"/>
      <protection locked="0"/>
    </xf>
    <xf numFmtId="0" fontId="22" fillId="0" borderId="22" xfId="0" applyFont="1" applyBorder="1" applyAlignment="1" applyProtection="1">
      <alignment horizontal="center" vertical="center"/>
      <protection locked="0"/>
    </xf>
    <xf numFmtId="168" fontId="22" fillId="2" borderId="27" xfId="0" applyNumberFormat="1" applyFont="1" applyFill="1" applyBorder="1" applyAlignment="1" applyProtection="1">
      <alignment horizontal="center" vertical="center"/>
      <protection locked="0"/>
    </xf>
    <xf numFmtId="168" fontId="22" fillId="2" borderId="22" xfId="0" applyNumberFormat="1" applyFont="1" applyFill="1" applyBorder="1" applyAlignment="1" applyProtection="1">
      <alignment horizontal="center" vertical="center"/>
      <protection locked="0"/>
    </xf>
    <xf numFmtId="0" fontId="22" fillId="5" borderId="27" xfId="4" applyFont="1" applyFill="1" applyBorder="1" applyAlignment="1" applyProtection="1">
      <alignment horizontal="center" vertical="center" wrapText="1"/>
      <protection hidden="1"/>
    </xf>
    <xf numFmtId="0" fontId="22" fillId="5" borderId="22" xfId="4" applyFont="1" applyFill="1" applyBorder="1" applyAlignment="1" applyProtection="1">
      <alignment horizontal="center" vertical="center" wrapText="1"/>
      <protection hidden="1"/>
    </xf>
    <xf numFmtId="0" fontId="22" fillId="14" borderId="27" xfId="0" applyFont="1" applyFill="1" applyBorder="1" applyAlignment="1" applyProtection="1">
      <alignment vertical="center" wrapText="1"/>
      <protection locked="0"/>
    </xf>
    <xf numFmtId="0" fontId="22" fillId="14" borderId="22" xfId="0" applyFont="1" applyFill="1" applyBorder="1" applyAlignment="1" applyProtection="1">
      <alignment vertical="center" wrapText="1"/>
      <protection locked="0"/>
    </xf>
    <xf numFmtId="0" fontId="22" fillId="0" borderId="27" xfId="0" applyFont="1" applyBorder="1" applyAlignment="1" applyProtection="1">
      <alignment vertical="center" wrapText="1"/>
      <protection locked="0"/>
    </xf>
    <xf numFmtId="0" fontId="22" fillId="0" borderId="22" xfId="0" applyFont="1" applyBorder="1" applyAlignment="1" applyProtection="1">
      <alignment vertical="center" wrapText="1"/>
      <protection locked="0"/>
    </xf>
    <xf numFmtId="0" fontId="49" fillId="0" borderId="27" xfId="0" applyFont="1" applyBorder="1" applyAlignment="1" applyProtection="1">
      <alignment horizontal="left" vertical="center" wrapText="1"/>
      <protection locked="0"/>
    </xf>
    <xf numFmtId="0" fontId="49" fillId="14" borderId="27" xfId="0" applyFont="1" applyFill="1" applyBorder="1" applyAlignment="1" applyProtection="1">
      <alignment horizontal="left" vertical="center" wrapText="1"/>
      <protection locked="0"/>
    </xf>
    <xf numFmtId="0" fontId="22" fillId="24" borderId="28" xfId="0" applyFont="1" applyFill="1" applyBorder="1" applyAlignment="1">
      <alignment horizontal="center" vertical="center" wrapText="1"/>
    </xf>
    <xf numFmtId="0" fontId="22" fillId="24" borderId="29" xfId="0" applyFont="1" applyFill="1" applyBorder="1" applyAlignment="1">
      <alignment horizontal="center" vertical="center" wrapText="1"/>
    </xf>
    <xf numFmtId="0" fontId="21" fillId="13" borderId="21" xfId="0" applyFont="1" applyFill="1" applyBorder="1" applyAlignment="1">
      <alignment horizontal="center" vertical="center"/>
    </xf>
    <xf numFmtId="0" fontId="21" fillId="13" borderId="24" xfId="0" applyFont="1" applyFill="1" applyBorder="1" applyAlignment="1">
      <alignment horizontal="center" vertical="center"/>
    </xf>
    <xf numFmtId="0" fontId="21" fillId="13" borderId="38" xfId="0" applyFont="1" applyFill="1" applyBorder="1" applyAlignment="1">
      <alignment horizontal="center" vertical="center"/>
    </xf>
    <xf numFmtId="0" fontId="21" fillId="13" borderId="25" xfId="0" applyFont="1" applyFill="1" applyBorder="1" applyAlignment="1">
      <alignment horizontal="center" vertical="center"/>
    </xf>
    <xf numFmtId="0" fontId="34" fillId="16" borderId="51" xfId="0" applyFont="1" applyFill="1" applyBorder="1" applyAlignment="1">
      <alignment horizontal="center" vertical="center" wrapText="1"/>
    </xf>
    <xf numFmtId="0" fontId="22" fillId="25" borderId="27" xfId="0" applyFont="1" applyFill="1" applyBorder="1" applyAlignment="1" applyProtection="1">
      <alignment horizontal="left" vertical="center" wrapText="1"/>
      <protection locked="0"/>
    </xf>
    <xf numFmtId="0" fontId="22" fillId="25" borderId="22" xfId="0" applyFont="1" applyFill="1" applyBorder="1" applyAlignment="1" applyProtection="1">
      <alignment horizontal="left" vertical="center" wrapText="1"/>
      <protection locked="0"/>
    </xf>
    <xf numFmtId="168" fontId="22" fillId="25" borderId="27" xfId="0" applyNumberFormat="1" applyFont="1" applyFill="1" applyBorder="1" applyAlignment="1" applyProtection="1">
      <alignment horizontal="center" vertical="center"/>
      <protection locked="0"/>
    </xf>
    <xf numFmtId="168" fontId="22" fillId="25" borderId="22" xfId="0" applyNumberFormat="1" applyFont="1" applyFill="1" applyBorder="1" applyAlignment="1" applyProtection="1">
      <alignment horizontal="center" vertical="center"/>
      <protection locked="0"/>
    </xf>
    <xf numFmtId="0" fontId="22" fillId="25" borderId="27" xfId="0" applyFont="1" applyFill="1" applyBorder="1" applyAlignment="1" applyProtection="1">
      <alignment horizontal="center" vertical="center"/>
      <protection locked="0"/>
    </xf>
    <xf numFmtId="0" fontId="22" fillId="25" borderId="22" xfId="0" applyFont="1" applyFill="1" applyBorder="1" applyAlignment="1" applyProtection="1">
      <alignment horizontal="center" vertical="center"/>
      <protection locked="0"/>
    </xf>
    <xf numFmtId="168" fontId="22" fillId="8" borderId="27" xfId="0" applyNumberFormat="1" applyFont="1" applyFill="1" applyBorder="1" applyAlignment="1" applyProtection="1">
      <alignment horizontal="center" vertical="center"/>
      <protection locked="0"/>
    </xf>
    <xf numFmtId="168" fontId="22" fillId="8" borderId="22" xfId="0" applyNumberFormat="1" applyFont="1" applyFill="1" applyBorder="1" applyAlignment="1" applyProtection="1">
      <alignment horizontal="center" vertical="center"/>
      <protection locked="0"/>
    </xf>
    <xf numFmtId="0" fontId="22" fillId="8" borderId="27" xfId="0" applyFont="1" applyFill="1" applyBorder="1" applyAlignment="1" applyProtection="1">
      <alignment horizontal="center" vertical="center"/>
      <protection locked="0"/>
    </xf>
    <xf numFmtId="0" fontId="22" fillId="8" borderId="22" xfId="0" applyFont="1" applyFill="1" applyBorder="1" applyAlignment="1" applyProtection="1">
      <alignment horizontal="center" vertical="center"/>
      <protection locked="0"/>
    </xf>
    <xf numFmtId="0" fontId="22" fillId="2" borderId="27" xfId="0" applyFont="1" applyFill="1" applyBorder="1" applyAlignment="1" applyProtection="1">
      <alignment horizontal="center" vertical="center"/>
      <protection locked="0"/>
    </xf>
    <xf numFmtId="0" fontId="22" fillId="2" borderId="22" xfId="0" applyFont="1" applyFill="1" applyBorder="1" applyAlignment="1" applyProtection="1">
      <alignment horizontal="center" vertical="center"/>
      <protection locked="0"/>
    </xf>
    <xf numFmtId="0" fontId="22" fillId="2" borderId="27" xfId="0" applyFont="1" applyFill="1" applyBorder="1" applyAlignment="1" applyProtection="1">
      <alignment horizontal="center" vertical="center" wrapText="1"/>
      <protection locked="0"/>
    </xf>
    <xf numFmtId="0" fontId="22" fillId="2" borderId="22" xfId="0" applyFont="1" applyFill="1" applyBorder="1" applyAlignment="1" applyProtection="1">
      <alignment horizontal="center" vertical="center" wrapText="1"/>
      <protection locked="0"/>
    </xf>
    <xf numFmtId="0" fontId="22" fillId="11" borderId="27" xfId="0" applyFont="1" applyFill="1" applyBorder="1" applyAlignment="1">
      <alignment horizontal="center" vertical="center"/>
    </xf>
    <xf numFmtId="0" fontId="22" fillId="11" borderId="22" xfId="0" applyFont="1" applyFill="1" applyBorder="1" applyAlignment="1">
      <alignment horizontal="center" vertical="center"/>
    </xf>
    <xf numFmtId="0" fontId="22" fillId="11" borderId="27" xfId="0" applyFont="1" applyFill="1" applyBorder="1" applyAlignment="1">
      <alignment horizontal="left" vertical="center" wrapText="1"/>
    </xf>
    <xf numFmtId="0" fontId="22" fillId="11" borderId="22" xfId="0" applyFont="1" applyFill="1" applyBorder="1" applyAlignment="1">
      <alignment horizontal="left" vertical="center" wrapText="1"/>
    </xf>
    <xf numFmtId="0" fontId="22" fillId="11" borderId="27" xfId="0" applyFont="1" applyFill="1" applyBorder="1" applyAlignment="1">
      <alignment horizontal="center" vertical="center" wrapText="1"/>
    </xf>
    <xf numFmtId="0" fontId="22" fillId="11" borderId="22" xfId="0" applyFont="1" applyFill="1" applyBorder="1" applyAlignment="1">
      <alignment horizontal="center" vertical="center" wrapText="1"/>
    </xf>
    <xf numFmtId="10" fontId="22" fillId="2" borderId="27" xfId="0" applyNumberFormat="1" applyFont="1" applyFill="1" applyBorder="1" applyAlignment="1" applyProtection="1">
      <alignment horizontal="center" vertical="center"/>
      <protection locked="0"/>
    </xf>
    <xf numFmtId="10" fontId="22" fillId="2" borderId="22" xfId="0" applyNumberFormat="1" applyFont="1" applyFill="1" applyBorder="1" applyAlignment="1" applyProtection="1">
      <alignment horizontal="center" vertical="center"/>
      <protection locked="0"/>
    </xf>
    <xf numFmtId="0" fontId="33" fillId="15" borderId="24" xfId="0" applyFont="1" applyFill="1" applyBorder="1" applyAlignment="1">
      <alignment horizontal="center" vertical="center"/>
    </xf>
    <xf numFmtId="0" fontId="33" fillId="15" borderId="25" xfId="0" applyFont="1" applyFill="1" applyBorder="1" applyAlignment="1">
      <alignment horizontal="center" vertical="center"/>
    </xf>
    <xf numFmtId="0" fontId="33" fillId="15" borderId="38" xfId="0" applyFont="1" applyFill="1" applyBorder="1" applyAlignment="1">
      <alignment horizontal="center" vertical="center"/>
    </xf>
    <xf numFmtId="0" fontId="33" fillId="15" borderId="37" xfId="0" applyFont="1" applyFill="1" applyBorder="1" applyAlignment="1">
      <alignment horizontal="center" vertical="center"/>
    </xf>
    <xf numFmtId="0" fontId="33" fillId="15" borderId="26" xfId="0" applyFont="1" applyFill="1" applyBorder="1" applyAlignment="1">
      <alignment horizontal="center" vertical="center"/>
    </xf>
    <xf numFmtId="0" fontId="34" fillId="16" borderId="51" xfId="0" quotePrefix="1" applyFont="1" applyFill="1" applyBorder="1" applyAlignment="1">
      <alignment horizontal="center" vertical="center"/>
    </xf>
    <xf numFmtId="10" fontId="22" fillId="0" borderId="27" xfId="0" applyNumberFormat="1" applyFont="1" applyBorder="1" applyAlignment="1" applyProtection="1">
      <alignment horizontal="center" vertical="center"/>
      <protection locked="0"/>
    </xf>
    <xf numFmtId="10" fontId="22" fillId="0" borderId="22" xfId="0" applyNumberFormat="1" applyFont="1" applyBorder="1" applyAlignment="1" applyProtection="1">
      <alignment horizontal="center" vertical="center"/>
      <protection locked="0"/>
    </xf>
    <xf numFmtId="0" fontId="49" fillId="2" borderId="27" xfId="0" applyFont="1" applyFill="1" applyBorder="1" applyAlignment="1" applyProtection="1">
      <alignment horizontal="left" vertical="center" wrapText="1"/>
      <protection locked="0"/>
    </xf>
    <xf numFmtId="0" fontId="50" fillId="2" borderId="27" xfId="0" applyFont="1" applyFill="1" applyBorder="1" applyAlignment="1" applyProtection="1">
      <alignment horizontal="left" vertical="center" wrapText="1"/>
      <protection locked="0"/>
    </xf>
    <xf numFmtId="16" fontId="21" fillId="13" borderId="24" xfId="0" applyNumberFormat="1" applyFont="1" applyFill="1" applyBorder="1" applyAlignment="1">
      <alignment horizontal="center" vertical="center"/>
    </xf>
    <xf numFmtId="16" fontId="21" fillId="13" borderId="25" xfId="0" applyNumberFormat="1" applyFont="1" applyFill="1" applyBorder="1" applyAlignment="1">
      <alignment horizontal="center" vertical="center"/>
    </xf>
    <xf numFmtId="0" fontId="34" fillId="16" borderId="21" xfId="0" applyFont="1" applyFill="1" applyBorder="1" applyAlignment="1">
      <alignment horizontal="center" vertical="center"/>
    </xf>
    <xf numFmtId="0" fontId="35" fillId="16" borderId="21" xfId="0" applyFont="1" applyFill="1" applyBorder="1" applyAlignment="1">
      <alignment horizontal="center" vertical="center"/>
    </xf>
    <xf numFmtId="0" fontId="23" fillId="22" borderId="53" xfId="0" applyFont="1" applyFill="1" applyBorder="1" applyAlignment="1">
      <alignment horizontal="left" vertical="top" readingOrder="1"/>
    </xf>
    <xf numFmtId="0" fontId="23" fillId="22" borderId="54" xfId="0" applyFont="1" applyFill="1" applyBorder="1" applyAlignment="1">
      <alignment horizontal="left" vertical="top" readingOrder="1"/>
    </xf>
    <xf numFmtId="0" fontId="23" fillId="22" borderId="60" xfId="0" applyFont="1" applyFill="1" applyBorder="1" applyAlignment="1">
      <alignment horizontal="left" vertical="top" readingOrder="1"/>
    </xf>
    <xf numFmtId="0" fontId="27" fillId="0" borderId="53" xfId="1" applyFont="1" applyBorder="1" applyAlignment="1">
      <alignment horizontal="center" vertical="top" readingOrder="1"/>
    </xf>
    <xf numFmtId="0" fontId="27" fillId="0" borderId="60" xfId="1" applyFont="1" applyBorder="1" applyAlignment="1">
      <alignment horizontal="center" vertical="top" readingOrder="1"/>
    </xf>
    <xf numFmtId="0" fontId="24" fillId="0" borderId="53" xfId="0" applyFont="1" applyBorder="1" applyAlignment="1">
      <alignment horizontal="left" vertical="center"/>
    </xf>
    <xf numFmtId="0" fontId="24" fillId="0" borderId="54" xfId="0" applyFont="1" applyBorder="1" applyAlignment="1">
      <alignment horizontal="left" vertical="center"/>
    </xf>
    <xf numFmtId="0" fontId="24" fillId="0" borderId="60" xfId="0" applyFont="1" applyBorder="1" applyAlignment="1">
      <alignment horizontal="left" vertical="center"/>
    </xf>
    <xf numFmtId="0" fontId="24" fillId="0" borderId="54" xfId="0" applyFont="1" applyBorder="1" applyAlignment="1"/>
    <xf numFmtId="0" fontId="24" fillId="0" borderId="68" xfId="0" applyFont="1" applyBorder="1" applyAlignment="1"/>
    <xf numFmtId="0" fontId="24" fillId="0" borderId="73" xfId="0" applyFont="1" applyBorder="1" applyAlignment="1">
      <alignment horizontal="left" vertical="top" readingOrder="1"/>
    </xf>
    <xf numFmtId="0" fontId="24" fillId="0" borderId="68" xfId="0" applyFont="1" applyBorder="1" applyAlignment="1">
      <alignment horizontal="left" vertical="top" readingOrder="1"/>
    </xf>
    <xf numFmtId="0" fontId="24" fillId="0" borderId="69" xfId="0" applyFont="1" applyBorder="1" applyAlignment="1">
      <alignment horizontal="left" vertical="top" readingOrder="1"/>
    </xf>
    <xf numFmtId="0" fontId="24" fillId="0" borderId="58" xfId="0" applyFont="1" applyBorder="1" applyAlignment="1">
      <alignment horizontal="left" vertical="top" readingOrder="1"/>
    </xf>
    <xf numFmtId="0" fontId="24" fillId="0" borderId="0" xfId="0" applyFont="1" applyAlignment="1">
      <alignment horizontal="left" vertical="top" readingOrder="1"/>
    </xf>
    <xf numFmtId="0" fontId="24" fillId="0" borderId="70" xfId="0" applyFont="1" applyBorder="1" applyAlignment="1">
      <alignment horizontal="left" vertical="top" readingOrder="1"/>
    </xf>
    <xf numFmtId="0" fontId="23" fillId="22" borderId="24" xfId="0" applyFont="1" applyFill="1" applyBorder="1" applyAlignment="1">
      <alignment horizontal="left" vertical="top" readingOrder="1"/>
    </xf>
    <xf numFmtId="0" fontId="23" fillId="22" borderId="25" xfId="0" applyFont="1" applyFill="1" applyBorder="1" applyAlignment="1">
      <alignment horizontal="left" vertical="top" readingOrder="1"/>
    </xf>
    <xf numFmtId="0" fontId="23" fillId="22" borderId="38" xfId="0" applyFont="1" applyFill="1" applyBorder="1" applyAlignment="1">
      <alignment horizontal="left" vertical="top" readingOrder="1"/>
    </xf>
    <xf numFmtId="0" fontId="24" fillId="0" borderId="65" xfId="0" applyFont="1" applyBorder="1" applyAlignment="1">
      <alignment horizontal="left" vertical="top" readingOrder="1"/>
    </xf>
    <xf numFmtId="0" fontId="24" fillId="0" borderId="66" xfId="0" applyFont="1" applyBorder="1" applyAlignment="1">
      <alignment horizontal="left" vertical="top" readingOrder="1"/>
    </xf>
    <xf numFmtId="0" fontId="24" fillId="0" borderId="74" xfId="0" applyFont="1" applyBorder="1" applyAlignment="1">
      <alignment horizontal="left" vertical="top" readingOrder="1"/>
    </xf>
    <xf numFmtId="0" fontId="24" fillId="0" borderId="71" xfId="0" applyFont="1" applyBorder="1" applyAlignment="1">
      <alignment horizontal="left" vertical="top" readingOrder="1"/>
    </xf>
    <xf numFmtId="0" fontId="24" fillId="0" borderId="72" xfId="0" applyFont="1" applyBorder="1" applyAlignment="1">
      <alignment horizontal="left" vertical="top" readingOrder="1"/>
    </xf>
    <xf numFmtId="0" fontId="24" fillId="0" borderId="53" xfId="0" applyFont="1" applyBorder="1" applyAlignment="1">
      <alignment horizontal="left" vertical="top" readingOrder="1"/>
    </xf>
    <xf numFmtId="0" fontId="24" fillId="0" borderId="54" xfId="0" applyFont="1" applyBorder="1" applyAlignment="1">
      <alignment horizontal="left" vertical="top" readingOrder="1"/>
    </xf>
    <xf numFmtId="0" fontId="24" fillId="0" borderId="60" xfId="0" applyFont="1" applyBorder="1" applyAlignment="1">
      <alignment horizontal="left" vertical="top" readingOrder="1"/>
    </xf>
    <xf numFmtId="174" fontId="24" fillId="0" borderId="68" xfId="0" applyNumberFormat="1" applyFont="1" applyBorder="1" applyAlignment="1">
      <alignment horizontal="left" vertical="top" readingOrder="1"/>
    </xf>
    <xf numFmtId="174" fontId="24" fillId="0" borderId="69" xfId="0" applyNumberFormat="1" applyFont="1" applyBorder="1" applyAlignment="1">
      <alignment horizontal="left" vertical="top" readingOrder="1"/>
    </xf>
    <xf numFmtId="174" fontId="24" fillId="0" borderId="71" xfId="0" applyNumberFormat="1" applyFont="1" applyBorder="1" applyAlignment="1">
      <alignment horizontal="left" vertical="top" readingOrder="1"/>
    </xf>
    <xf numFmtId="174" fontId="24" fillId="0" borderId="72" xfId="0" applyNumberFormat="1" applyFont="1" applyBorder="1" applyAlignment="1">
      <alignment horizontal="left" vertical="top" readingOrder="1"/>
    </xf>
    <xf numFmtId="0" fontId="24" fillId="0" borderId="53" xfId="0" quotePrefix="1" applyFont="1" applyBorder="1" applyAlignment="1">
      <alignment horizontal="left" vertical="top" readingOrder="1"/>
    </xf>
    <xf numFmtId="0" fontId="23" fillId="22" borderId="85" xfId="0" applyFont="1" applyFill="1" applyBorder="1" applyAlignment="1">
      <alignment horizontal="left" vertical="top" readingOrder="1"/>
    </xf>
    <xf numFmtId="0" fontId="27" fillId="2" borderId="54" xfId="1" applyFont="1" applyFill="1" applyBorder="1" applyAlignment="1">
      <alignment horizontal="center" vertical="top" readingOrder="1"/>
    </xf>
    <xf numFmtId="0" fontId="27" fillId="2" borderId="60" xfId="1" applyFont="1" applyFill="1" applyBorder="1" applyAlignment="1">
      <alignment horizontal="center" vertical="top" readingOrder="1"/>
    </xf>
    <xf numFmtId="0" fontId="24" fillId="0" borderId="67" xfId="0" applyFont="1" applyBorder="1" applyAlignment="1">
      <alignment horizontal="left" vertical="top" readingOrder="1"/>
    </xf>
    <xf numFmtId="0" fontId="27" fillId="0" borderId="54" xfId="1" applyFont="1" applyBorder="1" applyAlignment="1">
      <alignment horizontal="center" vertical="top" readingOrder="1"/>
    </xf>
    <xf numFmtId="0" fontId="23" fillId="22" borderId="53" xfId="0" applyFont="1" applyFill="1" applyBorder="1" applyAlignment="1">
      <alignment horizontal="left" vertical="top" wrapText="1" readingOrder="1"/>
    </xf>
    <xf numFmtId="0" fontId="23" fillId="22" borderId="54" xfId="0" applyFont="1" applyFill="1" applyBorder="1" applyAlignment="1">
      <alignment horizontal="left" vertical="top" wrapText="1" readingOrder="1"/>
    </xf>
    <xf numFmtId="0" fontId="23" fillId="22" borderId="60" xfId="0" applyFont="1" applyFill="1" applyBorder="1" applyAlignment="1">
      <alignment horizontal="left" vertical="top" wrapText="1" readingOrder="1"/>
    </xf>
    <xf numFmtId="0" fontId="24" fillId="0" borderId="53" xfId="0" applyFont="1" applyBorder="1" applyAlignment="1">
      <alignment horizontal="left" vertical="top" wrapText="1" readingOrder="1"/>
    </xf>
    <xf numFmtId="0" fontId="24" fillId="0" borderId="54" xfId="0" applyFont="1" applyBorder="1" applyAlignment="1">
      <alignment horizontal="left" vertical="top" wrapText="1" readingOrder="1"/>
    </xf>
    <xf numFmtId="0" fontId="24" fillId="0" borderId="60" xfId="0" applyFont="1" applyBorder="1" applyAlignment="1">
      <alignment horizontal="left" vertical="top" wrapText="1" readingOrder="1"/>
    </xf>
    <xf numFmtId="0" fontId="24" fillId="0" borderId="65" xfId="0" applyFont="1" applyBorder="1" applyAlignment="1">
      <alignment horizontal="left" vertical="top" wrapText="1" readingOrder="1"/>
    </xf>
    <xf numFmtId="0" fontId="24" fillId="0" borderId="66" xfId="0" applyFont="1" applyBorder="1" applyAlignment="1">
      <alignment horizontal="left" vertical="top" wrapText="1" readingOrder="1"/>
    </xf>
    <xf numFmtId="0" fontId="24" fillId="0" borderId="67" xfId="0" applyFont="1" applyBorder="1" applyAlignment="1">
      <alignment horizontal="left" vertical="top" wrapText="1" readingOrder="1"/>
    </xf>
    <xf numFmtId="0" fontId="24" fillId="0" borderId="73" xfId="0" applyFont="1" applyBorder="1" applyAlignment="1">
      <alignment horizontal="left" vertical="top" wrapText="1" readingOrder="1"/>
    </xf>
    <xf numFmtId="0" fontId="24" fillId="0" borderId="68" xfId="0" applyFont="1" applyBorder="1" applyAlignment="1">
      <alignment horizontal="left" vertical="top" wrapText="1" readingOrder="1"/>
    </xf>
    <xf numFmtId="0" fontId="24" fillId="0" borderId="69" xfId="0" applyFont="1" applyBorder="1" applyAlignment="1">
      <alignment horizontal="left" vertical="top" wrapText="1" readingOrder="1"/>
    </xf>
    <xf numFmtId="0" fontId="24" fillId="0" borderId="58" xfId="0" applyFont="1" applyBorder="1" applyAlignment="1">
      <alignment horizontal="left" vertical="top" wrapText="1" readingOrder="1"/>
    </xf>
    <xf numFmtId="0" fontId="24" fillId="0" borderId="0" xfId="0" applyFont="1" applyAlignment="1">
      <alignment horizontal="left" vertical="top" wrapText="1" readingOrder="1"/>
    </xf>
    <xf numFmtId="0" fontId="24" fillId="0" borderId="70" xfId="0" applyFont="1" applyBorder="1" applyAlignment="1">
      <alignment horizontal="left" vertical="top" wrapText="1" readingOrder="1"/>
    </xf>
    <xf numFmtId="0" fontId="24" fillId="0" borderId="74" xfId="0" applyFont="1" applyBorder="1" applyAlignment="1">
      <alignment horizontal="left" vertical="top" wrapText="1" readingOrder="1"/>
    </xf>
    <xf numFmtId="0" fontId="24" fillId="0" borderId="71" xfId="0" applyFont="1" applyBorder="1" applyAlignment="1">
      <alignment horizontal="left" vertical="top" wrapText="1" readingOrder="1"/>
    </xf>
    <xf numFmtId="0" fontId="24" fillId="0" borderId="72" xfId="0" applyFont="1" applyBorder="1" applyAlignment="1">
      <alignment horizontal="left" vertical="top" wrapText="1" readingOrder="1"/>
    </xf>
    <xf numFmtId="0" fontId="23" fillId="22" borderId="21" xfId="0" applyFont="1" applyFill="1" applyBorder="1" applyAlignment="1">
      <alignment horizontal="left" vertical="top" wrapText="1" readingOrder="1"/>
    </xf>
    <xf numFmtId="0" fontId="27" fillId="0" borderId="54" xfId="1" applyFont="1" applyBorder="1" applyAlignment="1">
      <alignment horizontal="center" vertical="top" wrapText="1" readingOrder="1"/>
    </xf>
    <xf numFmtId="0" fontId="27" fillId="0" borderId="60" xfId="1" applyFont="1" applyBorder="1" applyAlignment="1">
      <alignment horizontal="center" vertical="top" wrapText="1" readingOrder="1"/>
    </xf>
    <xf numFmtId="0" fontId="23" fillId="22" borderId="97" xfId="0" applyFont="1" applyFill="1" applyBorder="1" applyAlignment="1">
      <alignment horizontal="left" vertical="top" wrapText="1" readingOrder="1"/>
    </xf>
    <xf numFmtId="0" fontId="23" fillId="22" borderId="94" xfId="0" applyFont="1" applyFill="1" applyBorder="1" applyAlignment="1">
      <alignment horizontal="left" vertical="top" wrapText="1" readingOrder="1"/>
    </xf>
    <xf numFmtId="0" fontId="23" fillId="22" borderId="98" xfId="0" applyFont="1" applyFill="1" applyBorder="1" applyAlignment="1">
      <alignment horizontal="left" vertical="top" wrapText="1" readingOrder="1"/>
    </xf>
    <xf numFmtId="0" fontId="23" fillId="22" borderId="92" xfId="0" applyFont="1" applyFill="1" applyBorder="1" applyAlignment="1">
      <alignment horizontal="left" vertical="top" wrapText="1" readingOrder="1"/>
    </xf>
    <xf numFmtId="0" fontId="23" fillId="22" borderId="66" xfId="0" applyFont="1" applyFill="1" applyBorder="1" applyAlignment="1">
      <alignment horizontal="left" vertical="top" wrapText="1" readingOrder="1"/>
    </xf>
    <xf numFmtId="0" fontId="23" fillId="22" borderId="88" xfId="0" applyFont="1" applyFill="1" applyBorder="1" applyAlignment="1">
      <alignment horizontal="left" vertical="top" wrapText="1" readingOrder="1"/>
    </xf>
    <xf numFmtId="0" fontId="24" fillId="0" borderId="93" xfId="0" applyFont="1" applyBorder="1" applyAlignment="1">
      <alignment horizontal="left" vertical="top" wrapText="1" readingOrder="1"/>
    </xf>
    <xf numFmtId="0" fontId="24" fillId="0" borderId="91" xfId="0" applyFont="1" applyBorder="1" applyAlignment="1">
      <alignment horizontal="left" vertical="top" wrapText="1" readingOrder="1"/>
    </xf>
    <xf numFmtId="0" fontId="24" fillId="0" borderId="83" xfId="0" applyFont="1" applyBorder="1" applyAlignment="1">
      <alignment horizontal="left" vertical="top" wrapText="1" readingOrder="1"/>
    </xf>
    <xf numFmtId="0" fontId="24" fillId="0" borderId="89" xfId="0" applyFont="1" applyBorder="1" applyAlignment="1">
      <alignment horizontal="left" vertical="top" wrapText="1" readingOrder="1"/>
    </xf>
    <xf numFmtId="0" fontId="24" fillId="0" borderId="30" xfId="0" applyFont="1" applyBorder="1" applyAlignment="1">
      <alignment horizontal="left" vertical="top" wrapText="1" readingOrder="1"/>
    </xf>
    <xf numFmtId="0" fontId="24" fillId="0" borderId="90" xfId="0" applyFont="1" applyBorder="1" applyAlignment="1">
      <alignment horizontal="left" vertical="top" wrapText="1" readingOrder="1"/>
    </xf>
    <xf numFmtId="0" fontId="24" fillId="0" borderId="26" xfId="0" applyFont="1" applyBorder="1" applyAlignment="1">
      <alignment horizontal="left" vertical="top" wrapText="1" readingOrder="1"/>
    </xf>
    <xf numFmtId="0" fontId="24" fillId="0" borderId="85" xfId="0" applyFont="1" applyBorder="1" applyAlignment="1">
      <alignment horizontal="left" vertical="top" wrapText="1" readingOrder="1"/>
    </xf>
    <xf numFmtId="0" fontId="23" fillId="22" borderId="87" xfId="0" applyFont="1" applyFill="1" applyBorder="1" applyAlignment="1">
      <alignment horizontal="left" vertical="top" wrapText="1" readingOrder="1"/>
    </xf>
    <xf numFmtId="0" fontId="23" fillId="22" borderId="85" xfId="0" applyFont="1" applyFill="1" applyBorder="1" applyAlignment="1">
      <alignment horizontal="left" vertical="top" wrapText="1" readingOrder="1"/>
    </xf>
    <xf numFmtId="0" fontId="24" fillId="0" borderId="87" xfId="0" applyFont="1" applyBorder="1" applyAlignment="1">
      <alignment horizontal="left" vertical="top" wrapText="1" readingOrder="1"/>
    </xf>
    <xf numFmtId="0" fontId="24" fillId="0" borderId="95" xfId="0" applyFont="1" applyBorder="1" applyAlignment="1">
      <alignment horizontal="left" vertical="top" wrapText="1" readingOrder="1"/>
    </xf>
    <xf numFmtId="0" fontId="24" fillId="0" borderId="82" xfId="0" applyFont="1" applyBorder="1" applyAlignment="1">
      <alignment horizontal="left" vertical="top" wrapText="1" readingOrder="1"/>
    </xf>
    <xf numFmtId="0" fontId="23" fillId="22" borderId="65" xfId="0" applyFont="1" applyFill="1" applyBorder="1" applyAlignment="1">
      <alignment horizontal="left" vertical="top" wrapText="1" readingOrder="1"/>
    </xf>
    <xf numFmtId="0" fontId="27" fillId="0" borderId="87" xfId="1" applyFont="1" applyBorder="1" applyAlignment="1">
      <alignment horizontal="center" vertical="top" wrapText="1" readingOrder="1"/>
    </xf>
    <xf numFmtId="0" fontId="27" fillId="0" borderId="85" xfId="1" applyFont="1" applyBorder="1" applyAlignment="1">
      <alignment horizontal="center" vertical="top" wrapText="1" readingOrder="1"/>
    </xf>
    <xf numFmtId="0" fontId="10" fillId="0" borderId="0" xfId="2" applyFont="1" applyAlignment="1">
      <alignment horizontal="center"/>
    </xf>
  </cellXfs>
  <cellStyles count="148">
    <cellStyle name="Hyperlink 2" xfId="5"/>
    <cellStyle name="Hyperlink 3" xfId="38"/>
    <cellStyle name="Normal 2" xfId="2"/>
    <cellStyle name="Normal 3" xfId="3"/>
    <cellStyle name="Normal 3 10" xfId="79"/>
    <cellStyle name="Normal 3 11" xfId="43"/>
    <cellStyle name="Normal 3 2" xfId="6"/>
    <cellStyle name="Normal 3 2 10" xfId="44"/>
    <cellStyle name="Normal 3 2 2" xfId="8"/>
    <cellStyle name="Normal 3 2 2 2" xfId="16"/>
    <cellStyle name="Normal 3 2 2 2 2" xfId="36"/>
    <cellStyle name="Normal 3 2 2 2 2 2" xfId="146"/>
    <cellStyle name="Normal 3 2 2 2 2 3" xfId="110"/>
    <cellStyle name="Normal 3 2 2 2 2 4" xfId="74"/>
    <cellStyle name="Normal 3 2 2 2 3" xfId="24"/>
    <cellStyle name="Normal 3 2 2 2 3 2" xfId="134"/>
    <cellStyle name="Normal 3 2 2 2 3 3" xfId="98"/>
    <cellStyle name="Normal 3 2 2 2 3 4" xfId="62"/>
    <cellStyle name="Normal 3 2 2 2 4" xfId="126"/>
    <cellStyle name="Normal 3 2 2 2 5" xfId="90"/>
    <cellStyle name="Normal 3 2 2 2 6" xfId="54"/>
    <cellStyle name="Normal 3 2 2 3" xfId="12"/>
    <cellStyle name="Normal 3 2 2 3 2" xfId="32"/>
    <cellStyle name="Normal 3 2 2 3 2 2" xfId="142"/>
    <cellStyle name="Normal 3 2 2 3 2 3" xfId="106"/>
    <cellStyle name="Normal 3 2 2 3 2 4" xfId="70"/>
    <cellStyle name="Normal 3 2 2 3 3" xfId="122"/>
    <cellStyle name="Normal 3 2 2 3 4" xfId="86"/>
    <cellStyle name="Normal 3 2 2 3 5" xfId="50"/>
    <cellStyle name="Normal 3 2 2 4" xfId="28"/>
    <cellStyle name="Normal 3 2 2 4 2" xfId="138"/>
    <cellStyle name="Normal 3 2 2 4 3" xfId="102"/>
    <cellStyle name="Normal 3 2 2 4 4" xfId="66"/>
    <cellStyle name="Normal 3 2 2 5" xfId="20"/>
    <cellStyle name="Normal 3 2 2 5 2" xfId="130"/>
    <cellStyle name="Normal 3 2 2 5 3" xfId="94"/>
    <cellStyle name="Normal 3 2 2 5 4" xfId="58"/>
    <cellStyle name="Normal 3 2 2 6" xfId="42"/>
    <cellStyle name="Normal 3 2 2 6 2" xfId="114"/>
    <cellStyle name="Normal 3 2 2 6 3" xfId="78"/>
    <cellStyle name="Normal 3 2 2 7" xfId="118"/>
    <cellStyle name="Normal 3 2 2 8" xfId="82"/>
    <cellStyle name="Normal 3 2 2 9" xfId="46"/>
    <cellStyle name="Normal 3 2 3" xfId="14"/>
    <cellStyle name="Normal 3 2 3 2" xfId="34"/>
    <cellStyle name="Normal 3 2 3 2 2" xfId="144"/>
    <cellStyle name="Normal 3 2 3 2 3" xfId="108"/>
    <cellStyle name="Normal 3 2 3 2 4" xfId="72"/>
    <cellStyle name="Normal 3 2 3 3" xfId="22"/>
    <cellStyle name="Normal 3 2 3 3 2" xfId="132"/>
    <cellStyle name="Normal 3 2 3 3 3" xfId="96"/>
    <cellStyle name="Normal 3 2 3 3 4" xfId="60"/>
    <cellStyle name="Normal 3 2 3 4" xfId="124"/>
    <cellStyle name="Normal 3 2 3 5" xfId="88"/>
    <cellStyle name="Normal 3 2 3 6" xfId="52"/>
    <cellStyle name="Normal 3 2 4" xfId="10"/>
    <cellStyle name="Normal 3 2 4 2" xfId="30"/>
    <cellStyle name="Normal 3 2 4 2 2" xfId="140"/>
    <cellStyle name="Normal 3 2 4 2 3" xfId="104"/>
    <cellStyle name="Normal 3 2 4 2 4" xfId="68"/>
    <cellStyle name="Normal 3 2 4 3" xfId="120"/>
    <cellStyle name="Normal 3 2 4 4" xfId="84"/>
    <cellStyle name="Normal 3 2 4 5" xfId="48"/>
    <cellStyle name="Normal 3 2 5" xfId="26"/>
    <cellStyle name="Normal 3 2 5 2" xfId="136"/>
    <cellStyle name="Normal 3 2 5 3" xfId="100"/>
    <cellStyle name="Normal 3 2 5 4" xfId="64"/>
    <cellStyle name="Normal 3 2 6" xfId="18"/>
    <cellStyle name="Normal 3 2 6 2" xfId="128"/>
    <cellStyle name="Normal 3 2 6 3" xfId="92"/>
    <cellStyle name="Normal 3 2 6 4" xfId="56"/>
    <cellStyle name="Normal 3 2 7" xfId="40"/>
    <cellStyle name="Normal 3 2 7 2" xfId="112"/>
    <cellStyle name="Normal 3 2 7 3" xfId="76"/>
    <cellStyle name="Normal 3 2 8" xfId="116"/>
    <cellStyle name="Normal 3 2 9" xfId="80"/>
    <cellStyle name="Normal 3 3" xfId="7"/>
    <cellStyle name="Normal 3 3 2" xfId="15"/>
    <cellStyle name="Normal 3 3 2 2" xfId="35"/>
    <cellStyle name="Normal 3 3 2 2 2" xfId="145"/>
    <cellStyle name="Normal 3 3 2 2 3" xfId="109"/>
    <cellStyle name="Normal 3 3 2 2 4" xfId="73"/>
    <cellStyle name="Normal 3 3 2 3" xfId="23"/>
    <cellStyle name="Normal 3 3 2 3 2" xfId="133"/>
    <cellStyle name="Normal 3 3 2 3 3" xfId="97"/>
    <cellStyle name="Normal 3 3 2 3 4" xfId="61"/>
    <cellStyle name="Normal 3 3 2 4" xfId="125"/>
    <cellStyle name="Normal 3 3 2 5" xfId="89"/>
    <cellStyle name="Normal 3 3 2 6" xfId="53"/>
    <cellStyle name="Normal 3 3 3" xfId="11"/>
    <cellStyle name="Normal 3 3 3 2" xfId="31"/>
    <cellStyle name="Normal 3 3 3 2 2" xfId="141"/>
    <cellStyle name="Normal 3 3 3 2 3" xfId="105"/>
    <cellStyle name="Normal 3 3 3 2 4" xfId="69"/>
    <cellStyle name="Normal 3 3 3 3" xfId="121"/>
    <cellStyle name="Normal 3 3 3 4" xfId="85"/>
    <cellStyle name="Normal 3 3 3 5" xfId="49"/>
    <cellStyle name="Normal 3 3 4" xfId="27"/>
    <cellStyle name="Normal 3 3 4 2" xfId="137"/>
    <cellStyle name="Normal 3 3 4 3" xfId="101"/>
    <cellStyle name="Normal 3 3 4 4" xfId="65"/>
    <cellStyle name="Normal 3 3 5" xfId="19"/>
    <cellStyle name="Normal 3 3 5 2" xfId="129"/>
    <cellStyle name="Normal 3 3 5 3" xfId="93"/>
    <cellStyle name="Normal 3 3 5 4" xfId="57"/>
    <cellStyle name="Normal 3 3 6" xfId="41"/>
    <cellStyle name="Normal 3 3 6 2" xfId="113"/>
    <cellStyle name="Normal 3 3 6 3" xfId="77"/>
    <cellStyle name="Normal 3 3 7" xfId="117"/>
    <cellStyle name="Normal 3 3 8" xfId="81"/>
    <cellStyle name="Normal 3 3 9" xfId="45"/>
    <cellStyle name="Normal 3 4" xfId="13"/>
    <cellStyle name="Normal 3 4 2" xfId="33"/>
    <cellStyle name="Normal 3 4 2 2" xfId="143"/>
    <cellStyle name="Normal 3 4 2 3" xfId="107"/>
    <cellStyle name="Normal 3 4 2 4" xfId="71"/>
    <cellStyle name="Normal 3 4 3" xfId="21"/>
    <cellStyle name="Normal 3 4 3 2" xfId="131"/>
    <cellStyle name="Normal 3 4 3 3" xfId="95"/>
    <cellStyle name="Normal 3 4 3 4" xfId="59"/>
    <cellStyle name="Normal 3 4 4" xfId="123"/>
    <cellStyle name="Normal 3 4 5" xfId="87"/>
    <cellStyle name="Normal 3 4 6" xfId="51"/>
    <cellStyle name="Normal 3 5" xfId="9"/>
    <cellStyle name="Normal 3 5 2" xfId="29"/>
    <cellStyle name="Normal 3 5 2 2" xfId="139"/>
    <cellStyle name="Normal 3 5 2 3" xfId="103"/>
    <cellStyle name="Normal 3 5 2 4" xfId="67"/>
    <cellStyle name="Normal 3 5 3" xfId="119"/>
    <cellStyle name="Normal 3 5 4" xfId="83"/>
    <cellStyle name="Normal 3 5 5" xfId="47"/>
    <cellStyle name="Normal 3 6" xfId="25"/>
    <cellStyle name="Normal 3 6 2" xfId="135"/>
    <cellStyle name="Normal 3 6 3" xfId="99"/>
    <cellStyle name="Normal 3 6 4" xfId="63"/>
    <cellStyle name="Normal 3 7" xfId="17"/>
    <cellStyle name="Normal 3 7 2" xfId="127"/>
    <cellStyle name="Normal 3 7 3" xfId="91"/>
    <cellStyle name="Normal 3 7 4" xfId="55"/>
    <cellStyle name="Normal 3 8" xfId="39"/>
    <cellStyle name="Normal 3 8 2" xfId="111"/>
    <cellStyle name="Normal 3 8 3" xfId="75"/>
    <cellStyle name="Normal 3 9" xfId="115"/>
    <cellStyle name="Normal 4" xfId="4"/>
    <cellStyle name="Normal 5" xfId="37"/>
    <cellStyle name="Гиперссылка" xfId="1" builtinId="8"/>
    <cellStyle name="Обычный" xfId="0" builtinId="0"/>
    <cellStyle name="Обычный 9 2" xfId="147"/>
  </cellStyles>
  <dxfs count="2139">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A6A6A6"/>
        </patternFill>
      </fill>
    </dxf>
    <dxf>
      <font>
        <color theme="4" tint="0.79998168889431442"/>
      </font>
      <fill>
        <patternFill patternType="solid">
          <bgColor rgb="FFA6A6A6"/>
        </patternFill>
      </fill>
    </dxf>
    <dxf>
      <font>
        <color theme="4" tint="0.79998168889431442"/>
      </font>
      <fill>
        <patternFill patternType="solid">
          <bgColor rgb="FFA6A6A6"/>
        </patternFill>
      </fill>
    </dxf>
    <dxf>
      <fill>
        <patternFill>
          <bgColor rgb="FFFF0000"/>
        </patternFill>
      </fill>
    </dxf>
    <dxf>
      <font>
        <color theme="1"/>
      </font>
      <fill>
        <patternFill>
          <bgColor rgb="FFFF0000"/>
        </patternFill>
      </fill>
    </dxf>
    <dxf>
      <font>
        <color rgb="FF6E6E6E"/>
      </font>
      <fill>
        <patternFill>
          <bgColor rgb="FF6E6E6E"/>
        </patternFill>
      </fill>
      <border>
        <left/>
        <right/>
        <top/>
        <bottom/>
      </border>
    </dxf>
    <dxf>
      <font>
        <color theme="4" tint="0.79998168889431442"/>
      </font>
      <fill>
        <patternFill patternType="solid">
          <bgColor rgb="FFA6A6A6"/>
        </patternFill>
      </fill>
    </dxf>
    <dxf>
      <font>
        <color theme="4" tint="0.79998168889431442"/>
      </font>
      <fill>
        <patternFill patternType="solid">
          <bgColor rgb="FFA6A6A6"/>
        </patternFill>
      </fill>
    </dxf>
    <dxf>
      <font>
        <color theme="4" tint="0.79998168889431442"/>
      </font>
      <fill>
        <patternFill patternType="solid">
          <bgColor rgb="FFA6A6A6"/>
        </patternFill>
      </fill>
    </dxf>
    <dxf>
      <font>
        <color theme="4" tint="0.79998168889431442"/>
      </font>
      <fill>
        <patternFill patternType="solid">
          <bgColor rgb="FFA6A6A6"/>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A6A6A6"/>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A6A6A6"/>
        </patternFill>
      </fill>
      <border>
        <left/>
        <right/>
        <top/>
        <bottom/>
      </border>
    </dxf>
    <dxf>
      <fill>
        <patternFill>
          <bgColor rgb="FFFF0000"/>
        </patternFill>
      </fill>
    </dxf>
  </dxfs>
  <tableStyles count="0" defaultTableStyle="TableStyleMedium9" defaultPivotStyle="PivotStyleMedium7"/>
  <colors>
    <mruColors>
      <color rgb="FFFAD90D"/>
      <color rgb="FFA6A6A6"/>
      <color rgb="FF6E6E6E"/>
      <color rgb="FFD9D9D9"/>
      <color rgb="FF8294FB"/>
      <color rgb="FFDAEEF3"/>
      <color rgb="FFD1D3D4"/>
      <color rgb="FFD1A9EE"/>
      <color rgb="FFFEF7CF"/>
      <color rgb="FFE9E9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440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0</xdr:colOff>
      <xdr:row>0</xdr:row>
      <xdr:rowOff>0</xdr:rowOff>
    </xdr:from>
    <xdr:to>
      <xdr:col>1</xdr:col>
      <xdr:colOff>1085849</xdr:colOff>
      <xdr:row>5</xdr:row>
      <xdr:rowOff>92075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24149" cy="958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472440</xdr:colOff>
          <xdr:row>2</xdr:row>
          <xdr:rowOff>137160</xdr:rowOff>
        </xdr:to>
        <xdr:sp macro="" textlink="">
          <xdr:nvSpPr>
            <xdr:cNvPr id="3073" name="Apttus_App" hidden="1">
              <a:extLst>
                <a:ext uri="{63B3BB69-23CF-44E3-9099-C40C66FF867C}">
                  <a14:compatExt spid="_x0000_s3073"/>
                </a:ext>
                <a:ext uri="{FF2B5EF4-FFF2-40B4-BE49-F238E27FC236}">
                  <a16:creationId xmlns:a16="http://schemas.microsoft.com/office/drawing/2014/main" id="{00000000-0008-0000-16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571500</xdr:colOff>
          <xdr:row>2</xdr:row>
          <xdr:rowOff>137160</xdr:rowOff>
        </xdr:to>
        <xdr:sp macro="" textlink="">
          <xdr:nvSpPr>
            <xdr:cNvPr id="3074" name="Apttus_AppData" hidden="1">
              <a:extLst>
                <a:ext uri="{63B3BB69-23CF-44E3-9099-C40C66FF867C}">
                  <a14:compatExt spid="_x0000_s3074"/>
                </a:ext>
                <a:ext uri="{FF2B5EF4-FFF2-40B4-BE49-F238E27FC236}">
                  <a16:creationId xmlns:a16="http://schemas.microsoft.com/office/drawing/2014/main" id="{00000000-0008-0000-16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335280</xdr:colOff>
          <xdr:row>2</xdr:row>
          <xdr:rowOff>137160</xdr:rowOff>
        </xdr:to>
        <xdr:sp macro="" textlink="">
          <xdr:nvSpPr>
            <xdr:cNvPr id="3075" name="Apttus_AppDataTracker" hidden="1">
              <a:extLst>
                <a:ext uri="{63B3BB69-23CF-44E3-9099-C40C66FF867C}">
                  <a14:compatExt spid="_x0000_s3075"/>
                </a:ext>
                <a:ext uri="{FF2B5EF4-FFF2-40B4-BE49-F238E27FC236}">
                  <a16:creationId xmlns:a16="http://schemas.microsoft.com/office/drawing/2014/main" id="{00000000-0008-0000-16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281940</xdr:colOff>
          <xdr:row>2</xdr:row>
          <xdr:rowOff>137160</xdr:rowOff>
        </xdr:to>
        <xdr:sp macro="" textlink="">
          <xdr:nvSpPr>
            <xdr:cNvPr id="3076" name="Apttus_DataProtection" hidden="1">
              <a:extLst>
                <a:ext uri="{63B3BB69-23CF-44E3-9099-C40C66FF867C}">
                  <a14:compatExt spid="_x0000_s3076"/>
                </a:ext>
                <a:ext uri="{FF2B5EF4-FFF2-40B4-BE49-F238E27FC236}">
                  <a16:creationId xmlns:a16="http://schemas.microsoft.com/office/drawing/2014/main" id="{00000000-0008-0000-16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dp.sharepoint.com/Users/franczukr/AppData/Local/Microsoft/Windows/INetCache/Content.Outlook/8WZF18XC/Text%20for%20PF%20instructions%20tab-06Dec2019_revised%20French%2011%20dec%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structions"/>
      <sheetName val="Francais"/>
      <sheetName val="Espagnol"/>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Text for PF instructions tab-06"/>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file://C:\UKrishnan\AppData\Local\Temp\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7" Type="http://schemas.openxmlformats.org/officeDocument/2006/relationships/hyperlink" Target="file://C:\UKrishnan\AppData\Local\Temp\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2" Type="http://schemas.openxmlformats.org/officeDocument/2006/relationships/hyperlink" Target="file://C:\UKrishnan\AppData\Local\Temp\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1" Type="http://schemas.openxmlformats.org/officeDocument/2006/relationships/hyperlink" Target="https://www.theglobalfund.org/en/monitoring-evaluation/framework/" TargetMode="External"/><Relationship Id="rId6" Type="http://schemas.openxmlformats.org/officeDocument/2006/relationships/hyperlink" Target="file://C:\UKrishnan\AppData\Local\Temp\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5" Type="http://schemas.openxmlformats.org/officeDocument/2006/relationships/hyperlink" Target="file://C:\UKrishnan\AppData\Local\Temp\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4" Type="http://schemas.openxmlformats.org/officeDocument/2006/relationships/hyperlink" Target="file://C:\UKrishnan\AppData\Local\Temp\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example.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xample.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xample.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xample.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xample.co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3.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FF"/>
    <pageSetUpPr fitToPage="1"/>
  </sheetPr>
  <dimension ref="A6:BC312"/>
  <sheetViews>
    <sheetView showGridLines="0" showWhiteSpace="0" view="pageLayout" topLeftCell="A11" zoomScale="80" zoomScaleNormal="80" zoomScalePageLayoutView="80" workbookViewId="0">
      <selection activeCell="C5" sqref="C5"/>
    </sheetView>
  </sheetViews>
  <sheetFormatPr defaultColWidth="8.796875" defaultRowHeight="13.8" x14ac:dyDescent="0.25"/>
  <cols>
    <col min="1" max="1" width="21.09765625" style="52" customWidth="1"/>
    <col min="2" max="2" width="146" style="52" customWidth="1"/>
    <col min="3" max="3" width="8.796875" style="52" customWidth="1"/>
    <col min="4" max="16384" width="8.796875" style="52"/>
  </cols>
  <sheetData>
    <row r="6" spans="1:2" ht="22.8" x14ac:dyDescent="0.25">
      <c r="A6" s="445" t="s">
        <v>0</v>
      </c>
      <c r="B6" s="445"/>
    </row>
    <row r="7" spans="1:2" ht="14.4" thickBot="1" x14ac:dyDescent="0.3">
      <c r="A7" s="31"/>
      <c r="B7" s="31"/>
    </row>
    <row r="8" spans="1:2" ht="21.6" customHeight="1" thickBot="1" x14ac:dyDescent="0.3">
      <c r="A8" s="451" t="s">
        <v>1</v>
      </c>
      <c r="B8" s="452"/>
    </row>
    <row r="9" spans="1:2" ht="44.1" customHeight="1" thickBot="1" x14ac:dyDescent="0.3">
      <c r="A9" s="447" t="s">
        <v>2</v>
      </c>
      <c r="B9" s="454"/>
    </row>
    <row r="10" spans="1:2" ht="21" customHeight="1" thickBot="1" x14ac:dyDescent="0.3">
      <c r="A10" s="447" t="s">
        <v>3</v>
      </c>
      <c r="B10" s="454"/>
    </row>
    <row r="11" spans="1:2" ht="53.55" customHeight="1" x14ac:dyDescent="0.25">
      <c r="A11" s="455" t="s">
        <v>4</v>
      </c>
      <c r="B11" s="456"/>
    </row>
    <row r="12" spans="1:2" ht="29.1" customHeight="1" thickBot="1" x14ac:dyDescent="0.3">
      <c r="A12" s="422" t="s">
        <v>5</v>
      </c>
      <c r="B12" s="453"/>
    </row>
    <row r="13" spans="1:2" ht="22.05" customHeight="1" thickBot="1" x14ac:dyDescent="0.3">
      <c r="A13" s="451" t="s">
        <v>6</v>
      </c>
      <c r="B13" s="457"/>
    </row>
    <row r="14" spans="1:2" ht="32.549999999999997" customHeight="1" x14ac:dyDescent="0.25">
      <c r="A14" s="424" t="s">
        <v>7</v>
      </c>
      <c r="B14" s="425"/>
    </row>
    <row r="15" spans="1:2" ht="19.05" customHeight="1" thickBot="1" x14ac:dyDescent="0.3">
      <c r="A15" s="422" t="s">
        <v>8</v>
      </c>
      <c r="B15" s="453"/>
    </row>
    <row r="16" spans="1:2" ht="33" customHeight="1" x14ac:dyDescent="0.25">
      <c r="A16" s="424" t="s">
        <v>9</v>
      </c>
      <c r="B16" s="425"/>
    </row>
    <row r="17" spans="1:2" ht="26.1" customHeight="1" thickBot="1" x14ac:dyDescent="0.3">
      <c r="A17" s="422" t="s">
        <v>10</v>
      </c>
      <c r="B17" s="453"/>
    </row>
    <row r="18" spans="1:2" ht="17.55" customHeight="1" x14ac:dyDescent="0.25">
      <c r="A18" s="424" t="s">
        <v>11</v>
      </c>
      <c r="B18" s="425"/>
    </row>
    <row r="19" spans="1:2" ht="17.55" customHeight="1" x14ac:dyDescent="0.25">
      <c r="A19" s="420" t="s">
        <v>12</v>
      </c>
      <c r="B19" s="421"/>
    </row>
    <row r="20" spans="1:2" ht="17.55" customHeight="1" x14ac:dyDescent="0.25">
      <c r="A20" s="420" t="s">
        <v>13</v>
      </c>
      <c r="B20" s="421"/>
    </row>
    <row r="21" spans="1:2" ht="51" customHeight="1" thickBot="1" x14ac:dyDescent="0.3">
      <c r="A21" s="422" t="s">
        <v>14</v>
      </c>
      <c r="B21" s="423"/>
    </row>
    <row r="22" spans="1:2" ht="23.1" customHeight="1" x14ac:dyDescent="0.25">
      <c r="A22" s="424" t="s">
        <v>15</v>
      </c>
      <c r="B22" s="425"/>
    </row>
    <row r="23" spans="1:2" ht="15" customHeight="1" x14ac:dyDescent="0.25">
      <c r="A23" s="420" t="s">
        <v>16</v>
      </c>
      <c r="B23" s="446"/>
    </row>
    <row r="24" spans="1:2" ht="18.75" customHeight="1" thickBot="1" x14ac:dyDescent="0.3">
      <c r="A24" s="422" t="s">
        <v>17</v>
      </c>
      <c r="B24" s="453"/>
    </row>
    <row r="25" spans="1:2" ht="29.1" customHeight="1" thickBot="1" x14ac:dyDescent="0.3">
      <c r="A25" s="447" t="s">
        <v>18</v>
      </c>
      <c r="B25" s="454"/>
    </row>
    <row r="26" spans="1:2" ht="24" customHeight="1" thickBot="1" x14ac:dyDescent="0.3">
      <c r="A26" s="447" t="s">
        <v>19</v>
      </c>
      <c r="B26" s="448"/>
    </row>
    <row r="27" spans="1:2" ht="24" customHeight="1" thickBot="1" x14ac:dyDescent="0.3">
      <c r="A27" s="447" t="s">
        <v>20</v>
      </c>
      <c r="B27" s="448"/>
    </row>
    <row r="28" spans="1:2" ht="24" customHeight="1" thickBot="1" x14ac:dyDescent="0.3">
      <c r="A28" s="447" t="s">
        <v>21</v>
      </c>
      <c r="B28" s="448"/>
    </row>
    <row r="29" spans="1:2" ht="19.05" customHeight="1" x14ac:dyDescent="0.25">
      <c r="A29" s="424" t="s">
        <v>22</v>
      </c>
      <c r="B29" s="460"/>
    </row>
    <row r="30" spans="1:2" ht="19.05" customHeight="1" x14ac:dyDescent="0.25">
      <c r="A30" s="449" t="s">
        <v>23</v>
      </c>
      <c r="B30" s="450"/>
    </row>
    <row r="31" spans="1:2" ht="19.05" customHeight="1" x14ac:dyDescent="0.25">
      <c r="A31" s="449" t="s">
        <v>24</v>
      </c>
      <c r="B31" s="450"/>
    </row>
    <row r="32" spans="1:2" ht="19.05" customHeight="1" x14ac:dyDescent="0.25">
      <c r="A32" s="449" t="s">
        <v>25</v>
      </c>
      <c r="B32" s="450"/>
    </row>
    <row r="33" spans="1:2" ht="19.05" customHeight="1" x14ac:dyDescent="0.25">
      <c r="A33" s="449" t="s">
        <v>26</v>
      </c>
      <c r="B33" s="450"/>
    </row>
    <row r="34" spans="1:2" ht="19.05" customHeight="1" x14ac:dyDescent="0.25">
      <c r="A34" s="449" t="s">
        <v>27</v>
      </c>
      <c r="B34" s="450"/>
    </row>
    <row r="35" spans="1:2" ht="19.05" customHeight="1" x14ac:dyDescent="0.25">
      <c r="A35" s="449" t="s">
        <v>28</v>
      </c>
      <c r="B35" s="450"/>
    </row>
    <row r="36" spans="1:2" ht="19.05" customHeight="1" thickBot="1" x14ac:dyDescent="0.3">
      <c r="A36" s="458" t="s">
        <v>29</v>
      </c>
      <c r="B36" s="459"/>
    </row>
    <row r="37" spans="1:2" ht="20.100000000000001" customHeight="1" thickBot="1" x14ac:dyDescent="0.3">
      <c r="A37" s="437" t="s">
        <v>30</v>
      </c>
      <c r="B37" s="438"/>
    </row>
    <row r="38" spans="1:2" ht="14.4" thickBot="1" x14ac:dyDescent="0.3">
      <c r="A38" s="32" t="s">
        <v>31</v>
      </c>
      <c r="B38" s="33" t="s">
        <v>32</v>
      </c>
    </row>
    <row r="39" spans="1:2" ht="29.1" customHeight="1" thickBot="1" x14ac:dyDescent="0.3">
      <c r="A39" s="32" t="s">
        <v>33</v>
      </c>
      <c r="B39" s="33" t="s">
        <v>32</v>
      </c>
    </row>
    <row r="40" spans="1:2" ht="15.6" customHeight="1" x14ac:dyDescent="0.25">
      <c r="A40" s="426" t="s">
        <v>34</v>
      </c>
      <c r="B40" s="34" t="s">
        <v>32</v>
      </c>
    </row>
    <row r="41" spans="1:2" ht="27.6" x14ac:dyDescent="0.25">
      <c r="A41" s="427"/>
      <c r="B41" s="34" t="s">
        <v>35</v>
      </c>
    </row>
    <row r="42" spans="1:2" x14ac:dyDescent="0.25">
      <c r="A42" s="427"/>
      <c r="B42" s="34" t="s">
        <v>36</v>
      </c>
    </row>
    <row r="43" spans="1:2" x14ac:dyDescent="0.25">
      <c r="A43" s="427"/>
      <c r="B43" s="34" t="s">
        <v>37</v>
      </c>
    </row>
    <row r="44" spans="1:2" ht="14.4" thickBot="1" x14ac:dyDescent="0.3">
      <c r="A44" s="428"/>
      <c r="B44" s="33" t="s">
        <v>38</v>
      </c>
    </row>
    <row r="45" spans="1:2" ht="15.6" customHeight="1" x14ac:dyDescent="0.25">
      <c r="A45" s="426" t="s">
        <v>39</v>
      </c>
      <c r="B45" s="34" t="s">
        <v>32</v>
      </c>
    </row>
    <row r="46" spans="1:2" ht="27.6" x14ac:dyDescent="0.25">
      <c r="A46" s="427"/>
      <c r="B46" s="34" t="s">
        <v>40</v>
      </c>
    </row>
    <row r="47" spans="1:2" x14ac:dyDescent="0.25">
      <c r="A47" s="427"/>
      <c r="B47" s="34" t="s">
        <v>41</v>
      </c>
    </row>
    <row r="48" spans="1:2" ht="18.75" customHeight="1" x14ac:dyDescent="0.25">
      <c r="A48" s="427"/>
      <c r="B48" s="34" t="s">
        <v>42</v>
      </c>
    </row>
    <row r="49" spans="1:2" ht="33.75" customHeight="1" thickBot="1" x14ac:dyDescent="0.3">
      <c r="A49" s="428"/>
      <c r="B49" s="33" t="s">
        <v>38</v>
      </c>
    </row>
    <row r="50" spans="1:2" ht="20.25" customHeight="1" x14ac:dyDescent="0.25">
      <c r="A50" s="426" t="s">
        <v>43</v>
      </c>
      <c r="B50" s="34" t="s">
        <v>44</v>
      </c>
    </row>
    <row r="51" spans="1:2" x14ac:dyDescent="0.25">
      <c r="A51" s="427"/>
      <c r="B51" s="34" t="s">
        <v>45</v>
      </c>
    </row>
    <row r="52" spans="1:2" x14ac:dyDescent="0.25">
      <c r="A52" s="427"/>
      <c r="B52" s="34" t="s">
        <v>46</v>
      </c>
    </row>
    <row r="53" spans="1:2" x14ac:dyDescent="0.25">
      <c r="A53" s="427"/>
      <c r="B53" s="34" t="s">
        <v>47</v>
      </c>
    </row>
    <row r="54" spans="1:2" ht="14.4" thickBot="1" x14ac:dyDescent="0.3">
      <c r="A54" s="428"/>
      <c r="B54" s="35"/>
    </row>
    <row r="55" spans="1:2" ht="21" customHeight="1" x14ac:dyDescent="0.25">
      <c r="A55" s="426" t="s">
        <v>48</v>
      </c>
      <c r="B55" s="34" t="s">
        <v>32</v>
      </c>
    </row>
    <row r="56" spans="1:2" ht="28.2" thickBot="1" x14ac:dyDescent="0.3">
      <c r="A56" s="428"/>
      <c r="B56" s="33" t="s">
        <v>49</v>
      </c>
    </row>
    <row r="57" spans="1:2" ht="15.6" customHeight="1" x14ac:dyDescent="0.25">
      <c r="A57" s="426" t="s">
        <v>50</v>
      </c>
      <c r="B57" s="34" t="s">
        <v>32</v>
      </c>
    </row>
    <row r="58" spans="1:2" ht="14.4" thickBot="1" x14ac:dyDescent="0.3">
      <c r="A58" s="428"/>
      <c r="B58" s="33" t="s">
        <v>51</v>
      </c>
    </row>
    <row r="59" spans="1:2" ht="14.4" thickBot="1" x14ac:dyDescent="0.3">
      <c r="A59" s="61"/>
      <c r="B59" s="60"/>
    </row>
    <row r="60" spans="1:2" ht="14.4" thickBot="1" x14ac:dyDescent="0.3">
      <c r="A60" s="32" t="s">
        <v>52</v>
      </c>
      <c r="B60" s="33" t="s">
        <v>53</v>
      </c>
    </row>
    <row r="61" spans="1:2" ht="14.4" thickBot="1" x14ac:dyDescent="0.3">
      <c r="A61" s="443"/>
      <c r="B61" s="444"/>
    </row>
    <row r="62" spans="1:2" ht="14.4" thickBot="1" x14ac:dyDescent="0.3">
      <c r="A62" s="32" t="s">
        <v>54</v>
      </c>
      <c r="B62" s="33" t="s">
        <v>55</v>
      </c>
    </row>
    <row r="63" spans="1:2" ht="14.4" thickBot="1" x14ac:dyDescent="0.3">
      <c r="A63" s="443"/>
      <c r="B63" s="444"/>
    </row>
    <row r="64" spans="1:2" x14ac:dyDescent="0.25">
      <c r="A64" s="426" t="s">
        <v>56</v>
      </c>
      <c r="B64" s="36" t="s">
        <v>57</v>
      </c>
    </row>
    <row r="65" spans="1:2" x14ac:dyDescent="0.25">
      <c r="A65" s="427"/>
      <c r="B65" s="34" t="s">
        <v>58</v>
      </c>
    </row>
    <row r="66" spans="1:2" ht="27.6" x14ac:dyDescent="0.25">
      <c r="A66" s="427"/>
      <c r="B66" s="34" t="s">
        <v>59</v>
      </c>
    </row>
    <row r="67" spans="1:2" x14ac:dyDescent="0.25">
      <c r="A67" s="427"/>
      <c r="B67" s="36" t="s">
        <v>60</v>
      </c>
    </row>
    <row r="68" spans="1:2" ht="14.4" thickBot="1" x14ac:dyDescent="0.3">
      <c r="A68" s="428"/>
      <c r="B68" s="33" t="s">
        <v>32</v>
      </c>
    </row>
    <row r="69" spans="1:2" ht="14.4" thickBot="1" x14ac:dyDescent="0.3">
      <c r="A69" s="443"/>
      <c r="B69" s="444"/>
    </row>
    <row r="70" spans="1:2" ht="27.6" x14ac:dyDescent="0.25">
      <c r="A70" s="426" t="s">
        <v>61</v>
      </c>
      <c r="B70" s="34" t="s">
        <v>62</v>
      </c>
    </row>
    <row r="71" spans="1:2" ht="71.400000000000006" x14ac:dyDescent="0.25">
      <c r="A71" s="427"/>
      <c r="B71" s="34" t="s">
        <v>63</v>
      </c>
    </row>
    <row r="72" spans="1:2" ht="42" thickBot="1" x14ac:dyDescent="0.3">
      <c r="A72" s="428"/>
      <c r="B72" s="33" t="s">
        <v>64</v>
      </c>
    </row>
    <row r="73" spans="1:2" ht="14.4" thickBot="1" x14ac:dyDescent="0.3">
      <c r="A73" s="32" t="s">
        <v>65</v>
      </c>
      <c r="B73" s="53" t="s">
        <v>66</v>
      </c>
    </row>
    <row r="74" spans="1:2" ht="28.2" thickBot="1" x14ac:dyDescent="0.3">
      <c r="A74" s="32" t="s">
        <v>67</v>
      </c>
      <c r="B74" s="33" t="s">
        <v>68</v>
      </c>
    </row>
    <row r="75" spans="1:2" x14ac:dyDescent="0.25">
      <c r="A75" s="426" t="s">
        <v>69</v>
      </c>
      <c r="B75" s="37" t="s">
        <v>70</v>
      </c>
    </row>
    <row r="76" spans="1:2" x14ac:dyDescent="0.25">
      <c r="A76" s="427"/>
      <c r="B76" s="34" t="s">
        <v>71</v>
      </c>
    </row>
    <row r="77" spans="1:2" ht="30.75" customHeight="1" thickBot="1" x14ac:dyDescent="0.3">
      <c r="A77" s="428"/>
      <c r="B77" s="33" t="s">
        <v>72</v>
      </c>
    </row>
    <row r="78" spans="1:2" x14ac:dyDescent="0.25">
      <c r="A78" s="426" t="s">
        <v>73</v>
      </c>
      <c r="B78" s="37" t="s">
        <v>70</v>
      </c>
    </row>
    <row r="79" spans="1:2" ht="14.4" thickBot="1" x14ac:dyDescent="0.3">
      <c r="A79" s="428"/>
      <c r="B79" s="33" t="s">
        <v>74</v>
      </c>
    </row>
    <row r="80" spans="1:2" ht="14.4" thickBot="1" x14ac:dyDescent="0.3">
      <c r="A80" s="443"/>
      <c r="B80" s="444"/>
    </row>
    <row r="81" spans="1:3" ht="28.2" thickBot="1" x14ac:dyDescent="0.3">
      <c r="A81" s="32" t="s">
        <v>75</v>
      </c>
      <c r="B81" s="33" t="s">
        <v>76</v>
      </c>
    </row>
    <row r="82" spans="1:3" ht="14.4" thickBot="1" x14ac:dyDescent="0.3">
      <c r="A82" s="443"/>
      <c r="B82" s="444"/>
    </row>
    <row r="83" spans="1:3" ht="28.2" thickBot="1" x14ac:dyDescent="0.3">
      <c r="A83" s="32" t="s">
        <v>77</v>
      </c>
      <c r="B83" s="33" t="s">
        <v>78</v>
      </c>
    </row>
    <row r="84" spans="1:3" ht="27.6" x14ac:dyDescent="0.25">
      <c r="A84" s="426" t="s">
        <v>79</v>
      </c>
      <c r="B84" s="34" t="s">
        <v>80</v>
      </c>
      <c r="C84" s="54"/>
    </row>
    <row r="85" spans="1:3" ht="27.6" x14ac:dyDescent="0.25">
      <c r="A85" s="427"/>
      <c r="B85" s="36" t="s">
        <v>81</v>
      </c>
    </row>
    <row r="86" spans="1:3" x14ac:dyDescent="0.25">
      <c r="A86" s="427"/>
      <c r="B86" s="34" t="s">
        <v>82</v>
      </c>
    </row>
    <row r="87" spans="1:3" ht="27.6" x14ac:dyDescent="0.25">
      <c r="A87" s="427"/>
      <c r="B87" s="34" t="s">
        <v>83</v>
      </c>
    </row>
    <row r="88" spans="1:3" ht="17.25" customHeight="1" thickBot="1" x14ac:dyDescent="0.3">
      <c r="A88" s="428"/>
      <c r="B88" s="33" t="s">
        <v>84</v>
      </c>
    </row>
    <row r="89" spans="1:3" ht="14.4" thickBot="1" x14ac:dyDescent="0.3">
      <c r="A89" s="443"/>
      <c r="B89" s="444"/>
    </row>
    <row r="90" spans="1:3" ht="15.6" customHeight="1" x14ac:dyDescent="0.25">
      <c r="A90" s="426" t="s">
        <v>85</v>
      </c>
      <c r="B90" s="34" t="s">
        <v>86</v>
      </c>
    </row>
    <row r="91" spans="1:3" ht="15.6" customHeight="1" thickBot="1" x14ac:dyDescent="0.3">
      <c r="A91" s="428"/>
      <c r="B91" s="33" t="s">
        <v>87</v>
      </c>
    </row>
    <row r="92" spans="1:3" ht="14.4" thickBot="1" x14ac:dyDescent="0.3">
      <c r="A92" s="325"/>
      <c r="B92" s="34"/>
    </row>
    <row r="93" spans="1:3" ht="21.6" customHeight="1" thickBot="1" x14ac:dyDescent="0.3">
      <c r="A93" s="437" t="s">
        <v>88</v>
      </c>
      <c r="B93" s="438"/>
    </row>
    <row r="94" spans="1:3" ht="14.4" thickBot="1" x14ac:dyDescent="0.3">
      <c r="A94" s="32" t="s">
        <v>89</v>
      </c>
      <c r="B94" s="33" t="s">
        <v>90</v>
      </c>
    </row>
    <row r="95" spans="1:3" ht="14.4" thickBot="1" x14ac:dyDescent="0.3">
      <c r="A95" s="32" t="s">
        <v>91</v>
      </c>
      <c r="B95" s="33" t="s">
        <v>92</v>
      </c>
    </row>
    <row r="96" spans="1:3" ht="15.6" customHeight="1" x14ac:dyDescent="0.25">
      <c r="A96" s="426" t="s">
        <v>93</v>
      </c>
      <c r="B96" s="34" t="s">
        <v>94</v>
      </c>
    </row>
    <row r="97" spans="1:2" x14ac:dyDescent="0.25">
      <c r="A97" s="427"/>
      <c r="B97" s="34" t="s">
        <v>95</v>
      </c>
    </row>
    <row r="98" spans="1:2" ht="28.2" thickBot="1" x14ac:dyDescent="0.3">
      <c r="A98" s="428"/>
      <c r="B98" s="33" t="s">
        <v>96</v>
      </c>
    </row>
    <row r="99" spans="1:2" x14ac:dyDescent="0.25">
      <c r="A99" s="426" t="s">
        <v>97</v>
      </c>
      <c r="B99" s="34" t="s">
        <v>98</v>
      </c>
    </row>
    <row r="100" spans="1:2" ht="42" thickBot="1" x14ac:dyDescent="0.3">
      <c r="A100" s="428"/>
      <c r="B100" s="33" t="s">
        <v>99</v>
      </c>
    </row>
    <row r="101" spans="1:2" ht="27.6" x14ac:dyDescent="0.25">
      <c r="A101" s="38" t="s">
        <v>100</v>
      </c>
      <c r="B101" s="34" t="s">
        <v>101</v>
      </c>
    </row>
    <row r="102" spans="1:2" ht="27.6" x14ac:dyDescent="0.25">
      <c r="A102" s="38" t="s">
        <v>102</v>
      </c>
      <c r="B102" s="34" t="s">
        <v>103</v>
      </c>
    </row>
    <row r="103" spans="1:2" ht="28.2" thickBot="1" x14ac:dyDescent="0.3">
      <c r="A103" s="55"/>
      <c r="B103" s="33" t="s">
        <v>104</v>
      </c>
    </row>
    <row r="104" spans="1:2" x14ac:dyDescent="0.25">
      <c r="A104" s="426" t="s">
        <v>105</v>
      </c>
      <c r="B104" s="34" t="s">
        <v>106</v>
      </c>
    </row>
    <row r="105" spans="1:2" ht="27.6" x14ac:dyDescent="0.25">
      <c r="A105" s="427"/>
      <c r="B105" s="34" t="s">
        <v>107</v>
      </c>
    </row>
    <row r="106" spans="1:2" ht="28.2" thickBot="1" x14ac:dyDescent="0.3">
      <c r="A106" s="428"/>
      <c r="B106" s="33" t="s">
        <v>108</v>
      </c>
    </row>
    <row r="107" spans="1:2" x14ac:dyDescent="0.25">
      <c r="A107" s="426" t="s">
        <v>109</v>
      </c>
      <c r="B107" s="34" t="s">
        <v>110</v>
      </c>
    </row>
    <row r="108" spans="1:2" ht="14.4" thickBot="1" x14ac:dyDescent="0.3">
      <c r="A108" s="428"/>
      <c r="B108" s="33" t="s">
        <v>111</v>
      </c>
    </row>
    <row r="109" spans="1:2" ht="15.6" customHeight="1" x14ac:dyDescent="0.25">
      <c r="A109" s="426" t="s">
        <v>112</v>
      </c>
      <c r="B109" s="34" t="s">
        <v>113</v>
      </c>
    </row>
    <row r="110" spans="1:2" ht="15.6" customHeight="1" x14ac:dyDescent="0.25">
      <c r="A110" s="427"/>
      <c r="B110" s="34" t="s">
        <v>114</v>
      </c>
    </row>
    <row r="111" spans="1:2" ht="14.4" thickBot="1" x14ac:dyDescent="0.3">
      <c r="A111" s="428"/>
      <c r="B111" s="33" t="s">
        <v>111</v>
      </c>
    </row>
    <row r="112" spans="1:2" x14ac:dyDescent="0.25">
      <c r="A112" s="426" t="s">
        <v>115</v>
      </c>
      <c r="B112" s="34" t="s">
        <v>116</v>
      </c>
    </row>
    <row r="113" spans="1:2" ht="27.6" x14ac:dyDescent="0.25">
      <c r="A113" s="427"/>
      <c r="B113" s="34" t="s">
        <v>117</v>
      </c>
    </row>
    <row r="114" spans="1:2" x14ac:dyDescent="0.25">
      <c r="A114" s="427"/>
      <c r="B114" s="34" t="s">
        <v>118</v>
      </c>
    </row>
    <row r="115" spans="1:2" ht="28.2" thickBot="1" x14ac:dyDescent="0.3">
      <c r="A115" s="428"/>
      <c r="B115" s="33" t="s">
        <v>119</v>
      </c>
    </row>
    <row r="116" spans="1:2" x14ac:dyDescent="0.25">
      <c r="A116" s="426" t="s">
        <v>120</v>
      </c>
      <c r="B116" s="36" t="s">
        <v>121</v>
      </c>
    </row>
    <row r="117" spans="1:2" x14ac:dyDescent="0.25">
      <c r="A117" s="427"/>
      <c r="B117" s="34" t="s">
        <v>122</v>
      </c>
    </row>
    <row r="118" spans="1:2" x14ac:dyDescent="0.25">
      <c r="A118" s="427"/>
      <c r="B118" s="34" t="s">
        <v>123</v>
      </c>
    </row>
    <row r="119" spans="1:2" x14ac:dyDescent="0.25">
      <c r="A119" s="427"/>
      <c r="B119" s="36" t="s">
        <v>60</v>
      </c>
    </row>
    <row r="120" spans="1:2" ht="27.6" x14ac:dyDescent="0.25">
      <c r="A120" s="427"/>
      <c r="B120" s="34" t="s">
        <v>124</v>
      </c>
    </row>
    <row r="121" spans="1:2" ht="15.6" customHeight="1" x14ac:dyDescent="0.25">
      <c r="A121" s="427"/>
      <c r="B121" s="34" t="s">
        <v>125</v>
      </c>
    </row>
    <row r="122" spans="1:2" ht="14.4" thickBot="1" x14ac:dyDescent="0.3">
      <c r="A122" s="428"/>
      <c r="B122" s="33" t="s">
        <v>126</v>
      </c>
    </row>
    <row r="123" spans="1:2" ht="19.05" customHeight="1" x14ac:dyDescent="0.25">
      <c r="A123" s="426" t="s">
        <v>127</v>
      </c>
      <c r="B123" s="34" t="s">
        <v>128</v>
      </c>
    </row>
    <row r="124" spans="1:2" ht="18.75" customHeight="1" x14ac:dyDescent="0.25">
      <c r="A124" s="427"/>
      <c r="B124" s="34" t="s">
        <v>129</v>
      </c>
    </row>
    <row r="125" spans="1:2" ht="28.2" thickBot="1" x14ac:dyDescent="0.3">
      <c r="A125" s="428"/>
      <c r="B125" s="33" t="s">
        <v>130</v>
      </c>
    </row>
    <row r="126" spans="1:2" ht="14.4" thickBot="1" x14ac:dyDescent="0.3">
      <c r="A126" s="32" t="s">
        <v>131</v>
      </c>
      <c r="B126" s="39" t="s">
        <v>132</v>
      </c>
    </row>
    <row r="127" spans="1:2" x14ac:dyDescent="0.25">
      <c r="A127" s="38" t="s">
        <v>133</v>
      </c>
      <c r="B127" s="34" t="s">
        <v>134</v>
      </c>
    </row>
    <row r="128" spans="1:2" x14ac:dyDescent="0.25">
      <c r="A128" s="38" t="s">
        <v>135</v>
      </c>
      <c r="B128" s="34" t="s">
        <v>136</v>
      </c>
    </row>
    <row r="129" spans="1:3" ht="27.6" x14ac:dyDescent="0.25">
      <c r="A129" s="56"/>
      <c r="B129" s="34" t="s">
        <v>137</v>
      </c>
    </row>
    <row r="130" spans="1:3" ht="27.6" x14ac:dyDescent="0.25">
      <c r="A130" s="56"/>
      <c r="B130" s="34" t="s">
        <v>138</v>
      </c>
    </row>
    <row r="131" spans="1:3" ht="14.4" thickBot="1" x14ac:dyDescent="0.3">
      <c r="A131" s="55"/>
      <c r="B131" s="33" t="s">
        <v>139</v>
      </c>
    </row>
    <row r="132" spans="1:3" x14ac:dyDescent="0.25">
      <c r="A132" s="426" t="s">
        <v>140</v>
      </c>
      <c r="B132" s="34" t="s">
        <v>141</v>
      </c>
    </row>
    <row r="133" spans="1:3" ht="14.4" thickBot="1" x14ac:dyDescent="0.3">
      <c r="A133" s="428"/>
      <c r="B133" s="33" t="s">
        <v>142</v>
      </c>
    </row>
    <row r="134" spans="1:3" ht="28.2" thickBot="1" x14ac:dyDescent="0.3">
      <c r="A134" s="32" t="s">
        <v>143</v>
      </c>
      <c r="B134" s="33" t="s">
        <v>144</v>
      </c>
    </row>
    <row r="135" spans="1:3" ht="27.6" x14ac:dyDescent="0.25">
      <c r="A135" s="426" t="s">
        <v>145</v>
      </c>
      <c r="B135" s="34" t="s">
        <v>146</v>
      </c>
    </row>
    <row r="136" spans="1:3" ht="28.2" thickBot="1" x14ac:dyDescent="0.3">
      <c r="A136" s="428"/>
      <c r="B136" s="33" t="s">
        <v>147</v>
      </c>
      <c r="C136" s="54"/>
    </row>
    <row r="137" spans="1:3" x14ac:dyDescent="0.25">
      <c r="A137" s="426" t="s">
        <v>148</v>
      </c>
      <c r="B137" s="34" t="s">
        <v>149</v>
      </c>
    </row>
    <row r="138" spans="1:3" x14ac:dyDescent="0.25">
      <c r="A138" s="427"/>
      <c r="B138" s="40" t="s">
        <v>150</v>
      </c>
    </row>
    <row r="139" spans="1:3" x14ac:dyDescent="0.25">
      <c r="A139" s="427"/>
      <c r="B139" s="40" t="s">
        <v>151</v>
      </c>
    </row>
    <row r="140" spans="1:3" ht="16.05" customHeight="1" x14ac:dyDescent="0.25">
      <c r="A140" s="427"/>
      <c r="B140" s="40" t="s">
        <v>152</v>
      </c>
    </row>
    <row r="141" spans="1:3" x14ac:dyDescent="0.25">
      <c r="A141" s="427"/>
      <c r="B141" s="40" t="s">
        <v>153</v>
      </c>
    </row>
    <row r="142" spans="1:3" x14ac:dyDescent="0.25">
      <c r="A142" s="427"/>
      <c r="B142" s="41" t="s">
        <v>154</v>
      </c>
    </row>
    <row r="143" spans="1:3" ht="15.6" customHeight="1" x14ac:dyDescent="0.25">
      <c r="A143" s="427"/>
      <c r="B143" s="40" t="s">
        <v>155</v>
      </c>
    </row>
    <row r="144" spans="1:3" ht="28.2" thickBot="1" x14ac:dyDescent="0.3">
      <c r="A144" s="428"/>
      <c r="B144" s="33" t="s">
        <v>156</v>
      </c>
    </row>
    <row r="145" spans="1:3" ht="28.2" thickBot="1" x14ac:dyDescent="0.3">
      <c r="A145" s="32" t="s">
        <v>157</v>
      </c>
      <c r="B145" s="33" t="s">
        <v>158</v>
      </c>
    </row>
    <row r="146" spans="1:3" ht="22.5" customHeight="1" thickBot="1" x14ac:dyDescent="0.3">
      <c r="A146" s="437" t="s">
        <v>159</v>
      </c>
      <c r="B146" s="438"/>
    </row>
    <row r="147" spans="1:3" ht="14.4" thickBot="1" x14ac:dyDescent="0.3">
      <c r="A147" s="32" t="s">
        <v>89</v>
      </c>
      <c r="B147" s="33" t="s">
        <v>160</v>
      </c>
    </row>
    <row r="148" spans="1:3" ht="14.4" thickBot="1" x14ac:dyDescent="0.3">
      <c r="A148" s="32" t="s">
        <v>91</v>
      </c>
      <c r="B148" s="33" t="s">
        <v>161</v>
      </c>
    </row>
    <row r="149" spans="1:3" ht="15.6" customHeight="1" x14ac:dyDescent="0.25">
      <c r="A149" s="426" t="s">
        <v>162</v>
      </c>
      <c r="B149" s="34" t="s">
        <v>163</v>
      </c>
    </row>
    <row r="150" spans="1:3" x14ac:dyDescent="0.25">
      <c r="A150" s="427"/>
      <c r="B150" s="34" t="s">
        <v>95</v>
      </c>
      <c r="C150" s="54"/>
    </row>
    <row r="151" spans="1:3" ht="28.2" thickBot="1" x14ac:dyDescent="0.3">
      <c r="A151" s="428"/>
      <c r="B151" s="33" t="s">
        <v>96</v>
      </c>
    </row>
    <row r="152" spans="1:3" ht="15.6" customHeight="1" x14ac:dyDescent="0.25">
      <c r="A152" s="426" t="s">
        <v>164</v>
      </c>
      <c r="B152" s="34" t="s">
        <v>165</v>
      </c>
    </row>
    <row r="153" spans="1:3" ht="42" thickBot="1" x14ac:dyDescent="0.3">
      <c r="A153" s="428"/>
      <c r="B153" s="33" t="s">
        <v>166</v>
      </c>
    </row>
    <row r="154" spans="1:3" ht="27.6" x14ac:dyDescent="0.25">
      <c r="A154" s="38" t="s">
        <v>100</v>
      </c>
      <c r="B154" s="34" t="s">
        <v>167</v>
      </c>
    </row>
    <row r="155" spans="1:3" ht="28.2" thickBot="1" x14ac:dyDescent="0.3">
      <c r="A155" s="32" t="s">
        <v>102</v>
      </c>
      <c r="B155" s="33" t="s">
        <v>104</v>
      </c>
    </row>
    <row r="156" spans="1:3" x14ac:dyDescent="0.25">
      <c r="A156" s="426" t="s">
        <v>105</v>
      </c>
      <c r="B156" s="34" t="s">
        <v>106</v>
      </c>
    </row>
    <row r="157" spans="1:3" ht="27.6" x14ac:dyDescent="0.25">
      <c r="A157" s="427"/>
      <c r="B157" s="34" t="s">
        <v>107</v>
      </c>
    </row>
    <row r="158" spans="1:3" ht="28.2" thickBot="1" x14ac:dyDescent="0.3">
      <c r="A158" s="428"/>
      <c r="B158" s="33" t="s">
        <v>108</v>
      </c>
    </row>
    <row r="159" spans="1:3" x14ac:dyDescent="0.25">
      <c r="A159" s="426" t="s">
        <v>109</v>
      </c>
      <c r="B159" s="34" t="s">
        <v>110</v>
      </c>
    </row>
    <row r="160" spans="1:3" ht="14.4" thickBot="1" x14ac:dyDescent="0.3">
      <c r="A160" s="428"/>
      <c r="B160" s="33" t="s">
        <v>111</v>
      </c>
    </row>
    <row r="161" spans="1:2" x14ac:dyDescent="0.25">
      <c r="A161" s="426" t="s">
        <v>112</v>
      </c>
      <c r="B161" s="34" t="s">
        <v>113</v>
      </c>
    </row>
    <row r="162" spans="1:2" ht="15.6" customHeight="1" x14ac:dyDescent="0.25">
      <c r="A162" s="427"/>
      <c r="B162" s="34" t="s">
        <v>114</v>
      </c>
    </row>
    <row r="163" spans="1:2" ht="14.4" thickBot="1" x14ac:dyDescent="0.3">
      <c r="A163" s="428"/>
      <c r="B163" s="33" t="s">
        <v>111</v>
      </c>
    </row>
    <row r="164" spans="1:2" x14ac:dyDescent="0.25">
      <c r="A164" s="426" t="s">
        <v>168</v>
      </c>
      <c r="B164" s="34" t="s">
        <v>116</v>
      </c>
    </row>
    <row r="165" spans="1:2" ht="27.6" x14ac:dyDescent="0.25">
      <c r="A165" s="427"/>
      <c r="B165" s="34" t="s">
        <v>117</v>
      </c>
    </row>
    <row r="166" spans="1:2" x14ac:dyDescent="0.25">
      <c r="A166" s="427"/>
      <c r="B166" s="34" t="s">
        <v>118</v>
      </c>
    </row>
    <row r="167" spans="1:2" ht="28.2" thickBot="1" x14ac:dyDescent="0.3">
      <c r="A167" s="428"/>
      <c r="B167" s="33" t="s">
        <v>119</v>
      </c>
    </row>
    <row r="168" spans="1:2" x14ac:dyDescent="0.25">
      <c r="A168" s="426" t="s">
        <v>120</v>
      </c>
      <c r="B168" s="36" t="s">
        <v>121</v>
      </c>
    </row>
    <row r="169" spans="1:2" ht="27.6" x14ac:dyDescent="0.25">
      <c r="A169" s="427"/>
      <c r="B169" s="34" t="s">
        <v>169</v>
      </c>
    </row>
    <row r="170" spans="1:2" x14ac:dyDescent="0.25">
      <c r="A170" s="427"/>
      <c r="B170" s="36" t="s">
        <v>60</v>
      </c>
    </row>
    <row r="171" spans="1:2" ht="29.1" customHeight="1" x14ac:dyDescent="0.25">
      <c r="A171" s="427"/>
      <c r="B171" s="34" t="s">
        <v>124</v>
      </c>
    </row>
    <row r="172" spans="1:2" ht="28.2" thickBot="1" x14ac:dyDescent="0.3">
      <c r="A172" s="428"/>
      <c r="B172" s="33" t="s">
        <v>170</v>
      </c>
    </row>
    <row r="173" spans="1:2" x14ac:dyDescent="0.25">
      <c r="A173" s="426" t="s">
        <v>171</v>
      </c>
      <c r="B173" s="34" t="s">
        <v>128</v>
      </c>
    </row>
    <row r="174" spans="1:2" ht="16.5" customHeight="1" x14ac:dyDescent="0.25">
      <c r="A174" s="427"/>
      <c r="B174" s="34" t="s">
        <v>129</v>
      </c>
    </row>
    <row r="175" spans="1:2" ht="28.2" thickBot="1" x14ac:dyDescent="0.3">
      <c r="A175" s="428"/>
      <c r="B175" s="33" t="s">
        <v>130</v>
      </c>
    </row>
    <row r="176" spans="1:2" ht="14.4" thickBot="1" x14ac:dyDescent="0.3">
      <c r="A176" s="32" t="s">
        <v>131</v>
      </c>
      <c r="B176" s="33" t="s">
        <v>172</v>
      </c>
    </row>
    <row r="177" spans="1:2" x14ac:dyDescent="0.25">
      <c r="A177" s="38" t="s">
        <v>133</v>
      </c>
      <c r="B177" s="34" t="s">
        <v>134</v>
      </c>
    </row>
    <row r="178" spans="1:2" x14ac:dyDescent="0.25">
      <c r="A178" s="38" t="s">
        <v>135</v>
      </c>
      <c r="B178" s="34" t="s">
        <v>136</v>
      </c>
    </row>
    <row r="179" spans="1:2" ht="27.6" x14ac:dyDescent="0.25">
      <c r="A179" s="56"/>
      <c r="B179" s="34" t="s">
        <v>173</v>
      </c>
    </row>
    <row r="180" spans="1:2" ht="27.6" x14ac:dyDescent="0.25">
      <c r="A180" s="56"/>
      <c r="B180" s="34" t="s">
        <v>138</v>
      </c>
    </row>
    <row r="181" spans="1:2" ht="14.4" thickBot="1" x14ac:dyDescent="0.3">
      <c r="A181" s="55"/>
      <c r="B181" s="33" t="s">
        <v>174</v>
      </c>
    </row>
    <row r="182" spans="1:2" x14ac:dyDescent="0.25">
      <c r="A182" s="426" t="s">
        <v>140</v>
      </c>
      <c r="B182" s="34" t="s">
        <v>141</v>
      </c>
    </row>
    <row r="183" spans="1:2" ht="14.4" thickBot="1" x14ac:dyDescent="0.3">
      <c r="A183" s="428"/>
      <c r="B183" s="33" t="s">
        <v>142</v>
      </c>
    </row>
    <row r="184" spans="1:2" ht="28.2" thickBot="1" x14ac:dyDescent="0.3">
      <c r="A184" s="32" t="s">
        <v>143</v>
      </c>
      <c r="B184" s="33" t="s">
        <v>175</v>
      </c>
    </row>
    <row r="185" spans="1:2" ht="27.6" x14ac:dyDescent="0.25">
      <c r="A185" s="426" t="s">
        <v>145</v>
      </c>
      <c r="B185" s="34" t="s">
        <v>146</v>
      </c>
    </row>
    <row r="186" spans="1:2" ht="28.2" thickBot="1" x14ac:dyDescent="0.3">
      <c r="A186" s="428"/>
      <c r="B186" s="33" t="s">
        <v>147</v>
      </c>
    </row>
    <row r="187" spans="1:2" x14ac:dyDescent="0.25">
      <c r="A187" s="426" t="s">
        <v>176</v>
      </c>
      <c r="B187" s="42" t="s">
        <v>149</v>
      </c>
    </row>
    <row r="188" spans="1:2" x14ac:dyDescent="0.25">
      <c r="A188" s="427"/>
      <c r="B188" s="43" t="s">
        <v>177</v>
      </c>
    </row>
    <row r="189" spans="1:2" x14ac:dyDescent="0.25">
      <c r="A189" s="427"/>
      <c r="B189" s="43" t="s">
        <v>178</v>
      </c>
    </row>
    <row r="190" spans="1:2" ht="16.05" customHeight="1" x14ac:dyDescent="0.25">
      <c r="A190" s="427"/>
      <c r="B190" s="43" t="s">
        <v>179</v>
      </c>
    </row>
    <row r="191" spans="1:2" x14ac:dyDescent="0.25">
      <c r="A191" s="427"/>
      <c r="B191" s="43" t="s">
        <v>180</v>
      </c>
    </row>
    <row r="192" spans="1:2" x14ac:dyDescent="0.25">
      <c r="A192" s="427"/>
      <c r="B192" s="43" t="s">
        <v>181</v>
      </c>
    </row>
    <row r="193" spans="1:3" x14ac:dyDescent="0.25">
      <c r="A193" s="427"/>
      <c r="B193" s="43" t="s">
        <v>182</v>
      </c>
    </row>
    <row r="194" spans="1:3" ht="15.6" customHeight="1" thickBot="1" x14ac:dyDescent="0.3">
      <c r="A194" s="428"/>
      <c r="B194" s="39" t="s">
        <v>183</v>
      </c>
    </row>
    <row r="195" spans="1:3" ht="28.2" thickBot="1" x14ac:dyDescent="0.3">
      <c r="A195" s="32" t="s">
        <v>157</v>
      </c>
      <c r="B195" s="33" t="s">
        <v>158</v>
      </c>
    </row>
    <row r="196" spans="1:3" ht="22.05" customHeight="1" thickBot="1" x14ac:dyDescent="0.3">
      <c r="A196" s="437" t="s">
        <v>184</v>
      </c>
      <c r="B196" s="438"/>
    </row>
    <row r="197" spans="1:3" ht="16.5" customHeight="1" thickBot="1" x14ac:dyDescent="0.3">
      <c r="A197" s="32" t="s">
        <v>89</v>
      </c>
      <c r="B197" s="33" t="s">
        <v>185</v>
      </c>
    </row>
    <row r="198" spans="1:3" ht="17.25" customHeight="1" thickBot="1" x14ac:dyDescent="0.3">
      <c r="A198" s="32" t="s">
        <v>91</v>
      </c>
      <c r="B198" s="33" t="s">
        <v>186</v>
      </c>
    </row>
    <row r="199" spans="1:3" ht="34.5" customHeight="1" thickBot="1" x14ac:dyDescent="0.3">
      <c r="A199" s="32" t="s">
        <v>79</v>
      </c>
      <c r="B199" s="33" t="s">
        <v>187</v>
      </c>
    </row>
    <row r="200" spans="1:3" ht="22.05" customHeight="1" x14ac:dyDescent="0.25">
      <c r="A200" s="426" t="s">
        <v>188</v>
      </c>
      <c r="B200" s="34" t="s">
        <v>189</v>
      </c>
    </row>
    <row r="201" spans="1:3" ht="15.6" customHeight="1" x14ac:dyDescent="0.25">
      <c r="A201" s="427"/>
      <c r="B201" s="34" t="s">
        <v>95</v>
      </c>
    </row>
    <row r="202" spans="1:3" ht="28.2" thickBot="1" x14ac:dyDescent="0.3">
      <c r="A202" s="428"/>
      <c r="B202" s="33" t="s">
        <v>96</v>
      </c>
    </row>
    <row r="203" spans="1:3" ht="15.6" customHeight="1" x14ac:dyDescent="0.25">
      <c r="A203" s="426" t="s">
        <v>190</v>
      </c>
      <c r="B203" s="34" t="s">
        <v>191</v>
      </c>
      <c r="C203" s="54"/>
    </row>
    <row r="204" spans="1:3" x14ac:dyDescent="0.25">
      <c r="A204" s="427"/>
      <c r="B204" s="34" t="s">
        <v>192</v>
      </c>
    </row>
    <row r="205" spans="1:3" ht="27.6" x14ac:dyDescent="0.25">
      <c r="A205" s="427"/>
      <c r="B205" s="44" t="s">
        <v>193</v>
      </c>
    </row>
    <row r="206" spans="1:3" ht="42" thickBot="1" x14ac:dyDescent="0.3">
      <c r="A206" s="428"/>
      <c r="B206" s="45" t="s">
        <v>194</v>
      </c>
    </row>
    <row r="207" spans="1:3" x14ac:dyDescent="0.25">
      <c r="A207" s="38" t="s">
        <v>100</v>
      </c>
      <c r="B207" s="34" t="s">
        <v>195</v>
      </c>
    </row>
    <row r="208" spans="1:3" ht="28.2" thickBot="1" x14ac:dyDescent="0.3">
      <c r="A208" s="32" t="s">
        <v>196</v>
      </c>
      <c r="B208" s="33" t="s">
        <v>197</v>
      </c>
    </row>
    <row r="209" spans="1:2" ht="14.4" thickBot="1" x14ac:dyDescent="0.3">
      <c r="A209" s="32" t="s">
        <v>198</v>
      </c>
      <c r="B209" s="33" t="s">
        <v>106</v>
      </c>
    </row>
    <row r="210" spans="1:2" x14ac:dyDescent="0.25">
      <c r="A210" s="426" t="s">
        <v>109</v>
      </c>
      <c r="B210" s="34" t="s">
        <v>110</v>
      </c>
    </row>
    <row r="211" spans="1:2" ht="14.4" thickBot="1" x14ac:dyDescent="0.3">
      <c r="A211" s="428"/>
      <c r="B211" s="46" t="s">
        <v>111</v>
      </c>
    </row>
    <row r="212" spans="1:2" x14ac:dyDescent="0.25">
      <c r="A212" s="426" t="s">
        <v>199</v>
      </c>
      <c r="B212" s="47" t="s">
        <v>200</v>
      </c>
    </row>
    <row r="213" spans="1:2" ht="15.6" customHeight="1" x14ac:dyDescent="0.25">
      <c r="A213" s="427"/>
      <c r="B213" s="34" t="s">
        <v>201</v>
      </c>
    </row>
    <row r="214" spans="1:2" ht="14.4" thickBot="1" x14ac:dyDescent="0.3">
      <c r="A214" s="428"/>
      <c r="B214" s="33" t="s">
        <v>111</v>
      </c>
    </row>
    <row r="215" spans="1:2" x14ac:dyDescent="0.25">
      <c r="A215" s="426" t="s">
        <v>168</v>
      </c>
      <c r="B215" s="34" t="s">
        <v>116</v>
      </c>
    </row>
    <row r="216" spans="1:2" ht="27.6" x14ac:dyDescent="0.25">
      <c r="A216" s="427"/>
      <c r="B216" s="34" t="s">
        <v>117</v>
      </c>
    </row>
    <row r="217" spans="1:2" x14ac:dyDescent="0.25">
      <c r="A217" s="427"/>
      <c r="B217" s="34" t="s">
        <v>118</v>
      </c>
    </row>
    <row r="218" spans="1:2" ht="55.8" thickBot="1" x14ac:dyDescent="0.3">
      <c r="A218" s="428"/>
      <c r="B218" s="33" t="s">
        <v>202</v>
      </c>
    </row>
    <row r="219" spans="1:2" ht="15.6" customHeight="1" x14ac:dyDescent="0.25">
      <c r="A219" s="426" t="s">
        <v>203</v>
      </c>
      <c r="B219" s="36" t="s">
        <v>204</v>
      </c>
    </row>
    <row r="220" spans="1:2" ht="28.2" thickBot="1" x14ac:dyDescent="0.3">
      <c r="A220" s="428"/>
      <c r="B220" s="33" t="s">
        <v>205</v>
      </c>
    </row>
    <row r="221" spans="1:2" ht="15.6" customHeight="1" x14ac:dyDescent="0.25">
      <c r="A221" s="426" t="s">
        <v>120</v>
      </c>
      <c r="B221" s="36" t="s">
        <v>206</v>
      </c>
    </row>
    <row r="222" spans="1:2" ht="32.549999999999997" customHeight="1" x14ac:dyDescent="0.25">
      <c r="A222" s="427"/>
      <c r="B222" s="34" t="s">
        <v>169</v>
      </c>
    </row>
    <row r="223" spans="1:2" ht="15.6" customHeight="1" x14ac:dyDescent="0.25">
      <c r="A223" s="427"/>
      <c r="B223" s="36" t="s">
        <v>60</v>
      </c>
    </row>
    <row r="224" spans="1:2" ht="27.6" x14ac:dyDescent="0.25">
      <c r="A224" s="427"/>
      <c r="B224" s="34" t="s">
        <v>124</v>
      </c>
    </row>
    <row r="225" spans="1:3" ht="15.6" customHeight="1" x14ac:dyDescent="0.25">
      <c r="A225" s="427"/>
      <c r="B225" s="34" t="s">
        <v>207</v>
      </c>
    </row>
    <row r="226" spans="1:3" ht="15.6" customHeight="1" thickBot="1" x14ac:dyDescent="0.3">
      <c r="A226" s="428"/>
      <c r="B226" s="33" t="s">
        <v>126</v>
      </c>
      <c r="C226" s="54"/>
    </row>
    <row r="227" spans="1:3" x14ac:dyDescent="0.25">
      <c r="A227" s="426" t="s">
        <v>208</v>
      </c>
      <c r="B227" s="36" t="s">
        <v>209</v>
      </c>
    </row>
    <row r="228" spans="1:3" x14ac:dyDescent="0.25">
      <c r="A228" s="427"/>
      <c r="B228" s="34" t="s">
        <v>128</v>
      </c>
    </row>
    <row r="229" spans="1:3" x14ac:dyDescent="0.25">
      <c r="A229" s="427"/>
      <c r="B229" s="34" t="s">
        <v>129</v>
      </c>
    </row>
    <row r="230" spans="1:3" ht="34.049999999999997" customHeight="1" x14ac:dyDescent="0.25">
      <c r="A230" s="427"/>
      <c r="B230" s="34" t="s">
        <v>130</v>
      </c>
    </row>
    <row r="231" spans="1:3" ht="30" customHeight="1" x14ac:dyDescent="0.25">
      <c r="A231" s="427"/>
      <c r="B231" s="36" t="s">
        <v>210</v>
      </c>
    </row>
    <row r="232" spans="1:3" ht="24" customHeight="1" x14ac:dyDescent="0.25">
      <c r="A232" s="427"/>
      <c r="B232" s="57" t="s">
        <v>211</v>
      </c>
    </row>
    <row r="233" spans="1:3" x14ac:dyDescent="0.25">
      <c r="A233" s="427"/>
      <c r="B233" s="44" t="s">
        <v>212</v>
      </c>
    </row>
    <row r="234" spans="1:3" ht="30" customHeight="1" x14ac:dyDescent="0.25">
      <c r="A234" s="427"/>
      <c r="B234" s="44" t="s">
        <v>213</v>
      </c>
    </row>
    <row r="235" spans="1:3" ht="32.1" customHeight="1" x14ac:dyDescent="0.25">
      <c r="A235" s="427"/>
      <c r="B235" s="44" t="s">
        <v>214</v>
      </c>
    </row>
    <row r="236" spans="1:3" ht="33" customHeight="1" thickBot="1" x14ac:dyDescent="0.3">
      <c r="A236" s="428"/>
      <c r="B236" s="33" t="s">
        <v>215</v>
      </c>
    </row>
    <row r="237" spans="1:3" ht="41.4" x14ac:dyDescent="0.25">
      <c r="A237" s="426" t="s">
        <v>216</v>
      </c>
      <c r="B237" s="34" t="s">
        <v>217</v>
      </c>
    </row>
    <row r="238" spans="1:3" ht="27.6" x14ac:dyDescent="0.25">
      <c r="A238" s="427"/>
      <c r="B238" s="36" t="s">
        <v>218</v>
      </c>
    </row>
    <row r="239" spans="1:3" ht="41.4" x14ac:dyDescent="0.25">
      <c r="A239" s="427"/>
      <c r="B239" s="36" t="s">
        <v>219</v>
      </c>
    </row>
    <row r="240" spans="1:3" ht="27.6" x14ac:dyDescent="0.25">
      <c r="A240" s="427"/>
      <c r="B240" s="36" t="s">
        <v>220</v>
      </c>
    </row>
    <row r="241" spans="1:2" ht="14.4" thickBot="1" x14ac:dyDescent="0.3">
      <c r="A241" s="428"/>
      <c r="B241" s="33" t="s">
        <v>221</v>
      </c>
    </row>
    <row r="242" spans="1:2" x14ac:dyDescent="0.25">
      <c r="A242" s="38" t="s">
        <v>133</v>
      </c>
      <c r="B242" s="34" t="s">
        <v>134</v>
      </c>
    </row>
    <row r="243" spans="1:2" x14ac:dyDescent="0.25">
      <c r="A243" s="38" t="s">
        <v>135</v>
      </c>
      <c r="B243" s="34" t="s">
        <v>136</v>
      </c>
    </row>
    <row r="244" spans="1:2" ht="27.6" x14ac:dyDescent="0.25">
      <c r="A244" s="56"/>
      <c r="B244" s="34" t="s">
        <v>222</v>
      </c>
    </row>
    <row r="245" spans="1:2" ht="27.6" x14ac:dyDescent="0.25">
      <c r="A245" s="56"/>
      <c r="B245" s="34" t="s">
        <v>223</v>
      </c>
    </row>
    <row r="246" spans="1:2" ht="14.4" thickBot="1" x14ac:dyDescent="0.3">
      <c r="A246" s="55"/>
      <c r="B246" s="33" t="s">
        <v>224</v>
      </c>
    </row>
    <row r="247" spans="1:2" x14ac:dyDescent="0.25">
      <c r="A247" s="426" t="s">
        <v>225</v>
      </c>
      <c r="B247" s="42" t="s">
        <v>141</v>
      </c>
    </row>
    <row r="248" spans="1:2" x14ac:dyDescent="0.25">
      <c r="A248" s="427"/>
      <c r="B248" s="42" t="s">
        <v>142</v>
      </c>
    </row>
    <row r="249" spans="1:2" ht="14.4" thickBot="1" x14ac:dyDescent="0.3">
      <c r="A249" s="428"/>
      <c r="B249" s="39" t="s">
        <v>226</v>
      </c>
    </row>
    <row r="250" spans="1:2" ht="27.6" x14ac:dyDescent="0.25">
      <c r="A250" s="426" t="s">
        <v>227</v>
      </c>
      <c r="B250" s="34" t="s">
        <v>146</v>
      </c>
    </row>
    <row r="251" spans="1:2" ht="28.2" thickBot="1" x14ac:dyDescent="0.3">
      <c r="A251" s="428"/>
      <c r="B251" s="33" t="s">
        <v>228</v>
      </c>
    </row>
    <row r="252" spans="1:2" x14ac:dyDescent="0.25">
      <c r="A252" s="426" t="s">
        <v>148</v>
      </c>
      <c r="B252" s="34" t="s">
        <v>149</v>
      </c>
    </row>
    <row r="253" spans="1:2" x14ac:dyDescent="0.25">
      <c r="A253" s="427"/>
      <c r="B253" s="44" t="s">
        <v>177</v>
      </c>
    </row>
    <row r="254" spans="1:2" ht="30" customHeight="1" x14ac:dyDescent="0.25">
      <c r="A254" s="427"/>
      <c r="B254" s="44" t="s">
        <v>178</v>
      </c>
    </row>
    <row r="255" spans="1:2" ht="22.5" customHeight="1" x14ac:dyDescent="0.25">
      <c r="A255" s="427"/>
      <c r="B255" s="44" t="s">
        <v>179</v>
      </c>
    </row>
    <row r="256" spans="1:2" ht="33" customHeight="1" x14ac:dyDescent="0.25">
      <c r="A256" s="427"/>
      <c r="B256" s="44" t="s">
        <v>180</v>
      </c>
    </row>
    <row r="257" spans="1:55" ht="49.5" customHeight="1" x14ac:dyDescent="0.25">
      <c r="A257" s="427"/>
      <c r="B257" s="44" t="s">
        <v>229</v>
      </c>
    </row>
    <row r="258" spans="1:55" ht="19.5" customHeight="1" x14ac:dyDescent="0.25">
      <c r="A258" s="427"/>
      <c r="B258" s="34" t="s">
        <v>230</v>
      </c>
    </row>
    <row r="259" spans="1:55" ht="31.5" customHeight="1" thickBot="1" x14ac:dyDescent="0.3">
      <c r="A259" s="428"/>
      <c r="B259" s="33" t="s">
        <v>231</v>
      </c>
    </row>
    <row r="260" spans="1:55" s="51" customFormat="1" ht="30.6" customHeight="1" thickBot="1" x14ac:dyDescent="0.35">
      <c r="A260" s="48" t="s">
        <v>232</v>
      </c>
      <c r="B260" s="58" t="s">
        <v>233</v>
      </c>
      <c r="C260" s="49"/>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row>
    <row r="261" spans="1:55" ht="26.55" customHeight="1" thickBot="1" x14ac:dyDescent="0.3">
      <c r="A261" s="48" t="s">
        <v>234</v>
      </c>
      <c r="B261" s="58" t="s">
        <v>235</v>
      </c>
    </row>
    <row r="262" spans="1:55" ht="34.5" customHeight="1" thickBot="1" x14ac:dyDescent="0.3">
      <c r="A262" s="32" t="s">
        <v>157</v>
      </c>
      <c r="B262" s="33" t="s">
        <v>158</v>
      </c>
    </row>
    <row r="263" spans="1:55" ht="22.05" customHeight="1" x14ac:dyDescent="0.25">
      <c r="A263" s="429" t="s">
        <v>236</v>
      </c>
      <c r="B263" s="430"/>
    </row>
    <row r="264" spans="1:55" ht="43.5" customHeight="1" thickBot="1" x14ac:dyDescent="0.3">
      <c r="A264" s="431" t="s">
        <v>237</v>
      </c>
      <c r="B264" s="432"/>
    </row>
    <row r="265" spans="1:55" x14ac:dyDescent="0.25">
      <c r="A265" s="426" t="s">
        <v>89</v>
      </c>
      <c r="B265" s="34" t="s">
        <v>238</v>
      </c>
    </row>
    <row r="266" spans="1:55" ht="14.4" thickBot="1" x14ac:dyDescent="0.3">
      <c r="A266" s="428"/>
      <c r="B266" s="33" t="s">
        <v>239</v>
      </c>
    </row>
    <row r="267" spans="1:55" ht="32.1" customHeight="1" thickBot="1" x14ac:dyDescent="0.3">
      <c r="A267" s="32" t="s">
        <v>240</v>
      </c>
      <c r="B267" s="33" t="s">
        <v>241</v>
      </c>
    </row>
    <row r="268" spans="1:55" x14ac:dyDescent="0.25">
      <c r="A268" s="38" t="s">
        <v>100</v>
      </c>
      <c r="B268" s="34" t="s">
        <v>242</v>
      </c>
    </row>
    <row r="269" spans="1:55" ht="28.2" thickBot="1" x14ac:dyDescent="0.3">
      <c r="A269" s="32" t="s">
        <v>196</v>
      </c>
      <c r="B269" s="33" t="s">
        <v>243</v>
      </c>
    </row>
    <row r="270" spans="1:55" x14ac:dyDescent="0.25">
      <c r="A270" s="426" t="s">
        <v>105</v>
      </c>
      <c r="B270" s="34" t="s">
        <v>244</v>
      </c>
    </row>
    <row r="271" spans="1:55" ht="14.4" thickBot="1" x14ac:dyDescent="0.3">
      <c r="A271" s="428"/>
      <c r="B271" s="33" t="s">
        <v>245</v>
      </c>
    </row>
    <row r="272" spans="1:55" x14ac:dyDescent="0.25">
      <c r="A272" s="426" t="s">
        <v>109</v>
      </c>
      <c r="B272" s="34" t="s">
        <v>110</v>
      </c>
    </row>
    <row r="273" spans="1:2" ht="19.5" customHeight="1" thickBot="1" x14ac:dyDescent="0.3">
      <c r="A273" s="428"/>
      <c r="B273" s="33" t="s">
        <v>246</v>
      </c>
    </row>
    <row r="274" spans="1:2" x14ac:dyDescent="0.25">
      <c r="A274" s="426" t="s">
        <v>247</v>
      </c>
      <c r="B274" s="34" t="s">
        <v>200</v>
      </c>
    </row>
    <row r="275" spans="1:2" ht="14.4" thickBot="1" x14ac:dyDescent="0.3">
      <c r="A275" s="428"/>
      <c r="B275" s="33" t="s">
        <v>248</v>
      </c>
    </row>
    <row r="276" spans="1:2" ht="20.25" customHeight="1" x14ac:dyDescent="0.25">
      <c r="A276" s="426" t="s">
        <v>148</v>
      </c>
      <c r="B276" s="34" t="s">
        <v>249</v>
      </c>
    </row>
    <row r="277" spans="1:2" ht="19.5" customHeight="1" x14ac:dyDescent="0.25">
      <c r="A277" s="427"/>
      <c r="B277" s="34" t="s">
        <v>250</v>
      </c>
    </row>
    <row r="278" spans="1:2" ht="18.75" customHeight="1" x14ac:dyDescent="0.25">
      <c r="A278" s="427"/>
      <c r="B278" s="34" t="s">
        <v>251</v>
      </c>
    </row>
    <row r="279" spans="1:2" ht="14.4" thickBot="1" x14ac:dyDescent="0.3">
      <c r="A279" s="428"/>
      <c r="B279" s="33" t="s">
        <v>252</v>
      </c>
    </row>
    <row r="280" spans="1:2" ht="21.6" customHeight="1" thickBot="1" x14ac:dyDescent="0.3">
      <c r="A280" s="437" t="s">
        <v>253</v>
      </c>
      <c r="B280" s="438"/>
    </row>
    <row r="281" spans="1:2" ht="14.4" thickBot="1" x14ac:dyDescent="0.3">
      <c r="A281" s="32" t="s">
        <v>254</v>
      </c>
      <c r="B281" s="33" t="s">
        <v>255</v>
      </c>
    </row>
    <row r="282" spans="1:2" ht="14.4" thickBot="1" x14ac:dyDescent="0.3">
      <c r="A282" s="439"/>
      <c r="B282" s="440"/>
    </row>
    <row r="283" spans="1:2" ht="14.4" thickBot="1" x14ac:dyDescent="0.3">
      <c r="A283" s="32" t="s">
        <v>256</v>
      </c>
      <c r="B283" s="33" t="s">
        <v>257</v>
      </c>
    </row>
    <row r="284" spans="1:2" ht="28.2" thickBot="1" x14ac:dyDescent="0.3">
      <c r="A284" s="32" t="s">
        <v>258</v>
      </c>
      <c r="B284" s="33" t="s">
        <v>259</v>
      </c>
    </row>
    <row r="285" spans="1:2" ht="14.4" thickBot="1" x14ac:dyDescent="0.3">
      <c r="A285" s="32" t="s">
        <v>260</v>
      </c>
      <c r="B285" s="33" t="s">
        <v>261</v>
      </c>
    </row>
    <row r="286" spans="1:2" x14ac:dyDescent="0.25">
      <c r="A286" s="426" t="s">
        <v>262</v>
      </c>
      <c r="B286" s="36" t="s">
        <v>206</v>
      </c>
    </row>
    <row r="287" spans="1:2" ht="34.5" customHeight="1" x14ac:dyDescent="0.25">
      <c r="A287" s="427"/>
      <c r="B287" s="34" t="s">
        <v>263</v>
      </c>
    </row>
    <row r="288" spans="1:2" ht="19.5" customHeight="1" x14ac:dyDescent="0.25">
      <c r="A288" s="427"/>
      <c r="B288" s="36" t="s">
        <v>60</v>
      </c>
    </row>
    <row r="289" spans="1:3" ht="31.5" customHeight="1" x14ac:dyDescent="0.25">
      <c r="A289" s="427"/>
      <c r="B289" s="34" t="s">
        <v>124</v>
      </c>
    </row>
    <row r="290" spans="1:3" x14ac:dyDescent="0.25">
      <c r="A290" s="427"/>
      <c r="B290" s="34" t="s">
        <v>264</v>
      </c>
    </row>
    <row r="291" spans="1:3" ht="14.4" thickBot="1" x14ac:dyDescent="0.3">
      <c r="A291" s="428"/>
      <c r="B291" s="33" t="s">
        <v>265</v>
      </c>
    </row>
    <row r="292" spans="1:3" ht="15.6" customHeight="1" x14ac:dyDescent="0.25">
      <c r="A292" s="426" t="s">
        <v>171</v>
      </c>
      <c r="B292" s="34" t="s">
        <v>266</v>
      </c>
    </row>
    <row r="293" spans="1:3" x14ac:dyDescent="0.25">
      <c r="A293" s="427"/>
      <c r="B293" s="47" t="s">
        <v>267</v>
      </c>
      <c r="C293" s="54"/>
    </row>
    <row r="294" spans="1:3" ht="28.2" thickBot="1" x14ac:dyDescent="0.3">
      <c r="A294" s="428"/>
      <c r="B294" s="33" t="s">
        <v>268</v>
      </c>
    </row>
    <row r="295" spans="1:3" s="59" customFormat="1" ht="19.5" customHeight="1" x14ac:dyDescent="0.3">
      <c r="A295" s="426" t="s">
        <v>269</v>
      </c>
      <c r="B295" s="57" t="s">
        <v>270</v>
      </c>
    </row>
    <row r="296" spans="1:3" s="59" customFormat="1" ht="19.5" customHeight="1" x14ac:dyDescent="0.3">
      <c r="A296" s="427"/>
      <c r="B296" s="34" t="s">
        <v>271</v>
      </c>
    </row>
    <row r="297" spans="1:3" s="59" customFormat="1" ht="19.5" customHeight="1" thickBot="1" x14ac:dyDescent="0.35">
      <c r="A297" s="428"/>
      <c r="B297" s="33" t="s">
        <v>272</v>
      </c>
    </row>
    <row r="298" spans="1:3" s="59" customFormat="1" ht="19.5" customHeight="1" thickBot="1" x14ac:dyDescent="0.35">
      <c r="A298" s="32" t="s">
        <v>273</v>
      </c>
      <c r="B298" s="33" t="s">
        <v>274</v>
      </c>
    </row>
    <row r="299" spans="1:3" s="59" customFormat="1" ht="19.5" customHeight="1" thickBot="1" x14ac:dyDescent="0.35">
      <c r="A299" s="32" t="s">
        <v>176</v>
      </c>
      <c r="B299" s="33" t="s">
        <v>275</v>
      </c>
    </row>
    <row r="300" spans="1:3" ht="14.4" thickBot="1" x14ac:dyDescent="0.3"/>
    <row r="301" spans="1:3" ht="22.05" customHeight="1" thickBot="1" x14ac:dyDescent="0.3">
      <c r="A301" s="433" t="s">
        <v>276</v>
      </c>
      <c r="B301" s="434"/>
    </row>
    <row r="302" spans="1:3" ht="15" customHeight="1" thickBot="1" x14ac:dyDescent="0.3">
      <c r="A302" s="441" t="s">
        <v>277</v>
      </c>
      <c r="B302" s="442"/>
    </row>
    <row r="303" spans="1:3" ht="22.05" customHeight="1" thickBot="1" x14ac:dyDescent="0.3">
      <c r="A303" s="433" t="s">
        <v>278</v>
      </c>
      <c r="B303" s="434"/>
    </row>
    <row r="304" spans="1:3" ht="14.4" thickBot="1" x14ac:dyDescent="0.3">
      <c r="A304" s="435" t="s">
        <v>279</v>
      </c>
      <c r="B304" s="436"/>
    </row>
    <row r="305" spans="1:2" ht="22.05" customHeight="1" thickBot="1" x14ac:dyDescent="0.3">
      <c r="A305" s="433" t="s">
        <v>280</v>
      </c>
      <c r="B305" s="434"/>
    </row>
    <row r="306" spans="1:2" ht="15" customHeight="1" thickBot="1" x14ac:dyDescent="0.3">
      <c r="A306" s="441" t="s">
        <v>281</v>
      </c>
      <c r="B306" s="442"/>
    </row>
    <row r="307" spans="1:2" ht="23.55" customHeight="1" thickBot="1" x14ac:dyDescent="0.3">
      <c r="A307" s="433" t="s">
        <v>282</v>
      </c>
      <c r="B307" s="434"/>
    </row>
    <row r="308" spans="1:2" ht="14.4" thickBot="1" x14ac:dyDescent="0.3">
      <c r="A308" s="435" t="s">
        <v>283</v>
      </c>
      <c r="B308" s="436"/>
    </row>
    <row r="309" spans="1:2" ht="22.05" customHeight="1" thickBot="1" x14ac:dyDescent="0.3">
      <c r="A309" s="433" t="s">
        <v>284</v>
      </c>
      <c r="B309" s="434"/>
    </row>
    <row r="310" spans="1:2" ht="14.4" thickBot="1" x14ac:dyDescent="0.3">
      <c r="A310" s="435" t="s">
        <v>285</v>
      </c>
      <c r="B310" s="436"/>
    </row>
    <row r="311" spans="1:2" ht="22.05" customHeight="1" thickBot="1" x14ac:dyDescent="0.3">
      <c r="A311" s="433" t="s">
        <v>286</v>
      </c>
      <c r="B311" s="434"/>
    </row>
    <row r="312" spans="1:2" ht="14.4" thickBot="1" x14ac:dyDescent="0.3">
      <c r="A312" s="435" t="s">
        <v>287</v>
      </c>
      <c r="B312" s="436"/>
    </row>
  </sheetData>
  <sheetProtection algorithmName="SHA-512" hashValue="z/Q2S3X2A8pcb1YnHdqw0l84V+vZTJp/xJMNd0LvAGZroxfhG3xL7yy0muwOeq5XBJZRKbWQFCnMOwmhA1Ua7w==" saltValue="erBwqTT2jIVZCudFqaNUMw==" spinCount="100000" sheet="1" objects="1" scenarios="1"/>
  <mergeCells count="109">
    <mergeCell ref="A265:A266"/>
    <mergeCell ref="A156:A158"/>
    <mergeCell ref="A159:A160"/>
    <mergeCell ref="A161:A163"/>
    <mergeCell ref="A164:A167"/>
    <mergeCell ref="A168:A172"/>
    <mergeCell ref="A173:A175"/>
    <mergeCell ref="A22:B22"/>
    <mergeCell ref="A31:B31"/>
    <mergeCell ref="A25:B25"/>
    <mergeCell ref="A24:B24"/>
    <mergeCell ref="A29:B29"/>
    <mergeCell ref="A27:B27"/>
    <mergeCell ref="A28:B28"/>
    <mergeCell ref="A32:B32"/>
    <mergeCell ref="A33:B33"/>
    <mergeCell ref="A34:B34"/>
    <mergeCell ref="A35:B35"/>
    <mergeCell ref="A84:A88"/>
    <mergeCell ref="A89:B89"/>
    <mergeCell ref="A90:A91"/>
    <mergeCell ref="A45:A49"/>
    <mergeCell ref="A182:A183"/>
    <mergeCell ref="A50:A54"/>
    <mergeCell ref="A6:B6"/>
    <mergeCell ref="A23:B23"/>
    <mergeCell ref="A26:B26"/>
    <mergeCell ref="A30:B30"/>
    <mergeCell ref="A82:B82"/>
    <mergeCell ref="A64:A68"/>
    <mergeCell ref="A69:B69"/>
    <mergeCell ref="A70:A72"/>
    <mergeCell ref="A75:A77"/>
    <mergeCell ref="A78:A79"/>
    <mergeCell ref="A80:B80"/>
    <mergeCell ref="A16:B16"/>
    <mergeCell ref="A8:B8"/>
    <mergeCell ref="A12:B12"/>
    <mergeCell ref="A9:B9"/>
    <mergeCell ref="A10:B10"/>
    <mergeCell ref="A11:B11"/>
    <mergeCell ref="A13:B13"/>
    <mergeCell ref="A14:B14"/>
    <mergeCell ref="A15:B15"/>
    <mergeCell ref="A17:B17"/>
    <mergeCell ref="A36:B36"/>
    <mergeCell ref="A37:B37"/>
    <mergeCell ref="A40:A44"/>
    <mergeCell ref="A55:A56"/>
    <mergeCell ref="A57:A58"/>
    <mergeCell ref="A61:B61"/>
    <mergeCell ref="A63:B63"/>
    <mergeCell ref="A99:A100"/>
    <mergeCell ref="A104:A106"/>
    <mergeCell ref="A107:A108"/>
    <mergeCell ref="A109:A111"/>
    <mergeCell ref="A146:B146"/>
    <mergeCell ref="A149:A151"/>
    <mergeCell ref="A152:A153"/>
    <mergeCell ref="A112:A115"/>
    <mergeCell ref="A116:A122"/>
    <mergeCell ref="A93:B93"/>
    <mergeCell ref="A96:A98"/>
    <mergeCell ref="A123:A125"/>
    <mergeCell ref="A132:A133"/>
    <mergeCell ref="A135:A136"/>
    <mergeCell ref="A309:B309"/>
    <mergeCell ref="A310:B310"/>
    <mergeCell ref="A311:B311"/>
    <mergeCell ref="A312:B312"/>
    <mergeCell ref="A270:A271"/>
    <mergeCell ref="A272:A273"/>
    <mergeCell ref="A274:A275"/>
    <mergeCell ref="A276:A279"/>
    <mergeCell ref="A280:B280"/>
    <mergeCell ref="A282:B282"/>
    <mergeCell ref="A286:A291"/>
    <mergeCell ref="A292:A294"/>
    <mergeCell ref="A295:A297"/>
    <mergeCell ref="A302:B302"/>
    <mergeCell ref="A303:B303"/>
    <mergeCell ref="A304:B304"/>
    <mergeCell ref="A305:B305"/>
    <mergeCell ref="A306:B306"/>
    <mergeCell ref="A301:B301"/>
    <mergeCell ref="A19:B19"/>
    <mergeCell ref="A20:B20"/>
    <mergeCell ref="A21:B21"/>
    <mergeCell ref="A18:B18"/>
    <mergeCell ref="A252:A259"/>
    <mergeCell ref="A263:B263"/>
    <mergeCell ref="A264:B264"/>
    <mergeCell ref="A307:B307"/>
    <mergeCell ref="A308:B308"/>
    <mergeCell ref="A210:A211"/>
    <mergeCell ref="A212:A214"/>
    <mergeCell ref="A215:A218"/>
    <mergeCell ref="A219:A220"/>
    <mergeCell ref="A221:A226"/>
    <mergeCell ref="A227:A236"/>
    <mergeCell ref="A237:A241"/>
    <mergeCell ref="A247:A249"/>
    <mergeCell ref="A250:A251"/>
    <mergeCell ref="A185:A186"/>
    <mergeCell ref="A187:A194"/>
    <mergeCell ref="A196:B196"/>
    <mergeCell ref="A200:A202"/>
    <mergeCell ref="A203:A206"/>
    <mergeCell ref="A137:A144"/>
  </mergeCells>
  <hyperlinks>
    <hyperlink ref="A11" r:id="rId1" display="https://www.theglobalfund.org/en/monitoring-evaluation/framework/"/>
    <hyperlink ref="A37" r:id="rId2" location="SectionATab" display="../../../../stesfaye/AppData/Local/Microsoft/Windows/INetCache/Content.MSO/E74EAC77.xlsx - SectionATab"/>
    <hyperlink ref="A93" r:id="rId3" location="SectionBTab" display="../../../../stesfaye/AppData/Local/Microsoft/Windows/INetCache/Content.MSO/E74EAC77.xlsx - SectionBTab"/>
    <hyperlink ref="A146" r:id="rId4" location="SectionCTab" display="../../../../stesfaye/AppData/Local/Microsoft/Windows/INetCache/Content.MSO/E74EAC77.xlsx - SectionCTab"/>
    <hyperlink ref="A196" r:id="rId5" location="SectionDTab" display="../../../../stesfaye/AppData/Local/Microsoft/Windows/INetCache/Content.MSO/E74EAC77.xlsx - SectionDTab"/>
    <hyperlink ref="A263" r:id="rId6" location="SectionETab" display="../../../../stesfaye/AppData/Local/Microsoft/Windows/INetCache/Content.MSO/E74EAC77.xlsx - SectionETab"/>
    <hyperlink ref="A280" r:id="rId7" location="SectionFTab" display="../../../../stesfaye/AppData/Local/Microsoft/Windows/INetCache/Content.MSO/E74EAC77.xlsx - SectionFTab"/>
    <hyperlink ref="A311:B311" location="'Print - WPTM'!A1" display="Sheet: Print – WPTM "/>
    <hyperlink ref="A309:B309" location="'Print - Coverage'!A1" display="Sheet: Print – Coverage "/>
    <hyperlink ref="A307:B307" location="'Print - Objectives &amp; Outcome'!A1" display="Sheet: Print – Objectives &amp; Outcome"/>
    <hyperlink ref="A305:B305" location="'Print - Goals &amp; Impact'!A1" display="Sheet: Print – Goals &amp; Impact"/>
    <hyperlink ref="A303:B303" location="'Print - Summary'!A1" display="Sheet: Print - Summary"/>
    <hyperlink ref="A301:B301" location="'Target Assumptions'!A1" display="Sheet: Target Assumptions"/>
    <hyperlink ref="A37:B37" location="SectionATab" display="Overview- Section A "/>
    <hyperlink ref="A93:B93" location="SectionBTab" display="Impact Indicators – Section B"/>
    <hyperlink ref="A146:B146" location="SectionCTab" display="Outcome Indicators- Section C "/>
    <hyperlink ref="A196:B196" location="SectionDTab" display="Coverage Indicators - Section D "/>
    <hyperlink ref="A263:B263" location="SectionETab" display="Disaggregation (Impact, Outcome and Coverage indicators) - Section E "/>
    <hyperlink ref="A280:B280" location="SectionFTab" display="Work Plan Tracking Measures (WPTM) - Section F "/>
  </hyperlinks>
  <pageMargins left="0.27037878787878789" right="0.7" top="0.19479166666666667" bottom="0.75" header="4.4270833333333332E-3" footer="0.3"/>
  <pageSetup paperSize="9" scale="48" fitToHeight="0" orientation="portrait" r:id="rId8"/>
  <headerFooter>
    <oddFooter>&amp;CPage &amp;P</oddFoot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2093"/>
  <sheetViews>
    <sheetView showGridLines="0" topLeftCell="B1259" zoomScale="75" zoomScaleNormal="75" workbookViewId="0">
      <selection activeCell="F1264" sqref="F1264"/>
    </sheetView>
  </sheetViews>
  <sheetFormatPr defaultColWidth="8.59765625" defaultRowHeight="13.8" x14ac:dyDescent="0.25"/>
  <cols>
    <col min="1" max="1" width="13.59765625" style="52" hidden="1" customWidth="1"/>
    <col min="2" max="2" width="17.59765625" style="52" customWidth="1"/>
    <col min="3" max="3" width="30.59765625" style="52" customWidth="1"/>
    <col min="4" max="4" width="15.09765625" style="52" customWidth="1"/>
    <col min="5" max="5" width="24.09765625" style="52" customWidth="1"/>
    <col min="6" max="6" width="16.59765625" style="52" customWidth="1"/>
    <col min="7" max="7" width="18.5" style="52" customWidth="1"/>
    <col min="8" max="8" width="17.09765625" style="52" customWidth="1"/>
    <col min="9" max="9" width="39" style="52" customWidth="1"/>
    <col min="10" max="10" width="62" style="52" customWidth="1"/>
    <col min="11" max="11" width="8.296875" style="52" hidden="1" customWidth="1"/>
    <col min="12" max="12" width="8.09765625" style="52" hidden="1" customWidth="1"/>
    <col min="13" max="13" width="9" style="52" hidden="1" customWidth="1"/>
    <col min="14" max="14" width="8.796875" style="52" hidden="1" customWidth="1"/>
    <col min="15" max="15" width="8.59765625" style="52" hidden="1" customWidth="1"/>
    <col min="16" max="16" width="9" style="52" hidden="1" customWidth="1"/>
    <col min="17" max="17" width="1.796875" style="52" customWidth="1"/>
    <col min="18" max="18" width="9" style="52" customWidth="1"/>
    <col min="19" max="16384" width="8.59765625" style="52"/>
  </cols>
  <sheetData>
    <row r="1" spans="1:17" ht="15.6" customHeight="1" x14ac:dyDescent="0.25">
      <c r="B1" s="614" t="s">
        <v>2210</v>
      </c>
      <c r="C1" s="614"/>
      <c r="D1" s="614"/>
      <c r="E1" s="614"/>
      <c r="F1" s="614"/>
      <c r="G1" s="614"/>
      <c r="H1" s="126"/>
      <c r="I1" s="126"/>
      <c r="J1" s="126"/>
    </row>
    <row r="2" spans="1:17" ht="28.5" customHeight="1" x14ac:dyDescent="0.25">
      <c r="B2" s="614"/>
      <c r="C2" s="614"/>
      <c r="D2" s="614"/>
      <c r="E2" s="614"/>
      <c r="F2" s="614"/>
      <c r="G2" s="614"/>
      <c r="H2" s="127"/>
      <c r="I2" s="127"/>
      <c r="J2" s="127"/>
    </row>
    <row r="3" spans="1:17" ht="15.6" customHeight="1" x14ac:dyDescent="0.25">
      <c r="B3" s="127"/>
      <c r="C3" s="127"/>
      <c r="D3" s="127"/>
      <c r="E3" s="127"/>
      <c r="F3" s="127"/>
      <c r="G3" s="127"/>
      <c r="H3" s="127"/>
      <c r="I3" s="127"/>
      <c r="J3" s="127"/>
    </row>
    <row r="4" spans="1:17" ht="14.4" thickBot="1" x14ac:dyDescent="0.3"/>
    <row r="5" spans="1:17" ht="14.4" thickBot="1" x14ac:dyDescent="0.3">
      <c r="B5" s="112" t="s">
        <v>89</v>
      </c>
      <c r="C5" s="128" t="s">
        <v>807</v>
      </c>
      <c r="D5" s="128" t="s">
        <v>866</v>
      </c>
      <c r="E5" s="128" t="s">
        <v>2211</v>
      </c>
      <c r="F5" s="113" t="s">
        <v>306</v>
      </c>
    </row>
    <row r="8" spans="1:17" ht="16.350000000000001" customHeight="1" x14ac:dyDescent="0.25">
      <c r="A8" s="52" t="s">
        <v>2212</v>
      </c>
      <c r="B8" s="609" t="s">
        <v>2213</v>
      </c>
      <c r="C8" s="610"/>
      <c r="D8" s="610"/>
      <c r="E8" s="610"/>
      <c r="F8" s="610"/>
      <c r="G8" s="610"/>
      <c r="H8" s="610"/>
      <c r="I8" s="610"/>
      <c r="J8" s="611"/>
    </row>
    <row r="9" spans="1:17" ht="45" customHeight="1" x14ac:dyDescent="0.25">
      <c r="A9" s="52" t="s">
        <v>2214</v>
      </c>
      <c r="B9" s="129" t="s">
        <v>737</v>
      </c>
      <c r="C9" s="129" t="s">
        <v>2215</v>
      </c>
      <c r="D9" s="129" t="s">
        <v>2216</v>
      </c>
      <c r="E9" s="129" t="s">
        <v>2217</v>
      </c>
      <c r="F9" s="129" t="s">
        <v>740</v>
      </c>
      <c r="G9" s="129" t="s">
        <v>105</v>
      </c>
      <c r="H9" s="129" t="s">
        <v>741</v>
      </c>
      <c r="I9" s="129" t="s">
        <v>199</v>
      </c>
      <c r="J9" s="129" t="s">
        <v>176</v>
      </c>
    </row>
    <row r="10" spans="1:17" s="130" customFormat="1" ht="20.100000000000001" customHeight="1" x14ac:dyDescent="0.25">
      <c r="A10" s="130" t="str">
        <f ca="1">INDIRECT("'update Helper'!C"&amp;Q10)</f>
        <v>a1GDm000000XmkmMAC</v>
      </c>
      <c r="B10" s="601">
        <v>1</v>
      </c>
      <c r="C10" s="603" t="str">
        <f>IFERROR(VLOOKUP(B10,'Impact Indicators - Section B '!$A$9:$AC$68,29,FALSE),"")</f>
        <v>HIV I-4 Number of AIDS-related deaths per 100,000 population</v>
      </c>
      <c r="D10" s="605" t="str">
        <f>M10</f>
        <v>Age</v>
      </c>
      <c r="E10" s="605" t="str">
        <f>N10</f>
        <v>15+</v>
      </c>
      <c r="F10" s="131">
        <v>38</v>
      </c>
      <c r="G10" s="607" t="str">
        <f ca="1">IF(OR(INDIRECT("'update Helper'!E"&amp;Q10)="",F10&lt;&gt;0,F11&lt;&gt;0),IF(IFERROR((F10/F11),"")="","",(F10/F11)),INDIRECT("'update Helper'!E"&amp;Q10)/100)</f>
        <v/>
      </c>
      <c r="H10" s="597">
        <v>2021</v>
      </c>
      <c r="I10" s="599" t="s">
        <v>2201</v>
      </c>
      <c r="J10" s="531" t="s">
        <v>2218</v>
      </c>
      <c r="K10" s="130">
        <f>IF(AND(EXACT(C10,C8),C8&lt;&gt;0),K8+1,0)</f>
        <v>0</v>
      </c>
      <c r="L10" s="130" t="str">
        <f>IF(C10&lt;&gt;"",C10&amp;"-"&amp;K10,"")</f>
        <v>HIV I-4 Number of AIDS-related deaths per 100,000 population-0</v>
      </c>
      <c r="M10" s="130" t="str">
        <f t="array" ref="M10">IFERROR(IF(INDEX('Disaggregation Records'!$E$3:$E$80,MATCH(RIGHT(L10,255),RIGHT('Disaggregation Records'!$D$3:$D$80,255),0))="","",INDEX('Disaggregation Records'!$E$3:$E$80,MATCH(RIGHT(L10,255),RIGHT('Disaggregation Records'!$D$3:$D$80,255),0))),"")</f>
        <v>Age</v>
      </c>
      <c r="N10" s="130" t="str">
        <f t="array" ref="N10">IFERROR(IF(INDEX('Disaggregation Records'!$F$3:$F$80,MATCH(RIGHT(L10,255),RIGHT('Disaggregation Records'!$D$3:$D$80,255),0))="","",INDEX('Disaggregation Records'!$F$3:$F$80,MATCH(RIGHT(L10,255),RIGHT('Disaggregation Records'!$D$3:$D$80,255),0))),"")</f>
        <v>15+</v>
      </c>
      <c r="O10" s="130" t="str">
        <f t="array" ref="O10">IFERROR(IF(INDEX('Disaggregation Records'!$H$3:$H$80,MATCH(RIGHT(L10,255),RIGHT('Disaggregation Records'!$D$3:$D$80,255),0))="","",INDEX('Disaggregation Records'!$H$3:$H$80,MATCH(RIGHT(L10,255),RIGHT('Disaggregation Records'!$D$3:$D$80,255),0))),"")</f>
        <v>IDR-01046</v>
      </c>
      <c r="Q10" s="130">
        <f>ROW(Impact_Indicator_Disaggregation)+3</f>
        <v>1191</v>
      </c>
    </row>
    <row r="11" spans="1:17" s="133" customFormat="1" ht="20.100000000000001" customHeight="1" x14ac:dyDescent="0.25">
      <c r="A11" s="130"/>
      <c r="B11" s="602"/>
      <c r="C11" s="604"/>
      <c r="D11" s="606"/>
      <c r="E11" s="606"/>
      <c r="F11" s="132"/>
      <c r="G11" s="608"/>
      <c r="H11" s="598"/>
      <c r="I11" s="600"/>
      <c r="J11" s="532"/>
    </row>
    <row r="12" spans="1:17" ht="20.100000000000001" customHeight="1" x14ac:dyDescent="0.25">
      <c r="A12" s="130" t="str">
        <f t="shared" ref="A12" ca="1" si="0">INDIRECT("'update Helper'!C"&amp;Q12)</f>
        <v>a1GDm000000XmknMAC</v>
      </c>
      <c r="B12" s="601">
        <v>1</v>
      </c>
      <c r="C12" s="603" t="str">
        <f>IFERROR(VLOOKUP(B12,'Impact Indicators - Section B '!$A$9:$AC$68,29,FALSE),"")</f>
        <v>HIV I-4 Number of AIDS-related deaths per 100,000 population</v>
      </c>
      <c r="D12" s="605" t="str">
        <f>M12</f>
        <v>Gender | Age</v>
      </c>
      <c r="E12" s="605" t="str">
        <f>N12</f>
        <v>Male 20-24</v>
      </c>
      <c r="F12" s="131">
        <v>0</v>
      </c>
      <c r="G12" s="607" t="str">
        <f ca="1">IF(OR(INDIRECT("'update Helper'!E"&amp;Q12)="",F12&lt;&gt;0,F13&lt;&gt;0),IF(IFERROR((F12/F13),"")="","",(F12/F13)),INDIRECT("'update Helper'!E"&amp;Q12)/100)</f>
        <v/>
      </c>
      <c r="H12" s="597">
        <v>2021</v>
      </c>
      <c r="I12" s="599" t="s">
        <v>2201</v>
      </c>
      <c r="J12" s="531" t="s">
        <v>2218</v>
      </c>
      <c r="K12" s="130">
        <f>IF(AND(EXACT(C12,C10),C10&lt;&gt;0),K10+1,0)</f>
        <v>1</v>
      </c>
      <c r="L12" s="130" t="str">
        <f>IF(C12&lt;&gt;"",C12&amp;"-"&amp;K12,"")</f>
        <v>HIV I-4 Number of AIDS-related deaths per 100,000 population-1</v>
      </c>
      <c r="M12" s="130" t="str">
        <f t="array" ref="M12">IFERROR(IF(INDEX('Disaggregation Records'!$E$3:$E$80,MATCH(RIGHT(L12,255),RIGHT('Disaggregation Records'!$D$3:$D$80,255),0))="","",INDEX('Disaggregation Records'!$E$3:$E$80,MATCH(RIGHT(L12,255),RIGHT('Disaggregation Records'!$D$3:$D$80,255),0))),"")</f>
        <v>Gender | Age</v>
      </c>
      <c r="N12" s="130" t="str">
        <f t="array" ref="N12">IFERROR(IF(INDEX('Disaggregation Records'!$F$3:$F$80,MATCH(RIGHT(L12,255),RIGHT('Disaggregation Records'!$D$3:$D$80,255),0))="","",INDEX('Disaggregation Records'!$F$3:$F$80,MATCH(RIGHT(L12,255),RIGHT('Disaggregation Records'!$D$3:$D$80,255),0))),"")</f>
        <v>Male 20-24</v>
      </c>
      <c r="O12" s="130" t="str">
        <f t="array" ref="O12">IFERROR(IF(INDEX('Disaggregation Records'!$H$3:$H$80,MATCH(RIGHT(L12,255),RIGHT('Disaggregation Records'!$D$3:$D$80,255),0))="","",INDEX('Disaggregation Records'!$H$3:$H$80,MATCH(RIGHT(L12,255),RIGHT('Disaggregation Records'!$D$3:$D$80,255),0))),"")</f>
        <v>IDR-01045</v>
      </c>
      <c r="Q12" s="52">
        <f>Q10+1</f>
        <v>1192</v>
      </c>
    </row>
    <row r="13" spans="1:17" ht="20.100000000000001" customHeight="1" x14ac:dyDescent="0.25">
      <c r="B13" s="602"/>
      <c r="C13" s="604"/>
      <c r="D13" s="606"/>
      <c r="E13" s="606"/>
      <c r="F13" s="132"/>
      <c r="G13" s="608"/>
      <c r="H13" s="598"/>
      <c r="I13" s="600"/>
      <c r="J13" s="532"/>
      <c r="K13" s="133"/>
      <c r="L13" s="133"/>
      <c r="M13" s="133"/>
      <c r="N13" s="133"/>
      <c r="O13" s="133"/>
      <c r="Q13" s="130"/>
    </row>
    <row r="14" spans="1:17" ht="20.100000000000001" customHeight="1" x14ac:dyDescent="0.25">
      <c r="A14" s="130" t="str">
        <f t="shared" ref="A14" ca="1" si="1">INDIRECT("'update Helper'!C"&amp;Q14)</f>
        <v>a1GDm000000XmkoMAC</v>
      </c>
      <c r="B14" s="601">
        <v>1</v>
      </c>
      <c r="C14" s="603" t="str">
        <f>IFERROR(VLOOKUP(B14,'Impact Indicators - Section B '!$A$9:$AC$68,29,FALSE),"")</f>
        <v>HIV I-4 Number of AIDS-related deaths per 100,000 population</v>
      </c>
      <c r="D14" s="605" t="str">
        <f>M14</f>
        <v>Gender | Age</v>
      </c>
      <c r="E14" s="605" t="str">
        <f>N14</f>
        <v>Male 15-19</v>
      </c>
      <c r="F14" s="131">
        <v>1</v>
      </c>
      <c r="G14" s="607" t="str">
        <f ca="1">IF(OR(INDIRECT("'update Helper'!E"&amp;Q14)="",F14&lt;&gt;0,F15&lt;&gt;0),IF(IFERROR((F14/F15),"")="","",(F14/F15)),INDIRECT("'update Helper'!E"&amp;Q14)/100)</f>
        <v/>
      </c>
      <c r="H14" s="597">
        <v>2021</v>
      </c>
      <c r="I14" s="599" t="s">
        <v>2201</v>
      </c>
      <c r="J14" s="531" t="s">
        <v>2218</v>
      </c>
      <c r="K14" s="130">
        <f>IF(AND(EXACT(C14,C12),C12&lt;&gt;0),K12+1,0)</f>
        <v>2</v>
      </c>
      <c r="L14" s="130" t="str">
        <f>IF(C14&lt;&gt;"",C14&amp;"-"&amp;K14,"")</f>
        <v>HIV I-4 Number of AIDS-related deaths per 100,000 population-2</v>
      </c>
      <c r="M14" s="130" t="str">
        <f t="array" ref="M14">IFERROR(IF(INDEX('Disaggregation Records'!$E$3:$E$80,MATCH(RIGHT(L14,255),RIGHT('Disaggregation Records'!$D$3:$D$80,255),0))="","",INDEX('Disaggregation Records'!$E$3:$E$80,MATCH(RIGHT(L14,255),RIGHT('Disaggregation Records'!$D$3:$D$80,255),0))),"")</f>
        <v>Gender | Age</v>
      </c>
      <c r="N14" s="130" t="str">
        <f t="array" ref="N14">IFERROR(IF(INDEX('Disaggregation Records'!$F$3:$F$80,MATCH(RIGHT(L14,255),RIGHT('Disaggregation Records'!$D$3:$D$80,255),0))="","",INDEX('Disaggregation Records'!$F$3:$F$80,MATCH(RIGHT(L14,255),RIGHT('Disaggregation Records'!$D$3:$D$80,255),0))),"")</f>
        <v>Male 15-19</v>
      </c>
      <c r="O14" s="130" t="str">
        <f t="array" ref="O14">IFERROR(IF(INDEX('Disaggregation Records'!$H$3:$H$80,MATCH(RIGHT(L14,255),RIGHT('Disaggregation Records'!$D$3:$D$80,255),0))="","",INDEX('Disaggregation Records'!$H$3:$H$80,MATCH(RIGHT(L14,255),RIGHT('Disaggregation Records'!$D$3:$D$80,255),0))),"")</f>
        <v>IDR-01044</v>
      </c>
      <c r="P14" s="130"/>
      <c r="Q14" s="52">
        <f t="shared" ref="Q14" si="2">Q12+1</f>
        <v>1193</v>
      </c>
    </row>
    <row r="15" spans="1:17" ht="20.100000000000001" customHeight="1" x14ac:dyDescent="0.25">
      <c r="A15" s="130"/>
      <c r="B15" s="602"/>
      <c r="C15" s="604"/>
      <c r="D15" s="606"/>
      <c r="E15" s="606"/>
      <c r="F15" s="132"/>
      <c r="G15" s="608"/>
      <c r="H15" s="598"/>
      <c r="I15" s="600"/>
      <c r="J15" s="532"/>
      <c r="K15" s="133"/>
      <c r="L15" s="133"/>
      <c r="M15" s="133"/>
      <c r="N15" s="133"/>
      <c r="O15" s="133"/>
      <c r="P15" s="133"/>
      <c r="Q15" s="130"/>
    </row>
    <row r="16" spans="1:17" ht="20.100000000000001" customHeight="1" x14ac:dyDescent="0.25">
      <c r="A16" s="130" t="str">
        <f t="shared" ref="A16:A76" ca="1" si="3">INDIRECT("'update Helper'!C"&amp;Q16)</f>
        <v>a1GDm000000XmkpMAC</v>
      </c>
      <c r="B16" s="601">
        <v>1</v>
      </c>
      <c r="C16" s="603" t="str">
        <f>IFERROR(VLOOKUP(B16,'Impact Indicators - Section B '!$A$9:$AC$68,29,FALSE),"")</f>
        <v>HIV I-4 Number of AIDS-related deaths per 100,000 population</v>
      </c>
      <c r="D16" s="605" t="str">
        <f>M16</f>
        <v>Gender</v>
      </c>
      <c r="E16" s="605" t="str">
        <f>N16</f>
        <v>Male</v>
      </c>
      <c r="F16" s="131">
        <v>28</v>
      </c>
      <c r="G16" s="607" t="str">
        <f ca="1">IF(OR(INDIRECT("'update Helper'!E"&amp;Q16)="",F16&lt;&gt;0,F17&lt;&gt;0),IF(IFERROR((F16/F17),"")="","",(F16/F17)),INDIRECT("'update Helper'!E"&amp;Q16)/100)</f>
        <v/>
      </c>
      <c r="H16" s="597">
        <v>2021</v>
      </c>
      <c r="I16" s="599" t="s">
        <v>2201</v>
      </c>
      <c r="J16" s="531" t="s">
        <v>2218</v>
      </c>
      <c r="K16" s="130">
        <f>IF(AND(EXACT(C16,C14),C14&lt;&gt;0),K14+1,0)</f>
        <v>3</v>
      </c>
      <c r="L16" s="130" t="str">
        <f>IF(C16&lt;&gt;"",C16&amp;"-"&amp;K16,"")</f>
        <v>HIV I-4 Number of AIDS-related deaths per 100,000 population-3</v>
      </c>
      <c r="M16" s="130" t="str">
        <f t="array" ref="M16">IFERROR(IF(INDEX('Disaggregation Records'!$E$3:$E$80,MATCH(RIGHT(L16,255),RIGHT('Disaggregation Records'!$D$3:$D$80,255),0))="","",INDEX('Disaggregation Records'!$E$3:$E$80,MATCH(RIGHT(L16,255),RIGHT('Disaggregation Records'!$D$3:$D$80,255),0))),"")</f>
        <v>Gender</v>
      </c>
      <c r="N16" s="130" t="str">
        <f t="array" ref="N16">IFERROR(IF(INDEX('Disaggregation Records'!$F$3:$F$80,MATCH(RIGHT(L16,255),RIGHT('Disaggregation Records'!$D$3:$D$80,255),0))="","",INDEX('Disaggregation Records'!$F$3:$F$80,MATCH(RIGHT(L16,255),RIGHT('Disaggregation Records'!$D$3:$D$80,255),0))),"")</f>
        <v>Male</v>
      </c>
      <c r="O16" s="130" t="str">
        <f t="array" ref="O16">IFERROR(IF(INDEX('Disaggregation Records'!$H$3:$H$80,MATCH(RIGHT(L16,255),RIGHT('Disaggregation Records'!$D$3:$D$80,255),0))="","",INDEX('Disaggregation Records'!$H$3:$H$80,MATCH(RIGHT(L16,255),RIGHT('Disaggregation Records'!$D$3:$D$80,255),0))),"")</f>
        <v>IDR-01043</v>
      </c>
      <c r="Q16" s="52">
        <f t="shared" ref="Q16" si="4">Q14+1</f>
        <v>1194</v>
      </c>
    </row>
    <row r="17" spans="1:17" ht="20.100000000000001" customHeight="1" x14ac:dyDescent="0.25">
      <c r="B17" s="602"/>
      <c r="C17" s="604"/>
      <c r="D17" s="606"/>
      <c r="E17" s="606"/>
      <c r="F17" s="132"/>
      <c r="G17" s="608"/>
      <c r="H17" s="598"/>
      <c r="I17" s="600"/>
      <c r="J17" s="532"/>
      <c r="K17" s="133"/>
      <c r="L17" s="133"/>
      <c r="M17" s="133"/>
      <c r="N17" s="133"/>
      <c r="O17" s="133"/>
      <c r="Q17" s="130"/>
    </row>
    <row r="18" spans="1:17" ht="20.100000000000001" customHeight="1" x14ac:dyDescent="0.25">
      <c r="A18" s="130" t="str">
        <f t="shared" ref="A18" ca="1" si="5">INDIRECT("'update Helper'!C"&amp;Q18)</f>
        <v>a1GDm000000XmkqMAC</v>
      </c>
      <c r="B18" s="601">
        <v>1</v>
      </c>
      <c r="C18" s="603" t="str">
        <f>IFERROR(VLOOKUP(B18,'Impact Indicators - Section B '!$A$9:$AC$68,29,FALSE),"")</f>
        <v>HIV I-4 Number of AIDS-related deaths per 100,000 population</v>
      </c>
      <c r="D18" s="605" t="str">
        <f>M18</f>
        <v>Age</v>
      </c>
      <c r="E18" s="605" t="str">
        <f>N18</f>
        <v>5-14</v>
      </c>
      <c r="F18" s="131">
        <v>0</v>
      </c>
      <c r="G18" s="607" t="str">
        <f ca="1">IF(OR(INDIRECT("'update Helper'!E"&amp;Q18)="",F18&lt;&gt;0,F19&lt;&gt;0),IF(IFERROR((F18/F19),"")="","",(F18/F19)),INDIRECT("'update Helper'!E"&amp;Q18)/100)</f>
        <v/>
      </c>
      <c r="H18" s="597">
        <v>2021</v>
      </c>
      <c r="I18" s="599" t="s">
        <v>2201</v>
      </c>
      <c r="J18" s="531" t="s">
        <v>2218</v>
      </c>
      <c r="K18" s="130">
        <f>IF(AND(EXACT(C18,C16),C16&lt;&gt;0),K16+1,0)</f>
        <v>4</v>
      </c>
      <c r="L18" s="130" t="str">
        <f>IF(C18&lt;&gt;"",C18&amp;"-"&amp;K18,"")</f>
        <v>HIV I-4 Number of AIDS-related deaths per 100,000 population-4</v>
      </c>
      <c r="M18" s="130" t="str">
        <f t="array" ref="M18">IFERROR(IF(INDEX('Disaggregation Records'!$E$3:$E$80,MATCH(RIGHT(L18,255),RIGHT('Disaggregation Records'!$D$3:$D$80,255),0))="","",INDEX('Disaggregation Records'!$E$3:$E$80,MATCH(RIGHT(L18,255),RIGHT('Disaggregation Records'!$D$3:$D$80,255),0))),"")</f>
        <v>Age</v>
      </c>
      <c r="N18" s="130" t="str">
        <f t="array" ref="N18">IFERROR(IF(INDEX('Disaggregation Records'!$F$3:$F$80,MATCH(RIGHT(L18,255),RIGHT('Disaggregation Records'!$D$3:$D$80,255),0))="","",INDEX('Disaggregation Records'!$F$3:$F$80,MATCH(RIGHT(L18,255),RIGHT('Disaggregation Records'!$D$3:$D$80,255),0))),"")</f>
        <v>5-14</v>
      </c>
      <c r="O18" s="130" t="str">
        <f t="array" ref="O18">IFERROR(IF(INDEX('Disaggregation Records'!$H$3:$H$80,MATCH(RIGHT(L18,255),RIGHT('Disaggregation Records'!$D$3:$D$80,255),0))="","",INDEX('Disaggregation Records'!$H$3:$H$80,MATCH(RIGHT(L18,255),RIGHT('Disaggregation Records'!$D$3:$D$80,255),0))),"")</f>
        <v>IDR-01042</v>
      </c>
      <c r="P18" s="130"/>
      <c r="Q18" s="52">
        <f t="shared" ref="Q18" si="6">Q16+1</f>
        <v>1195</v>
      </c>
    </row>
    <row r="19" spans="1:17" ht="20.100000000000001" customHeight="1" x14ac:dyDescent="0.25">
      <c r="A19" s="130"/>
      <c r="B19" s="602"/>
      <c r="C19" s="604"/>
      <c r="D19" s="606"/>
      <c r="E19" s="606"/>
      <c r="F19" s="132"/>
      <c r="G19" s="608"/>
      <c r="H19" s="598"/>
      <c r="I19" s="600"/>
      <c r="J19" s="532"/>
      <c r="K19" s="133"/>
      <c r="L19" s="133"/>
      <c r="M19" s="133"/>
      <c r="N19" s="133"/>
      <c r="O19" s="133"/>
      <c r="P19" s="133"/>
      <c r="Q19" s="130"/>
    </row>
    <row r="20" spans="1:17" ht="20.100000000000001" customHeight="1" x14ac:dyDescent="0.25">
      <c r="A20" s="130" t="str">
        <f t="shared" ca="1" si="3"/>
        <v>a1GDm000000XmkrMAC</v>
      </c>
      <c r="B20" s="601">
        <v>1</v>
      </c>
      <c r="C20" s="603" t="str">
        <f>IFERROR(VLOOKUP(B20,'Impact Indicators - Section B '!$A$9:$AC$68,29,FALSE),"")</f>
        <v>HIV I-4 Number of AIDS-related deaths per 100,000 population</v>
      </c>
      <c r="D20" s="605" t="str">
        <f>M20</f>
        <v>Gender | Age</v>
      </c>
      <c r="E20" s="605" t="str">
        <f>N20</f>
        <v>Female 20-24</v>
      </c>
      <c r="F20" s="131">
        <v>0</v>
      </c>
      <c r="G20" s="607" t="str">
        <f ca="1">IF(OR(INDIRECT("'update Helper'!E"&amp;Q20)="",F20&lt;&gt;0,F21&lt;&gt;0),IF(IFERROR((F20/F21),"")="","",(F20/F21)),INDIRECT("'update Helper'!E"&amp;Q20)/100)</f>
        <v/>
      </c>
      <c r="H20" s="597">
        <v>2021</v>
      </c>
      <c r="I20" s="599" t="s">
        <v>2201</v>
      </c>
      <c r="J20" s="531" t="s">
        <v>2218</v>
      </c>
      <c r="K20" s="130">
        <f>IF(AND(EXACT(C20,C18),C18&lt;&gt;0),K18+1,0)</f>
        <v>5</v>
      </c>
      <c r="L20" s="130" t="str">
        <f>IF(C20&lt;&gt;"",C20&amp;"-"&amp;K20,"")</f>
        <v>HIV I-4 Number of AIDS-related deaths per 100,000 population-5</v>
      </c>
      <c r="M20" s="130" t="str">
        <f t="array" ref="M20">IFERROR(IF(INDEX('Disaggregation Records'!$E$3:$E$80,MATCH(RIGHT(L20,255),RIGHT('Disaggregation Records'!$D$3:$D$80,255),0))="","",INDEX('Disaggregation Records'!$E$3:$E$80,MATCH(RIGHT(L20,255),RIGHT('Disaggregation Records'!$D$3:$D$80,255),0))),"")</f>
        <v>Gender | Age</v>
      </c>
      <c r="N20" s="130" t="str">
        <f t="array" ref="N20">IFERROR(IF(INDEX('Disaggregation Records'!$F$3:$F$80,MATCH(RIGHT(L20,255),RIGHT('Disaggregation Records'!$D$3:$D$80,255),0))="","",INDEX('Disaggregation Records'!$F$3:$F$80,MATCH(RIGHT(L20,255),RIGHT('Disaggregation Records'!$D$3:$D$80,255),0))),"")</f>
        <v>Female 20-24</v>
      </c>
      <c r="O20" s="130" t="str">
        <f t="array" ref="O20">IFERROR(IF(INDEX('Disaggregation Records'!$H$3:$H$80,MATCH(RIGHT(L20,255),RIGHT('Disaggregation Records'!$D$3:$D$80,255),0))="","",INDEX('Disaggregation Records'!$H$3:$H$80,MATCH(RIGHT(L20,255),RIGHT('Disaggregation Records'!$D$3:$D$80,255),0))),"")</f>
        <v>IDR-01041</v>
      </c>
      <c r="Q20" s="52">
        <f t="shared" ref="Q20" si="7">Q18+1</f>
        <v>1196</v>
      </c>
    </row>
    <row r="21" spans="1:17" ht="20.100000000000001" customHeight="1" x14ac:dyDescent="0.25">
      <c r="B21" s="602"/>
      <c r="C21" s="604"/>
      <c r="D21" s="606"/>
      <c r="E21" s="606"/>
      <c r="F21" s="132"/>
      <c r="G21" s="608"/>
      <c r="H21" s="598"/>
      <c r="I21" s="600"/>
      <c r="J21" s="532"/>
      <c r="K21" s="133"/>
      <c r="L21" s="133"/>
      <c r="M21" s="133"/>
      <c r="N21" s="133"/>
      <c r="O21" s="133"/>
      <c r="Q21" s="130"/>
    </row>
    <row r="22" spans="1:17" ht="20.100000000000001" customHeight="1" x14ac:dyDescent="0.25">
      <c r="A22" s="130" t="str">
        <f t="shared" ref="A22" ca="1" si="8">INDIRECT("'update Helper'!C"&amp;Q22)</f>
        <v>a1GDm000000XmksMAC</v>
      </c>
      <c r="B22" s="601">
        <v>1</v>
      </c>
      <c r="C22" s="603" t="str">
        <f>IFERROR(VLOOKUP(B22,'Impact Indicators - Section B '!$A$9:$AC$68,29,FALSE),"")</f>
        <v>HIV I-4 Number of AIDS-related deaths per 100,000 population</v>
      </c>
      <c r="D22" s="605" t="str">
        <f>M22</f>
        <v>Gender | Age</v>
      </c>
      <c r="E22" s="605" t="str">
        <f>N22</f>
        <v>Female 15-19</v>
      </c>
      <c r="F22" s="131">
        <v>1</v>
      </c>
      <c r="G22" s="607" t="str">
        <f ca="1">IF(OR(INDIRECT("'update Helper'!E"&amp;Q22)="",F22&lt;&gt;0,F23&lt;&gt;0),IF(IFERROR((F22/F23),"")="","",(F22/F23)),INDIRECT("'update Helper'!E"&amp;Q22)/100)</f>
        <v/>
      </c>
      <c r="H22" s="597">
        <v>2021</v>
      </c>
      <c r="I22" s="599" t="s">
        <v>2201</v>
      </c>
      <c r="J22" s="531" t="s">
        <v>2218</v>
      </c>
      <c r="K22" s="130">
        <f>IF(AND(EXACT(C22,C20),C20&lt;&gt;0),K20+1,0)</f>
        <v>6</v>
      </c>
      <c r="L22" s="130" t="str">
        <f>IF(C22&lt;&gt;"",C22&amp;"-"&amp;K22,"")</f>
        <v>HIV I-4 Number of AIDS-related deaths per 100,000 population-6</v>
      </c>
      <c r="M22" s="130" t="str">
        <f t="array" ref="M22">IFERROR(IF(INDEX('Disaggregation Records'!$E$3:$E$80,MATCH(RIGHT(L22,255),RIGHT('Disaggregation Records'!$D$3:$D$80,255),0))="","",INDEX('Disaggregation Records'!$E$3:$E$80,MATCH(RIGHT(L22,255),RIGHT('Disaggregation Records'!$D$3:$D$80,255),0))),"")</f>
        <v>Gender | Age</v>
      </c>
      <c r="N22" s="130" t="str">
        <f t="array" ref="N22">IFERROR(IF(INDEX('Disaggregation Records'!$F$3:$F$80,MATCH(RIGHT(L22,255),RIGHT('Disaggregation Records'!$D$3:$D$80,255),0))="","",INDEX('Disaggregation Records'!$F$3:$F$80,MATCH(RIGHT(L22,255),RIGHT('Disaggregation Records'!$D$3:$D$80,255),0))),"")</f>
        <v>Female 15-19</v>
      </c>
      <c r="O22" s="130" t="str">
        <f t="array" ref="O22">IFERROR(IF(INDEX('Disaggregation Records'!$H$3:$H$80,MATCH(RIGHT(L22,255),RIGHT('Disaggregation Records'!$D$3:$D$80,255),0))="","",INDEX('Disaggregation Records'!$H$3:$H$80,MATCH(RIGHT(L22,255),RIGHT('Disaggregation Records'!$D$3:$D$80,255),0))),"")</f>
        <v>IDR-01040</v>
      </c>
      <c r="P22" s="130"/>
      <c r="Q22" s="52">
        <f t="shared" ref="Q22" si="9">Q20+1</f>
        <v>1197</v>
      </c>
    </row>
    <row r="23" spans="1:17" ht="20.100000000000001" customHeight="1" x14ac:dyDescent="0.25">
      <c r="A23" s="130"/>
      <c r="B23" s="602"/>
      <c r="C23" s="604"/>
      <c r="D23" s="606"/>
      <c r="E23" s="606"/>
      <c r="F23" s="132"/>
      <c r="G23" s="608"/>
      <c r="H23" s="598"/>
      <c r="I23" s="600"/>
      <c r="J23" s="532"/>
      <c r="K23" s="133"/>
      <c r="L23" s="133"/>
      <c r="M23" s="133"/>
      <c r="N23" s="133"/>
      <c r="O23" s="133"/>
      <c r="P23" s="133"/>
      <c r="Q23" s="130"/>
    </row>
    <row r="24" spans="1:17" ht="20.100000000000001" customHeight="1" x14ac:dyDescent="0.25">
      <c r="A24" s="130" t="str">
        <f t="shared" ca="1" si="3"/>
        <v>a1GDm000000XmktMAC</v>
      </c>
      <c r="B24" s="601">
        <v>1</v>
      </c>
      <c r="C24" s="603" t="str">
        <f>IFERROR(VLOOKUP(B24,'Impact Indicators - Section B '!$A$9:$AC$68,29,FALSE),"")</f>
        <v>HIV I-4 Number of AIDS-related deaths per 100,000 population</v>
      </c>
      <c r="D24" s="605" t="str">
        <f>M24</f>
        <v>Age</v>
      </c>
      <c r="E24" s="605" t="str">
        <f>N24</f>
        <v>&lt;5</v>
      </c>
      <c r="F24" s="131">
        <v>2</v>
      </c>
      <c r="G24" s="607" t="str">
        <f ca="1">IF(OR(INDIRECT("'update Helper'!E"&amp;Q24)="",F24&lt;&gt;0,F25&lt;&gt;0),IF(IFERROR((F24/F25),"")="","",(F24/F25)),INDIRECT("'update Helper'!E"&amp;Q24)/100)</f>
        <v/>
      </c>
      <c r="H24" s="597">
        <v>2021</v>
      </c>
      <c r="I24" s="599" t="s">
        <v>2201</v>
      </c>
      <c r="J24" s="531" t="s">
        <v>2218</v>
      </c>
      <c r="K24" s="130">
        <f>IF(AND(EXACT(C24,C22),C22&lt;&gt;0),K22+1,0)</f>
        <v>7</v>
      </c>
      <c r="L24" s="130" t="str">
        <f>IF(C24&lt;&gt;"",C24&amp;"-"&amp;K24,"")</f>
        <v>HIV I-4 Number of AIDS-related deaths per 100,000 population-7</v>
      </c>
      <c r="M24" s="130" t="str">
        <f t="array" ref="M24">IFERROR(IF(INDEX('Disaggregation Records'!$E$3:$E$80,MATCH(RIGHT(L24,255),RIGHT('Disaggregation Records'!$D$3:$D$80,255),0))="","",INDEX('Disaggregation Records'!$E$3:$E$80,MATCH(RIGHT(L24,255),RIGHT('Disaggregation Records'!$D$3:$D$80,255),0))),"")</f>
        <v>Age</v>
      </c>
      <c r="N24" s="130" t="str">
        <f t="array" ref="N24">IFERROR(IF(INDEX('Disaggregation Records'!$F$3:$F$80,MATCH(RIGHT(L24,255),RIGHT('Disaggregation Records'!$D$3:$D$80,255),0))="","",INDEX('Disaggregation Records'!$F$3:$F$80,MATCH(RIGHT(L24,255),RIGHT('Disaggregation Records'!$D$3:$D$80,255),0))),"")</f>
        <v>&lt;5</v>
      </c>
      <c r="O24" s="130" t="str">
        <f t="array" ref="O24">IFERROR(IF(INDEX('Disaggregation Records'!$H$3:$H$80,MATCH(RIGHT(L24,255),RIGHT('Disaggregation Records'!$D$3:$D$80,255),0))="","",INDEX('Disaggregation Records'!$H$3:$H$80,MATCH(RIGHT(L24,255),RIGHT('Disaggregation Records'!$D$3:$D$80,255),0))),"")</f>
        <v>IDR-01039</v>
      </c>
      <c r="Q24" s="52">
        <f t="shared" ref="Q24" si="10">Q22+1</f>
        <v>1198</v>
      </c>
    </row>
    <row r="25" spans="1:17" ht="20.100000000000001" customHeight="1" x14ac:dyDescent="0.25">
      <c r="B25" s="602"/>
      <c r="C25" s="604"/>
      <c r="D25" s="606"/>
      <c r="E25" s="606"/>
      <c r="F25" s="132"/>
      <c r="G25" s="608"/>
      <c r="H25" s="598"/>
      <c r="I25" s="600"/>
      <c r="J25" s="532"/>
      <c r="K25" s="133"/>
      <c r="L25" s="133"/>
      <c r="M25" s="133"/>
      <c r="N25" s="133"/>
      <c r="O25" s="133"/>
      <c r="Q25" s="130"/>
    </row>
    <row r="26" spans="1:17" ht="20.100000000000001" customHeight="1" x14ac:dyDescent="0.25">
      <c r="A26" s="130" t="str">
        <f t="shared" ref="A26" ca="1" si="11">INDIRECT("'update Helper'!C"&amp;Q26)</f>
        <v>a1GDm000000XmkuMAC</v>
      </c>
      <c r="B26" s="601">
        <v>1</v>
      </c>
      <c r="C26" s="603" t="str">
        <f>IFERROR(VLOOKUP(B26,'Impact Indicators - Section B '!$A$9:$AC$68,29,FALSE),"")</f>
        <v>HIV I-4 Number of AIDS-related deaths per 100,000 population</v>
      </c>
      <c r="D26" s="605" t="str">
        <f>M26</f>
        <v>Gender</v>
      </c>
      <c r="E26" s="605" t="str">
        <f>N26</f>
        <v>Female</v>
      </c>
      <c r="F26" s="131">
        <v>12</v>
      </c>
      <c r="G26" s="607" t="str">
        <f ca="1">IF(OR(INDIRECT("'update Helper'!E"&amp;Q26)="",F26&lt;&gt;0,F27&lt;&gt;0),IF(IFERROR((F26/F27),"")="","",(F26/F27)),INDIRECT("'update Helper'!E"&amp;Q26)/100)</f>
        <v/>
      </c>
      <c r="H26" s="597">
        <v>2021</v>
      </c>
      <c r="I26" s="599" t="s">
        <v>2201</v>
      </c>
      <c r="J26" s="531" t="s">
        <v>2218</v>
      </c>
      <c r="K26" s="130">
        <f>IF(AND(EXACT(C26,C24),C24&lt;&gt;0),K24+1,0)</f>
        <v>8</v>
      </c>
      <c r="L26" s="130" t="str">
        <f>IF(C26&lt;&gt;"",C26&amp;"-"&amp;K26,"")</f>
        <v>HIV I-4 Number of AIDS-related deaths per 100,000 population-8</v>
      </c>
      <c r="M26" s="130" t="str">
        <f t="array" ref="M26">IFERROR(IF(INDEX('Disaggregation Records'!$E$3:$E$80,MATCH(RIGHT(L26,255),RIGHT('Disaggregation Records'!$D$3:$D$80,255),0))="","",INDEX('Disaggregation Records'!$E$3:$E$80,MATCH(RIGHT(L26,255),RIGHT('Disaggregation Records'!$D$3:$D$80,255),0))),"")</f>
        <v>Gender</v>
      </c>
      <c r="N26" s="130" t="str">
        <f t="array" ref="N26">IFERROR(IF(INDEX('Disaggregation Records'!$F$3:$F$80,MATCH(RIGHT(L26,255),RIGHT('Disaggregation Records'!$D$3:$D$80,255),0))="","",INDEX('Disaggregation Records'!$F$3:$F$80,MATCH(RIGHT(L26,255),RIGHT('Disaggregation Records'!$D$3:$D$80,255),0))),"")</f>
        <v>Female</v>
      </c>
      <c r="O26" s="130" t="str">
        <f t="array" ref="O26">IFERROR(IF(INDEX('Disaggregation Records'!$H$3:$H$80,MATCH(RIGHT(L26,255),RIGHT('Disaggregation Records'!$D$3:$D$80,255),0))="","",INDEX('Disaggregation Records'!$H$3:$H$80,MATCH(RIGHT(L26,255),RIGHT('Disaggregation Records'!$D$3:$D$80,255),0))),"")</f>
        <v>IDR-01038</v>
      </c>
      <c r="P26" s="130"/>
      <c r="Q26" s="52">
        <f t="shared" ref="Q26" si="12">Q24+1</f>
        <v>1199</v>
      </c>
    </row>
    <row r="27" spans="1:17" ht="20.100000000000001" customHeight="1" x14ac:dyDescent="0.25">
      <c r="A27" s="130"/>
      <c r="B27" s="602"/>
      <c r="C27" s="604"/>
      <c r="D27" s="606"/>
      <c r="E27" s="606"/>
      <c r="F27" s="132"/>
      <c r="G27" s="608"/>
      <c r="H27" s="598"/>
      <c r="I27" s="600"/>
      <c r="J27" s="532"/>
      <c r="K27" s="133"/>
      <c r="L27" s="133"/>
      <c r="M27" s="133"/>
      <c r="N27" s="133"/>
      <c r="O27" s="133"/>
      <c r="P27" s="133"/>
      <c r="Q27" s="130"/>
    </row>
    <row r="28" spans="1:17" ht="20.100000000000001" customHeight="1" x14ac:dyDescent="0.25">
      <c r="A28" s="130" t="str">
        <f t="shared" ca="1" si="3"/>
        <v>a1GDm000000XmkvMAC</v>
      </c>
      <c r="B28" s="601">
        <v>1</v>
      </c>
      <c r="C28" s="603" t="str">
        <f>IFERROR(VLOOKUP(B28,'Impact Indicators - Section B '!$A$9:$AC$68,29,FALSE),"")</f>
        <v>HIV I-4 Number of AIDS-related deaths per 100,000 population</v>
      </c>
      <c r="D28" s="605" t="str">
        <f>M28</f>
        <v/>
      </c>
      <c r="E28" s="605" t="str">
        <f>N28</f>
        <v/>
      </c>
      <c r="F28" s="131"/>
      <c r="G28" s="607" t="str">
        <f ca="1">IF(OR(INDIRECT("'update Helper'!E"&amp;Q28)="",F28&lt;&gt;0,F29&lt;&gt;0),IF(IFERROR((F28/F29),"")="","",(F28/F29)),INDIRECT("'update Helper'!E"&amp;Q28)/100)</f>
        <v/>
      </c>
      <c r="H28" s="597"/>
      <c r="I28" s="599"/>
      <c r="J28" s="531"/>
      <c r="K28" s="130">
        <f>IF(AND(EXACT(C28,C26),C26&lt;&gt;0),K26+1,0)</f>
        <v>9</v>
      </c>
      <c r="L28" s="130" t="str">
        <f>IF(C28&lt;&gt;"",C28&amp;"-"&amp;K28,"")</f>
        <v>HIV I-4 Number of AIDS-related deaths per 100,000 population-9</v>
      </c>
      <c r="M28" s="130" t="str">
        <f t="array" ref="M28">IFERROR(IF(INDEX('Disaggregation Records'!$E$3:$E$80,MATCH(RIGHT(L28,255),RIGHT('Disaggregation Records'!$D$3:$D$80,255),0))="","",INDEX('Disaggregation Records'!$E$3:$E$80,MATCH(RIGHT(L28,255),RIGHT('Disaggregation Records'!$D$3:$D$80,255),0))),"")</f>
        <v/>
      </c>
      <c r="N28" s="130" t="str">
        <f t="array" ref="N28">IFERROR(IF(INDEX('Disaggregation Records'!$F$3:$F$80,MATCH(RIGHT(L28,255),RIGHT('Disaggregation Records'!$D$3:$D$80,255),0))="","",INDEX('Disaggregation Records'!$F$3:$F$80,MATCH(RIGHT(L28,255),RIGHT('Disaggregation Records'!$D$3:$D$80,255),0))),"")</f>
        <v/>
      </c>
      <c r="O28" s="130" t="str">
        <f t="array" ref="O28">IFERROR(IF(INDEX('Disaggregation Records'!$H$3:$H$80,MATCH(RIGHT(L28,255),RIGHT('Disaggregation Records'!$D$3:$D$80,255),0))="","",INDEX('Disaggregation Records'!$H$3:$H$80,MATCH(RIGHT(L28,255),RIGHT('Disaggregation Records'!$D$3:$D$80,255),0))),"")</f>
        <v/>
      </c>
      <c r="Q28" s="52">
        <f t="shared" ref="Q28" si="13">Q26+1</f>
        <v>1200</v>
      </c>
    </row>
    <row r="29" spans="1:17" ht="20.100000000000001" customHeight="1" x14ac:dyDescent="0.25">
      <c r="B29" s="602"/>
      <c r="C29" s="604"/>
      <c r="D29" s="606"/>
      <c r="E29" s="606"/>
      <c r="F29" s="132"/>
      <c r="G29" s="608"/>
      <c r="H29" s="598"/>
      <c r="I29" s="600"/>
      <c r="J29" s="532"/>
      <c r="K29" s="133"/>
      <c r="L29" s="133"/>
      <c r="M29" s="133"/>
      <c r="N29" s="133"/>
      <c r="O29" s="133"/>
      <c r="Q29" s="130"/>
    </row>
    <row r="30" spans="1:17" ht="20.100000000000001" customHeight="1" x14ac:dyDescent="0.25">
      <c r="A30" s="130" t="str">
        <f t="shared" ref="A30" ca="1" si="14">INDIRECT("'update Helper'!C"&amp;Q30)</f>
        <v>a1GDm000000XmkwMAC</v>
      </c>
      <c r="B30" s="601">
        <v>2</v>
      </c>
      <c r="C30" s="603" t="str">
        <f>IFERROR(VLOOKUP(B30,'Impact Indicators - Section B '!$A$9:$AC$68,29,FALSE),"")</f>
        <v>HIV I-9a⁽ᴹ⁾ Percentage of men who have sex with men who are living with HIV</v>
      </c>
      <c r="D30" s="605" t="str">
        <f>M30</f>
        <v>Age</v>
      </c>
      <c r="E30" s="605" t="str">
        <f>N30</f>
        <v>25+</v>
      </c>
      <c r="F30" s="131">
        <v>29</v>
      </c>
      <c r="G30" s="607">
        <f ca="1">IF(OR(INDIRECT("'update Helper'!E"&amp;Q30)="",F30&lt;&gt;0,F31&lt;&gt;0),IF(IFERROR((F30/F31),"")="","",(F30/F31)),INDIRECT("'update Helper'!E"&amp;Q30)/100)</f>
        <v>0.23015873015873015</v>
      </c>
      <c r="H30" s="597">
        <v>2021</v>
      </c>
      <c r="I30" s="599" t="s">
        <v>2219</v>
      </c>
      <c r="J30" s="531" t="s">
        <v>2220</v>
      </c>
      <c r="K30" s="130">
        <f>IF(AND(EXACT(C30,C28),C28&lt;&gt;0),K28+1,0)</f>
        <v>0</v>
      </c>
      <c r="L30" s="130" t="str">
        <f>IF(C30&lt;&gt;"",C30&amp;"-"&amp;K30,"")</f>
        <v>HIV I-9a⁽ᴹ⁾ Percentage of men who have sex with men who are living with HIV-0</v>
      </c>
      <c r="M30" s="130" t="str">
        <f t="array" ref="M30">IFERROR(IF(INDEX('Disaggregation Records'!$E$3:$E$80,MATCH(RIGHT(L30,255),RIGHT('Disaggregation Records'!$D$3:$D$80,255),0))="","",INDEX('Disaggregation Records'!$E$3:$E$80,MATCH(RIGHT(L30,255),RIGHT('Disaggregation Records'!$D$3:$D$80,255),0))),"")</f>
        <v>Age</v>
      </c>
      <c r="N30" s="130" t="str">
        <f t="array" ref="N30">IFERROR(IF(INDEX('Disaggregation Records'!$F$3:$F$80,MATCH(RIGHT(L30,255),RIGHT('Disaggregation Records'!$D$3:$D$80,255),0))="","",INDEX('Disaggregation Records'!$F$3:$F$80,MATCH(RIGHT(L30,255),RIGHT('Disaggregation Records'!$D$3:$D$80,255),0))),"")</f>
        <v>25+</v>
      </c>
      <c r="O30" s="130" t="str">
        <f t="array" ref="O30">IFERROR(IF(INDEX('Disaggregation Records'!$H$3:$H$80,MATCH(RIGHT(L30,255),RIGHT('Disaggregation Records'!$D$3:$D$80,255),0))="","",INDEX('Disaggregation Records'!$H$3:$H$80,MATCH(RIGHT(L30,255),RIGHT('Disaggregation Records'!$D$3:$D$80,255),0))),"")</f>
        <v>IDR-01048</v>
      </c>
      <c r="P30" s="130"/>
      <c r="Q30" s="52">
        <f t="shared" ref="Q30" si="15">Q28+1</f>
        <v>1201</v>
      </c>
    </row>
    <row r="31" spans="1:17" ht="20.100000000000001" customHeight="1" x14ac:dyDescent="0.25">
      <c r="A31" s="130"/>
      <c r="B31" s="602"/>
      <c r="C31" s="604"/>
      <c r="D31" s="606"/>
      <c r="E31" s="606"/>
      <c r="F31" s="132">
        <v>126</v>
      </c>
      <c r="G31" s="608"/>
      <c r="H31" s="598"/>
      <c r="I31" s="600"/>
      <c r="J31" s="532"/>
      <c r="K31" s="133"/>
      <c r="L31" s="133"/>
      <c r="M31" s="133"/>
      <c r="N31" s="133"/>
      <c r="O31" s="133"/>
      <c r="P31" s="133"/>
      <c r="Q31" s="130"/>
    </row>
    <row r="32" spans="1:17" ht="20.100000000000001" customHeight="1" x14ac:dyDescent="0.25">
      <c r="A32" s="130" t="str">
        <f t="shared" ca="1" si="3"/>
        <v>a1GDm000000XmkxMAC</v>
      </c>
      <c r="B32" s="601">
        <v>2</v>
      </c>
      <c r="C32" s="603" t="str">
        <f>IFERROR(VLOOKUP(B32,'Impact Indicators - Section B '!$A$9:$AC$68,29,FALSE),"")</f>
        <v>HIV I-9a⁽ᴹ⁾ Percentage of men who have sex with men who are living with HIV</v>
      </c>
      <c r="D32" s="605" t="str">
        <f>M32</f>
        <v>Age</v>
      </c>
      <c r="E32" s="605" t="str">
        <f>N32</f>
        <v>&lt;25</v>
      </c>
      <c r="F32" s="131">
        <v>5</v>
      </c>
      <c r="G32" s="607">
        <f ca="1">IF(OR(INDIRECT("'update Helper'!E"&amp;Q32)="",F32&lt;&gt;0,F33&lt;&gt;0),IF(IFERROR((F32/F33),"")="","",(F32/F33)),INDIRECT("'update Helper'!E"&amp;Q32)/100)</f>
        <v>4.1666666666666664E-2</v>
      </c>
      <c r="H32" s="597">
        <v>2021</v>
      </c>
      <c r="I32" s="599" t="s">
        <v>2219</v>
      </c>
      <c r="J32" s="531" t="s">
        <v>2220</v>
      </c>
      <c r="K32" s="130">
        <f>IF(AND(EXACT(C32,C30),C30&lt;&gt;0),K30+1,0)</f>
        <v>1</v>
      </c>
      <c r="L32" s="130" t="str">
        <f>IF(C32&lt;&gt;"",C32&amp;"-"&amp;K32,"")</f>
        <v>HIV I-9a⁽ᴹ⁾ Percentage of men who have sex with men who are living with HIV-1</v>
      </c>
      <c r="M32" s="130" t="str">
        <f t="array" ref="M32">IFERROR(IF(INDEX('Disaggregation Records'!$E$3:$E$80,MATCH(RIGHT(L32,255),RIGHT('Disaggregation Records'!$D$3:$D$80,255),0))="","",INDEX('Disaggregation Records'!$E$3:$E$80,MATCH(RIGHT(L32,255),RIGHT('Disaggregation Records'!$D$3:$D$80,255),0))),"")</f>
        <v>Age</v>
      </c>
      <c r="N32" s="130" t="str">
        <f t="array" ref="N32">IFERROR(IF(INDEX('Disaggregation Records'!$F$3:$F$80,MATCH(RIGHT(L32,255),RIGHT('Disaggregation Records'!$D$3:$D$80,255),0))="","",INDEX('Disaggregation Records'!$F$3:$F$80,MATCH(RIGHT(L32,255),RIGHT('Disaggregation Records'!$D$3:$D$80,255),0))),"")</f>
        <v>&lt;25</v>
      </c>
      <c r="O32" s="130" t="str">
        <f t="array" ref="O32">IFERROR(IF(INDEX('Disaggregation Records'!$H$3:$H$80,MATCH(RIGHT(L32,255),RIGHT('Disaggregation Records'!$D$3:$D$80,255),0))="","",INDEX('Disaggregation Records'!$H$3:$H$80,MATCH(RIGHT(L32,255),RIGHT('Disaggregation Records'!$D$3:$D$80,255),0))),"")</f>
        <v>IDR-01047</v>
      </c>
      <c r="Q32" s="52">
        <f t="shared" ref="Q32" si="16">Q30+1</f>
        <v>1202</v>
      </c>
    </row>
    <row r="33" spans="1:17" ht="20.100000000000001" customHeight="1" x14ac:dyDescent="0.25">
      <c r="B33" s="602"/>
      <c r="C33" s="604"/>
      <c r="D33" s="606"/>
      <c r="E33" s="606"/>
      <c r="F33" s="132">
        <v>120</v>
      </c>
      <c r="G33" s="608"/>
      <c r="H33" s="598"/>
      <c r="I33" s="600"/>
      <c r="J33" s="532"/>
      <c r="K33" s="133"/>
      <c r="L33" s="133"/>
      <c r="M33" s="133"/>
      <c r="N33" s="133"/>
      <c r="O33" s="133"/>
      <c r="Q33" s="130"/>
    </row>
    <row r="34" spans="1:17" ht="20.100000000000001" customHeight="1" x14ac:dyDescent="0.25">
      <c r="A34" s="130" t="str">
        <f t="shared" ref="A34" ca="1" si="17">INDIRECT("'update Helper'!C"&amp;Q34)</f>
        <v>a1GDm000000XmkyMAC</v>
      </c>
      <c r="B34" s="601">
        <v>2</v>
      </c>
      <c r="C34" s="603" t="str">
        <f>IFERROR(VLOOKUP(B34,'Impact Indicators - Section B '!$A$9:$AC$68,29,FALSE),"")</f>
        <v>HIV I-9a⁽ᴹ⁾ Percentage of men who have sex with men who are living with HIV</v>
      </c>
      <c r="D34" s="605" t="str">
        <f>M34</f>
        <v/>
      </c>
      <c r="E34" s="605" t="str">
        <f>N34</f>
        <v/>
      </c>
      <c r="F34" s="131"/>
      <c r="G34" s="607" t="str">
        <f ca="1">IF(OR(INDIRECT("'update Helper'!E"&amp;Q34)="",F34&lt;&gt;0,F35&lt;&gt;0),IF(IFERROR((F34/F35),"")="","",(F34/F35)),INDIRECT("'update Helper'!E"&amp;Q34)/100)</f>
        <v/>
      </c>
      <c r="H34" s="597"/>
      <c r="I34" s="599"/>
      <c r="J34" s="531"/>
      <c r="K34" s="130">
        <f>IF(AND(EXACT(C34,C32),C32&lt;&gt;0),K32+1,0)</f>
        <v>2</v>
      </c>
      <c r="L34" s="130" t="str">
        <f>IF(C34&lt;&gt;"",C34&amp;"-"&amp;K34,"")</f>
        <v>HIV I-9a⁽ᴹ⁾ Percentage of men who have sex with men who are living with HIV-2</v>
      </c>
      <c r="M34" s="130" t="str">
        <f t="array" ref="M34">IFERROR(IF(INDEX('Disaggregation Records'!$E$3:$E$80,MATCH(RIGHT(L34,255),RIGHT('Disaggregation Records'!$D$3:$D$80,255),0))="","",INDEX('Disaggregation Records'!$E$3:$E$80,MATCH(RIGHT(L34,255),RIGHT('Disaggregation Records'!$D$3:$D$80,255),0))),"")</f>
        <v/>
      </c>
      <c r="N34" s="130" t="str">
        <f t="array" ref="N34">IFERROR(IF(INDEX('Disaggregation Records'!$F$3:$F$80,MATCH(RIGHT(L34,255),RIGHT('Disaggregation Records'!$D$3:$D$80,255),0))="","",INDEX('Disaggregation Records'!$F$3:$F$80,MATCH(RIGHT(L34,255),RIGHT('Disaggregation Records'!$D$3:$D$80,255),0))),"")</f>
        <v/>
      </c>
      <c r="O34" s="130" t="str">
        <f t="array" ref="O34">IFERROR(IF(INDEX('Disaggregation Records'!$H$3:$H$80,MATCH(RIGHT(L34,255),RIGHT('Disaggregation Records'!$D$3:$D$80,255),0))="","",INDEX('Disaggregation Records'!$H$3:$H$80,MATCH(RIGHT(L34,255),RIGHT('Disaggregation Records'!$D$3:$D$80,255),0))),"")</f>
        <v/>
      </c>
      <c r="P34" s="130"/>
      <c r="Q34" s="52">
        <f t="shared" ref="Q34" si="18">Q32+1</f>
        <v>1203</v>
      </c>
    </row>
    <row r="35" spans="1:17" ht="20.100000000000001" customHeight="1" x14ac:dyDescent="0.25">
      <c r="A35" s="130"/>
      <c r="B35" s="602"/>
      <c r="C35" s="604"/>
      <c r="D35" s="606"/>
      <c r="E35" s="606"/>
      <c r="F35" s="132"/>
      <c r="G35" s="608"/>
      <c r="H35" s="598"/>
      <c r="I35" s="600"/>
      <c r="J35" s="532"/>
      <c r="K35" s="133"/>
      <c r="L35" s="133"/>
      <c r="M35" s="133"/>
      <c r="N35" s="133"/>
      <c r="O35" s="133"/>
      <c r="P35" s="133"/>
      <c r="Q35" s="130"/>
    </row>
    <row r="36" spans="1:17" ht="20.100000000000001" customHeight="1" x14ac:dyDescent="0.25">
      <c r="A36" s="130" t="str">
        <f t="shared" ca="1" si="3"/>
        <v>a1GDm000000XmkzMAC</v>
      </c>
      <c r="B36" s="601">
        <v>2</v>
      </c>
      <c r="C36" s="603" t="str">
        <f>IFERROR(VLOOKUP(B36,'Impact Indicators - Section B '!$A$9:$AC$68,29,FALSE),"")</f>
        <v>HIV I-9a⁽ᴹ⁾ Percentage of men who have sex with men who are living with HIV</v>
      </c>
      <c r="D36" s="605" t="str">
        <f>M36</f>
        <v/>
      </c>
      <c r="E36" s="605" t="str">
        <f>N36</f>
        <v/>
      </c>
      <c r="F36" s="131"/>
      <c r="G36" s="607" t="str">
        <f ca="1">IF(OR(INDIRECT("'update Helper'!E"&amp;Q36)="",F36&lt;&gt;0,F37&lt;&gt;0),IF(IFERROR((F36/F37),"")="","",(F36/F37)),INDIRECT("'update Helper'!E"&amp;Q36)/100)</f>
        <v/>
      </c>
      <c r="H36" s="597"/>
      <c r="I36" s="599"/>
      <c r="J36" s="531"/>
      <c r="K36" s="130">
        <f>IF(AND(EXACT(C36,C34),C34&lt;&gt;0),K34+1,0)</f>
        <v>3</v>
      </c>
      <c r="L36" s="130" t="str">
        <f>IF(C36&lt;&gt;"",C36&amp;"-"&amp;K36,"")</f>
        <v>HIV I-9a⁽ᴹ⁾ Percentage of men who have sex with men who are living with HIV-3</v>
      </c>
      <c r="M36" s="130" t="str">
        <f t="array" ref="M36">IFERROR(IF(INDEX('Disaggregation Records'!$E$3:$E$80,MATCH(RIGHT(L36,255),RIGHT('Disaggregation Records'!$D$3:$D$80,255),0))="","",INDEX('Disaggregation Records'!$E$3:$E$80,MATCH(RIGHT(L36,255),RIGHT('Disaggregation Records'!$D$3:$D$80,255),0))),"")</f>
        <v/>
      </c>
      <c r="N36" s="130" t="str">
        <f t="array" ref="N36">IFERROR(IF(INDEX('Disaggregation Records'!$F$3:$F$80,MATCH(RIGHT(L36,255),RIGHT('Disaggregation Records'!$D$3:$D$80,255),0))="","",INDEX('Disaggregation Records'!$F$3:$F$80,MATCH(RIGHT(L36,255),RIGHT('Disaggregation Records'!$D$3:$D$80,255),0))),"")</f>
        <v/>
      </c>
      <c r="O36" s="130" t="str">
        <f t="array" ref="O36">IFERROR(IF(INDEX('Disaggregation Records'!$H$3:$H$80,MATCH(RIGHT(L36,255),RIGHT('Disaggregation Records'!$D$3:$D$80,255),0))="","",INDEX('Disaggregation Records'!$H$3:$H$80,MATCH(RIGHT(L36,255),RIGHT('Disaggregation Records'!$D$3:$D$80,255),0))),"")</f>
        <v/>
      </c>
      <c r="Q36" s="52">
        <f t="shared" ref="Q36" si="19">Q34+1</f>
        <v>1204</v>
      </c>
    </row>
    <row r="37" spans="1:17" ht="20.100000000000001" customHeight="1" x14ac:dyDescent="0.25">
      <c r="B37" s="602"/>
      <c r="C37" s="604"/>
      <c r="D37" s="606"/>
      <c r="E37" s="606"/>
      <c r="F37" s="132"/>
      <c r="G37" s="608"/>
      <c r="H37" s="598"/>
      <c r="I37" s="600"/>
      <c r="J37" s="532"/>
      <c r="K37" s="133"/>
      <c r="L37" s="133"/>
      <c r="M37" s="133"/>
      <c r="N37" s="133"/>
      <c r="O37" s="133"/>
      <c r="Q37" s="130"/>
    </row>
    <row r="38" spans="1:17" ht="20.100000000000001" customHeight="1" x14ac:dyDescent="0.25">
      <c r="A38" s="130" t="str">
        <f t="shared" ref="A38" ca="1" si="20">INDIRECT("'update Helper'!C"&amp;Q38)</f>
        <v>a1GDm000000Xml0MAC</v>
      </c>
      <c r="B38" s="601">
        <v>2</v>
      </c>
      <c r="C38" s="603" t="str">
        <f>IFERROR(VLOOKUP(B38,'Impact Indicators - Section B '!$A$9:$AC$68,29,FALSE),"")</f>
        <v>HIV I-9a⁽ᴹ⁾ Percentage of men who have sex with men who are living with HIV</v>
      </c>
      <c r="D38" s="605" t="str">
        <f>M38</f>
        <v/>
      </c>
      <c r="E38" s="605" t="str">
        <f>N38</f>
        <v/>
      </c>
      <c r="F38" s="131"/>
      <c r="G38" s="607" t="str">
        <f ca="1">IF(OR(INDIRECT("'update Helper'!E"&amp;Q38)="",F38&lt;&gt;0,F39&lt;&gt;0),IF(IFERROR((F38/F39),"")="","",(F38/F39)),INDIRECT("'update Helper'!E"&amp;Q38)/100)</f>
        <v/>
      </c>
      <c r="H38" s="597"/>
      <c r="I38" s="599"/>
      <c r="J38" s="531"/>
      <c r="K38" s="130">
        <f>IF(AND(EXACT(C38,C36),C36&lt;&gt;0),K36+1,0)</f>
        <v>4</v>
      </c>
      <c r="L38" s="130" t="str">
        <f>IF(C38&lt;&gt;"",C38&amp;"-"&amp;K38,"")</f>
        <v>HIV I-9a⁽ᴹ⁾ Percentage of men who have sex with men who are living with HIV-4</v>
      </c>
      <c r="M38" s="130" t="str">
        <f t="array" ref="M38">IFERROR(IF(INDEX('Disaggregation Records'!$E$3:$E$80,MATCH(RIGHT(L38,255),RIGHT('Disaggregation Records'!$D$3:$D$80,255),0))="","",INDEX('Disaggregation Records'!$E$3:$E$80,MATCH(RIGHT(L38,255),RIGHT('Disaggregation Records'!$D$3:$D$80,255),0))),"")</f>
        <v/>
      </c>
      <c r="N38" s="130" t="str">
        <f t="array" ref="N38">IFERROR(IF(INDEX('Disaggregation Records'!$F$3:$F$80,MATCH(RIGHT(L38,255),RIGHT('Disaggregation Records'!$D$3:$D$80,255),0))="","",INDEX('Disaggregation Records'!$F$3:$F$80,MATCH(RIGHT(L38,255),RIGHT('Disaggregation Records'!$D$3:$D$80,255),0))),"")</f>
        <v/>
      </c>
      <c r="O38" s="130" t="str">
        <f t="array" ref="O38">IFERROR(IF(INDEX('Disaggregation Records'!$H$3:$H$80,MATCH(RIGHT(L38,255),RIGHT('Disaggregation Records'!$D$3:$D$80,255),0))="","",INDEX('Disaggregation Records'!$H$3:$H$80,MATCH(RIGHT(L38,255),RIGHT('Disaggregation Records'!$D$3:$D$80,255),0))),"")</f>
        <v/>
      </c>
      <c r="P38" s="130"/>
      <c r="Q38" s="52">
        <f t="shared" ref="Q38" si="21">Q36+1</f>
        <v>1205</v>
      </c>
    </row>
    <row r="39" spans="1:17" ht="20.100000000000001" customHeight="1" x14ac:dyDescent="0.25">
      <c r="A39" s="130"/>
      <c r="B39" s="602"/>
      <c r="C39" s="604"/>
      <c r="D39" s="606"/>
      <c r="E39" s="606"/>
      <c r="F39" s="132"/>
      <c r="G39" s="608"/>
      <c r="H39" s="598"/>
      <c r="I39" s="600"/>
      <c r="J39" s="532"/>
      <c r="K39" s="133"/>
      <c r="L39" s="133"/>
      <c r="M39" s="133"/>
      <c r="N39" s="133"/>
      <c r="O39" s="133"/>
      <c r="P39" s="133"/>
      <c r="Q39" s="130"/>
    </row>
    <row r="40" spans="1:17" ht="20.100000000000001" customHeight="1" x14ac:dyDescent="0.25">
      <c r="A40" s="130" t="str">
        <f t="shared" ca="1" si="3"/>
        <v>a1GDm000000Xml1MAC</v>
      </c>
      <c r="B40" s="601">
        <v>2</v>
      </c>
      <c r="C40" s="603" t="str">
        <f>IFERROR(VLOOKUP(B40,'Impact Indicators - Section B '!$A$9:$AC$68,29,FALSE),"")</f>
        <v>HIV I-9a⁽ᴹ⁾ Percentage of men who have sex with men who are living with HIV</v>
      </c>
      <c r="D40" s="605" t="str">
        <f>M40</f>
        <v/>
      </c>
      <c r="E40" s="605" t="str">
        <f>N40</f>
        <v/>
      </c>
      <c r="F40" s="131"/>
      <c r="G40" s="607" t="str">
        <f ca="1">IF(OR(INDIRECT("'update Helper'!E"&amp;Q40)="",F40&lt;&gt;0,F41&lt;&gt;0),IF(IFERROR((F40/F41),"")="","",(F40/F41)),INDIRECT("'update Helper'!E"&amp;Q40)/100)</f>
        <v/>
      </c>
      <c r="H40" s="597"/>
      <c r="I40" s="599"/>
      <c r="J40" s="531"/>
      <c r="K40" s="130">
        <f>IF(AND(EXACT(C40,C38),C38&lt;&gt;0),K38+1,0)</f>
        <v>5</v>
      </c>
      <c r="L40" s="130" t="str">
        <f>IF(C40&lt;&gt;"",C40&amp;"-"&amp;K40,"")</f>
        <v>HIV I-9a⁽ᴹ⁾ Percentage of men who have sex with men who are living with HIV-5</v>
      </c>
      <c r="M40" s="130" t="str">
        <f t="array" ref="M40">IFERROR(IF(INDEX('Disaggregation Records'!$E$3:$E$80,MATCH(RIGHT(L40,255),RIGHT('Disaggregation Records'!$D$3:$D$80,255),0))="","",INDEX('Disaggregation Records'!$E$3:$E$80,MATCH(RIGHT(L40,255),RIGHT('Disaggregation Records'!$D$3:$D$80,255),0))),"")</f>
        <v/>
      </c>
      <c r="N40" s="130" t="str">
        <f t="array" ref="N40">IFERROR(IF(INDEX('Disaggregation Records'!$F$3:$F$80,MATCH(RIGHT(L40,255),RIGHT('Disaggregation Records'!$D$3:$D$80,255),0))="","",INDEX('Disaggregation Records'!$F$3:$F$80,MATCH(RIGHT(L40,255),RIGHT('Disaggregation Records'!$D$3:$D$80,255),0))),"")</f>
        <v/>
      </c>
      <c r="O40" s="130" t="str">
        <f t="array" ref="O40">IFERROR(IF(INDEX('Disaggregation Records'!$H$3:$H$80,MATCH(RIGHT(L40,255),RIGHT('Disaggregation Records'!$D$3:$D$80,255),0))="","",INDEX('Disaggregation Records'!$H$3:$H$80,MATCH(RIGHT(L40,255),RIGHT('Disaggregation Records'!$D$3:$D$80,255),0))),"")</f>
        <v/>
      </c>
      <c r="Q40" s="52">
        <f t="shared" ref="Q40" si="22">Q38+1</f>
        <v>1206</v>
      </c>
    </row>
    <row r="41" spans="1:17" ht="20.100000000000001" customHeight="1" x14ac:dyDescent="0.25">
      <c r="B41" s="602"/>
      <c r="C41" s="604"/>
      <c r="D41" s="606"/>
      <c r="E41" s="606"/>
      <c r="F41" s="132"/>
      <c r="G41" s="608"/>
      <c r="H41" s="598"/>
      <c r="I41" s="600"/>
      <c r="J41" s="532"/>
      <c r="K41" s="133"/>
      <c r="L41" s="133"/>
      <c r="M41" s="133"/>
      <c r="N41" s="133"/>
      <c r="O41" s="133"/>
      <c r="Q41" s="130"/>
    </row>
    <row r="42" spans="1:17" ht="20.100000000000001" customHeight="1" x14ac:dyDescent="0.25">
      <c r="A42" s="130" t="str">
        <f t="shared" ref="A42" ca="1" si="23">INDIRECT("'update Helper'!C"&amp;Q42)</f>
        <v>a1GDm000000Xml2MAC</v>
      </c>
      <c r="B42" s="601">
        <v>2</v>
      </c>
      <c r="C42" s="603" t="str">
        <f>IFERROR(VLOOKUP(B42,'Impact Indicators - Section B '!$A$9:$AC$68,29,FALSE),"")</f>
        <v>HIV I-9a⁽ᴹ⁾ Percentage of men who have sex with men who are living with HIV</v>
      </c>
      <c r="D42" s="605" t="str">
        <f>M42</f>
        <v/>
      </c>
      <c r="E42" s="605" t="str">
        <f>N42</f>
        <v/>
      </c>
      <c r="F42" s="131"/>
      <c r="G42" s="607" t="str">
        <f ca="1">IF(OR(INDIRECT("'update Helper'!E"&amp;Q42)="",F42&lt;&gt;0,F43&lt;&gt;0),IF(IFERROR((F42/F43),"")="","",(F42/F43)),INDIRECT("'update Helper'!E"&amp;Q42)/100)</f>
        <v/>
      </c>
      <c r="H42" s="597"/>
      <c r="I42" s="599"/>
      <c r="J42" s="531"/>
      <c r="K42" s="130">
        <f>IF(AND(EXACT(C42,C40),C40&lt;&gt;0),K40+1,0)</f>
        <v>6</v>
      </c>
      <c r="L42" s="130" t="str">
        <f>IF(C42&lt;&gt;"",C42&amp;"-"&amp;K42,"")</f>
        <v>HIV I-9a⁽ᴹ⁾ Percentage of men who have sex with men who are living with HIV-6</v>
      </c>
      <c r="M42" s="130" t="str">
        <f t="array" ref="M42">IFERROR(IF(INDEX('Disaggregation Records'!$E$3:$E$80,MATCH(RIGHT(L42,255),RIGHT('Disaggregation Records'!$D$3:$D$80,255),0))="","",INDEX('Disaggregation Records'!$E$3:$E$80,MATCH(RIGHT(L42,255),RIGHT('Disaggregation Records'!$D$3:$D$80,255),0))),"")</f>
        <v/>
      </c>
      <c r="N42" s="130" t="str">
        <f t="array" ref="N42">IFERROR(IF(INDEX('Disaggregation Records'!$F$3:$F$80,MATCH(RIGHT(L42,255),RIGHT('Disaggregation Records'!$D$3:$D$80,255),0))="","",INDEX('Disaggregation Records'!$F$3:$F$80,MATCH(RIGHT(L42,255),RIGHT('Disaggregation Records'!$D$3:$D$80,255),0))),"")</f>
        <v/>
      </c>
      <c r="O42" s="130" t="str">
        <f t="array" ref="O42">IFERROR(IF(INDEX('Disaggregation Records'!$H$3:$H$80,MATCH(RIGHT(L42,255),RIGHT('Disaggregation Records'!$D$3:$D$80,255),0))="","",INDEX('Disaggregation Records'!$H$3:$H$80,MATCH(RIGHT(L42,255),RIGHT('Disaggregation Records'!$D$3:$D$80,255),0))),"")</f>
        <v/>
      </c>
      <c r="P42" s="130"/>
      <c r="Q42" s="52">
        <f t="shared" ref="Q42" si="24">Q40+1</f>
        <v>1207</v>
      </c>
    </row>
    <row r="43" spans="1:17" ht="20.100000000000001" customHeight="1" x14ac:dyDescent="0.25">
      <c r="A43" s="130"/>
      <c r="B43" s="602"/>
      <c r="C43" s="604"/>
      <c r="D43" s="606"/>
      <c r="E43" s="606"/>
      <c r="F43" s="132"/>
      <c r="G43" s="608"/>
      <c r="H43" s="598"/>
      <c r="I43" s="600"/>
      <c r="J43" s="532"/>
      <c r="K43" s="133"/>
      <c r="L43" s="133"/>
      <c r="M43" s="133"/>
      <c r="N43" s="133"/>
      <c r="O43" s="133"/>
      <c r="P43" s="133"/>
      <c r="Q43" s="130"/>
    </row>
    <row r="44" spans="1:17" ht="20.100000000000001" customHeight="1" x14ac:dyDescent="0.25">
      <c r="A44" s="130" t="str">
        <f t="shared" ca="1" si="3"/>
        <v>a1GDm000000Xml3MAC</v>
      </c>
      <c r="B44" s="601">
        <v>2</v>
      </c>
      <c r="C44" s="603" t="str">
        <f>IFERROR(VLOOKUP(B44,'Impact Indicators - Section B '!$A$9:$AC$68,29,FALSE),"")</f>
        <v>HIV I-9a⁽ᴹ⁾ Percentage of men who have sex with men who are living with HIV</v>
      </c>
      <c r="D44" s="605" t="str">
        <f>M44</f>
        <v/>
      </c>
      <c r="E44" s="605" t="str">
        <f>N44</f>
        <v/>
      </c>
      <c r="F44" s="131"/>
      <c r="G44" s="607" t="str">
        <f ca="1">IF(OR(INDIRECT("'update Helper'!E"&amp;Q44)="",F44&lt;&gt;0,F45&lt;&gt;0),IF(IFERROR((F44/F45),"")="","",(F44/F45)),INDIRECT("'update Helper'!E"&amp;Q44)/100)</f>
        <v/>
      </c>
      <c r="H44" s="597"/>
      <c r="I44" s="599"/>
      <c r="J44" s="531"/>
      <c r="K44" s="130">
        <f>IF(AND(EXACT(C44,C42),C42&lt;&gt;0),K42+1,0)</f>
        <v>7</v>
      </c>
      <c r="L44" s="130" t="str">
        <f>IF(C44&lt;&gt;"",C44&amp;"-"&amp;K44,"")</f>
        <v>HIV I-9a⁽ᴹ⁾ Percentage of men who have sex with men who are living with HIV-7</v>
      </c>
      <c r="M44" s="130" t="str">
        <f t="array" ref="M44">IFERROR(IF(INDEX('Disaggregation Records'!$E$3:$E$80,MATCH(RIGHT(L44,255),RIGHT('Disaggregation Records'!$D$3:$D$80,255),0))="","",INDEX('Disaggregation Records'!$E$3:$E$80,MATCH(RIGHT(L44,255),RIGHT('Disaggregation Records'!$D$3:$D$80,255),0))),"")</f>
        <v/>
      </c>
      <c r="N44" s="130" t="str">
        <f t="array" ref="N44">IFERROR(IF(INDEX('Disaggregation Records'!$F$3:$F$80,MATCH(RIGHT(L44,255),RIGHT('Disaggregation Records'!$D$3:$D$80,255),0))="","",INDEX('Disaggregation Records'!$F$3:$F$80,MATCH(RIGHT(L44,255),RIGHT('Disaggregation Records'!$D$3:$D$80,255),0))),"")</f>
        <v/>
      </c>
      <c r="O44" s="130" t="str">
        <f t="array" ref="O44">IFERROR(IF(INDEX('Disaggregation Records'!$H$3:$H$80,MATCH(RIGHT(L44,255),RIGHT('Disaggregation Records'!$D$3:$D$80,255),0))="","",INDEX('Disaggregation Records'!$H$3:$H$80,MATCH(RIGHT(L44,255),RIGHT('Disaggregation Records'!$D$3:$D$80,255),0))),"")</f>
        <v/>
      </c>
      <c r="Q44" s="52">
        <f t="shared" ref="Q44" si="25">Q42+1</f>
        <v>1208</v>
      </c>
    </row>
    <row r="45" spans="1:17" ht="20.100000000000001" customHeight="1" x14ac:dyDescent="0.25">
      <c r="B45" s="602"/>
      <c r="C45" s="604"/>
      <c r="D45" s="606"/>
      <c r="E45" s="606"/>
      <c r="F45" s="132"/>
      <c r="G45" s="608"/>
      <c r="H45" s="598"/>
      <c r="I45" s="600"/>
      <c r="J45" s="532"/>
      <c r="K45" s="133"/>
      <c r="L45" s="133"/>
      <c r="M45" s="133"/>
      <c r="N45" s="133"/>
      <c r="O45" s="133"/>
      <c r="Q45" s="130"/>
    </row>
    <row r="46" spans="1:17" ht="20.100000000000001" customHeight="1" x14ac:dyDescent="0.25">
      <c r="A46" s="130" t="str">
        <f t="shared" ref="A46" ca="1" si="26">INDIRECT("'update Helper'!C"&amp;Q46)</f>
        <v>a1GDm000000Xml4MAC</v>
      </c>
      <c r="B46" s="601">
        <v>2</v>
      </c>
      <c r="C46" s="603" t="str">
        <f>IFERROR(VLOOKUP(B46,'Impact Indicators - Section B '!$A$9:$AC$68,29,FALSE),"")</f>
        <v>HIV I-9a⁽ᴹ⁾ Percentage of men who have sex with men who are living with HIV</v>
      </c>
      <c r="D46" s="605" t="str">
        <f>M46</f>
        <v/>
      </c>
      <c r="E46" s="605" t="str">
        <f>N46</f>
        <v/>
      </c>
      <c r="F46" s="131"/>
      <c r="G46" s="607" t="str">
        <f ca="1">IF(OR(INDIRECT("'update Helper'!E"&amp;Q46)="",F46&lt;&gt;0,F47&lt;&gt;0),IF(IFERROR((F46/F47),"")="","",(F46/F47)),INDIRECT("'update Helper'!E"&amp;Q46)/100)</f>
        <v/>
      </c>
      <c r="H46" s="597"/>
      <c r="I46" s="599"/>
      <c r="J46" s="531"/>
      <c r="K46" s="130">
        <f>IF(AND(EXACT(C46,C44),C44&lt;&gt;0),K44+1,0)</f>
        <v>8</v>
      </c>
      <c r="L46" s="130" t="str">
        <f>IF(C46&lt;&gt;"",C46&amp;"-"&amp;K46,"")</f>
        <v>HIV I-9a⁽ᴹ⁾ Percentage of men who have sex with men who are living with HIV-8</v>
      </c>
      <c r="M46" s="130" t="str">
        <f t="array" ref="M46">IFERROR(IF(INDEX('Disaggregation Records'!$E$3:$E$80,MATCH(RIGHT(L46,255),RIGHT('Disaggregation Records'!$D$3:$D$80,255),0))="","",INDEX('Disaggregation Records'!$E$3:$E$80,MATCH(RIGHT(L46,255),RIGHT('Disaggregation Records'!$D$3:$D$80,255),0))),"")</f>
        <v/>
      </c>
      <c r="N46" s="130" t="str">
        <f t="array" ref="N46">IFERROR(IF(INDEX('Disaggregation Records'!$F$3:$F$80,MATCH(RIGHT(L46,255),RIGHT('Disaggregation Records'!$D$3:$D$80,255),0))="","",INDEX('Disaggregation Records'!$F$3:$F$80,MATCH(RIGHT(L46,255),RIGHT('Disaggregation Records'!$D$3:$D$80,255),0))),"")</f>
        <v/>
      </c>
      <c r="O46" s="130" t="str">
        <f t="array" ref="O46">IFERROR(IF(INDEX('Disaggregation Records'!$H$3:$H$80,MATCH(RIGHT(L46,255),RIGHT('Disaggregation Records'!$D$3:$D$80,255),0))="","",INDEX('Disaggregation Records'!$H$3:$H$80,MATCH(RIGHT(L46,255),RIGHT('Disaggregation Records'!$D$3:$D$80,255),0))),"")</f>
        <v/>
      </c>
      <c r="P46" s="130"/>
      <c r="Q46" s="52">
        <f t="shared" ref="Q46" si="27">Q44+1</f>
        <v>1209</v>
      </c>
    </row>
    <row r="47" spans="1:17" ht="20.100000000000001" customHeight="1" x14ac:dyDescent="0.25">
      <c r="A47" s="130"/>
      <c r="B47" s="602"/>
      <c r="C47" s="604"/>
      <c r="D47" s="606"/>
      <c r="E47" s="606"/>
      <c r="F47" s="132"/>
      <c r="G47" s="608"/>
      <c r="H47" s="598"/>
      <c r="I47" s="600"/>
      <c r="J47" s="532"/>
      <c r="K47" s="133"/>
      <c r="L47" s="133"/>
      <c r="M47" s="133"/>
      <c r="N47" s="133"/>
      <c r="O47" s="133"/>
      <c r="P47" s="133"/>
      <c r="Q47" s="130"/>
    </row>
    <row r="48" spans="1:17" ht="20.100000000000001" customHeight="1" x14ac:dyDescent="0.25">
      <c r="A48" s="130" t="str">
        <f t="shared" ca="1" si="3"/>
        <v>a1GDm000000Xml5MAC</v>
      </c>
      <c r="B48" s="601">
        <v>2</v>
      </c>
      <c r="C48" s="603" t="str">
        <f>IFERROR(VLOOKUP(B48,'Impact Indicators - Section B '!$A$9:$AC$68,29,FALSE),"")</f>
        <v>HIV I-9a⁽ᴹ⁾ Percentage of men who have sex with men who are living with HIV</v>
      </c>
      <c r="D48" s="605" t="str">
        <f>M48</f>
        <v/>
      </c>
      <c r="E48" s="605" t="str">
        <f>N48</f>
        <v/>
      </c>
      <c r="F48" s="131"/>
      <c r="G48" s="607" t="str">
        <f ca="1">IF(OR(INDIRECT("'update Helper'!E"&amp;Q48)="",F48&lt;&gt;0,F49&lt;&gt;0),IF(IFERROR((F48/F49),"")="","",(F48/F49)),INDIRECT("'update Helper'!E"&amp;Q48)/100)</f>
        <v/>
      </c>
      <c r="H48" s="597"/>
      <c r="I48" s="599"/>
      <c r="J48" s="531"/>
      <c r="K48" s="130">
        <f>IF(AND(EXACT(C48,C46),C46&lt;&gt;0),K46+1,0)</f>
        <v>9</v>
      </c>
      <c r="L48" s="130" t="str">
        <f>IF(C48&lt;&gt;"",C48&amp;"-"&amp;K48,"")</f>
        <v>HIV I-9a⁽ᴹ⁾ Percentage of men who have sex with men who are living with HIV-9</v>
      </c>
      <c r="M48" s="130" t="str">
        <f t="array" ref="M48">IFERROR(IF(INDEX('Disaggregation Records'!$E$3:$E$80,MATCH(RIGHT(L48,255),RIGHT('Disaggregation Records'!$D$3:$D$80,255),0))="","",INDEX('Disaggregation Records'!$E$3:$E$80,MATCH(RIGHT(L48,255),RIGHT('Disaggregation Records'!$D$3:$D$80,255),0))),"")</f>
        <v/>
      </c>
      <c r="N48" s="130" t="str">
        <f t="array" ref="N48">IFERROR(IF(INDEX('Disaggregation Records'!$F$3:$F$80,MATCH(RIGHT(L48,255),RIGHT('Disaggregation Records'!$D$3:$D$80,255),0))="","",INDEX('Disaggregation Records'!$F$3:$F$80,MATCH(RIGHT(L48,255),RIGHT('Disaggregation Records'!$D$3:$D$80,255),0))),"")</f>
        <v/>
      </c>
      <c r="O48" s="130" t="str">
        <f t="array" ref="O48">IFERROR(IF(INDEX('Disaggregation Records'!$H$3:$H$80,MATCH(RIGHT(L48,255),RIGHT('Disaggregation Records'!$D$3:$D$80,255),0))="","",INDEX('Disaggregation Records'!$H$3:$H$80,MATCH(RIGHT(L48,255),RIGHT('Disaggregation Records'!$D$3:$D$80,255),0))),"")</f>
        <v/>
      </c>
      <c r="Q48" s="52">
        <f t="shared" ref="Q48" si="28">Q46+1</f>
        <v>1210</v>
      </c>
    </row>
    <row r="49" spans="1:17" ht="20.100000000000001" customHeight="1" x14ac:dyDescent="0.25">
      <c r="B49" s="602"/>
      <c r="C49" s="604"/>
      <c r="D49" s="606"/>
      <c r="E49" s="606"/>
      <c r="F49" s="132"/>
      <c r="G49" s="608"/>
      <c r="H49" s="598"/>
      <c r="I49" s="600"/>
      <c r="J49" s="532"/>
      <c r="K49" s="133"/>
      <c r="L49" s="133"/>
      <c r="M49" s="133"/>
      <c r="N49" s="133"/>
      <c r="O49" s="133"/>
      <c r="Q49" s="130"/>
    </row>
    <row r="50" spans="1:17" ht="20.100000000000001" customHeight="1" x14ac:dyDescent="0.25">
      <c r="A50" s="130" t="str">
        <f t="shared" ref="A50" ca="1" si="29">INDIRECT("'update Helper'!C"&amp;Q50)</f>
        <v>a1GDm000000Xml6MAC</v>
      </c>
      <c r="B50" s="601">
        <v>3</v>
      </c>
      <c r="C50" s="603" t="str">
        <f>IFERROR(VLOOKUP(B50,'Impact Indicators - Section B '!$A$9:$AC$68,29,FALSE),"")</f>
        <v>HIV I-10⁽ᴹ⁾ Percentage of sex workers who are living with HIV</v>
      </c>
      <c r="D50" s="605" t="str">
        <f t="shared" ref="D50" si="30">M50</f>
        <v>Age</v>
      </c>
      <c r="E50" s="605" t="str">
        <f t="shared" ref="E50" si="31">N50</f>
        <v>25+</v>
      </c>
      <c r="F50" s="131">
        <v>11</v>
      </c>
      <c r="G50" s="607">
        <f ca="1">IF(OR(INDIRECT("'update Helper'!E"&amp;Q50)="",F50&lt;&gt;0,F51&lt;&gt;0),IF(IFERROR((F50/F51),"")="","",(F50/F51)),INDIRECT("'update Helper'!E"&amp;Q50)/100)</f>
        <v>2.9177718832891247E-2</v>
      </c>
      <c r="H50" s="597">
        <v>2022</v>
      </c>
      <c r="I50" s="599" t="s">
        <v>2219</v>
      </c>
      <c r="J50" s="531" t="s">
        <v>2221</v>
      </c>
      <c r="K50" s="130">
        <f>IF(AND(EXACT(C50,C48),C48&lt;&gt;0),K48+1,0)</f>
        <v>0</v>
      </c>
      <c r="L50" s="130" t="str">
        <f>IF(C50&lt;&gt;"",C50&amp;"-"&amp;K50,"")</f>
        <v>HIV I-10⁽ᴹ⁾ Percentage of sex workers who are living with HIV-0</v>
      </c>
      <c r="M50" s="130" t="str">
        <f t="array" ref="M50">IFERROR(IF(INDEX('Disaggregation Records'!$E$3:$E$80,MATCH(RIGHT(L50,255),RIGHT('Disaggregation Records'!$D$3:$D$80,255),0))="","",INDEX('Disaggregation Records'!$E$3:$E$80,MATCH(RIGHT(L50,255),RIGHT('Disaggregation Records'!$D$3:$D$80,255),0))),"")</f>
        <v>Age</v>
      </c>
      <c r="N50" s="130" t="str">
        <f t="array" ref="N50">IFERROR(IF(INDEX('Disaggregation Records'!$F$3:$F$80,MATCH(RIGHT(L50,255),RIGHT('Disaggregation Records'!$D$3:$D$80,255),0))="","",INDEX('Disaggregation Records'!$F$3:$F$80,MATCH(RIGHT(L50,255),RIGHT('Disaggregation Records'!$D$3:$D$80,255),0))),"")</f>
        <v>25+</v>
      </c>
      <c r="O50" s="130" t="str">
        <f t="array" ref="O50">IFERROR(IF(INDEX('Disaggregation Records'!$H$3:$H$80,MATCH(RIGHT(L50,255),RIGHT('Disaggregation Records'!$D$3:$D$80,255),0))="","",INDEX('Disaggregation Records'!$H$3:$H$80,MATCH(RIGHT(L50,255),RIGHT('Disaggregation Records'!$D$3:$D$80,255),0))),"")</f>
        <v>IDR-01055</v>
      </c>
      <c r="P50" s="130"/>
      <c r="Q50" s="52">
        <f t="shared" ref="Q50" si="32">Q48+1</f>
        <v>1211</v>
      </c>
    </row>
    <row r="51" spans="1:17" ht="39" customHeight="1" x14ac:dyDescent="0.25">
      <c r="A51" s="130"/>
      <c r="B51" s="602">
        <v>2.2894736842105301</v>
      </c>
      <c r="C51" s="604"/>
      <c r="D51" s="606"/>
      <c r="E51" s="606"/>
      <c r="F51" s="132">
        <v>377</v>
      </c>
      <c r="G51" s="608"/>
      <c r="H51" s="598"/>
      <c r="I51" s="600"/>
      <c r="J51" s="532"/>
      <c r="K51" s="133"/>
      <c r="L51" s="133"/>
      <c r="M51" s="133"/>
      <c r="N51" s="133"/>
      <c r="O51" s="133"/>
      <c r="P51" s="133"/>
      <c r="Q51" s="130"/>
    </row>
    <row r="52" spans="1:17" ht="20.100000000000001" customHeight="1" x14ac:dyDescent="0.25">
      <c r="A52" s="130" t="str">
        <f t="shared" ca="1" si="3"/>
        <v>a1GDm000000Xml7MAC</v>
      </c>
      <c r="B52" s="601">
        <v>3</v>
      </c>
      <c r="C52" s="603" t="str">
        <f>IFERROR(VLOOKUP(B52,'Impact Indicators - Section B '!$A$9:$AC$68,29,FALSE),"")</f>
        <v>HIV I-10⁽ᴹ⁾ Percentage of sex workers who are living with HIV</v>
      </c>
      <c r="D52" s="605" t="str">
        <f t="shared" ref="D52" si="33">M52</f>
        <v>Age</v>
      </c>
      <c r="E52" s="605" t="str">
        <f t="shared" ref="E52" si="34">N52</f>
        <v>&lt;25</v>
      </c>
      <c r="F52" s="131">
        <v>5</v>
      </c>
      <c r="G52" s="607">
        <f ca="1">IF(OR(INDIRECT("'update Helper'!E"&amp;Q52)="",F52&lt;&gt;0,F53&lt;&gt;0),IF(IFERROR((F52/F53),"")="","",(F52/F53)),INDIRECT("'update Helper'!E"&amp;Q52)/100)</f>
        <v>1.3262599469496022E-2</v>
      </c>
      <c r="H52" s="597">
        <v>2022</v>
      </c>
      <c r="I52" s="599" t="s">
        <v>2219</v>
      </c>
      <c r="J52" s="531" t="s">
        <v>2221</v>
      </c>
      <c r="K52" s="130">
        <f>IF(AND(EXACT(C52,C50),C50&lt;&gt;0),K50+1,0)</f>
        <v>1</v>
      </c>
      <c r="L52" s="130" t="str">
        <f>IF(C52&lt;&gt;"",C52&amp;"-"&amp;K52,"")</f>
        <v>HIV I-10⁽ᴹ⁾ Percentage of sex workers who are living with HIV-1</v>
      </c>
      <c r="M52" s="130" t="str">
        <f t="array" ref="M52">IFERROR(IF(INDEX('Disaggregation Records'!$E$3:$E$80,MATCH(RIGHT(L52,255),RIGHT('Disaggregation Records'!$D$3:$D$80,255),0))="","",INDEX('Disaggregation Records'!$E$3:$E$80,MATCH(RIGHT(L52,255),RIGHT('Disaggregation Records'!$D$3:$D$80,255),0))),"")</f>
        <v>Age</v>
      </c>
      <c r="N52" s="130" t="str">
        <f t="array" ref="N52">IFERROR(IF(INDEX('Disaggregation Records'!$F$3:$F$80,MATCH(RIGHT(L52,255),RIGHT('Disaggregation Records'!$D$3:$D$80,255),0))="","",INDEX('Disaggregation Records'!$F$3:$F$80,MATCH(RIGHT(L52,255),RIGHT('Disaggregation Records'!$D$3:$D$80,255),0))),"")</f>
        <v>&lt;25</v>
      </c>
      <c r="O52" s="130" t="str">
        <f t="array" ref="O52">IFERROR(IF(INDEX('Disaggregation Records'!$H$3:$H$80,MATCH(RIGHT(L52,255),RIGHT('Disaggregation Records'!$D$3:$D$80,255),0))="","",INDEX('Disaggregation Records'!$H$3:$H$80,MATCH(RIGHT(L52,255),RIGHT('Disaggregation Records'!$D$3:$D$80,255),0))),"")</f>
        <v>IDR-01054</v>
      </c>
      <c r="Q52" s="52">
        <f t="shared" ref="Q52" si="35">Q50+1</f>
        <v>1212</v>
      </c>
    </row>
    <row r="53" spans="1:17" ht="33" customHeight="1" x14ac:dyDescent="0.25">
      <c r="B53" s="602">
        <v>2.2894736842105301</v>
      </c>
      <c r="C53" s="604"/>
      <c r="D53" s="606"/>
      <c r="E53" s="606"/>
      <c r="F53" s="132">
        <v>377</v>
      </c>
      <c r="G53" s="608"/>
      <c r="H53" s="598"/>
      <c r="I53" s="600"/>
      <c r="J53" s="532"/>
      <c r="K53" s="133"/>
      <c r="L53" s="133"/>
      <c r="M53" s="133"/>
      <c r="N53" s="133"/>
      <c r="O53" s="133"/>
      <c r="Q53" s="130"/>
    </row>
    <row r="54" spans="1:17" ht="43.5" customHeight="1" x14ac:dyDescent="0.25">
      <c r="A54" s="130" t="str">
        <f t="shared" ref="A54" ca="1" si="36">INDIRECT("'update Helper'!C"&amp;Q54)</f>
        <v>a1GDm000000Xml8MAC</v>
      </c>
      <c r="B54" s="601">
        <v>3</v>
      </c>
      <c r="C54" s="603" t="str">
        <f>IFERROR(VLOOKUP(B54,'Impact Indicators - Section B '!$A$9:$AC$68,29,FALSE),"")</f>
        <v>HIV I-10⁽ᴹ⁾ Percentage of sex workers who are living with HIV</v>
      </c>
      <c r="D54" s="605" t="str">
        <f t="shared" ref="D54" si="37">M54</f>
        <v>Gender</v>
      </c>
      <c r="E54" s="605" t="str">
        <f t="shared" ref="E54" si="38">N54</f>
        <v>Transgender</v>
      </c>
      <c r="F54" s="131">
        <v>0</v>
      </c>
      <c r="G54" s="607">
        <f ca="1">IF(OR(INDIRECT("'update Helper'!E"&amp;Q54)="",F54&lt;&gt;0,F55&lt;&gt;0),IF(IFERROR((F54/F55),"")="","",(F54/F55)),INDIRECT("'update Helper'!E"&amp;Q54)/100)</f>
        <v>0</v>
      </c>
      <c r="H54" s="597">
        <v>2022</v>
      </c>
      <c r="I54" s="599" t="s">
        <v>2219</v>
      </c>
      <c r="J54" s="531" t="s">
        <v>2221</v>
      </c>
      <c r="K54" s="130">
        <f>IF(AND(EXACT(C54,C52),C52&lt;&gt;0),K52+1,0)</f>
        <v>2</v>
      </c>
      <c r="L54" s="130" t="str">
        <f>IF(C54&lt;&gt;"",C54&amp;"-"&amp;K54,"")</f>
        <v>HIV I-10⁽ᴹ⁾ Percentage of sex workers who are living with HIV-2</v>
      </c>
      <c r="M54" s="130" t="str">
        <f t="array" ref="M54">IFERROR(IF(INDEX('Disaggregation Records'!$E$3:$E$80,MATCH(RIGHT(L54,255),RIGHT('Disaggregation Records'!$D$3:$D$80,255),0))="","",INDEX('Disaggregation Records'!$E$3:$E$80,MATCH(RIGHT(L54,255),RIGHT('Disaggregation Records'!$D$3:$D$80,255),0))),"")</f>
        <v>Gender</v>
      </c>
      <c r="N54" s="130" t="str">
        <f t="array" ref="N54">IFERROR(IF(INDEX('Disaggregation Records'!$F$3:$F$80,MATCH(RIGHT(L54,255),RIGHT('Disaggregation Records'!$D$3:$D$80,255),0))="","",INDEX('Disaggregation Records'!$F$3:$F$80,MATCH(RIGHT(L54,255),RIGHT('Disaggregation Records'!$D$3:$D$80,255),0))),"")</f>
        <v>Transgender</v>
      </c>
      <c r="O54" s="130" t="str">
        <f t="array" ref="O54">IFERROR(IF(INDEX('Disaggregation Records'!$H$3:$H$80,MATCH(RIGHT(L54,255),RIGHT('Disaggregation Records'!$D$3:$D$80,255),0))="","",INDEX('Disaggregation Records'!$H$3:$H$80,MATCH(RIGHT(L54,255),RIGHT('Disaggregation Records'!$D$3:$D$80,255),0))),"")</f>
        <v>IDR-01053</v>
      </c>
      <c r="P54" s="130"/>
      <c r="Q54" s="52">
        <f t="shared" ref="Q54" si="39">Q52+1</f>
        <v>1213</v>
      </c>
    </row>
    <row r="55" spans="1:17" ht="20.100000000000001" customHeight="1" x14ac:dyDescent="0.25">
      <c r="A55" s="130"/>
      <c r="B55" s="602">
        <v>2.2894736842105301</v>
      </c>
      <c r="C55" s="604"/>
      <c r="D55" s="606"/>
      <c r="E55" s="606"/>
      <c r="F55" s="132">
        <v>474</v>
      </c>
      <c r="G55" s="608"/>
      <c r="H55" s="598"/>
      <c r="I55" s="600"/>
      <c r="J55" s="532"/>
      <c r="K55" s="133"/>
      <c r="L55" s="133"/>
      <c r="M55" s="133"/>
      <c r="N55" s="133"/>
      <c r="O55" s="133"/>
      <c r="P55" s="133"/>
      <c r="Q55" s="130"/>
    </row>
    <row r="56" spans="1:17" ht="20.100000000000001" customHeight="1" x14ac:dyDescent="0.25">
      <c r="A56" s="130" t="str">
        <f t="shared" ca="1" si="3"/>
        <v>a1GDm000000Xml9MAC</v>
      </c>
      <c r="B56" s="601">
        <v>3</v>
      </c>
      <c r="C56" s="603" t="str">
        <f>IFERROR(VLOOKUP(B56,'Impact Indicators - Section B '!$A$9:$AC$68,29,FALSE),"")</f>
        <v>HIV I-10⁽ᴹ⁾ Percentage of sex workers who are living with HIV</v>
      </c>
      <c r="D56" s="605" t="str">
        <f t="shared" ref="D56" si="40">M56</f>
        <v>Gender</v>
      </c>
      <c r="E56" s="605" t="str">
        <f t="shared" ref="E56" si="41">N56</f>
        <v>Male</v>
      </c>
      <c r="F56" s="131">
        <v>0</v>
      </c>
      <c r="G56" s="607">
        <f ca="1">IF(OR(INDIRECT("'update Helper'!E"&amp;Q56)="",F56&lt;&gt;0,F57&lt;&gt;0),IF(IFERROR((F56/F57),"")="","",(F56/F57)),INDIRECT("'update Helper'!E"&amp;Q56)/100)</f>
        <v>0</v>
      </c>
      <c r="H56" s="597">
        <v>2022</v>
      </c>
      <c r="I56" s="599" t="s">
        <v>2219</v>
      </c>
      <c r="J56" s="531" t="s">
        <v>2221</v>
      </c>
      <c r="K56" s="130">
        <f>IF(AND(EXACT(C56,C54),C54&lt;&gt;0),K54+1,0)</f>
        <v>3</v>
      </c>
      <c r="L56" s="130" t="str">
        <f>IF(C56&lt;&gt;"",C56&amp;"-"&amp;K56,"")</f>
        <v>HIV I-10⁽ᴹ⁾ Percentage of sex workers who are living with HIV-3</v>
      </c>
      <c r="M56" s="130" t="str">
        <f t="array" ref="M56">IFERROR(IF(INDEX('Disaggregation Records'!$E$3:$E$80,MATCH(RIGHT(L56,255),RIGHT('Disaggregation Records'!$D$3:$D$80,255),0))="","",INDEX('Disaggregation Records'!$E$3:$E$80,MATCH(RIGHT(L56,255),RIGHT('Disaggregation Records'!$D$3:$D$80,255),0))),"")</f>
        <v>Gender</v>
      </c>
      <c r="N56" s="130" t="str">
        <f t="array" ref="N56">IFERROR(IF(INDEX('Disaggregation Records'!$F$3:$F$80,MATCH(RIGHT(L56,255),RIGHT('Disaggregation Records'!$D$3:$D$80,255),0))="","",INDEX('Disaggregation Records'!$F$3:$F$80,MATCH(RIGHT(L56,255),RIGHT('Disaggregation Records'!$D$3:$D$80,255),0))),"")</f>
        <v>Male</v>
      </c>
      <c r="O56" s="130" t="str">
        <f t="array" ref="O56">IFERROR(IF(INDEX('Disaggregation Records'!$H$3:$H$80,MATCH(RIGHT(L56,255),RIGHT('Disaggregation Records'!$D$3:$D$80,255),0))="","",INDEX('Disaggregation Records'!$H$3:$H$80,MATCH(RIGHT(L56,255),RIGHT('Disaggregation Records'!$D$3:$D$80,255),0))),"")</f>
        <v>IDR-01052</v>
      </c>
      <c r="Q56" s="52">
        <f t="shared" ref="Q56" si="42">Q54+1</f>
        <v>1214</v>
      </c>
    </row>
    <row r="57" spans="1:17" ht="35.25" customHeight="1" x14ac:dyDescent="0.25">
      <c r="B57" s="602">
        <v>2.2894736842105301</v>
      </c>
      <c r="C57" s="604"/>
      <c r="D57" s="606"/>
      <c r="E57" s="606"/>
      <c r="F57" s="132">
        <v>474</v>
      </c>
      <c r="G57" s="608"/>
      <c r="H57" s="598"/>
      <c r="I57" s="600"/>
      <c r="J57" s="532"/>
      <c r="K57" s="133"/>
      <c r="L57" s="133"/>
      <c r="M57" s="133"/>
      <c r="N57" s="133"/>
      <c r="O57" s="133"/>
      <c r="Q57" s="130"/>
    </row>
    <row r="58" spans="1:17" ht="20.100000000000001" customHeight="1" x14ac:dyDescent="0.25">
      <c r="A58" s="130" t="str">
        <f t="shared" ref="A58" ca="1" si="43">INDIRECT("'update Helper'!C"&amp;Q58)</f>
        <v>a1GDm000000XmlAMAS</v>
      </c>
      <c r="B58" s="601">
        <v>3</v>
      </c>
      <c r="C58" s="603" t="str">
        <f>IFERROR(VLOOKUP(B58,'Impact Indicators - Section B '!$A$9:$AC$68,29,FALSE),"")</f>
        <v>HIV I-10⁽ᴹ⁾ Percentage of sex workers who are living with HIV</v>
      </c>
      <c r="D58" s="605" t="str">
        <f t="shared" ref="D58" si="44">M58</f>
        <v>Gender</v>
      </c>
      <c r="E58" s="605" t="str">
        <f t="shared" ref="E58" si="45">N58</f>
        <v>Female</v>
      </c>
      <c r="F58" s="131">
        <v>16</v>
      </c>
      <c r="G58" s="607">
        <f ca="1">IF(OR(INDIRECT("'update Helper'!E"&amp;Q58)="",F58&lt;&gt;0,F59&lt;&gt;0),IF(IFERROR((F58/F59),"")="","",(F58/F59)),INDIRECT("'update Helper'!E"&amp;Q58)/100)</f>
        <v>3.3755274261603373E-2</v>
      </c>
      <c r="H58" s="597">
        <v>2022</v>
      </c>
      <c r="I58" s="599" t="s">
        <v>2219</v>
      </c>
      <c r="J58" s="531" t="s">
        <v>2221</v>
      </c>
      <c r="K58" s="130">
        <f>IF(AND(EXACT(C58,C56),C56&lt;&gt;0),K56+1,0)</f>
        <v>4</v>
      </c>
      <c r="L58" s="130" t="str">
        <f>IF(C58&lt;&gt;"",C58&amp;"-"&amp;K58,"")</f>
        <v>HIV I-10⁽ᴹ⁾ Percentage of sex workers who are living with HIV-4</v>
      </c>
      <c r="M58" s="130" t="str">
        <f t="array" ref="M58">IFERROR(IF(INDEX('Disaggregation Records'!$E$3:$E$80,MATCH(RIGHT(L58,255),RIGHT('Disaggregation Records'!$D$3:$D$80,255),0))="","",INDEX('Disaggregation Records'!$E$3:$E$80,MATCH(RIGHT(L58,255),RIGHT('Disaggregation Records'!$D$3:$D$80,255),0))),"")</f>
        <v>Gender</v>
      </c>
      <c r="N58" s="130" t="str">
        <f t="array" ref="N58">IFERROR(IF(INDEX('Disaggregation Records'!$F$3:$F$80,MATCH(RIGHT(L58,255),RIGHT('Disaggregation Records'!$D$3:$D$80,255),0))="","",INDEX('Disaggregation Records'!$F$3:$F$80,MATCH(RIGHT(L58,255),RIGHT('Disaggregation Records'!$D$3:$D$80,255),0))),"")</f>
        <v>Female</v>
      </c>
      <c r="O58" s="130" t="str">
        <f t="array" ref="O58">IFERROR(IF(INDEX('Disaggregation Records'!$H$3:$H$80,MATCH(RIGHT(L58,255),RIGHT('Disaggregation Records'!$D$3:$D$80,255),0))="","",INDEX('Disaggregation Records'!$H$3:$H$80,MATCH(RIGHT(L58,255),RIGHT('Disaggregation Records'!$D$3:$D$80,255),0))),"")</f>
        <v>IDR-01051</v>
      </c>
      <c r="P58" s="130"/>
      <c r="Q58" s="52">
        <f t="shared" ref="Q58" si="46">Q56+1</f>
        <v>1215</v>
      </c>
    </row>
    <row r="59" spans="1:17" ht="35.25" customHeight="1" x14ac:dyDescent="0.25">
      <c r="A59" s="130"/>
      <c r="B59" s="602">
        <v>2.2894736842105301</v>
      </c>
      <c r="C59" s="604"/>
      <c r="D59" s="606"/>
      <c r="E59" s="606"/>
      <c r="F59" s="132">
        <v>474</v>
      </c>
      <c r="G59" s="608"/>
      <c r="H59" s="598"/>
      <c r="I59" s="600"/>
      <c r="J59" s="532"/>
      <c r="K59" s="133"/>
      <c r="L59" s="133"/>
      <c r="M59" s="133"/>
      <c r="N59" s="133"/>
      <c r="O59" s="133"/>
      <c r="P59" s="133"/>
      <c r="Q59" s="130"/>
    </row>
    <row r="60" spans="1:17" ht="20.100000000000001" customHeight="1" x14ac:dyDescent="0.25">
      <c r="A60" s="130" t="str">
        <f t="shared" ca="1" si="3"/>
        <v>a1GDm000000XmlBMAS</v>
      </c>
      <c r="B60" s="601">
        <v>3</v>
      </c>
      <c r="C60" s="603" t="str">
        <f>IFERROR(VLOOKUP(B60,'Impact Indicators - Section B '!$A$9:$AC$68,29,FALSE),"")</f>
        <v>HIV I-10⁽ᴹ⁾ Percentage of sex workers who are living with HIV</v>
      </c>
      <c r="D60" s="605" t="str">
        <f t="shared" ref="D60" si="47">M60</f>
        <v/>
      </c>
      <c r="E60" s="605" t="str">
        <f t="shared" ref="E60" si="48">N60</f>
        <v/>
      </c>
      <c r="F60" s="131"/>
      <c r="G60" s="607" t="str">
        <f ca="1">IF(OR(INDIRECT("'update Helper'!E"&amp;Q60)="",F60&lt;&gt;0,F61&lt;&gt;0),IF(IFERROR((F60/F61),"")="","",(F60/F61)),INDIRECT("'update Helper'!E"&amp;Q60)/100)</f>
        <v/>
      </c>
      <c r="H60" s="597"/>
      <c r="I60" s="599"/>
      <c r="J60" s="531"/>
      <c r="K60" s="130">
        <f>IF(AND(EXACT(C60,C58),C58&lt;&gt;0),K58+1,0)</f>
        <v>5</v>
      </c>
      <c r="L60" s="130" t="str">
        <f>IF(C60&lt;&gt;"",C60&amp;"-"&amp;K60,"")</f>
        <v>HIV I-10⁽ᴹ⁾ Percentage of sex workers who are living with HIV-5</v>
      </c>
      <c r="M60" s="130" t="str">
        <f t="array" ref="M60">IFERROR(IF(INDEX('Disaggregation Records'!$E$3:$E$80,MATCH(RIGHT(L60,255),RIGHT('Disaggregation Records'!$D$3:$D$80,255),0))="","",INDEX('Disaggregation Records'!$E$3:$E$80,MATCH(RIGHT(L60,255),RIGHT('Disaggregation Records'!$D$3:$D$80,255),0))),"")</f>
        <v/>
      </c>
      <c r="N60" s="130" t="str">
        <f t="array" ref="N60">IFERROR(IF(INDEX('Disaggregation Records'!$F$3:$F$80,MATCH(RIGHT(L60,255),RIGHT('Disaggregation Records'!$D$3:$D$80,255),0))="","",INDEX('Disaggregation Records'!$F$3:$F$80,MATCH(RIGHT(L60,255),RIGHT('Disaggregation Records'!$D$3:$D$80,255),0))),"")</f>
        <v/>
      </c>
      <c r="O60" s="130" t="str">
        <f t="array" ref="O60">IFERROR(IF(INDEX('Disaggregation Records'!$H$3:$H$80,MATCH(RIGHT(L60,255),RIGHT('Disaggregation Records'!$D$3:$D$80,255),0))="","",INDEX('Disaggregation Records'!$H$3:$H$80,MATCH(RIGHT(L60,255),RIGHT('Disaggregation Records'!$D$3:$D$80,255),0))),"")</f>
        <v/>
      </c>
      <c r="Q60" s="52">
        <f t="shared" ref="Q60" si="49">Q58+1</f>
        <v>1216</v>
      </c>
    </row>
    <row r="61" spans="1:17" ht="20.100000000000001" customHeight="1" x14ac:dyDescent="0.25">
      <c r="B61" s="602">
        <v>2.2894736842105301</v>
      </c>
      <c r="C61" s="604"/>
      <c r="D61" s="606"/>
      <c r="E61" s="606"/>
      <c r="F61" s="132"/>
      <c r="G61" s="608"/>
      <c r="H61" s="598"/>
      <c r="I61" s="600"/>
      <c r="J61" s="532"/>
      <c r="K61" s="133"/>
      <c r="L61" s="133"/>
      <c r="M61" s="133"/>
      <c r="N61" s="133"/>
      <c r="O61" s="133"/>
      <c r="Q61" s="130"/>
    </row>
    <row r="62" spans="1:17" ht="20.100000000000001" customHeight="1" x14ac:dyDescent="0.25">
      <c r="A62" s="130" t="str">
        <f t="shared" ref="A62" ca="1" si="50">INDIRECT("'update Helper'!C"&amp;Q62)</f>
        <v>a1GDm000000XmlCMAS</v>
      </c>
      <c r="B62" s="601">
        <v>3</v>
      </c>
      <c r="C62" s="603" t="str">
        <f>IFERROR(VLOOKUP(B62,'Impact Indicators - Section B '!$A$9:$AC$68,29,FALSE),"")</f>
        <v>HIV I-10⁽ᴹ⁾ Percentage of sex workers who are living with HIV</v>
      </c>
      <c r="D62" s="605" t="str">
        <f t="shared" ref="D62" si="51">M62</f>
        <v/>
      </c>
      <c r="E62" s="605" t="str">
        <f t="shared" ref="E62" si="52">N62</f>
        <v/>
      </c>
      <c r="F62" s="131"/>
      <c r="G62" s="607" t="str">
        <f ca="1">IF(OR(INDIRECT("'update Helper'!E"&amp;Q62)="",F62&lt;&gt;0,F63&lt;&gt;0),IF(IFERROR((F62/F63),"")="","",(F62/F63)),INDIRECT("'update Helper'!E"&amp;Q62)/100)</f>
        <v/>
      </c>
      <c r="H62" s="597"/>
      <c r="I62" s="599"/>
      <c r="J62" s="531"/>
      <c r="K62" s="130">
        <f>IF(AND(EXACT(C62,C60),C60&lt;&gt;0),K60+1,0)</f>
        <v>6</v>
      </c>
      <c r="L62" s="130" t="str">
        <f>IF(C62&lt;&gt;"",C62&amp;"-"&amp;K62,"")</f>
        <v>HIV I-10⁽ᴹ⁾ Percentage of sex workers who are living with HIV-6</v>
      </c>
      <c r="M62" s="130" t="str">
        <f t="array" ref="M62">IFERROR(IF(INDEX('Disaggregation Records'!$E$3:$E$80,MATCH(RIGHT(L62,255),RIGHT('Disaggregation Records'!$D$3:$D$80,255),0))="","",INDEX('Disaggregation Records'!$E$3:$E$80,MATCH(RIGHT(L62,255),RIGHT('Disaggregation Records'!$D$3:$D$80,255),0))),"")</f>
        <v/>
      </c>
      <c r="N62" s="130" t="str">
        <f t="array" ref="N62">IFERROR(IF(INDEX('Disaggregation Records'!$F$3:$F$80,MATCH(RIGHT(L62,255),RIGHT('Disaggregation Records'!$D$3:$D$80,255),0))="","",INDEX('Disaggregation Records'!$F$3:$F$80,MATCH(RIGHT(L62,255),RIGHT('Disaggregation Records'!$D$3:$D$80,255),0))),"")</f>
        <v/>
      </c>
      <c r="O62" s="130" t="str">
        <f t="array" ref="O62">IFERROR(IF(INDEX('Disaggregation Records'!$H$3:$H$80,MATCH(RIGHT(L62,255),RIGHT('Disaggregation Records'!$D$3:$D$80,255),0))="","",INDEX('Disaggregation Records'!$H$3:$H$80,MATCH(RIGHT(L62,255),RIGHT('Disaggregation Records'!$D$3:$D$80,255),0))),"")</f>
        <v/>
      </c>
      <c r="P62" s="130"/>
      <c r="Q62" s="52">
        <f t="shared" ref="Q62" si="53">Q60+1</f>
        <v>1217</v>
      </c>
    </row>
    <row r="63" spans="1:17" ht="20.100000000000001" customHeight="1" x14ac:dyDescent="0.25">
      <c r="A63" s="130"/>
      <c r="B63" s="602">
        <v>2.2894736842105301</v>
      </c>
      <c r="C63" s="604"/>
      <c r="D63" s="606"/>
      <c r="E63" s="606"/>
      <c r="F63" s="132"/>
      <c r="G63" s="608"/>
      <c r="H63" s="598"/>
      <c r="I63" s="600"/>
      <c r="J63" s="532"/>
      <c r="K63" s="133"/>
      <c r="L63" s="133"/>
      <c r="M63" s="133"/>
      <c r="N63" s="133"/>
      <c r="O63" s="133"/>
      <c r="P63" s="133"/>
      <c r="Q63" s="130"/>
    </row>
    <row r="64" spans="1:17" ht="20.100000000000001" customHeight="1" x14ac:dyDescent="0.25">
      <c r="A64" s="130" t="str">
        <f t="shared" ca="1" si="3"/>
        <v>a1GDm000000XmlDMAS</v>
      </c>
      <c r="B64" s="601">
        <v>3</v>
      </c>
      <c r="C64" s="603" t="str">
        <f>IFERROR(VLOOKUP(B64,'Impact Indicators - Section B '!$A$9:$AC$68,29,FALSE),"")</f>
        <v>HIV I-10⁽ᴹ⁾ Percentage of sex workers who are living with HIV</v>
      </c>
      <c r="D64" s="605" t="str">
        <f t="shared" ref="D64" si="54">M64</f>
        <v/>
      </c>
      <c r="E64" s="605" t="str">
        <f t="shared" ref="E64" si="55">N64</f>
        <v/>
      </c>
      <c r="F64" s="131"/>
      <c r="G64" s="607" t="str">
        <f ca="1">IF(OR(INDIRECT("'update Helper'!E"&amp;Q64)="",F64&lt;&gt;0,F65&lt;&gt;0),IF(IFERROR((F64/F65),"")="","",(F64/F65)),INDIRECT("'update Helper'!E"&amp;Q64)/100)</f>
        <v/>
      </c>
      <c r="H64" s="597"/>
      <c r="I64" s="599"/>
      <c r="J64" s="531"/>
      <c r="K64" s="130">
        <f>IF(AND(EXACT(C64,C62),C62&lt;&gt;0),K62+1,0)</f>
        <v>7</v>
      </c>
      <c r="L64" s="130" t="str">
        <f>IF(C64&lt;&gt;"",C64&amp;"-"&amp;K64,"")</f>
        <v>HIV I-10⁽ᴹ⁾ Percentage of sex workers who are living with HIV-7</v>
      </c>
      <c r="M64" s="130" t="str">
        <f t="array" ref="M64">IFERROR(IF(INDEX('Disaggregation Records'!$E$3:$E$80,MATCH(RIGHT(L64,255),RIGHT('Disaggregation Records'!$D$3:$D$80,255),0))="","",INDEX('Disaggregation Records'!$E$3:$E$80,MATCH(RIGHT(L64,255),RIGHT('Disaggregation Records'!$D$3:$D$80,255),0))),"")</f>
        <v/>
      </c>
      <c r="N64" s="130" t="str">
        <f t="array" ref="N64">IFERROR(IF(INDEX('Disaggregation Records'!$F$3:$F$80,MATCH(RIGHT(L64,255),RIGHT('Disaggregation Records'!$D$3:$D$80,255),0))="","",INDEX('Disaggregation Records'!$F$3:$F$80,MATCH(RIGHT(L64,255),RIGHT('Disaggregation Records'!$D$3:$D$80,255),0))),"")</f>
        <v/>
      </c>
      <c r="O64" s="130" t="str">
        <f t="array" ref="O64">IFERROR(IF(INDEX('Disaggregation Records'!$H$3:$H$80,MATCH(RIGHT(L64,255),RIGHT('Disaggregation Records'!$D$3:$D$80,255),0))="","",INDEX('Disaggregation Records'!$H$3:$H$80,MATCH(RIGHT(L64,255),RIGHT('Disaggregation Records'!$D$3:$D$80,255),0))),"")</f>
        <v/>
      </c>
      <c r="Q64" s="52">
        <f t="shared" ref="Q64" si="56">Q62+1</f>
        <v>1218</v>
      </c>
    </row>
    <row r="65" spans="1:17" ht="20.100000000000001" customHeight="1" x14ac:dyDescent="0.25">
      <c r="B65" s="602">
        <v>2.2894736842105301</v>
      </c>
      <c r="C65" s="604"/>
      <c r="D65" s="606"/>
      <c r="E65" s="606"/>
      <c r="F65" s="132"/>
      <c r="G65" s="608"/>
      <c r="H65" s="598"/>
      <c r="I65" s="600"/>
      <c r="J65" s="532"/>
      <c r="K65" s="133"/>
      <c r="L65" s="133"/>
      <c r="M65" s="133"/>
      <c r="N65" s="133"/>
      <c r="O65" s="133"/>
      <c r="Q65" s="130"/>
    </row>
    <row r="66" spans="1:17" ht="20.100000000000001" customHeight="1" x14ac:dyDescent="0.25">
      <c r="A66" s="130" t="str">
        <f t="shared" ref="A66" ca="1" si="57">INDIRECT("'update Helper'!C"&amp;Q66)</f>
        <v>a1GDm000000XmlEMAS</v>
      </c>
      <c r="B66" s="601">
        <v>3</v>
      </c>
      <c r="C66" s="603" t="str">
        <f>IFERROR(VLOOKUP(B66,'Impact Indicators - Section B '!$A$9:$AC$68,29,FALSE),"")</f>
        <v>HIV I-10⁽ᴹ⁾ Percentage of sex workers who are living with HIV</v>
      </c>
      <c r="D66" s="605" t="str">
        <f t="shared" ref="D66" si="58">M66</f>
        <v/>
      </c>
      <c r="E66" s="605" t="str">
        <f t="shared" ref="E66" si="59">N66</f>
        <v/>
      </c>
      <c r="F66" s="131"/>
      <c r="G66" s="607" t="str">
        <f ca="1">IF(OR(INDIRECT("'update Helper'!E"&amp;Q66)="",F66&lt;&gt;0,F67&lt;&gt;0),IF(IFERROR((F66/F67),"")="","",(F66/F67)),INDIRECT("'update Helper'!E"&amp;Q66)/100)</f>
        <v/>
      </c>
      <c r="H66" s="597"/>
      <c r="I66" s="599"/>
      <c r="J66" s="531"/>
      <c r="K66" s="130">
        <f>IF(AND(EXACT(C66,C64),C64&lt;&gt;0),K64+1,0)</f>
        <v>8</v>
      </c>
      <c r="L66" s="130" t="str">
        <f>IF(C66&lt;&gt;"",C66&amp;"-"&amp;K66,"")</f>
        <v>HIV I-10⁽ᴹ⁾ Percentage of sex workers who are living with HIV-8</v>
      </c>
      <c r="M66" s="130" t="str">
        <f t="array" ref="M66">IFERROR(IF(INDEX('Disaggregation Records'!$E$3:$E$80,MATCH(RIGHT(L66,255),RIGHT('Disaggregation Records'!$D$3:$D$80,255),0))="","",INDEX('Disaggregation Records'!$E$3:$E$80,MATCH(RIGHT(L66,255),RIGHT('Disaggregation Records'!$D$3:$D$80,255),0))),"")</f>
        <v/>
      </c>
      <c r="N66" s="130" t="str">
        <f t="array" ref="N66">IFERROR(IF(INDEX('Disaggregation Records'!$F$3:$F$80,MATCH(RIGHT(L66,255),RIGHT('Disaggregation Records'!$D$3:$D$80,255),0))="","",INDEX('Disaggregation Records'!$F$3:$F$80,MATCH(RIGHT(L66,255),RIGHT('Disaggregation Records'!$D$3:$D$80,255),0))),"")</f>
        <v/>
      </c>
      <c r="O66" s="130" t="str">
        <f t="array" ref="O66">IFERROR(IF(INDEX('Disaggregation Records'!$H$3:$H$80,MATCH(RIGHT(L66,255),RIGHT('Disaggregation Records'!$D$3:$D$80,255),0))="","",INDEX('Disaggregation Records'!$H$3:$H$80,MATCH(RIGHT(L66,255),RIGHT('Disaggregation Records'!$D$3:$D$80,255),0))),"")</f>
        <v/>
      </c>
      <c r="P66" s="130"/>
      <c r="Q66" s="52">
        <f t="shared" ref="Q66" si="60">Q64+1</f>
        <v>1219</v>
      </c>
    </row>
    <row r="67" spans="1:17" ht="20.100000000000001" customHeight="1" x14ac:dyDescent="0.25">
      <c r="A67" s="130"/>
      <c r="B67" s="602">
        <v>2.2894736842105301</v>
      </c>
      <c r="C67" s="604"/>
      <c r="D67" s="606"/>
      <c r="E67" s="606"/>
      <c r="F67" s="132"/>
      <c r="G67" s="608"/>
      <c r="H67" s="598"/>
      <c r="I67" s="600"/>
      <c r="J67" s="532"/>
      <c r="K67" s="133"/>
      <c r="L67" s="133"/>
      <c r="M67" s="133"/>
      <c r="N67" s="133"/>
      <c r="O67" s="133"/>
      <c r="P67" s="133"/>
      <c r="Q67" s="130"/>
    </row>
    <row r="68" spans="1:17" ht="20.100000000000001" customHeight="1" x14ac:dyDescent="0.25">
      <c r="A68" s="130" t="str">
        <f t="shared" ca="1" si="3"/>
        <v>a1GDm000000XmlFMAS</v>
      </c>
      <c r="B68" s="601">
        <v>3</v>
      </c>
      <c r="C68" s="603" t="str">
        <f>IFERROR(VLOOKUP(B68,'Impact Indicators - Section B '!$A$9:$AC$68,29,FALSE),"")</f>
        <v>HIV I-10⁽ᴹ⁾ Percentage of sex workers who are living with HIV</v>
      </c>
      <c r="D68" s="605" t="str">
        <f t="shared" ref="D68" si="61">M68</f>
        <v/>
      </c>
      <c r="E68" s="605" t="str">
        <f t="shared" ref="E68" si="62">N68</f>
        <v/>
      </c>
      <c r="F68" s="131"/>
      <c r="G68" s="607" t="str">
        <f ca="1">IF(OR(INDIRECT("'update Helper'!E"&amp;Q68)="",F68&lt;&gt;0,F69&lt;&gt;0),IF(IFERROR((F68/F69),"")="","",(F68/F69)),INDIRECT("'update Helper'!E"&amp;Q68)/100)</f>
        <v/>
      </c>
      <c r="H68" s="597"/>
      <c r="I68" s="599"/>
      <c r="J68" s="531"/>
      <c r="K68" s="130">
        <f>IF(AND(EXACT(C68,C66),C66&lt;&gt;0),K66+1,0)</f>
        <v>9</v>
      </c>
      <c r="L68" s="130" t="str">
        <f>IF(C68&lt;&gt;"",C68&amp;"-"&amp;K68,"")</f>
        <v>HIV I-10⁽ᴹ⁾ Percentage of sex workers who are living with HIV-9</v>
      </c>
      <c r="M68" s="130" t="str">
        <f t="array" ref="M68">IFERROR(IF(INDEX('Disaggregation Records'!$E$3:$E$80,MATCH(RIGHT(L68,255),RIGHT('Disaggregation Records'!$D$3:$D$80,255),0))="","",INDEX('Disaggregation Records'!$E$3:$E$80,MATCH(RIGHT(L68,255),RIGHT('Disaggregation Records'!$D$3:$D$80,255),0))),"")</f>
        <v/>
      </c>
      <c r="N68" s="130" t="str">
        <f t="array" ref="N68">IFERROR(IF(INDEX('Disaggregation Records'!$F$3:$F$80,MATCH(RIGHT(L68,255),RIGHT('Disaggregation Records'!$D$3:$D$80,255),0))="","",INDEX('Disaggregation Records'!$F$3:$F$80,MATCH(RIGHT(L68,255),RIGHT('Disaggregation Records'!$D$3:$D$80,255),0))),"")</f>
        <v/>
      </c>
      <c r="O68" s="130" t="str">
        <f t="array" ref="O68">IFERROR(IF(INDEX('Disaggregation Records'!$H$3:$H$80,MATCH(RIGHT(L68,255),RIGHT('Disaggregation Records'!$D$3:$D$80,255),0))="","",INDEX('Disaggregation Records'!$H$3:$H$80,MATCH(RIGHT(L68,255),RIGHT('Disaggregation Records'!$D$3:$D$80,255),0))),"")</f>
        <v/>
      </c>
      <c r="Q68" s="52">
        <f t="shared" ref="Q68" si="63">Q66+1</f>
        <v>1220</v>
      </c>
    </row>
    <row r="69" spans="1:17" ht="20.100000000000001" customHeight="1" x14ac:dyDescent="0.25">
      <c r="B69" s="602">
        <v>2.2894736842105301</v>
      </c>
      <c r="C69" s="604"/>
      <c r="D69" s="606"/>
      <c r="E69" s="606"/>
      <c r="F69" s="132"/>
      <c r="G69" s="608"/>
      <c r="H69" s="598"/>
      <c r="I69" s="600"/>
      <c r="J69" s="532"/>
      <c r="K69" s="133"/>
      <c r="L69" s="133"/>
      <c r="M69" s="133"/>
      <c r="N69" s="133"/>
      <c r="O69" s="133"/>
      <c r="Q69" s="130"/>
    </row>
    <row r="70" spans="1:17" ht="20.100000000000001" customHeight="1" x14ac:dyDescent="0.25">
      <c r="A70" s="130" t="str">
        <f t="shared" ref="A70" ca="1" si="64">INDIRECT("'update Helper'!C"&amp;Q70)</f>
        <v>a1GDm000000XmlGMAS</v>
      </c>
      <c r="B70" s="601">
        <v>4</v>
      </c>
      <c r="C70" s="603" t="str">
        <f>IFERROR(VLOOKUP(B70,'Impact Indicators - Section B '!$A$9:$AC$68,29,FALSE),"")</f>
        <v>HIV I-9b⁽ᴹ⁾ Percentage of transgender people who are living with HIV</v>
      </c>
      <c r="D70" s="605" t="str">
        <f t="shared" ref="D70" si="65">M70</f>
        <v>Age</v>
      </c>
      <c r="E70" s="605" t="str">
        <f t="shared" ref="E70" si="66">N70</f>
        <v>25+</v>
      </c>
      <c r="F70" s="131">
        <v>11</v>
      </c>
      <c r="G70" s="607">
        <f ca="1">IF(OR(INDIRECT("'update Helper'!E"&amp;Q70)="",F70&lt;&gt;0,F71&lt;&gt;0),IF(IFERROR((F70/F71),"")="","",(F70/F71)),INDIRECT("'update Helper'!E"&amp;Q70)/100)</f>
        <v>0.33333333333333331</v>
      </c>
      <c r="H70" s="597">
        <v>2022</v>
      </c>
      <c r="I70" s="599" t="s">
        <v>2219</v>
      </c>
      <c r="J70" s="531" t="s">
        <v>2222</v>
      </c>
      <c r="K70" s="130">
        <f>IF(AND(EXACT(C70,C68),C68&lt;&gt;0),K68+1,0)</f>
        <v>0</v>
      </c>
      <c r="L70" s="130" t="str">
        <f>IF(C70&lt;&gt;"",C70&amp;"-"&amp;K70,"")</f>
        <v>HIV I-9b⁽ᴹ⁾ Percentage of transgender people who are living with HIV-0</v>
      </c>
      <c r="M70" s="130" t="str">
        <f t="array" ref="M70">IFERROR(IF(INDEX('Disaggregation Records'!$E$3:$E$80,MATCH(RIGHT(L70,255),RIGHT('Disaggregation Records'!$D$3:$D$80,255),0))="","",INDEX('Disaggregation Records'!$E$3:$E$80,MATCH(RIGHT(L70,255),RIGHT('Disaggregation Records'!$D$3:$D$80,255),0))),"")</f>
        <v>Age</v>
      </c>
      <c r="N70" s="130" t="str">
        <f t="array" ref="N70">IFERROR(IF(INDEX('Disaggregation Records'!$F$3:$F$80,MATCH(RIGHT(L70,255),RIGHT('Disaggregation Records'!$D$3:$D$80,255),0))="","",INDEX('Disaggregation Records'!$F$3:$F$80,MATCH(RIGHT(L70,255),RIGHT('Disaggregation Records'!$D$3:$D$80,255),0))),"")</f>
        <v>25+</v>
      </c>
      <c r="O70" s="130" t="str">
        <f t="array" ref="O70">IFERROR(IF(INDEX('Disaggregation Records'!$H$3:$H$80,MATCH(RIGHT(L70,255),RIGHT('Disaggregation Records'!$D$3:$D$80,255),0))="","",INDEX('Disaggregation Records'!$H$3:$H$80,MATCH(RIGHT(L70,255),RIGHT('Disaggregation Records'!$D$3:$D$80,255),0))),"")</f>
        <v>IDR-01050</v>
      </c>
      <c r="P70" s="130"/>
      <c r="Q70" s="52">
        <f t="shared" ref="Q70" si="67">Q68+1</f>
        <v>1221</v>
      </c>
    </row>
    <row r="71" spans="1:17" ht="39" customHeight="1" x14ac:dyDescent="0.25">
      <c r="A71" s="130"/>
      <c r="B71" s="602"/>
      <c r="C71" s="604"/>
      <c r="D71" s="606"/>
      <c r="E71" s="606"/>
      <c r="F71" s="132">
        <v>33</v>
      </c>
      <c r="G71" s="608"/>
      <c r="H71" s="598"/>
      <c r="I71" s="600"/>
      <c r="J71" s="532"/>
      <c r="K71" s="133"/>
      <c r="L71" s="133"/>
      <c r="M71" s="133"/>
      <c r="N71" s="133"/>
      <c r="O71" s="133"/>
      <c r="P71" s="133"/>
      <c r="Q71" s="130"/>
    </row>
    <row r="72" spans="1:17" ht="20.100000000000001" customHeight="1" x14ac:dyDescent="0.25">
      <c r="A72" s="130" t="str">
        <f t="shared" ca="1" si="3"/>
        <v>a1GDm000000XmlHMAS</v>
      </c>
      <c r="B72" s="601">
        <v>4</v>
      </c>
      <c r="C72" s="603" t="str">
        <f>IFERROR(VLOOKUP(B72,'Impact Indicators - Section B '!$A$9:$AC$68,29,FALSE),"")</f>
        <v>HIV I-9b⁽ᴹ⁾ Percentage of transgender people who are living with HIV</v>
      </c>
      <c r="D72" s="605" t="str">
        <f t="shared" ref="D72" si="68">M72</f>
        <v>Age</v>
      </c>
      <c r="E72" s="605" t="str">
        <f t="shared" ref="E72" si="69">N72</f>
        <v>&lt;25</v>
      </c>
      <c r="F72" s="131">
        <v>0</v>
      </c>
      <c r="G72" s="607">
        <f ca="1">IF(OR(INDIRECT("'update Helper'!E"&amp;Q72)="",F72&lt;&gt;0,F73&lt;&gt;0),IF(IFERROR((F72/F73),"")="","",(F72/F73)),INDIRECT("'update Helper'!E"&amp;Q72)/100)</f>
        <v>0</v>
      </c>
      <c r="H72" s="597">
        <v>2022</v>
      </c>
      <c r="I72" s="599" t="s">
        <v>2219</v>
      </c>
      <c r="J72" s="531" t="s">
        <v>2222</v>
      </c>
      <c r="K72" s="130">
        <f>IF(AND(EXACT(C72,C70),C70&lt;&gt;0),K70+1,0)</f>
        <v>1</v>
      </c>
      <c r="L72" s="130" t="str">
        <f>IF(C72&lt;&gt;"",C72&amp;"-"&amp;K72,"")</f>
        <v>HIV I-9b⁽ᴹ⁾ Percentage of transgender people who are living with HIV-1</v>
      </c>
      <c r="M72" s="130" t="str">
        <f t="array" ref="M72">IFERROR(IF(INDEX('Disaggregation Records'!$E$3:$E$80,MATCH(RIGHT(L72,255),RIGHT('Disaggregation Records'!$D$3:$D$80,255),0))="","",INDEX('Disaggregation Records'!$E$3:$E$80,MATCH(RIGHT(L72,255),RIGHT('Disaggregation Records'!$D$3:$D$80,255),0))),"")</f>
        <v>Age</v>
      </c>
      <c r="N72" s="130" t="str">
        <f t="array" ref="N72">IFERROR(IF(INDEX('Disaggregation Records'!$F$3:$F$80,MATCH(RIGHT(L72,255),RIGHT('Disaggregation Records'!$D$3:$D$80,255),0))="","",INDEX('Disaggregation Records'!$F$3:$F$80,MATCH(RIGHT(L72,255),RIGHT('Disaggregation Records'!$D$3:$D$80,255),0))),"")</f>
        <v>&lt;25</v>
      </c>
      <c r="O72" s="130" t="str">
        <f t="array" ref="O72">IFERROR(IF(INDEX('Disaggregation Records'!$H$3:$H$80,MATCH(RIGHT(L72,255),RIGHT('Disaggregation Records'!$D$3:$D$80,255),0))="","",INDEX('Disaggregation Records'!$H$3:$H$80,MATCH(RIGHT(L72,255),RIGHT('Disaggregation Records'!$D$3:$D$80,255),0))),"")</f>
        <v>IDR-01049</v>
      </c>
      <c r="Q72" s="52">
        <f t="shared" ref="Q72" si="70">Q70+1</f>
        <v>1222</v>
      </c>
    </row>
    <row r="73" spans="1:17" ht="41.25" customHeight="1" x14ac:dyDescent="0.25">
      <c r="B73" s="602"/>
      <c r="C73" s="604"/>
      <c r="D73" s="606"/>
      <c r="E73" s="606"/>
      <c r="F73" s="132">
        <v>25</v>
      </c>
      <c r="G73" s="608"/>
      <c r="H73" s="598"/>
      <c r="I73" s="600"/>
      <c r="J73" s="532"/>
      <c r="K73" s="133"/>
      <c r="L73" s="133"/>
      <c r="M73" s="133"/>
      <c r="N73" s="133"/>
      <c r="O73" s="133"/>
      <c r="Q73" s="130"/>
    </row>
    <row r="74" spans="1:17" ht="20.100000000000001" customHeight="1" x14ac:dyDescent="0.25">
      <c r="A74" s="130" t="str">
        <f t="shared" ref="A74" ca="1" si="71">INDIRECT("'update Helper'!C"&amp;Q74)</f>
        <v>a1GDm000000XmlIMAS</v>
      </c>
      <c r="B74" s="601">
        <v>4</v>
      </c>
      <c r="C74" s="603" t="str">
        <f>IFERROR(VLOOKUP(B74,'Impact Indicators - Section B '!$A$9:$AC$68,29,FALSE),"")</f>
        <v>HIV I-9b⁽ᴹ⁾ Percentage of transgender people who are living with HIV</v>
      </c>
      <c r="D74" s="605" t="str">
        <f t="shared" ref="D74" si="72">M74</f>
        <v/>
      </c>
      <c r="E74" s="605" t="str">
        <f t="shared" ref="E74" si="73">N74</f>
        <v/>
      </c>
      <c r="F74" s="131"/>
      <c r="G74" s="607" t="str">
        <f ca="1">IF(OR(INDIRECT("'update Helper'!E"&amp;Q74)="",F74&lt;&gt;0,F75&lt;&gt;0),IF(IFERROR((F74/F75),"")="","",(F74/F75)),INDIRECT("'update Helper'!E"&amp;Q74)/100)</f>
        <v/>
      </c>
      <c r="H74" s="597"/>
      <c r="I74" s="599"/>
      <c r="J74" s="531"/>
      <c r="K74" s="130">
        <f>IF(AND(EXACT(C74,C72),C72&lt;&gt;0),K72+1,0)</f>
        <v>2</v>
      </c>
      <c r="L74" s="130" t="str">
        <f>IF(C74&lt;&gt;"",C74&amp;"-"&amp;K74,"")</f>
        <v>HIV I-9b⁽ᴹ⁾ Percentage of transgender people who are living with HIV-2</v>
      </c>
      <c r="M74" s="130" t="str">
        <f t="array" ref="M74">IFERROR(IF(INDEX('Disaggregation Records'!$E$3:$E$80,MATCH(RIGHT(L74,255),RIGHT('Disaggregation Records'!$D$3:$D$80,255),0))="","",INDEX('Disaggregation Records'!$E$3:$E$80,MATCH(RIGHT(L74,255),RIGHT('Disaggregation Records'!$D$3:$D$80,255),0))),"")</f>
        <v/>
      </c>
      <c r="N74" s="130" t="str">
        <f t="array" ref="N74">IFERROR(IF(INDEX('Disaggregation Records'!$F$3:$F$80,MATCH(RIGHT(L74,255),RIGHT('Disaggregation Records'!$D$3:$D$80,255),0))="","",INDEX('Disaggregation Records'!$F$3:$F$80,MATCH(RIGHT(L74,255),RIGHT('Disaggregation Records'!$D$3:$D$80,255),0))),"")</f>
        <v/>
      </c>
      <c r="O74" s="130" t="str">
        <f t="array" ref="O74">IFERROR(IF(INDEX('Disaggregation Records'!$H$3:$H$80,MATCH(RIGHT(L74,255),RIGHT('Disaggregation Records'!$D$3:$D$80,255),0))="","",INDEX('Disaggregation Records'!$H$3:$H$80,MATCH(RIGHT(L74,255),RIGHT('Disaggregation Records'!$D$3:$D$80,255),0))),"")</f>
        <v/>
      </c>
      <c r="P74" s="130"/>
      <c r="Q74" s="52">
        <f t="shared" ref="Q74" si="74">Q72+1</f>
        <v>1223</v>
      </c>
    </row>
    <row r="75" spans="1:17" ht="20.100000000000001" customHeight="1" x14ac:dyDescent="0.25">
      <c r="A75" s="130"/>
      <c r="B75" s="602"/>
      <c r="C75" s="604"/>
      <c r="D75" s="606"/>
      <c r="E75" s="606"/>
      <c r="F75" s="132"/>
      <c r="G75" s="608"/>
      <c r="H75" s="598"/>
      <c r="I75" s="600"/>
      <c r="J75" s="532"/>
      <c r="K75" s="133"/>
      <c r="L75" s="133"/>
      <c r="M75" s="133"/>
      <c r="N75" s="133"/>
      <c r="O75" s="133"/>
      <c r="P75" s="133"/>
      <c r="Q75" s="130"/>
    </row>
    <row r="76" spans="1:17" ht="20.100000000000001" customHeight="1" x14ac:dyDescent="0.25">
      <c r="A76" s="130" t="str">
        <f t="shared" ca="1" si="3"/>
        <v>a1GDm000000XmlJMAS</v>
      </c>
      <c r="B76" s="601">
        <v>4</v>
      </c>
      <c r="C76" s="603" t="str">
        <f>IFERROR(VLOOKUP(B76,'Impact Indicators - Section B '!$A$9:$AC$68,29,FALSE),"")</f>
        <v>HIV I-9b⁽ᴹ⁾ Percentage of transgender people who are living with HIV</v>
      </c>
      <c r="D76" s="605" t="str">
        <f t="shared" ref="D76" si="75">M76</f>
        <v/>
      </c>
      <c r="E76" s="605" t="str">
        <f t="shared" ref="E76" si="76">N76</f>
        <v/>
      </c>
      <c r="F76" s="131"/>
      <c r="G76" s="607" t="str">
        <f ca="1">IF(OR(INDIRECT("'update Helper'!E"&amp;Q76)="",F76&lt;&gt;0,F77&lt;&gt;0),IF(IFERROR((F76/F77),"")="","",(F76/F77)),INDIRECT("'update Helper'!E"&amp;Q76)/100)</f>
        <v/>
      </c>
      <c r="H76" s="597"/>
      <c r="I76" s="599"/>
      <c r="J76" s="531"/>
      <c r="K76" s="130">
        <f>IF(AND(EXACT(C76,C74),C74&lt;&gt;0),K74+1,0)</f>
        <v>3</v>
      </c>
      <c r="L76" s="130" t="str">
        <f>IF(C76&lt;&gt;"",C76&amp;"-"&amp;K76,"")</f>
        <v>HIV I-9b⁽ᴹ⁾ Percentage of transgender people who are living with HIV-3</v>
      </c>
      <c r="M76" s="130" t="str">
        <f t="array" ref="M76">IFERROR(IF(INDEX('Disaggregation Records'!$E$3:$E$80,MATCH(RIGHT(L76,255),RIGHT('Disaggregation Records'!$D$3:$D$80,255),0))="","",INDEX('Disaggregation Records'!$E$3:$E$80,MATCH(RIGHT(L76,255),RIGHT('Disaggregation Records'!$D$3:$D$80,255),0))),"")</f>
        <v/>
      </c>
      <c r="N76" s="130" t="str">
        <f t="array" ref="N76">IFERROR(IF(INDEX('Disaggregation Records'!$F$3:$F$80,MATCH(RIGHT(L76,255),RIGHT('Disaggregation Records'!$D$3:$D$80,255),0))="","",INDEX('Disaggregation Records'!$F$3:$F$80,MATCH(RIGHT(L76,255),RIGHT('Disaggregation Records'!$D$3:$D$80,255),0))),"")</f>
        <v/>
      </c>
      <c r="O76" s="130" t="str">
        <f t="array" ref="O76">IFERROR(IF(INDEX('Disaggregation Records'!$H$3:$H$80,MATCH(RIGHT(L76,255),RIGHT('Disaggregation Records'!$D$3:$D$80,255),0))="","",INDEX('Disaggregation Records'!$H$3:$H$80,MATCH(RIGHT(L76,255),RIGHT('Disaggregation Records'!$D$3:$D$80,255),0))),"")</f>
        <v/>
      </c>
      <c r="Q76" s="52">
        <f t="shared" ref="Q76" si="77">Q74+1</f>
        <v>1224</v>
      </c>
    </row>
    <row r="77" spans="1:17" ht="20.100000000000001" customHeight="1" x14ac:dyDescent="0.25">
      <c r="B77" s="602"/>
      <c r="C77" s="604"/>
      <c r="D77" s="606"/>
      <c r="E77" s="606"/>
      <c r="F77" s="132"/>
      <c r="G77" s="608"/>
      <c r="H77" s="598"/>
      <c r="I77" s="600"/>
      <c r="J77" s="532"/>
      <c r="K77" s="133"/>
      <c r="L77" s="133"/>
      <c r="M77" s="133"/>
      <c r="N77" s="133"/>
      <c r="O77" s="133"/>
      <c r="Q77" s="130"/>
    </row>
    <row r="78" spans="1:17" ht="20.100000000000001" customHeight="1" x14ac:dyDescent="0.25">
      <c r="A78" s="130" t="str">
        <f t="shared" ref="A78" ca="1" si="78">INDIRECT("'update Helper'!C"&amp;Q78)</f>
        <v>a1GDm000000XmlKMAS</v>
      </c>
      <c r="B78" s="601">
        <v>4</v>
      </c>
      <c r="C78" s="603" t="str">
        <f>IFERROR(VLOOKUP(B78,'Impact Indicators - Section B '!$A$9:$AC$68,29,FALSE),"")</f>
        <v>HIV I-9b⁽ᴹ⁾ Percentage of transgender people who are living with HIV</v>
      </c>
      <c r="D78" s="605" t="str">
        <f t="shared" ref="D78" si="79">M78</f>
        <v/>
      </c>
      <c r="E78" s="605" t="str">
        <f t="shared" ref="E78" si="80">N78</f>
        <v/>
      </c>
      <c r="F78" s="131"/>
      <c r="G78" s="607" t="str">
        <f ca="1">IF(OR(INDIRECT("'update Helper'!E"&amp;Q78)="",F78&lt;&gt;0,F79&lt;&gt;0),IF(IFERROR((F78/F79),"")="","",(F78/F79)),INDIRECT("'update Helper'!E"&amp;Q78)/100)</f>
        <v/>
      </c>
      <c r="H78" s="597"/>
      <c r="I78" s="599"/>
      <c r="J78" s="531"/>
      <c r="K78" s="130">
        <f>IF(AND(EXACT(C78,C76),C76&lt;&gt;0),K76+1,0)</f>
        <v>4</v>
      </c>
      <c r="L78" s="130" t="str">
        <f>IF(C78&lt;&gt;"",C78&amp;"-"&amp;K78,"")</f>
        <v>HIV I-9b⁽ᴹ⁾ Percentage of transgender people who are living with HIV-4</v>
      </c>
      <c r="M78" s="130" t="str">
        <f t="array" ref="M78">IFERROR(IF(INDEX('Disaggregation Records'!$E$3:$E$80,MATCH(RIGHT(L78,255),RIGHT('Disaggregation Records'!$D$3:$D$80,255),0))="","",INDEX('Disaggregation Records'!$E$3:$E$80,MATCH(RIGHT(L78,255),RIGHT('Disaggregation Records'!$D$3:$D$80,255),0))),"")</f>
        <v/>
      </c>
      <c r="N78" s="130" t="str">
        <f t="array" ref="N78">IFERROR(IF(INDEX('Disaggregation Records'!$F$3:$F$80,MATCH(RIGHT(L78,255),RIGHT('Disaggregation Records'!$D$3:$D$80,255),0))="","",INDEX('Disaggregation Records'!$F$3:$F$80,MATCH(RIGHT(L78,255),RIGHT('Disaggregation Records'!$D$3:$D$80,255),0))),"")</f>
        <v/>
      </c>
      <c r="O78" s="130" t="str">
        <f t="array" ref="O78">IFERROR(IF(INDEX('Disaggregation Records'!$H$3:$H$80,MATCH(RIGHT(L78,255),RIGHT('Disaggregation Records'!$D$3:$D$80,255),0))="","",INDEX('Disaggregation Records'!$H$3:$H$80,MATCH(RIGHT(L78,255),RIGHT('Disaggregation Records'!$D$3:$D$80,255),0))),"")</f>
        <v/>
      </c>
      <c r="P78" s="130"/>
      <c r="Q78" s="52">
        <f t="shared" ref="Q78" si="81">Q76+1</f>
        <v>1225</v>
      </c>
    </row>
    <row r="79" spans="1:17" ht="20.100000000000001" customHeight="1" x14ac:dyDescent="0.25">
      <c r="A79" s="130"/>
      <c r="B79" s="602"/>
      <c r="C79" s="604"/>
      <c r="D79" s="606"/>
      <c r="E79" s="606"/>
      <c r="F79" s="132"/>
      <c r="G79" s="608"/>
      <c r="H79" s="598"/>
      <c r="I79" s="600"/>
      <c r="J79" s="532"/>
      <c r="K79" s="133"/>
      <c r="L79" s="133"/>
      <c r="M79" s="133"/>
      <c r="N79" s="133"/>
      <c r="O79" s="133"/>
      <c r="P79" s="133"/>
      <c r="Q79" s="130"/>
    </row>
    <row r="80" spans="1:17" ht="20.100000000000001" customHeight="1" x14ac:dyDescent="0.25">
      <c r="A80" s="130" t="str">
        <f t="shared" ref="A80:A140" ca="1" si="82">INDIRECT("'update Helper'!C"&amp;Q80)</f>
        <v>a1GDm000000XmlLMAS</v>
      </c>
      <c r="B80" s="601">
        <v>4</v>
      </c>
      <c r="C80" s="603" t="str">
        <f>IFERROR(VLOOKUP(B80,'Impact Indicators - Section B '!$A$9:$AC$68,29,FALSE),"")</f>
        <v>HIV I-9b⁽ᴹ⁾ Percentage of transgender people who are living with HIV</v>
      </c>
      <c r="D80" s="605" t="str">
        <f t="shared" ref="D80" si="83">M80</f>
        <v/>
      </c>
      <c r="E80" s="605" t="str">
        <f t="shared" ref="E80" si="84">N80</f>
        <v/>
      </c>
      <c r="F80" s="131"/>
      <c r="G80" s="607" t="str">
        <f ca="1">IF(OR(INDIRECT("'update Helper'!E"&amp;Q80)="",F80&lt;&gt;0,F81&lt;&gt;0),IF(IFERROR((F80/F81),"")="","",(F80/F81)),INDIRECT("'update Helper'!E"&amp;Q80)/100)</f>
        <v/>
      </c>
      <c r="H80" s="597"/>
      <c r="I80" s="599"/>
      <c r="J80" s="531"/>
      <c r="K80" s="130">
        <f>IF(AND(EXACT(C80,C78),C78&lt;&gt;0),K78+1,0)</f>
        <v>5</v>
      </c>
      <c r="L80" s="130" t="str">
        <f>IF(C80&lt;&gt;"",C80&amp;"-"&amp;K80,"")</f>
        <v>HIV I-9b⁽ᴹ⁾ Percentage of transgender people who are living with HIV-5</v>
      </c>
      <c r="M80" s="130" t="str">
        <f t="array" ref="M80">IFERROR(IF(INDEX('Disaggregation Records'!$E$3:$E$80,MATCH(RIGHT(L80,255),RIGHT('Disaggregation Records'!$D$3:$D$80,255),0))="","",INDEX('Disaggregation Records'!$E$3:$E$80,MATCH(RIGHT(L80,255),RIGHT('Disaggregation Records'!$D$3:$D$80,255),0))),"")</f>
        <v/>
      </c>
      <c r="N80" s="130" t="str">
        <f t="array" ref="N80">IFERROR(IF(INDEX('Disaggregation Records'!$F$3:$F$80,MATCH(RIGHT(L80,255),RIGHT('Disaggregation Records'!$D$3:$D$80,255),0))="","",INDEX('Disaggregation Records'!$F$3:$F$80,MATCH(RIGHT(L80,255),RIGHT('Disaggregation Records'!$D$3:$D$80,255),0))),"")</f>
        <v/>
      </c>
      <c r="O80" s="130" t="str">
        <f t="array" ref="O80">IFERROR(IF(INDEX('Disaggregation Records'!$H$3:$H$80,MATCH(RIGHT(L80,255),RIGHT('Disaggregation Records'!$D$3:$D$80,255),0))="","",INDEX('Disaggregation Records'!$H$3:$H$80,MATCH(RIGHT(L80,255),RIGHT('Disaggregation Records'!$D$3:$D$80,255),0))),"")</f>
        <v/>
      </c>
      <c r="Q80" s="52">
        <f t="shared" ref="Q80" si="85">Q78+1</f>
        <v>1226</v>
      </c>
    </row>
    <row r="81" spans="1:17" ht="20.100000000000001" customHeight="1" x14ac:dyDescent="0.25">
      <c r="B81" s="602"/>
      <c r="C81" s="604"/>
      <c r="D81" s="606"/>
      <c r="E81" s="606"/>
      <c r="F81" s="132"/>
      <c r="G81" s="608"/>
      <c r="H81" s="598"/>
      <c r="I81" s="600"/>
      <c r="J81" s="532"/>
      <c r="K81" s="133"/>
      <c r="L81" s="133"/>
      <c r="M81" s="133"/>
      <c r="N81" s="133"/>
      <c r="O81" s="133"/>
      <c r="Q81" s="130"/>
    </row>
    <row r="82" spans="1:17" ht="20.100000000000001" customHeight="1" x14ac:dyDescent="0.25">
      <c r="A82" s="130" t="str">
        <f t="shared" ref="A82" ca="1" si="86">INDIRECT("'update Helper'!C"&amp;Q82)</f>
        <v>a1GDm000000XmlMMAS</v>
      </c>
      <c r="B82" s="601">
        <v>4</v>
      </c>
      <c r="C82" s="603" t="str">
        <f>IFERROR(VLOOKUP(B82,'Impact Indicators - Section B '!$A$9:$AC$68,29,FALSE),"")</f>
        <v>HIV I-9b⁽ᴹ⁾ Percentage of transgender people who are living with HIV</v>
      </c>
      <c r="D82" s="605" t="str">
        <f t="shared" ref="D82" si="87">M82</f>
        <v/>
      </c>
      <c r="E82" s="605" t="str">
        <f t="shared" ref="E82" si="88">N82</f>
        <v/>
      </c>
      <c r="F82" s="131"/>
      <c r="G82" s="607" t="str">
        <f ca="1">IF(OR(INDIRECT("'update Helper'!E"&amp;Q82)="",F82&lt;&gt;0,F83&lt;&gt;0),IF(IFERROR((F82/F83),"")="","",(F82/F83)),INDIRECT("'update Helper'!E"&amp;Q82)/100)</f>
        <v/>
      </c>
      <c r="H82" s="597"/>
      <c r="I82" s="599"/>
      <c r="J82" s="531"/>
      <c r="K82" s="130">
        <f>IF(AND(EXACT(C82,C80),C80&lt;&gt;0),K80+1,0)</f>
        <v>6</v>
      </c>
      <c r="L82" s="130" t="str">
        <f>IF(C82&lt;&gt;"",C82&amp;"-"&amp;K82,"")</f>
        <v>HIV I-9b⁽ᴹ⁾ Percentage of transgender people who are living with HIV-6</v>
      </c>
      <c r="M82" s="130" t="str">
        <f t="array" ref="M82">IFERROR(IF(INDEX('Disaggregation Records'!$E$3:$E$80,MATCH(RIGHT(L82,255),RIGHT('Disaggregation Records'!$D$3:$D$80,255),0))="","",INDEX('Disaggregation Records'!$E$3:$E$80,MATCH(RIGHT(L82,255),RIGHT('Disaggregation Records'!$D$3:$D$80,255),0))),"")</f>
        <v/>
      </c>
      <c r="N82" s="130" t="str">
        <f t="array" ref="N82">IFERROR(IF(INDEX('Disaggregation Records'!$F$3:$F$80,MATCH(RIGHT(L82,255),RIGHT('Disaggregation Records'!$D$3:$D$80,255),0))="","",INDEX('Disaggregation Records'!$F$3:$F$80,MATCH(RIGHT(L82,255),RIGHT('Disaggregation Records'!$D$3:$D$80,255),0))),"")</f>
        <v/>
      </c>
      <c r="O82" s="130" t="str">
        <f t="array" ref="O82">IFERROR(IF(INDEX('Disaggregation Records'!$H$3:$H$80,MATCH(RIGHT(L82,255),RIGHT('Disaggregation Records'!$D$3:$D$80,255),0))="","",INDEX('Disaggregation Records'!$H$3:$H$80,MATCH(RIGHT(L82,255),RIGHT('Disaggregation Records'!$D$3:$D$80,255),0))),"")</f>
        <v/>
      </c>
      <c r="P82" s="130"/>
      <c r="Q82" s="52">
        <f t="shared" ref="Q82" si="89">Q80+1</f>
        <v>1227</v>
      </c>
    </row>
    <row r="83" spans="1:17" ht="20.100000000000001" customHeight="1" x14ac:dyDescent="0.25">
      <c r="A83" s="130"/>
      <c r="B83" s="602"/>
      <c r="C83" s="604"/>
      <c r="D83" s="606"/>
      <c r="E83" s="606"/>
      <c r="F83" s="132"/>
      <c r="G83" s="608"/>
      <c r="H83" s="598"/>
      <c r="I83" s="600"/>
      <c r="J83" s="532"/>
      <c r="K83" s="133"/>
      <c r="L83" s="133"/>
      <c r="M83" s="133"/>
      <c r="N83" s="133"/>
      <c r="O83" s="133"/>
      <c r="P83" s="133"/>
      <c r="Q83" s="130"/>
    </row>
    <row r="84" spans="1:17" ht="20.100000000000001" customHeight="1" x14ac:dyDescent="0.25">
      <c r="A84" s="130" t="str">
        <f t="shared" ca="1" si="82"/>
        <v>a1GDm000000XmlNMAS</v>
      </c>
      <c r="B84" s="601">
        <v>4</v>
      </c>
      <c r="C84" s="603" t="str">
        <f>IFERROR(VLOOKUP(B84,'Impact Indicators - Section B '!$A$9:$AC$68,29,FALSE),"")</f>
        <v>HIV I-9b⁽ᴹ⁾ Percentage of transgender people who are living with HIV</v>
      </c>
      <c r="D84" s="605" t="str">
        <f t="shared" ref="D84" si="90">M84</f>
        <v/>
      </c>
      <c r="E84" s="605" t="str">
        <f t="shared" ref="E84" si="91">N84</f>
        <v/>
      </c>
      <c r="F84" s="131"/>
      <c r="G84" s="607" t="str">
        <f ca="1">IF(OR(INDIRECT("'update Helper'!E"&amp;Q84)="",F84&lt;&gt;0,F85&lt;&gt;0),IF(IFERROR((F84/F85),"")="","",(F84/F85)),INDIRECT("'update Helper'!E"&amp;Q84)/100)</f>
        <v/>
      </c>
      <c r="H84" s="597"/>
      <c r="I84" s="599"/>
      <c r="J84" s="531"/>
      <c r="K84" s="130">
        <f>IF(AND(EXACT(C84,C82),C82&lt;&gt;0),K82+1,0)</f>
        <v>7</v>
      </c>
      <c r="L84" s="130" t="str">
        <f>IF(C84&lt;&gt;"",C84&amp;"-"&amp;K84,"")</f>
        <v>HIV I-9b⁽ᴹ⁾ Percentage of transgender people who are living with HIV-7</v>
      </c>
      <c r="M84" s="130" t="str">
        <f t="array" ref="M84">IFERROR(IF(INDEX('Disaggregation Records'!$E$3:$E$80,MATCH(RIGHT(L84,255),RIGHT('Disaggregation Records'!$D$3:$D$80,255),0))="","",INDEX('Disaggregation Records'!$E$3:$E$80,MATCH(RIGHT(L84,255),RIGHT('Disaggregation Records'!$D$3:$D$80,255),0))),"")</f>
        <v/>
      </c>
      <c r="N84" s="130" t="str">
        <f t="array" ref="N84">IFERROR(IF(INDEX('Disaggregation Records'!$F$3:$F$80,MATCH(RIGHT(L84,255),RIGHT('Disaggregation Records'!$D$3:$D$80,255),0))="","",INDEX('Disaggregation Records'!$F$3:$F$80,MATCH(RIGHT(L84,255),RIGHT('Disaggregation Records'!$D$3:$D$80,255),0))),"")</f>
        <v/>
      </c>
      <c r="O84" s="130" t="str">
        <f t="array" ref="O84">IFERROR(IF(INDEX('Disaggregation Records'!$H$3:$H$80,MATCH(RIGHT(L84,255),RIGHT('Disaggregation Records'!$D$3:$D$80,255),0))="","",INDEX('Disaggregation Records'!$H$3:$H$80,MATCH(RIGHT(L84,255),RIGHT('Disaggregation Records'!$D$3:$D$80,255),0))),"")</f>
        <v/>
      </c>
      <c r="Q84" s="52">
        <f t="shared" ref="Q84" si="92">Q82+1</f>
        <v>1228</v>
      </c>
    </row>
    <row r="85" spans="1:17" ht="20.100000000000001" customHeight="1" x14ac:dyDescent="0.25">
      <c r="B85" s="602"/>
      <c r="C85" s="604"/>
      <c r="D85" s="606"/>
      <c r="E85" s="606"/>
      <c r="F85" s="132"/>
      <c r="G85" s="608"/>
      <c r="H85" s="598"/>
      <c r="I85" s="600"/>
      <c r="J85" s="532"/>
      <c r="K85" s="133"/>
      <c r="L85" s="133"/>
      <c r="M85" s="133"/>
      <c r="N85" s="133"/>
      <c r="O85" s="133"/>
      <c r="Q85" s="130"/>
    </row>
    <row r="86" spans="1:17" ht="20.100000000000001" customHeight="1" x14ac:dyDescent="0.25">
      <c r="A86" s="130" t="str">
        <f t="shared" ref="A86" ca="1" si="93">INDIRECT("'update Helper'!C"&amp;Q86)</f>
        <v>a1GDm000000XmlOMAS</v>
      </c>
      <c r="B86" s="601">
        <v>4</v>
      </c>
      <c r="C86" s="603" t="str">
        <f>IFERROR(VLOOKUP(B86,'Impact Indicators - Section B '!$A$9:$AC$68,29,FALSE),"")</f>
        <v>HIV I-9b⁽ᴹ⁾ Percentage of transgender people who are living with HIV</v>
      </c>
      <c r="D86" s="605" t="str">
        <f t="shared" ref="D86" si="94">M86</f>
        <v/>
      </c>
      <c r="E86" s="605" t="str">
        <f t="shared" ref="E86" si="95">N86</f>
        <v/>
      </c>
      <c r="F86" s="131"/>
      <c r="G86" s="607" t="str">
        <f ca="1">IF(OR(INDIRECT("'update Helper'!E"&amp;Q86)="",F86&lt;&gt;0,F87&lt;&gt;0),IF(IFERROR((F86/F87),"")="","",(F86/F87)),INDIRECT("'update Helper'!E"&amp;Q86)/100)</f>
        <v/>
      </c>
      <c r="H86" s="597"/>
      <c r="I86" s="599"/>
      <c r="J86" s="531"/>
      <c r="K86" s="130">
        <f>IF(AND(EXACT(C86,C84),C84&lt;&gt;0),K84+1,0)</f>
        <v>8</v>
      </c>
      <c r="L86" s="130" t="str">
        <f>IF(C86&lt;&gt;"",C86&amp;"-"&amp;K86,"")</f>
        <v>HIV I-9b⁽ᴹ⁾ Percentage of transgender people who are living with HIV-8</v>
      </c>
      <c r="M86" s="130" t="str">
        <f t="array" ref="M86">IFERROR(IF(INDEX('Disaggregation Records'!$E$3:$E$80,MATCH(RIGHT(L86,255),RIGHT('Disaggregation Records'!$D$3:$D$80,255),0))="","",INDEX('Disaggregation Records'!$E$3:$E$80,MATCH(RIGHT(L86,255),RIGHT('Disaggregation Records'!$D$3:$D$80,255),0))),"")</f>
        <v/>
      </c>
      <c r="N86" s="130" t="str">
        <f t="array" ref="N86">IFERROR(IF(INDEX('Disaggregation Records'!$F$3:$F$80,MATCH(RIGHT(L86,255),RIGHT('Disaggregation Records'!$D$3:$D$80,255),0))="","",INDEX('Disaggregation Records'!$F$3:$F$80,MATCH(RIGHT(L86,255),RIGHT('Disaggregation Records'!$D$3:$D$80,255),0))),"")</f>
        <v/>
      </c>
      <c r="O86" s="130" t="str">
        <f t="array" ref="O86">IFERROR(IF(INDEX('Disaggregation Records'!$H$3:$H$80,MATCH(RIGHT(L86,255),RIGHT('Disaggregation Records'!$D$3:$D$80,255),0))="","",INDEX('Disaggregation Records'!$H$3:$H$80,MATCH(RIGHT(L86,255),RIGHT('Disaggregation Records'!$D$3:$D$80,255),0))),"")</f>
        <v/>
      </c>
      <c r="P86" s="130"/>
      <c r="Q86" s="52">
        <f t="shared" ref="Q86" si="96">Q84+1</f>
        <v>1229</v>
      </c>
    </row>
    <row r="87" spans="1:17" ht="20.100000000000001" customHeight="1" x14ac:dyDescent="0.25">
      <c r="A87" s="130"/>
      <c r="B87" s="602"/>
      <c r="C87" s="604"/>
      <c r="D87" s="606"/>
      <c r="E87" s="606"/>
      <c r="F87" s="132"/>
      <c r="G87" s="608"/>
      <c r="H87" s="598"/>
      <c r="I87" s="600"/>
      <c r="J87" s="532"/>
      <c r="K87" s="133"/>
      <c r="L87" s="133"/>
      <c r="M87" s="133"/>
      <c r="N87" s="133"/>
      <c r="O87" s="133"/>
      <c r="P87" s="133"/>
      <c r="Q87" s="130"/>
    </row>
    <row r="88" spans="1:17" ht="20.100000000000001" customHeight="1" x14ac:dyDescent="0.25">
      <c r="A88" s="130" t="str">
        <f t="shared" ca="1" si="82"/>
        <v>a1GDm000000XmlPMAS</v>
      </c>
      <c r="B88" s="601">
        <v>4</v>
      </c>
      <c r="C88" s="603" t="str">
        <f>IFERROR(VLOOKUP(B88,'Impact Indicators - Section B '!$A$9:$AC$68,29,FALSE),"")</f>
        <v>HIV I-9b⁽ᴹ⁾ Percentage of transgender people who are living with HIV</v>
      </c>
      <c r="D88" s="605" t="str">
        <f t="shared" ref="D88" si="97">M88</f>
        <v/>
      </c>
      <c r="E88" s="605" t="str">
        <f t="shared" ref="E88" si="98">N88</f>
        <v/>
      </c>
      <c r="F88" s="131"/>
      <c r="G88" s="607" t="str">
        <f ca="1">IF(OR(INDIRECT("'update Helper'!E"&amp;Q88)="",F88&lt;&gt;0,F89&lt;&gt;0),IF(IFERROR((F88/F89),"")="","",(F88/F89)),INDIRECT("'update Helper'!E"&amp;Q88)/100)</f>
        <v/>
      </c>
      <c r="H88" s="597"/>
      <c r="I88" s="599"/>
      <c r="J88" s="531"/>
      <c r="K88" s="130">
        <f>IF(AND(EXACT(C88,C86),C86&lt;&gt;0),K86+1,0)</f>
        <v>9</v>
      </c>
      <c r="L88" s="130" t="str">
        <f>IF(C88&lt;&gt;"",C88&amp;"-"&amp;K88,"")</f>
        <v>HIV I-9b⁽ᴹ⁾ Percentage of transgender people who are living with HIV-9</v>
      </c>
      <c r="M88" s="130" t="str">
        <f t="array" ref="M88">IFERROR(IF(INDEX('Disaggregation Records'!$E$3:$E$80,MATCH(RIGHT(L88,255),RIGHT('Disaggregation Records'!$D$3:$D$80,255),0))="","",INDEX('Disaggregation Records'!$E$3:$E$80,MATCH(RIGHT(L88,255),RIGHT('Disaggregation Records'!$D$3:$D$80,255),0))),"")</f>
        <v/>
      </c>
      <c r="N88" s="130" t="str">
        <f t="array" ref="N88">IFERROR(IF(INDEX('Disaggregation Records'!$F$3:$F$80,MATCH(RIGHT(L88,255),RIGHT('Disaggregation Records'!$D$3:$D$80,255),0))="","",INDEX('Disaggregation Records'!$F$3:$F$80,MATCH(RIGHT(L88,255),RIGHT('Disaggregation Records'!$D$3:$D$80,255),0))),"")</f>
        <v/>
      </c>
      <c r="O88" s="130" t="str">
        <f t="array" ref="O88">IFERROR(IF(INDEX('Disaggregation Records'!$H$3:$H$80,MATCH(RIGHT(L88,255),RIGHT('Disaggregation Records'!$D$3:$D$80,255),0))="","",INDEX('Disaggregation Records'!$H$3:$H$80,MATCH(RIGHT(L88,255),RIGHT('Disaggregation Records'!$D$3:$D$80,255),0))),"")</f>
        <v/>
      </c>
      <c r="Q88" s="52">
        <f t="shared" ref="Q88" si="99">Q86+1</f>
        <v>1230</v>
      </c>
    </row>
    <row r="89" spans="1:17" ht="20.100000000000001" customHeight="1" x14ac:dyDescent="0.25">
      <c r="B89" s="602"/>
      <c r="C89" s="604"/>
      <c r="D89" s="606"/>
      <c r="E89" s="606"/>
      <c r="F89" s="132"/>
      <c r="G89" s="608"/>
      <c r="H89" s="598"/>
      <c r="I89" s="600"/>
      <c r="J89" s="532"/>
      <c r="K89" s="133"/>
      <c r="L89" s="133"/>
      <c r="M89" s="133"/>
      <c r="N89" s="133"/>
      <c r="O89" s="133"/>
      <c r="Q89" s="130"/>
    </row>
    <row r="90" spans="1:17" ht="20.100000000000001" customHeight="1" x14ac:dyDescent="0.25">
      <c r="A90" s="130" t="str">
        <f t="shared" ref="A90" ca="1" si="100">INDIRECT("'update Helper'!C"&amp;Q90)</f>
        <v>a1GDm000000XmlQMAS</v>
      </c>
      <c r="B90" s="601">
        <v>5</v>
      </c>
      <c r="C90" s="603" t="str">
        <f>IFERROR(VLOOKUP(B90,'Impact Indicators - Section B '!$A$9:$AC$68,29,FALSE),"")</f>
        <v>HIV I-11⁽ᴹ⁾ Percentage of people who inject drugs who are living with HIV</v>
      </c>
      <c r="D90" s="605" t="str">
        <f t="shared" ref="D90" si="101">M90</f>
        <v>Age</v>
      </c>
      <c r="E90" s="605" t="str">
        <f t="shared" ref="E90" si="102">N90</f>
        <v>25+</v>
      </c>
      <c r="F90" s="131">
        <v>167</v>
      </c>
      <c r="G90" s="607">
        <f ca="1">IF(OR(INDIRECT("'update Helper'!E"&amp;Q90)="",F90&lt;&gt;0,F91&lt;&gt;0),IF(IFERROR((F90/F91),"")="","",(F90/F91)),INDIRECT("'update Helper'!E"&amp;Q90)/100)</f>
        <v>0.18912797281993204</v>
      </c>
      <c r="H90" s="597">
        <v>2021</v>
      </c>
      <c r="I90" s="599" t="s">
        <v>2219</v>
      </c>
      <c r="J90" s="531" t="s">
        <v>2223</v>
      </c>
      <c r="K90" s="130">
        <f>IF(AND(EXACT(C90,C88),C88&lt;&gt;0),K88+1,0)</f>
        <v>0</v>
      </c>
      <c r="L90" s="130" t="str">
        <f>IF(C90&lt;&gt;"",C90&amp;"-"&amp;K90,"")</f>
        <v>HIV I-11⁽ᴹ⁾ Percentage of people who inject drugs who are living with HIV-0</v>
      </c>
      <c r="M90" s="130" t="str">
        <f t="array" ref="M90">IFERROR(IF(INDEX('Disaggregation Records'!$E$3:$E$80,MATCH(RIGHT(L90,255),RIGHT('Disaggregation Records'!$D$3:$D$80,255),0))="","",INDEX('Disaggregation Records'!$E$3:$E$80,MATCH(RIGHT(L90,255),RIGHT('Disaggregation Records'!$D$3:$D$80,255),0))),"")</f>
        <v>Age</v>
      </c>
      <c r="N90" s="130" t="str">
        <f t="array" ref="N90">IFERROR(IF(INDEX('Disaggregation Records'!$F$3:$F$80,MATCH(RIGHT(L90,255),RIGHT('Disaggregation Records'!$D$3:$D$80,255),0))="","",INDEX('Disaggregation Records'!$F$3:$F$80,MATCH(RIGHT(L90,255),RIGHT('Disaggregation Records'!$D$3:$D$80,255),0))),"")</f>
        <v>25+</v>
      </c>
      <c r="O90" s="130" t="str">
        <f t="array" ref="O90">IFERROR(IF(INDEX('Disaggregation Records'!$H$3:$H$80,MATCH(RIGHT(L90,255),RIGHT('Disaggregation Records'!$D$3:$D$80,255),0))="","",INDEX('Disaggregation Records'!$H$3:$H$80,MATCH(RIGHT(L90,255),RIGHT('Disaggregation Records'!$D$3:$D$80,255),0))),"")</f>
        <v>IDR-01060</v>
      </c>
      <c r="P90" s="130"/>
      <c r="Q90" s="52">
        <f t="shared" ref="Q90" si="103">Q88+1</f>
        <v>1231</v>
      </c>
    </row>
    <row r="91" spans="1:17" ht="37.5" customHeight="1" x14ac:dyDescent="0.25">
      <c r="A91" s="130"/>
      <c r="B91" s="602">
        <v>3.7556390977443699</v>
      </c>
      <c r="C91" s="604"/>
      <c r="D91" s="606"/>
      <c r="E91" s="606"/>
      <c r="F91" s="132">
        <v>883</v>
      </c>
      <c r="G91" s="608"/>
      <c r="H91" s="598"/>
      <c r="I91" s="600"/>
      <c r="J91" s="532"/>
      <c r="K91" s="133"/>
      <c r="L91" s="133"/>
      <c r="M91" s="133"/>
      <c r="N91" s="133"/>
      <c r="O91" s="133"/>
      <c r="P91" s="133"/>
      <c r="Q91" s="130"/>
    </row>
    <row r="92" spans="1:17" ht="29.25" customHeight="1" x14ac:dyDescent="0.25">
      <c r="A92" s="130" t="str">
        <f t="shared" ca="1" si="82"/>
        <v>a1GDm000000XmlRMAS</v>
      </c>
      <c r="B92" s="601">
        <v>5</v>
      </c>
      <c r="C92" s="603" t="str">
        <f>IFERROR(VLOOKUP(B92,'Impact Indicators - Section B '!$A$9:$AC$68,29,FALSE),"")</f>
        <v>HIV I-11⁽ᴹ⁾ Percentage of people who inject drugs who are living with HIV</v>
      </c>
      <c r="D92" s="605" t="str">
        <f t="shared" ref="D92" si="104">M92</f>
        <v>Age</v>
      </c>
      <c r="E92" s="605" t="str">
        <f t="shared" ref="E92" si="105">N92</f>
        <v>&lt;25</v>
      </c>
      <c r="F92" s="131">
        <v>0</v>
      </c>
      <c r="G92" s="607">
        <f ca="1">IF(OR(INDIRECT("'update Helper'!E"&amp;Q92)="",F92&lt;&gt;0,F93&lt;&gt;0),IF(IFERROR((F92/F93),"")="","",(F92/F93)),INDIRECT("'update Helper'!E"&amp;Q92)/100)</f>
        <v>0</v>
      </c>
      <c r="H92" s="597">
        <v>2021</v>
      </c>
      <c r="I92" s="599" t="s">
        <v>2219</v>
      </c>
      <c r="J92" s="531" t="s">
        <v>2223</v>
      </c>
      <c r="K92" s="130">
        <f>IF(AND(EXACT(C92,C90),C90&lt;&gt;0),K90+1,0)</f>
        <v>1</v>
      </c>
      <c r="L92" s="130" t="str">
        <f>IF(C92&lt;&gt;"",C92&amp;"-"&amp;K92,"")</f>
        <v>HIV I-11⁽ᴹ⁾ Percentage of people who inject drugs who are living with HIV-1</v>
      </c>
      <c r="M92" s="130" t="str">
        <f t="array" ref="M92">IFERROR(IF(INDEX('Disaggregation Records'!$E$3:$E$80,MATCH(RIGHT(L92,255),RIGHT('Disaggregation Records'!$D$3:$D$80,255),0))="","",INDEX('Disaggregation Records'!$E$3:$E$80,MATCH(RIGHT(L92,255),RIGHT('Disaggregation Records'!$D$3:$D$80,255),0))),"")</f>
        <v>Age</v>
      </c>
      <c r="N92" s="130" t="str">
        <f t="array" ref="N92">IFERROR(IF(INDEX('Disaggregation Records'!$F$3:$F$80,MATCH(RIGHT(L92,255),RIGHT('Disaggregation Records'!$D$3:$D$80,255),0))="","",INDEX('Disaggregation Records'!$F$3:$F$80,MATCH(RIGHT(L92,255),RIGHT('Disaggregation Records'!$D$3:$D$80,255),0))),"")</f>
        <v>&lt;25</v>
      </c>
      <c r="O92" s="130" t="str">
        <f t="array" ref="O92">IFERROR(IF(INDEX('Disaggregation Records'!$H$3:$H$80,MATCH(RIGHT(L92,255),RIGHT('Disaggregation Records'!$D$3:$D$80,255),0))="","",INDEX('Disaggregation Records'!$H$3:$H$80,MATCH(RIGHT(L92,255),RIGHT('Disaggregation Records'!$D$3:$D$80,255),0))),"")</f>
        <v>IDR-01059</v>
      </c>
      <c r="Q92" s="52">
        <f t="shared" ref="Q92" si="106">Q90+1</f>
        <v>1232</v>
      </c>
    </row>
    <row r="93" spans="1:17" ht="34.5" customHeight="1" x14ac:dyDescent="0.25">
      <c r="B93" s="602">
        <v>3.7556390977443699</v>
      </c>
      <c r="C93" s="604"/>
      <c r="D93" s="606"/>
      <c r="E93" s="606"/>
      <c r="F93" s="132">
        <v>46</v>
      </c>
      <c r="G93" s="608"/>
      <c r="H93" s="598"/>
      <c r="I93" s="600"/>
      <c r="J93" s="532"/>
      <c r="K93" s="133"/>
      <c r="L93" s="133"/>
      <c r="M93" s="133"/>
      <c r="N93" s="133"/>
      <c r="O93" s="133"/>
      <c r="Q93" s="130"/>
    </row>
    <row r="94" spans="1:17" ht="29.25" customHeight="1" x14ac:dyDescent="0.25">
      <c r="A94" s="130" t="str">
        <f t="shared" ref="A94" ca="1" si="107">INDIRECT("'update Helper'!C"&amp;Q94)</f>
        <v>a1GDm000000XmlSMAS</v>
      </c>
      <c r="B94" s="601">
        <v>5</v>
      </c>
      <c r="C94" s="603" t="str">
        <f>IFERROR(VLOOKUP(B94,'Impact Indicators - Section B '!$A$9:$AC$68,29,FALSE),"")</f>
        <v>HIV I-11⁽ᴹ⁾ Percentage of people who inject drugs who are living with HIV</v>
      </c>
      <c r="D94" s="605" t="str">
        <f t="shared" ref="D94" si="108">M94</f>
        <v>Gender</v>
      </c>
      <c r="E94" s="605" t="str">
        <f t="shared" ref="E94" si="109">N94</f>
        <v>Transgender</v>
      </c>
      <c r="F94" s="131">
        <v>0</v>
      </c>
      <c r="G94" s="607">
        <v>0</v>
      </c>
      <c r="H94" s="597">
        <v>2021</v>
      </c>
      <c r="I94" s="599" t="s">
        <v>2219</v>
      </c>
      <c r="J94" s="531" t="s">
        <v>2223</v>
      </c>
      <c r="K94" s="130">
        <f>IF(AND(EXACT(C94,C92),C92&lt;&gt;0),K92+1,0)</f>
        <v>2</v>
      </c>
      <c r="L94" s="130" t="str">
        <f>IF(C94&lt;&gt;"",C94&amp;"-"&amp;K94,"")</f>
        <v>HIV I-11⁽ᴹ⁾ Percentage of people who inject drugs who are living with HIV-2</v>
      </c>
      <c r="M94" s="130" t="str">
        <f t="array" ref="M94">IFERROR(IF(INDEX('Disaggregation Records'!$E$3:$E$80,MATCH(RIGHT(L94,255),RIGHT('Disaggregation Records'!$D$3:$D$80,255),0))="","",INDEX('Disaggregation Records'!$E$3:$E$80,MATCH(RIGHT(L94,255),RIGHT('Disaggregation Records'!$D$3:$D$80,255),0))),"")</f>
        <v>Gender</v>
      </c>
      <c r="N94" s="130" t="str">
        <f t="array" ref="N94">IFERROR(IF(INDEX('Disaggregation Records'!$F$3:$F$80,MATCH(RIGHT(L94,255),RIGHT('Disaggregation Records'!$D$3:$D$80,255),0))="","",INDEX('Disaggregation Records'!$F$3:$F$80,MATCH(RIGHT(L94,255),RIGHT('Disaggregation Records'!$D$3:$D$80,255),0))),"")</f>
        <v>Transgender</v>
      </c>
      <c r="O94" s="130" t="str">
        <f t="array" ref="O94">IFERROR(IF(INDEX('Disaggregation Records'!$H$3:$H$80,MATCH(RIGHT(L94,255),RIGHT('Disaggregation Records'!$D$3:$D$80,255),0))="","",INDEX('Disaggregation Records'!$H$3:$H$80,MATCH(RIGHT(L94,255),RIGHT('Disaggregation Records'!$D$3:$D$80,255),0))),"")</f>
        <v>IDR-01058</v>
      </c>
      <c r="P94" s="130"/>
      <c r="Q94" s="52">
        <f t="shared" ref="Q94" si="110">Q92+1</f>
        <v>1233</v>
      </c>
    </row>
    <row r="95" spans="1:17" ht="28.5" customHeight="1" x14ac:dyDescent="0.25">
      <c r="A95" s="130"/>
      <c r="B95" s="602">
        <v>3.7556390977443699</v>
      </c>
      <c r="C95" s="604"/>
      <c r="D95" s="606"/>
      <c r="E95" s="606"/>
      <c r="F95" s="132">
        <v>0</v>
      </c>
      <c r="G95" s="608"/>
      <c r="H95" s="598"/>
      <c r="I95" s="600"/>
      <c r="J95" s="532"/>
      <c r="K95" s="133"/>
      <c r="L95" s="133"/>
      <c r="M95" s="133"/>
      <c r="N95" s="133"/>
      <c r="O95" s="133"/>
      <c r="P95" s="133"/>
      <c r="Q95" s="130"/>
    </row>
    <row r="96" spans="1:17" ht="27.75" customHeight="1" x14ac:dyDescent="0.25">
      <c r="A96" s="130" t="str">
        <f t="shared" ca="1" si="82"/>
        <v>a1GDm000000XmlTMAS</v>
      </c>
      <c r="B96" s="601">
        <v>5</v>
      </c>
      <c r="C96" s="603" t="str">
        <f>IFERROR(VLOOKUP(B96,'Impact Indicators - Section B '!$A$9:$AC$68,29,FALSE),"")</f>
        <v>HIV I-11⁽ᴹ⁾ Percentage of people who inject drugs who are living with HIV</v>
      </c>
      <c r="D96" s="605" t="str">
        <f t="shared" ref="D96" si="111">M96</f>
        <v>Gender</v>
      </c>
      <c r="E96" s="605" t="str">
        <f t="shared" ref="E96" si="112">N96</f>
        <v>Male</v>
      </c>
      <c r="F96" s="131">
        <v>144</v>
      </c>
      <c r="G96" s="607">
        <f ca="1">IF(OR(INDIRECT("'update Helper'!E"&amp;Q96)="",F96&lt;&gt;0,F97&lt;&gt;0),IF(IFERROR((F96/F97),"")="","",(F96/F97)),INDIRECT("'update Helper'!E"&amp;Q96)/100)</f>
        <v>0.17625458996328031</v>
      </c>
      <c r="H96" s="597">
        <v>2021</v>
      </c>
      <c r="I96" s="599" t="s">
        <v>2219</v>
      </c>
      <c r="J96" s="531" t="s">
        <v>2223</v>
      </c>
      <c r="K96" s="130">
        <f>IF(AND(EXACT(C96,C94),C94&lt;&gt;0),K94+1,0)</f>
        <v>3</v>
      </c>
      <c r="L96" s="130" t="str">
        <f>IF(C96&lt;&gt;"",C96&amp;"-"&amp;K96,"")</f>
        <v>HIV I-11⁽ᴹ⁾ Percentage of people who inject drugs who are living with HIV-3</v>
      </c>
      <c r="M96" s="130" t="str">
        <f t="array" ref="M96">IFERROR(IF(INDEX('Disaggregation Records'!$E$3:$E$80,MATCH(RIGHT(L96,255),RIGHT('Disaggregation Records'!$D$3:$D$80,255),0))="","",INDEX('Disaggregation Records'!$E$3:$E$80,MATCH(RIGHT(L96,255),RIGHT('Disaggregation Records'!$D$3:$D$80,255),0))),"")</f>
        <v>Gender</v>
      </c>
      <c r="N96" s="130" t="str">
        <f t="array" ref="N96">IFERROR(IF(INDEX('Disaggregation Records'!$F$3:$F$80,MATCH(RIGHT(L96,255),RIGHT('Disaggregation Records'!$D$3:$D$80,255),0))="","",INDEX('Disaggregation Records'!$F$3:$F$80,MATCH(RIGHT(L96,255),RIGHT('Disaggregation Records'!$D$3:$D$80,255),0))),"")</f>
        <v>Male</v>
      </c>
      <c r="O96" s="130" t="str">
        <f t="array" ref="O96">IFERROR(IF(INDEX('Disaggregation Records'!$H$3:$H$80,MATCH(RIGHT(L96,255),RIGHT('Disaggregation Records'!$D$3:$D$80,255),0))="","",INDEX('Disaggregation Records'!$H$3:$H$80,MATCH(RIGHT(L96,255),RIGHT('Disaggregation Records'!$D$3:$D$80,255),0))),"")</f>
        <v>IDR-01057</v>
      </c>
      <c r="Q96" s="52">
        <f t="shared" ref="Q96" si="113">Q94+1</f>
        <v>1234</v>
      </c>
    </row>
    <row r="97" spans="1:17" ht="19.5" customHeight="1" x14ac:dyDescent="0.25">
      <c r="B97" s="602">
        <v>3.7556390977443699</v>
      </c>
      <c r="C97" s="604"/>
      <c r="D97" s="606"/>
      <c r="E97" s="606"/>
      <c r="F97" s="132">
        <v>817</v>
      </c>
      <c r="G97" s="608"/>
      <c r="H97" s="598"/>
      <c r="I97" s="600"/>
      <c r="J97" s="532"/>
      <c r="K97" s="133"/>
      <c r="L97" s="133"/>
      <c r="M97" s="133"/>
      <c r="N97" s="133"/>
      <c r="O97" s="133"/>
      <c r="Q97" s="130"/>
    </row>
    <row r="98" spans="1:17" ht="32.25" customHeight="1" x14ac:dyDescent="0.25">
      <c r="A98" s="130" t="str">
        <f t="shared" ref="A98" ca="1" si="114">INDIRECT("'update Helper'!C"&amp;Q98)</f>
        <v>a1GDm000000XmlUMAS</v>
      </c>
      <c r="B98" s="601">
        <v>5</v>
      </c>
      <c r="C98" s="603" t="str">
        <f>IFERROR(VLOOKUP(B98,'Impact Indicators - Section B '!$A$9:$AC$68,29,FALSE),"")</f>
        <v>HIV I-11⁽ᴹ⁾ Percentage of people who inject drugs who are living with HIV</v>
      </c>
      <c r="D98" s="605" t="str">
        <f t="shared" ref="D98" si="115">M98</f>
        <v>Gender</v>
      </c>
      <c r="E98" s="605" t="str">
        <f t="shared" ref="E98" si="116">N98</f>
        <v>Female</v>
      </c>
      <c r="F98" s="131">
        <v>22</v>
      </c>
      <c r="G98" s="607">
        <f ca="1">IF(OR(INDIRECT("'update Helper'!E"&amp;Q98)="",F98&lt;&gt;0,F99&lt;&gt;0),IF(IFERROR((F98/F99),"")="","",(F98/F99)),INDIRECT("'update Helper'!E"&amp;Q98)/100)</f>
        <v>0.20560747663551401</v>
      </c>
      <c r="H98" s="597">
        <v>2021</v>
      </c>
      <c r="I98" s="599" t="s">
        <v>2219</v>
      </c>
      <c r="J98" s="531" t="s">
        <v>2223</v>
      </c>
      <c r="K98" s="130">
        <f>IF(AND(EXACT(C98,C96),C96&lt;&gt;0),K96+1,0)</f>
        <v>4</v>
      </c>
      <c r="L98" s="130" t="str">
        <f>IF(C98&lt;&gt;"",C98&amp;"-"&amp;K98,"")</f>
        <v>HIV I-11⁽ᴹ⁾ Percentage of people who inject drugs who are living with HIV-4</v>
      </c>
      <c r="M98" s="130" t="str">
        <f t="array" ref="M98">IFERROR(IF(INDEX('Disaggregation Records'!$E$3:$E$80,MATCH(RIGHT(L98,255),RIGHT('Disaggregation Records'!$D$3:$D$80,255),0))="","",INDEX('Disaggregation Records'!$E$3:$E$80,MATCH(RIGHT(L98,255),RIGHT('Disaggregation Records'!$D$3:$D$80,255),0))),"")</f>
        <v>Gender</v>
      </c>
      <c r="N98" s="130" t="str">
        <f t="array" ref="N98">IFERROR(IF(INDEX('Disaggregation Records'!$F$3:$F$80,MATCH(RIGHT(L98,255),RIGHT('Disaggregation Records'!$D$3:$D$80,255),0))="","",INDEX('Disaggregation Records'!$F$3:$F$80,MATCH(RIGHT(L98,255),RIGHT('Disaggregation Records'!$D$3:$D$80,255),0))),"")</f>
        <v>Female</v>
      </c>
      <c r="O98" s="130" t="str">
        <f t="array" ref="O98">IFERROR(IF(INDEX('Disaggregation Records'!$H$3:$H$80,MATCH(RIGHT(L98,255),RIGHT('Disaggregation Records'!$D$3:$D$80,255),0))="","",INDEX('Disaggregation Records'!$H$3:$H$80,MATCH(RIGHT(L98,255),RIGHT('Disaggregation Records'!$D$3:$D$80,255),0))),"")</f>
        <v>IDR-01056</v>
      </c>
      <c r="P98" s="130"/>
      <c r="Q98" s="52">
        <f t="shared" ref="Q98" si="117">Q96+1</f>
        <v>1235</v>
      </c>
    </row>
    <row r="99" spans="1:17" ht="31.5" customHeight="1" x14ac:dyDescent="0.25">
      <c r="A99" s="130"/>
      <c r="B99" s="602">
        <v>3.7556390977443699</v>
      </c>
      <c r="C99" s="604"/>
      <c r="D99" s="606"/>
      <c r="E99" s="606"/>
      <c r="F99" s="132">
        <v>107</v>
      </c>
      <c r="G99" s="608"/>
      <c r="H99" s="598"/>
      <c r="I99" s="600"/>
      <c r="J99" s="532"/>
      <c r="K99" s="133"/>
      <c r="L99" s="133"/>
      <c r="M99" s="133"/>
      <c r="N99" s="133"/>
      <c r="O99" s="133"/>
      <c r="P99" s="133"/>
      <c r="Q99" s="130"/>
    </row>
    <row r="100" spans="1:17" ht="20.100000000000001" customHeight="1" x14ac:dyDescent="0.25">
      <c r="A100" s="130" t="str">
        <f t="shared" ca="1" si="82"/>
        <v>a1GDm000000XmlVMAS</v>
      </c>
      <c r="B100" s="601">
        <v>5</v>
      </c>
      <c r="C100" s="603" t="str">
        <f>IFERROR(VLOOKUP(B100,'Impact Indicators - Section B '!$A$9:$AC$68,29,FALSE),"")</f>
        <v>HIV I-11⁽ᴹ⁾ Percentage of people who inject drugs who are living with HIV</v>
      </c>
      <c r="D100" s="605" t="str">
        <f t="shared" ref="D100" si="118">M100</f>
        <v/>
      </c>
      <c r="E100" s="605" t="str">
        <f t="shared" ref="E100" si="119">N100</f>
        <v/>
      </c>
      <c r="F100" s="131"/>
      <c r="G100" s="607" t="str">
        <f ca="1">IF(OR(INDIRECT("'update Helper'!E"&amp;Q100)="",F100&lt;&gt;0,F101&lt;&gt;0),IF(IFERROR((F100/F101),"")="","",(F100/F101)),INDIRECT("'update Helper'!E"&amp;Q100)/100)</f>
        <v/>
      </c>
      <c r="H100" s="597"/>
      <c r="I100" s="599"/>
      <c r="J100" s="531"/>
      <c r="K100" s="130">
        <f>IF(AND(EXACT(C100,C98),C98&lt;&gt;0),K98+1,0)</f>
        <v>5</v>
      </c>
      <c r="L100" s="130" t="str">
        <f>IF(C100&lt;&gt;"",C100&amp;"-"&amp;K100,"")</f>
        <v>HIV I-11⁽ᴹ⁾ Percentage of people who inject drugs who are living with HIV-5</v>
      </c>
      <c r="M100" s="130" t="str">
        <f t="array" ref="M100">IFERROR(IF(INDEX('Disaggregation Records'!$E$3:$E$80,MATCH(RIGHT(L100,255),RIGHT('Disaggregation Records'!$D$3:$D$80,255),0))="","",INDEX('Disaggregation Records'!$E$3:$E$80,MATCH(RIGHT(L100,255),RIGHT('Disaggregation Records'!$D$3:$D$80,255),0))),"")</f>
        <v/>
      </c>
      <c r="N100" s="130" t="str">
        <f t="array" ref="N100">IFERROR(IF(INDEX('Disaggregation Records'!$F$3:$F$80,MATCH(RIGHT(L100,255),RIGHT('Disaggregation Records'!$D$3:$D$80,255),0))="","",INDEX('Disaggregation Records'!$F$3:$F$80,MATCH(RIGHT(L100,255),RIGHT('Disaggregation Records'!$D$3:$D$80,255),0))),"")</f>
        <v/>
      </c>
      <c r="O100" s="130" t="str">
        <f t="array" ref="O100">IFERROR(IF(INDEX('Disaggregation Records'!$H$3:$H$80,MATCH(RIGHT(L100,255),RIGHT('Disaggregation Records'!$D$3:$D$80,255),0))="","",INDEX('Disaggregation Records'!$H$3:$H$80,MATCH(RIGHT(L100,255),RIGHT('Disaggregation Records'!$D$3:$D$80,255),0))),"")</f>
        <v/>
      </c>
      <c r="Q100" s="52">
        <f t="shared" ref="Q100" si="120">Q98+1</f>
        <v>1236</v>
      </c>
    </row>
    <row r="101" spans="1:17" ht="20.100000000000001" customHeight="1" x14ac:dyDescent="0.25">
      <c r="B101" s="602">
        <v>3.7556390977443699</v>
      </c>
      <c r="C101" s="604"/>
      <c r="D101" s="606"/>
      <c r="E101" s="606"/>
      <c r="F101" s="132"/>
      <c r="G101" s="608"/>
      <c r="H101" s="598"/>
      <c r="I101" s="600"/>
      <c r="J101" s="532"/>
      <c r="K101" s="133"/>
      <c r="L101" s="133"/>
      <c r="M101" s="133"/>
      <c r="N101" s="133"/>
      <c r="O101" s="133"/>
      <c r="Q101" s="130"/>
    </row>
    <row r="102" spans="1:17" ht="20.100000000000001" customHeight="1" x14ac:dyDescent="0.25">
      <c r="A102" s="130" t="str">
        <f t="shared" ref="A102" ca="1" si="121">INDIRECT("'update Helper'!C"&amp;Q102)</f>
        <v>a1GDm000000XmlWMAS</v>
      </c>
      <c r="B102" s="601">
        <v>5</v>
      </c>
      <c r="C102" s="603" t="str">
        <f>IFERROR(VLOOKUP(B102,'Impact Indicators - Section B '!$A$9:$AC$68,29,FALSE),"")</f>
        <v>HIV I-11⁽ᴹ⁾ Percentage of people who inject drugs who are living with HIV</v>
      </c>
      <c r="D102" s="605" t="str">
        <f t="shared" ref="D102" si="122">M102</f>
        <v/>
      </c>
      <c r="E102" s="605" t="str">
        <f t="shared" ref="E102" si="123">N102</f>
        <v/>
      </c>
      <c r="F102" s="131"/>
      <c r="G102" s="607" t="str">
        <f ca="1">IF(OR(INDIRECT("'update Helper'!E"&amp;Q102)="",F102&lt;&gt;0,F103&lt;&gt;0),IF(IFERROR((F102/F103),"")="","",(F102/F103)),INDIRECT("'update Helper'!E"&amp;Q102)/100)</f>
        <v/>
      </c>
      <c r="H102" s="597"/>
      <c r="I102" s="599"/>
      <c r="J102" s="531"/>
      <c r="K102" s="130">
        <f>IF(AND(EXACT(C102,C100),C100&lt;&gt;0),K100+1,0)</f>
        <v>6</v>
      </c>
      <c r="L102" s="130" t="str">
        <f>IF(C102&lt;&gt;"",C102&amp;"-"&amp;K102,"")</f>
        <v>HIV I-11⁽ᴹ⁾ Percentage of people who inject drugs who are living with HIV-6</v>
      </c>
      <c r="M102" s="130" t="str">
        <f t="array" ref="M102">IFERROR(IF(INDEX('Disaggregation Records'!$E$3:$E$80,MATCH(RIGHT(L102,255),RIGHT('Disaggregation Records'!$D$3:$D$80,255),0))="","",INDEX('Disaggregation Records'!$E$3:$E$80,MATCH(RIGHT(L102,255),RIGHT('Disaggregation Records'!$D$3:$D$80,255),0))),"")</f>
        <v/>
      </c>
      <c r="N102" s="130" t="str">
        <f t="array" ref="N102">IFERROR(IF(INDEX('Disaggregation Records'!$F$3:$F$80,MATCH(RIGHT(L102,255),RIGHT('Disaggregation Records'!$D$3:$D$80,255),0))="","",INDEX('Disaggregation Records'!$F$3:$F$80,MATCH(RIGHT(L102,255),RIGHT('Disaggregation Records'!$D$3:$D$80,255),0))),"")</f>
        <v/>
      </c>
      <c r="O102" s="130" t="str">
        <f t="array" ref="O102">IFERROR(IF(INDEX('Disaggregation Records'!$H$3:$H$80,MATCH(RIGHT(L102,255),RIGHT('Disaggregation Records'!$D$3:$D$80,255),0))="","",INDEX('Disaggregation Records'!$H$3:$H$80,MATCH(RIGHT(L102,255),RIGHT('Disaggregation Records'!$D$3:$D$80,255),0))),"")</f>
        <v/>
      </c>
      <c r="P102" s="130"/>
      <c r="Q102" s="52">
        <f t="shared" ref="Q102" si="124">Q100+1</f>
        <v>1237</v>
      </c>
    </row>
    <row r="103" spans="1:17" ht="20.100000000000001" customHeight="1" x14ac:dyDescent="0.25">
      <c r="A103" s="130"/>
      <c r="B103" s="602">
        <v>3.7556390977443699</v>
      </c>
      <c r="C103" s="604"/>
      <c r="D103" s="606"/>
      <c r="E103" s="606"/>
      <c r="F103" s="132"/>
      <c r="G103" s="608"/>
      <c r="H103" s="598"/>
      <c r="I103" s="600"/>
      <c r="J103" s="532"/>
      <c r="K103" s="133"/>
      <c r="L103" s="133"/>
      <c r="M103" s="133"/>
      <c r="N103" s="133"/>
      <c r="O103" s="133"/>
      <c r="P103" s="133"/>
      <c r="Q103" s="130"/>
    </row>
    <row r="104" spans="1:17" ht="20.100000000000001" customHeight="1" x14ac:dyDescent="0.25">
      <c r="A104" s="130" t="str">
        <f t="shared" ca="1" si="82"/>
        <v>a1GDm000000XmlXMAS</v>
      </c>
      <c r="B104" s="601">
        <v>5</v>
      </c>
      <c r="C104" s="603" t="str">
        <f>IFERROR(VLOOKUP(B104,'Impact Indicators - Section B '!$A$9:$AC$68,29,FALSE),"")</f>
        <v>HIV I-11⁽ᴹ⁾ Percentage of people who inject drugs who are living with HIV</v>
      </c>
      <c r="D104" s="605" t="str">
        <f t="shared" ref="D104" si="125">M104</f>
        <v/>
      </c>
      <c r="E104" s="605" t="str">
        <f t="shared" ref="E104" si="126">N104</f>
        <v/>
      </c>
      <c r="F104" s="131"/>
      <c r="G104" s="607" t="str">
        <f ca="1">IF(OR(INDIRECT("'update Helper'!E"&amp;Q104)="",F104&lt;&gt;0,F105&lt;&gt;0),IF(IFERROR((F104/F105),"")="","",(F104/F105)),INDIRECT("'update Helper'!E"&amp;Q104)/100)</f>
        <v/>
      </c>
      <c r="H104" s="597"/>
      <c r="I104" s="599"/>
      <c r="J104" s="531"/>
      <c r="K104" s="130">
        <f>IF(AND(EXACT(C104,C102),C102&lt;&gt;0),K102+1,0)</f>
        <v>7</v>
      </c>
      <c r="L104" s="130" t="str">
        <f>IF(C104&lt;&gt;"",C104&amp;"-"&amp;K104,"")</f>
        <v>HIV I-11⁽ᴹ⁾ Percentage of people who inject drugs who are living with HIV-7</v>
      </c>
      <c r="M104" s="130" t="str">
        <f t="array" ref="M104">IFERROR(IF(INDEX('Disaggregation Records'!$E$3:$E$80,MATCH(RIGHT(L104,255),RIGHT('Disaggregation Records'!$D$3:$D$80,255),0))="","",INDEX('Disaggregation Records'!$E$3:$E$80,MATCH(RIGHT(L104,255),RIGHT('Disaggregation Records'!$D$3:$D$80,255),0))),"")</f>
        <v/>
      </c>
      <c r="N104" s="130" t="str">
        <f t="array" ref="N104">IFERROR(IF(INDEX('Disaggregation Records'!$F$3:$F$80,MATCH(RIGHT(L104,255),RIGHT('Disaggregation Records'!$D$3:$D$80,255),0))="","",INDEX('Disaggregation Records'!$F$3:$F$80,MATCH(RIGHT(L104,255),RIGHT('Disaggregation Records'!$D$3:$D$80,255),0))),"")</f>
        <v/>
      </c>
      <c r="O104" s="130" t="str">
        <f t="array" ref="O104">IFERROR(IF(INDEX('Disaggregation Records'!$H$3:$H$80,MATCH(RIGHT(L104,255),RIGHT('Disaggregation Records'!$D$3:$D$80,255),0))="","",INDEX('Disaggregation Records'!$H$3:$H$80,MATCH(RIGHT(L104,255),RIGHT('Disaggregation Records'!$D$3:$D$80,255),0))),"")</f>
        <v/>
      </c>
      <c r="Q104" s="52">
        <f t="shared" ref="Q104" si="127">Q102+1</f>
        <v>1238</v>
      </c>
    </row>
    <row r="105" spans="1:17" ht="20.100000000000001" customHeight="1" x14ac:dyDescent="0.25">
      <c r="B105" s="602">
        <v>3.7556390977443699</v>
      </c>
      <c r="C105" s="604"/>
      <c r="D105" s="606"/>
      <c r="E105" s="606"/>
      <c r="F105" s="132"/>
      <c r="G105" s="608"/>
      <c r="H105" s="598"/>
      <c r="I105" s="600"/>
      <c r="J105" s="532"/>
      <c r="K105" s="133"/>
      <c r="L105" s="133"/>
      <c r="M105" s="133"/>
      <c r="N105" s="133"/>
      <c r="O105" s="133"/>
      <c r="Q105" s="130"/>
    </row>
    <row r="106" spans="1:17" ht="20.100000000000001" customHeight="1" x14ac:dyDescent="0.25">
      <c r="A106" s="130" t="str">
        <f t="shared" ref="A106" ca="1" si="128">INDIRECT("'update Helper'!C"&amp;Q106)</f>
        <v>a1GDm000000XmlYMAS</v>
      </c>
      <c r="B106" s="601">
        <v>5</v>
      </c>
      <c r="C106" s="603" t="str">
        <f>IFERROR(VLOOKUP(B106,'Impact Indicators - Section B '!$A$9:$AC$68,29,FALSE),"")</f>
        <v>HIV I-11⁽ᴹ⁾ Percentage of people who inject drugs who are living with HIV</v>
      </c>
      <c r="D106" s="605" t="str">
        <f t="shared" ref="D106" si="129">M106</f>
        <v/>
      </c>
      <c r="E106" s="605" t="str">
        <f t="shared" ref="E106" si="130">N106</f>
        <v/>
      </c>
      <c r="F106" s="131"/>
      <c r="G106" s="607" t="str">
        <f ca="1">IF(OR(INDIRECT("'update Helper'!E"&amp;Q106)="",F106&lt;&gt;0,F107&lt;&gt;0),IF(IFERROR((F106/F107),"")="","",(F106/F107)),INDIRECT("'update Helper'!E"&amp;Q106)/100)</f>
        <v/>
      </c>
      <c r="H106" s="597"/>
      <c r="I106" s="599"/>
      <c r="J106" s="531"/>
      <c r="K106" s="130">
        <f>IF(AND(EXACT(C106,C104),C104&lt;&gt;0),K104+1,0)</f>
        <v>8</v>
      </c>
      <c r="L106" s="130" t="str">
        <f>IF(C106&lt;&gt;"",C106&amp;"-"&amp;K106,"")</f>
        <v>HIV I-11⁽ᴹ⁾ Percentage of people who inject drugs who are living with HIV-8</v>
      </c>
      <c r="M106" s="130" t="str">
        <f t="array" ref="M106">IFERROR(IF(INDEX('Disaggregation Records'!$E$3:$E$80,MATCH(RIGHT(L106,255),RIGHT('Disaggregation Records'!$D$3:$D$80,255),0))="","",INDEX('Disaggregation Records'!$E$3:$E$80,MATCH(RIGHT(L106,255),RIGHT('Disaggregation Records'!$D$3:$D$80,255),0))),"")</f>
        <v/>
      </c>
      <c r="N106" s="130" t="str">
        <f t="array" ref="N106">IFERROR(IF(INDEX('Disaggregation Records'!$F$3:$F$80,MATCH(RIGHT(L106,255),RIGHT('Disaggregation Records'!$D$3:$D$80,255),0))="","",INDEX('Disaggregation Records'!$F$3:$F$80,MATCH(RIGHT(L106,255),RIGHT('Disaggregation Records'!$D$3:$D$80,255),0))),"")</f>
        <v/>
      </c>
      <c r="O106" s="130" t="str">
        <f t="array" ref="O106">IFERROR(IF(INDEX('Disaggregation Records'!$H$3:$H$80,MATCH(RIGHT(L106,255),RIGHT('Disaggregation Records'!$D$3:$D$80,255),0))="","",INDEX('Disaggregation Records'!$H$3:$H$80,MATCH(RIGHT(L106,255),RIGHT('Disaggregation Records'!$D$3:$D$80,255),0))),"")</f>
        <v/>
      </c>
      <c r="P106" s="130"/>
      <c r="Q106" s="52">
        <f t="shared" ref="Q106" si="131">Q104+1</f>
        <v>1239</v>
      </c>
    </row>
    <row r="107" spans="1:17" ht="20.100000000000001" customHeight="1" x14ac:dyDescent="0.25">
      <c r="A107" s="130"/>
      <c r="B107" s="602">
        <v>3.7556390977443699</v>
      </c>
      <c r="C107" s="604"/>
      <c r="D107" s="606"/>
      <c r="E107" s="606"/>
      <c r="F107" s="132"/>
      <c r="G107" s="608"/>
      <c r="H107" s="598"/>
      <c r="I107" s="600"/>
      <c r="J107" s="532"/>
      <c r="K107" s="133"/>
      <c r="L107" s="133"/>
      <c r="M107" s="133"/>
      <c r="N107" s="133"/>
      <c r="O107" s="133"/>
      <c r="P107" s="133"/>
      <c r="Q107" s="130"/>
    </row>
    <row r="108" spans="1:17" ht="20.100000000000001" customHeight="1" x14ac:dyDescent="0.25">
      <c r="A108" s="130" t="str">
        <f t="shared" ca="1" si="82"/>
        <v>a1GDm000000XmlZMAS</v>
      </c>
      <c r="B108" s="601">
        <v>5</v>
      </c>
      <c r="C108" s="603" t="str">
        <f>IFERROR(VLOOKUP(B108,'Impact Indicators - Section B '!$A$9:$AC$68,29,FALSE),"")</f>
        <v>HIV I-11⁽ᴹ⁾ Percentage of people who inject drugs who are living with HIV</v>
      </c>
      <c r="D108" s="605" t="str">
        <f t="shared" ref="D108" si="132">M108</f>
        <v/>
      </c>
      <c r="E108" s="605" t="str">
        <f t="shared" ref="E108" si="133">N108</f>
        <v/>
      </c>
      <c r="F108" s="131"/>
      <c r="G108" s="607" t="str">
        <f ca="1">IF(OR(INDIRECT("'update Helper'!E"&amp;Q108)="",F108&lt;&gt;0,F109&lt;&gt;0),IF(IFERROR((F108/F109),"")="","",(F108/F109)),INDIRECT("'update Helper'!E"&amp;Q108)/100)</f>
        <v/>
      </c>
      <c r="H108" s="597"/>
      <c r="I108" s="599"/>
      <c r="J108" s="531"/>
      <c r="K108" s="130">
        <f>IF(AND(EXACT(C108,C106),C106&lt;&gt;0),K106+1,0)</f>
        <v>9</v>
      </c>
      <c r="L108" s="130" t="str">
        <f>IF(C108&lt;&gt;"",C108&amp;"-"&amp;K108,"")</f>
        <v>HIV I-11⁽ᴹ⁾ Percentage of people who inject drugs who are living with HIV-9</v>
      </c>
      <c r="M108" s="130" t="str">
        <f t="array" ref="M108">IFERROR(IF(INDEX('Disaggregation Records'!$E$3:$E$80,MATCH(RIGHT(L108,255),RIGHT('Disaggregation Records'!$D$3:$D$80,255),0))="","",INDEX('Disaggregation Records'!$E$3:$E$80,MATCH(RIGHT(L108,255),RIGHT('Disaggregation Records'!$D$3:$D$80,255),0))),"")</f>
        <v/>
      </c>
      <c r="N108" s="130" t="str">
        <f t="array" ref="N108">IFERROR(IF(INDEX('Disaggregation Records'!$F$3:$F$80,MATCH(RIGHT(L108,255),RIGHT('Disaggregation Records'!$D$3:$D$80,255),0))="","",INDEX('Disaggregation Records'!$F$3:$F$80,MATCH(RIGHT(L108,255),RIGHT('Disaggregation Records'!$D$3:$D$80,255),0))),"")</f>
        <v/>
      </c>
      <c r="O108" s="130" t="str">
        <f t="array" ref="O108">IFERROR(IF(INDEX('Disaggregation Records'!$H$3:$H$80,MATCH(RIGHT(L108,255),RIGHT('Disaggregation Records'!$D$3:$D$80,255),0))="","",INDEX('Disaggregation Records'!$H$3:$H$80,MATCH(RIGHT(L108,255),RIGHT('Disaggregation Records'!$D$3:$D$80,255),0))),"")</f>
        <v/>
      </c>
      <c r="Q108" s="52">
        <f t="shared" ref="Q108" si="134">Q106+1</f>
        <v>1240</v>
      </c>
    </row>
    <row r="109" spans="1:17" ht="20.100000000000001" customHeight="1" x14ac:dyDescent="0.25">
      <c r="B109" s="602">
        <v>3.7556390977443699</v>
      </c>
      <c r="C109" s="604"/>
      <c r="D109" s="606"/>
      <c r="E109" s="606"/>
      <c r="F109" s="132"/>
      <c r="G109" s="608"/>
      <c r="H109" s="598"/>
      <c r="I109" s="600"/>
      <c r="J109" s="532"/>
      <c r="K109" s="133"/>
      <c r="L109" s="133"/>
      <c r="M109" s="133"/>
      <c r="N109" s="133"/>
      <c r="O109" s="133"/>
      <c r="Q109" s="130"/>
    </row>
    <row r="110" spans="1:17" ht="20.100000000000001" customHeight="1" x14ac:dyDescent="0.25">
      <c r="A110" s="130" t="str">
        <f t="shared" ref="A110" ca="1" si="135">INDIRECT("'update Helper'!C"&amp;Q110)</f>
        <v>a1GDm000000XmlaMAC</v>
      </c>
      <c r="B110" s="601">
        <v>6</v>
      </c>
      <c r="C110" s="603" t="str">
        <f>IFERROR(VLOOKUP(B110,'Impact Indicators - Section B '!$A$9:$AC$68,29,FALSE),"")</f>
        <v/>
      </c>
      <c r="D110" s="605" t="str">
        <f t="shared" ref="D110" si="136">M110</f>
        <v/>
      </c>
      <c r="E110" s="605" t="str">
        <f t="shared" ref="E110" si="137">N110</f>
        <v/>
      </c>
      <c r="F110" s="131"/>
      <c r="G110" s="607" t="str">
        <f ca="1">IF(OR(INDIRECT("'update Helper'!E"&amp;Q110)="",F110&lt;&gt;0,F111&lt;&gt;0),IF(IFERROR((F110/F111),"")="","",(F110/F111)),INDIRECT("'update Helper'!E"&amp;Q110)/100)</f>
        <v/>
      </c>
      <c r="H110" s="597"/>
      <c r="I110" s="599"/>
      <c r="J110" s="531"/>
      <c r="K110" s="130">
        <f>IF(AND(EXACT(C110,C108),C108&lt;&gt;0),K108+1,0)</f>
        <v>0</v>
      </c>
      <c r="L110" s="130" t="str">
        <f>IF(C110&lt;&gt;"",C110&amp;"-"&amp;K110,"")</f>
        <v/>
      </c>
      <c r="M110" s="130" t="str">
        <f t="array" ref="M110">IFERROR(IF(INDEX('Disaggregation Records'!$E$3:$E$80,MATCH(RIGHT(L110,255),RIGHT('Disaggregation Records'!$D$3:$D$80,255),0))="","",INDEX('Disaggregation Records'!$E$3:$E$80,MATCH(RIGHT(L110,255),RIGHT('Disaggregation Records'!$D$3:$D$80,255),0))),"")</f>
        <v/>
      </c>
      <c r="N110" s="130" t="str">
        <f t="array" ref="N110">IFERROR(IF(INDEX('Disaggregation Records'!$F$3:$F$80,MATCH(RIGHT(L110,255),RIGHT('Disaggregation Records'!$D$3:$D$80,255),0))="","",INDEX('Disaggregation Records'!$F$3:$F$80,MATCH(RIGHT(L110,255),RIGHT('Disaggregation Records'!$D$3:$D$80,255),0))),"")</f>
        <v/>
      </c>
      <c r="O110" s="130" t="str">
        <f t="array" ref="O110">IFERROR(IF(INDEX('Disaggregation Records'!$H$3:$H$80,MATCH(RIGHT(L110,255),RIGHT('Disaggregation Records'!$D$3:$D$80,255),0))="","",INDEX('Disaggregation Records'!$H$3:$H$80,MATCH(RIGHT(L110,255),RIGHT('Disaggregation Records'!$D$3:$D$80,255),0))),"")</f>
        <v/>
      </c>
      <c r="P110" s="130"/>
      <c r="Q110" s="52">
        <f t="shared" ref="Q110" si="138">Q108+1</f>
        <v>1241</v>
      </c>
    </row>
    <row r="111" spans="1:17" ht="20.100000000000001" customHeight="1" x14ac:dyDescent="0.25">
      <c r="A111" s="130"/>
      <c r="B111" s="602">
        <v>4.5075187969924899</v>
      </c>
      <c r="C111" s="604"/>
      <c r="D111" s="606"/>
      <c r="E111" s="606"/>
      <c r="F111" s="132"/>
      <c r="G111" s="608"/>
      <c r="H111" s="598"/>
      <c r="I111" s="600"/>
      <c r="J111" s="532"/>
      <c r="K111" s="133"/>
      <c r="L111" s="133"/>
      <c r="M111" s="133"/>
      <c r="N111" s="133"/>
      <c r="O111" s="133"/>
      <c r="P111" s="133"/>
      <c r="Q111" s="130"/>
    </row>
    <row r="112" spans="1:17" ht="20.100000000000001" customHeight="1" x14ac:dyDescent="0.25">
      <c r="A112" s="130" t="str">
        <f t="shared" ca="1" si="82"/>
        <v>a1GDm000000XmlbMAC</v>
      </c>
      <c r="B112" s="601">
        <v>6</v>
      </c>
      <c r="C112" s="603" t="str">
        <f>IFERROR(VLOOKUP(B112,'Impact Indicators - Section B '!$A$9:$AC$68,29,FALSE),"")</f>
        <v/>
      </c>
      <c r="D112" s="605" t="str">
        <f t="shared" ref="D112" si="139">M112</f>
        <v/>
      </c>
      <c r="E112" s="605" t="str">
        <f t="shared" ref="E112" si="140">N112</f>
        <v/>
      </c>
      <c r="F112" s="131"/>
      <c r="G112" s="607" t="str">
        <f ca="1">IF(OR(INDIRECT("'update Helper'!E"&amp;Q112)="",F112&lt;&gt;0,F113&lt;&gt;0),IF(IFERROR((F112/F113),"")="","",(F112/F113)),INDIRECT("'update Helper'!E"&amp;Q112)/100)</f>
        <v/>
      </c>
      <c r="H112" s="597"/>
      <c r="I112" s="599"/>
      <c r="J112" s="531"/>
      <c r="K112" s="130">
        <f>IF(AND(EXACT(C112,C110),C110&lt;&gt;0),K110+1,0)</f>
        <v>1</v>
      </c>
      <c r="L112" s="130" t="str">
        <f>IF(C112&lt;&gt;"",C112&amp;"-"&amp;K112,"")</f>
        <v/>
      </c>
      <c r="M112" s="130" t="str">
        <f t="array" ref="M112">IFERROR(IF(INDEX('Disaggregation Records'!$E$3:$E$80,MATCH(RIGHT(L112,255),RIGHT('Disaggregation Records'!$D$3:$D$80,255),0))="","",INDEX('Disaggregation Records'!$E$3:$E$80,MATCH(RIGHT(L112,255),RIGHT('Disaggregation Records'!$D$3:$D$80,255),0))),"")</f>
        <v/>
      </c>
      <c r="N112" s="130" t="str">
        <f t="array" ref="N112">IFERROR(IF(INDEX('Disaggregation Records'!$F$3:$F$80,MATCH(RIGHT(L112,255),RIGHT('Disaggregation Records'!$D$3:$D$80,255),0))="","",INDEX('Disaggregation Records'!$F$3:$F$80,MATCH(RIGHT(L112,255),RIGHT('Disaggregation Records'!$D$3:$D$80,255),0))),"")</f>
        <v/>
      </c>
      <c r="O112" s="130" t="str">
        <f t="array" ref="O112">IFERROR(IF(INDEX('Disaggregation Records'!$H$3:$H$80,MATCH(RIGHT(L112,255),RIGHT('Disaggregation Records'!$D$3:$D$80,255),0))="","",INDEX('Disaggregation Records'!$H$3:$H$80,MATCH(RIGHT(L112,255),RIGHT('Disaggregation Records'!$D$3:$D$80,255),0))),"")</f>
        <v/>
      </c>
      <c r="Q112" s="52">
        <f t="shared" ref="Q112" si="141">Q110+1</f>
        <v>1242</v>
      </c>
    </row>
    <row r="113" spans="1:17" ht="20.100000000000001" customHeight="1" x14ac:dyDescent="0.25">
      <c r="B113" s="602">
        <v>4.5075187969924899</v>
      </c>
      <c r="C113" s="604"/>
      <c r="D113" s="606"/>
      <c r="E113" s="606"/>
      <c r="F113" s="132"/>
      <c r="G113" s="608"/>
      <c r="H113" s="598"/>
      <c r="I113" s="600"/>
      <c r="J113" s="532"/>
      <c r="K113" s="133"/>
      <c r="L113" s="133"/>
      <c r="M113" s="133"/>
      <c r="N113" s="133"/>
      <c r="O113" s="133"/>
      <c r="Q113" s="130"/>
    </row>
    <row r="114" spans="1:17" ht="20.100000000000001" customHeight="1" x14ac:dyDescent="0.25">
      <c r="A114" s="130" t="str">
        <f t="shared" ref="A114" ca="1" si="142">INDIRECT("'update Helper'!C"&amp;Q114)</f>
        <v>a1GDm000000XmlcMAC</v>
      </c>
      <c r="B114" s="601">
        <v>6</v>
      </c>
      <c r="C114" s="603" t="str">
        <f>IFERROR(VLOOKUP(B114,'Impact Indicators - Section B '!$A$9:$AC$68,29,FALSE),"")</f>
        <v/>
      </c>
      <c r="D114" s="605" t="str">
        <f t="shared" ref="D114" si="143">M114</f>
        <v/>
      </c>
      <c r="E114" s="605" t="str">
        <f t="shared" ref="E114" si="144">N114</f>
        <v/>
      </c>
      <c r="F114" s="131"/>
      <c r="G114" s="607" t="str">
        <f ca="1">IF(OR(INDIRECT("'update Helper'!E"&amp;Q114)="",F114&lt;&gt;0,F115&lt;&gt;0),IF(IFERROR((F114/F115),"")="","",(F114/F115)),INDIRECT("'update Helper'!E"&amp;Q114)/100)</f>
        <v/>
      </c>
      <c r="H114" s="597"/>
      <c r="I114" s="599"/>
      <c r="J114" s="531"/>
      <c r="K114" s="130">
        <f>IF(AND(EXACT(C114,C112),C112&lt;&gt;0),K112+1,0)</f>
        <v>2</v>
      </c>
      <c r="L114" s="130" t="str">
        <f>IF(C114&lt;&gt;"",C114&amp;"-"&amp;K114,"")</f>
        <v/>
      </c>
      <c r="M114" s="130" t="str">
        <f t="array" ref="M114">IFERROR(IF(INDEX('Disaggregation Records'!$E$3:$E$80,MATCH(RIGHT(L114,255),RIGHT('Disaggregation Records'!$D$3:$D$80,255),0))="","",INDEX('Disaggregation Records'!$E$3:$E$80,MATCH(RIGHT(L114,255),RIGHT('Disaggregation Records'!$D$3:$D$80,255),0))),"")</f>
        <v/>
      </c>
      <c r="N114" s="130" t="str">
        <f t="array" ref="N114">IFERROR(IF(INDEX('Disaggregation Records'!$F$3:$F$80,MATCH(RIGHT(L114,255),RIGHT('Disaggregation Records'!$D$3:$D$80,255),0))="","",INDEX('Disaggregation Records'!$F$3:$F$80,MATCH(RIGHT(L114,255),RIGHT('Disaggregation Records'!$D$3:$D$80,255),0))),"")</f>
        <v/>
      </c>
      <c r="O114" s="130" t="str">
        <f t="array" ref="O114">IFERROR(IF(INDEX('Disaggregation Records'!$H$3:$H$80,MATCH(RIGHT(L114,255),RIGHT('Disaggregation Records'!$D$3:$D$80,255),0))="","",INDEX('Disaggregation Records'!$H$3:$H$80,MATCH(RIGHT(L114,255),RIGHT('Disaggregation Records'!$D$3:$D$80,255),0))),"")</f>
        <v/>
      </c>
      <c r="P114" s="130"/>
      <c r="Q114" s="52">
        <f t="shared" ref="Q114" si="145">Q112+1</f>
        <v>1243</v>
      </c>
    </row>
    <row r="115" spans="1:17" ht="20.100000000000001" customHeight="1" x14ac:dyDescent="0.25">
      <c r="A115" s="130"/>
      <c r="B115" s="602">
        <v>4.5075187969924899</v>
      </c>
      <c r="C115" s="604"/>
      <c r="D115" s="606"/>
      <c r="E115" s="606"/>
      <c r="F115" s="132"/>
      <c r="G115" s="608"/>
      <c r="H115" s="598"/>
      <c r="I115" s="600"/>
      <c r="J115" s="532"/>
      <c r="K115" s="133"/>
      <c r="L115" s="133"/>
      <c r="M115" s="133"/>
      <c r="N115" s="133"/>
      <c r="O115" s="133"/>
      <c r="P115" s="133"/>
      <c r="Q115" s="130"/>
    </row>
    <row r="116" spans="1:17" ht="20.100000000000001" customHeight="1" x14ac:dyDescent="0.25">
      <c r="A116" s="130" t="str">
        <f t="shared" ca="1" si="82"/>
        <v>a1GDm000000XmldMAC</v>
      </c>
      <c r="B116" s="601">
        <v>6</v>
      </c>
      <c r="C116" s="603" t="str">
        <f>IFERROR(VLOOKUP(B116,'Impact Indicators - Section B '!$A$9:$AC$68,29,FALSE),"")</f>
        <v/>
      </c>
      <c r="D116" s="605" t="str">
        <f t="shared" ref="D116" si="146">M116</f>
        <v/>
      </c>
      <c r="E116" s="605" t="str">
        <f t="shared" ref="E116" si="147">N116</f>
        <v/>
      </c>
      <c r="F116" s="131"/>
      <c r="G116" s="607" t="str">
        <f ca="1">IF(OR(INDIRECT("'update Helper'!E"&amp;Q116)="",F116&lt;&gt;0,F117&lt;&gt;0),IF(IFERROR((F116/F117),"")="","",(F116/F117)),INDIRECT("'update Helper'!E"&amp;Q116)/100)</f>
        <v/>
      </c>
      <c r="H116" s="597"/>
      <c r="I116" s="599"/>
      <c r="J116" s="531"/>
      <c r="K116" s="130">
        <f>IF(AND(EXACT(C116,C114),C114&lt;&gt;0),K114+1,0)</f>
        <v>3</v>
      </c>
      <c r="L116" s="130" t="str">
        <f>IF(C116&lt;&gt;"",C116&amp;"-"&amp;K116,"")</f>
        <v/>
      </c>
      <c r="M116" s="130" t="str">
        <f t="array" ref="M116">IFERROR(IF(INDEX('Disaggregation Records'!$E$3:$E$80,MATCH(RIGHT(L116,255),RIGHT('Disaggregation Records'!$D$3:$D$80,255),0))="","",INDEX('Disaggregation Records'!$E$3:$E$80,MATCH(RIGHT(L116,255),RIGHT('Disaggregation Records'!$D$3:$D$80,255),0))),"")</f>
        <v/>
      </c>
      <c r="N116" s="130" t="str">
        <f t="array" ref="N116">IFERROR(IF(INDEX('Disaggregation Records'!$F$3:$F$80,MATCH(RIGHT(L116,255),RIGHT('Disaggregation Records'!$D$3:$D$80,255),0))="","",INDEX('Disaggregation Records'!$F$3:$F$80,MATCH(RIGHT(L116,255),RIGHT('Disaggregation Records'!$D$3:$D$80,255),0))),"")</f>
        <v/>
      </c>
      <c r="O116" s="130" t="str">
        <f t="array" ref="O116">IFERROR(IF(INDEX('Disaggregation Records'!$H$3:$H$80,MATCH(RIGHT(L116,255),RIGHT('Disaggregation Records'!$D$3:$D$80,255),0))="","",INDEX('Disaggregation Records'!$H$3:$H$80,MATCH(RIGHT(L116,255),RIGHT('Disaggregation Records'!$D$3:$D$80,255),0))),"")</f>
        <v/>
      </c>
      <c r="Q116" s="52">
        <f t="shared" ref="Q116" si="148">Q114+1</f>
        <v>1244</v>
      </c>
    </row>
    <row r="117" spans="1:17" ht="20.100000000000001" customHeight="1" x14ac:dyDescent="0.25">
      <c r="B117" s="602">
        <v>4.5075187969924899</v>
      </c>
      <c r="C117" s="604"/>
      <c r="D117" s="606"/>
      <c r="E117" s="606"/>
      <c r="F117" s="132"/>
      <c r="G117" s="608"/>
      <c r="H117" s="598"/>
      <c r="I117" s="600"/>
      <c r="J117" s="532"/>
      <c r="K117" s="133"/>
      <c r="L117" s="133"/>
      <c r="M117" s="133"/>
      <c r="N117" s="133"/>
      <c r="O117" s="133"/>
      <c r="Q117" s="130"/>
    </row>
    <row r="118" spans="1:17" ht="20.100000000000001" customHeight="1" x14ac:dyDescent="0.25">
      <c r="A118" s="130" t="str">
        <f t="shared" ref="A118" ca="1" si="149">INDIRECT("'update Helper'!C"&amp;Q118)</f>
        <v>a1GDm000000XmleMAC</v>
      </c>
      <c r="B118" s="601">
        <v>6</v>
      </c>
      <c r="C118" s="603" t="str">
        <f>IFERROR(VLOOKUP(B118,'Impact Indicators - Section B '!$A$9:$AC$68,29,FALSE),"")</f>
        <v/>
      </c>
      <c r="D118" s="605" t="str">
        <f t="shared" ref="D118" si="150">M118</f>
        <v/>
      </c>
      <c r="E118" s="605" t="str">
        <f t="shared" ref="E118" si="151">N118</f>
        <v/>
      </c>
      <c r="F118" s="131"/>
      <c r="G118" s="607" t="str">
        <f ca="1">IF(OR(INDIRECT("'update Helper'!E"&amp;Q118)="",F118&lt;&gt;0,F119&lt;&gt;0),IF(IFERROR((F118/F119),"")="","",(F118/F119)),INDIRECT("'update Helper'!E"&amp;Q118)/100)</f>
        <v/>
      </c>
      <c r="H118" s="597"/>
      <c r="I118" s="599"/>
      <c r="J118" s="531"/>
      <c r="K118" s="130">
        <f>IF(AND(EXACT(C118,C116),C116&lt;&gt;0),K116+1,0)</f>
        <v>4</v>
      </c>
      <c r="L118" s="130" t="str">
        <f>IF(C118&lt;&gt;"",C118&amp;"-"&amp;K118,"")</f>
        <v/>
      </c>
      <c r="M118" s="130" t="str">
        <f t="array" ref="M118">IFERROR(IF(INDEX('Disaggregation Records'!$E$3:$E$80,MATCH(RIGHT(L118,255),RIGHT('Disaggregation Records'!$D$3:$D$80,255),0))="","",INDEX('Disaggregation Records'!$E$3:$E$80,MATCH(RIGHT(L118,255),RIGHT('Disaggregation Records'!$D$3:$D$80,255),0))),"")</f>
        <v/>
      </c>
      <c r="N118" s="130" t="str">
        <f t="array" ref="N118">IFERROR(IF(INDEX('Disaggregation Records'!$F$3:$F$80,MATCH(RIGHT(L118,255),RIGHT('Disaggregation Records'!$D$3:$D$80,255),0))="","",INDEX('Disaggregation Records'!$F$3:$F$80,MATCH(RIGHT(L118,255),RIGHT('Disaggregation Records'!$D$3:$D$80,255),0))),"")</f>
        <v/>
      </c>
      <c r="O118" s="130" t="str">
        <f t="array" ref="O118">IFERROR(IF(INDEX('Disaggregation Records'!$H$3:$H$80,MATCH(RIGHT(L118,255),RIGHT('Disaggregation Records'!$D$3:$D$80,255),0))="","",INDEX('Disaggregation Records'!$H$3:$H$80,MATCH(RIGHT(L118,255),RIGHT('Disaggregation Records'!$D$3:$D$80,255),0))),"")</f>
        <v/>
      </c>
      <c r="P118" s="130"/>
      <c r="Q118" s="52">
        <f t="shared" ref="Q118" si="152">Q116+1</f>
        <v>1245</v>
      </c>
    </row>
    <row r="119" spans="1:17" ht="20.100000000000001" customHeight="1" x14ac:dyDescent="0.25">
      <c r="A119" s="130"/>
      <c r="B119" s="602">
        <v>4.5075187969924899</v>
      </c>
      <c r="C119" s="604"/>
      <c r="D119" s="606"/>
      <c r="E119" s="606"/>
      <c r="F119" s="132"/>
      <c r="G119" s="608"/>
      <c r="H119" s="598"/>
      <c r="I119" s="600"/>
      <c r="J119" s="532"/>
      <c r="K119" s="133"/>
      <c r="L119" s="133"/>
      <c r="M119" s="133"/>
      <c r="N119" s="133"/>
      <c r="O119" s="133"/>
      <c r="P119" s="133"/>
      <c r="Q119" s="130"/>
    </row>
    <row r="120" spans="1:17" ht="20.100000000000001" customHeight="1" x14ac:dyDescent="0.25">
      <c r="A120" s="130" t="str">
        <f t="shared" ca="1" si="82"/>
        <v>a1GDm000000XmlfMAC</v>
      </c>
      <c r="B120" s="601">
        <v>6</v>
      </c>
      <c r="C120" s="603" t="str">
        <f>IFERROR(VLOOKUP(B120,'Impact Indicators - Section B '!$A$9:$AC$68,29,FALSE),"")</f>
        <v/>
      </c>
      <c r="D120" s="605" t="str">
        <f t="shared" ref="D120" si="153">M120</f>
        <v/>
      </c>
      <c r="E120" s="605" t="str">
        <f t="shared" ref="E120" si="154">N120</f>
        <v/>
      </c>
      <c r="F120" s="131"/>
      <c r="G120" s="607" t="str">
        <f ca="1">IF(OR(INDIRECT("'update Helper'!E"&amp;Q120)="",F120&lt;&gt;0,F121&lt;&gt;0),IF(IFERROR((F120/F121),"")="","",(F120/F121)),INDIRECT("'update Helper'!E"&amp;Q120)/100)</f>
        <v/>
      </c>
      <c r="H120" s="597"/>
      <c r="I120" s="599"/>
      <c r="J120" s="531"/>
      <c r="K120" s="130">
        <f>IF(AND(EXACT(C120,C118),C118&lt;&gt;0),K118+1,0)</f>
        <v>5</v>
      </c>
      <c r="L120" s="130" t="str">
        <f>IF(C120&lt;&gt;"",C120&amp;"-"&amp;K120,"")</f>
        <v/>
      </c>
      <c r="M120" s="130" t="str">
        <f t="array" ref="M120">IFERROR(IF(INDEX('Disaggregation Records'!$E$3:$E$80,MATCH(RIGHT(L120,255),RIGHT('Disaggregation Records'!$D$3:$D$80,255),0))="","",INDEX('Disaggregation Records'!$E$3:$E$80,MATCH(RIGHT(L120,255),RIGHT('Disaggregation Records'!$D$3:$D$80,255),0))),"")</f>
        <v/>
      </c>
      <c r="N120" s="130" t="str">
        <f t="array" ref="N120">IFERROR(IF(INDEX('Disaggregation Records'!$F$3:$F$80,MATCH(RIGHT(L120,255),RIGHT('Disaggregation Records'!$D$3:$D$80,255),0))="","",INDEX('Disaggregation Records'!$F$3:$F$80,MATCH(RIGHT(L120,255),RIGHT('Disaggregation Records'!$D$3:$D$80,255),0))),"")</f>
        <v/>
      </c>
      <c r="O120" s="130" t="str">
        <f t="array" ref="O120">IFERROR(IF(INDEX('Disaggregation Records'!$H$3:$H$80,MATCH(RIGHT(L120,255),RIGHT('Disaggregation Records'!$D$3:$D$80,255),0))="","",INDEX('Disaggregation Records'!$H$3:$H$80,MATCH(RIGHT(L120,255),RIGHT('Disaggregation Records'!$D$3:$D$80,255),0))),"")</f>
        <v/>
      </c>
      <c r="Q120" s="52">
        <f t="shared" ref="Q120" si="155">Q118+1</f>
        <v>1246</v>
      </c>
    </row>
    <row r="121" spans="1:17" ht="20.100000000000001" customHeight="1" x14ac:dyDescent="0.25">
      <c r="B121" s="602">
        <v>4.5075187969924899</v>
      </c>
      <c r="C121" s="604"/>
      <c r="D121" s="606"/>
      <c r="E121" s="606"/>
      <c r="F121" s="132"/>
      <c r="G121" s="608"/>
      <c r="H121" s="598"/>
      <c r="I121" s="600"/>
      <c r="J121" s="532"/>
      <c r="K121" s="133"/>
      <c r="L121" s="133"/>
      <c r="M121" s="133"/>
      <c r="N121" s="133"/>
      <c r="O121" s="133"/>
      <c r="Q121" s="130"/>
    </row>
    <row r="122" spans="1:17" ht="20.100000000000001" customHeight="1" x14ac:dyDescent="0.25">
      <c r="A122" s="130" t="str">
        <f t="shared" ref="A122" ca="1" si="156">INDIRECT("'update Helper'!C"&amp;Q122)</f>
        <v>a1GDm000000XmlgMAC</v>
      </c>
      <c r="B122" s="601">
        <v>6</v>
      </c>
      <c r="C122" s="603" t="str">
        <f>IFERROR(VLOOKUP(B122,'Impact Indicators - Section B '!$A$9:$AC$68,29,FALSE),"")</f>
        <v/>
      </c>
      <c r="D122" s="605" t="str">
        <f t="shared" ref="D122" si="157">M122</f>
        <v/>
      </c>
      <c r="E122" s="605" t="str">
        <f t="shared" ref="E122" si="158">N122</f>
        <v/>
      </c>
      <c r="F122" s="131"/>
      <c r="G122" s="607" t="str">
        <f ca="1">IF(OR(INDIRECT("'update Helper'!E"&amp;Q122)="",F122&lt;&gt;0,F123&lt;&gt;0),IF(IFERROR((F122/F123),"")="","",(F122/F123)),INDIRECT("'update Helper'!E"&amp;Q122)/100)</f>
        <v/>
      </c>
      <c r="H122" s="597"/>
      <c r="I122" s="599"/>
      <c r="J122" s="531"/>
      <c r="K122" s="130">
        <f>IF(AND(EXACT(C122,C120),C120&lt;&gt;0),K120+1,0)</f>
        <v>6</v>
      </c>
      <c r="L122" s="130" t="str">
        <f>IF(C122&lt;&gt;"",C122&amp;"-"&amp;K122,"")</f>
        <v/>
      </c>
      <c r="M122" s="130" t="str">
        <f t="array" ref="M122">IFERROR(IF(INDEX('Disaggregation Records'!$E$3:$E$80,MATCH(RIGHT(L122,255),RIGHT('Disaggregation Records'!$D$3:$D$80,255),0))="","",INDEX('Disaggregation Records'!$E$3:$E$80,MATCH(RIGHT(L122,255),RIGHT('Disaggregation Records'!$D$3:$D$80,255),0))),"")</f>
        <v/>
      </c>
      <c r="N122" s="130" t="str">
        <f t="array" ref="N122">IFERROR(IF(INDEX('Disaggregation Records'!$F$3:$F$80,MATCH(RIGHT(L122,255),RIGHT('Disaggregation Records'!$D$3:$D$80,255),0))="","",INDEX('Disaggregation Records'!$F$3:$F$80,MATCH(RIGHT(L122,255),RIGHT('Disaggregation Records'!$D$3:$D$80,255),0))),"")</f>
        <v/>
      </c>
      <c r="O122" s="130" t="str">
        <f t="array" ref="O122">IFERROR(IF(INDEX('Disaggregation Records'!$H$3:$H$80,MATCH(RIGHT(L122,255),RIGHT('Disaggregation Records'!$D$3:$D$80,255),0))="","",INDEX('Disaggregation Records'!$H$3:$H$80,MATCH(RIGHT(L122,255),RIGHT('Disaggregation Records'!$D$3:$D$80,255),0))),"")</f>
        <v/>
      </c>
      <c r="P122" s="130"/>
      <c r="Q122" s="52">
        <f t="shared" ref="Q122" si="159">Q120+1</f>
        <v>1247</v>
      </c>
    </row>
    <row r="123" spans="1:17" ht="20.100000000000001" customHeight="1" x14ac:dyDescent="0.25">
      <c r="A123" s="130"/>
      <c r="B123" s="602">
        <v>4.5075187969924899</v>
      </c>
      <c r="C123" s="604"/>
      <c r="D123" s="606"/>
      <c r="E123" s="606"/>
      <c r="F123" s="132"/>
      <c r="G123" s="608"/>
      <c r="H123" s="598"/>
      <c r="I123" s="600"/>
      <c r="J123" s="532"/>
      <c r="K123" s="133"/>
      <c r="L123" s="133"/>
      <c r="M123" s="133"/>
      <c r="N123" s="133"/>
      <c r="O123" s="133"/>
      <c r="P123" s="133"/>
      <c r="Q123" s="130"/>
    </row>
    <row r="124" spans="1:17" ht="20.100000000000001" customHeight="1" x14ac:dyDescent="0.25">
      <c r="A124" s="130" t="str">
        <f t="shared" ca="1" si="82"/>
        <v>a1GDm000000XmlhMAC</v>
      </c>
      <c r="B124" s="601">
        <v>6</v>
      </c>
      <c r="C124" s="603" t="str">
        <f>IFERROR(VLOOKUP(B124,'Impact Indicators - Section B '!$A$9:$AC$68,29,FALSE),"")</f>
        <v/>
      </c>
      <c r="D124" s="605" t="str">
        <f t="shared" ref="D124" si="160">M124</f>
        <v/>
      </c>
      <c r="E124" s="605" t="str">
        <f t="shared" ref="E124" si="161">N124</f>
        <v/>
      </c>
      <c r="F124" s="131"/>
      <c r="G124" s="607" t="str">
        <f ca="1">IF(OR(INDIRECT("'update Helper'!E"&amp;Q124)="",F124&lt;&gt;0,F125&lt;&gt;0),IF(IFERROR((F124/F125),"")="","",(F124/F125)),INDIRECT("'update Helper'!E"&amp;Q124)/100)</f>
        <v/>
      </c>
      <c r="H124" s="597"/>
      <c r="I124" s="599"/>
      <c r="J124" s="531"/>
      <c r="K124" s="130">
        <f>IF(AND(EXACT(C124,C122),C122&lt;&gt;0),K122+1,0)</f>
        <v>7</v>
      </c>
      <c r="L124" s="130" t="str">
        <f>IF(C124&lt;&gt;"",C124&amp;"-"&amp;K124,"")</f>
        <v/>
      </c>
      <c r="M124" s="130" t="str">
        <f t="array" ref="M124">IFERROR(IF(INDEX('Disaggregation Records'!$E$3:$E$80,MATCH(RIGHT(L124,255),RIGHT('Disaggregation Records'!$D$3:$D$80,255),0))="","",INDEX('Disaggregation Records'!$E$3:$E$80,MATCH(RIGHT(L124,255),RIGHT('Disaggregation Records'!$D$3:$D$80,255),0))),"")</f>
        <v/>
      </c>
      <c r="N124" s="130" t="str">
        <f t="array" ref="N124">IFERROR(IF(INDEX('Disaggregation Records'!$F$3:$F$80,MATCH(RIGHT(L124,255),RIGHT('Disaggregation Records'!$D$3:$D$80,255),0))="","",INDEX('Disaggregation Records'!$F$3:$F$80,MATCH(RIGHT(L124,255),RIGHT('Disaggregation Records'!$D$3:$D$80,255),0))),"")</f>
        <v/>
      </c>
      <c r="O124" s="130" t="str">
        <f t="array" ref="O124">IFERROR(IF(INDEX('Disaggregation Records'!$H$3:$H$80,MATCH(RIGHT(L124,255),RIGHT('Disaggregation Records'!$D$3:$D$80,255),0))="","",INDEX('Disaggregation Records'!$H$3:$H$80,MATCH(RIGHT(L124,255),RIGHT('Disaggregation Records'!$D$3:$D$80,255),0))),"")</f>
        <v/>
      </c>
      <c r="Q124" s="52">
        <f t="shared" ref="Q124" si="162">Q122+1</f>
        <v>1248</v>
      </c>
    </row>
    <row r="125" spans="1:17" ht="20.100000000000001" customHeight="1" x14ac:dyDescent="0.25">
      <c r="B125" s="602">
        <v>4.5075187969924899</v>
      </c>
      <c r="C125" s="604"/>
      <c r="D125" s="606"/>
      <c r="E125" s="606"/>
      <c r="F125" s="132"/>
      <c r="G125" s="608"/>
      <c r="H125" s="598"/>
      <c r="I125" s="600"/>
      <c r="J125" s="532"/>
      <c r="K125" s="133"/>
      <c r="L125" s="133"/>
      <c r="M125" s="133"/>
      <c r="N125" s="133"/>
      <c r="O125" s="133"/>
      <c r="Q125" s="130"/>
    </row>
    <row r="126" spans="1:17" ht="20.100000000000001" customHeight="1" x14ac:dyDescent="0.25">
      <c r="A126" s="130" t="str">
        <f t="shared" ref="A126" ca="1" si="163">INDIRECT("'update Helper'!C"&amp;Q126)</f>
        <v>a1GDm000000XmliMAC</v>
      </c>
      <c r="B126" s="601">
        <v>6</v>
      </c>
      <c r="C126" s="603" t="str">
        <f>IFERROR(VLOOKUP(B126,'Impact Indicators - Section B '!$A$9:$AC$68,29,FALSE),"")</f>
        <v/>
      </c>
      <c r="D126" s="605" t="str">
        <f t="shared" ref="D126" si="164">M126</f>
        <v/>
      </c>
      <c r="E126" s="605" t="str">
        <f t="shared" ref="E126" si="165">N126</f>
        <v/>
      </c>
      <c r="F126" s="131"/>
      <c r="G126" s="607" t="str">
        <f ca="1">IF(OR(INDIRECT("'update Helper'!E"&amp;Q126)="",F126&lt;&gt;0,F127&lt;&gt;0),IF(IFERROR((F126/F127),"")="","",(F126/F127)),INDIRECT("'update Helper'!E"&amp;Q126)/100)</f>
        <v/>
      </c>
      <c r="H126" s="597"/>
      <c r="I126" s="599"/>
      <c r="J126" s="531"/>
      <c r="K126" s="130">
        <f>IF(AND(EXACT(C126,C124),C124&lt;&gt;0),K124+1,0)</f>
        <v>8</v>
      </c>
      <c r="L126" s="130" t="str">
        <f>IF(C126&lt;&gt;"",C126&amp;"-"&amp;K126,"")</f>
        <v/>
      </c>
      <c r="M126" s="130" t="str">
        <f t="array" ref="M126">IFERROR(IF(INDEX('Disaggregation Records'!$E$3:$E$80,MATCH(RIGHT(L126,255),RIGHT('Disaggregation Records'!$D$3:$D$80,255),0))="","",INDEX('Disaggregation Records'!$E$3:$E$80,MATCH(RIGHT(L126,255),RIGHT('Disaggregation Records'!$D$3:$D$80,255),0))),"")</f>
        <v/>
      </c>
      <c r="N126" s="130" t="str">
        <f t="array" ref="N126">IFERROR(IF(INDEX('Disaggregation Records'!$F$3:$F$80,MATCH(RIGHT(L126,255),RIGHT('Disaggregation Records'!$D$3:$D$80,255),0))="","",INDEX('Disaggregation Records'!$F$3:$F$80,MATCH(RIGHT(L126,255),RIGHT('Disaggregation Records'!$D$3:$D$80,255),0))),"")</f>
        <v/>
      </c>
      <c r="O126" s="130" t="str">
        <f t="array" ref="O126">IFERROR(IF(INDEX('Disaggregation Records'!$H$3:$H$80,MATCH(RIGHT(L126,255),RIGHT('Disaggregation Records'!$D$3:$D$80,255),0))="","",INDEX('Disaggregation Records'!$H$3:$H$80,MATCH(RIGHT(L126,255),RIGHT('Disaggregation Records'!$D$3:$D$80,255),0))),"")</f>
        <v/>
      </c>
      <c r="P126" s="130"/>
      <c r="Q126" s="52">
        <f t="shared" ref="Q126" si="166">Q124+1</f>
        <v>1249</v>
      </c>
    </row>
    <row r="127" spans="1:17" ht="20.100000000000001" customHeight="1" x14ac:dyDescent="0.25">
      <c r="A127" s="130"/>
      <c r="B127" s="602">
        <v>4.5075187969924899</v>
      </c>
      <c r="C127" s="604"/>
      <c r="D127" s="606"/>
      <c r="E127" s="606"/>
      <c r="F127" s="132"/>
      <c r="G127" s="608"/>
      <c r="H127" s="598"/>
      <c r="I127" s="600"/>
      <c r="J127" s="532"/>
      <c r="K127" s="133"/>
      <c r="L127" s="133"/>
      <c r="M127" s="133"/>
      <c r="N127" s="133"/>
      <c r="O127" s="133"/>
      <c r="P127" s="133"/>
      <c r="Q127" s="130"/>
    </row>
    <row r="128" spans="1:17" ht="20.100000000000001" customHeight="1" x14ac:dyDescent="0.25">
      <c r="A128" s="130" t="str">
        <f t="shared" ca="1" si="82"/>
        <v>a1GDm000000XmljMAC</v>
      </c>
      <c r="B128" s="601">
        <v>6</v>
      </c>
      <c r="C128" s="603" t="str">
        <f>IFERROR(VLOOKUP(B128,'Impact Indicators - Section B '!$A$9:$AC$68,29,FALSE),"")</f>
        <v/>
      </c>
      <c r="D128" s="605" t="str">
        <f t="shared" ref="D128" si="167">M128</f>
        <v/>
      </c>
      <c r="E128" s="605" t="str">
        <f t="shared" ref="E128" si="168">N128</f>
        <v/>
      </c>
      <c r="F128" s="131"/>
      <c r="G128" s="607" t="str">
        <f ca="1">IF(OR(INDIRECT("'update Helper'!E"&amp;Q128)="",F128&lt;&gt;0,F129&lt;&gt;0),IF(IFERROR((F128/F129),"")="","",(F128/F129)),INDIRECT("'update Helper'!E"&amp;Q128)/100)</f>
        <v/>
      </c>
      <c r="H128" s="597"/>
      <c r="I128" s="599"/>
      <c r="J128" s="531"/>
      <c r="K128" s="130">
        <f>IF(AND(EXACT(C128,C126),C126&lt;&gt;0),K126+1,0)</f>
        <v>9</v>
      </c>
      <c r="L128" s="130" t="str">
        <f>IF(C128&lt;&gt;"",C128&amp;"-"&amp;K128,"")</f>
        <v/>
      </c>
      <c r="M128" s="130" t="str">
        <f t="array" ref="M128">IFERROR(IF(INDEX('Disaggregation Records'!$E$3:$E$80,MATCH(RIGHT(L128,255),RIGHT('Disaggregation Records'!$D$3:$D$80,255),0))="","",INDEX('Disaggregation Records'!$E$3:$E$80,MATCH(RIGHT(L128,255),RIGHT('Disaggregation Records'!$D$3:$D$80,255),0))),"")</f>
        <v/>
      </c>
      <c r="N128" s="130" t="str">
        <f t="array" ref="N128">IFERROR(IF(INDEX('Disaggregation Records'!$F$3:$F$80,MATCH(RIGHT(L128,255),RIGHT('Disaggregation Records'!$D$3:$D$80,255),0))="","",INDEX('Disaggregation Records'!$F$3:$F$80,MATCH(RIGHT(L128,255),RIGHT('Disaggregation Records'!$D$3:$D$80,255),0))),"")</f>
        <v/>
      </c>
      <c r="O128" s="130" t="str">
        <f t="array" ref="O128">IFERROR(IF(INDEX('Disaggregation Records'!$H$3:$H$80,MATCH(RIGHT(L128,255),RIGHT('Disaggregation Records'!$D$3:$D$80,255),0))="","",INDEX('Disaggregation Records'!$H$3:$H$80,MATCH(RIGHT(L128,255),RIGHT('Disaggregation Records'!$D$3:$D$80,255),0))),"")</f>
        <v/>
      </c>
      <c r="Q128" s="52">
        <f t="shared" ref="Q128" si="169">Q126+1</f>
        <v>1250</v>
      </c>
    </row>
    <row r="129" spans="1:17" ht="20.100000000000001" customHeight="1" x14ac:dyDescent="0.25">
      <c r="B129" s="602">
        <v>4.5075187969924899</v>
      </c>
      <c r="C129" s="604"/>
      <c r="D129" s="606"/>
      <c r="E129" s="606"/>
      <c r="F129" s="132"/>
      <c r="G129" s="608"/>
      <c r="H129" s="598"/>
      <c r="I129" s="600"/>
      <c r="J129" s="532"/>
      <c r="K129" s="133"/>
      <c r="L129" s="133"/>
      <c r="M129" s="133"/>
      <c r="N129" s="133"/>
      <c r="O129" s="133"/>
      <c r="Q129" s="130"/>
    </row>
    <row r="130" spans="1:17" ht="20.100000000000001" customHeight="1" x14ac:dyDescent="0.25">
      <c r="A130" s="130" t="str">
        <f t="shared" ref="A130" ca="1" si="170">INDIRECT("'update Helper'!C"&amp;Q130)</f>
        <v>a1GDm000000XmlkMAC</v>
      </c>
      <c r="B130" s="601">
        <v>7</v>
      </c>
      <c r="C130" s="603" t="str">
        <f>IFERROR(VLOOKUP(B130,'Impact Indicators - Section B '!$A$9:$AC$68,29,FALSE),"")</f>
        <v/>
      </c>
      <c r="D130" s="605" t="str">
        <f t="shared" ref="D130" si="171">M130</f>
        <v/>
      </c>
      <c r="E130" s="605" t="str">
        <f t="shared" ref="E130" si="172">N130</f>
        <v/>
      </c>
      <c r="F130" s="131"/>
      <c r="G130" s="607" t="str">
        <f ca="1">IF(OR(INDIRECT("'update Helper'!E"&amp;Q130)="",F130&lt;&gt;0,F131&lt;&gt;0),IF(IFERROR((F130/F131),"")="","",(F130/F131)),INDIRECT("'update Helper'!E"&amp;Q130)/100)</f>
        <v/>
      </c>
      <c r="H130" s="597"/>
      <c r="I130" s="599"/>
      <c r="J130" s="531"/>
      <c r="K130" s="130">
        <f>IF(AND(EXACT(C130,C128),C128&lt;&gt;0),K128+1,0)</f>
        <v>10</v>
      </c>
      <c r="L130" s="130" t="str">
        <f>IF(C130&lt;&gt;"",C130&amp;"-"&amp;K130,"")</f>
        <v/>
      </c>
      <c r="M130" s="130" t="str">
        <f t="array" ref="M130">IFERROR(IF(INDEX('Disaggregation Records'!$E$3:$E$80,MATCH(RIGHT(L130,255),RIGHT('Disaggregation Records'!$D$3:$D$80,255),0))="","",INDEX('Disaggregation Records'!$E$3:$E$80,MATCH(RIGHT(L130,255),RIGHT('Disaggregation Records'!$D$3:$D$80,255),0))),"")</f>
        <v/>
      </c>
      <c r="N130" s="130" t="str">
        <f t="array" ref="N130">IFERROR(IF(INDEX('Disaggregation Records'!$F$3:$F$80,MATCH(RIGHT(L130,255),RIGHT('Disaggregation Records'!$D$3:$D$80,255),0))="","",INDEX('Disaggregation Records'!$F$3:$F$80,MATCH(RIGHT(L130,255),RIGHT('Disaggregation Records'!$D$3:$D$80,255),0))),"")</f>
        <v/>
      </c>
      <c r="O130" s="130" t="str">
        <f t="array" ref="O130">IFERROR(IF(INDEX('Disaggregation Records'!$H$3:$H$80,MATCH(RIGHT(L130,255),RIGHT('Disaggregation Records'!$D$3:$D$80,255),0))="","",INDEX('Disaggregation Records'!$H$3:$H$80,MATCH(RIGHT(L130,255),RIGHT('Disaggregation Records'!$D$3:$D$80,255),0))),"")</f>
        <v/>
      </c>
      <c r="P130" s="130"/>
      <c r="Q130" s="52">
        <f t="shared" ref="Q130" si="173">Q128+1</f>
        <v>1251</v>
      </c>
    </row>
    <row r="131" spans="1:17" ht="20.100000000000001" customHeight="1" x14ac:dyDescent="0.25">
      <c r="A131" s="130"/>
      <c r="B131" s="602">
        <v>5.2218045112781999</v>
      </c>
      <c r="C131" s="604"/>
      <c r="D131" s="606"/>
      <c r="E131" s="606"/>
      <c r="F131" s="132"/>
      <c r="G131" s="608"/>
      <c r="H131" s="598"/>
      <c r="I131" s="600"/>
      <c r="J131" s="532"/>
      <c r="K131" s="133"/>
      <c r="L131" s="133"/>
      <c r="M131" s="133"/>
      <c r="N131" s="133"/>
      <c r="O131" s="133"/>
      <c r="P131" s="133"/>
      <c r="Q131" s="130"/>
    </row>
    <row r="132" spans="1:17" ht="20.100000000000001" customHeight="1" x14ac:dyDescent="0.25">
      <c r="A132" s="130" t="str">
        <f t="shared" ca="1" si="82"/>
        <v>a1GDm000000XmllMAC</v>
      </c>
      <c r="B132" s="601">
        <v>7</v>
      </c>
      <c r="C132" s="603" t="str">
        <f>IFERROR(VLOOKUP(B132,'Impact Indicators - Section B '!$A$9:$AC$68,29,FALSE),"")</f>
        <v/>
      </c>
      <c r="D132" s="605" t="str">
        <f t="shared" ref="D132" si="174">M132</f>
        <v/>
      </c>
      <c r="E132" s="605" t="str">
        <f t="shared" ref="E132" si="175">N132</f>
        <v/>
      </c>
      <c r="F132" s="131"/>
      <c r="G132" s="607" t="str">
        <f ca="1">IF(OR(INDIRECT("'update Helper'!E"&amp;Q132)="",F132&lt;&gt;0,F133&lt;&gt;0),IF(IFERROR((F132/F133),"")="","",(F132/F133)),INDIRECT("'update Helper'!E"&amp;Q132)/100)</f>
        <v/>
      </c>
      <c r="H132" s="597"/>
      <c r="I132" s="599"/>
      <c r="J132" s="531"/>
      <c r="K132" s="130">
        <f>IF(AND(EXACT(C132,C130),C130&lt;&gt;0),K130+1,0)</f>
        <v>11</v>
      </c>
      <c r="L132" s="130" t="str">
        <f>IF(C132&lt;&gt;"",C132&amp;"-"&amp;K132,"")</f>
        <v/>
      </c>
      <c r="M132" s="130" t="str">
        <f t="array" ref="M132">IFERROR(IF(INDEX('Disaggregation Records'!$E$3:$E$80,MATCH(RIGHT(L132,255),RIGHT('Disaggregation Records'!$D$3:$D$80,255),0))="","",INDEX('Disaggregation Records'!$E$3:$E$80,MATCH(RIGHT(L132,255),RIGHT('Disaggregation Records'!$D$3:$D$80,255),0))),"")</f>
        <v/>
      </c>
      <c r="N132" s="130" t="str">
        <f t="array" ref="N132">IFERROR(IF(INDEX('Disaggregation Records'!$F$3:$F$80,MATCH(RIGHT(L132,255),RIGHT('Disaggregation Records'!$D$3:$D$80,255),0))="","",INDEX('Disaggregation Records'!$F$3:$F$80,MATCH(RIGHT(L132,255),RIGHT('Disaggregation Records'!$D$3:$D$80,255),0))),"")</f>
        <v/>
      </c>
      <c r="O132" s="130" t="str">
        <f t="array" ref="O132">IFERROR(IF(INDEX('Disaggregation Records'!$H$3:$H$80,MATCH(RIGHT(L132,255),RIGHT('Disaggregation Records'!$D$3:$D$80,255),0))="","",INDEX('Disaggregation Records'!$H$3:$H$80,MATCH(RIGHT(L132,255),RIGHT('Disaggregation Records'!$D$3:$D$80,255),0))),"")</f>
        <v/>
      </c>
      <c r="Q132" s="52">
        <f t="shared" ref="Q132" si="176">Q130+1</f>
        <v>1252</v>
      </c>
    </row>
    <row r="133" spans="1:17" ht="20.100000000000001" customHeight="1" x14ac:dyDescent="0.25">
      <c r="B133" s="602">
        <v>5.2218045112781999</v>
      </c>
      <c r="C133" s="604"/>
      <c r="D133" s="606"/>
      <c r="E133" s="606"/>
      <c r="F133" s="132"/>
      <c r="G133" s="608"/>
      <c r="H133" s="598"/>
      <c r="I133" s="600"/>
      <c r="J133" s="532"/>
      <c r="K133" s="133"/>
      <c r="L133" s="133"/>
      <c r="M133" s="133"/>
      <c r="N133" s="133"/>
      <c r="O133" s="133"/>
      <c r="Q133" s="130"/>
    </row>
    <row r="134" spans="1:17" ht="20.100000000000001" customHeight="1" x14ac:dyDescent="0.25">
      <c r="A134" s="130" t="str">
        <f t="shared" ref="A134" ca="1" si="177">INDIRECT("'update Helper'!C"&amp;Q134)</f>
        <v>a1GDm000000XmlmMAC</v>
      </c>
      <c r="B134" s="601">
        <v>7</v>
      </c>
      <c r="C134" s="603" t="str">
        <f>IFERROR(VLOOKUP(B134,'Impact Indicators - Section B '!$A$9:$AC$68,29,FALSE),"")</f>
        <v/>
      </c>
      <c r="D134" s="605" t="str">
        <f t="shared" ref="D134" si="178">M134</f>
        <v/>
      </c>
      <c r="E134" s="605" t="str">
        <f t="shared" ref="E134" si="179">N134</f>
        <v/>
      </c>
      <c r="F134" s="131"/>
      <c r="G134" s="607" t="str">
        <f ca="1">IF(OR(INDIRECT("'update Helper'!E"&amp;Q134)="",F134&lt;&gt;0,F135&lt;&gt;0),IF(IFERROR((F134/F135),"")="","",(F134/F135)),INDIRECT("'update Helper'!E"&amp;Q134)/100)</f>
        <v/>
      </c>
      <c r="H134" s="597"/>
      <c r="I134" s="599"/>
      <c r="J134" s="531"/>
      <c r="K134" s="130">
        <f>IF(AND(EXACT(C134,C132),C132&lt;&gt;0),K132+1,0)</f>
        <v>12</v>
      </c>
      <c r="L134" s="130" t="str">
        <f>IF(C134&lt;&gt;"",C134&amp;"-"&amp;K134,"")</f>
        <v/>
      </c>
      <c r="M134" s="130" t="str">
        <f t="array" ref="M134">IFERROR(IF(INDEX('Disaggregation Records'!$E$3:$E$80,MATCH(RIGHT(L134,255),RIGHT('Disaggregation Records'!$D$3:$D$80,255),0))="","",INDEX('Disaggregation Records'!$E$3:$E$80,MATCH(RIGHT(L134,255),RIGHT('Disaggregation Records'!$D$3:$D$80,255),0))),"")</f>
        <v/>
      </c>
      <c r="N134" s="130" t="str">
        <f t="array" ref="N134">IFERROR(IF(INDEX('Disaggregation Records'!$F$3:$F$80,MATCH(RIGHT(L134,255),RIGHT('Disaggregation Records'!$D$3:$D$80,255),0))="","",INDEX('Disaggregation Records'!$F$3:$F$80,MATCH(RIGHT(L134,255),RIGHT('Disaggregation Records'!$D$3:$D$80,255),0))),"")</f>
        <v/>
      </c>
      <c r="O134" s="130" t="str">
        <f t="array" ref="O134">IFERROR(IF(INDEX('Disaggregation Records'!$H$3:$H$80,MATCH(RIGHT(L134,255),RIGHT('Disaggregation Records'!$D$3:$D$80,255),0))="","",INDEX('Disaggregation Records'!$H$3:$H$80,MATCH(RIGHT(L134,255),RIGHT('Disaggregation Records'!$D$3:$D$80,255),0))),"")</f>
        <v/>
      </c>
      <c r="P134" s="130"/>
      <c r="Q134" s="52">
        <f t="shared" ref="Q134" si="180">Q132+1</f>
        <v>1253</v>
      </c>
    </row>
    <row r="135" spans="1:17" ht="20.100000000000001" customHeight="1" x14ac:dyDescent="0.25">
      <c r="A135" s="130"/>
      <c r="B135" s="602">
        <v>5.2218045112781999</v>
      </c>
      <c r="C135" s="604"/>
      <c r="D135" s="606"/>
      <c r="E135" s="606"/>
      <c r="F135" s="132"/>
      <c r="G135" s="608"/>
      <c r="H135" s="598"/>
      <c r="I135" s="600"/>
      <c r="J135" s="532"/>
      <c r="K135" s="133"/>
      <c r="L135" s="133"/>
      <c r="M135" s="133"/>
      <c r="N135" s="133"/>
      <c r="O135" s="133"/>
      <c r="P135" s="133"/>
      <c r="Q135" s="130"/>
    </row>
    <row r="136" spans="1:17" ht="20.100000000000001" customHeight="1" x14ac:dyDescent="0.25">
      <c r="A136" s="130" t="str">
        <f t="shared" ca="1" si="82"/>
        <v>a1GDm000000XmlnMAC</v>
      </c>
      <c r="B136" s="601">
        <v>7</v>
      </c>
      <c r="C136" s="603" t="str">
        <f>IFERROR(VLOOKUP(B136,'Impact Indicators - Section B '!$A$9:$AC$68,29,FALSE),"")</f>
        <v/>
      </c>
      <c r="D136" s="605" t="str">
        <f t="shared" ref="D136" si="181">M136</f>
        <v/>
      </c>
      <c r="E136" s="605" t="str">
        <f t="shared" ref="E136" si="182">N136</f>
        <v/>
      </c>
      <c r="F136" s="131"/>
      <c r="G136" s="607" t="str">
        <f ca="1">IF(OR(INDIRECT("'update Helper'!E"&amp;Q136)="",F136&lt;&gt;0,F137&lt;&gt;0),IF(IFERROR((F136/F137),"")="","",(F136/F137)),INDIRECT("'update Helper'!E"&amp;Q136)/100)</f>
        <v/>
      </c>
      <c r="H136" s="597"/>
      <c r="I136" s="599"/>
      <c r="J136" s="531"/>
      <c r="K136" s="130">
        <f>IF(AND(EXACT(C136,C134),C134&lt;&gt;0),K134+1,0)</f>
        <v>13</v>
      </c>
      <c r="L136" s="130" t="str">
        <f>IF(C136&lt;&gt;"",C136&amp;"-"&amp;K136,"")</f>
        <v/>
      </c>
      <c r="M136" s="130" t="str">
        <f t="array" ref="M136">IFERROR(IF(INDEX('Disaggregation Records'!$E$3:$E$80,MATCH(RIGHT(L136,255),RIGHT('Disaggregation Records'!$D$3:$D$80,255),0))="","",INDEX('Disaggregation Records'!$E$3:$E$80,MATCH(RIGHT(L136,255),RIGHT('Disaggregation Records'!$D$3:$D$80,255),0))),"")</f>
        <v/>
      </c>
      <c r="N136" s="130" t="str">
        <f t="array" ref="N136">IFERROR(IF(INDEX('Disaggregation Records'!$F$3:$F$80,MATCH(RIGHT(L136,255),RIGHT('Disaggregation Records'!$D$3:$D$80,255),0))="","",INDEX('Disaggregation Records'!$F$3:$F$80,MATCH(RIGHT(L136,255),RIGHT('Disaggregation Records'!$D$3:$D$80,255),0))),"")</f>
        <v/>
      </c>
      <c r="O136" s="130" t="str">
        <f t="array" ref="O136">IFERROR(IF(INDEX('Disaggregation Records'!$H$3:$H$80,MATCH(RIGHT(L136,255),RIGHT('Disaggregation Records'!$D$3:$D$80,255),0))="","",INDEX('Disaggregation Records'!$H$3:$H$80,MATCH(RIGHT(L136,255),RIGHT('Disaggregation Records'!$D$3:$D$80,255),0))),"")</f>
        <v/>
      </c>
      <c r="Q136" s="52">
        <f t="shared" ref="Q136" si="183">Q134+1</f>
        <v>1254</v>
      </c>
    </row>
    <row r="137" spans="1:17" ht="20.100000000000001" customHeight="1" x14ac:dyDescent="0.25">
      <c r="B137" s="602">
        <v>5.2218045112781999</v>
      </c>
      <c r="C137" s="604"/>
      <c r="D137" s="606"/>
      <c r="E137" s="606"/>
      <c r="F137" s="132"/>
      <c r="G137" s="608"/>
      <c r="H137" s="598"/>
      <c r="I137" s="600"/>
      <c r="J137" s="532"/>
      <c r="K137" s="133"/>
      <c r="L137" s="133"/>
      <c r="M137" s="133"/>
      <c r="N137" s="133"/>
      <c r="O137" s="133"/>
      <c r="Q137" s="130"/>
    </row>
    <row r="138" spans="1:17" ht="20.100000000000001" customHeight="1" x14ac:dyDescent="0.25">
      <c r="A138" s="130" t="str">
        <f t="shared" ref="A138" ca="1" si="184">INDIRECT("'update Helper'!C"&amp;Q138)</f>
        <v>a1GDm000000XmloMAC</v>
      </c>
      <c r="B138" s="601">
        <v>7</v>
      </c>
      <c r="C138" s="603" t="str">
        <f>IFERROR(VLOOKUP(B138,'Impact Indicators - Section B '!$A$9:$AC$68,29,FALSE),"")</f>
        <v/>
      </c>
      <c r="D138" s="605" t="str">
        <f t="shared" ref="D138" si="185">M138</f>
        <v/>
      </c>
      <c r="E138" s="605" t="str">
        <f t="shared" ref="E138" si="186">N138</f>
        <v/>
      </c>
      <c r="F138" s="131"/>
      <c r="G138" s="607" t="str">
        <f ca="1">IF(OR(INDIRECT("'update Helper'!E"&amp;Q138)="",F138&lt;&gt;0,F139&lt;&gt;0),IF(IFERROR((F138/F139),"")="","",(F138/F139)),INDIRECT("'update Helper'!E"&amp;Q138)/100)</f>
        <v/>
      </c>
      <c r="H138" s="597"/>
      <c r="I138" s="599"/>
      <c r="J138" s="531"/>
      <c r="K138" s="130">
        <f>IF(AND(EXACT(C138,C136),C136&lt;&gt;0),K136+1,0)</f>
        <v>14</v>
      </c>
      <c r="L138" s="130" t="str">
        <f>IF(C138&lt;&gt;"",C138&amp;"-"&amp;K138,"")</f>
        <v/>
      </c>
      <c r="M138" s="130" t="str">
        <f t="array" ref="M138">IFERROR(IF(INDEX('Disaggregation Records'!$E$3:$E$80,MATCH(RIGHT(L138,255),RIGHT('Disaggregation Records'!$D$3:$D$80,255),0))="","",INDEX('Disaggregation Records'!$E$3:$E$80,MATCH(RIGHT(L138,255),RIGHT('Disaggregation Records'!$D$3:$D$80,255),0))),"")</f>
        <v/>
      </c>
      <c r="N138" s="130" t="str">
        <f t="array" ref="N138">IFERROR(IF(INDEX('Disaggregation Records'!$F$3:$F$80,MATCH(RIGHT(L138,255),RIGHT('Disaggregation Records'!$D$3:$D$80,255),0))="","",INDEX('Disaggregation Records'!$F$3:$F$80,MATCH(RIGHT(L138,255),RIGHT('Disaggregation Records'!$D$3:$D$80,255),0))),"")</f>
        <v/>
      </c>
      <c r="O138" s="130" t="str">
        <f t="array" ref="O138">IFERROR(IF(INDEX('Disaggregation Records'!$H$3:$H$80,MATCH(RIGHT(L138,255),RIGHT('Disaggregation Records'!$D$3:$D$80,255),0))="","",INDEX('Disaggregation Records'!$H$3:$H$80,MATCH(RIGHT(L138,255),RIGHT('Disaggregation Records'!$D$3:$D$80,255),0))),"")</f>
        <v/>
      </c>
      <c r="P138" s="130"/>
      <c r="Q138" s="52">
        <f t="shared" ref="Q138" si="187">Q136+1</f>
        <v>1255</v>
      </c>
    </row>
    <row r="139" spans="1:17" ht="20.100000000000001" customHeight="1" x14ac:dyDescent="0.25">
      <c r="A139" s="130"/>
      <c r="B139" s="602">
        <v>5.2218045112781999</v>
      </c>
      <c r="C139" s="604"/>
      <c r="D139" s="606"/>
      <c r="E139" s="606"/>
      <c r="F139" s="132"/>
      <c r="G139" s="608"/>
      <c r="H139" s="598"/>
      <c r="I139" s="600"/>
      <c r="J139" s="532"/>
      <c r="K139" s="133"/>
      <c r="L139" s="133"/>
      <c r="M139" s="133"/>
      <c r="N139" s="133"/>
      <c r="O139" s="133"/>
      <c r="P139" s="133"/>
      <c r="Q139" s="130"/>
    </row>
    <row r="140" spans="1:17" ht="20.100000000000001" customHeight="1" x14ac:dyDescent="0.25">
      <c r="A140" s="130" t="str">
        <f t="shared" ca="1" si="82"/>
        <v>a1GDm000000XmlpMAC</v>
      </c>
      <c r="B140" s="601">
        <v>7</v>
      </c>
      <c r="C140" s="603" t="str">
        <f>IFERROR(VLOOKUP(B140,'Impact Indicators - Section B '!$A$9:$AC$68,29,FALSE),"")</f>
        <v/>
      </c>
      <c r="D140" s="605" t="str">
        <f t="shared" ref="D140" si="188">M140</f>
        <v/>
      </c>
      <c r="E140" s="605" t="str">
        <f t="shared" ref="E140" si="189">N140</f>
        <v/>
      </c>
      <c r="F140" s="131"/>
      <c r="G140" s="607" t="str">
        <f ca="1">IF(OR(INDIRECT("'update Helper'!E"&amp;Q140)="",F140&lt;&gt;0,F141&lt;&gt;0),IF(IFERROR((F140/F141),"")="","",(F140/F141)),INDIRECT("'update Helper'!E"&amp;Q140)/100)</f>
        <v/>
      </c>
      <c r="H140" s="597"/>
      <c r="I140" s="599"/>
      <c r="J140" s="531"/>
      <c r="K140" s="130">
        <f>IF(AND(EXACT(C140,C138),C138&lt;&gt;0),K138+1,0)</f>
        <v>15</v>
      </c>
      <c r="L140" s="130" t="str">
        <f>IF(C140&lt;&gt;"",C140&amp;"-"&amp;K140,"")</f>
        <v/>
      </c>
      <c r="M140" s="130" t="str">
        <f t="array" ref="M140">IFERROR(IF(INDEX('Disaggregation Records'!$E$3:$E$80,MATCH(RIGHT(L140,255),RIGHT('Disaggregation Records'!$D$3:$D$80,255),0))="","",INDEX('Disaggregation Records'!$E$3:$E$80,MATCH(RIGHT(L140,255),RIGHT('Disaggregation Records'!$D$3:$D$80,255),0))),"")</f>
        <v/>
      </c>
      <c r="N140" s="130" t="str">
        <f t="array" ref="N140">IFERROR(IF(INDEX('Disaggregation Records'!$F$3:$F$80,MATCH(RIGHT(L140,255),RIGHT('Disaggregation Records'!$D$3:$D$80,255),0))="","",INDEX('Disaggregation Records'!$F$3:$F$80,MATCH(RIGHT(L140,255),RIGHT('Disaggregation Records'!$D$3:$D$80,255),0))),"")</f>
        <v/>
      </c>
      <c r="O140" s="130" t="str">
        <f t="array" ref="O140">IFERROR(IF(INDEX('Disaggregation Records'!$H$3:$H$80,MATCH(RIGHT(L140,255),RIGHT('Disaggregation Records'!$D$3:$D$80,255),0))="","",INDEX('Disaggregation Records'!$H$3:$H$80,MATCH(RIGHT(L140,255),RIGHT('Disaggregation Records'!$D$3:$D$80,255),0))),"")</f>
        <v/>
      </c>
      <c r="Q140" s="52">
        <f t="shared" ref="Q140" si="190">Q138+1</f>
        <v>1256</v>
      </c>
    </row>
    <row r="141" spans="1:17" ht="20.100000000000001" customHeight="1" x14ac:dyDescent="0.25">
      <c r="B141" s="602">
        <v>5.2218045112781999</v>
      </c>
      <c r="C141" s="604"/>
      <c r="D141" s="606"/>
      <c r="E141" s="606"/>
      <c r="F141" s="132"/>
      <c r="G141" s="608"/>
      <c r="H141" s="598"/>
      <c r="I141" s="600"/>
      <c r="J141" s="532"/>
      <c r="K141" s="133"/>
      <c r="L141" s="133"/>
      <c r="M141" s="133"/>
      <c r="N141" s="133"/>
      <c r="O141" s="133"/>
      <c r="Q141" s="130"/>
    </row>
    <row r="142" spans="1:17" ht="20.100000000000001" customHeight="1" x14ac:dyDescent="0.25">
      <c r="A142" s="130" t="str">
        <f t="shared" ref="A142" ca="1" si="191">INDIRECT("'update Helper'!C"&amp;Q142)</f>
        <v>a1GDm000000XmlqMAC</v>
      </c>
      <c r="B142" s="601">
        <v>7</v>
      </c>
      <c r="C142" s="603" t="str">
        <f>IFERROR(VLOOKUP(B142,'Impact Indicators - Section B '!$A$9:$AC$68,29,FALSE),"")</f>
        <v/>
      </c>
      <c r="D142" s="605" t="str">
        <f t="shared" ref="D142" si="192">M142</f>
        <v/>
      </c>
      <c r="E142" s="605" t="str">
        <f t="shared" ref="E142" si="193">N142</f>
        <v/>
      </c>
      <c r="F142" s="131"/>
      <c r="G142" s="607" t="str">
        <f ca="1">IF(OR(INDIRECT("'update Helper'!E"&amp;Q142)="",F142&lt;&gt;0,F143&lt;&gt;0),IF(IFERROR((F142/F143),"")="","",(F142/F143)),INDIRECT("'update Helper'!E"&amp;Q142)/100)</f>
        <v/>
      </c>
      <c r="H142" s="597"/>
      <c r="I142" s="599"/>
      <c r="J142" s="531"/>
      <c r="K142" s="130">
        <f>IF(AND(EXACT(C142,C140),C140&lt;&gt;0),K140+1,0)</f>
        <v>16</v>
      </c>
      <c r="L142" s="130" t="str">
        <f>IF(C142&lt;&gt;"",C142&amp;"-"&amp;K142,"")</f>
        <v/>
      </c>
      <c r="M142" s="130" t="str">
        <f t="array" ref="M142">IFERROR(IF(INDEX('Disaggregation Records'!$E$3:$E$80,MATCH(RIGHT(L142,255),RIGHT('Disaggregation Records'!$D$3:$D$80,255),0))="","",INDEX('Disaggregation Records'!$E$3:$E$80,MATCH(RIGHT(L142,255),RIGHT('Disaggregation Records'!$D$3:$D$80,255),0))),"")</f>
        <v/>
      </c>
      <c r="N142" s="130" t="str">
        <f t="array" ref="N142">IFERROR(IF(INDEX('Disaggregation Records'!$F$3:$F$80,MATCH(RIGHT(L142,255),RIGHT('Disaggregation Records'!$D$3:$D$80,255),0))="","",INDEX('Disaggregation Records'!$F$3:$F$80,MATCH(RIGHT(L142,255),RIGHT('Disaggregation Records'!$D$3:$D$80,255),0))),"")</f>
        <v/>
      </c>
      <c r="O142" s="130" t="str">
        <f t="array" ref="O142">IFERROR(IF(INDEX('Disaggregation Records'!$H$3:$H$80,MATCH(RIGHT(L142,255),RIGHT('Disaggregation Records'!$D$3:$D$80,255),0))="","",INDEX('Disaggregation Records'!$H$3:$H$80,MATCH(RIGHT(L142,255),RIGHT('Disaggregation Records'!$D$3:$D$80,255),0))),"")</f>
        <v/>
      </c>
      <c r="P142" s="130"/>
      <c r="Q142" s="52">
        <f t="shared" ref="Q142" si="194">Q140+1</f>
        <v>1257</v>
      </c>
    </row>
    <row r="143" spans="1:17" ht="20.100000000000001" customHeight="1" x14ac:dyDescent="0.25">
      <c r="A143" s="130"/>
      <c r="B143" s="602">
        <v>5.2218045112781999</v>
      </c>
      <c r="C143" s="604"/>
      <c r="D143" s="606"/>
      <c r="E143" s="606"/>
      <c r="F143" s="132"/>
      <c r="G143" s="608"/>
      <c r="H143" s="598"/>
      <c r="I143" s="600"/>
      <c r="J143" s="532"/>
      <c r="K143" s="133"/>
      <c r="L143" s="133"/>
      <c r="M143" s="133"/>
      <c r="N143" s="133"/>
      <c r="O143" s="133"/>
      <c r="P143" s="133"/>
      <c r="Q143" s="130"/>
    </row>
    <row r="144" spans="1:17" ht="20.100000000000001" customHeight="1" x14ac:dyDescent="0.25">
      <c r="A144" s="130" t="str">
        <f t="shared" ref="A144:A204" ca="1" si="195">INDIRECT("'update Helper'!C"&amp;Q144)</f>
        <v>a1GDm000000XmlrMAC</v>
      </c>
      <c r="B144" s="601">
        <v>7</v>
      </c>
      <c r="C144" s="603" t="str">
        <f>IFERROR(VLOOKUP(B144,'Impact Indicators - Section B '!$A$9:$AC$68,29,FALSE),"")</f>
        <v/>
      </c>
      <c r="D144" s="605" t="str">
        <f t="shared" ref="D144" si="196">M144</f>
        <v/>
      </c>
      <c r="E144" s="605" t="str">
        <f t="shared" ref="E144" si="197">N144</f>
        <v/>
      </c>
      <c r="F144" s="131"/>
      <c r="G144" s="607" t="str">
        <f ca="1">IF(OR(INDIRECT("'update Helper'!E"&amp;Q144)="",F144&lt;&gt;0,F145&lt;&gt;0),IF(IFERROR((F144/F145),"")="","",(F144/F145)),INDIRECT("'update Helper'!E"&amp;Q144)/100)</f>
        <v/>
      </c>
      <c r="H144" s="597"/>
      <c r="I144" s="599"/>
      <c r="J144" s="531"/>
      <c r="K144" s="130">
        <f>IF(AND(EXACT(C144,C142),C142&lt;&gt;0),K142+1,0)</f>
        <v>17</v>
      </c>
      <c r="L144" s="130" t="str">
        <f>IF(C144&lt;&gt;"",C144&amp;"-"&amp;K144,"")</f>
        <v/>
      </c>
      <c r="M144" s="130" t="str">
        <f t="array" ref="M144">IFERROR(IF(INDEX('Disaggregation Records'!$E$3:$E$80,MATCH(RIGHT(L144,255),RIGHT('Disaggregation Records'!$D$3:$D$80,255),0))="","",INDEX('Disaggregation Records'!$E$3:$E$80,MATCH(RIGHT(L144,255),RIGHT('Disaggregation Records'!$D$3:$D$80,255),0))),"")</f>
        <v/>
      </c>
      <c r="N144" s="130" t="str">
        <f t="array" ref="N144">IFERROR(IF(INDEX('Disaggregation Records'!$F$3:$F$80,MATCH(RIGHT(L144,255),RIGHT('Disaggregation Records'!$D$3:$D$80,255),0))="","",INDEX('Disaggregation Records'!$F$3:$F$80,MATCH(RIGHT(L144,255),RIGHT('Disaggregation Records'!$D$3:$D$80,255),0))),"")</f>
        <v/>
      </c>
      <c r="O144" s="130" t="str">
        <f t="array" ref="O144">IFERROR(IF(INDEX('Disaggregation Records'!$H$3:$H$80,MATCH(RIGHT(L144,255),RIGHT('Disaggregation Records'!$D$3:$D$80,255),0))="","",INDEX('Disaggregation Records'!$H$3:$H$80,MATCH(RIGHT(L144,255),RIGHT('Disaggregation Records'!$D$3:$D$80,255),0))),"")</f>
        <v/>
      </c>
      <c r="Q144" s="52">
        <f t="shared" ref="Q144" si="198">Q142+1</f>
        <v>1258</v>
      </c>
    </row>
    <row r="145" spans="1:17" ht="20.100000000000001" customHeight="1" x14ac:dyDescent="0.25">
      <c r="B145" s="602">
        <v>5.2218045112781999</v>
      </c>
      <c r="C145" s="604"/>
      <c r="D145" s="606"/>
      <c r="E145" s="606"/>
      <c r="F145" s="132"/>
      <c r="G145" s="608"/>
      <c r="H145" s="598"/>
      <c r="I145" s="600"/>
      <c r="J145" s="532"/>
      <c r="K145" s="133"/>
      <c r="L145" s="133"/>
      <c r="M145" s="133"/>
      <c r="N145" s="133"/>
      <c r="O145" s="133"/>
      <c r="Q145" s="130"/>
    </row>
    <row r="146" spans="1:17" ht="20.100000000000001" customHeight="1" x14ac:dyDescent="0.25">
      <c r="A146" s="130" t="str">
        <f t="shared" ref="A146" ca="1" si="199">INDIRECT("'update Helper'!C"&amp;Q146)</f>
        <v>a1GDm000000XmlsMAC</v>
      </c>
      <c r="B146" s="601">
        <v>7</v>
      </c>
      <c r="C146" s="603" t="str">
        <f>IFERROR(VLOOKUP(B146,'Impact Indicators - Section B '!$A$9:$AC$68,29,FALSE),"")</f>
        <v/>
      </c>
      <c r="D146" s="605" t="str">
        <f t="shared" ref="D146" si="200">M146</f>
        <v/>
      </c>
      <c r="E146" s="605" t="str">
        <f t="shared" ref="E146" si="201">N146</f>
        <v/>
      </c>
      <c r="F146" s="131"/>
      <c r="G146" s="607" t="str">
        <f ca="1">IF(OR(INDIRECT("'update Helper'!E"&amp;Q146)="",F146&lt;&gt;0,F147&lt;&gt;0),IF(IFERROR((F146/F147),"")="","",(F146/F147)),INDIRECT("'update Helper'!E"&amp;Q146)/100)</f>
        <v/>
      </c>
      <c r="H146" s="597"/>
      <c r="I146" s="599"/>
      <c r="J146" s="531"/>
      <c r="K146" s="130">
        <f>IF(AND(EXACT(C146,C144),C144&lt;&gt;0),K144+1,0)</f>
        <v>18</v>
      </c>
      <c r="L146" s="130" t="str">
        <f>IF(C146&lt;&gt;"",C146&amp;"-"&amp;K146,"")</f>
        <v/>
      </c>
      <c r="M146" s="130" t="str">
        <f t="array" ref="M146">IFERROR(IF(INDEX('Disaggregation Records'!$E$3:$E$80,MATCH(RIGHT(L146,255),RIGHT('Disaggregation Records'!$D$3:$D$80,255),0))="","",INDEX('Disaggregation Records'!$E$3:$E$80,MATCH(RIGHT(L146,255),RIGHT('Disaggregation Records'!$D$3:$D$80,255),0))),"")</f>
        <v/>
      </c>
      <c r="N146" s="130" t="str">
        <f t="array" ref="N146">IFERROR(IF(INDEX('Disaggregation Records'!$F$3:$F$80,MATCH(RIGHT(L146,255),RIGHT('Disaggregation Records'!$D$3:$D$80,255),0))="","",INDEX('Disaggregation Records'!$F$3:$F$80,MATCH(RIGHT(L146,255),RIGHT('Disaggregation Records'!$D$3:$D$80,255),0))),"")</f>
        <v/>
      </c>
      <c r="O146" s="130" t="str">
        <f t="array" ref="O146">IFERROR(IF(INDEX('Disaggregation Records'!$H$3:$H$80,MATCH(RIGHT(L146,255),RIGHT('Disaggregation Records'!$D$3:$D$80,255),0))="","",INDEX('Disaggregation Records'!$H$3:$H$80,MATCH(RIGHT(L146,255),RIGHT('Disaggregation Records'!$D$3:$D$80,255),0))),"")</f>
        <v/>
      </c>
      <c r="P146" s="130"/>
      <c r="Q146" s="52">
        <f t="shared" ref="Q146" si="202">Q144+1</f>
        <v>1259</v>
      </c>
    </row>
    <row r="147" spans="1:17" ht="20.100000000000001" customHeight="1" x14ac:dyDescent="0.25">
      <c r="A147" s="130"/>
      <c r="B147" s="602">
        <v>5.2218045112781999</v>
      </c>
      <c r="C147" s="604"/>
      <c r="D147" s="606"/>
      <c r="E147" s="606"/>
      <c r="F147" s="132"/>
      <c r="G147" s="608"/>
      <c r="H147" s="598"/>
      <c r="I147" s="600"/>
      <c r="J147" s="532"/>
      <c r="K147" s="133"/>
      <c r="L147" s="133"/>
      <c r="M147" s="133"/>
      <c r="N147" s="133"/>
      <c r="O147" s="133"/>
      <c r="P147" s="133"/>
      <c r="Q147" s="130"/>
    </row>
    <row r="148" spans="1:17" ht="20.100000000000001" customHeight="1" x14ac:dyDescent="0.25">
      <c r="A148" s="130" t="str">
        <f t="shared" ca="1" si="195"/>
        <v>a1GDm000000XmltMAC</v>
      </c>
      <c r="B148" s="601">
        <v>7</v>
      </c>
      <c r="C148" s="603" t="str">
        <f>IFERROR(VLOOKUP(B148,'Impact Indicators - Section B '!$A$9:$AC$68,29,FALSE),"")</f>
        <v/>
      </c>
      <c r="D148" s="605" t="str">
        <f t="shared" ref="D148" si="203">M148</f>
        <v/>
      </c>
      <c r="E148" s="605" t="str">
        <f t="shared" ref="E148" si="204">N148</f>
        <v/>
      </c>
      <c r="F148" s="131"/>
      <c r="G148" s="607" t="str">
        <f ca="1">IF(OR(INDIRECT("'update Helper'!E"&amp;Q148)="",F148&lt;&gt;0,F149&lt;&gt;0),IF(IFERROR((F148/F149),"")="","",(F148/F149)),INDIRECT("'update Helper'!E"&amp;Q148)/100)</f>
        <v/>
      </c>
      <c r="H148" s="597"/>
      <c r="I148" s="599"/>
      <c r="J148" s="531"/>
      <c r="K148" s="130">
        <f>IF(AND(EXACT(C148,C146),C146&lt;&gt;0),K146+1,0)</f>
        <v>19</v>
      </c>
      <c r="L148" s="130" t="str">
        <f>IF(C148&lt;&gt;"",C148&amp;"-"&amp;K148,"")</f>
        <v/>
      </c>
      <c r="M148" s="130" t="str">
        <f t="array" ref="M148">IFERROR(IF(INDEX('Disaggregation Records'!$E$3:$E$80,MATCH(RIGHT(L148,255),RIGHT('Disaggregation Records'!$D$3:$D$80,255),0))="","",INDEX('Disaggregation Records'!$E$3:$E$80,MATCH(RIGHT(L148,255),RIGHT('Disaggregation Records'!$D$3:$D$80,255),0))),"")</f>
        <v/>
      </c>
      <c r="N148" s="130" t="str">
        <f t="array" ref="N148">IFERROR(IF(INDEX('Disaggregation Records'!$F$3:$F$80,MATCH(RIGHT(L148,255),RIGHT('Disaggregation Records'!$D$3:$D$80,255),0))="","",INDEX('Disaggregation Records'!$F$3:$F$80,MATCH(RIGHT(L148,255),RIGHT('Disaggregation Records'!$D$3:$D$80,255),0))),"")</f>
        <v/>
      </c>
      <c r="O148" s="130" t="str">
        <f t="array" ref="O148">IFERROR(IF(INDEX('Disaggregation Records'!$H$3:$H$80,MATCH(RIGHT(L148,255),RIGHT('Disaggregation Records'!$D$3:$D$80,255),0))="","",INDEX('Disaggregation Records'!$H$3:$H$80,MATCH(RIGHT(L148,255),RIGHT('Disaggregation Records'!$D$3:$D$80,255),0))),"")</f>
        <v/>
      </c>
      <c r="Q148" s="52">
        <f t="shared" ref="Q148" si="205">Q146+1</f>
        <v>1260</v>
      </c>
    </row>
    <row r="149" spans="1:17" ht="20.100000000000001" customHeight="1" x14ac:dyDescent="0.25">
      <c r="B149" s="602">
        <v>5.2218045112781999</v>
      </c>
      <c r="C149" s="604"/>
      <c r="D149" s="606"/>
      <c r="E149" s="606"/>
      <c r="F149" s="132"/>
      <c r="G149" s="608"/>
      <c r="H149" s="598"/>
      <c r="I149" s="600"/>
      <c r="J149" s="532"/>
      <c r="K149" s="133"/>
      <c r="L149" s="133"/>
      <c r="M149" s="133"/>
      <c r="N149" s="133"/>
      <c r="O149" s="133"/>
      <c r="Q149" s="130"/>
    </row>
    <row r="150" spans="1:17" ht="20.100000000000001" customHeight="1" x14ac:dyDescent="0.25">
      <c r="A150" s="130" t="str">
        <f t="shared" ref="A150" ca="1" si="206">INDIRECT("'update Helper'!C"&amp;Q150)</f>
        <v>a1GDm000000XmluMAC</v>
      </c>
      <c r="B150" s="601">
        <v>8</v>
      </c>
      <c r="C150" s="603" t="str">
        <f>IFERROR(VLOOKUP(B150,'Impact Indicators - Section B '!$A$9:$AC$68,29,FALSE),"")</f>
        <v/>
      </c>
      <c r="D150" s="605" t="str">
        <f t="shared" ref="D150" si="207">M150</f>
        <v/>
      </c>
      <c r="E150" s="605" t="str">
        <f t="shared" ref="E150" si="208">N150</f>
        <v/>
      </c>
      <c r="F150" s="131"/>
      <c r="G150" s="607" t="str">
        <f ca="1">IF(OR(INDIRECT("'update Helper'!E"&amp;Q150)="",F150&lt;&gt;0,F151&lt;&gt;0),IF(IFERROR((F150/F151),"")="","",(F150/F151)),INDIRECT("'update Helper'!E"&amp;Q150)/100)</f>
        <v/>
      </c>
      <c r="H150" s="597"/>
      <c r="I150" s="599"/>
      <c r="J150" s="531"/>
      <c r="K150" s="130">
        <f>IF(AND(EXACT(C150,C148),C148&lt;&gt;0),K148+1,0)</f>
        <v>20</v>
      </c>
      <c r="L150" s="130" t="str">
        <f>IF(C150&lt;&gt;"",C150&amp;"-"&amp;K150,"")</f>
        <v/>
      </c>
      <c r="M150" s="130" t="str">
        <f t="array" ref="M150">IFERROR(IF(INDEX('Disaggregation Records'!$E$3:$E$80,MATCH(RIGHT(L150,255),RIGHT('Disaggregation Records'!$D$3:$D$80,255),0))="","",INDEX('Disaggregation Records'!$E$3:$E$80,MATCH(RIGHT(L150,255),RIGHT('Disaggregation Records'!$D$3:$D$80,255),0))),"")</f>
        <v/>
      </c>
      <c r="N150" s="130" t="str">
        <f t="array" ref="N150">IFERROR(IF(INDEX('Disaggregation Records'!$F$3:$F$80,MATCH(RIGHT(L150,255),RIGHT('Disaggregation Records'!$D$3:$D$80,255),0))="","",INDEX('Disaggregation Records'!$F$3:$F$80,MATCH(RIGHT(L150,255),RIGHT('Disaggregation Records'!$D$3:$D$80,255),0))),"")</f>
        <v/>
      </c>
      <c r="O150" s="130" t="str">
        <f t="array" ref="O150">IFERROR(IF(INDEX('Disaggregation Records'!$H$3:$H$80,MATCH(RIGHT(L150,255),RIGHT('Disaggregation Records'!$D$3:$D$80,255),0))="","",INDEX('Disaggregation Records'!$H$3:$H$80,MATCH(RIGHT(L150,255),RIGHT('Disaggregation Records'!$D$3:$D$80,255),0))),"")</f>
        <v/>
      </c>
      <c r="P150" s="130"/>
      <c r="Q150" s="52">
        <f t="shared" ref="Q150" si="209">Q148+1</f>
        <v>1261</v>
      </c>
    </row>
    <row r="151" spans="1:17" ht="20.100000000000001" customHeight="1" x14ac:dyDescent="0.25">
      <c r="A151" s="130"/>
      <c r="B151" s="602">
        <v>5.9736842105263204</v>
      </c>
      <c r="C151" s="604"/>
      <c r="D151" s="606"/>
      <c r="E151" s="606"/>
      <c r="F151" s="132"/>
      <c r="G151" s="608"/>
      <c r="H151" s="598"/>
      <c r="I151" s="600"/>
      <c r="J151" s="532"/>
      <c r="K151" s="133"/>
      <c r="L151" s="133"/>
      <c r="M151" s="133"/>
      <c r="N151" s="133"/>
      <c r="O151" s="133"/>
      <c r="P151" s="133"/>
      <c r="Q151" s="130"/>
    </row>
    <row r="152" spans="1:17" ht="20.100000000000001" customHeight="1" x14ac:dyDescent="0.25">
      <c r="A152" s="130" t="str">
        <f t="shared" ca="1" si="195"/>
        <v>a1GDm000000XmlvMAC</v>
      </c>
      <c r="B152" s="601">
        <v>8</v>
      </c>
      <c r="C152" s="603" t="str">
        <f>IFERROR(VLOOKUP(B152,'Impact Indicators - Section B '!$A$9:$AC$68,29,FALSE),"")</f>
        <v/>
      </c>
      <c r="D152" s="605" t="str">
        <f t="shared" ref="D152" si="210">M152</f>
        <v/>
      </c>
      <c r="E152" s="605" t="str">
        <f t="shared" ref="E152" si="211">N152</f>
        <v/>
      </c>
      <c r="F152" s="131"/>
      <c r="G152" s="607" t="str">
        <f ca="1">IF(OR(INDIRECT("'update Helper'!E"&amp;Q152)="",F152&lt;&gt;0,F153&lt;&gt;0),IF(IFERROR((F152/F153),"")="","",(F152/F153)),INDIRECT("'update Helper'!E"&amp;Q152)/100)</f>
        <v/>
      </c>
      <c r="H152" s="597"/>
      <c r="I152" s="599"/>
      <c r="J152" s="531"/>
      <c r="K152" s="130">
        <f>IF(AND(EXACT(C152,C150),C150&lt;&gt;0),K150+1,0)</f>
        <v>21</v>
      </c>
      <c r="L152" s="130" t="str">
        <f>IF(C152&lt;&gt;"",C152&amp;"-"&amp;K152,"")</f>
        <v/>
      </c>
      <c r="M152" s="130" t="str">
        <f t="array" ref="M152">IFERROR(IF(INDEX('Disaggregation Records'!$E$3:$E$80,MATCH(RIGHT(L152,255),RIGHT('Disaggregation Records'!$D$3:$D$80,255),0))="","",INDEX('Disaggregation Records'!$E$3:$E$80,MATCH(RIGHT(L152,255),RIGHT('Disaggregation Records'!$D$3:$D$80,255),0))),"")</f>
        <v/>
      </c>
      <c r="N152" s="130" t="str">
        <f t="array" ref="N152">IFERROR(IF(INDEX('Disaggregation Records'!$F$3:$F$80,MATCH(RIGHT(L152,255),RIGHT('Disaggregation Records'!$D$3:$D$80,255),0))="","",INDEX('Disaggregation Records'!$F$3:$F$80,MATCH(RIGHT(L152,255),RIGHT('Disaggregation Records'!$D$3:$D$80,255),0))),"")</f>
        <v/>
      </c>
      <c r="O152" s="130" t="str">
        <f t="array" ref="O152">IFERROR(IF(INDEX('Disaggregation Records'!$H$3:$H$80,MATCH(RIGHT(L152,255),RIGHT('Disaggregation Records'!$D$3:$D$80,255),0))="","",INDEX('Disaggregation Records'!$H$3:$H$80,MATCH(RIGHT(L152,255),RIGHT('Disaggregation Records'!$D$3:$D$80,255),0))),"")</f>
        <v/>
      </c>
      <c r="Q152" s="52">
        <f t="shared" ref="Q152" si="212">Q150+1</f>
        <v>1262</v>
      </c>
    </row>
    <row r="153" spans="1:17" ht="20.100000000000001" customHeight="1" x14ac:dyDescent="0.25">
      <c r="B153" s="602">
        <v>5.9736842105263204</v>
      </c>
      <c r="C153" s="604"/>
      <c r="D153" s="606"/>
      <c r="E153" s="606"/>
      <c r="F153" s="132"/>
      <c r="G153" s="608"/>
      <c r="H153" s="598"/>
      <c r="I153" s="600"/>
      <c r="J153" s="532"/>
      <c r="K153" s="133"/>
      <c r="L153" s="133"/>
      <c r="M153" s="133"/>
      <c r="N153" s="133"/>
      <c r="O153" s="133"/>
      <c r="Q153" s="130"/>
    </row>
    <row r="154" spans="1:17" ht="20.100000000000001" customHeight="1" x14ac:dyDescent="0.25">
      <c r="A154" s="130" t="str">
        <f t="shared" ref="A154" ca="1" si="213">INDIRECT("'update Helper'!C"&amp;Q154)</f>
        <v>a1GDm000000XmlwMAC</v>
      </c>
      <c r="B154" s="601">
        <v>8</v>
      </c>
      <c r="C154" s="603" t="str">
        <f>IFERROR(VLOOKUP(B154,'Impact Indicators - Section B '!$A$9:$AC$68,29,FALSE),"")</f>
        <v/>
      </c>
      <c r="D154" s="605" t="str">
        <f t="shared" ref="D154" si="214">M154</f>
        <v/>
      </c>
      <c r="E154" s="605" t="str">
        <f t="shared" ref="E154" si="215">N154</f>
        <v/>
      </c>
      <c r="F154" s="131"/>
      <c r="G154" s="607" t="str">
        <f ca="1">IF(OR(INDIRECT("'update Helper'!E"&amp;Q154)="",F154&lt;&gt;0,F155&lt;&gt;0),IF(IFERROR((F154/F155),"")="","",(F154/F155)),INDIRECT("'update Helper'!E"&amp;Q154)/100)</f>
        <v/>
      </c>
      <c r="H154" s="597"/>
      <c r="I154" s="599"/>
      <c r="J154" s="531"/>
      <c r="K154" s="130">
        <f>IF(AND(EXACT(C154,C152),C152&lt;&gt;0),K152+1,0)</f>
        <v>22</v>
      </c>
      <c r="L154" s="130" t="str">
        <f>IF(C154&lt;&gt;"",C154&amp;"-"&amp;K154,"")</f>
        <v/>
      </c>
      <c r="M154" s="130" t="str">
        <f t="array" ref="M154">IFERROR(IF(INDEX('Disaggregation Records'!$E$3:$E$80,MATCH(RIGHT(L154,255),RIGHT('Disaggregation Records'!$D$3:$D$80,255),0))="","",INDEX('Disaggregation Records'!$E$3:$E$80,MATCH(RIGHT(L154,255),RIGHT('Disaggregation Records'!$D$3:$D$80,255),0))),"")</f>
        <v/>
      </c>
      <c r="N154" s="130" t="str">
        <f t="array" ref="N154">IFERROR(IF(INDEX('Disaggregation Records'!$F$3:$F$80,MATCH(RIGHT(L154,255),RIGHT('Disaggregation Records'!$D$3:$D$80,255),0))="","",INDEX('Disaggregation Records'!$F$3:$F$80,MATCH(RIGHT(L154,255),RIGHT('Disaggregation Records'!$D$3:$D$80,255),0))),"")</f>
        <v/>
      </c>
      <c r="O154" s="130" t="str">
        <f t="array" ref="O154">IFERROR(IF(INDEX('Disaggregation Records'!$H$3:$H$80,MATCH(RIGHT(L154,255),RIGHT('Disaggregation Records'!$D$3:$D$80,255),0))="","",INDEX('Disaggregation Records'!$H$3:$H$80,MATCH(RIGHT(L154,255),RIGHT('Disaggregation Records'!$D$3:$D$80,255),0))),"")</f>
        <v/>
      </c>
      <c r="P154" s="130"/>
      <c r="Q154" s="52">
        <f t="shared" ref="Q154" si="216">Q152+1</f>
        <v>1263</v>
      </c>
    </row>
    <row r="155" spans="1:17" ht="20.100000000000001" customHeight="1" x14ac:dyDescent="0.25">
      <c r="A155" s="130"/>
      <c r="B155" s="602">
        <v>5.9736842105263204</v>
      </c>
      <c r="C155" s="604"/>
      <c r="D155" s="606"/>
      <c r="E155" s="606"/>
      <c r="F155" s="132"/>
      <c r="G155" s="608"/>
      <c r="H155" s="598"/>
      <c r="I155" s="600"/>
      <c r="J155" s="532"/>
      <c r="K155" s="133"/>
      <c r="L155" s="133"/>
      <c r="M155" s="133"/>
      <c r="N155" s="133"/>
      <c r="O155" s="133"/>
      <c r="P155" s="133"/>
      <c r="Q155" s="130"/>
    </row>
    <row r="156" spans="1:17" ht="20.100000000000001" customHeight="1" x14ac:dyDescent="0.25">
      <c r="A156" s="130" t="str">
        <f t="shared" ca="1" si="195"/>
        <v>a1GDm000000XmlxMAC</v>
      </c>
      <c r="B156" s="601">
        <v>8</v>
      </c>
      <c r="C156" s="603" t="str">
        <f>IFERROR(VLOOKUP(B156,'Impact Indicators - Section B '!$A$9:$AC$68,29,FALSE),"")</f>
        <v/>
      </c>
      <c r="D156" s="605" t="str">
        <f t="shared" ref="D156" si="217">M156</f>
        <v/>
      </c>
      <c r="E156" s="605" t="str">
        <f t="shared" ref="E156" si="218">N156</f>
        <v/>
      </c>
      <c r="F156" s="131"/>
      <c r="G156" s="607" t="str">
        <f ca="1">IF(OR(INDIRECT("'update Helper'!E"&amp;Q156)="",F156&lt;&gt;0,F157&lt;&gt;0),IF(IFERROR((F156/F157),"")="","",(F156/F157)),INDIRECT("'update Helper'!E"&amp;Q156)/100)</f>
        <v/>
      </c>
      <c r="H156" s="597"/>
      <c r="I156" s="599"/>
      <c r="J156" s="531"/>
      <c r="K156" s="130">
        <f>IF(AND(EXACT(C156,C154),C154&lt;&gt;0),K154+1,0)</f>
        <v>23</v>
      </c>
      <c r="L156" s="130" t="str">
        <f>IF(C156&lt;&gt;"",C156&amp;"-"&amp;K156,"")</f>
        <v/>
      </c>
      <c r="M156" s="130" t="str">
        <f t="array" ref="M156">IFERROR(IF(INDEX('Disaggregation Records'!$E$3:$E$80,MATCH(RIGHT(L156,255),RIGHT('Disaggregation Records'!$D$3:$D$80,255),0))="","",INDEX('Disaggregation Records'!$E$3:$E$80,MATCH(RIGHT(L156,255),RIGHT('Disaggregation Records'!$D$3:$D$80,255),0))),"")</f>
        <v/>
      </c>
      <c r="N156" s="130" t="str">
        <f t="array" ref="N156">IFERROR(IF(INDEX('Disaggregation Records'!$F$3:$F$80,MATCH(RIGHT(L156,255),RIGHT('Disaggregation Records'!$D$3:$D$80,255),0))="","",INDEX('Disaggregation Records'!$F$3:$F$80,MATCH(RIGHT(L156,255),RIGHT('Disaggregation Records'!$D$3:$D$80,255),0))),"")</f>
        <v/>
      </c>
      <c r="O156" s="130" t="str">
        <f t="array" ref="O156">IFERROR(IF(INDEX('Disaggregation Records'!$H$3:$H$80,MATCH(RIGHT(L156,255),RIGHT('Disaggregation Records'!$D$3:$D$80,255),0))="","",INDEX('Disaggregation Records'!$H$3:$H$80,MATCH(RIGHT(L156,255),RIGHT('Disaggregation Records'!$D$3:$D$80,255),0))),"")</f>
        <v/>
      </c>
      <c r="Q156" s="52">
        <f t="shared" ref="Q156" si="219">Q154+1</f>
        <v>1264</v>
      </c>
    </row>
    <row r="157" spans="1:17" ht="20.100000000000001" customHeight="1" x14ac:dyDescent="0.25">
      <c r="B157" s="602">
        <v>5.9736842105263204</v>
      </c>
      <c r="C157" s="604"/>
      <c r="D157" s="606"/>
      <c r="E157" s="606"/>
      <c r="F157" s="132"/>
      <c r="G157" s="608"/>
      <c r="H157" s="598"/>
      <c r="I157" s="600"/>
      <c r="J157" s="532"/>
      <c r="K157" s="133"/>
      <c r="L157" s="133"/>
      <c r="M157" s="133"/>
      <c r="N157" s="133"/>
      <c r="O157" s="133"/>
      <c r="Q157" s="130"/>
    </row>
    <row r="158" spans="1:17" ht="20.100000000000001" customHeight="1" x14ac:dyDescent="0.25">
      <c r="A158" s="130" t="str">
        <f t="shared" ref="A158" ca="1" si="220">INDIRECT("'update Helper'!C"&amp;Q158)</f>
        <v>a1GDm000000XmlyMAC</v>
      </c>
      <c r="B158" s="601">
        <v>8</v>
      </c>
      <c r="C158" s="603" t="str">
        <f>IFERROR(VLOOKUP(B158,'Impact Indicators - Section B '!$A$9:$AC$68,29,FALSE),"")</f>
        <v/>
      </c>
      <c r="D158" s="605" t="str">
        <f t="shared" ref="D158" si="221">M158</f>
        <v/>
      </c>
      <c r="E158" s="605" t="str">
        <f t="shared" ref="E158" si="222">N158</f>
        <v/>
      </c>
      <c r="F158" s="131"/>
      <c r="G158" s="607" t="str">
        <f ca="1">IF(OR(INDIRECT("'update Helper'!E"&amp;Q158)="",F158&lt;&gt;0,F159&lt;&gt;0),IF(IFERROR((F158/F159),"")="","",(F158/F159)),INDIRECT("'update Helper'!E"&amp;Q158)/100)</f>
        <v/>
      </c>
      <c r="H158" s="597"/>
      <c r="I158" s="599"/>
      <c r="J158" s="531"/>
      <c r="K158" s="130">
        <f>IF(AND(EXACT(C158,C156),C156&lt;&gt;0),K156+1,0)</f>
        <v>24</v>
      </c>
      <c r="L158" s="130" t="str">
        <f>IF(C158&lt;&gt;"",C158&amp;"-"&amp;K158,"")</f>
        <v/>
      </c>
      <c r="M158" s="130" t="str">
        <f t="array" ref="M158">IFERROR(IF(INDEX('Disaggregation Records'!$E$3:$E$80,MATCH(RIGHT(L158,255),RIGHT('Disaggregation Records'!$D$3:$D$80,255),0))="","",INDEX('Disaggregation Records'!$E$3:$E$80,MATCH(RIGHT(L158,255),RIGHT('Disaggregation Records'!$D$3:$D$80,255),0))),"")</f>
        <v/>
      </c>
      <c r="N158" s="130" t="str">
        <f t="array" ref="N158">IFERROR(IF(INDEX('Disaggregation Records'!$F$3:$F$80,MATCH(RIGHT(L158,255),RIGHT('Disaggregation Records'!$D$3:$D$80,255),0))="","",INDEX('Disaggregation Records'!$F$3:$F$80,MATCH(RIGHT(L158,255),RIGHT('Disaggregation Records'!$D$3:$D$80,255),0))),"")</f>
        <v/>
      </c>
      <c r="O158" s="130" t="str">
        <f t="array" ref="O158">IFERROR(IF(INDEX('Disaggregation Records'!$H$3:$H$80,MATCH(RIGHT(L158,255),RIGHT('Disaggregation Records'!$D$3:$D$80,255),0))="","",INDEX('Disaggregation Records'!$H$3:$H$80,MATCH(RIGHT(L158,255),RIGHT('Disaggregation Records'!$D$3:$D$80,255),0))),"")</f>
        <v/>
      </c>
      <c r="P158" s="130"/>
      <c r="Q158" s="52">
        <f t="shared" ref="Q158" si="223">Q156+1</f>
        <v>1265</v>
      </c>
    </row>
    <row r="159" spans="1:17" ht="20.100000000000001" customHeight="1" x14ac:dyDescent="0.25">
      <c r="A159" s="130"/>
      <c r="B159" s="602">
        <v>5.9736842105263204</v>
      </c>
      <c r="C159" s="604"/>
      <c r="D159" s="606"/>
      <c r="E159" s="606"/>
      <c r="F159" s="132"/>
      <c r="G159" s="608"/>
      <c r="H159" s="598"/>
      <c r="I159" s="600"/>
      <c r="J159" s="532"/>
      <c r="K159" s="133"/>
      <c r="L159" s="133"/>
      <c r="M159" s="133"/>
      <c r="N159" s="133"/>
      <c r="O159" s="133"/>
      <c r="P159" s="133"/>
      <c r="Q159" s="130"/>
    </row>
    <row r="160" spans="1:17" ht="20.100000000000001" customHeight="1" x14ac:dyDescent="0.25">
      <c r="A160" s="130" t="str">
        <f t="shared" ca="1" si="195"/>
        <v>a1GDm000000XmlzMAC</v>
      </c>
      <c r="B160" s="601">
        <v>8</v>
      </c>
      <c r="C160" s="603" t="str">
        <f>IFERROR(VLOOKUP(B160,'Impact Indicators - Section B '!$A$9:$AC$68,29,FALSE),"")</f>
        <v/>
      </c>
      <c r="D160" s="605" t="str">
        <f t="shared" ref="D160" si="224">M160</f>
        <v/>
      </c>
      <c r="E160" s="605" t="str">
        <f t="shared" ref="E160" si="225">N160</f>
        <v/>
      </c>
      <c r="F160" s="131"/>
      <c r="G160" s="607" t="str">
        <f ca="1">IF(OR(INDIRECT("'update Helper'!E"&amp;Q160)="",F160&lt;&gt;0,F161&lt;&gt;0),IF(IFERROR((F160/F161),"")="","",(F160/F161)),INDIRECT("'update Helper'!E"&amp;Q160)/100)</f>
        <v/>
      </c>
      <c r="H160" s="597"/>
      <c r="I160" s="599"/>
      <c r="J160" s="531"/>
      <c r="K160" s="130">
        <f>IF(AND(EXACT(C160,C158),C158&lt;&gt;0),K158+1,0)</f>
        <v>25</v>
      </c>
      <c r="L160" s="130" t="str">
        <f>IF(C160&lt;&gt;"",C160&amp;"-"&amp;K160,"")</f>
        <v/>
      </c>
      <c r="M160" s="130" t="str">
        <f t="array" ref="M160">IFERROR(IF(INDEX('Disaggregation Records'!$E$3:$E$80,MATCH(RIGHT(L160,255),RIGHT('Disaggregation Records'!$D$3:$D$80,255),0))="","",INDEX('Disaggregation Records'!$E$3:$E$80,MATCH(RIGHT(L160,255),RIGHT('Disaggregation Records'!$D$3:$D$80,255),0))),"")</f>
        <v/>
      </c>
      <c r="N160" s="130" t="str">
        <f t="array" ref="N160">IFERROR(IF(INDEX('Disaggregation Records'!$F$3:$F$80,MATCH(RIGHT(L160,255),RIGHT('Disaggregation Records'!$D$3:$D$80,255),0))="","",INDEX('Disaggregation Records'!$F$3:$F$80,MATCH(RIGHT(L160,255),RIGHT('Disaggregation Records'!$D$3:$D$80,255),0))),"")</f>
        <v/>
      </c>
      <c r="O160" s="130" t="str">
        <f t="array" ref="O160">IFERROR(IF(INDEX('Disaggregation Records'!$H$3:$H$80,MATCH(RIGHT(L160,255),RIGHT('Disaggregation Records'!$D$3:$D$80,255),0))="","",INDEX('Disaggregation Records'!$H$3:$H$80,MATCH(RIGHT(L160,255),RIGHT('Disaggregation Records'!$D$3:$D$80,255),0))),"")</f>
        <v/>
      </c>
      <c r="Q160" s="52">
        <f t="shared" ref="Q160" si="226">Q158+1</f>
        <v>1266</v>
      </c>
    </row>
    <row r="161" spans="1:17" ht="20.100000000000001" customHeight="1" x14ac:dyDescent="0.25">
      <c r="B161" s="602">
        <v>5.9736842105263204</v>
      </c>
      <c r="C161" s="604"/>
      <c r="D161" s="606"/>
      <c r="E161" s="606"/>
      <c r="F161" s="132"/>
      <c r="G161" s="608"/>
      <c r="H161" s="598"/>
      <c r="I161" s="600"/>
      <c r="J161" s="532"/>
      <c r="K161" s="133"/>
      <c r="L161" s="133"/>
      <c r="M161" s="133"/>
      <c r="N161" s="133"/>
      <c r="O161" s="133"/>
      <c r="Q161" s="130"/>
    </row>
    <row r="162" spans="1:17" ht="20.100000000000001" customHeight="1" x14ac:dyDescent="0.25">
      <c r="A162" s="130" t="str">
        <f t="shared" ref="A162" ca="1" si="227">INDIRECT("'update Helper'!C"&amp;Q162)</f>
        <v>a1GDm000000Xmm0MAC</v>
      </c>
      <c r="B162" s="601">
        <v>8</v>
      </c>
      <c r="C162" s="603" t="str">
        <f>IFERROR(VLOOKUP(B162,'Impact Indicators - Section B '!$A$9:$AC$68,29,FALSE),"")</f>
        <v/>
      </c>
      <c r="D162" s="605" t="str">
        <f t="shared" ref="D162" si="228">M162</f>
        <v/>
      </c>
      <c r="E162" s="605" t="str">
        <f t="shared" ref="E162" si="229">N162</f>
        <v/>
      </c>
      <c r="F162" s="131"/>
      <c r="G162" s="607" t="str">
        <f ca="1">IF(OR(INDIRECT("'update Helper'!E"&amp;Q162)="",F162&lt;&gt;0,F163&lt;&gt;0),IF(IFERROR((F162/F163),"")="","",(F162/F163)),INDIRECT("'update Helper'!E"&amp;Q162)/100)</f>
        <v/>
      </c>
      <c r="H162" s="597"/>
      <c r="I162" s="599"/>
      <c r="J162" s="531"/>
      <c r="K162" s="130">
        <f>IF(AND(EXACT(C162,C160),C160&lt;&gt;0),K160+1,0)</f>
        <v>26</v>
      </c>
      <c r="L162" s="130" t="str">
        <f>IF(C162&lt;&gt;"",C162&amp;"-"&amp;K162,"")</f>
        <v/>
      </c>
      <c r="M162" s="130" t="str">
        <f t="array" ref="M162">IFERROR(IF(INDEX('Disaggregation Records'!$E$3:$E$80,MATCH(RIGHT(L162,255),RIGHT('Disaggregation Records'!$D$3:$D$80,255),0))="","",INDEX('Disaggregation Records'!$E$3:$E$80,MATCH(RIGHT(L162,255),RIGHT('Disaggregation Records'!$D$3:$D$80,255),0))),"")</f>
        <v/>
      </c>
      <c r="N162" s="130" t="str">
        <f t="array" ref="N162">IFERROR(IF(INDEX('Disaggregation Records'!$F$3:$F$80,MATCH(RIGHT(L162,255),RIGHT('Disaggregation Records'!$D$3:$D$80,255),0))="","",INDEX('Disaggregation Records'!$F$3:$F$80,MATCH(RIGHT(L162,255),RIGHT('Disaggregation Records'!$D$3:$D$80,255),0))),"")</f>
        <v/>
      </c>
      <c r="O162" s="130" t="str">
        <f t="array" ref="O162">IFERROR(IF(INDEX('Disaggregation Records'!$H$3:$H$80,MATCH(RIGHT(L162,255),RIGHT('Disaggregation Records'!$D$3:$D$80,255),0))="","",INDEX('Disaggregation Records'!$H$3:$H$80,MATCH(RIGHT(L162,255),RIGHT('Disaggregation Records'!$D$3:$D$80,255),0))),"")</f>
        <v/>
      </c>
      <c r="P162" s="130"/>
      <c r="Q162" s="52">
        <f t="shared" ref="Q162" si="230">Q160+1</f>
        <v>1267</v>
      </c>
    </row>
    <row r="163" spans="1:17" ht="20.100000000000001" customHeight="1" x14ac:dyDescent="0.25">
      <c r="A163" s="130"/>
      <c r="B163" s="602">
        <v>5.9736842105263204</v>
      </c>
      <c r="C163" s="604"/>
      <c r="D163" s="606"/>
      <c r="E163" s="606"/>
      <c r="F163" s="132"/>
      <c r="G163" s="608"/>
      <c r="H163" s="598"/>
      <c r="I163" s="600"/>
      <c r="J163" s="532"/>
      <c r="K163" s="133"/>
      <c r="L163" s="133"/>
      <c r="M163" s="133"/>
      <c r="N163" s="133"/>
      <c r="O163" s="133"/>
      <c r="P163" s="133"/>
      <c r="Q163" s="130"/>
    </row>
    <row r="164" spans="1:17" ht="20.100000000000001" customHeight="1" x14ac:dyDescent="0.25">
      <c r="A164" s="130" t="str">
        <f t="shared" ca="1" si="195"/>
        <v>a1GDm000000Xmm1MAC</v>
      </c>
      <c r="B164" s="601">
        <v>8</v>
      </c>
      <c r="C164" s="603" t="str">
        <f>IFERROR(VLOOKUP(B164,'Impact Indicators - Section B '!$A$9:$AC$68,29,FALSE),"")</f>
        <v/>
      </c>
      <c r="D164" s="605" t="str">
        <f t="shared" ref="D164" si="231">M164</f>
        <v/>
      </c>
      <c r="E164" s="605" t="str">
        <f t="shared" ref="E164" si="232">N164</f>
        <v/>
      </c>
      <c r="F164" s="131"/>
      <c r="G164" s="607" t="str">
        <f ca="1">IF(OR(INDIRECT("'update Helper'!E"&amp;Q164)="",F164&lt;&gt;0,F165&lt;&gt;0),IF(IFERROR((F164/F165),"")="","",(F164/F165)),INDIRECT("'update Helper'!E"&amp;Q164)/100)</f>
        <v/>
      </c>
      <c r="H164" s="597"/>
      <c r="I164" s="599"/>
      <c r="J164" s="531"/>
      <c r="K164" s="130">
        <f>IF(AND(EXACT(C164,C162),C162&lt;&gt;0),K162+1,0)</f>
        <v>27</v>
      </c>
      <c r="L164" s="130" t="str">
        <f>IF(C164&lt;&gt;"",C164&amp;"-"&amp;K164,"")</f>
        <v/>
      </c>
      <c r="M164" s="130" t="str">
        <f t="array" ref="M164">IFERROR(IF(INDEX('Disaggregation Records'!$E$3:$E$80,MATCH(RIGHT(L164,255),RIGHT('Disaggregation Records'!$D$3:$D$80,255),0))="","",INDEX('Disaggregation Records'!$E$3:$E$80,MATCH(RIGHT(L164,255),RIGHT('Disaggregation Records'!$D$3:$D$80,255),0))),"")</f>
        <v/>
      </c>
      <c r="N164" s="130" t="str">
        <f t="array" ref="N164">IFERROR(IF(INDEX('Disaggregation Records'!$F$3:$F$80,MATCH(RIGHT(L164,255),RIGHT('Disaggregation Records'!$D$3:$D$80,255),0))="","",INDEX('Disaggregation Records'!$F$3:$F$80,MATCH(RIGHT(L164,255),RIGHT('Disaggregation Records'!$D$3:$D$80,255),0))),"")</f>
        <v/>
      </c>
      <c r="O164" s="130" t="str">
        <f t="array" ref="O164">IFERROR(IF(INDEX('Disaggregation Records'!$H$3:$H$80,MATCH(RIGHT(L164,255),RIGHT('Disaggregation Records'!$D$3:$D$80,255),0))="","",INDEX('Disaggregation Records'!$H$3:$H$80,MATCH(RIGHT(L164,255),RIGHT('Disaggregation Records'!$D$3:$D$80,255),0))),"")</f>
        <v/>
      </c>
      <c r="Q164" s="52">
        <f t="shared" ref="Q164" si="233">Q162+1</f>
        <v>1268</v>
      </c>
    </row>
    <row r="165" spans="1:17" ht="20.100000000000001" customHeight="1" x14ac:dyDescent="0.25">
      <c r="B165" s="602">
        <v>5.9736842105263204</v>
      </c>
      <c r="C165" s="604"/>
      <c r="D165" s="606"/>
      <c r="E165" s="606"/>
      <c r="F165" s="132"/>
      <c r="G165" s="608"/>
      <c r="H165" s="598"/>
      <c r="I165" s="600"/>
      <c r="J165" s="532"/>
      <c r="K165" s="133"/>
      <c r="L165" s="133"/>
      <c r="M165" s="133"/>
      <c r="N165" s="133"/>
      <c r="O165" s="133"/>
      <c r="Q165" s="130"/>
    </row>
    <row r="166" spans="1:17" ht="20.100000000000001" customHeight="1" x14ac:dyDescent="0.25">
      <c r="A166" s="130" t="str">
        <f t="shared" ref="A166" ca="1" si="234">INDIRECT("'update Helper'!C"&amp;Q166)</f>
        <v>a1GDm000000Xmm2MAC</v>
      </c>
      <c r="B166" s="601">
        <v>8</v>
      </c>
      <c r="C166" s="603" t="str">
        <f>IFERROR(VLOOKUP(B166,'Impact Indicators - Section B '!$A$9:$AC$68,29,FALSE),"")</f>
        <v/>
      </c>
      <c r="D166" s="605" t="str">
        <f t="shared" ref="D166" si="235">M166</f>
        <v/>
      </c>
      <c r="E166" s="605" t="str">
        <f t="shared" ref="E166" si="236">N166</f>
        <v/>
      </c>
      <c r="F166" s="131"/>
      <c r="G166" s="607" t="str">
        <f ca="1">IF(OR(INDIRECT("'update Helper'!E"&amp;Q166)="",F166&lt;&gt;0,F167&lt;&gt;0),IF(IFERROR((F166/F167),"")="","",(F166/F167)),INDIRECT("'update Helper'!E"&amp;Q166)/100)</f>
        <v/>
      </c>
      <c r="H166" s="597"/>
      <c r="I166" s="599"/>
      <c r="J166" s="531"/>
      <c r="K166" s="130">
        <f>IF(AND(EXACT(C166,C164),C164&lt;&gt;0),K164+1,0)</f>
        <v>28</v>
      </c>
      <c r="L166" s="130" t="str">
        <f>IF(C166&lt;&gt;"",C166&amp;"-"&amp;K166,"")</f>
        <v/>
      </c>
      <c r="M166" s="130" t="str">
        <f t="array" ref="M166">IFERROR(IF(INDEX('Disaggregation Records'!$E$3:$E$80,MATCH(RIGHT(L166,255),RIGHT('Disaggregation Records'!$D$3:$D$80,255),0))="","",INDEX('Disaggregation Records'!$E$3:$E$80,MATCH(RIGHT(L166,255),RIGHT('Disaggregation Records'!$D$3:$D$80,255),0))),"")</f>
        <v/>
      </c>
      <c r="N166" s="130" t="str">
        <f t="array" ref="N166">IFERROR(IF(INDEX('Disaggregation Records'!$F$3:$F$80,MATCH(RIGHT(L166,255),RIGHT('Disaggregation Records'!$D$3:$D$80,255),0))="","",INDEX('Disaggregation Records'!$F$3:$F$80,MATCH(RIGHT(L166,255),RIGHT('Disaggregation Records'!$D$3:$D$80,255),0))),"")</f>
        <v/>
      </c>
      <c r="O166" s="130" t="str">
        <f t="array" ref="O166">IFERROR(IF(INDEX('Disaggregation Records'!$H$3:$H$80,MATCH(RIGHT(L166,255),RIGHT('Disaggregation Records'!$D$3:$D$80,255),0))="","",INDEX('Disaggregation Records'!$H$3:$H$80,MATCH(RIGHT(L166,255),RIGHT('Disaggregation Records'!$D$3:$D$80,255),0))),"")</f>
        <v/>
      </c>
      <c r="P166" s="130"/>
      <c r="Q166" s="52">
        <f t="shared" ref="Q166" si="237">Q164+1</f>
        <v>1269</v>
      </c>
    </row>
    <row r="167" spans="1:17" ht="20.100000000000001" customHeight="1" x14ac:dyDescent="0.25">
      <c r="A167" s="130"/>
      <c r="B167" s="602">
        <v>5.9736842105263204</v>
      </c>
      <c r="C167" s="604"/>
      <c r="D167" s="606"/>
      <c r="E167" s="606"/>
      <c r="F167" s="132"/>
      <c r="G167" s="608"/>
      <c r="H167" s="598"/>
      <c r="I167" s="600"/>
      <c r="J167" s="532"/>
      <c r="K167" s="133"/>
      <c r="L167" s="133"/>
      <c r="M167" s="133"/>
      <c r="N167" s="133"/>
      <c r="O167" s="133"/>
      <c r="P167" s="133"/>
      <c r="Q167" s="130"/>
    </row>
    <row r="168" spans="1:17" ht="20.100000000000001" customHeight="1" x14ac:dyDescent="0.25">
      <c r="A168" s="130" t="str">
        <f t="shared" ca="1" si="195"/>
        <v>a1GDm000000Xmm3MAC</v>
      </c>
      <c r="B168" s="601">
        <v>8</v>
      </c>
      <c r="C168" s="603" t="str">
        <f>IFERROR(VLOOKUP(B168,'Impact Indicators - Section B '!$A$9:$AC$68,29,FALSE),"")</f>
        <v/>
      </c>
      <c r="D168" s="605" t="str">
        <f t="shared" ref="D168" si="238">M168</f>
        <v/>
      </c>
      <c r="E168" s="605" t="str">
        <f t="shared" ref="E168" si="239">N168</f>
        <v/>
      </c>
      <c r="F168" s="131"/>
      <c r="G168" s="607" t="str">
        <f ca="1">IF(OR(INDIRECT("'update Helper'!E"&amp;Q168)="",F168&lt;&gt;0,F169&lt;&gt;0),IF(IFERROR((F168/F169),"")="","",(F168/F169)),INDIRECT("'update Helper'!E"&amp;Q168)/100)</f>
        <v/>
      </c>
      <c r="H168" s="597"/>
      <c r="I168" s="599"/>
      <c r="J168" s="531"/>
      <c r="K168" s="130">
        <f>IF(AND(EXACT(C168,C166),C166&lt;&gt;0),K166+1,0)</f>
        <v>29</v>
      </c>
      <c r="L168" s="130" t="str">
        <f>IF(C168&lt;&gt;"",C168&amp;"-"&amp;K168,"")</f>
        <v/>
      </c>
      <c r="M168" s="130" t="str">
        <f t="array" ref="M168">IFERROR(IF(INDEX('Disaggregation Records'!$E$3:$E$80,MATCH(RIGHT(L168,255),RIGHT('Disaggregation Records'!$D$3:$D$80,255),0))="","",INDEX('Disaggregation Records'!$E$3:$E$80,MATCH(RIGHT(L168,255),RIGHT('Disaggregation Records'!$D$3:$D$80,255),0))),"")</f>
        <v/>
      </c>
      <c r="N168" s="130" t="str">
        <f t="array" ref="N168">IFERROR(IF(INDEX('Disaggregation Records'!$F$3:$F$80,MATCH(RIGHT(L168,255),RIGHT('Disaggregation Records'!$D$3:$D$80,255),0))="","",INDEX('Disaggregation Records'!$F$3:$F$80,MATCH(RIGHT(L168,255),RIGHT('Disaggregation Records'!$D$3:$D$80,255),0))),"")</f>
        <v/>
      </c>
      <c r="O168" s="130" t="str">
        <f t="array" ref="O168">IFERROR(IF(INDEX('Disaggregation Records'!$H$3:$H$80,MATCH(RIGHT(L168,255),RIGHT('Disaggregation Records'!$D$3:$D$80,255),0))="","",INDEX('Disaggregation Records'!$H$3:$H$80,MATCH(RIGHT(L168,255),RIGHT('Disaggregation Records'!$D$3:$D$80,255),0))),"")</f>
        <v/>
      </c>
      <c r="Q168" s="52">
        <f t="shared" ref="Q168" si="240">Q166+1</f>
        <v>1270</v>
      </c>
    </row>
    <row r="169" spans="1:17" ht="20.100000000000001" customHeight="1" x14ac:dyDescent="0.25">
      <c r="B169" s="602">
        <v>5.9736842105263204</v>
      </c>
      <c r="C169" s="604"/>
      <c r="D169" s="606"/>
      <c r="E169" s="606"/>
      <c r="F169" s="132"/>
      <c r="G169" s="608"/>
      <c r="H169" s="598"/>
      <c r="I169" s="600"/>
      <c r="J169" s="532"/>
      <c r="K169" s="133"/>
      <c r="L169" s="133"/>
      <c r="M169" s="133"/>
      <c r="N169" s="133"/>
      <c r="O169" s="133"/>
      <c r="Q169" s="130"/>
    </row>
    <row r="170" spans="1:17" ht="20.100000000000001" customHeight="1" x14ac:dyDescent="0.25">
      <c r="A170" s="130" t="str">
        <f t="shared" ref="A170" ca="1" si="241">INDIRECT("'update Helper'!C"&amp;Q170)</f>
        <v>a1GDm000000Xmm4MAC</v>
      </c>
      <c r="B170" s="601">
        <v>9</v>
      </c>
      <c r="C170" s="603" t="str">
        <f>IFERROR(VLOOKUP(B170,'Impact Indicators - Section B '!$A$9:$AC$68,29,FALSE),"")</f>
        <v/>
      </c>
      <c r="D170" s="605" t="str">
        <f t="shared" ref="D170" si="242">M170</f>
        <v/>
      </c>
      <c r="E170" s="605" t="str">
        <f t="shared" ref="E170" si="243">N170</f>
        <v/>
      </c>
      <c r="F170" s="131"/>
      <c r="G170" s="607" t="str">
        <f ca="1">IF(OR(INDIRECT("'update Helper'!E"&amp;Q170)="",F170&lt;&gt;0,F171&lt;&gt;0),IF(IFERROR((F170/F171),"")="","",(F170/F171)),INDIRECT("'update Helper'!E"&amp;Q170)/100)</f>
        <v/>
      </c>
      <c r="H170" s="597"/>
      <c r="I170" s="599"/>
      <c r="J170" s="531"/>
      <c r="K170" s="130">
        <f>IF(AND(EXACT(C170,C168),C168&lt;&gt;0),K168+1,0)</f>
        <v>30</v>
      </c>
      <c r="L170" s="130" t="str">
        <f>IF(C170&lt;&gt;"",C170&amp;"-"&amp;K170,"")</f>
        <v/>
      </c>
      <c r="M170" s="130" t="str">
        <f t="array" ref="M170">IFERROR(IF(INDEX('Disaggregation Records'!$E$3:$E$80,MATCH(RIGHT(L170,255),RIGHT('Disaggregation Records'!$D$3:$D$80,255),0))="","",INDEX('Disaggregation Records'!$E$3:$E$80,MATCH(RIGHT(L170,255),RIGHT('Disaggregation Records'!$D$3:$D$80,255),0))),"")</f>
        <v/>
      </c>
      <c r="N170" s="130" t="str">
        <f t="array" ref="N170">IFERROR(IF(INDEX('Disaggregation Records'!$F$3:$F$80,MATCH(RIGHT(L170,255),RIGHT('Disaggregation Records'!$D$3:$D$80,255),0))="","",INDEX('Disaggregation Records'!$F$3:$F$80,MATCH(RIGHT(L170,255),RIGHT('Disaggregation Records'!$D$3:$D$80,255),0))),"")</f>
        <v/>
      </c>
      <c r="O170" s="130" t="str">
        <f t="array" ref="O170">IFERROR(IF(INDEX('Disaggregation Records'!$H$3:$H$80,MATCH(RIGHT(L170,255),RIGHT('Disaggregation Records'!$D$3:$D$80,255),0))="","",INDEX('Disaggregation Records'!$H$3:$H$80,MATCH(RIGHT(L170,255),RIGHT('Disaggregation Records'!$D$3:$D$80,255),0))),"")</f>
        <v/>
      </c>
      <c r="P170" s="130"/>
      <c r="Q170" s="52">
        <f t="shared" ref="Q170" si="244">Q168+1</f>
        <v>1271</v>
      </c>
    </row>
    <row r="171" spans="1:17" ht="20.100000000000001" customHeight="1" x14ac:dyDescent="0.25">
      <c r="A171" s="130"/>
      <c r="B171" s="602">
        <v>6.6879699248120303</v>
      </c>
      <c r="C171" s="604"/>
      <c r="D171" s="606"/>
      <c r="E171" s="606"/>
      <c r="F171" s="132"/>
      <c r="G171" s="608"/>
      <c r="H171" s="598"/>
      <c r="I171" s="600"/>
      <c r="J171" s="532"/>
      <c r="K171" s="133"/>
      <c r="L171" s="133"/>
      <c r="M171" s="133"/>
      <c r="N171" s="133"/>
      <c r="O171" s="133"/>
      <c r="P171" s="133"/>
      <c r="Q171" s="130"/>
    </row>
    <row r="172" spans="1:17" ht="20.100000000000001" customHeight="1" x14ac:dyDescent="0.25">
      <c r="A172" s="130" t="str">
        <f t="shared" ca="1" si="195"/>
        <v>a1GDm000000Xmm5MAC</v>
      </c>
      <c r="B172" s="601">
        <v>9</v>
      </c>
      <c r="C172" s="603" t="str">
        <f>IFERROR(VLOOKUP(B172,'Impact Indicators - Section B '!$A$9:$AC$68,29,FALSE),"")</f>
        <v/>
      </c>
      <c r="D172" s="605" t="str">
        <f t="shared" ref="D172" si="245">M172</f>
        <v/>
      </c>
      <c r="E172" s="605" t="str">
        <f t="shared" ref="E172" si="246">N172</f>
        <v/>
      </c>
      <c r="F172" s="131"/>
      <c r="G172" s="607" t="str">
        <f ca="1">IF(OR(INDIRECT("'update Helper'!E"&amp;Q172)="",F172&lt;&gt;0,F173&lt;&gt;0),IF(IFERROR((F172/F173),"")="","",(F172/F173)),INDIRECT("'update Helper'!E"&amp;Q172)/100)</f>
        <v/>
      </c>
      <c r="H172" s="597"/>
      <c r="I172" s="599"/>
      <c r="J172" s="531"/>
      <c r="K172" s="130">
        <f>IF(AND(EXACT(C172,C170),C170&lt;&gt;0),K170+1,0)</f>
        <v>31</v>
      </c>
      <c r="L172" s="130" t="str">
        <f>IF(C172&lt;&gt;"",C172&amp;"-"&amp;K172,"")</f>
        <v/>
      </c>
      <c r="M172" s="130" t="str">
        <f t="array" ref="M172">IFERROR(IF(INDEX('Disaggregation Records'!$E$3:$E$80,MATCH(RIGHT(L172,255),RIGHT('Disaggregation Records'!$D$3:$D$80,255),0))="","",INDEX('Disaggregation Records'!$E$3:$E$80,MATCH(RIGHT(L172,255),RIGHT('Disaggregation Records'!$D$3:$D$80,255),0))),"")</f>
        <v/>
      </c>
      <c r="N172" s="130" t="str">
        <f t="array" ref="N172">IFERROR(IF(INDEX('Disaggregation Records'!$F$3:$F$80,MATCH(RIGHT(L172,255),RIGHT('Disaggregation Records'!$D$3:$D$80,255),0))="","",INDEX('Disaggregation Records'!$F$3:$F$80,MATCH(RIGHT(L172,255),RIGHT('Disaggregation Records'!$D$3:$D$80,255),0))),"")</f>
        <v/>
      </c>
      <c r="O172" s="130" t="str">
        <f t="array" ref="O172">IFERROR(IF(INDEX('Disaggregation Records'!$H$3:$H$80,MATCH(RIGHT(L172,255),RIGHT('Disaggregation Records'!$D$3:$D$80,255),0))="","",INDEX('Disaggregation Records'!$H$3:$H$80,MATCH(RIGHT(L172,255),RIGHT('Disaggregation Records'!$D$3:$D$80,255),0))),"")</f>
        <v/>
      </c>
      <c r="Q172" s="52">
        <f t="shared" ref="Q172" si="247">Q170+1</f>
        <v>1272</v>
      </c>
    </row>
    <row r="173" spans="1:17" ht="20.100000000000001" customHeight="1" x14ac:dyDescent="0.25">
      <c r="B173" s="602">
        <v>6.6879699248120303</v>
      </c>
      <c r="C173" s="604"/>
      <c r="D173" s="606"/>
      <c r="E173" s="606"/>
      <c r="F173" s="132"/>
      <c r="G173" s="608"/>
      <c r="H173" s="598"/>
      <c r="I173" s="600"/>
      <c r="J173" s="532"/>
      <c r="K173" s="133"/>
      <c r="L173" s="133"/>
      <c r="M173" s="133"/>
      <c r="N173" s="133"/>
      <c r="O173" s="133"/>
      <c r="Q173" s="130"/>
    </row>
    <row r="174" spans="1:17" ht="20.100000000000001" customHeight="1" x14ac:dyDescent="0.25">
      <c r="A174" s="130" t="str">
        <f t="shared" ref="A174" ca="1" si="248">INDIRECT("'update Helper'!C"&amp;Q174)</f>
        <v>a1GDm000000Xmm6MAC</v>
      </c>
      <c r="B174" s="601">
        <v>9</v>
      </c>
      <c r="C174" s="603" t="str">
        <f>IFERROR(VLOOKUP(B174,'Impact Indicators - Section B '!$A$9:$AC$68,29,FALSE),"")</f>
        <v/>
      </c>
      <c r="D174" s="605" t="str">
        <f t="shared" ref="D174" si="249">M174</f>
        <v/>
      </c>
      <c r="E174" s="605" t="str">
        <f t="shared" ref="E174" si="250">N174</f>
        <v/>
      </c>
      <c r="F174" s="131"/>
      <c r="G174" s="607" t="str">
        <f ca="1">IF(OR(INDIRECT("'update Helper'!E"&amp;Q174)="",F174&lt;&gt;0,F175&lt;&gt;0),IF(IFERROR((F174/F175),"")="","",(F174/F175)),INDIRECT("'update Helper'!E"&amp;Q174)/100)</f>
        <v/>
      </c>
      <c r="H174" s="597"/>
      <c r="I174" s="599"/>
      <c r="J174" s="531"/>
      <c r="K174" s="130">
        <f>IF(AND(EXACT(C174,C172),C172&lt;&gt;0),K172+1,0)</f>
        <v>32</v>
      </c>
      <c r="L174" s="130" t="str">
        <f>IF(C174&lt;&gt;"",C174&amp;"-"&amp;K174,"")</f>
        <v/>
      </c>
      <c r="M174" s="130" t="str">
        <f t="array" ref="M174">IFERROR(IF(INDEX('Disaggregation Records'!$E$3:$E$80,MATCH(RIGHT(L174,255),RIGHT('Disaggregation Records'!$D$3:$D$80,255),0))="","",INDEX('Disaggregation Records'!$E$3:$E$80,MATCH(RIGHT(L174,255),RIGHT('Disaggregation Records'!$D$3:$D$80,255),0))),"")</f>
        <v/>
      </c>
      <c r="N174" s="130" t="str">
        <f t="array" ref="N174">IFERROR(IF(INDEX('Disaggregation Records'!$F$3:$F$80,MATCH(RIGHT(L174,255),RIGHT('Disaggregation Records'!$D$3:$D$80,255),0))="","",INDEX('Disaggregation Records'!$F$3:$F$80,MATCH(RIGHT(L174,255),RIGHT('Disaggregation Records'!$D$3:$D$80,255),0))),"")</f>
        <v/>
      </c>
      <c r="O174" s="130" t="str">
        <f t="array" ref="O174">IFERROR(IF(INDEX('Disaggregation Records'!$H$3:$H$80,MATCH(RIGHT(L174,255),RIGHT('Disaggregation Records'!$D$3:$D$80,255),0))="","",INDEX('Disaggregation Records'!$H$3:$H$80,MATCH(RIGHT(L174,255),RIGHT('Disaggregation Records'!$D$3:$D$80,255),0))),"")</f>
        <v/>
      </c>
      <c r="P174" s="130"/>
      <c r="Q174" s="52">
        <f t="shared" ref="Q174" si="251">Q172+1</f>
        <v>1273</v>
      </c>
    </row>
    <row r="175" spans="1:17" ht="20.100000000000001" customHeight="1" x14ac:dyDescent="0.25">
      <c r="A175" s="130"/>
      <c r="B175" s="602">
        <v>6.6879699248120303</v>
      </c>
      <c r="C175" s="604"/>
      <c r="D175" s="606"/>
      <c r="E175" s="606"/>
      <c r="F175" s="132"/>
      <c r="G175" s="608"/>
      <c r="H175" s="598"/>
      <c r="I175" s="600"/>
      <c r="J175" s="532"/>
      <c r="K175" s="133"/>
      <c r="L175" s="133"/>
      <c r="M175" s="133"/>
      <c r="N175" s="133"/>
      <c r="O175" s="133"/>
      <c r="P175" s="133"/>
      <c r="Q175" s="130"/>
    </row>
    <row r="176" spans="1:17" ht="20.100000000000001" customHeight="1" x14ac:dyDescent="0.25">
      <c r="A176" s="130" t="str">
        <f t="shared" ca="1" si="195"/>
        <v>a1GDm000000Xmm7MAC</v>
      </c>
      <c r="B176" s="601">
        <v>9</v>
      </c>
      <c r="C176" s="603" t="str">
        <f>IFERROR(VLOOKUP(B176,'Impact Indicators - Section B '!$A$9:$AC$68,29,FALSE),"")</f>
        <v/>
      </c>
      <c r="D176" s="605" t="str">
        <f t="shared" ref="D176" si="252">M176</f>
        <v/>
      </c>
      <c r="E176" s="605" t="str">
        <f t="shared" ref="E176" si="253">N176</f>
        <v/>
      </c>
      <c r="F176" s="131"/>
      <c r="G176" s="607" t="str">
        <f ca="1">IF(OR(INDIRECT("'update Helper'!E"&amp;Q176)="",F176&lt;&gt;0,F177&lt;&gt;0),IF(IFERROR((F176/F177),"")="","",(F176/F177)),INDIRECT("'update Helper'!E"&amp;Q176)/100)</f>
        <v/>
      </c>
      <c r="H176" s="597"/>
      <c r="I176" s="599"/>
      <c r="J176" s="531"/>
      <c r="K176" s="130">
        <f>IF(AND(EXACT(C176,C174),C174&lt;&gt;0),K174+1,0)</f>
        <v>33</v>
      </c>
      <c r="L176" s="130" t="str">
        <f>IF(C176&lt;&gt;"",C176&amp;"-"&amp;K176,"")</f>
        <v/>
      </c>
      <c r="M176" s="130" t="str">
        <f t="array" ref="M176">IFERROR(IF(INDEX('Disaggregation Records'!$E$3:$E$80,MATCH(RIGHT(L176,255),RIGHT('Disaggregation Records'!$D$3:$D$80,255),0))="","",INDEX('Disaggregation Records'!$E$3:$E$80,MATCH(RIGHT(L176,255),RIGHT('Disaggregation Records'!$D$3:$D$80,255),0))),"")</f>
        <v/>
      </c>
      <c r="N176" s="130" t="str">
        <f t="array" ref="N176">IFERROR(IF(INDEX('Disaggregation Records'!$F$3:$F$80,MATCH(RIGHT(L176,255),RIGHT('Disaggregation Records'!$D$3:$D$80,255),0))="","",INDEX('Disaggregation Records'!$F$3:$F$80,MATCH(RIGHT(L176,255),RIGHT('Disaggregation Records'!$D$3:$D$80,255),0))),"")</f>
        <v/>
      </c>
      <c r="O176" s="130" t="str">
        <f t="array" ref="O176">IFERROR(IF(INDEX('Disaggregation Records'!$H$3:$H$80,MATCH(RIGHT(L176,255),RIGHT('Disaggregation Records'!$D$3:$D$80,255),0))="","",INDEX('Disaggregation Records'!$H$3:$H$80,MATCH(RIGHT(L176,255),RIGHT('Disaggregation Records'!$D$3:$D$80,255),0))),"")</f>
        <v/>
      </c>
      <c r="Q176" s="52">
        <f t="shared" ref="Q176" si="254">Q174+1</f>
        <v>1274</v>
      </c>
    </row>
    <row r="177" spans="1:17" ht="20.100000000000001" customHeight="1" x14ac:dyDescent="0.25">
      <c r="B177" s="602">
        <v>6.6879699248120303</v>
      </c>
      <c r="C177" s="604"/>
      <c r="D177" s="606"/>
      <c r="E177" s="606"/>
      <c r="F177" s="132"/>
      <c r="G177" s="608"/>
      <c r="H177" s="598"/>
      <c r="I177" s="600"/>
      <c r="J177" s="532"/>
      <c r="K177" s="133"/>
      <c r="L177" s="133"/>
      <c r="M177" s="133"/>
      <c r="N177" s="133"/>
      <c r="O177" s="133"/>
      <c r="Q177" s="130"/>
    </row>
    <row r="178" spans="1:17" ht="20.100000000000001" customHeight="1" x14ac:dyDescent="0.25">
      <c r="A178" s="130" t="str">
        <f t="shared" ref="A178" ca="1" si="255">INDIRECT("'update Helper'!C"&amp;Q178)</f>
        <v>a1GDm000000Xmm8MAC</v>
      </c>
      <c r="B178" s="601">
        <v>9</v>
      </c>
      <c r="C178" s="603" t="str">
        <f>IFERROR(VLOOKUP(B178,'Impact Indicators - Section B '!$A$9:$AC$68,29,FALSE),"")</f>
        <v/>
      </c>
      <c r="D178" s="605" t="str">
        <f t="shared" ref="D178" si="256">M178</f>
        <v/>
      </c>
      <c r="E178" s="605" t="str">
        <f t="shared" ref="E178" si="257">N178</f>
        <v/>
      </c>
      <c r="F178" s="131"/>
      <c r="G178" s="607" t="str">
        <f ca="1">IF(OR(INDIRECT("'update Helper'!E"&amp;Q178)="",F178&lt;&gt;0,F179&lt;&gt;0),IF(IFERROR((F178/F179),"")="","",(F178/F179)),INDIRECT("'update Helper'!E"&amp;Q178)/100)</f>
        <v/>
      </c>
      <c r="H178" s="597"/>
      <c r="I178" s="599"/>
      <c r="J178" s="531"/>
      <c r="K178" s="130">
        <f>IF(AND(EXACT(C178,C176),C176&lt;&gt;0),K176+1,0)</f>
        <v>34</v>
      </c>
      <c r="L178" s="130" t="str">
        <f>IF(C178&lt;&gt;"",C178&amp;"-"&amp;K178,"")</f>
        <v/>
      </c>
      <c r="M178" s="130" t="str">
        <f t="array" ref="M178">IFERROR(IF(INDEX('Disaggregation Records'!$E$3:$E$80,MATCH(RIGHT(L178,255),RIGHT('Disaggregation Records'!$D$3:$D$80,255),0))="","",INDEX('Disaggregation Records'!$E$3:$E$80,MATCH(RIGHT(L178,255),RIGHT('Disaggregation Records'!$D$3:$D$80,255),0))),"")</f>
        <v/>
      </c>
      <c r="N178" s="130" t="str">
        <f t="array" ref="N178">IFERROR(IF(INDEX('Disaggregation Records'!$F$3:$F$80,MATCH(RIGHT(L178,255),RIGHT('Disaggregation Records'!$D$3:$D$80,255),0))="","",INDEX('Disaggregation Records'!$F$3:$F$80,MATCH(RIGHT(L178,255),RIGHT('Disaggregation Records'!$D$3:$D$80,255),0))),"")</f>
        <v/>
      </c>
      <c r="O178" s="130" t="str">
        <f t="array" ref="O178">IFERROR(IF(INDEX('Disaggregation Records'!$H$3:$H$80,MATCH(RIGHT(L178,255),RIGHT('Disaggregation Records'!$D$3:$D$80,255),0))="","",INDEX('Disaggregation Records'!$H$3:$H$80,MATCH(RIGHT(L178,255),RIGHT('Disaggregation Records'!$D$3:$D$80,255),0))),"")</f>
        <v/>
      </c>
      <c r="P178" s="130"/>
      <c r="Q178" s="52">
        <f t="shared" ref="Q178" si="258">Q176+1</f>
        <v>1275</v>
      </c>
    </row>
    <row r="179" spans="1:17" ht="20.100000000000001" customHeight="1" x14ac:dyDescent="0.25">
      <c r="A179" s="130"/>
      <c r="B179" s="602">
        <v>6.6879699248120303</v>
      </c>
      <c r="C179" s="604"/>
      <c r="D179" s="606"/>
      <c r="E179" s="606"/>
      <c r="F179" s="132"/>
      <c r="G179" s="608"/>
      <c r="H179" s="598"/>
      <c r="I179" s="600"/>
      <c r="J179" s="532"/>
      <c r="K179" s="133"/>
      <c r="L179" s="133"/>
      <c r="M179" s="133"/>
      <c r="N179" s="133"/>
      <c r="O179" s="133"/>
      <c r="P179" s="133"/>
      <c r="Q179" s="130"/>
    </row>
    <row r="180" spans="1:17" ht="20.100000000000001" customHeight="1" x14ac:dyDescent="0.25">
      <c r="A180" s="130" t="str">
        <f t="shared" ca="1" si="195"/>
        <v>a1GDm000000Xmm9MAC</v>
      </c>
      <c r="B180" s="601">
        <v>9</v>
      </c>
      <c r="C180" s="603" t="str">
        <f>IFERROR(VLOOKUP(B180,'Impact Indicators - Section B '!$A$9:$AC$68,29,FALSE),"")</f>
        <v/>
      </c>
      <c r="D180" s="605" t="str">
        <f t="shared" ref="D180" si="259">M180</f>
        <v/>
      </c>
      <c r="E180" s="605" t="str">
        <f t="shared" ref="E180" si="260">N180</f>
        <v/>
      </c>
      <c r="F180" s="131"/>
      <c r="G180" s="607" t="str">
        <f ca="1">IF(OR(INDIRECT("'update Helper'!E"&amp;Q180)="",F180&lt;&gt;0,F181&lt;&gt;0),IF(IFERROR((F180/F181),"")="","",(F180/F181)),INDIRECT("'update Helper'!E"&amp;Q180)/100)</f>
        <v/>
      </c>
      <c r="H180" s="597"/>
      <c r="I180" s="599"/>
      <c r="J180" s="531"/>
      <c r="K180" s="130">
        <f>IF(AND(EXACT(C180,C178),C178&lt;&gt;0),K178+1,0)</f>
        <v>35</v>
      </c>
      <c r="L180" s="130" t="str">
        <f>IF(C180&lt;&gt;"",C180&amp;"-"&amp;K180,"")</f>
        <v/>
      </c>
      <c r="M180" s="130" t="str">
        <f t="array" ref="M180">IFERROR(IF(INDEX('Disaggregation Records'!$E$3:$E$80,MATCH(RIGHT(L180,255),RIGHT('Disaggregation Records'!$D$3:$D$80,255),0))="","",INDEX('Disaggregation Records'!$E$3:$E$80,MATCH(RIGHT(L180,255),RIGHT('Disaggregation Records'!$D$3:$D$80,255),0))),"")</f>
        <v/>
      </c>
      <c r="N180" s="130" t="str">
        <f t="array" ref="N180">IFERROR(IF(INDEX('Disaggregation Records'!$F$3:$F$80,MATCH(RIGHT(L180,255),RIGHT('Disaggregation Records'!$D$3:$D$80,255),0))="","",INDEX('Disaggregation Records'!$F$3:$F$80,MATCH(RIGHT(L180,255),RIGHT('Disaggregation Records'!$D$3:$D$80,255),0))),"")</f>
        <v/>
      </c>
      <c r="O180" s="130" t="str">
        <f t="array" ref="O180">IFERROR(IF(INDEX('Disaggregation Records'!$H$3:$H$80,MATCH(RIGHT(L180,255),RIGHT('Disaggregation Records'!$D$3:$D$80,255),0))="","",INDEX('Disaggregation Records'!$H$3:$H$80,MATCH(RIGHT(L180,255),RIGHT('Disaggregation Records'!$D$3:$D$80,255),0))),"")</f>
        <v/>
      </c>
      <c r="Q180" s="52">
        <f t="shared" ref="Q180" si="261">Q178+1</f>
        <v>1276</v>
      </c>
    </row>
    <row r="181" spans="1:17" ht="20.100000000000001" customHeight="1" x14ac:dyDescent="0.25">
      <c r="B181" s="602">
        <v>6.6879699248120303</v>
      </c>
      <c r="C181" s="604"/>
      <c r="D181" s="606"/>
      <c r="E181" s="606"/>
      <c r="F181" s="132"/>
      <c r="G181" s="608"/>
      <c r="H181" s="598"/>
      <c r="I181" s="600"/>
      <c r="J181" s="532"/>
      <c r="K181" s="133"/>
      <c r="L181" s="133"/>
      <c r="M181" s="133"/>
      <c r="N181" s="133"/>
      <c r="O181" s="133"/>
      <c r="Q181" s="130"/>
    </row>
    <row r="182" spans="1:17" ht="20.100000000000001" customHeight="1" x14ac:dyDescent="0.25">
      <c r="A182" s="130" t="str">
        <f t="shared" ref="A182" ca="1" si="262">INDIRECT("'update Helper'!C"&amp;Q182)</f>
        <v>a1GDm000000XmmAMAS</v>
      </c>
      <c r="B182" s="601">
        <v>9</v>
      </c>
      <c r="C182" s="603" t="str">
        <f>IFERROR(VLOOKUP(B182,'Impact Indicators - Section B '!$A$9:$AC$68,29,FALSE),"")</f>
        <v/>
      </c>
      <c r="D182" s="605" t="str">
        <f t="shared" ref="D182" si="263">M182</f>
        <v/>
      </c>
      <c r="E182" s="605" t="str">
        <f t="shared" ref="E182" si="264">N182</f>
        <v/>
      </c>
      <c r="F182" s="131"/>
      <c r="G182" s="607" t="str">
        <f ca="1">IF(OR(INDIRECT("'update Helper'!E"&amp;Q182)="",F182&lt;&gt;0,F183&lt;&gt;0),IF(IFERROR((F182/F183),"")="","",(F182/F183)),INDIRECT("'update Helper'!E"&amp;Q182)/100)</f>
        <v/>
      </c>
      <c r="H182" s="597"/>
      <c r="I182" s="599"/>
      <c r="J182" s="531"/>
      <c r="K182" s="130">
        <f>IF(AND(EXACT(C182,C180),C180&lt;&gt;0),K180+1,0)</f>
        <v>36</v>
      </c>
      <c r="L182" s="130" t="str">
        <f>IF(C182&lt;&gt;"",C182&amp;"-"&amp;K182,"")</f>
        <v/>
      </c>
      <c r="M182" s="130" t="str">
        <f t="array" ref="M182">IFERROR(IF(INDEX('Disaggregation Records'!$E$3:$E$80,MATCH(RIGHT(L182,255),RIGHT('Disaggregation Records'!$D$3:$D$80,255),0))="","",INDEX('Disaggregation Records'!$E$3:$E$80,MATCH(RIGHT(L182,255),RIGHT('Disaggregation Records'!$D$3:$D$80,255),0))),"")</f>
        <v/>
      </c>
      <c r="N182" s="130" t="str">
        <f t="array" ref="N182">IFERROR(IF(INDEX('Disaggregation Records'!$F$3:$F$80,MATCH(RIGHT(L182,255),RIGHT('Disaggregation Records'!$D$3:$D$80,255),0))="","",INDEX('Disaggregation Records'!$F$3:$F$80,MATCH(RIGHT(L182,255),RIGHT('Disaggregation Records'!$D$3:$D$80,255),0))),"")</f>
        <v/>
      </c>
      <c r="O182" s="130" t="str">
        <f t="array" ref="O182">IFERROR(IF(INDEX('Disaggregation Records'!$H$3:$H$80,MATCH(RIGHT(L182,255),RIGHT('Disaggregation Records'!$D$3:$D$80,255),0))="","",INDEX('Disaggregation Records'!$H$3:$H$80,MATCH(RIGHT(L182,255),RIGHT('Disaggregation Records'!$D$3:$D$80,255),0))),"")</f>
        <v/>
      </c>
      <c r="P182" s="130"/>
      <c r="Q182" s="52">
        <f t="shared" ref="Q182" si="265">Q180+1</f>
        <v>1277</v>
      </c>
    </row>
    <row r="183" spans="1:17" ht="20.100000000000001" customHeight="1" x14ac:dyDescent="0.25">
      <c r="A183" s="130"/>
      <c r="B183" s="602">
        <v>6.6879699248120303</v>
      </c>
      <c r="C183" s="604"/>
      <c r="D183" s="606"/>
      <c r="E183" s="606"/>
      <c r="F183" s="132"/>
      <c r="G183" s="608"/>
      <c r="H183" s="598"/>
      <c r="I183" s="600"/>
      <c r="J183" s="532"/>
      <c r="K183" s="133"/>
      <c r="L183" s="133"/>
      <c r="M183" s="133"/>
      <c r="N183" s="133"/>
      <c r="O183" s="133"/>
      <c r="P183" s="133"/>
      <c r="Q183" s="130"/>
    </row>
    <row r="184" spans="1:17" ht="20.100000000000001" customHeight="1" x14ac:dyDescent="0.25">
      <c r="A184" s="130" t="str">
        <f t="shared" ca="1" si="195"/>
        <v>a1GDm000000XmmBMAS</v>
      </c>
      <c r="B184" s="601">
        <v>9</v>
      </c>
      <c r="C184" s="603" t="str">
        <f>IFERROR(VLOOKUP(B184,'Impact Indicators - Section B '!$A$9:$AC$68,29,FALSE),"")</f>
        <v/>
      </c>
      <c r="D184" s="605" t="str">
        <f t="shared" ref="D184" si="266">M184</f>
        <v/>
      </c>
      <c r="E184" s="605" t="str">
        <f t="shared" ref="E184" si="267">N184</f>
        <v/>
      </c>
      <c r="F184" s="131"/>
      <c r="G184" s="607" t="str">
        <f ca="1">IF(OR(INDIRECT("'update Helper'!E"&amp;Q184)="",F184&lt;&gt;0,F185&lt;&gt;0),IF(IFERROR((F184/F185),"")="","",(F184/F185)),INDIRECT("'update Helper'!E"&amp;Q184)/100)</f>
        <v/>
      </c>
      <c r="H184" s="597"/>
      <c r="I184" s="599"/>
      <c r="J184" s="531"/>
      <c r="K184" s="130">
        <f>IF(AND(EXACT(C184,C182),C182&lt;&gt;0),K182+1,0)</f>
        <v>37</v>
      </c>
      <c r="L184" s="130" t="str">
        <f>IF(C184&lt;&gt;"",C184&amp;"-"&amp;K184,"")</f>
        <v/>
      </c>
      <c r="M184" s="130" t="str">
        <f t="array" ref="M184">IFERROR(IF(INDEX('Disaggregation Records'!$E$3:$E$80,MATCH(RIGHT(L184,255),RIGHT('Disaggregation Records'!$D$3:$D$80,255),0))="","",INDEX('Disaggregation Records'!$E$3:$E$80,MATCH(RIGHT(L184,255),RIGHT('Disaggregation Records'!$D$3:$D$80,255),0))),"")</f>
        <v/>
      </c>
      <c r="N184" s="130" t="str">
        <f t="array" ref="N184">IFERROR(IF(INDEX('Disaggregation Records'!$F$3:$F$80,MATCH(RIGHT(L184,255),RIGHT('Disaggregation Records'!$D$3:$D$80,255),0))="","",INDEX('Disaggregation Records'!$F$3:$F$80,MATCH(RIGHT(L184,255),RIGHT('Disaggregation Records'!$D$3:$D$80,255),0))),"")</f>
        <v/>
      </c>
      <c r="O184" s="130" t="str">
        <f t="array" ref="O184">IFERROR(IF(INDEX('Disaggregation Records'!$H$3:$H$80,MATCH(RIGHT(L184,255),RIGHT('Disaggregation Records'!$D$3:$D$80,255),0))="","",INDEX('Disaggregation Records'!$H$3:$H$80,MATCH(RIGHT(L184,255),RIGHT('Disaggregation Records'!$D$3:$D$80,255),0))),"")</f>
        <v/>
      </c>
      <c r="Q184" s="52">
        <f t="shared" ref="Q184" si="268">Q182+1</f>
        <v>1278</v>
      </c>
    </row>
    <row r="185" spans="1:17" ht="20.100000000000001" customHeight="1" x14ac:dyDescent="0.25">
      <c r="B185" s="602">
        <v>6.6879699248120303</v>
      </c>
      <c r="C185" s="604"/>
      <c r="D185" s="606"/>
      <c r="E185" s="606"/>
      <c r="F185" s="132"/>
      <c r="G185" s="608"/>
      <c r="H185" s="598"/>
      <c r="I185" s="600"/>
      <c r="J185" s="532"/>
      <c r="K185" s="133"/>
      <c r="L185" s="133"/>
      <c r="M185" s="133"/>
      <c r="N185" s="133"/>
      <c r="O185" s="133"/>
      <c r="Q185" s="130"/>
    </row>
    <row r="186" spans="1:17" ht="20.100000000000001" customHeight="1" x14ac:dyDescent="0.25">
      <c r="A186" s="130" t="str">
        <f t="shared" ref="A186" ca="1" si="269">INDIRECT("'update Helper'!C"&amp;Q186)</f>
        <v>a1GDm000000XmmCMAS</v>
      </c>
      <c r="B186" s="601">
        <v>9</v>
      </c>
      <c r="C186" s="603" t="str">
        <f>IFERROR(VLOOKUP(B186,'Impact Indicators - Section B '!$A$9:$AC$68,29,FALSE),"")</f>
        <v/>
      </c>
      <c r="D186" s="605" t="str">
        <f t="shared" ref="D186" si="270">M186</f>
        <v/>
      </c>
      <c r="E186" s="605" t="str">
        <f t="shared" ref="E186" si="271">N186</f>
        <v/>
      </c>
      <c r="F186" s="131"/>
      <c r="G186" s="607" t="str">
        <f ca="1">IF(OR(INDIRECT("'update Helper'!E"&amp;Q186)="",F186&lt;&gt;0,F187&lt;&gt;0),IF(IFERROR((F186/F187),"")="","",(F186/F187)),INDIRECT("'update Helper'!E"&amp;Q186)/100)</f>
        <v/>
      </c>
      <c r="H186" s="597"/>
      <c r="I186" s="599"/>
      <c r="J186" s="531"/>
      <c r="K186" s="130">
        <f>IF(AND(EXACT(C186,C184),C184&lt;&gt;0),K184+1,0)</f>
        <v>38</v>
      </c>
      <c r="L186" s="130" t="str">
        <f>IF(C186&lt;&gt;"",C186&amp;"-"&amp;K186,"")</f>
        <v/>
      </c>
      <c r="M186" s="130" t="str">
        <f t="array" ref="M186">IFERROR(IF(INDEX('Disaggregation Records'!$E$3:$E$80,MATCH(RIGHT(L186,255),RIGHT('Disaggregation Records'!$D$3:$D$80,255),0))="","",INDEX('Disaggregation Records'!$E$3:$E$80,MATCH(RIGHT(L186,255),RIGHT('Disaggregation Records'!$D$3:$D$80,255),0))),"")</f>
        <v/>
      </c>
      <c r="N186" s="130" t="str">
        <f t="array" ref="N186">IFERROR(IF(INDEX('Disaggregation Records'!$F$3:$F$80,MATCH(RIGHT(L186,255),RIGHT('Disaggregation Records'!$D$3:$D$80,255),0))="","",INDEX('Disaggregation Records'!$F$3:$F$80,MATCH(RIGHT(L186,255),RIGHT('Disaggregation Records'!$D$3:$D$80,255),0))),"")</f>
        <v/>
      </c>
      <c r="O186" s="130" t="str">
        <f t="array" ref="O186">IFERROR(IF(INDEX('Disaggregation Records'!$H$3:$H$80,MATCH(RIGHT(L186,255),RIGHT('Disaggregation Records'!$D$3:$D$80,255),0))="","",INDEX('Disaggregation Records'!$H$3:$H$80,MATCH(RIGHT(L186,255),RIGHT('Disaggregation Records'!$D$3:$D$80,255),0))),"")</f>
        <v/>
      </c>
      <c r="P186" s="130"/>
      <c r="Q186" s="52">
        <f t="shared" ref="Q186" si="272">Q184+1</f>
        <v>1279</v>
      </c>
    </row>
    <row r="187" spans="1:17" ht="20.100000000000001" customHeight="1" x14ac:dyDescent="0.25">
      <c r="A187" s="130"/>
      <c r="B187" s="602">
        <v>6.6879699248120303</v>
      </c>
      <c r="C187" s="604"/>
      <c r="D187" s="606"/>
      <c r="E187" s="606"/>
      <c r="F187" s="132"/>
      <c r="G187" s="608"/>
      <c r="H187" s="598"/>
      <c r="I187" s="600"/>
      <c r="J187" s="532"/>
      <c r="K187" s="133"/>
      <c r="L187" s="133"/>
      <c r="M187" s="133"/>
      <c r="N187" s="133"/>
      <c r="O187" s="133"/>
      <c r="P187" s="133"/>
      <c r="Q187" s="130"/>
    </row>
    <row r="188" spans="1:17" ht="20.100000000000001" customHeight="1" x14ac:dyDescent="0.25">
      <c r="A188" s="130" t="str">
        <f t="shared" ca="1" si="195"/>
        <v>a1GDm000000XmmDMAS</v>
      </c>
      <c r="B188" s="601">
        <v>9</v>
      </c>
      <c r="C188" s="603" t="str">
        <f>IFERROR(VLOOKUP(B188,'Impact Indicators - Section B '!$A$9:$AC$68,29,FALSE),"")</f>
        <v/>
      </c>
      <c r="D188" s="605" t="str">
        <f t="shared" ref="D188" si="273">M188</f>
        <v/>
      </c>
      <c r="E188" s="605" t="str">
        <f t="shared" ref="E188" si="274">N188</f>
        <v/>
      </c>
      <c r="F188" s="131"/>
      <c r="G188" s="607" t="str">
        <f ca="1">IF(OR(INDIRECT("'update Helper'!E"&amp;Q188)="",F188&lt;&gt;0,F189&lt;&gt;0),IF(IFERROR((F188/F189),"")="","",(F188/F189)),INDIRECT("'update Helper'!E"&amp;Q188)/100)</f>
        <v/>
      </c>
      <c r="H188" s="597"/>
      <c r="I188" s="599"/>
      <c r="J188" s="531"/>
      <c r="K188" s="130">
        <f>IF(AND(EXACT(C188,C186),C186&lt;&gt;0),K186+1,0)</f>
        <v>39</v>
      </c>
      <c r="L188" s="130" t="str">
        <f>IF(C188&lt;&gt;"",C188&amp;"-"&amp;K188,"")</f>
        <v/>
      </c>
      <c r="M188" s="130" t="str">
        <f t="array" ref="M188">IFERROR(IF(INDEX('Disaggregation Records'!$E$3:$E$80,MATCH(RIGHT(L188,255),RIGHT('Disaggregation Records'!$D$3:$D$80,255),0))="","",INDEX('Disaggregation Records'!$E$3:$E$80,MATCH(RIGHT(L188,255),RIGHT('Disaggregation Records'!$D$3:$D$80,255),0))),"")</f>
        <v/>
      </c>
      <c r="N188" s="130" t="str">
        <f t="array" ref="N188">IFERROR(IF(INDEX('Disaggregation Records'!$F$3:$F$80,MATCH(RIGHT(L188,255),RIGHT('Disaggregation Records'!$D$3:$D$80,255),0))="","",INDEX('Disaggregation Records'!$F$3:$F$80,MATCH(RIGHT(L188,255),RIGHT('Disaggregation Records'!$D$3:$D$80,255),0))),"")</f>
        <v/>
      </c>
      <c r="O188" s="130" t="str">
        <f t="array" ref="O188">IFERROR(IF(INDEX('Disaggregation Records'!$H$3:$H$80,MATCH(RIGHT(L188,255),RIGHT('Disaggregation Records'!$D$3:$D$80,255),0))="","",INDEX('Disaggregation Records'!$H$3:$H$80,MATCH(RIGHT(L188,255),RIGHT('Disaggregation Records'!$D$3:$D$80,255),0))),"")</f>
        <v/>
      </c>
      <c r="Q188" s="52">
        <f t="shared" ref="Q188" si="275">Q186+1</f>
        <v>1280</v>
      </c>
    </row>
    <row r="189" spans="1:17" ht="20.100000000000001" customHeight="1" x14ac:dyDescent="0.25">
      <c r="B189" s="602">
        <v>6.6879699248120303</v>
      </c>
      <c r="C189" s="604"/>
      <c r="D189" s="606"/>
      <c r="E189" s="606"/>
      <c r="F189" s="132"/>
      <c r="G189" s="608"/>
      <c r="H189" s="598"/>
      <c r="I189" s="600"/>
      <c r="J189" s="532"/>
      <c r="K189" s="133"/>
      <c r="L189" s="133"/>
      <c r="M189" s="133"/>
      <c r="N189" s="133"/>
      <c r="O189" s="133"/>
      <c r="Q189" s="130"/>
    </row>
    <row r="190" spans="1:17" ht="20.100000000000001" customHeight="1" x14ac:dyDescent="0.25">
      <c r="A190" s="130" t="str">
        <f t="shared" ref="A190" ca="1" si="276">INDIRECT("'update Helper'!C"&amp;Q190)</f>
        <v>a1GDm000000XmmEMAS</v>
      </c>
      <c r="B190" s="601">
        <v>10</v>
      </c>
      <c r="C190" s="603" t="str">
        <f>IFERROR(VLOOKUP(B190,'Impact Indicators - Section B '!$A$9:$AC$68,29,FALSE),"")</f>
        <v/>
      </c>
      <c r="D190" s="605" t="str">
        <f t="shared" ref="D190" si="277">M190</f>
        <v/>
      </c>
      <c r="E190" s="605" t="str">
        <f t="shared" ref="E190" si="278">N190</f>
        <v/>
      </c>
      <c r="F190" s="131"/>
      <c r="G190" s="607" t="str">
        <f ca="1">IF(OR(INDIRECT("'update Helper'!E"&amp;Q190)="",F190&lt;&gt;0,F191&lt;&gt;0),IF(IFERROR((F190/F191),"")="","",(F190/F191)),INDIRECT("'update Helper'!E"&amp;Q190)/100)</f>
        <v/>
      </c>
      <c r="H190" s="597"/>
      <c r="I190" s="599"/>
      <c r="J190" s="531"/>
      <c r="K190" s="130">
        <f>IF(AND(EXACT(C190,C188),C188&lt;&gt;0),K188+1,0)</f>
        <v>40</v>
      </c>
      <c r="L190" s="130" t="str">
        <f>IF(C190&lt;&gt;"",C190&amp;"-"&amp;K190,"")</f>
        <v/>
      </c>
      <c r="M190" s="130" t="str">
        <f t="array" ref="M190">IFERROR(IF(INDEX('Disaggregation Records'!$E$3:$E$80,MATCH(RIGHT(L190,255),RIGHT('Disaggregation Records'!$D$3:$D$80,255),0))="","",INDEX('Disaggregation Records'!$E$3:$E$80,MATCH(RIGHT(L190,255),RIGHT('Disaggregation Records'!$D$3:$D$80,255),0))),"")</f>
        <v/>
      </c>
      <c r="N190" s="130" t="str">
        <f t="array" ref="N190">IFERROR(IF(INDEX('Disaggregation Records'!$F$3:$F$80,MATCH(RIGHT(L190,255),RIGHT('Disaggregation Records'!$D$3:$D$80,255),0))="","",INDEX('Disaggregation Records'!$F$3:$F$80,MATCH(RIGHT(L190,255),RIGHT('Disaggregation Records'!$D$3:$D$80,255),0))),"")</f>
        <v/>
      </c>
      <c r="O190" s="130" t="str">
        <f t="array" ref="O190">IFERROR(IF(INDEX('Disaggregation Records'!$H$3:$H$80,MATCH(RIGHT(L190,255),RIGHT('Disaggregation Records'!$D$3:$D$80,255),0))="","",INDEX('Disaggregation Records'!$H$3:$H$80,MATCH(RIGHT(L190,255),RIGHT('Disaggregation Records'!$D$3:$D$80,255),0))),"")</f>
        <v/>
      </c>
      <c r="P190" s="130"/>
      <c r="Q190" s="52">
        <f t="shared" ref="Q190" si="279">Q188+1</f>
        <v>1281</v>
      </c>
    </row>
    <row r="191" spans="1:17" ht="20.100000000000001" customHeight="1" x14ac:dyDescent="0.25">
      <c r="A191" s="130"/>
      <c r="B191" s="602">
        <v>7.4398496240601597</v>
      </c>
      <c r="C191" s="604"/>
      <c r="D191" s="606"/>
      <c r="E191" s="606"/>
      <c r="F191" s="132"/>
      <c r="G191" s="608"/>
      <c r="H191" s="598"/>
      <c r="I191" s="600"/>
      <c r="J191" s="532"/>
      <c r="K191" s="133"/>
      <c r="L191" s="133"/>
      <c r="M191" s="133"/>
      <c r="N191" s="133"/>
      <c r="O191" s="133"/>
      <c r="P191" s="133"/>
      <c r="Q191" s="130"/>
    </row>
    <row r="192" spans="1:17" ht="20.100000000000001" customHeight="1" x14ac:dyDescent="0.25">
      <c r="A192" s="130" t="str">
        <f t="shared" ca="1" si="195"/>
        <v>a1GDm000000XmmFMAS</v>
      </c>
      <c r="B192" s="601">
        <v>10</v>
      </c>
      <c r="C192" s="603" t="str">
        <f>IFERROR(VLOOKUP(B192,'Impact Indicators - Section B '!$A$9:$AC$68,29,FALSE),"")</f>
        <v/>
      </c>
      <c r="D192" s="605" t="str">
        <f t="shared" ref="D192" si="280">M192</f>
        <v/>
      </c>
      <c r="E192" s="605" t="str">
        <f t="shared" ref="E192" si="281">N192</f>
        <v/>
      </c>
      <c r="F192" s="131"/>
      <c r="G192" s="607" t="str">
        <f ca="1">IF(OR(INDIRECT("'update Helper'!E"&amp;Q192)="",F192&lt;&gt;0,F193&lt;&gt;0),IF(IFERROR((F192/F193),"")="","",(F192/F193)),INDIRECT("'update Helper'!E"&amp;Q192)/100)</f>
        <v/>
      </c>
      <c r="H192" s="597"/>
      <c r="I192" s="599"/>
      <c r="J192" s="531"/>
      <c r="K192" s="130">
        <f>IF(AND(EXACT(C192,C190),C190&lt;&gt;0),K190+1,0)</f>
        <v>41</v>
      </c>
      <c r="L192" s="130" t="str">
        <f>IF(C192&lt;&gt;"",C192&amp;"-"&amp;K192,"")</f>
        <v/>
      </c>
      <c r="M192" s="130" t="str">
        <f t="array" ref="M192">IFERROR(IF(INDEX('Disaggregation Records'!$E$3:$E$80,MATCH(RIGHT(L192,255),RIGHT('Disaggregation Records'!$D$3:$D$80,255),0))="","",INDEX('Disaggregation Records'!$E$3:$E$80,MATCH(RIGHT(L192,255),RIGHT('Disaggregation Records'!$D$3:$D$80,255),0))),"")</f>
        <v/>
      </c>
      <c r="N192" s="130" t="str">
        <f t="array" ref="N192">IFERROR(IF(INDEX('Disaggregation Records'!$F$3:$F$80,MATCH(RIGHT(L192,255),RIGHT('Disaggregation Records'!$D$3:$D$80,255),0))="","",INDEX('Disaggregation Records'!$F$3:$F$80,MATCH(RIGHT(L192,255),RIGHT('Disaggregation Records'!$D$3:$D$80,255),0))),"")</f>
        <v/>
      </c>
      <c r="O192" s="130" t="str">
        <f t="array" ref="O192">IFERROR(IF(INDEX('Disaggregation Records'!$H$3:$H$80,MATCH(RIGHT(L192,255),RIGHT('Disaggregation Records'!$D$3:$D$80,255),0))="","",INDEX('Disaggregation Records'!$H$3:$H$80,MATCH(RIGHT(L192,255),RIGHT('Disaggregation Records'!$D$3:$D$80,255),0))),"")</f>
        <v/>
      </c>
      <c r="Q192" s="52">
        <f t="shared" ref="Q192" si="282">Q190+1</f>
        <v>1282</v>
      </c>
    </row>
    <row r="193" spans="1:17" ht="20.100000000000001" customHeight="1" x14ac:dyDescent="0.25">
      <c r="B193" s="602">
        <v>7.4398496240601597</v>
      </c>
      <c r="C193" s="604"/>
      <c r="D193" s="606"/>
      <c r="E193" s="606"/>
      <c r="F193" s="132"/>
      <c r="G193" s="608"/>
      <c r="H193" s="598"/>
      <c r="I193" s="600"/>
      <c r="J193" s="532"/>
      <c r="K193" s="133"/>
      <c r="L193" s="133"/>
      <c r="M193" s="133"/>
      <c r="N193" s="133"/>
      <c r="O193" s="133"/>
      <c r="Q193" s="130"/>
    </row>
    <row r="194" spans="1:17" ht="20.100000000000001" customHeight="1" x14ac:dyDescent="0.25">
      <c r="A194" s="130" t="str">
        <f t="shared" ref="A194" ca="1" si="283">INDIRECT("'update Helper'!C"&amp;Q194)</f>
        <v>a1GDm000000XmmGMAS</v>
      </c>
      <c r="B194" s="601">
        <v>10</v>
      </c>
      <c r="C194" s="603" t="str">
        <f>IFERROR(VLOOKUP(B194,'Impact Indicators - Section B '!$A$9:$AC$68,29,FALSE),"")</f>
        <v/>
      </c>
      <c r="D194" s="605" t="str">
        <f t="shared" ref="D194" si="284">M194</f>
        <v/>
      </c>
      <c r="E194" s="605" t="str">
        <f t="shared" ref="E194" si="285">N194</f>
        <v/>
      </c>
      <c r="F194" s="131"/>
      <c r="G194" s="607" t="str">
        <f ca="1">IF(OR(INDIRECT("'update Helper'!E"&amp;Q194)="",F194&lt;&gt;0,F195&lt;&gt;0),IF(IFERROR((F194/F195),"")="","",(F194/F195)),INDIRECT("'update Helper'!E"&amp;Q194)/100)</f>
        <v/>
      </c>
      <c r="H194" s="597"/>
      <c r="I194" s="599"/>
      <c r="J194" s="531"/>
      <c r="K194" s="130">
        <f>IF(AND(EXACT(C194,C192),C192&lt;&gt;0),K192+1,0)</f>
        <v>42</v>
      </c>
      <c r="L194" s="130" t="str">
        <f>IF(C194&lt;&gt;"",C194&amp;"-"&amp;K194,"")</f>
        <v/>
      </c>
      <c r="M194" s="130" t="str">
        <f t="array" ref="M194">IFERROR(IF(INDEX('Disaggregation Records'!$E$3:$E$80,MATCH(RIGHT(L194,255),RIGHT('Disaggregation Records'!$D$3:$D$80,255),0))="","",INDEX('Disaggregation Records'!$E$3:$E$80,MATCH(RIGHT(L194,255),RIGHT('Disaggregation Records'!$D$3:$D$80,255),0))),"")</f>
        <v/>
      </c>
      <c r="N194" s="130" t="str">
        <f t="array" ref="N194">IFERROR(IF(INDEX('Disaggregation Records'!$F$3:$F$80,MATCH(RIGHT(L194,255),RIGHT('Disaggregation Records'!$D$3:$D$80,255),0))="","",INDEX('Disaggregation Records'!$F$3:$F$80,MATCH(RIGHT(L194,255),RIGHT('Disaggregation Records'!$D$3:$D$80,255),0))),"")</f>
        <v/>
      </c>
      <c r="O194" s="130" t="str">
        <f t="array" ref="O194">IFERROR(IF(INDEX('Disaggregation Records'!$H$3:$H$80,MATCH(RIGHT(L194,255),RIGHT('Disaggregation Records'!$D$3:$D$80,255),0))="","",INDEX('Disaggregation Records'!$H$3:$H$80,MATCH(RIGHT(L194,255),RIGHT('Disaggregation Records'!$D$3:$D$80,255),0))),"")</f>
        <v/>
      </c>
      <c r="P194" s="130"/>
      <c r="Q194" s="52">
        <f t="shared" ref="Q194" si="286">Q192+1</f>
        <v>1283</v>
      </c>
    </row>
    <row r="195" spans="1:17" ht="20.100000000000001" customHeight="1" x14ac:dyDescent="0.25">
      <c r="A195" s="130"/>
      <c r="B195" s="602">
        <v>7.4398496240601597</v>
      </c>
      <c r="C195" s="604"/>
      <c r="D195" s="606"/>
      <c r="E195" s="606"/>
      <c r="F195" s="132"/>
      <c r="G195" s="608"/>
      <c r="H195" s="598"/>
      <c r="I195" s="600"/>
      <c r="J195" s="532"/>
      <c r="K195" s="133"/>
      <c r="L195" s="133"/>
      <c r="M195" s="133"/>
      <c r="N195" s="133"/>
      <c r="O195" s="133"/>
      <c r="P195" s="133"/>
      <c r="Q195" s="130"/>
    </row>
    <row r="196" spans="1:17" ht="20.100000000000001" customHeight="1" x14ac:dyDescent="0.25">
      <c r="A196" s="130" t="str">
        <f t="shared" ca="1" si="195"/>
        <v>a1GDm000000XmmHMAS</v>
      </c>
      <c r="B196" s="601">
        <v>10</v>
      </c>
      <c r="C196" s="603" t="str">
        <f>IFERROR(VLOOKUP(B196,'Impact Indicators - Section B '!$A$9:$AC$68,29,FALSE),"")</f>
        <v/>
      </c>
      <c r="D196" s="605" t="str">
        <f t="shared" ref="D196" si="287">M196</f>
        <v/>
      </c>
      <c r="E196" s="605" t="str">
        <f t="shared" ref="E196" si="288">N196</f>
        <v/>
      </c>
      <c r="F196" s="131"/>
      <c r="G196" s="607" t="str">
        <f ca="1">IF(OR(INDIRECT("'update Helper'!E"&amp;Q196)="",F196&lt;&gt;0,F197&lt;&gt;0),IF(IFERROR((F196/F197),"")="","",(F196/F197)),INDIRECT("'update Helper'!E"&amp;Q196)/100)</f>
        <v/>
      </c>
      <c r="H196" s="597"/>
      <c r="I196" s="599"/>
      <c r="J196" s="531"/>
      <c r="K196" s="130">
        <f>IF(AND(EXACT(C196,C194),C194&lt;&gt;0),K194+1,0)</f>
        <v>43</v>
      </c>
      <c r="L196" s="130" t="str">
        <f>IF(C196&lt;&gt;"",C196&amp;"-"&amp;K196,"")</f>
        <v/>
      </c>
      <c r="M196" s="130" t="str">
        <f t="array" ref="M196">IFERROR(IF(INDEX('Disaggregation Records'!$E$3:$E$80,MATCH(RIGHT(L196,255),RIGHT('Disaggregation Records'!$D$3:$D$80,255),0))="","",INDEX('Disaggregation Records'!$E$3:$E$80,MATCH(RIGHT(L196,255),RIGHT('Disaggregation Records'!$D$3:$D$80,255),0))),"")</f>
        <v/>
      </c>
      <c r="N196" s="130" t="str">
        <f t="array" ref="N196">IFERROR(IF(INDEX('Disaggregation Records'!$F$3:$F$80,MATCH(RIGHT(L196,255),RIGHT('Disaggregation Records'!$D$3:$D$80,255),0))="","",INDEX('Disaggregation Records'!$F$3:$F$80,MATCH(RIGHT(L196,255),RIGHT('Disaggregation Records'!$D$3:$D$80,255),0))),"")</f>
        <v/>
      </c>
      <c r="O196" s="130" t="str">
        <f t="array" ref="O196">IFERROR(IF(INDEX('Disaggregation Records'!$H$3:$H$80,MATCH(RIGHT(L196,255),RIGHT('Disaggregation Records'!$D$3:$D$80,255),0))="","",INDEX('Disaggregation Records'!$H$3:$H$80,MATCH(RIGHT(L196,255),RIGHT('Disaggregation Records'!$D$3:$D$80,255),0))),"")</f>
        <v/>
      </c>
      <c r="Q196" s="52">
        <f t="shared" ref="Q196" si="289">Q194+1</f>
        <v>1284</v>
      </c>
    </row>
    <row r="197" spans="1:17" ht="20.100000000000001" customHeight="1" x14ac:dyDescent="0.25">
      <c r="B197" s="602">
        <v>7.4398496240601597</v>
      </c>
      <c r="C197" s="604"/>
      <c r="D197" s="606"/>
      <c r="E197" s="606"/>
      <c r="F197" s="132"/>
      <c r="G197" s="608"/>
      <c r="H197" s="598"/>
      <c r="I197" s="600"/>
      <c r="J197" s="532"/>
      <c r="K197" s="133"/>
      <c r="L197" s="133"/>
      <c r="M197" s="133"/>
      <c r="N197" s="133"/>
      <c r="O197" s="133"/>
      <c r="Q197" s="130"/>
    </row>
    <row r="198" spans="1:17" ht="20.100000000000001" customHeight="1" x14ac:dyDescent="0.25">
      <c r="A198" s="130" t="str">
        <f t="shared" ref="A198" ca="1" si="290">INDIRECT("'update Helper'!C"&amp;Q198)</f>
        <v>a1GDm000000XmmIMAS</v>
      </c>
      <c r="B198" s="601">
        <v>10</v>
      </c>
      <c r="C198" s="603" t="str">
        <f>IFERROR(VLOOKUP(B198,'Impact Indicators - Section B '!$A$9:$AC$68,29,FALSE),"")</f>
        <v/>
      </c>
      <c r="D198" s="605" t="str">
        <f t="shared" ref="D198" si="291">M198</f>
        <v/>
      </c>
      <c r="E198" s="605" t="str">
        <f t="shared" ref="E198" si="292">N198</f>
        <v/>
      </c>
      <c r="F198" s="131"/>
      <c r="G198" s="607" t="str">
        <f ca="1">IF(OR(INDIRECT("'update Helper'!E"&amp;Q198)="",F198&lt;&gt;0,F199&lt;&gt;0),IF(IFERROR((F198/F199),"")="","",(F198/F199)),INDIRECT("'update Helper'!E"&amp;Q198)/100)</f>
        <v/>
      </c>
      <c r="H198" s="597"/>
      <c r="I198" s="599"/>
      <c r="J198" s="531"/>
      <c r="K198" s="130">
        <f>IF(AND(EXACT(C198,C196),C196&lt;&gt;0),K196+1,0)</f>
        <v>44</v>
      </c>
      <c r="L198" s="130" t="str">
        <f>IF(C198&lt;&gt;"",C198&amp;"-"&amp;K198,"")</f>
        <v/>
      </c>
      <c r="M198" s="130" t="str">
        <f t="array" ref="M198">IFERROR(IF(INDEX('Disaggregation Records'!$E$3:$E$80,MATCH(RIGHT(L198,255),RIGHT('Disaggregation Records'!$D$3:$D$80,255),0))="","",INDEX('Disaggregation Records'!$E$3:$E$80,MATCH(RIGHT(L198,255),RIGHT('Disaggregation Records'!$D$3:$D$80,255),0))),"")</f>
        <v/>
      </c>
      <c r="N198" s="130" t="str">
        <f t="array" ref="N198">IFERROR(IF(INDEX('Disaggregation Records'!$F$3:$F$80,MATCH(RIGHT(L198,255),RIGHT('Disaggregation Records'!$D$3:$D$80,255),0))="","",INDEX('Disaggregation Records'!$F$3:$F$80,MATCH(RIGHT(L198,255),RIGHT('Disaggregation Records'!$D$3:$D$80,255),0))),"")</f>
        <v/>
      </c>
      <c r="O198" s="130" t="str">
        <f t="array" ref="O198">IFERROR(IF(INDEX('Disaggregation Records'!$H$3:$H$80,MATCH(RIGHT(L198,255),RIGHT('Disaggregation Records'!$D$3:$D$80,255),0))="","",INDEX('Disaggregation Records'!$H$3:$H$80,MATCH(RIGHT(L198,255),RIGHT('Disaggregation Records'!$D$3:$D$80,255),0))),"")</f>
        <v/>
      </c>
      <c r="P198" s="130"/>
      <c r="Q198" s="52">
        <f t="shared" ref="Q198" si="293">Q196+1</f>
        <v>1285</v>
      </c>
    </row>
    <row r="199" spans="1:17" ht="20.100000000000001" customHeight="1" x14ac:dyDescent="0.25">
      <c r="A199" s="130"/>
      <c r="B199" s="602">
        <v>7.4398496240601597</v>
      </c>
      <c r="C199" s="604"/>
      <c r="D199" s="606"/>
      <c r="E199" s="606"/>
      <c r="F199" s="132"/>
      <c r="G199" s="608"/>
      <c r="H199" s="598"/>
      <c r="I199" s="600"/>
      <c r="J199" s="532"/>
      <c r="K199" s="133"/>
      <c r="L199" s="133"/>
      <c r="M199" s="133"/>
      <c r="N199" s="133"/>
      <c r="O199" s="133"/>
      <c r="P199" s="133"/>
      <c r="Q199" s="130"/>
    </row>
    <row r="200" spans="1:17" ht="20.100000000000001" customHeight="1" x14ac:dyDescent="0.25">
      <c r="A200" s="130" t="str">
        <f t="shared" ca="1" si="195"/>
        <v>a1GDm000000XmmJMAS</v>
      </c>
      <c r="B200" s="601">
        <v>10</v>
      </c>
      <c r="C200" s="603" t="str">
        <f>IFERROR(VLOOKUP(B200,'Impact Indicators - Section B '!$A$9:$AC$68,29,FALSE),"")</f>
        <v/>
      </c>
      <c r="D200" s="605" t="str">
        <f t="shared" ref="D200" si="294">M200</f>
        <v/>
      </c>
      <c r="E200" s="605" t="str">
        <f t="shared" ref="E200" si="295">N200</f>
        <v/>
      </c>
      <c r="F200" s="131"/>
      <c r="G200" s="607" t="str">
        <f ca="1">IF(OR(INDIRECT("'update Helper'!E"&amp;Q200)="",F200&lt;&gt;0,F201&lt;&gt;0),IF(IFERROR((F200/F201),"")="","",(F200/F201)),INDIRECT("'update Helper'!E"&amp;Q200)/100)</f>
        <v/>
      </c>
      <c r="H200" s="597"/>
      <c r="I200" s="599"/>
      <c r="J200" s="531"/>
      <c r="K200" s="130">
        <f>IF(AND(EXACT(C200,C198),C198&lt;&gt;0),K198+1,0)</f>
        <v>45</v>
      </c>
      <c r="L200" s="130" t="str">
        <f>IF(C200&lt;&gt;"",C200&amp;"-"&amp;K200,"")</f>
        <v/>
      </c>
      <c r="M200" s="130" t="str">
        <f t="array" ref="M200">IFERROR(IF(INDEX('Disaggregation Records'!$E$3:$E$80,MATCH(RIGHT(L200,255),RIGHT('Disaggregation Records'!$D$3:$D$80,255),0))="","",INDEX('Disaggregation Records'!$E$3:$E$80,MATCH(RIGHT(L200,255),RIGHT('Disaggregation Records'!$D$3:$D$80,255),0))),"")</f>
        <v/>
      </c>
      <c r="N200" s="130" t="str">
        <f t="array" ref="N200">IFERROR(IF(INDEX('Disaggregation Records'!$F$3:$F$80,MATCH(RIGHT(L200,255),RIGHT('Disaggregation Records'!$D$3:$D$80,255),0))="","",INDEX('Disaggregation Records'!$F$3:$F$80,MATCH(RIGHT(L200,255),RIGHT('Disaggregation Records'!$D$3:$D$80,255),0))),"")</f>
        <v/>
      </c>
      <c r="O200" s="130" t="str">
        <f t="array" ref="O200">IFERROR(IF(INDEX('Disaggregation Records'!$H$3:$H$80,MATCH(RIGHT(L200,255),RIGHT('Disaggregation Records'!$D$3:$D$80,255),0))="","",INDEX('Disaggregation Records'!$H$3:$H$80,MATCH(RIGHT(L200,255),RIGHT('Disaggregation Records'!$D$3:$D$80,255),0))),"")</f>
        <v/>
      </c>
      <c r="Q200" s="52">
        <f t="shared" ref="Q200" si="296">Q198+1</f>
        <v>1286</v>
      </c>
    </row>
    <row r="201" spans="1:17" ht="20.100000000000001" customHeight="1" x14ac:dyDescent="0.25">
      <c r="B201" s="602">
        <v>7.4398496240601597</v>
      </c>
      <c r="C201" s="604"/>
      <c r="D201" s="606"/>
      <c r="E201" s="606"/>
      <c r="F201" s="132"/>
      <c r="G201" s="608"/>
      <c r="H201" s="598"/>
      <c r="I201" s="600"/>
      <c r="J201" s="532"/>
      <c r="K201" s="133"/>
      <c r="L201" s="133"/>
      <c r="M201" s="133"/>
      <c r="N201" s="133"/>
      <c r="O201" s="133"/>
      <c r="Q201" s="130"/>
    </row>
    <row r="202" spans="1:17" ht="20.100000000000001" customHeight="1" x14ac:dyDescent="0.25">
      <c r="A202" s="130" t="str">
        <f t="shared" ref="A202" ca="1" si="297">INDIRECT("'update Helper'!C"&amp;Q202)</f>
        <v>a1GDm000000XmmKMAS</v>
      </c>
      <c r="B202" s="601">
        <v>10</v>
      </c>
      <c r="C202" s="603" t="str">
        <f>IFERROR(VLOOKUP(B202,'Impact Indicators - Section B '!$A$9:$AC$68,29,FALSE),"")</f>
        <v/>
      </c>
      <c r="D202" s="605" t="str">
        <f t="shared" ref="D202" si="298">M202</f>
        <v/>
      </c>
      <c r="E202" s="605" t="str">
        <f t="shared" ref="E202" si="299">N202</f>
        <v/>
      </c>
      <c r="F202" s="131"/>
      <c r="G202" s="607" t="str">
        <f ca="1">IF(OR(INDIRECT("'update Helper'!E"&amp;Q202)="",F202&lt;&gt;0,F203&lt;&gt;0),IF(IFERROR((F202/F203),"")="","",(F202/F203)),INDIRECT("'update Helper'!E"&amp;Q202)/100)</f>
        <v/>
      </c>
      <c r="H202" s="597"/>
      <c r="I202" s="599"/>
      <c r="J202" s="531"/>
      <c r="K202" s="130">
        <f>IF(AND(EXACT(C202,C200),C200&lt;&gt;0),K200+1,0)</f>
        <v>46</v>
      </c>
      <c r="L202" s="130" t="str">
        <f>IF(C202&lt;&gt;"",C202&amp;"-"&amp;K202,"")</f>
        <v/>
      </c>
      <c r="M202" s="130" t="str">
        <f t="array" ref="M202">IFERROR(IF(INDEX('Disaggregation Records'!$E$3:$E$80,MATCH(RIGHT(L202,255),RIGHT('Disaggregation Records'!$D$3:$D$80,255),0))="","",INDEX('Disaggregation Records'!$E$3:$E$80,MATCH(RIGHT(L202,255),RIGHT('Disaggregation Records'!$D$3:$D$80,255),0))),"")</f>
        <v/>
      </c>
      <c r="N202" s="130" t="str">
        <f t="array" ref="N202">IFERROR(IF(INDEX('Disaggregation Records'!$F$3:$F$80,MATCH(RIGHT(L202,255),RIGHT('Disaggregation Records'!$D$3:$D$80,255),0))="","",INDEX('Disaggregation Records'!$F$3:$F$80,MATCH(RIGHT(L202,255),RIGHT('Disaggregation Records'!$D$3:$D$80,255),0))),"")</f>
        <v/>
      </c>
      <c r="O202" s="130" t="str">
        <f t="array" ref="O202">IFERROR(IF(INDEX('Disaggregation Records'!$H$3:$H$80,MATCH(RIGHT(L202,255),RIGHT('Disaggregation Records'!$D$3:$D$80,255),0))="","",INDEX('Disaggregation Records'!$H$3:$H$80,MATCH(RIGHT(L202,255),RIGHT('Disaggregation Records'!$D$3:$D$80,255),0))),"")</f>
        <v/>
      </c>
      <c r="P202" s="130"/>
      <c r="Q202" s="52">
        <f t="shared" ref="Q202" si="300">Q200+1</f>
        <v>1287</v>
      </c>
    </row>
    <row r="203" spans="1:17" ht="20.100000000000001" customHeight="1" x14ac:dyDescent="0.25">
      <c r="A203" s="130"/>
      <c r="B203" s="602">
        <v>7.4398496240601597</v>
      </c>
      <c r="C203" s="604"/>
      <c r="D203" s="606"/>
      <c r="E203" s="606"/>
      <c r="F203" s="132"/>
      <c r="G203" s="608"/>
      <c r="H203" s="598"/>
      <c r="I203" s="600"/>
      <c r="J203" s="532"/>
      <c r="K203" s="133"/>
      <c r="L203" s="133"/>
      <c r="M203" s="133"/>
      <c r="N203" s="133"/>
      <c r="O203" s="133"/>
      <c r="P203" s="133"/>
      <c r="Q203" s="130"/>
    </row>
    <row r="204" spans="1:17" ht="20.100000000000001" customHeight="1" x14ac:dyDescent="0.25">
      <c r="A204" s="130" t="str">
        <f t="shared" ca="1" si="195"/>
        <v>a1GDm000000XmmLMAS</v>
      </c>
      <c r="B204" s="601">
        <v>10</v>
      </c>
      <c r="C204" s="603" t="str">
        <f>IFERROR(VLOOKUP(B204,'Impact Indicators - Section B '!$A$9:$AC$68,29,FALSE),"")</f>
        <v/>
      </c>
      <c r="D204" s="605" t="str">
        <f t="shared" ref="D204" si="301">M204</f>
        <v/>
      </c>
      <c r="E204" s="605" t="str">
        <f t="shared" ref="E204" si="302">N204</f>
        <v/>
      </c>
      <c r="F204" s="131"/>
      <c r="G204" s="607" t="str">
        <f ca="1">IF(OR(INDIRECT("'update Helper'!E"&amp;Q204)="",F204&lt;&gt;0,F205&lt;&gt;0),IF(IFERROR((F204/F205),"")="","",(F204/F205)),INDIRECT("'update Helper'!E"&amp;Q204)/100)</f>
        <v/>
      </c>
      <c r="H204" s="597"/>
      <c r="I204" s="599"/>
      <c r="J204" s="531"/>
      <c r="K204" s="130">
        <f>IF(AND(EXACT(C204,C202),C202&lt;&gt;0),K202+1,0)</f>
        <v>47</v>
      </c>
      <c r="L204" s="130" t="str">
        <f>IF(C204&lt;&gt;"",C204&amp;"-"&amp;K204,"")</f>
        <v/>
      </c>
      <c r="M204" s="130" t="str">
        <f t="array" ref="M204">IFERROR(IF(INDEX('Disaggregation Records'!$E$3:$E$80,MATCH(RIGHT(L204,255),RIGHT('Disaggregation Records'!$D$3:$D$80,255),0))="","",INDEX('Disaggregation Records'!$E$3:$E$80,MATCH(RIGHT(L204,255),RIGHT('Disaggregation Records'!$D$3:$D$80,255),0))),"")</f>
        <v/>
      </c>
      <c r="N204" s="130" t="str">
        <f t="array" ref="N204">IFERROR(IF(INDEX('Disaggregation Records'!$F$3:$F$80,MATCH(RIGHT(L204,255),RIGHT('Disaggregation Records'!$D$3:$D$80,255),0))="","",INDEX('Disaggregation Records'!$F$3:$F$80,MATCH(RIGHT(L204,255),RIGHT('Disaggregation Records'!$D$3:$D$80,255),0))),"")</f>
        <v/>
      </c>
      <c r="O204" s="130" t="str">
        <f t="array" ref="O204">IFERROR(IF(INDEX('Disaggregation Records'!$H$3:$H$80,MATCH(RIGHT(L204,255),RIGHT('Disaggregation Records'!$D$3:$D$80,255),0))="","",INDEX('Disaggregation Records'!$H$3:$H$80,MATCH(RIGHT(L204,255),RIGHT('Disaggregation Records'!$D$3:$D$80,255),0))),"")</f>
        <v/>
      </c>
      <c r="Q204" s="52">
        <f t="shared" ref="Q204" si="303">Q202+1</f>
        <v>1288</v>
      </c>
    </row>
    <row r="205" spans="1:17" ht="20.100000000000001" customHeight="1" x14ac:dyDescent="0.25">
      <c r="B205" s="602">
        <v>7.4398496240601597</v>
      </c>
      <c r="C205" s="604"/>
      <c r="D205" s="606"/>
      <c r="E205" s="606"/>
      <c r="F205" s="132"/>
      <c r="G205" s="608"/>
      <c r="H205" s="598"/>
      <c r="I205" s="600"/>
      <c r="J205" s="532"/>
      <c r="K205" s="133"/>
      <c r="L205" s="133"/>
      <c r="M205" s="133"/>
      <c r="N205" s="133"/>
      <c r="O205" s="133"/>
      <c r="Q205" s="130"/>
    </row>
    <row r="206" spans="1:17" ht="20.100000000000001" customHeight="1" x14ac:dyDescent="0.25">
      <c r="A206" s="130" t="str">
        <f t="shared" ref="A206" ca="1" si="304">INDIRECT("'update Helper'!C"&amp;Q206)</f>
        <v>a1GDm000000XmmMMAS</v>
      </c>
      <c r="B206" s="601">
        <v>10</v>
      </c>
      <c r="C206" s="603" t="str">
        <f>IFERROR(VLOOKUP(B206,'Impact Indicators - Section B '!$A$9:$AC$68,29,FALSE),"")</f>
        <v/>
      </c>
      <c r="D206" s="605" t="str">
        <f t="shared" ref="D206" si="305">M206</f>
        <v/>
      </c>
      <c r="E206" s="605" t="str">
        <f t="shared" ref="E206" si="306">N206</f>
        <v/>
      </c>
      <c r="F206" s="131"/>
      <c r="G206" s="607" t="str">
        <f ca="1">IF(OR(INDIRECT("'update Helper'!E"&amp;Q206)="",F206&lt;&gt;0,F207&lt;&gt;0),IF(IFERROR((F206/F207),"")="","",(F206/F207)),INDIRECT("'update Helper'!E"&amp;Q206)/100)</f>
        <v/>
      </c>
      <c r="H206" s="597"/>
      <c r="I206" s="599"/>
      <c r="J206" s="531"/>
      <c r="K206" s="130">
        <f>IF(AND(EXACT(C206,C204),C204&lt;&gt;0),K204+1,0)</f>
        <v>48</v>
      </c>
      <c r="L206" s="130" t="str">
        <f>IF(C206&lt;&gt;"",C206&amp;"-"&amp;K206,"")</f>
        <v/>
      </c>
      <c r="M206" s="130" t="str">
        <f t="array" ref="M206">IFERROR(IF(INDEX('Disaggregation Records'!$E$3:$E$80,MATCH(RIGHT(L206,255),RIGHT('Disaggregation Records'!$D$3:$D$80,255),0))="","",INDEX('Disaggregation Records'!$E$3:$E$80,MATCH(RIGHT(L206,255),RIGHT('Disaggregation Records'!$D$3:$D$80,255),0))),"")</f>
        <v/>
      </c>
      <c r="N206" s="130" t="str">
        <f t="array" ref="N206">IFERROR(IF(INDEX('Disaggregation Records'!$F$3:$F$80,MATCH(RIGHT(L206,255),RIGHT('Disaggregation Records'!$D$3:$D$80,255),0))="","",INDEX('Disaggregation Records'!$F$3:$F$80,MATCH(RIGHT(L206,255),RIGHT('Disaggregation Records'!$D$3:$D$80,255),0))),"")</f>
        <v/>
      </c>
      <c r="O206" s="130" t="str">
        <f t="array" ref="O206">IFERROR(IF(INDEX('Disaggregation Records'!$H$3:$H$80,MATCH(RIGHT(L206,255),RIGHT('Disaggregation Records'!$D$3:$D$80,255),0))="","",INDEX('Disaggregation Records'!$H$3:$H$80,MATCH(RIGHT(L206,255),RIGHT('Disaggregation Records'!$D$3:$D$80,255),0))),"")</f>
        <v/>
      </c>
      <c r="P206" s="130"/>
      <c r="Q206" s="52">
        <f t="shared" ref="Q206" si="307">Q204+1</f>
        <v>1289</v>
      </c>
    </row>
    <row r="207" spans="1:17" ht="20.100000000000001" customHeight="1" x14ac:dyDescent="0.25">
      <c r="A207" s="130"/>
      <c r="B207" s="602">
        <v>7.4398496240601597</v>
      </c>
      <c r="C207" s="604"/>
      <c r="D207" s="606"/>
      <c r="E207" s="606"/>
      <c r="F207" s="132"/>
      <c r="G207" s="608"/>
      <c r="H207" s="598"/>
      <c r="I207" s="600"/>
      <c r="J207" s="532"/>
      <c r="K207" s="133"/>
      <c r="L207" s="133"/>
      <c r="M207" s="133"/>
      <c r="N207" s="133"/>
      <c r="O207" s="133"/>
      <c r="P207" s="133"/>
      <c r="Q207" s="130"/>
    </row>
    <row r="208" spans="1:17" ht="20.100000000000001" customHeight="1" x14ac:dyDescent="0.25">
      <c r="A208" s="130" t="str">
        <f t="shared" ref="A208:A268" ca="1" si="308">INDIRECT("'update Helper'!C"&amp;Q208)</f>
        <v>a1GDm000000XmmNMAS</v>
      </c>
      <c r="B208" s="601">
        <v>10</v>
      </c>
      <c r="C208" s="603" t="str">
        <f>IFERROR(VLOOKUP(B208,'Impact Indicators - Section B '!$A$9:$AC$68,29,FALSE),"")</f>
        <v/>
      </c>
      <c r="D208" s="605" t="str">
        <f t="shared" ref="D208" si="309">M208</f>
        <v/>
      </c>
      <c r="E208" s="605" t="str">
        <f t="shared" ref="E208" si="310">N208</f>
        <v/>
      </c>
      <c r="F208" s="131"/>
      <c r="G208" s="607" t="str">
        <f ca="1">IF(OR(INDIRECT("'update Helper'!E"&amp;Q208)="",F208&lt;&gt;0,F209&lt;&gt;0),IF(IFERROR((F208/F209),"")="","",(F208/F209)),INDIRECT("'update Helper'!E"&amp;Q208)/100)</f>
        <v/>
      </c>
      <c r="H208" s="597"/>
      <c r="I208" s="599"/>
      <c r="J208" s="531"/>
      <c r="K208" s="130">
        <f>IF(AND(EXACT(C208,C206),C206&lt;&gt;0),K206+1,0)</f>
        <v>49</v>
      </c>
      <c r="L208" s="130" t="str">
        <f>IF(C208&lt;&gt;"",C208&amp;"-"&amp;K208,"")</f>
        <v/>
      </c>
      <c r="M208" s="130" t="str">
        <f t="array" ref="M208">IFERROR(IF(INDEX('Disaggregation Records'!$E$3:$E$80,MATCH(RIGHT(L208,255),RIGHT('Disaggregation Records'!$D$3:$D$80,255),0))="","",INDEX('Disaggregation Records'!$E$3:$E$80,MATCH(RIGHT(L208,255),RIGHT('Disaggregation Records'!$D$3:$D$80,255),0))),"")</f>
        <v/>
      </c>
      <c r="N208" s="130" t="str">
        <f t="array" ref="N208">IFERROR(IF(INDEX('Disaggregation Records'!$F$3:$F$80,MATCH(RIGHT(L208,255),RIGHT('Disaggregation Records'!$D$3:$D$80,255),0))="","",INDEX('Disaggregation Records'!$F$3:$F$80,MATCH(RIGHT(L208,255),RIGHT('Disaggregation Records'!$D$3:$D$80,255),0))),"")</f>
        <v/>
      </c>
      <c r="O208" s="130" t="str">
        <f t="array" ref="O208">IFERROR(IF(INDEX('Disaggregation Records'!$H$3:$H$80,MATCH(RIGHT(L208,255),RIGHT('Disaggregation Records'!$D$3:$D$80,255),0))="","",INDEX('Disaggregation Records'!$H$3:$H$80,MATCH(RIGHT(L208,255),RIGHT('Disaggregation Records'!$D$3:$D$80,255),0))),"")</f>
        <v/>
      </c>
      <c r="Q208" s="52">
        <f t="shared" ref="Q208" si="311">Q206+1</f>
        <v>1290</v>
      </c>
    </row>
    <row r="209" spans="1:17" ht="20.100000000000001" customHeight="1" x14ac:dyDescent="0.25">
      <c r="B209" s="602">
        <v>7.4398496240601597</v>
      </c>
      <c r="C209" s="604"/>
      <c r="D209" s="606"/>
      <c r="E209" s="606"/>
      <c r="F209" s="132"/>
      <c r="G209" s="608"/>
      <c r="H209" s="598"/>
      <c r="I209" s="600"/>
      <c r="J209" s="532"/>
      <c r="K209" s="133"/>
      <c r="L209" s="133"/>
      <c r="M209" s="133"/>
      <c r="N209" s="133"/>
      <c r="O209" s="133"/>
      <c r="Q209" s="130"/>
    </row>
    <row r="210" spans="1:17" ht="20.100000000000001" customHeight="1" x14ac:dyDescent="0.25">
      <c r="A210" s="130" t="str">
        <f t="shared" ref="A210" ca="1" si="312">INDIRECT("'update Helper'!C"&amp;Q210)</f>
        <v>a1GDm000000XmmOMAS</v>
      </c>
      <c r="B210" s="601">
        <v>11</v>
      </c>
      <c r="C210" s="603" t="str">
        <f>IFERROR(VLOOKUP(B210,'Impact Indicators - Section B '!$A$9:$AC$68,29,FALSE),"")</f>
        <v/>
      </c>
      <c r="D210" s="605" t="str">
        <f t="shared" ref="D210" si="313">M210</f>
        <v/>
      </c>
      <c r="E210" s="605" t="str">
        <f t="shared" ref="E210" si="314">N210</f>
        <v/>
      </c>
      <c r="F210" s="131"/>
      <c r="G210" s="607" t="str">
        <f ca="1">IF(OR(INDIRECT("'update Helper'!E"&amp;Q210)="",F210&lt;&gt;0,F211&lt;&gt;0),IF(IFERROR((F210/F211),"")="","",(F210/F211)),INDIRECT("'update Helper'!E"&amp;Q210)/100)</f>
        <v/>
      </c>
      <c r="H210" s="597"/>
      <c r="I210" s="599"/>
      <c r="J210" s="531"/>
      <c r="K210" s="130">
        <f>IF(AND(EXACT(C210,C208),C208&lt;&gt;0),K208+1,0)</f>
        <v>50</v>
      </c>
      <c r="L210" s="130" t="str">
        <f>IF(C210&lt;&gt;"",C210&amp;"-"&amp;K210,"")</f>
        <v/>
      </c>
      <c r="M210" s="130" t="str">
        <f t="array" ref="M210">IFERROR(IF(INDEX('Disaggregation Records'!$E$3:$E$80,MATCH(RIGHT(L210,255),RIGHT('Disaggregation Records'!$D$3:$D$80,255),0))="","",INDEX('Disaggregation Records'!$E$3:$E$80,MATCH(RIGHT(L210,255),RIGHT('Disaggregation Records'!$D$3:$D$80,255),0))),"")</f>
        <v/>
      </c>
      <c r="N210" s="130" t="str">
        <f t="array" ref="N210">IFERROR(IF(INDEX('Disaggregation Records'!$F$3:$F$80,MATCH(RIGHT(L210,255),RIGHT('Disaggregation Records'!$D$3:$D$80,255),0))="","",INDEX('Disaggregation Records'!$F$3:$F$80,MATCH(RIGHT(L210,255),RIGHT('Disaggregation Records'!$D$3:$D$80,255),0))),"")</f>
        <v/>
      </c>
      <c r="O210" s="130" t="str">
        <f t="array" ref="O210">IFERROR(IF(INDEX('Disaggregation Records'!$H$3:$H$80,MATCH(RIGHT(L210,255),RIGHT('Disaggregation Records'!$D$3:$D$80,255),0))="","",INDEX('Disaggregation Records'!$H$3:$H$80,MATCH(RIGHT(L210,255),RIGHT('Disaggregation Records'!$D$3:$D$80,255),0))),"")</f>
        <v/>
      </c>
      <c r="P210" s="130"/>
      <c r="Q210" s="52">
        <f t="shared" ref="Q210" si="315">Q208+1</f>
        <v>1291</v>
      </c>
    </row>
    <row r="211" spans="1:17" ht="20.100000000000001" customHeight="1" x14ac:dyDescent="0.25">
      <c r="A211" s="130"/>
      <c r="B211" s="602">
        <v>8.1541353383458706</v>
      </c>
      <c r="C211" s="604"/>
      <c r="D211" s="606"/>
      <c r="E211" s="606"/>
      <c r="F211" s="132"/>
      <c r="G211" s="608"/>
      <c r="H211" s="598"/>
      <c r="I211" s="600"/>
      <c r="J211" s="532"/>
      <c r="K211" s="133"/>
      <c r="L211" s="133"/>
      <c r="M211" s="133"/>
      <c r="N211" s="133"/>
      <c r="O211" s="133"/>
      <c r="P211" s="133"/>
      <c r="Q211" s="130"/>
    </row>
    <row r="212" spans="1:17" ht="20.100000000000001" customHeight="1" x14ac:dyDescent="0.25">
      <c r="A212" s="130" t="str">
        <f t="shared" ca="1" si="308"/>
        <v>a1GDm000000XmmPMAS</v>
      </c>
      <c r="B212" s="601">
        <v>11</v>
      </c>
      <c r="C212" s="603" t="str">
        <f>IFERROR(VLOOKUP(B212,'Impact Indicators - Section B '!$A$9:$AC$68,29,FALSE),"")</f>
        <v/>
      </c>
      <c r="D212" s="605" t="str">
        <f t="shared" ref="D212" si="316">M212</f>
        <v/>
      </c>
      <c r="E212" s="605" t="str">
        <f t="shared" ref="E212" si="317">N212</f>
        <v/>
      </c>
      <c r="F212" s="131"/>
      <c r="G212" s="607" t="str">
        <f ca="1">IF(OR(INDIRECT("'update Helper'!E"&amp;Q212)="",F212&lt;&gt;0,F213&lt;&gt;0),IF(IFERROR((F212/F213),"")="","",(F212/F213)),INDIRECT("'update Helper'!E"&amp;Q212)/100)</f>
        <v/>
      </c>
      <c r="H212" s="597"/>
      <c r="I212" s="599"/>
      <c r="J212" s="531"/>
      <c r="K212" s="130">
        <f>IF(AND(EXACT(C212,C210),C210&lt;&gt;0),K210+1,0)</f>
        <v>51</v>
      </c>
      <c r="L212" s="130" t="str">
        <f>IF(C212&lt;&gt;"",C212&amp;"-"&amp;K212,"")</f>
        <v/>
      </c>
      <c r="M212" s="130" t="str">
        <f t="array" ref="M212">IFERROR(IF(INDEX('Disaggregation Records'!$E$3:$E$80,MATCH(RIGHT(L212,255),RIGHT('Disaggregation Records'!$D$3:$D$80,255),0))="","",INDEX('Disaggregation Records'!$E$3:$E$80,MATCH(RIGHT(L212,255),RIGHT('Disaggregation Records'!$D$3:$D$80,255),0))),"")</f>
        <v/>
      </c>
      <c r="N212" s="130" t="str">
        <f t="array" ref="N212">IFERROR(IF(INDEX('Disaggregation Records'!$F$3:$F$80,MATCH(RIGHT(L212,255),RIGHT('Disaggregation Records'!$D$3:$D$80,255),0))="","",INDEX('Disaggregation Records'!$F$3:$F$80,MATCH(RIGHT(L212,255),RIGHT('Disaggregation Records'!$D$3:$D$80,255),0))),"")</f>
        <v/>
      </c>
      <c r="O212" s="130" t="str">
        <f t="array" ref="O212">IFERROR(IF(INDEX('Disaggregation Records'!$H$3:$H$80,MATCH(RIGHT(L212,255),RIGHT('Disaggregation Records'!$D$3:$D$80,255),0))="","",INDEX('Disaggregation Records'!$H$3:$H$80,MATCH(RIGHT(L212,255),RIGHT('Disaggregation Records'!$D$3:$D$80,255),0))),"")</f>
        <v/>
      </c>
      <c r="Q212" s="52">
        <f t="shared" ref="Q212" si="318">Q210+1</f>
        <v>1292</v>
      </c>
    </row>
    <row r="213" spans="1:17" ht="20.100000000000001" customHeight="1" x14ac:dyDescent="0.25">
      <c r="B213" s="602">
        <v>8.1541353383458706</v>
      </c>
      <c r="C213" s="604"/>
      <c r="D213" s="606"/>
      <c r="E213" s="606"/>
      <c r="F213" s="132"/>
      <c r="G213" s="608"/>
      <c r="H213" s="598"/>
      <c r="I213" s="600"/>
      <c r="J213" s="532"/>
      <c r="K213" s="133"/>
      <c r="L213" s="133"/>
      <c r="M213" s="133"/>
      <c r="N213" s="133"/>
      <c r="O213" s="133"/>
      <c r="Q213" s="130"/>
    </row>
    <row r="214" spans="1:17" ht="20.100000000000001" customHeight="1" x14ac:dyDescent="0.25">
      <c r="A214" s="130" t="str">
        <f t="shared" ref="A214" ca="1" si="319">INDIRECT("'update Helper'!C"&amp;Q214)</f>
        <v>a1GDm000000XmmQMAS</v>
      </c>
      <c r="B214" s="601">
        <v>11</v>
      </c>
      <c r="C214" s="603" t="str">
        <f>IFERROR(VLOOKUP(B214,'Impact Indicators - Section B '!$A$9:$AC$68,29,FALSE),"")</f>
        <v/>
      </c>
      <c r="D214" s="605" t="str">
        <f t="shared" ref="D214" si="320">M214</f>
        <v/>
      </c>
      <c r="E214" s="605" t="str">
        <f t="shared" ref="E214" si="321">N214</f>
        <v/>
      </c>
      <c r="F214" s="131"/>
      <c r="G214" s="607" t="str">
        <f ca="1">IF(OR(INDIRECT("'update Helper'!E"&amp;Q214)="",F214&lt;&gt;0,F215&lt;&gt;0),IF(IFERROR((F214/F215),"")="","",(F214/F215)),INDIRECT("'update Helper'!E"&amp;Q214)/100)</f>
        <v/>
      </c>
      <c r="H214" s="597"/>
      <c r="I214" s="599"/>
      <c r="J214" s="531"/>
      <c r="K214" s="130">
        <f>IF(AND(EXACT(C214,C212),C212&lt;&gt;0),K212+1,0)</f>
        <v>52</v>
      </c>
      <c r="L214" s="130" t="str">
        <f>IF(C214&lt;&gt;"",C214&amp;"-"&amp;K214,"")</f>
        <v/>
      </c>
      <c r="M214" s="130" t="str">
        <f t="array" ref="M214">IFERROR(IF(INDEX('Disaggregation Records'!$E$3:$E$80,MATCH(RIGHT(L214,255),RIGHT('Disaggregation Records'!$D$3:$D$80,255),0))="","",INDEX('Disaggregation Records'!$E$3:$E$80,MATCH(RIGHT(L214,255),RIGHT('Disaggregation Records'!$D$3:$D$80,255),0))),"")</f>
        <v/>
      </c>
      <c r="N214" s="130" t="str">
        <f t="array" ref="N214">IFERROR(IF(INDEX('Disaggregation Records'!$F$3:$F$80,MATCH(RIGHT(L214,255),RIGHT('Disaggregation Records'!$D$3:$D$80,255),0))="","",INDEX('Disaggregation Records'!$F$3:$F$80,MATCH(RIGHT(L214,255),RIGHT('Disaggregation Records'!$D$3:$D$80,255),0))),"")</f>
        <v/>
      </c>
      <c r="O214" s="130" t="str">
        <f t="array" ref="O214">IFERROR(IF(INDEX('Disaggregation Records'!$H$3:$H$80,MATCH(RIGHT(L214,255),RIGHT('Disaggregation Records'!$D$3:$D$80,255),0))="","",INDEX('Disaggregation Records'!$H$3:$H$80,MATCH(RIGHT(L214,255),RIGHT('Disaggregation Records'!$D$3:$D$80,255),0))),"")</f>
        <v/>
      </c>
      <c r="P214" s="130"/>
      <c r="Q214" s="52">
        <f t="shared" ref="Q214" si="322">Q212+1</f>
        <v>1293</v>
      </c>
    </row>
    <row r="215" spans="1:17" ht="20.100000000000001" customHeight="1" x14ac:dyDescent="0.25">
      <c r="A215" s="130"/>
      <c r="B215" s="602">
        <v>8.1541353383458706</v>
      </c>
      <c r="C215" s="604"/>
      <c r="D215" s="606"/>
      <c r="E215" s="606"/>
      <c r="F215" s="132"/>
      <c r="G215" s="608"/>
      <c r="H215" s="598"/>
      <c r="I215" s="600"/>
      <c r="J215" s="532"/>
      <c r="K215" s="133"/>
      <c r="L215" s="133"/>
      <c r="M215" s="133"/>
      <c r="N215" s="133"/>
      <c r="O215" s="133"/>
      <c r="P215" s="133"/>
      <c r="Q215" s="130"/>
    </row>
    <row r="216" spans="1:17" ht="20.100000000000001" customHeight="1" x14ac:dyDescent="0.25">
      <c r="A216" s="130" t="str">
        <f t="shared" ca="1" si="308"/>
        <v>a1GDm000000XmmRMAS</v>
      </c>
      <c r="B216" s="601">
        <v>11</v>
      </c>
      <c r="C216" s="603" t="str">
        <f>IFERROR(VLOOKUP(B216,'Impact Indicators - Section B '!$A$9:$AC$68,29,FALSE),"")</f>
        <v/>
      </c>
      <c r="D216" s="605" t="str">
        <f t="shared" ref="D216" si="323">M216</f>
        <v/>
      </c>
      <c r="E216" s="605" t="str">
        <f t="shared" ref="E216" si="324">N216</f>
        <v/>
      </c>
      <c r="F216" s="131"/>
      <c r="G216" s="607" t="str">
        <f ca="1">IF(OR(INDIRECT("'update Helper'!E"&amp;Q216)="",F216&lt;&gt;0,F217&lt;&gt;0),IF(IFERROR((F216/F217),"")="","",(F216/F217)),INDIRECT("'update Helper'!E"&amp;Q216)/100)</f>
        <v/>
      </c>
      <c r="H216" s="597"/>
      <c r="I216" s="599"/>
      <c r="J216" s="531"/>
      <c r="K216" s="130">
        <f>IF(AND(EXACT(C216,C214),C214&lt;&gt;0),K214+1,0)</f>
        <v>53</v>
      </c>
      <c r="L216" s="130" t="str">
        <f>IF(C216&lt;&gt;"",C216&amp;"-"&amp;K216,"")</f>
        <v/>
      </c>
      <c r="M216" s="130" t="str">
        <f t="array" ref="M216">IFERROR(IF(INDEX('Disaggregation Records'!$E$3:$E$80,MATCH(RIGHT(L216,255),RIGHT('Disaggregation Records'!$D$3:$D$80,255),0))="","",INDEX('Disaggregation Records'!$E$3:$E$80,MATCH(RIGHT(L216,255),RIGHT('Disaggregation Records'!$D$3:$D$80,255),0))),"")</f>
        <v/>
      </c>
      <c r="N216" s="130" t="str">
        <f t="array" ref="N216">IFERROR(IF(INDEX('Disaggregation Records'!$F$3:$F$80,MATCH(RIGHT(L216,255),RIGHT('Disaggregation Records'!$D$3:$D$80,255),0))="","",INDEX('Disaggregation Records'!$F$3:$F$80,MATCH(RIGHT(L216,255),RIGHT('Disaggregation Records'!$D$3:$D$80,255),0))),"")</f>
        <v/>
      </c>
      <c r="O216" s="130" t="str">
        <f t="array" ref="O216">IFERROR(IF(INDEX('Disaggregation Records'!$H$3:$H$80,MATCH(RIGHT(L216,255),RIGHT('Disaggregation Records'!$D$3:$D$80,255),0))="","",INDEX('Disaggregation Records'!$H$3:$H$80,MATCH(RIGHT(L216,255),RIGHT('Disaggregation Records'!$D$3:$D$80,255),0))),"")</f>
        <v/>
      </c>
      <c r="Q216" s="52">
        <f t="shared" ref="Q216" si="325">Q214+1</f>
        <v>1294</v>
      </c>
    </row>
    <row r="217" spans="1:17" ht="20.100000000000001" customHeight="1" x14ac:dyDescent="0.25">
      <c r="B217" s="602">
        <v>8.1541353383458706</v>
      </c>
      <c r="C217" s="604"/>
      <c r="D217" s="606"/>
      <c r="E217" s="606"/>
      <c r="F217" s="132"/>
      <c r="G217" s="608"/>
      <c r="H217" s="598"/>
      <c r="I217" s="600"/>
      <c r="J217" s="532"/>
      <c r="K217" s="133"/>
      <c r="L217" s="133"/>
      <c r="M217" s="133"/>
      <c r="N217" s="133"/>
      <c r="O217" s="133"/>
      <c r="Q217" s="130"/>
    </row>
    <row r="218" spans="1:17" ht="20.100000000000001" customHeight="1" x14ac:dyDescent="0.25">
      <c r="A218" s="130" t="str">
        <f t="shared" ref="A218" ca="1" si="326">INDIRECT("'update Helper'!C"&amp;Q218)</f>
        <v>a1GDm000000XmmSMAS</v>
      </c>
      <c r="B218" s="601">
        <v>11</v>
      </c>
      <c r="C218" s="603" t="str">
        <f>IFERROR(VLOOKUP(B218,'Impact Indicators - Section B '!$A$9:$AC$68,29,FALSE),"")</f>
        <v/>
      </c>
      <c r="D218" s="605" t="str">
        <f t="shared" ref="D218" si="327">M218</f>
        <v/>
      </c>
      <c r="E218" s="605" t="str">
        <f t="shared" ref="E218" si="328">N218</f>
        <v/>
      </c>
      <c r="F218" s="131"/>
      <c r="G218" s="607" t="str">
        <f ca="1">IF(OR(INDIRECT("'update Helper'!E"&amp;Q218)="",F218&lt;&gt;0,F219&lt;&gt;0),IF(IFERROR((F218/F219),"")="","",(F218/F219)),INDIRECT("'update Helper'!E"&amp;Q218)/100)</f>
        <v/>
      </c>
      <c r="H218" s="597"/>
      <c r="I218" s="599"/>
      <c r="J218" s="531"/>
      <c r="K218" s="130">
        <f>IF(AND(EXACT(C218,C216),C216&lt;&gt;0),K216+1,0)</f>
        <v>54</v>
      </c>
      <c r="L218" s="130" t="str">
        <f>IF(C218&lt;&gt;"",C218&amp;"-"&amp;K218,"")</f>
        <v/>
      </c>
      <c r="M218" s="130" t="str">
        <f t="array" ref="M218">IFERROR(IF(INDEX('Disaggregation Records'!$E$3:$E$80,MATCH(RIGHT(L218,255),RIGHT('Disaggregation Records'!$D$3:$D$80,255),0))="","",INDEX('Disaggregation Records'!$E$3:$E$80,MATCH(RIGHT(L218,255),RIGHT('Disaggregation Records'!$D$3:$D$80,255),0))),"")</f>
        <v/>
      </c>
      <c r="N218" s="130" t="str">
        <f t="array" ref="N218">IFERROR(IF(INDEX('Disaggregation Records'!$F$3:$F$80,MATCH(RIGHT(L218,255),RIGHT('Disaggregation Records'!$D$3:$D$80,255),0))="","",INDEX('Disaggregation Records'!$F$3:$F$80,MATCH(RIGHT(L218,255),RIGHT('Disaggregation Records'!$D$3:$D$80,255),0))),"")</f>
        <v/>
      </c>
      <c r="O218" s="130" t="str">
        <f t="array" ref="O218">IFERROR(IF(INDEX('Disaggregation Records'!$H$3:$H$80,MATCH(RIGHT(L218,255),RIGHT('Disaggregation Records'!$D$3:$D$80,255),0))="","",INDEX('Disaggregation Records'!$H$3:$H$80,MATCH(RIGHT(L218,255),RIGHT('Disaggregation Records'!$D$3:$D$80,255),0))),"")</f>
        <v/>
      </c>
      <c r="P218" s="130"/>
      <c r="Q218" s="52">
        <f t="shared" ref="Q218" si="329">Q216+1</f>
        <v>1295</v>
      </c>
    </row>
    <row r="219" spans="1:17" ht="20.100000000000001" customHeight="1" x14ac:dyDescent="0.25">
      <c r="A219" s="130"/>
      <c r="B219" s="602">
        <v>8.1541353383458706</v>
      </c>
      <c r="C219" s="604"/>
      <c r="D219" s="606"/>
      <c r="E219" s="606"/>
      <c r="F219" s="132"/>
      <c r="G219" s="608"/>
      <c r="H219" s="598"/>
      <c r="I219" s="600"/>
      <c r="J219" s="532"/>
      <c r="K219" s="133"/>
      <c r="L219" s="133"/>
      <c r="M219" s="133"/>
      <c r="N219" s="133"/>
      <c r="O219" s="133"/>
      <c r="P219" s="133"/>
      <c r="Q219" s="130"/>
    </row>
    <row r="220" spans="1:17" ht="20.100000000000001" customHeight="1" x14ac:dyDescent="0.25">
      <c r="A220" s="130" t="str">
        <f t="shared" ca="1" si="308"/>
        <v>a1GDm000000XmmTMAS</v>
      </c>
      <c r="B220" s="601">
        <v>11</v>
      </c>
      <c r="C220" s="603" t="str">
        <f>IFERROR(VLOOKUP(B220,'Impact Indicators - Section B '!$A$9:$AC$68,29,FALSE),"")</f>
        <v/>
      </c>
      <c r="D220" s="605" t="str">
        <f t="shared" ref="D220" si="330">M220</f>
        <v/>
      </c>
      <c r="E220" s="605" t="str">
        <f t="shared" ref="E220" si="331">N220</f>
        <v/>
      </c>
      <c r="F220" s="131"/>
      <c r="G220" s="607" t="str">
        <f ca="1">IF(OR(INDIRECT("'update Helper'!E"&amp;Q220)="",F220&lt;&gt;0,F221&lt;&gt;0),IF(IFERROR((F220/F221),"")="","",(F220/F221)),INDIRECT("'update Helper'!E"&amp;Q220)/100)</f>
        <v/>
      </c>
      <c r="H220" s="597"/>
      <c r="I220" s="599"/>
      <c r="J220" s="531"/>
      <c r="K220" s="130">
        <f>IF(AND(EXACT(C220,C218),C218&lt;&gt;0),K218+1,0)</f>
        <v>55</v>
      </c>
      <c r="L220" s="130" t="str">
        <f>IF(C220&lt;&gt;"",C220&amp;"-"&amp;K220,"")</f>
        <v/>
      </c>
      <c r="M220" s="130" t="str">
        <f t="array" ref="M220">IFERROR(IF(INDEX('Disaggregation Records'!$E$3:$E$80,MATCH(RIGHT(L220,255),RIGHT('Disaggregation Records'!$D$3:$D$80,255),0))="","",INDEX('Disaggregation Records'!$E$3:$E$80,MATCH(RIGHT(L220,255),RIGHT('Disaggregation Records'!$D$3:$D$80,255),0))),"")</f>
        <v/>
      </c>
      <c r="N220" s="130" t="str">
        <f t="array" ref="N220">IFERROR(IF(INDEX('Disaggregation Records'!$F$3:$F$80,MATCH(RIGHT(L220,255),RIGHT('Disaggregation Records'!$D$3:$D$80,255),0))="","",INDEX('Disaggregation Records'!$F$3:$F$80,MATCH(RIGHT(L220,255),RIGHT('Disaggregation Records'!$D$3:$D$80,255),0))),"")</f>
        <v/>
      </c>
      <c r="O220" s="130" t="str">
        <f t="array" ref="O220">IFERROR(IF(INDEX('Disaggregation Records'!$H$3:$H$80,MATCH(RIGHT(L220,255),RIGHT('Disaggregation Records'!$D$3:$D$80,255),0))="","",INDEX('Disaggregation Records'!$H$3:$H$80,MATCH(RIGHT(L220,255),RIGHT('Disaggregation Records'!$D$3:$D$80,255),0))),"")</f>
        <v/>
      </c>
      <c r="Q220" s="52">
        <f t="shared" ref="Q220" si="332">Q218+1</f>
        <v>1296</v>
      </c>
    </row>
    <row r="221" spans="1:17" ht="20.100000000000001" customHeight="1" x14ac:dyDescent="0.25">
      <c r="B221" s="602">
        <v>8.1541353383458706</v>
      </c>
      <c r="C221" s="604"/>
      <c r="D221" s="606"/>
      <c r="E221" s="606"/>
      <c r="F221" s="132"/>
      <c r="G221" s="608"/>
      <c r="H221" s="598"/>
      <c r="I221" s="600"/>
      <c r="J221" s="532"/>
      <c r="K221" s="133"/>
      <c r="L221" s="133"/>
      <c r="M221" s="133"/>
      <c r="N221" s="133"/>
      <c r="O221" s="133"/>
      <c r="Q221" s="130"/>
    </row>
    <row r="222" spans="1:17" ht="20.100000000000001" customHeight="1" x14ac:dyDescent="0.25">
      <c r="A222" s="130" t="str">
        <f t="shared" ref="A222" ca="1" si="333">INDIRECT("'update Helper'!C"&amp;Q222)</f>
        <v>a1GDm000000XmmUMAS</v>
      </c>
      <c r="B222" s="601">
        <v>11</v>
      </c>
      <c r="C222" s="603" t="str">
        <f>IFERROR(VLOOKUP(B222,'Impact Indicators - Section B '!$A$9:$AC$68,29,FALSE),"")</f>
        <v/>
      </c>
      <c r="D222" s="605" t="str">
        <f t="shared" ref="D222" si="334">M222</f>
        <v/>
      </c>
      <c r="E222" s="605" t="str">
        <f t="shared" ref="E222" si="335">N222</f>
        <v/>
      </c>
      <c r="F222" s="131"/>
      <c r="G222" s="607" t="str">
        <f ca="1">IF(OR(INDIRECT("'update Helper'!E"&amp;Q222)="",F222&lt;&gt;0,F223&lt;&gt;0),IF(IFERROR((F222/F223),"")="","",(F222/F223)),INDIRECT("'update Helper'!E"&amp;Q222)/100)</f>
        <v/>
      </c>
      <c r="H222" s="597"/>
      <c r="I222" s="599"/>
      <c r="J222" s="531"/>
      <c r="K222" s="130">
        <f>IF(AND(EXACT(C222,C220),C220&lt;&gt;0),K220+1,0)</f>
        <v>56</v>
      </c>
      <c r="L222" s="130" t="str">
        <f>IF(C222&lt;&gt;"",C222&amp;"-"&amp;K222,"")</f>
        <v/>
      </c>
      <c r="M222" s="130" t="str">
        <f t="array" ref="M222">IFERROR(IF(INDEX('Disaggregation Records'!$E$3:$E$80,MATCH(RIGHT(L222,255),RIGHT('Disaggregation Records'!$D$3:$D$80,255),0))="","",INDEX('Disaggregation Records'!$E$3:$E$80,MATCH(RIGHT(L222,255),RIGHT('Disaggregation Records'!$D$3:$D$80,255),0))),"")</f>
        <v/>
      </c>
      <c r="N222" s="130" t="str">
        <f t="array" ref="N222">IFERROR(IF(INDEX('Disaggregation Records'!$F$3:$F$80,MATCH(RIGHT(L222,255),RIGHT('Disaggregation Records'!$D$3:$D$80,255),0))="","",INDEX('Disaggregation Records'!$F$3:$F$80,MATCH(RIGHT(L222,255),RIGHT('Disaggregation Records'!$D$3:$D$80,255),0))),"")</f>
        <v/>
      </c>
      <c r="O222" s="130" t="str">
        <f t="array" ref="O222">IFERROR(IF(INDEX('Disaggregation Records'!$H$3:$H$80,MATCH(RIGHT(L222,255),RIGHT('Disaggregation Records'!$D$3:$D$80,255),0))="","",INDEX('Disaggregation Records'!$H$3:$H$80,MATCH(RIGHT(L222,255),RIGHT('Disaggregation Records'!$D$3:$D$80,255),0))),"")</f>
        <v/>
      </c>
      <c r="P222" s="130"/>
      <c r="Q222" s="52">
        <f t="shared" ref="Q222" si="336">Q220+1</f>
        <v>1297</v>
      </c>
    </row>
    <row r="223" spans="1:17" ht="20.100000000000001" customHeight="1" x14ac:dyDescent="0.25">
      <c r="A223" s="130"/>
      <c r="B223" s="602">
        <v>8.1541353383458706</v>
      </c>
      <c r="C223" s="604"/>
      <c r="D223" s="606"/>
      <c r="E223" s="606"/>
      <c r="F223" s="132"/>
      <c r="G223" s="608"/>
      <c r="H223" s="598"/>
      <c r="I223" s="600"/>
      <c r="J223" s="532"/>
      <c r="K223" s="133"/>
      <c r="L223" s="133"/>
      <c r="M223" s="133"/>
      <c r="N223" s="133"/>
      <c r="O223" s="133"/>
      <c r="P223" s="133"/>
      <c r="Q223" s="130"/>
    </row>
    <row r="224" spans="1:17" ht="20.100000000000001" customHeight="1" x14ac:dyDescent="0.25">
      <c r="A224" s="130" t="str">
        <f t="shared" ca="1" si="308"/>
        <v>a1GDm000000XmmVMAS</v>
      </c>
      <c r="B224" s="601">
        <v>11</v>
      </c>
      <c r="C224" s="603" t="str">
        <f>IFERROR(VLOOKUP(B224,'Impact Indicators - Section B '!$A$9:$AC$68,29,FALSE),"")</f>
        <v/>
      </c>
      <c r="D224" s="605" t="str">
        <f t="shared" ref="D224" si="337">M224</f>
        <v/>
      </c>
      <c r="E224" s="605" t="str">
        <f t="shared" ref="E224" si="338">N224</f>
        <v/>
      </c>
      <c r="F224" s="131"/>
      <c r="G224" s="607" t="str">
        <f ca="1">IF(OR(INDIRECT("'update Helper'!E"&amp;Q224)="",F224&lt;&gt;0,F225&lt;&gt;0),IF(IFERROR((F224/F225),"")="","",(F224/F225)),INDIRECT("'update Helper'!E"&amp;Q224)/100)</f>
        <v/>
      </c>
      <c r="H224" s="597"/>
      <c r="I224" s="599"/>
      <c r="J224" s="531"/>
      <c r="K224" s="130">
        <f>IF(AND(EXACT(C224,C222),C222&lt;&gt;0),K222+1,0)</f>
        <v>57</v>
      </c>
      <c r="L224" s="130" t="str">
        <f>IF(C224&lt;&gt;"",C224&amp;"-"&amp;K224,"")</f>
        <v/>
      </c>
      <c r="M224" s="130" t="str">
        <f t="array" ref="M224">IFERROR(IF(INDEX('Disaggregation Records'!$E$3:$E$80,MATCH(RIGHT(L224,255),RIGHT('Disaggregation Records'!$D$3:$D$80,255),0))="","",INDEX('Disaggregation Records'!$E$3:$E$80,MATCH(RIGHT(L224,255),RIGHT('Disaggregation Records'!$D$3:$D$80,255),0))),"")</f>
        <v/>
      </c>
      <c r="N224" s="130" t="str">
        <f t="array" ref="N224">IFERROR(IF(INDEX('Disaggregation Records'!$F$3:$F$80,MATCH(RIGHT(L224,255),RIGHT('Disaggregation Records'!$D$3:$D$80,255),0))="","",INDEX('Disaggregation Records'!$F$3:$F$80,MATCH(RIGHT(L224,255),RIGHT('Disaggregation Records'!$D$3:$D$80,255),0))),"")</f>
        <v/>
      </c>
      <c r="O224" s="130" t="str">
        <f t="array" ref="O224">IFERROR(IF(INDEX('Disaggregation Records'!$H$3:$H$80,MATCH(RIGHT(L224,255),RIGHT('Disaggregation Records'!$D$3:$D$80,255),0))="","",INDEX('Disaggregation Records'!$H$3:$H$80,MATCH(RIGHT(L224,255),RIGHT('Disaggregation Records'!$D$3:$D$80,255),0))),"")</f>
        <v/>
      </c>
      <c r="Q224" s="52">
        <f t="shared" ref="Q224" si="339">Q222+1</f>
        <v>1298</v>
      </c>
    </row>
    <row r="225" spans="1:17" ht="20.100000000000001" customHeight="1" x14ac:dyDescent="0.25">
      <c r="B225" s="602">
        <v>8.1541353383458706</v>
      </c>
      <c r="C225" s="604"/>
      <c r="D225" s="606"/>
      <c r="E225" s="606"/>
      <c r="F225" s="132"/>
      <c r="G225" s="608"/>
      <c r="H225" s="598"/>
      <c r="I225" s="600"/>
      <c r="J225" s="532"/>
      <c r="K225" s="133"/>
      <c r="L225" s="133"/>
      <c r="M225" s="133"/>
      <c r="N225" s="133"/>
      <c r="O225" s="133"/>
      <c r="Q225" s="130"/>
    </row>
    <row r="226" spans="1:17" ht="20.100000000000001" customHeight="1" x14ac:dyDescent="0.25">
      <c r="A226" s="130" t="str">
        <f t="shared" ref="A226" ca="1" si="340">INDIRECT("'update Helper'!C"&amp;Q226)</f>
        <v>a1GDm000000XmmWMAS</v>
      </c>
      <c r="B226" s="601">
        <v>11</v>
      </c>
      <c r="C226" s="603" t="str">
        <f>IFERROR(VLOOKUP(B226,'Impact Indicators - Section B '!$A$9:$AC$68,29,FALSE),"")</f>
        <v/>
      </c>
      <c r="D226" s="605" t="str">
        <f t="shared" ref="D226" si="341">M226</f>
        <v/>
      </c>
      <c r="E226" s="605" t="str">
        <f t="shared" ref="E226" si="342">N226</f>
        <v/>
      </c>
      <c r="F226" s="131"/>
      <c r="G226" s="607" t="str">
        <f ca="1">IF(OR(INDIRECT("'update Helper'!E"&amp;Q226)="",F226&lt;&gt;0,F227&lt;&gt;0),IF(IFERROR((F226/F227),"")="","",(F226/F227)),INDIRECT("'update Helper'!E"&amp;Q226)/100)</f>
        <v/>
      </c>
      <c r="H226" s="597"/>
      <c r="I226" s="599"/>
      <c r="J226" s="531"/>
      <c r="K226" s="130">
        <f>IF(AND(EXACT(C226,C224),C224&lt;&gt;0),K224+1,0)</f>
        <v>58</v>
      </c>
      <c r="L226" s="130" t="str">
        <f>IF(C226&lt;&gt;"",C226&amp;"-"&amp;K226,"")</f>
        <v/>
      </c>
      <c r="M226" s="130" t="str">
        <f t="array" ref="M226">IFERROR(IF(INDEX('Disaggregation Records'!$E$3:$E$80,MATCH(RIGHT(L226,255),RIGHT('Disaggregation Records'!$D$3:$D$80,255),0))="","",INDEX('Disaggregation Records'!$E$3:$E$80,MATCH(RIGHT(L226,255),RIGHT('Disaggregation Records'!$D$3:$D$80,255),0))),"")</f>
        <v/>
      </c>
      <c r="N226" s="130" t="str">
        <f t="array" ref="N226">IFERROR(IF(INDEX('Disaggregation Records'!$F$3:$F$80,MATCH(RIGHT(L226,255),RIGHT('Disaggregation Records'!$D$3:$D$80,255),0))="","",INDEX('Disaggregation Records'!$F$3:$F$80,MATCH(RIGHT(L226,255),RIGHT('Disaggregation Records'!$D$3:$D$80,255),0))),"")</f>
        <v/>
      </c>
      <c r="O226" s="130" t="str">
        <f t="array" ref="O226">IFERROR(IF(INDEX('Disaggregation Records'!$H$3:$H$80,MATCH(RIGHT(L226,255),RIGHT('Disaggregation Records'!$D$3:$D$80,255),0))="","",INDEX('Disaggregation Records'!$H$3:$H$80,MATCH(RIGHT(L226,255),RIGHT('Disaggregation Records'!$D$3:$D$80,255),0))),"")</f>
        <v/>
      </c>
      <c r="P226" s="130"/>
      <c r="Q226" s="52">
        <f t="shared" ref="Q226" si="343">Q224+1</f>
        <v>1299</v>
      </c>
    </row>
    <row r="227" spans="1:17" ht="20.100000000000001" customHeight="1" x14ac:dyDescent="0.25">
      <c r="A227" s="130"/>
      <c r="B227" s="602">
        <v>8.1541353383458706</v>
      </c>
      <c r="C227" s="604"/>
      <c r="D227" s="606"/>
      <c r="E227" s="606"/>
      <c r="F227" s="132"/>
      <c r="G227" s="608"/>
      <c r="H227" s="598"/>
      <c r="I227" s="600"/>
      <c r="J227" s="532"/>
      <c r="K227" s="133"/>
      <c r="L227" s="133"/>
      <c r="M227" s="133"/>
      <c r="N227" s="133"/>
      <c r="O227" s="133"/>
      <c r="P227" s="133"/>
      <c r="Q227" s="130"/>
    </row>
    <row r="228" spans="1:17" ht="20.100000000000001" customHeight="1" x14ac:dyDescent="0.25">
      <c r="A228" s="130" t="str">
        <f t="shared" ca="1" si="308"/>
        <v>a1GDm000000XmmXMAS</v>
      </c>
      <c r="B228" s="601">
        <v>11</v>
      </c>
      <c r="C228" s="603" t="str">
        <f>IFERROR(VLOOKUP(B228,'Impact Indicators - Section B '!$A$9:$AC$68,29,FALSE),"")</f>
        <v/>
      </c>
      <c r="D228" s="605" t="str">
        <f t="shared" ref="D228" si="344">M228</f>
        <v/>
      </c>
      <c r="E228" s="605" t="str">
        <f t="shared" ref="E228" si="345">N228</f>
        <v/>
      </c>
      <c r="F228" s="131"/>
      <c r="G228" s="607" t="str">
        <f ca="1">IF(OR(INDIRECT("'update Helper'!E"&amp;Q228)="",F228&lt;&gt;0,F229&lt;&gt;0),IF(IFERROR((F228/F229),"")="","",(F228/F229)),INDIRECT("'update Helper'!E"&amp;Q228)/100)</f>
        <v/>
      </c>
      <c r="H228" s="597"/>
      <c r="I228" s="599"/>
      <c r="J228" s="531"/>
      <c r="K228" s="130">
        <f>IF(AND(EXACT(C228,C226),C226&lt;&gt;0),K226+1,0)</f>
        <v>59</v>
      </c>
      <c r="L228" s="130" t="str">
        <f>IF(C228&lt;&gt;"",C228&amp;"-"&amp;K228,"")</f>
        <v/>
      </c>
      <c r="M228" s="130" t="str">
        <f t="array" ref="M228">IFERROR(IF(INDEX('Disaggregation Records'!$E$3:$E$80,MATCH(RIGHT(L228,255),RIGHT('Disaggregation Records'!$D$3:$D$80,255),0))="","",INDEX('Disaggregation Records'!$E$3:$E$80,MATCH(RIGHT(L228,255),RIGHT('Disaggregation Records'!$D$3:$D$80,255),0))),"")</f>
        <v/>
      </c>
      <c r="N228" s="130" t="str">
        <f t="array" ref="N228">IFERROR(IF(INDEX('Disaggregation Records'!$F$3:$F$80,MATCH(RIGHT(L228,255),RIGHT('Disaggregation Records'!$D$3:$D$80,255),0))="","",INDEX('Disaggregation Records'!$F$3:$F$80,MATCH(RIGHT(L228,255),RIGHT('Disaggregation Records'!$D$3:$D$80,255),0))),"")</f>
        <v/>
      </c>
      <c r="O228" s="130" t="str">
        <f t="array" ref="O228">IFERROR(IF(INDEX('Disaggregation Records'!$H$3:$H$80,MATCH(RIGHT(L228,255),RIGHT('Disaggregation Records'!$D$3:$D$80,255),0))="","",INDEX('Disaggregation Records'!$H$3:$H$80,MATCH(RIGHT(L228,255),RIGHT('Disaggregation Records'!$D$3:$D$80,255),0))),"")</f>
        <v/>
      </c>
      <c r="Q228" s="52">
        <f t="shared" ref="Q228" si="346">Q226+1</f>
        <v>1300</v>
      </c>
    </row>
    <row r="229" spans="1:17" ht="20.100000000000001" customHeight="1" x14ac:dyDescent="0.25">
      <c r="B229" s="602">
        <v>8.1541353383458706</v>
      </c>
      <c r="C229" s="604"/>
      <c r="D229" s="606"/>
      <c r="E229" s="606"/>
      <c r="F229" s="132"/>
      <c r="G229" s="608"/>
      <c r="H229" s="598"/>
      <c r="I229" s="600"/>
      <c r="J229" s="532"/>
      <c r="K229" s="133"/>
      <c r="L229" s="133"/>
      <c r="M229" s="133"/>
      <c r="N229" s="133"/>
      <c r="O229" s="133"/>
      <c r="Q229" s="130"/>
    </row>
    <row r="230" spans="1:17" ht="20.100000000000001" customHeight="1" x14ac:dyDescent="0.25">
      <c r="A230" s="130" t="str">
        <f t="shared" ref="A230" ca="1" si="347">INDIRECT("'update Helper'!C"&amp;Q230)</f>
        <v>a1GDm000000XmmYMAS</v>
      </c>
      <c r="B230" s="601">
        <v>12</v>
      </c>
      <c r="C230" s="603" t="str">
        <f>IFERROR(VLOOKUP(B230,'Impact Indicators - Section B '!$A$9:$AC$68,29,FALSE),"")</f>
        <v/>
      </c>
      <c r="D230" s="605" t="str">
        <f t="shared" ref="D230" si="348">M230</f>
        <v/>
      </c>
      <c r="E230" s="605" t="str">
        <f t="shared" ref="E230" si="349">N230</f>
        <v/>
      </c>
      <c r="F230" s="131"/>
      <c r="G230" s="607" t="str">
        <f ca="1">IF(OR(INDIRECT("'update Helper'!E"&amp;Q230)="",F230&lt;&gt;0,F231&lt;&gt;0),IF(IFERROR((F230/F231),"")="","",(F230/F231)),INDIRECT("'update Helper'!E"&amp;Q230)/100)</f>
        <v/>
      </c>
      <c r="H230" s="597"/>
      <c r="I230" s="599"/>
      <c r="J230" s="531"/>
      <c r="K230" s="130">
        <f>IF(AND(EXACT(C230,C228),C228&lt;&gt;0),K228+1,0)</f>
        <v>60</v>
      </c>
      <c r="L230" s="130" t="str">
        <f>IF(C230&lt;&gt;"",C230&amp;"-"&amp;K230,"")</f>
        <v/>
      </c>
      <c r="M230" s="130" t="str">
        <f t="array" ref="M230">IFERROR(IF(INDEX('Disaggregation Records'!$E$3:$E$80,MATCH(RIGHT(L230,255),RIGHT('Disaggregation Records'!$D$3:$D$80,255),0))="","",INDEX('Disaggregation Records'!$E$3:$E$80,MATCH(RIGHT(L230,255),RIGHT('Disaggregation Records'!$D$3:$D$80,255),0))),"")</f>
        <v/>
      </c>
      <c r="N230" s="130" t="str">
        <f t="array" ref="N230">IFERROR(IF(INDEX('Disaggregation Records'!$F$3:$F$80,MATCH(RIGHT(L230,255),RIGHT('Disaggregation Records'!$D$3:$D$80,255),0))="","",INDEX('Disaggregation Records'!$F$3:$F$80,MATCH(RIGHT(L230,255),RIGHT('Disaggregation Records'!$D$3:$D$80,255),0))),"")</f>
        <v/>
      </c>
      <c r="O230" s="130" t="str">
        <f t="array" ref="O230">IFERROR(IF(INDEX('Disaggregation Records'!$H$3:$H$80,MATCH(RIGHT(L230,255),RIGHT('Disaggregation Records'!$D$3:$D$80,255),0))="","",INDEX('Disaggregation Records'!$H$3:$H$80,MATCH(RIGHT(L230,255),RIGHT('Disaggregation Records'!$D$3:$D$80,255),0))),"")</f>
        <v/>
      </c>
      <c r="P230" s="130"/>
      <c r="Q230" s="52">
        <f t="shared" ref="Q230" si="350">Q228+1</f>
        <v>1301</v>
      </c>
    </row>
    <row r="231" spans="1:17" ht="20.100000000000001" customHeight="1" x14ac:dyDescent="0.25">
      <c r="A231" s="130"/>
      <c r="B231" s="602">
        <v>8.9060150375939902</v>
      </c>
      <c r="C231" s="604"/>
      <c r="D231" s="606"/>
      <c r="E231" s="606"/>
      <c r="F231" s="132"/>
      <c r="G231" s="608"/>
      <c r="H231" s="598"/>
      <c r="I231" s="600"/>
      <c r="J231" s="532"/>
      <c r="K231" s="133"/>
      <c r="L231" s="133"/>
      <c r="M231" s="133"/>
      <c r="N231" s="133"/>
      <c r="O231" s="133"/>
      <c r="P231" s="133"/>
      <c r="Q231" s="130"/>
    </row>
    <row r="232" spans="1:17" ht="20.100000000000001" customHeight="1" x14ac:dyDescent="0.25">
      <c r="A232" s="130" t="str">
        <f t="shared" ca="1" si="308"/>
        <v>a1GDm000000XmmZMAS</v>
      </c>
      <c r="B232" s="601">
        <v>12</v>
      </c>
      <c r="C232" s="603" t="str">
        <f>IFERROR(VLOOKUP(B232,'Impact Indicators - Section B '!$A$9:$AC$68,29,FALSE),"")</f>
        <v/>
      </c>
      <c r="D232" s="605" t="str">
        <f t="shared" ref="D232" si="351">M232</f>
        <v/>
      </c>
      <c r="E232" s="605" t="str">
        <f t="shared" ref="E232" si="352">N232</f>
        <v/>
      </c>
      <c r="F232" s="131"/>
      <c r="G232" s="607" t="str">
        <f ca="1">IF(OR(INDIRECT("'update Helper'!E"&amp;Q232)="",F232&lt;&gt;0,F233&lt;&gt;0),IF(IFERROR((F232/F233),"")="","",(F232/F233)),INDIRECT("'update Helper'!E"&amp;Q232)/100)</f>
        <v/>
      </c>
      <c r="H232" s="597"/>
      <c r="I232" s="599"/>
      <c r="J232" s="531"/>
      <c r="K232" s="130">
        <f>IF(AND(EXACT(C232,C230),C230&lt;&gt;0),K230+1,0)</f>
        <v>61</v>
      </c>
      <c r="L232" s="130" t="str">
        <f>IF(C232&lt;&gt;"",C232&amp;"-"&amp;K232,"")</f>
        <v/>
      </c>
      <c r="M232" s="130" t="str">
        <f t="array" ref="M232">IFERROR(IF(INDEX('Disaggregation Records'!$E$3:$E$80,MATCH(RIGHT(L232,255),RIGHT('Disaggregation Records'!$D$3:$D$80,255),0))="","",INDEX('Disaggregation Records'!$E$3:$E$80,MATCH(RIGHT(L232,255),RIGHT('Disaggregation Records'!$D$3:$D$80,255),0))),"")</f>
        <v/>
      </c>
      <c r="N232" s="130" t="str">
        <f t="array" ref="N232">IFERROR(IF(INDEX('Disaggregation Records'!$F$3:$F$80,MATCH(RIGHT(L232,255),RIGHT('Disaggregation Records'!$D$3:$D$80,255),0))="","",INDEX('Disaggregation Records'!$F$3:$F$80,MATCH(RIGHT(L232,255),RIGHT('Disaggregation Records'!$D$3:$D$80,255),0))),"")</f>
        <v/>
      </c>
      <c r="O232" s="130" t="str">
        <f t="array" ref="O232">IFERROR(IF(INDEX('Disaggregation Records'!$H$3:$H$80,MATCH(RIGHT(L232,255),RIGHT('Disaggregation Records'!$D$3:$D$80,255),0))="","",INDEX('Disaggregation Records'!$H$3:$H$80,MATCH(RIGHT(L232,255),RIGHT('Disaggregation Records'!$D$3:$D$80,255),0))),"")</f>
        <v/>
      </c>
      <c r="Q232" s="52">
        <f t="shared" ref="Q232" si="353">Q230+1</f>
        <v>1302</v>
      </c>
    </row>
    <row r="233" spans="1:17" ht="20.100000000000001" customHeight="1" x14ac:dyDescent="0.25">
      <c r="B233" s="602">
        <v>8.9060150375939902</v>
      </c>
      <c r="C233" s="604"/>
      <c r="D233" s="606"/>
      <c r="E233" s="606"/>
      <c r="F233" s="132"/>
      <c r="G233" s="608"/>
      <c r="H233" s="598"/>
      <c r="I233" s="600"/>
      <c r="J233" s="532"/>
      <c r="K233" s="133"/>
      <c r="L233" s="133"/>
      <c r="M233" s="133"/>
      <c r="N233" s="133"/>
      <c r="O233" s="133"/>
      <c r="Q233" s="130"/>
    </row>
    <row r="234" spans="1:17" ht="20.100000000000001" customHeight="1" x14ac:dyDescent="0.25">
      <c r="A234" s="130" t="str">
        <f t="shared" ref="A234" ca="1" si="354">INDIRECT("'update Helper'!C"&amp;Q234)</f>
        <v>a1GDm000000XmmaMAC</v>
      </c>
      <c r="B234" s="601">
        <v>12</v>
      </c>
      <c r="C234" s="603" t="str">
        <f>IFERROR(VLOOKUP(B234,'Impact Indicators - Section B '!$A$9:$AC$68,29,FALSE),"")</f>
        <v/>
      </c>
      <c r="D234" s="605" t="str">
        <f t="shared" ref="D234" si="355">M234</f>
        <v/>
      </c>
      <c r="E234" s="605" t="str">
        <f t="shared" ref="E234" si="356">N234</f>
        <v/>
      </c>
      <c r="F234" s="131"/>
      <c r="G234" s="607" t="str">
        <f ca="1">IF(OR(INDIRECT("'update Helper'!E"&amp;Q234)="",F234&lt;&gt;0,F235&lt;&gt;0),IF(IFERROR((F234/F235),"")="","",(F234/F235)),INDIRECT("'update Helper'!E"&amp;Q234)/100)</f>
        <v/>
      </c>
      <c r="H234" s="597"/>
      <c r="I234" s="599"/>
      <c r="J234" s="531"/>
      <c r="K234" s="130">
        <f>IF(AND(EXACT(C234,C232),C232&lt;&gt;0),K232+1,0)</f>
        <v>62</v>
      </c>
      <c r="L234" s="130" t="str">
        <f>IF(C234&lt;&gt;"",C234&amp;"-"&amp;K234,"")</f>
        <v/>
      </c>
      <c r="M234" s="130" t="str">
        <f t="array" ref="M234">IFERROR(IF(INDEX('Disaggregation Records'!$E$3:$E$80,MATCH(RIGHT(L234,255),RIGHT('Disaggregation Records'!$D$3:$D$80,255),0))="","",INDEX('Disaggregation Records'!$E$3:$E$80,MATCH(RIGHT(L234,255),RIGHT('Disaggregation Records'!$D$3:$D$80,255),0))),"")</f>
        <v/>
      </c>
      <c r="N234" s="130" t="str">
        <f t="array" ref="N234">IFERROR(IF(INDEX('Disaggregation Records'!$F$3:$F$80,MATCH(RIGHT(L234,255),RIGHT('Disaggregation Records'!$D$3:$D$80,255),0))="","",INDEX('Disaggregation Records'!$F$3:$F$80,MATCH(RIGHT(L234,255),RIGHT('Disaggregation Records'!$D$3:$D$80,255),0))),"")</f>
        <v/>
      </c>
      <c r="O234" s="130" t="str">
        <f t="array" ref="O234">IFERROR(IF(INDEX('Disaggregation Records'!$H$3:$H$80,MATCH(RIGHT(L234,255),RIGHT('Disaggregation Records'!$D$3:$D$80,255),0))="","",INDEX('Disaggregation Records'!$H$3:$H$80,MATCH(RIGHT(L234,255),RIGHT('Disaggregation Records'!$D$3:$D$80,255),0))),"")</f>
        <v/>
      </c>
      <c r="P234" s="130"/>
      <c r="Q234" s="52">
        <f t="shared" ref="Q234" si="357">Q232+1</f>
        <v>1303</v>
      </c>
    </row>
    <row r="235" spans="1:17" ht="20.100000000000001" customHeight="1" x14ac:dyDescent="0.25">
      <c r="A235" s="130"/>
      <c r="B235" s="602">
        <v>8.9060150375939902</v>
      </c>
      <c r="C235" s="604"/>
      <c r="D235" s="606"/>
      <c r="E235" s="606"/>
      <c r="F235" s="132"/>
      <c r="G235" s="608"/>
      <c r="H235" s="598"/>
      <c r="I235" s="600"/>
      <c r="J235" s="532"/>
      <c r="K235" s="133"/>
      <c r="L235" s="133"/>
      <c r="M235" s="133"/>
      <c r="N235" s="133"/>
      <c r="O235" s="133"/>
      <c r="P235" s="133"/>
      <c r="Q235" s="130"/>
    </row>
    <row r="236" spans="1:17" ht="20.100000000000001" customHeight="1" x14ac:dyDescent="0.25">
      <c r="A236" s="130" t="str">
        <f t="shared" ca="1" si="308"/>
        <v>a1GDm000000XmmbMAC</v>
      </c>
      <c r="B236" s="601">
        <v>12</v>
      </c>
      <c r="C236" s="603" t="str">
        <f>IFERROR(VLOOKUP(B236,'Impact Indicators - Section B '!$A$9:$AC$68,29,FALSE),"")</f>
        <v/>
      </c>
      <c r="D236" s="605" t="str">
        <f t="shared" ref="D236" si="358">M236</f>
        <v/>
      </c>
      <c r="E236" s="605" t="str">
        <f t="shared" ref="E236" si="359">N236</f>
        <v/>
      </c>
      <c r="F236" s="131"/>
      <c r="G236" s="607" t="str">
        <f ca="1">IF(OR(INDIRECT("'update Helper'!E"&amp;Q236)="",F236&lt;&gt;0,F237&lt;&gt;0),IF(IFERROR((F236/F237),"")="","",(F236/F237)),INDIRECT("'update Helper'!E"&amp;Q236)/100)</f>
        <v/>
      </c>
      <c r="H236" s="597"/>
      <c r="I236" s="599"/>
      <c r="J236" s="531"/>
      <c r="K236" s="130">
        <f>IF(AND(EXACT(C236,C234),C234&lt;&gt;0),K234+1,0)</f>
        <v>63</v>
      </c>
      <c r="L236" s="130" t="str">
        <f>IF(C236&lt;&gt;"",C236&amp;"-"&amp;K236,"")</f>
        <v/>
      </c>
      <c r="M236" s="130" t="str">
        <f t="array" ref="M236">IFERROR(IF(INDEX('Disaggregation Records'!$E$3:$E$80,MATCH(RIGHT(L236,255),RIGHT('Disaggregation Records'!$D$3:$D$80,255),0))="","",INDEX('Disaggregation Records'!$E$3:$E$80,MATCH(RIGHT(L236,255),RIGHT('Disaggregation Records'!$D$3:$D$80,255),0))),"")</f>
        <v/>
      </c>
      <c r="N236" s="130" t="str">
        <f t="array" ref="N236">IFERROR(IF(INDEX('Disaggregation Records'!$F$3:$F$80,MATCH(RIGHT(L236,255),RIGHT('Disaggregation Records'!$D$3:$D$80,255),0))="","",INDEX('Disaggregation Records'!$F$3:$F$80,MATCH(RIGHT(L236,255),RIGHT('Disaggregation Records'!$D$3:$D$80,255),0))),"")</f>
        <v/>
      </c>
      <c r="O236" s="130" t="str">
        <f t="array" ref="O236">IFERROR(IF(INDEX('Disaggregation Records'!$H$3:$H$80,MATCH(RIGHT(L236,255),RIGHT('Disaggregation Records'!$D$3:$D$80,255),0))="","",INDEX('Disaggregation Records'!$H$3:$H$80,MATCH(RIGHT(L236,255),RIGHT('Disaggregation Records'!$D$3:$D$80,255),0))),"")</f>
        <v/>
      </c>
      <c r="Q236" s="52">
        <f t="shared" ref="Q236" si="360">Q234+1</f>
        <v>1304</v>
      </c>
    </row>
    <row r="237" spans="1:17" ht="20.100000000000001" customHeight="1" x14ac:dyDescent="0.25">
      <c r="B237" s="602">
        <v>8.9060150375939902</v>
      </c>
      <c r="C237" s="604"/>
      <c r="D237" s="606"/>
      <c r="E237" s="606"/>
      <c r="F237" s="132"/>
      <c r="G237" s="608"/>
      <c r="H237" s="598"/>
      <c r="I237" s="600"/>
      <c r="J237" s="532"/>
      <c r="K237" s="133"/>
      <c r="L237" s="133"/>
      <c r="M237" s="133"/>
      <c r="N237" s="133"/>
      <c r="O237" s="133"/>
      <c r="Q237" s="130"/>
    </row>
    <row r="238" spans="1:17" ht="20.100000000000001" customHeight="1" x14ac:dyDescent="0.25">
      <c r="A238" s="130" t="str">
        <f t="shared" ref="A238" ca="1" si="361">INDIRECT("'update Helper'!C"&amp;Q238)</f>
        <v>a1GDm000000XmmcMAC</v>
      </c>
      <c r="B238" s="601">
        <v>12</v>
      </c>
      <c r="C238" s="603" t="str">
        <f>IFERROR(VLOOKUP(B238,'Impact Indicators - Section B '!$A$9:$AC$68,29,FALSE),"")</f>
        <v/>
      </c>
      <c r="D238" s="605" t="str">
        <f t="shared" ref="D238" si="362">M238</f>
        <v/>
      </c>
      <c r="E238" s="605" t="str">
        <f t="shared" ref="E238" si="363">N238</f>
        <v/>
      </c>
      <c r="F238" s="131"/>
      <c r="G238" s="607" t="str">
        <f ca="1">IF(OR(INDIRECT("'update Helper'!E"&amp;Q238)="",F238&lt;&gt;0,F239&lt;&gt;0),IF(IFERROR((F238/F239),"")="","",(F238/F239)),INDIRECT("'update Helper'!E"&amp;Q238)/100)</f>
        <v/>
      </c>
      <c r="H238" s="597"/>
      <c r="I238" s="599"/>
      <c r="J238" s="531"/>
      <c r="K238" s="130">
        <f>IF(AND(EXACT(C238,C236),C236&lt;&gt;0),K236+1,0)</f>
        <v>64</v>
      </c>
      <c r="L238" s="130" t="str">
        <f>IF(C238&lt;&gt;"",C238&amp;"-"&amp;K238,"")</f>
        <v/>
      </c>
      <c r="M238" s="130" t="str">
        <f t="array" ref="M238">IFERROR(IF(INDEX('Disaggregation Records'!$E$3:$E$80,MATCH(RIGHT(L238,255),RIGHT('Disaggregation Records'!$D$3:$D$80,255),0))="","",INDEX('Disaggregation Records'!$E$3:$E$80,MATCH(RIGHT(L238,255),RIGHT('Disaggregation Records'!$D$3:$D$80,255),0))),"")</f>
        <v/>
      </c>
      <c r="N238" s="130" t="str">
        <f t="array" ref="N238">IFERROR(IF(INDEX('Disaggregation Records'!$F$3:$F$80,MATCH(RIGHT(L238,255),RIGHT('Disaggregation Records'!$D$3:$D$80,255),0))="","",INDEX('Disaggregation Records'!$F$3:$F$80,MATCH(RIGHT(L238,255),RIGHT('Disaggregation Records'!$D$3:$D$80,255),0))),"")</f>
        <v/>
      </c>
      <c r="O238" s="130" t="str">
        <f t="array" ref="O238">IFERROR(IF(INDEX('Disaggregation Records'!$H$3:$H$80,MATCH(RIGHT(L238,255),RIGHT('Disaggregation Records'!$D$3:$D$80,255),0))="","",INDEX('Disaggregation Records'!$H$3:$H$80,MATCH(RIGHT(L238,255),RIGHT('Disaggregation Records'!$D$3:$D$80,255),0))),"")</f>
        <v/>
      </c>
      <c r="P238" s="130"/>
      <c r="Q238" s="52">
        <f t="shared" ref="Q238" si="364">Q236+1</f>
        <v>1305</v>
      </c>
    </row>
    <row r="239" spans="1:17" ht="20.100000000000001" customHeight="1" x14ac:dyDescent="0.25">
      <c r="A239" s="130"/>
      <c r="B239" s="602">
        <v>8.9060150375939902</v>
      </c>
      <c r="C239" s="604"/>
      <c r="D239" s="606"/>
      <c r="E239" s="606"/>
      <c r="F239" s="132"/>
      <c r="G239" s="608"/>
      <c r="H239" s="598"/>
      <c r="I239" s="600"/>
      <c r="J239" s="532"/>
      <c r="K239" s="133"/>
      <c r="L239" s="133"/>
      <c r="M239" s="133"/>
      <c r="N239" s="133"/>
      <c r="O239" s="133"/>
      <c r="P239" s="133"/>
      <c r="Q239" s="130"/>
    </row>
    <row r="240" spans="1:17" ht="20.100000000000001" customHeight="1" x14ac:dyDescent="0.25">
      <c r="A240" s="130" t="str">
        <f t="shared" ca="1" si="308"/>
        <v>a1GDm000000XmmdMAC</v>
      </c>
      <c r="B240" s="601">
        <v>12</v>
      </c>
      <c r="C240" s="603" t="str">
        <f>IFERROR(VLOOKUP(B240,'Impact Indicators - Section B '!$A$9:$AC$68,29,FALSE),"")</f>
        <v/>
      </c>
      <c r="D240" s="605" t="str">
        <f t="shared" ref="D240" si="365">M240</f>
        <v/>
      </c>
      <c r="E240" s="605" t="str">
        <f t="shared" ref="E240" si="366">N240</f>
        <v/>
      </c>
      <c r="F240" s="131"/>
      <c r="G240" s="607" t="str">
        <f ca="1">IF(OR(INDIRECT("'update Helper'!E"&amp;Q240)="",F240&lt;&gt;0,F241&lt;&gt;0),IF(IFERROR((F240/F241),"")="","",(F240/F241)),INDIRECT("'update Helper'!E"&amp;Q240)/100)</f>
        <v/>
      </c>
      <c r="H240" s="597"/>
      <c r="I240" s="599"/>
      <c r="J240" s="531"/>
      <c r="K240" s="130">
        <f>IF(AND(EXACT(C240,C238),C238&lt;&gt;0),K238+1,0)</f>
        <v>65</v>
      </c>
      <c r="L240" s="130" t="str">
        <f>IF(C240&lt;&gt;"",C240&amp;"-"&amp;K240,"")</f>
        <v/>
      </c>
      <c r="M240" s="130" t="str">
        <f t="array" ref="M240">IFERROR(IF(INDEX('Disaggregation Records'!$E$3:$E$80,MATCH(RIGHT(L240,255),RIGHT('Disaggregation Records'!$D$3:$D$80,255),0))="","",INDEX('Disaggregation Records'!$E$3:$E$80,MATCH(RIGHT(L240,255),RIGHT('Disaggregation Records'!$D$3:$D$80,255),0))),"")</f>
        <v/>
      </c>
      <c r="N240" s="130" t="str">
        <f t="array" ref="N240">IFERROR(IF(INDEX('Disaggregation Records'!$F$3:$F$80,MATCH(RIGHT(L240,255),RIGHT('Disaggregation Records'!$D$3:$D$80,255),0))="","",INDEX('Disaggregation Records'!$F$3:$F$80,MATCH(RIGHT(L240,255),RIGHT('Disaggregation Records'!$D$3:$D$80,255),0))),"")</f>
        <v/>
      </c>
      <c r="O240" s="130" t="str">
        <f t="array" ref="O240">IFERROR(IF(INDEX('Disaggregation Records'!$H$3:$H$80,MATCH(RIGHT(L240,255),RIGHT('Disaggregation Records'!$D$3:$D$80,255),0))="","",INDEX('Disaggregation Records'!$H$3:$H$80,MATCH(RIGHT(L240,255),RIGHT('Disaggregation Records'!$D$3:$D$80,255),0))),"")</f>
        <v/>
      </c>
      <c r="Q240" s="52">
        <f t="shared" ref="Q240" si="367">Q238+1</f>
        <v>1306</v>
      </c>
    </row>
    <row r="241" spans="1:17" ht="20.100000000000001" customHeight="1" x14ac:dyDescent="0.25">
      <c r="B241" s="602">
        <v>8.9060150375939902</v>
      </c>
      <c r="C241" s="604"/>
      <c r="D241" s="606"/>
      <c r="E241" s="606"/>
      <c r="F241" s="132"/>
      <c r="G241" s="608"/>
      <c r="H241" s="598"/>
      <c r="I241" s="600"/>
      <c r="J241" s="532"/>
      <c r="K241" s="133"/>
      <c r="L241" s="133"/>
      <c r="M241" s="133"/>
      <c r="N241" s="133"/>
      <c r="O241" s="133"/>
      <c r="Q241" s="130"/>
    </row>
    <row r="242" spans="1:17" ht="20.100000000000001" customHeight="1" x14ac:dyDescent="0.25">
      <c r="A242" s="130" t="str">
        <f t="shared" ref="A242" ca="1" si="368">INDIRECT("'update Helper'!C"&amp;Q242)</f>
        <v>a1GDm000000XmmeMAC</v>
      </c>
      <c r="B242" s="601">
        <v>12</v>
      </c>
      <c r="C242" s="603" t="str">
        <f>IFERROR(VLOOKUP(B242,'Impact Indicators - Section B '!$A$9:$AC$68,29,FALSE),"")</f>
        <v/>
      </c>
      <c r="D242" s="605" t="str">
        <f t="shared" ref="D242" si="369">M242</f>
        <v/>
      </c>
      <c r="E242" s="605" t="str">
        <f t="shared" ref="E242" si="370">N242</f>
        <v/>
      </c>
      <c r="F242" s="131"/>
      <c r="G242" s="607" t="str">
        <f ca="1">IF(OR(INDIRECT("'update Helper'!E"&amp;Q242)="",F242&lt;&gt;0,F243&lt;&gt;0),IF(IFERROR((F242/F243),"")="","",(F242/F243)),INDIRECT("'update Helper'!E"&amp;Q242)/100)</f>
        <v/>
      </c>
      <c r="H242" s="597"/>
      <c r="I242" s="599"/>
      <c r="J242" s="531"/>
      <c r="K242" s="130">
        <f>IF(AND(EXACT(C242,C240),C240&lt;&gt;0),K240+1,0)</f>
        <v>66</v>
      </c>
      <c r="L242" s="130" t="str">
        <f>IF(C242&lt;&gt;"",C242&amp;"-"&amp;K242,"")</f>
        <v/>
      </c>
      <c r="M242" s="130" t="str">
        <f t="array" ref="M242">IFERROR(IF(INDEX('Disaggregation Records'!$E$3:$E$80,MATCH(RIGHT(L242,255),RIGHT('Disaggregation Records'!$D$3:$D$80,255),0))="","",INDEX('Disaggregation Records'!$E$3:$E$80,MATCH(RIGHT(L242,255),RIGHT('Disaggregation Records'!$D$3:$D$80,255),0))),"")</f>
        <v/>
      </c>
      <c r="N242" s="130" t="str">
        <f t="array" ref="N242">IFERROR(IF(INDEX('Disaggregation Records'!$F$3:$F$80,MATCH(RIGHT(L242,255),RIGHT('Disaggregation Records'!$D$3:$D$80,255),0))="","",INDEX('Disaggregation Records'!$F$3:$F$80,MATCH(RIGHT(L242,255),RIGHT('Disaggregation Records'!$D$3:$D$80,255),0))),"")</f>
        <v/>
      </c>
      <c r="O242" s="130" t="str">
        <f t="array" ref="O242">IFERROR(IF(INDEX('Disaggregation Records'!$H$3:$H$80,MATCH(RIGHT(L242,255),RIGHT('Disaggregation Records'!$D$3:$D$80,255),0))="","",INDEX('Disaggregation Records'!$H$3:$H$80,MATCH(RIGHT(L242,255),RIGHT('Disaggregation Records'!$D$3:$D$80,255),0))),"")</f>
        <v/>
      </c>
      <c r="P242" s="130"/>
      <c r="Q242" s="52">
        <f t="shared" ref="Q242" si="371">Q240+1</f>
        <v>1307</v>
      </c>
    </row>
    <row r="243" spans="1:17" ht="20.100000000000001" customHeight="1" x14ac:dyDescent="0.25">
      <c r="A243" s="130"/>
      <c r="B243" s="602">
        <v>8.9060150375939902</v>
      </c>
      <c r="C243" s="604"/>
      <c r="D243" s="606"/>
      <c r="E243" s="606"/>
      <c r="F243" s="132"/>
      <c r="G243" s="608"/>
      <c r="H243" s="598"/>
      <c r="I243" s="600"/>
      <c r="J243" s="532"/>
      <c r="K243" s="133"/>
      <c r="L243" s="133"/>
      <c r="M243" s="133"/>
      <c r="N243" s="133"/>
      <c r="O243" s="133"/>
      <c r="P243" s="133"/>
      <c r="Q243" s="130"/>
    </row>
    <row r="244" spans="1:17" ht="20.100000000000001" customHeight="1" x14ac:dyDescent="0.25">
      <c r="A244" s="130" t="str">
        <f t="shared" ca="1" si="308"/>
        <v>a1GDm000000XmmfMAC</v>
      </c>
      <c r="B244" s="601">
        <v>12</v>
      </c>
      <c r="C244" s="603" t="str">
        <f>IFERROR(VLOOKUP(B244,'Impact Indicators - Section B '!$A$9:$AC$68,29,FALSE),"")</f>
        <v/>
      </c>
      <c r="D244" s="605" t="str">
        <f t="shared" ref="D244" si="372">M244</f>
        <v/>
      </c>
      <c r="E244" s="605" t="str">
        <f t="shared" ref="E244" si="373">N244</f>
        <v/>
      </c>
      <c r="F244" s="131"/>
      <c r="G244" s="607" t="str">
        <f ca="1">IF(OR(INDIRECT("'update Helper'!E"&amp;Q244)="",F244&lt;&gt;0,F245&lt;&gt;0),IF(IFERROR((F244/F245),"")="","",(F244/F245)),INDIRECT("'update Helper'!E"&amp;Q244)/100)</f>
        <v/>
      </c>
      <c r="H244" s="597"/>
      <c r="I244" s="599"/>
      <c r="J244" s="531"/>
      <c r="K244" s="130">
        <f>IF(AND(EXACT(C244,C242),C242&lt;&gt;0),K242+1,0)</f>
        <v>67</v>
      </c>
      <c r="L244" s="130" t="str">
        <f>IF(C244&lt;&gt;"",C244&amp;"-"&amp;K244,"")</f>
        <v/>
      </c>
      <c r="M244" s="130" t="str">
        <f t="array" ref="M244">IFERROR(IF(INDEX('Disaggregation Records'!$E$3:$E$80,MATCH(RIGHT(L244,255),RIGHT('Disaggregation Records'!$D$3:$D$80,255),0))="","",INDEX('Disaggregation Records'!$E$3:$E$80,MATCH(RIGHT(L244,255),RIGHT('Disaggregation Records'!$D$3:$D$80,255),0))),"")</f>
        <v/>
      </c>
      <c r="N244" s="130" t="str">
        <f t="array" ref="N244">IFERROR(IF(INDEX('Disaggregation Records'!$F$3:$F$80,MATCH(RIGHT(L244,255),RIGHT('Disaggregation Records'!$D$3:$D$80,255),0))="","",INDEX('Disaggregation Records'!$F$3:$F$80,MATCH(RIGHT(L244,255),RIGHT('Disaggregation Records'!$D$3:$D$80,255),0))),"")</f>
        <v/>
      </c>
      <c r="O244" s="130" t="str">
        <f t="array" ref="O244">IFERROR(IF(INDEX('Disaggregation Records'!$H$3:$H$80,MATCH(RIGHT(L244,255),RIGHT('Disaggregation Records'!$D$3:$D$80,255),0))="","",INDEX('Disaggregation Records'!$H$3:$H$80,MATCH(RIGHT(L244,255),RIGHT('Disaggregation Records'!$D$3:$D$80,255),0))),"")</f>
        <v/>
      </c>
      <c r="Q244" s="52">
        <f t="shared" ref="Q244" si="374">Q242+1</f>
        <v>1308</v>
      </c>
    </row>
    <row r="245" spans="1:17" ht="20.100000000000001" customHeight="1" x14ac:dyDescent="0.25">
      <c r="B245" s="602">
        <v>8.9060150375939902</v>
      </c>
      <c r="C245" s="604"/>
      <c r="D245" s="606"/>
      <c r="E245" s="606"/>
      <c r="F245" s="132"/>
      <c r="G245" s="608"/>
      <c r="H245" s="598"/>
      <c r="I245" s="600"/>
      <c r="J245" s="532"/>
      <c r="K245" s="133"/>
      <c r="L245" s="133"/>
      <c r="M245" s="133"/>
      <c r="N245" s="133"/>
      <c r="O245" s="133"/>
      <c r="Q245" s="130"/>
    </row>
    <row r="246" spans="1:17" ht="20.100000000000001" customHeight="1" x14ac:dyDescent="0.25">
      <c r="A246" s="130" t="str">
        <f t="shared" ref="A246" ca="1" si="375">INDIRECT("'update Helper'!C"&amp;Q246)</f>
        <v>a1GDm000000XmmgMAC</v>
      </c>
      <c r="B246" s="601">
        <v>12</v>
      </c>
      <c r="C246" s="603" t="str">
        <f>IFERROR(VLOOKUP(B246,'Impact Indicators - Section B '!$A$9:$AC$68,29,FALSE),"")</f>
        <v/>
      </c>
      <c r="D246" s="605" t="str">
        <f t="shared" ref="D246" si="376">M246</f>
        <v/>
      </c>
      <c r="E246" s="605" t="str">
        <f t="shared" ref="E246" si="377">N246</f>
        <v/>
      </c>
      <c r="F246" s="131"/>
      <c r="G246" s="607" t="str">
        <f ca="1">IF(OR(INDIRECT("'update Helper'!E"&amp;Q246)="",F246&lt;&gt;0,F247&lt;&gt;0),IF(IFERROR((F246/F247),"")="","",(F246/F247)),INDIRECT("'update Helper'!E"&amp;Q246)/100)</f>
        <v/>
      </c>
      <c r="H246" s="597"/>
      <c r="I246" s="599"/>
      <c r="J246" s="531"/>
      <c r="K246" s="130">
        <f>IF(AND(EXACT(C246,C244),C244&lt;&gt;0),K244+1,0)</f>
        <v>68</v>
      </c>
      <c r="L246" s="130" t="str">
        <f>IF(C246&lt;&gt;"",C246&amp;"-"&amp;K246,"")</f>
        <v/>
      </c>
      <c r="M246" s="130" t="str">
        <f t="array" ref="M246">IFERROR(IF(INDEX('Disaggregation Records'!$E$3:$E$80,MATCH(RIGHT(L246,255),RIGHT('Disaggregation Records'!$D$3:$D$80,255),0))="","",INDEX('Disaggregation Records'!$E$3:$E$80,MATCH(RIGHT(L246,255),RIGHT('Disaggregation Records'!$D$3:$D$80,255),0))),"")</f>
        <v/>
      </c>
      <c r="N246" s="130" t="str">
        <f t="array" ref="N246">IFERROR(IF(INDEX('Disaggregation Records'!$F$3:$F$80,MATCH(RIGHT(L246,255),RIGHT('Disaggregation Records'!$D$3:$D$80,255),0))="","",INDEX('Disaggregation Records'!$F$3:$F$80,MATCH(RIGHT(L246,255),RIGHT('Disaggregation Records'!$D$3:$D$80,255),0))),"")</f>
        <v/>
      </c>
      <c r="O246" s="130" t="str">
        <f t="array" ref="O246">IFERROR(IF(INDEX('Disaggregation Records'!$H$3:$H$80,MATCH(RIGHT(L246,255),RIGHT('Disaggregation Records'!$D$3:$D$80,255),0))="","",INDEX('Disaggregation Records'!$H$3:$H$80,MATCH(RIGHT(L246,255),RIGHT('Disaggregation Records'!$D$3:$D$80,255),0))),"")</f>
        <v/>
      </c>
      <c r="P246" s="130"/>
      <c r="Q246" s="52">
        <f t="shared" ref="Q246" si="378">Q244+1</f>
        <v>1309</v>
      </c>
    </row>
    <row r="247" spans="1:17" ht="20.100000000000001" customHeight="1" x14ac:dyDescent="0.25">
      <c r="A247" s="130"/>
      <c r="B247" s="602">
        <v>8.9060150375939902</v>
      </c>
      <c r="C247" s="604"/>
      <c r="D247" s="606"/>
      <c r="E247" s="606"/>
      <c r="F247" s="132"/>
      <c r="G247" s="608"/>
      <c r="H247" s="598"/>
      <c r="I247" s="600"/>
      <c r="J247" s="532"/>
      <c r="K247" s="133"/>
      <c r="L247" s="133"/>
      <c r="M247" s="133"/>
      <c r="N247" s="133"/>
      <c r="O247" s="133"/>
      <c r="P247" s="133"/>
      <c r="Q247" s="130"/>
    </row>
    <row r="248" spans="1:17" ht="20.100000000000001" customHeight="1" x14ac:dyDescent="0.25">
      <c r="A248" s="130" t="str">
        <f t="shared" ca="1" si="308"/>
        <v>a1GDm000000XmmhMAC</v>
      </c>
      <c r="B248" s="601">
        <v>12</v>
      </c>
      <c r="C248" s="603" t="str">
        <f>IFERROR(VLOOKUP(B248,'Impact Indicators - Section B '!$A$9:$AC$68,29,FALSE),"")</f>
        <v/>
      </c>
      <c r="D248" s="605" t="str">
        <f t="shared" ref="D248" si="379">M248</f>
        <v/>
      </c>
      <c r="E248" s="605" t="str">
        <f t="shared" ref="E248" si="380">N248</f>
        <v/>
      </c>
      <c r="F248" s="131"/>
      <c r="G248" s="607" t="str">
        <f ca="1">IF(OR(INDIRECT("'update Helper'!E"&amp;Q248)="",F248&lt;&gt;0,F249&lt;&gt;0),IF(IFERROR((F248/F249),"")="","",(F248/F249)),INDIRECT("'update Helper'!E"&amp;Q248)/100)</f>
        <v/>
      </c>
      <c r="H248" s="597"/>
      <c r="I248" s="599"/>
      <c r="J248" s="531"/>
      <c r="K248" s="130">
        <f>IF(AND(EXACT(C248,C246),C246&lt;&gt;0),K246+1,0)</f>
        <v>69</v>
      </c>
      <c r="L248" s="130" t="str">
        <f>IF(C248&lt;&gt;"",C248&amp;"-"&amp;K248,"")</f>
        <v/>
      </c>
      <c r="M248" s="130" t="str">
        <f t="array" ref="M248">IFERROR(IF(INDEX('Disaggregation Records'!$E$3:$E$80,MATCH(RIGHT(L248,255),RIGHT('Disaggregation Records'!$D$3:$D$80,255),0))="","",INDEX('Disaggregation Records'!$E$3:$E$80,MATCH(RIGHT(L248,255),RIGHT('Disaggregation Records'!$D$3:$D$80,255),0))),"")</f>
        <v/>
      </c>
      <c r="N248" s="130" t="str">
        <f t="array" ref="N248">IFERROR(IF(INDEX('Disaggregation Records'!$F$3:$F$80,MATCH(RIGHT(L248,255),RIGHT('Disaggregation Records'!$D$3:$D$80,255),0))="","",INDEX('Disaggregation Records'!$F$3:$F$80,MATCH(RIGHT(L248,255),RIGHT('Disaggregation Records'!$D$3:$D$80,255),0))),"")</f>
        <v/>
      </c>
      <c r="O248" s="130" t="str">
        <f t="array" ref="O248">IFERROR(IF(INDEX('Disaggregation Records'!$H$3:$H$80,MATCH(RIGHT(L248,255),RIGHT('Disaggregation Records'!$D$3:$D$80,255),0))="","",INDEX('Disaggregation Records'!$H$3:$H$80,MATCH(RIGHT(L248,255),RIGHT('Disaggregation Records'!$D$3:$D$80,255),0))),"")</f>
        <v/>
      </c>
      <c r="Q248" s="52">
        <f t="shared" ref="Q248" si="381">Q246+1</f>
        <v>1310</v>
      </c>
    </row>
    <row r="249" spans="1:17" ht="20.100000000000001" customHeight="1" x14ac:dyDescent="0.25">
      <c r="B249" s="602">
        <v>8.9060150375939902</v>
      </c>
      <c r="C249" s="604"/>
      <c r="D249" s="606"/>
      <c r="E249" s="606"/>
      <c r="F249" s="132"/>
      <c r="G249" s="608"/>
      <c r="H249" s="598"/>
      <c r="I249" s="600"/>
      <c r="J249" s="532"/>
      <c r="K249" s="133"/>
      <c r="L249" s="133"/>
      <c r="M249" s="133"/>
      <c r="N249" s="133"/>
      <c r="O249" s="133"/>
      <c r="Q249" s="130"/>
    </row>
    <row r="250" spans="1:17" ht="20.100000000000001" customHeight="1" x14ac:dyDescent="0.25">
      <c r="A250" s="130" t="str">
        <f t="shared" ref="A250" ca="1" si="382">INDIRECT("'update Helper'!C"&amp;Q250)</f>
        <v>a1GDm000000XmmiMAC</v>
      </c>
      <c r="B250" s="601">
        <v>13</v>
      </c>
      <c r="C250" s="603" t="str">
        <f>IFERROR(VLOOKUP(B250,'Impact Indicators - Section B '!$A$9:$AC$68,29,FALSE),"")</f>
        <v/>
      </c>
      <c r="D250" s="605" t="str">
        <f t="shared" ref="D250" si="383">M250</f>
        <v/>
      </c>
      <c r="E250" s="605" t="str">
        <f t="shared" ref="E250" si="384">N250</f>
        <v/>
      </c>
      <c r="F250" s="131"/>
      <c r="G250" s="607" t="str">
        <f ca="1">IF(OR(INDIRECT("'update Helper'!E"&amp;Q250)="",F250&lt;&gt;0,F251&lt;&gt;0),IF(IFERROR((F250/F251),"")="","",(F250/F251)),INDIRECT("'update Helper'!E"&amp;Q250)/100)</f>
        <v/>
      </c>
      <c r="H250" s="597"/>
      <c r="I250" s="599"/>
      <c r="J250" s="531"/>
      <c r="K250" s="130">
        <f>IF(AND(EXACT(C250,C248),C248&lt;&gt;0),K248+1,0)</f>
        <v>70</v>
      </c>
      <c r="L250" s="130" t="str">
        <f>IF(C250&lt;&gt;"",C250&amp;"-"&amp;K250,"")</f>
        <v/>
      </c>
      <c r="M250" s="130" t="str">
        <f t="array" ref="M250">IFERROR(IF(INDEX('Disaggregation Records'!$E$3:$E$80,MATCH(RIGHT(L250,255),RIGHT('Disaggregation Records'!$D$3:$D$80,255),0))="","",INDEX('Disaggregation Records'!$E$3:$E$80,MATCH(RIGHT(L250,255),RIGHT('Disaggregation Records'!$D$3:$D$80,255),0))),"")</f>
        <v/>
      </c>
      <c r="N250" s="130" t="str">
        <f t="array" ref="N250">IFERROR(IF(INDEX('Disaggregation Records'!$F$3:$F$80,MATCH(RIGHT(L250,255),RIGHT('Disaggregation Records'!$D$3:$D$80,255),0))="","",INDEX('Disaggregation Records'!$F$3:$F$80,MATCH(RIGHT(L250,255),RIGHT('Disaggregation Records'!$D$3:$D$80,255),0))),"")</f>
        <v/>
      </c>
      <c r="O250" s="130" t="str">
        <f t="array" ref="O250">IFERROR(IF(INDEX('Disaggregation Records'!$H$3:$H$80,MATCH(RIGHT(L250,255),RIGHT('Disaggregation Records'!$D$3:$D$80,255),0))="","",INDEX('Disaggregation Records'!$H$3:$H$80,MATCH(RIGHT(L250,255),RIGHT('Disaggregation Records'!$D$3:$D$80,255),0))),"")</f>
        <v/>
      </c>
      <c r="P250" s="130"/>
      <c r="Q250" s="52">
        <f t="shared" ref="Q250" si="385">Q248+1</f>
        <v>1311</v>
      </c>
    </row>
    <row r="251" spans="1:17" ht="20.100000000000001" customHeight="1" x14ac:dyDescent="0.25">
      <c r="A251" s="130"/>
      <c r="B251" s="602">
        <v>9.6203007518797108</v>
      </c>
      <c r="C251" s="604"/>
      <c r="D251" s="606"/>
      <c r="E251" s="606"/>
      <c r="F251" s="132"/>
      <c r="G251" s="608"/>
      <c r="H251" s="598"/>
      <c r="I251" s="600"/>
      <c r="J251" s="532"/>
      <c r="K251" s="133"/>
      <c r="L251" s="133"/>
      <c r="M251" s="133"/>
      <c r="N251" s="133"/>
      <c r="O251" s="133"/>
      <c r="P251" s="133"/>
      <c r="Q251" s="130"/>
    </row>
    <row r="252" spans="1:17" ht="20.100000000000001" customHeight="1" x14ac:dyDescent="0.25">
      <c r="A252" s="130" t="str">
        <f t="shared" ca="1" si="308"/>
        <v>a1GDm000000XmmjMAC</v>
      </c>
      <c r="B252" s="601">
        <v>13</v>
      </c>
      <c r="C252" s="603" t="str">
        <f>IFERROR(VLOOKUP(B252,'Impact Indicators - Section B '!$A$9:$AC$68,29,FALSE),"")</f>
        <v/>
      </c>
      <c r="D252" s="605" t="str">
        <f t="shared" ref="D252" si="386">M252</f>
        <v/>
      </c>
      <c r="E252" s="605" t="str">
        <f t="shared" ref="E252" si="387">N252</f>
        <v/>
      </c>
      <c r="F252" s="131"/>
      <c r="G252" s="607" t="str">
        <f ca="1">IF(OR(INDIRECT("'update Helper'!E"&amp;Q252)="",F252&lt;&gt;0,F253&lt;&gt;0),IF(IFERROR((F252/F253),"")="","",(F252/F253)),INDIRECT("'update Helper'!E"&amp;Q252)/100)</f>
        <v/>
      </c>
      <c r="H252" s="597"/>
      <c r="I252" s="599"/>
      <c r="J252" s="531"/>
      <c r="K252" s="130">
        <f>IF(AND(EXACT(C252,C250),C250&lt;&gt;0),K250+1,0)</f>
        <v>71</v>
      </c>
      <c r="L252" s="130" t="str">
        <f>IF(C252&lt;&gt;"",C252&amp;"-"&amp;K252,"")</f>
        <v/>
      </c>
      <c r="M252" s="130" t="str">
        <f t="array" ref="M252">IFERROR(IF(INDEX('Disaggregation Records'!$E$3:$E$80,MATCH(RIGHT(L252,255),RIGHT('Disaggregation Records'!$D$3:$D$80,255),0))="","",INDEX('Disaggregation Records'!$E$3:$E$80,MATCH(RIGHT(L252,255),RIGHT('Disaggregation Records'!$D$3:$D$80,255),0))),"")</f>
        <v/>
      </c>
      <c r="N252" s="130" t="str">
        <f t="array" ref="N252">IFERROR(IF(INDEX('Disaggregation Records'!$F$3:$F$80,MATCH(RIGHT(L252,255),RIGHT('Disaggregation Records'!$D$3:$D$80,255),0))="","",INDEX('Disaggregation Records'!$F$3:$F$80,MATCH(RIGHT(L252,255),RIGHT('Disaggregation Records'!$D$3:$D$80,255),0))),"")</f>
        <v/>
      </c>
      <c r="O252" s="130" t="str">
        <f t="array" ref="O252">IFERROR(IF(INDEX('Disaggregation Records'!$H$3:$H$80,MATCH(RIGHT(L252,255),RIGHT('Disaggregation Records'!$D$3:$D$80,255),0))="","",INDEX('Disaggregation Records'!$H$3:$H$80,MATCH(RIGHT(L252,255),RIGHT('Disaggregation Records'!$D$3:$D$80,255),0))),"")</f>
        <v/>
      </c>
      <c r="Q252" s="52">
        <f t="shared" ref="Q252" si="388">Q250+1</f>
        <v>1312</v>
      </c>
    </row>
    <row r="253" spans="1:17" ht="20.100000000000001" customHeight="1" x14ac:dyDescent="0.25">
      <c r="B253" s="602">
        <v>9.6203007518797108</v>
      </c>
      <c r="C253" s="604"/>
      <c r="D253" s="606"/>
      <c r="E253" s="606"/>
      <c r="F253" s="132"/>
      <c r="G253" s="608"/>
      <c r="H253" s="598"/>
      <c r="I253" s="600"/>
      <c r="J253" s="532"/>
      <c r="K253" s="133"/>
      <c r="L253" s="133"/>
      <c r="M253" s="133"/>
      <c r="N253" s="133"/>
      <c r="O253" s="133"/>
      <c r="Q253" s="130"/>
    </row>
    <row r="254" spans="1:17" ht="20.100000000000001" customHeight="1" x14ac:dyDescent="0.25">
      <c r="A254" s="130" t="str">
        <f t="shared" ref="A254" ca="1" si="389">INDIRECT("'update Helper'!C"&amp;Q254)</f>
        <v>a1GDm000000XmmkMAC</v>
      </c>
      <c r="B254" s="601">
        <v>13</v>
      </c>
      <c r="C254" s="603" t="str">
        <f>IFERROR(VLOOKUP(B254,'Impact Indicators - Section B '!$A$9:$AC$68,29,FALSE),"")</f>
        <v/>
      </c>
      <c r="D254" s="605" t="str">
        <f t="shared" ref="D254" si="390">M254</f>
        <v/>
      </c>
      <c r="E254" s="605" t="str">
        <f t="shared" ref="E254" si="391">N254</f>
        <v/>
      </c>
      <c r="F254" s="131"/>
      <c r="G254" s="607" t="str">
        <f ca="1">IF(OR(INDIRECT("'update Helper'!E"&amp;Q254)="",F254&lt;&gt;0,F255&lt;&gt;0),IF(IFERROR((F254/F255),"")="","",(F254/F255)),INDIRECT("'update Helper'!E"&amp;Q254)/100)</f>
        <v/>
      </c>
      <c r="H254" s="597"/>
      <c r="I254" s="599"/>
      <c r="J254" s="531"/>
      <c r="K254" s="130">
        <f>IF(AND(EXACT(C254,C252),C252&lt;&gt;0),K252+1,0)</f>
        <v>72</v>
      </c>
      <c r="L254" s="130" t="str">
        <f>IF(C254&lt;&gt;"",C254&amp;"-"&amp;K254,"")</f>
        <v/>
      </c>
      <c r="M254" s="130" t="str">
        <f t="array" ref="M254">IFERROR(IF(INDEX('Disaggregation Records'!$E$3:$E$80,MATCH(RIGHT(L254,255),RIGHT('Disaggregation Records'!$D$3:$D$80,255),0))="","",INDEX('Disaggregation Records'!$E$3:$E$80,MATCH(RIGHT(L254,255),RIGHT('Disaggregation Records'!$D$3:$D$80,255),0))),"")</f>
        <v/>
      </c>
      <c r="N254" s="130" t="str">
        <f t="array" ref="N254">IFERROR(IF(INDEX('Disaggregation Records'!$F$3:$F$80,MATCH(RIGHT(L254,255),RIGHT('Disaggregation Records'!$D$3:$D$80,255),0))="","",INDEX('Disaggregation Records'!$F$3:$F$80,MATCH(RIGHT(L254,255),RIGHT('Disaggregation Records'!$D$3:$D$80,255),0))),"")</f>
        <v/>
      </c>
      <c r="O254" s="130" t="str">
        <f t="array" ref="O254">IFERROR(IF(INDEX('Disaggregation Records'!$H$3:$H$80,MATCH(RIGHT(L254,255),RIGHT('Disaggregation Records'!$D$3:$D$80,255),0))="","",INDEX('Disaggregation Records'!$H$3:$H$80,MATCH(RIGHT(L254,255),RIGHT('Disaggregation Records'!$D$3:$D$80,255),0))),"")</f>
        <v/>
      </c>
      <c r="P254" s="130"/>
      <c r="Q254" s="52">
        <f t="shared" ref="Q254" si="392">Q252+1</f>
        <v>1313</v>
      </c>
    </row>
    <row r="255" spans="1:17" ht="20.100000000000001" customHeight="1" x14ac:dyDescent="0.25">
      <c r="A255" s="130"/>
      <c r="B255" s="602">
        <v>9.6203007518797108</v>
      </c>
      <c r="C255" s="604"/>
      <c r="D255" s="606"/>
      <c r="E255" s="606"/>
      <c r="F255" s="132"/>
      <c r="G255" s="608"/>
      <c r="H255" s="598"/>
      <c r="I255" s="600"/>
      <c r="J255" s="532"/>
      <c r="K255" s="133"/>
      <c r="L255" s="133"/>
      <c r="M255" s="133"/>
      <c r="N255" s="133"/>
      <c r="O255" s="133"/>
      <c r="P255" s="133"/>
      <c r="Q255" s="130"/>
    </row>
    <row r="256" spans="1:17" ht="20.100000000000001" customHeight="1" x14ac:dyDescent="0.25">
      <c r="A256" s="130" t="str">
        <f t="shared" ca="1" si="308"/>
        <v>a1GDm000000XmmlMAC</v>
      </c>
      <c r="B256" s="601">
        <v>13</v>
      </c>
      <c r="C256" s="603" t="str">
        <f>IFERROR(VLOOKUP(B256,'Impact Indicators - Section B '!$A$9:$AC$68,29,FALSE),"")</f>
        <v/>
      </c>
      <c r="D256" s="605" t="str">
        <f t="shared" ref="D256" si="393">M256</f>
        <v/>
      </c>
      <c r="E256" s="605" t="str">
        <f t="shared" ref="E256" si="394">N256</f>
        <v/>
      </c>
      <c r="F256" s="131"/>
      <c r="G256" s="607" t="str">
        <f ca="1">IF(OR(INDIRECT("'update Helper'!E"&amp;Q256)="",F256&lt;&gt;0,F257&lt;&gt;0),IF(IFERROR((F256/F257),"")="","",(F256/F257)),INDIRECT("'update Helper'!E"&amp;Q256)/100)</f>
        <v/>
      </c>
      <c r="H256" s="597"/>
      <c r="I256" s="599"/>
      <c r="J256" s="531"/>
      <c r="K256" s="130">
        <f>IF(AND(EXACT(C256,C254),C254&lt;&gt;0),K254+1,0)</f>
        <v>73</v>
      </c>
      <c r="L256" s="130" t="str">
        <f>IF(C256&lt;&gt;"",C256&amp;"-"&amp;K256,"")</f>
        <v/>
      </c>
      <c r="M256" s="130" t="str">
        <f t="array" ref="M256">IFERROR(IF(INDEX('Disaggregation Records'!$E$3:$E$80,MATCH(RIGHT(L256,255),RIGHT('Disaggregation Records'!$D$3:$D$80,255),0))="","",INDEX('Disaggregation Records'!$E$3:$E$80,MATCH(RIGHT(L256,255),RIGHT('Disaggregation Records'!$D$3:$D$80,255),0))),"")</f>
        <v/>
      </c>
      <c r="N256" s="130" t="str">
        <f t="array" ref="N256">IFERROR(IF(INDEX('Disaggregation Records'!$F$3:$F$80,MATCH(RIGHT(L256,255),RIGHT('Disaggregation Records'!$D$3:$D$80,255),0))="","",INDEX('Disaggregation Records'!$F$3:$F$80,MATCH(RIGHT(L256,255),RIGHT('Disaggregation Records'!$D$3:$D$80,255),0))),"")</f>
        <v/>
      </c>
      <c r="O256" s="130" t="str">
        <f t="array" ref="O256">IFERROR(IF(INDEX('Disaggregation Records'!$H$3:$H$80,MATCH(RIGHT(L256,255),RIGHT('Disaggregation Records'!$D$3:$D$80,255),0))="","",INDEX('Disaggregation Records'!$H$3:$H$80,MATCH(RIGHT(L256,255),RIGHT('Disaggregation Records'!$D$3:$D$80,255),0))),"")</f>
        <v/>
      </c>
      <c r="Q256" s="52">
        <f t="shared" ref="Q256" si="395">Q254+1</f>
        <v>1314</v>
      </c>
    </row>
    <row r="257" spans="1:17" ht="20.100000000000001" customHeight="1" x14ac:dyDescent="0.25">
      <c r="B257" s="602">
        <v>9.6203007518797108</v>
      </c>
      <c r="C257" s="604"/>
      <c r="D257" s="606"/>
      <c r="E257" s="606"/>
      <c r="F257" s="132"/>
      <c r="G257" s="608"/>
      <c r="H257" s="598"/>
      <c r="I257" s="600"/>
      <c r="J257" s="532"/>
      <c r="K257" s="133"/>
      <c r="L257" s="133"/>
      <c r="M257" s="133"/>
      <c r="N257" s="133"/>
      <c r="O257" s="133"/>
      <c r="Q257" s="130"/>
    </row>
    <row r="258" spans="1:17" ht="20.100000000000001" customHeight="1" x14ac:dyDescent="0.25">
      <c r="A258" s="130" t="str">
        <f t="shared" ref="A258" ca="1" si="396">INDIRECT("'update Helper'!C"&amp;Q258)</f>
        <v>a1GDm000000XmmmMAC</v>
      </c>
      <c r="B258" s="601">
        <v>13</v>
      </c>
      <c r="C258" s="603" t="str">
        <f>IFERROR(VLOOKUP(B258,'Impact Indicators - Section B '!$A$9:$AC$68,29,FALSE),"")</f>
        <v/>
      </c>
      <c r="D258" s="605" t="str">
        <f t="shared" ref="D258" si="397">M258</f>
        <v/>
      </c>
      <c r="E258" s="605" t="str">
        <f t="shared" ref="E258" si="398">N258</f>
        <v/>
      </c>
      <c r="F258" s="131"/>
      <c r="G258" s="607" t="str">
        <f ca="1">IF(OR(INDIRECT("'update Helper'!E"&amp;Q258)="",F258&lt;&gt;0,F259&lt;&gt;0),IF(IFERROR((F258/F259),"")="","",(F258/F259)),INDIRECT("'update Helper'!E"&amp;Q258)/100)</f>
        <v/>
      </c>
      <c r="H258" s="597"/>
      <c r="I258" s="599"/>
      <c r="J258" s="531"/>
      <c r="K258" s="130">
        <f>IF(AND(EXACT(C258,C256),C256&lt;&gt;0),K256+1,0)</f>
        <v>74</v>
      </c>
      <c r="L258" s="130" t="str">
        <f>IF(C258&lt;&gt;"",C258&amp;"-"&amp;K258,"")</f>
        <v/>
      </c>
      <c r="M258" s="130" t="str">
        <f t="array" ref="M258">IFERROR(IF(INDEX('Disaggregation Records'!$E$3:$E$80,MATCH(RIGHT(L258,255),RIGHT('Disaggregation Records'!$D$3:$D$80,255),0))="","",INDEX('Disaggregation Records'!$E$3:$E$80,MATCH(RIGHT(L258,255),RIGHT('Disaggregation Records'!$D$3:$D$80,255),0))),"")</f>
        <v/>
      </c>
      <c r="N258" s="130" t="str">
        <f t="array" ref="N258">IFERROR(IF(INDEX('Disaggregation Records'!$F$3:$F$80,MATCH(RIGHT(L258,255),RIGHT('Disaggregation Records'!$D$3:$D$80,255),0))="","",INDEX('Disaggregation Records'!$F$3:$F$80,MATCH(RIGHT(L258,255),RIGHT('Disaggregation Records'!$D$3:$D$80,255),0))),"")</f>
        <v/>
      </c>
      <c r="O258" s="130" t="str">
        <f t="array" ref="O258">IFERROR(IF(INDEX('Disaggregation Records'!$H$3:$H$80,MATCH(RIGHT(L258,255),RIGHT('Disaggregation Records'!$D$3:$D$80,255),0))="","",INDEX('Disaggregation Records'!$H$3:$H$80,MATCH(RIGHT(L258,255),RIGHT('Disaggregation Records'!$D$3:$D$80,255),0))),"")</f>
        <v/>
      </c>
      <c r="P258" s="130"/>
      <c r="Q258" s="52">
        <f t="shared" ref="Q258" si="399">Q256+1</f>
        <v>1315</v>
      </c>
    </row>
    <row r="259" spans="1:17" ht="20.100000000000001" customHeight="1" x14ac:dyDescent="0.25">
      <c r="A259" s="130"/>
      <c r="B259" s="602">
        <v>9.6203007518797108</v>
      </c>
      <c r="C259" s="604"/>
      <c r="D259" s="606"/>
      <c r="E259" s="606"/>
      <c r="F259" s="132"/>
      <c r="G259" s="608"/>
      <c r="H259" s="598"/>
      <c r="I259" s="600"/>
      <c r="J259" s="532"/>
      <c r="K259" s="133"/>
      <c r="L259" s="133"/>
      <c r="M259" s="133"/>
      <c r="N259" s="133"/>
      <c r="O259" s="133"/>
      <c r="P259" s="133"/>
      <c r="Q259" s="130"/>
    </row>
    <row r="260" spans="1:17" ht="20.100000000000001" customHeight="1" x14ac:dyDescent="0.25">
      <c r="A260" s="130" t="str">
        <f t="shared" ca="1" si="308"/>
        <v>a1GDm000000XmmnMAC</v>
      </c>
      <c r="B260" s="601">
        <v>13</v>
      </c>
      <c r="C260" s="603" t="str">
        <f>IFERROR(VLOOKUP(B260,'Impact Indicators - Section B '!$A$9:$AC$68,29,FALSE),"")</f>
        <v/>
      </c>
      <c r="D260" s="605" t="str">
        <f t="shared" ref="D260" si="400">M260</f>
        <v/>
      </c>
      <c r="E260" s="605" t="str">
        <f t="shared" ref="E260" si="401">N260</f>
        <v/>
      </c>
      <c r="F260" s="131"/>
      <c r="G260" s="607" t="str">
        <f ca="1">IF(OR(INDIRECT("'update Helper'!E"&amp;Q260)="",F260&lt;&gt;0,F261&lt;&gt;0),IF(IFERROR((F260/F261),"")="","",(F260/F261)),INDIRECT("'update Helper'!E"&amp;Q260)/100)</f>
        <v/>
      </c>
      <c r="H260" s="597"/>
      <c r="I260" s="599"/>
      <c r="J260" s="531"/>
      <c r="K260" s="130">
        <f>IF(AND(EXACT(C260,C258),C258&lt;&gt;0),K258+1,0)</f>
        <v>75</v>
      </c>
      <c r="L260" s="130" t="str">
        <f>IF(C260&lt;&gt;"",C260&amp;"-"&amp;K260,"")</f>
        <v/>
      </c>
      <c r="M260" s="130" t="str">
        <f t="array" ref="M260">IFERROR(IF(INDEX('Disaggregation Records'!$E$3:$E$80,MATCH(RIGHT(L260,255),RIGHT('Disaggregation Records'!$D$3:$D$80,255),0))="","",INDEX('Disaggregation Records'!$E$3:$E$80,MATCH(RIGHT(L260,255),RIGHT('Disaggregation Records'!$D$3:$D$80,255),0))),"")</f>
        <v/>
      </c>
      <c r="N260" s="130" t="str">
        <f t="array" ref="N260">IFERROR(IF(INDEX('Disaggregation Records'!$F$3:$F$80,MATCH(RIGHT(L260,255),RIGHT('Disaggregation Records'!$D$3:$D$80,255),0))="","",INDEX('Disaggregation Records'!$F$3:$F$80,MATCH(RIGHT(L260,255),RIGHT('Disaggregation Records'!$D$3:$D$80,255),0))),"")</f>
        <v/>
      </c>
      <c r="O260" s="130" t="str">
        <f t="array" ref="O260">IFERROR(IF(INDEX('Disaggregation Records'!$H$3:$H$80,MATCH(RIGHT(L260,255),RIGHT('Disaggregation Records'!$D$3:$D$80,255),0))="","",INDEX('Disaggregation Records'!$H$3:$H$80,MATCH(RIGHT(L260,255),RIGHT('Disaggregation Records'!$D$3:$D$80,255),0))),"")</f>
        <v/>
      </c>
      <c r="Q260" s="52">
        <f t="shared" ref="Q260" si="402">Q258+1</f>
        <v>1316</v>
      </c>
    </row>
    <row r="261" spans="1:17" ht="20.100000000000001" customHeight="1" x14ac:dyDescent="0.25">
      <c r="B261" s="602">
        <v>9.6203007518797108</v>
      </c>
      <c r="C261" s="604"/>
      <c r="D261" s="606"/>
      <c r="E261" s="606"/>
      <c r="F261" s="132"/>
      <c r="G261" s="608"/>
      <c r="H261" s="598"/>
      <c r="I261" s="600"/>
      <c r="J261" s="532"/>
      <c r="K261" s="133"/>
      <c r="L261" s="133"/>
      <c r="M261" s="133"/>
      <c r="N261" s="133"/>
      <c r="O261" s="133"/>
      <c r="Q261" s="130"/>
    </row>
    <row r="262" spans="1:17" ht="20.100000000000001" customHeight="1" x14ac:dyDescent="0.25">
      <c r="A262" s="130" t="str">
        <f t="shared" ref="A262" ca="1" si="403">INDIRECT("'update Helper'!C"&amp;Q262)</f>
        <v>a1GDm000000XmmoMAC</v>
      </c>
      <c r="B262" s="601">
        <v>13</v>
      </c>
      <c r="C262" s="603" t="str">
        <f>IFERROR(VLOOKUP(B262,'Impact Indicators - Section B '!$A$9:$AC$68,29,FALSE),"")</f>
        <v/>
      </c>
      <c r="D262" s="605" t="str">
        <f t="shared" ref="D262" si="404">M262</f>
        <v/>
      </c>
      <c r="E262" s="605" t="str">
        <f t="shared" ref="E262" si="405">N262</f>
        <v/>
      </c>
      <c r="F262" s="131"/>
      <c r="G262" s="607" t="str">
        <f ca="1">IF(OR(INDIRECT("'update Helper'!E"&amp;Q262)="",F262&lt;&gt;0,F263&lt;&gt;0),IF(IFERROR((F262/F263),"")="","",(F262/F263)),INDIRECT("'update Helper'!E"&amp;Q262)/100)</f>
        <v/>
      </c>
      <c r="H262" s="597"/>
      <c r="I262" s="599"/>
      <c r="J262" s="531"/>
      <c r="K262" s="130">
        <f>IF(AND(EXACT(C262,C260),C260&lt;&gt;0),K260+1,0)</f>
        <v>76</v>
      </c>
      <c r="L262" s="130" t="str">
        <f>IF(C262&lt;&gt;"",C262&amp;"-"&amp;K262,"")</f>
        <v/>
      </c>
      <c r="M262" s="130" t="str">
        <f t="array" ref="M262">IFERROR(IF(INDEX('Disaggregation Records'!$E$3:$E$80,MATCH(RIGHT(L262,255),RIGHT('Disaggregation Records'!$D$3:$D$80,255),0))="","",INDEX('Disaggregation Records'!$E$3:$E$80,MATCH(RIGHT(L262,255),RIGHT('Disaggregation Records'!$D$3:$D$80,255),0))),"")</f>
        <v/>
      </c>
      <c r="N262" s="130" t="str">
        <f t="array" ref="N262">IFERROR(IF(INDEX('Disaggregation Records'!$F$3:$F$80,MATCH(RIGHT(L262,255),RIGHT('Disaggregation Records'!$D$3:$D$80,255),0))="","",INDEX('Disaggregation Records'!$F$3:$F$80,MATCH(RIGHT(L262,255),RIGHT('Disaggregation Records'!$D$3:$D$80,255),0))),"")</f>
        <v/>
      </c>
      <c r="O262" s="130" t="str">
        <f t="array" ref="O262">IFERROR(IF(INDEX('Disaggregation Records'!$H$3:$H$80,MATCH(RIGHT(L262,255),RIGHT('Disaggregation Records'!$D$3:$D$80,255),0))="","",INDEX('Disaggregation Records'!$H$3:$H$80,MATCH(RIGHT(L262,255),RIGHT('Disaggregation Records'!$D$3:$D$80,255),0))),"")</f>
        <v/>
      </c>
      <c r="P262" s="130"/>
      <c r="Q262" s="52">
        <f t="shared" ref="Q262" si="406">Q260+1</f>
        <v>1317</v>
      </c>
    </row>
    <row r="263" spans="1:17" ht="20.100000000000001" customHeight="1" x14ac:dyDescent="0.25">
      <c r="A263" s="130"/>
      <c r="B263" s="602">
        <v>9.6203007518797108</v>
      </c>
      <c r="C263" s="604"/>
      <c r="D263" s="606"/>
      <c r="E263" s="606"/>
      <c r="F263" s="132"/>
      <c r="G263" s="608"/>
      <c r="H263" s="598"/>
      <c r="I263" s="600"/>
      <c r="J263" s="532"/>
      <c r="K263" s="133"/>
      <c r="L263" s="133"/>
      <c r="M263" s="133"/>
      <c r="N263" s="133"/>
      <c r="O263" s="133"/>
      <c r="P263" s="133"/>
      <c r="Q263" s="130"/>
    </row>
    <row r="264" spans="1:17" ht="20.100000000000001" customHeight="1" x14ac:dyDescent="0.25">
      <c r="A264" s="130" t="str">
        <f t="shared" ca="1" si="308"/>
        <v>a1GDm000000XmmpMAC</v>
      </c>
      <c r="B264" s="601">
        <v>13</v>
      </c>
      <c r="C264" s="603" t="str">
        <f>IFERROR(VLOOKUP(B264,'Impact Indicators - Section B '!$A$9:$AC$68,29,FALSE),"")</f>
        <v/>
      </c>
      <c r="D264" s="605" t="str">
        <f t="shared" ref="D264" si="407">M264</f>
        <v/>
      </c>
      <c r="E264" s="605" t="str">
        <f t="shared" ref="E264" si="408">N264</f>
        <v/>
      </c>
      <c r="F264" s="131"/>
      <c r="G264" s="607" t="str">
        <f ca="1">IF(OR(INDIRECT("'update Helper'!E"&amp;Q264)="",F264&lt;&gt;0,F265&lt;&gt;0),IF(IFERROR((F264/F265),"")="","",(F264/F265)),INDIRECT("'update Helper'!E"&amp;Q264)/100)</f>
        <v/>
      </c>
      <c r="H264" s="597"/>
      <c r="I264" s="599"/>
      <c r="J264" s="531"/>
      <c r="K264" s="130">
        <f>IF(AND(EXACT(C264,C262),C262&lt;&gt;0),K262+1,0)</f>
        <v>77</v>
      </c>
      <c r="L264" s="130" t="str">
        <f>IF(C264&lt;&gt;"",C264&amp;"-"&amp;K264,"")</f>
        <v/>
      </c>
      <c r="M264" s="130" t="str">
        <f t="array" ref="M264">IFERROR(IF(INDEX('Disaggregation Records'!$E$3:$E$80,MATCH(RIGHT(L264,255),RIGHT('Disaggregation Records'!$D$3:$D$80,255),0))="","",INDEX('Disaggregation Records'!$E$3:$E$80,MATCH(RIGHT(L264,255),RIGHT('Disaggregation Records'!$D$3:$D$80,255),0))),"")</f>
        <v/>
      </c>
      <c r="N264" s="130" t="str">
        <f t="array" ref="N264">IFERROR(IF(INDEX('Disaggregation Records'!$F$3:$F$80,MATCH(RIGHT(L264,255),RIGHT('Disaggregation Records'!$D$3:$D$80,255),0))="","",INDEX('Disaggregation Records'!$F$3:$F$80,MATCH(RIGHT(L264,255),RIGHT('Disaggregation Records'!$D$3:$D$80,255),0))),"")</f>
        <v/>
      </c>
      <c r="O264" s="130" t="str">
        <f t="array" ref="O264">IFERROR(IF(INDEX('Disaggregation Records'!$H$3:$H$80,MATCH(RIGHT(L264,255),RIGHT('Disaggregation Records'!$D$3:$D$80,255),0))="","",INDEX('Disaggregation Records'!$H$3:$H$80,MATCH(RIGHT(L264,255),RIGHT('Disaggregation Records'!$D$3:$D$80,255),0))),"")</f>
        <v/>
      </c>
      <c r="Q264" s="52">
        <f t="shared" ref="Q264" si="409">Q262+1</f>
        <v>1318</v>
      </c>
    </row>
    <row r="265" spans="1:17" ht="20.100000000000001" customHeight="1" x14ac:dyDescent="0.25">
      <c r="B265" s="602">
        <v>9.6203007518797108</v>
      </c>
      <c r="C265" s="604"/>
      <c r="D265" s="606"/>
      <c r="E265" s="606"/>
      <c r="F265" s="132"/>
      <c r="G265" s="608"/>
      <c r="H265" s="598"/>
      <c r="I265" s="600"/>
      <c r="J265" s="532"/>
      <c r="K265" s="133"/>
      <c r="L265" s="133"/>
      <c r="M265" s="133"/>
      <c r="N265" s="133"/>
      <c r="O265" s="133"/>
      <c r="Q265" s="130"/>
    </row>
    <row r="266" spans="1:17" ht="20.100000000000001" customHeight="1" x14ac:dyDescent="0.25">
      <c r="A266" s="130" t="str">
        <f t="shared" ref="A266" ca="1" si="410">INDIRECT("'update Helper'!C"&amp;Q266)</f>
        <v>a1GDm000000XmmqMAC</v>
      </c>
      <c r="B266" s="601">
        <v>13</v>
      </c>
      <c r="C266" s="603" t="str">
        <f>IFERROR(VLOOKUP(B266,'Impact Indicators - Section B '!$A$9:$AC$68,29,FALSE),"")</f>
        <v/>
      </c>
      <c r="D266" s="605" t="str">
        <f t="shared" ref="D266" si="411">M266</f>
        <v/>
      </c>
      <c r="E266" s="605" t="str">
        <f t="shared" ref="E266" si="412">N266</f>
        <v/>
      </c>
      <c r="F266" s="131"/>
      <c r="G266" s="607" t="str">
        <f ca="1">IF(OR(INDIRECT("'update Helper'!E"&amp;Q266)="",F266&lt;&gt;0,F267&lt;&gt;0),IF(IFERROR((F266/F267),"")="","",(F266/F267)),INDIRECT("'update Helper'!E"&amp;Q266)/100)</f>
        <v/>
      </c>
      <c r="H266" s="597"/>
      <c r="I266" s="599"/>
      <c r="J266" s="531"/>
      <c r="K266" s="130">
        <f>IF(AND(EXACT(C266,C264),C264&lt;&gt;0),K264+1,0)</f>
        <v>78</v>
      </c>
      <c r="L266" s="130" t="str">
        <f>IF(C266&lt;&gt;"",C266&amp;"-"&amp;K266,"")</f>
        <v/>
      </c>
      <c r="M266" s="130" t="str">
        <f t="array" ref="M266">IFERROR(IF(INDEX('Disaggregation Records'!$E$3:$E$80,MATCH(RIGHT(L266,255),RIGHT('Disaggregation Records'!$D$3:$D$80,255),0))="","",INDEX('Disaggregation Records'!$E$3:$E$80,MATCH(RIGHT(L266,255),RIGHT('Disaggregation Records'!$D$3:$D$80,255),0))),"")</f>
        <v/>
      </c>
      <c r="N266" s="130" t="str">
        <f t="array" ref="N266">IFERROR(IF(INDEX('Disaggregation Records'!$F$3:$F$80,MATCH(RIGHT(L266,255),RIGHT('Disaggregation Records'!$D$3:$D$80,255),0))="","",INDEX('Disaggregation Records'!$F$3:$F$80,MATCH(RIGHT(L266,255),RIGHT('Disaggregation Records'!$D$3:$D$80,255),0))),"")</f>
        <v/>
      </c>
      <c r="O266" s="130" t="str">
        <f t="array" ref="O266">IFERROR(IF(INDEX('Disaggregation Records'!$H$3:$H$80,MATCH(RIGHT(L266,255),RIGHT('Disaggregation Records'!$D$3:$D$80,255),0))="","",INDEX('Disaggregation Records'!$H$3:$H$80,MATCH(RIGHT(L266,255),RIGHT('Disaggregation Records'!$D$3:$D$80,255),0))),"")</f>
        <v/>
      </c>
      <c r="Q266" s="52">
        <f t="shared" ref="Q266" si="413">Q264+1</f>
        <v>1319</v>
      </c>
    </row>
    <row r="267" spans="1:17" ht="20.100000000000001" customHeight="1" x14ac:dyDescent="0.25">
      <c r="A267" s="130"/>
      <c r="B267" s="602">
        <v>9.6203007518797108</v>
      </c>
      <c r="C267" s="604"/>
      <c r="D267" s="606"/>
      <c r="E267" s="606"/>
      <c r="F267" s="132"/>
      <c r="G267" s="608"/>
      <c r="H267" s="598"/>
      <c r="I267" s="600"/>
      <c r="J267" s="532"/>
      <c r="K267" s="133"/>
      <c r="L267" s="133"/>
      <c r="M267" s="133"/>
      <c r="N267" s="133"/>
      <c r="O267" s="133"/>
      <c r="Q267" s="130"/>
    </row>
    <row r="268" spans="1:17" ht="20.100000000000001" customHeight="1" x14ac:dyDescent="0.25">
      <c r="A268" s="130" t="str">
        <f t="shared" ca="1" si="308"/>
        <v>a1GDm000000XmmrMAC</v>
      </c>
      <c r="B268" s="601">
        <v>13</v>
      </c>
      <c r="C268" s="603" t="str">
        <f>IFERROR(VLOOKUP(B268,'Impact Indicators - Section B '!$A$9:$AC$68,29,FALSE),"")</f>
        <v/>
      </c>
      <c r="D268" s="605" t="str">
        <f t="shared" ref="D268" si="414">M268</f>
        <v/>
      </c>
      <c r="E268" s="605" t="str">
        <f t="shared" ref="E268" si="415">N268</f>
        <v/>
      </c>
      <c r="F268" s="131"/>
      <c r="G268" s="607" t="str">
        <f ca="1">IF(OR(INDIRECT("'update Helper'!E"&amp;Q268)="",F268&lt;&gt;0,F269&lt;&gt;0),IF(IFERROR((F268/F269),"")="","",(F268/F269)),INDIRECT("'update Helper'!E"&amp;Q268)/100)</f>
        <v/>
      </c>
      <c r="H268" s="597"/>
      <c r="I268" s="599"/>
      <c r="J268" s="531"/>
      <c r="K268" s="130">
        <f>IF(AND(EXACT(C268,C266),C266&lt;&gt;0),K266+1,0)</f>
        <v>79</v>
      </c>
      <c r="L268" s="130" t="str">
        <f>IF(C268&lt;&gt;"",C268&amp;"-"&amp;K268,"")</f>
        <v/>
      </c>
      <c r="M268" s="130" t="str">
        <f t="array" ref="M268">IFERROR(IF(INDEX('Disaggregation Records'!$E$3:$E$80,MATCH(RIGHT(L268,255),RIGHT('Disaggregation Records'!$D$3:$D$80,255),0))="","",INDEX('Disaggregation Records'!$E$3:$E$80,MATCH(RIGHT(L268,255),RIGHT('Disaggregation Records'!$D$3:$D$80,255),0))),"")</f>
        <v/>
      </c>
      <c r="N268" s="130" t="str">
        <f t="array" ref="N268">IFERROR(IF(INDEX('Disaggregation Records'!$F$3:$F$80,MATCH(RIGHT(L268,255),RIGHT('Disaggregation Records'!$D$3:$D$80,255),0))="","",INDEX('Disaggregation Records'!$F$3:$F$80,MATCH(RIGHT(L268,255),RIGHT('Disaggregation Records'!$D$3:$D$80,255),0))),"")</f>
        <v/>
      </c>
      <c r="O268" s="130" t="str">
        <f t="array" ref="O268">IFERROR(IF(INDEX('Disaggregation Records'!$H$3:$H$80,MATCH(RIGHT(L268,255),RIGHT('Disaggregation Records'!$D$3:$D$80,255),0))="","",INDEX('Disaggregation Records'!$H$3:$H$80,MATCH(RIGHT(L268,255),RIGHT('Disaggregation Records'!$D$3:$D$80,255),0))),"")</f>
        <v/>
      </c>
      <c r="P268" s="130"/>
      <c r="Q268" s="52">
        <f t="shared" ref="Q268" si="416">Q266+1</f>
        <v>1320</v>
      </c>
    </row>
    <row r="269" spans="1:17" ht="20.100000000000001" customHeight="1" x14ac:dyDescent="0.25">
      <c r="B269" s="602">
        <v>9.6203007518797108</v>
      </c>
      <c r="C269" s="604"/>
      <c r="D269" s="606"/>
      <c r="E269" s="606"/>
      <c r="F269" s="132"/>
      <c r="G269" s="608"/>
      <c r="H269" s="598"/>
      <c r="I269" s="600"/>
      <c r="J269" s="532"/>
      <c r="K269" s="133"/>
      <c r="L269" s="133"/>
      <c r="M269" s="133"/>
      <c r="N269" s="133"/>
      <c r="O269" s="133"/>
      <c r="P269" s="133"/>
      <c r="Q269" s="130"/>
    </row>
    <row r="270" spans="1:17" ht="20.100000000000001" customHeight="1" x14ac:dyDescent="0.25">
      <c r="A270" s="130" t="str">
        <f t="shared" ref="A270" ca="1" si="417">INDIRECT("'update Helper'!C"&amp;Q270)</f>
        <v>a1GDm000000XmmsMAC</v>
      </c>
      <c r="B270" s="601">
        <v>14</v>
      </c>
      <c r="C270" s="603" t="str">
        <f>IFERROR(VLOOKUP(B270,'Impact Indicators - Section B '!$A$9:$AC$68,29,FALSE),"")</f>
        <v/>
      </c>
      <c r="D270" s="605" t="str">
        <f t="shared" ref="D270" si="418">M270</f>
        <v/>
      </c>
      <c r="E270" s="605" t="str">
        <f t="shared" ref="E270" si="419">N270</f>
        <v/>
      </c>
      <c r="F270" s="131"/>
      <c r="G270" s="607" t="str">
        <f ca="1">IF(OR(INDIRECT("'update Helper'!E"&amp;Q270)="",F270&lt;&gt;0,F271&lt;&gt;0),IF(IFERROR((F270/F271),"")="","",(F270/F271)),INDIRECT("'update Helper'!E"&amp;Q270)/100)</f>
        <v/>
      </c>
      <c r="H270" s="597"/>
      <c r="I270" s="599"/>
      <c r="J270" s="531"/>
      <c r="K270" s="130">
        <f>IF(AND(EXACT(C270,C268),C268&lt;&gt;0),K268+1,0)</f>
        <v>80</v>
      </c>
      <c r="L270" s="130" t="str">
        <f>IF(C270&lt;&gt;"",C270&amp;"-"&amp;K270,"")</f>
        <v/>
      </c>
      <c r="M270" s="130" t="str">
        <f t="array" ref="M270">IFERROR(IF(INDEX('Disaggregation Records'!$E$3:$E$80,MATCH(RIGHT(L270,255),RIGHT('Disaggregation Records'!$D$3:$D$80,255),0))="","",INDEX('Disaggregation Records'!$E$3:$E$80,MATCH(RIGHT(L270,255),RIGHT('Disaggregation Records'!$D$3:$D$80,255),0))),"")</f>
        <v/>
      </c>
      <c r="N270" s="130" t="str">
        <f t="array" ref="N270">IFERROR(IF(INDEX('Disaggregation Records'!$F$3:$F$80,MATCH(RIGHT(L270,255),RIGHT('Disaggregation Records'!$D$3:$D$80,255),0))="","",INDEX('Disaggregation Records'!$F$3:$F$80,MATCH(RIGHT(L270,255),RIGHT('Disaggregation Records'!$D$3:$D$80,255),0))),"")</f>
        <v/>
      </c>
      <c r="O270" s="130" t="str">
        <f t="array" ref="O270">IFERROR(IF(INDEX('Disaggregation Records'!$H$3:$H$80,MATCH(RIGHT(L270,255),RIGHT('Disaggregation Records'!$D$3:$D$80,255),0))="","",INDEX('Disaggregation Records'!$H$3:$H$80,MATCH(RIGHT(L270,255),RIGHT('Disaggregation Records'!$D$3:$D$80,255),0))),"")</f>
        <v/>
      </c>
      <c r="Q270" s="52">
        <f t="shared" ref="Q270" si="420">Q268+1</f>
        <v>1321</v>
      </c>
    </row>
    <row r="271" spans="1:17" ht="20.100000000000001" customHeight="1" x14ac:dyDescent="0.25">
      <c r="A271" s="130"/>
      <c r="B271" s="602">
        <v>10.3721804511278</v>
      </c>
      <c r="C271" s="604"/>
      <c r="D271" s="606"/>
      <c r="E271" s="606"/>
      <c r="F271" s="132"/>
      <c r="G271" s="608"/>
      <c r="H271" s="598"/>
      <c r="I271" s="600"/>
      <c r="J271" s="532"/>
      <c r="K271" s="133"/>
      <c r="L271" s="133"/>
      <c r="M271" s="133"/>
      <c r="N271" s="133"/>
      <c r="O271" s="133"/>
      <c r="Q271" s="130"/>
    </row>
    <row r="272" spans="1:17" ht="20.100000000000001" customHeight="1" x14ac:dyDescent="0.25">
      <c r="A272" s="130" t="str">
        <f t="shared" ref="A272:A308" ca="1" si="421">INDIRECT("'update Helper'!C"&amp;Q272)</f>
        <v>a1GDm000000XmmtMAC</v>
      </c>
      <c r="B272" s="601">
        <v>14</v>
      </c>
      <c r="C272" s="603" t="str">
        <f>IFERROR(VLOOKUP(B272,'Impact Indicators - Section B '!$A$9:$AC$68,29,FALSE),"")</f>
        <v/>
      </c>
      <c r="D272" s="605" t="str">
        <f t="shared" ref="D272" si="422">M272</f>
        <v/>
      </c>
      <c r="E272" s="605" t="str">
        <f t="shared" ref="E272" si="423">N272</f>
        <v/>
      </c>
      <c r="F272" s="131"/>
      <c r="G272" s="607" t="str">
        <f ca="1">IF(OR(INDIRECT("'update Helper'!E"&amp;Q272)="",F272&lt;&gt;0,F273&lt;&gt;0),IF(IFERROR((F272/F273),"")="","",(F272/F273)),INDIRECT("'update Helper'!E"&amp;Q272)/100)</f>
        <v/>
      </c>
      <c r="H272" s="597"/>
      <c r="I272" s="599"/>
      <c r="J272" s="531"/>
      <c r="K272" s="130">
        <f>IF(AND(EXACT(C272,C270),C270&lt;&gt;0),K270+1,0)</f>
        <v>81</v>
      </c>
      <c r="L272" s="130" t="str">
        <f>IF(C272&lt;&gt;"",C272&amp;"-"&amp;K272,"")</f>
        <v/>
      </c>
      <c r="M272" s="130" t="str">
        <f t="array" ref="M272">IFERROR(IF(INDEX('Disaggregation Records'!$E$3:$E$80,MATCH(RIGHT(L272,255),RIGHT('Disaggregation Records'!$D$3:$D$80,255),0))="","",INDEX('Disaggregation Records'!$E$3:$E$80,MATCH(RIGHT(L272,255),RIGHT('Disaggregation Records'!$D$3:$D$80,255),0))),"")</f>
        <v/>
      </c>
      <c r="N272" s="130" t="str">
        <f t="array" ref="N272">IFERROR(IF(INDEX('Disaggregation Records'!$F$3:$F$80,MATCH(RIGHT(L272,255),RIGHT('Disaggregation Records'!$D$3:$D$80,255),0))="","",INDEX('Disaggregation Records'!$F$3:$F$80,MATCH(RIGHT(L272,255),RIGHT('Disaggregation Records'!$D$3:$D$80,255),0))),"")</f>
        <v/>
      </c>
      <c r="O272" s="130" t="str">
        <f t="array" ref="O272">IFERROR(IF(INDEX('Disaggregation Records'!$H$3:$H$80,MATCH(RIGHT(L272,255),RIGHT('Disaggregation Records'!$D$3:$D$80,255),0))="","",INDEX('Disaggregation Records'!$H$3:$H$80,MATCH(RIGHT(L272,255),RIGHT('Disaggregation Records'!$D$3:$D$80,255),0))),"")</f>
        <v/>
      </c>
      <c r="P272" s="130"/>
      <c r="Q272" s="52">
        <f t="shared" ref="Q272" si="424">Q270+1</f>
        <v>1322</v>
      </c>
    </row>
    <row r="273" spans="1:17" ht="20.100000000000001" customHeight="1" x14ac:dyDescent="0.25">
      <c r="B273" s="602">
        <v>10.3721804511278</v>
      </c>
      <c r="C273" s="604"/>
      <c r="D273" s="606"/>
      <c r="E273" s="606"/>
      <c r="F273" s="132"/>
      <c r="G273" s="608"/>
      <c r="H273" s="598"/>
      <c r="I273" s="600"/>
      <c r="J273" s="532"/>
      <c r="K273" s="133"/>
      <c r="L273" s="133"/>
      <c r="M273" s="133"/>
      <c r="N273" s="133"/>
      <c r="O273" s="133"/>
      <c r="P273" s="133"/>
      <c r="Q273" s="130"/>
    </row>
    <row r="274" spans="1:17" ht="20.100000000000001" customHeight="1" x14ac:dyDescent="0.25">
      <c r="A274" s="130" t="str">
        <f t="shared" ref="A274" ca="1" si="425">INDIRECT("'update Helper'!C"&amp;Q274)</f>
        <v>a1GDm000000XmmuMAC</v>
      </c>
      <c r="B274" s="601">
        <v>14</v>
      </c>
      <c r="C274" s="603" t="str">
        <f>IFERROR(VLOOKUP(B274,'Impact Indicators - Section B '!$A$9:$AC$68,29,FALSE),"")</f>
        <v/>
      </c>
      <c r="D274" s="605" t="str">
        <f t="shared" ref="D274" si="426">M274</f>
        <v/>
      </c>
      <c r="E274" s="605" t="str">
        <f t="shared" ref="E274" si="427">N274</f>
        <v/>
      </c>
      <c r="F274" s="131"/>
      <c r="G274" s="607" t="str">
        <f ca="1">IF(OR(INDIRECT("'update Helper'!E"&amp;Q274)="",F274&lt;&gt;0,F275&lt;&gt;0),IF(IFERROR((F274/F275),"")="","",(F274/F275)),INDIRECT("'update Helper'!E"&amp;Q274)/100)</f>
        <v/>
      </c>
      <c r="H274" s="597"/>
      <c r="I274" s="599"/>
      <c r="J274" s="531"/>
      <c r="K274" s="130">
        <f>IF(AND(EXACT(C274,C272),C272&lt;&gt;0),K272+1,0)</f>
        <v>82</v>
      </c>
      <c r="L274" s="130" t="str">
        <f>IF(C274&lt;&gt;"",C274&amp;"-"&amp;K274,"")</f>
        <v/>
      </c>
      <c r="M274" s="130" t="str">
        <f t="array" ref="M274">IFERROR(IF(INDEX('Disaggregation Records'!$E$3:$E$80,MATCH(RIGHT(L274,255),RIGHT('Disaggregation Records'!$D$3:$D$80,255),0))="","",INDEX('Disaggregation Records'!$E$3:$E$80,MATCH(RIGHT(L274,255),RIGHT('Disaggregation Records'!$D$3:$D$80,255),0))),"")</f>
        <v/>
      </c>
      <c r="N274" s="130" t="str">
        <f t="array" ref="N274">IFERROR(IF(INDEX('Disaggregation Records'!$F$3:$F$80,MATCH(RIGHT(L274,255),RIGHT('Disaggregation Records'!$D$3:$D$80,255),0))="","",INDEX('Disaggregation Records'!$F$3:$F$80,MATCH(RIGHT(L274,255),RIGHT('Disaggregation Records'!$D$3:$D$80,255),0))),"")</f>
        <v/>
      </c>
      <c r="O274" s="130" t="str">
        <f t="array" ref="O274">IFERROR(IF(INDEX('Disaggregation Records'!$H$3:$H$80,MATCH(RIGHT(L274,255),RIGHT('Disaggregation Records'!$D$3:$D$80,255),0))="","",INDEX('Disaggregation Records'!$H$3:$H$80,MATCH(RIGHT(L274,255),RIGHT('Disaggregation Records'!$D$3:$D$80,255),0))),"")</f>
        <v/>
      </c>
      <c r="Q274" s="52">
        <f t="shared" ref="Q274" si="428">Q272+1</f>
        <v>1323</v>
      </c>
    </row>
    <row r="275" spans="1:17" ht="20.100000000000001" customHeight="1" x14ac:dyDescent="0.25">
      <c r="A275" s="130"/>
      <c r="B275" s="602">
        <v>10.3721804511278</v>
      </c>
      <c r="C275" s="604"/>
      <c r="D275" s="606"/>
      <c r="E275" s="606"/>
      <c r="F275" s="132"/>
      <c r="G275" s="608"/>
      <c r="H275" s="598"/>
      <c r="I275" s="600"/>
      <c r="J275" s="532"/>
      <c r="K275" s="133"/>
      <c r="L275" s="133"/>
      <c r="M275" s="133"/>
      <c r="N275" s="133"/>
      <c r="O275" s="133"/>
      <c r="Q275" s="130"/>
    </row>
    <row r="276" spans="1:17" ht="20.100000000000001" customHeight="1" x14ac:dyDescent="0.25">
      <c r="A276" s="130" t="str">
        <f t="shared" ca="1" si="421"/>
        <v>a1GDm000000XmmvMAC</v>
      </c>
      <c r="B276" s="601">
        <v>14</v>
      </c>
      <c r="C276" s="603" t="str">
        <f>IFERROR(VLOOKUP(B276,'Impact Indicators - Section B '!$A$9:$AC$68,29,FALSE),"")</f>
        <v/>
      </c>
      <c r="D276" s="605" t="str">
        <f t="shared" ref="D276" si="429">M276</f>
        <v/>
      </c>
      <c r="E276" s="605" t="str">
        <f t="shared" ref="E276" si="430">N276</f>
        <v/>
      </c>
      <c r="F276" s="131"/>
      <c r="G276" s="607" t="str">
        <f ca="1">IF(OR(INDIRECT("'update Helper'!E"&amp;Q276)="",F276&lt;&gt;0,F277&lt;&gt;0),IF(IFERROR((F276/F277),"")="","",(F276/F277)),INDIRECT("'update Helper'!E"&amp;Q276)/100)</f>
        <v/>
      </c>
      <c r="H276" s="597"/>
      <c r="I276" s="599"/>
      <c r="J276" s="531"/>
      <c r="K276" s="130">
        <f>IF(AND(EXACT(C276,C274),C274&lt;&gt;0),K274+1,0)</f>
        <v>83</v>
      </c>
      <c r="L276" s="130" t="str">
        <f>IF(C276&lt;&gt;"",C276&amp;"-"&amp;K276,"")</f>
        <v/>
      </c>
      <c r="M276" s="130" t="str">
        <f t="array" ref="M276">IFERROR(IF(INDEX('Disaggregation Records'!$E$3:$E$80,MATCH(RIGHT(L276,255),RIGHT('Disaggregation Records'!$D$3:$D$80,255),0))="","",INDEX('Disaggregation Records'!$E$3:$E$80,MATCH(RIGHT(L276,255),RIGHT('Disaggregation Records'!$D$3:$D$80,255),0))),"")</f>
        <v/>
      </c>
      <c r="N276" s="130" t="str">
        <f t="array" ref="N276">IFERROR(IF(INDEX('Disaggregation Records'!$F$3:$F$80,MATCH(RIGHT(L276,255),RIGHT('Disaggregation Records'!$D$3:$D$80,255),0))="","",INDEX('Disaggregation Records'!$F$3:$F$80,MATCH(RIGHT(L276,255),RIGHT('Disaggregation Records'!$D$3:$D$80,255),0))),"")</f>
        <v/>
      </c>
      <c r="O276" s="130" t="str">
        <f t="array" ref="O276">IFERROR(IF(INDEX('Disaggregation Records'!$H$3:$H$80,MATCH(RIGHT(L276,255),RIGHT('Disaggregation Records'!$D$3:$D$80,255),0))="","",INDEX('Disaggregation Records'!$H$3:$H$80,MATCH(RIGHT(L276,255),RIGHT('Disaggregation Records'!$D$3:$D$80,255),0))),"")</f>
        <v/>
      </c>
      <c r="P276" s="130"/>
      <c r="Q276" s="52">
        <f t="shared" ref="Q276" si="431">Q274+1</f>
        <v>1324</v>
      </c>
    </row>
    <row r="277" spans="1:17" ht="20.100000000000001" customHeight="1" x14ac:dyDescent="0.25">
      <c r="B277" s="602">
        <v>10.3721804511278</v>
      </c>
      <c r="C277" s="604"/>
      <c r="D277" s="606"/>
      <c r="E277" s="606"/>
      <c r="F277" s="132"/>
      <c r="G277" s="608"/>
      <c r="H277" s="598"/>
      <c r="I277" s="600"/>
      <c r="J277" s="532"/>
      <c r="K277" s="133"/>
      <c r="L277" s="133"/>
      <c r="M277" s="133"/>
      <c r="N277" s="133"/>
      <c r="O277" s="133"/>
      <c r="P277" s="133"/>
      <c r="Q277" s="130"/>
    </row>
    <row r="278" spans="1:17" ht="20.100000000000001" customHeight="1" x14ac:dyDescent="0.25">
      <c r="A278" s="130" t="str">
        <f t="shared" ref="A278" ca="1" si="432">INDIRECT("'update Helper'!C"&amp;Q278)</f>
        <v>a1GDm000000XmmwMAC</v>
      </c>
      <c r="B278" s="601">
        <v>14</v>
      </c>
      <c r="C278" s="603" t="str">
        <f>IFERROR(VLOOKUP(B278,'Impact Indicators - Section B '!$A$9:$AC$68,29,FALSE),"")</f>
        <v/>
      </c>
      <c r="D278" s="605" t="str">
        <f t="shared" ref="D278" si="433">M278</f>
        <v/>
      </c>
      <c r="E278" s="605" t="str">
        <f t="shared" ref="E278" si="434">N278</f>
        <v/>
      </c>
      <c r="F278" s="131"/>
      <c r="G278" s="607" t="str">
        <f ca="1">IF(OR(INDIRECT("'update Helper'!E"&amp;Q278)="",F278&lt;&gt;0,F279&lt;&gt;0),IF(IFERROR((F278/F279),"")="","",(F278/F279)),INDIRECT("'update Helper'!E"&amp;Q278)/100)</f>
        <v/>
      </c>
      <c r="H278" s="597"/>
      <c r="I278" s="599"/>
      <c r="J278" s="531"/>
      <c r="K278" s="130">
        <f>IF(AND(EXACT(C278,C276),C276&lt;&gt;0),K276+1,0)</f>
        <v>84</v>
      </c>
      <c r="L278" s="130" t="str">
        <f>IF(C278&lt;&gt;"",C278&amp;"-"&amp;K278,"")</f>
        <v/>
      </c>
      <c r="M278" s="130" t="str">
        <f t="array" ref="M278">IFERROR(IF(INDEX('Disaggregation Records'!$E$3:$E$80,MATCH(RIGHT(L278,255),RIGHT('Disaggregation Records'!$D$3:$D$80,255),0))="","",INDEX('Disaggregation Records'!$E$3:$E$80,MATCH(RIGHT(L278,255),RIGHT('Disaggregation Records'!$D$3:$D$80,255),0))),"")</f>
        <v/>
      </c>
      <c r="N278" s="130" t="str">
        <f t="array" ref="N278">IFERROR(IF(INDEX('Disaggregation Records'!$F$3:$F$80,MATCH(RIGHT(L278,255),RIGHT('Disaggregation Records'!$D$3:$D$80,255),0))="","",INDEX('Disaggregation Records'!$F$3:$F$80,MATCH(RIGHT(L278,255),RIGHT('Disaggregation Records'!$D$3:$D$80,255),0))),"")</f>
        <v/>
      </c>
      <c r="O278" s="130" t="str">
        <f t="array" ref="O278">IFERROR(IF(INDEX('Disaggregation Records'!$H$3:$H$80,MATCH(RIGHT(L278,255),RIGHT('Disaggregation Records'!$D$3:$D$80,255),0))="","",INDEX('Disaggregation Records'!$H$3:$H$80,MATCH(RIGHT(L278,255),RIGHT('Disaggregation Records'!$D$3:$D$80,255),0))),"")</f>
        <v/>
      </c>
      <c r="Q278" s="52">
        <f t="shared" ref="Q278" si="435">Q276+1</f>
        <v>1325</v>
      </c>
    </row>
    <row r="279" spans="1:17" ht="20.100000000000001" customHeight="1" x14ac:dyDescent="0.25">
      <c r="A279" s="130"/>
      <c r="B279" s="602">
        <v>10.3721804511278</v>
      </c>
      <c r="C279" s="604"/>
      <c r="D279" s="606"/>
      <c r="E279" s="606"/>
      <c r="F279" s="132"/>
      <c r="G279" s="608"/>
      <c r="H279" s="598"/>
      <c r="I279" s="600"/>
      <c r="J279" s="532"/>
      <c r="K279" s="133"/>
      <c r="L279" s="133"/>
      <c r="M279" s="133"/>
      <c r="N279" s="133"/>
      <c r="O279" s="133"/>
      <c r="Q279" s="130"/>
    </row>
    <row r="280" spans="1:17" ht="20.100000000000001" customHeight="1" x14ac:dyDescent="0.25">
      <c r="A280" s="130" t="str">
        <f t="shared" ca="1" si="421"/>
        <v>a1GDm000000XmmxMAC</v>
      </c>
      <c r="B280" s="601">
        <v>14</v>
      </c>
      <c r="C280" s="603" t="str">
        <f>IFERROR(VLOOKUP(B280,'Impact Indicators - Section B '!$A$9:$AC$68,29,FALSE),"")</f>
        <v/>
      </c>
      <c r="D280" s="605" t="str">
        <f t="shared" ref="D280" si="436">M280</f>
        <v/>
      </c>
      <c r="E280" s="605" t="str">
        <f t="shared" ref="E280" si="437">N280</f>
        <v/>
      </c>
      <c r="F280" s="131"/>
      <c r="G280" s="607" t="str">
        <f ca="1">IF(OR(INDIRECT("'update Helper'!E"&amp;Q280)="",F280&lt;&gt;0,F281&lt;&gt;0),IF(IFERROR((F280/F281),"")="","",(F280/F281)),INDIRECT("'update Helper'!E"&amp;Q280)/100)</f>
        <v/>
      </c>
      <c r="H280" s="597"/>
      <c r="I280" s="599"/>
      <c r="J280" s="531"/>
      <c r="K280" s="130">
        <f>IF(AND(EXACT(C280,C278),C278&lt;&gt;0),K278+1,0)</f>
        <v>85</v>
      </c>
      <c r="L280" s="130" t="str">
        <f>IF(C280&lt;&gt;"",C280&amp;"-"&amp;K280,"")</f>
        <v/>
      </c>
      <c r="M280" s="130" t="str">
        <f t="array" ref="M280">IFERROR(IF(INDEX('Disaggregation Records'!$E$3:$E$80,MATCH(RIGHT(L280,255),RIGHT('Disaggregation Records'!$D$3:$D$80,255),0))="","",INDEX('Disaggregation Records'!$E$3:$E$80,MATCH(RIGHT(L280,255),RIGHT('Disaggregation Records'!$D$3:$D$80,255),0))),"")</f>
        <v/>
      </c>
      <c r="N280" s="130" t="str">
        <f t="array" ref="N280">IFERROR(IF(INDEX('Disaggregation Records'!$F$3:$F$80,MATCH(RIGHT(L280,255),RIGHT('Disaggregation Records'!$D$3:$D$80,255),0))="","",INDEX('Disaggregation Records'!$F$3:$F$80,MATCH(RIGHT(L280,255),RIGHT('Disaggregation Records'!$D$3:$D$80,255),0))),"")</f>
        <v/>
      </c>
      <c r="O280" s="130" t="str">
        <f t="array" ref="O280">IFERROR(IF(INDEX('Disaggregation Records'!$H$3:$H$80,MATCH(RIGHT(L280,255),RIGHT('Disaggregation Records'!$D$3:$D$80,255),0))="","",INDEX('Disaggregation Records'!$H$3:$H$80,MATCH(RIGHT(L280,255),RIGHT('Disaggregation Records'!$D$3:$D$80,255),0))),"")</f>
        <v/>
      </c>
      <c r="P280" s="130"/>
      <c r="Q280" s="52">
        <f t="shared" ref="Q280" si="438">Q278+1</f>
        <v>1326</v>
      </c>
    </row>
    <row r="281" spans="1:17" ht="20.100000000000001" customHeight="1" x14ac:dyDescent="0.25">
      <c r="B281" s="602">
        <v>10.3721804511278</v>
      </c>
      <c r="C281" s="604"/>
      <c r="D281" s="606"/>
      <c r="E281" s="606"/>
      <c r="F281" s="132"/>
      <c r="G281" s="608"/>
      <c r="H281" s="598"/>
      <c r="I281" s="600"/>
      <c r="J281" s="532"/>
      <c r="K281" s="133"/>
      <c r="L281" s="133"/>
      <c r="M281" s="133"/>
      <c r="N281" s="133"/>
      <c r="O281" s="133"/>
      <c r="P281" s="133"/>
      <c r="Q281" s="130"/>
    </row>
    <row r="282" spans="1:17" ht="20.100000000000001" customHeight="1" x14ac:dyDescent="0.25">
      <c r="A282" s="130" t="str">
        <f t="shared" ref="A282" ca="1" si="439">INDIRECT("'update Helper'!C"&amp;Q282)</f>
        <v>a1GDm000000XmmyMAC</v>
      </c>
      <c r="B282" s="601">
        <v>14</v>
      </c>
      <c r="C282" s="603" t="str">
        <f>IFERROR(VLOOKUP(B282,'Impact Indicators - Section B '!$A$9:$AC$68,29,FALSE),"")</f>
        <v/>
      </c>
      <c r="D282" s="605" t="str">
        <f t="shared" ref="D282" si="440">M282</f>
        <v/>
      </c>
      <c r="E282" s="605" t="str">
        <f t="shared" ref="E282" si="441">N282</f>
        <v/>
      </c>
      <c r="F282" s="131"/>
      <c r="G282" s="607" t="str">
        <f ca="1">IF(OR(INDIRECT("'update Helper'!E"&amp;Q282)="",F282&lt;&gt;0,F283&lt;&gt;0),IF(IFERROR((F282/F283),"")="","",(F282/F283)),INDIRECT("'update Helper'!E"&amp;Q282)/100)</f>
        <v/>
      </c>
      <c r="H282" s="597"/>
      <c r="I282" s="599"/>
      <c r="J282" s="531"/>
      <c r="K282" s="130">
        <f>IF(AND(EXACT(C282,C280),C280&lt;&gt;0),K280+1,0)</f>
        <v>86</v>
      </c>
      <c r="L282" s="130" t="str">
        <f>IF(C282&lt;&gt;"",C282&amp;"-"&amp;K282,"")</f>
        <v/>
      </c>
      <c r="M282" s="130" t="str">
        <f t="array" ref="M282">IFERROR(IF(INDEX('Disaggregation Records'!$E$3:$E$80,MATCH(RIGHT(L282,255),RIGHT('Disaggregation Records'!$D$3:$D$80,255),0))="","",INDEX('Disaggregation Records'!$E$3:$E$80,MATCH(RIGHT(L282,255),RIGHT('Disaggregation Records'!$D$3:$D$80,255),0))),"")</f>
        <v/>
      </c>
      <c r="N282" s="130" t="str">
        <f t="array" ref="N282">IFERROR(IF(INDEX('Disaggregation Records'!$F$3:$F$80,MATCH(RIGHT(L282,255),RIGHT('Disaggregation Records'!$D$3:$D$80,255),0))="","",INDEX('Disaggregation Records'!$F$3:$F$80,MATCH(RIGHT(L282,255),RIGHT('Disaggregation Records'!$D$3:$D$80,255),0))),"")</f>
        <v/>
      </c>
      <c r="O282" s="130" t="str">
        <f t="array" ref="O282">IFERROR(IF(INDEX('Disaggregation Records'!$H$3:$H$80,MATCH(RIGHT(L282,255),RIGHT('Disaggregation Records'!$D$3:$D$80,255),0))="","",INDEX('Disaggregation Records'!$H$3:$H$80,MATCH(RIGHT(L282,255),RIGHT('Disaggregation Records'!$D$3:$D$80,255),0))),"")</f>
        <v/>
      </c>
      <c r="Q282" s="52">
        <f t="shared" ref="Q282" si="442">Q280+1</f>
        <v>1327</v>
      </c>
    </row>
    <row r="283" spans="1:17" ht="20.100000000000001" customHeight="1" x14ac:dyDescent="0.25">
      <c r="A283" s="130"/>
      <c r="B283" s="602">
        <v>10.3721804511278</v>
      </c>
      <c r="C283" s="604"/>
      <c r="D283" s="606"/>
      <c r="E283" s="606"/>
      <c r="F283" s="132"/>
      <c r="G283" s="608"/>
      <c r="H283" s="598"/>
      <c r="I283" s="600"/>
      <c r="J283" s="532"/>
      <c r="K283" s="133"/>
      <c r="L283" s="133"/>
      <c r="M283" s="133"/>
      <c r="N283" s="133"/>
      <c r="O283" s="133"/>
      <c r="Q283" s="130"/>
    </row>
    <row r="284" spans="1:17" ht="20.100000000000001" customHeight="1" x14ac:dyDescent="0.25">
      <c r="A284" s="130" t="str">
        <f t="shared" ca="1" si="421"/>
        <v>a1GDm000000XmmzMAC</v>
      </c>
      <c r="B284" s="601">
        <v>14</v>
      </c>
      <c r="C284" s="603" t="str">
        <f>IFERROR(VLOOKUP(B284,'Impact Indicators - Section B '!$A$9:$AC$68,29,FALSE),"")</f>
        <v/>
      </c>
      <c r="D284" s="605" t="str">
        <f t="shared" ref="D284" si="443">M284</f>
        <v/>
      </c>
      <c r="E284" s="605" t="str">
        <f t="shared" ref="E284" si="444">N284</f>
        <v/>
      </c>
      <c r="F284" s="131"/>
      <c r="G284" s="607" t="str">
        <f ca="1">IF(OR(INDIRECT("'update Helper'!E"&amp;Q284)="",F284&lt;&gt;0,F285&lt;&gt;0),IF(IFERROR((F284/F285),"")="","",(F284/F285)),INDIRECT("'update Helper'!E"&amp;Q284)/100)</f>
        <v/>
      </c>
      <c r="H284" s="597"/>
      <c r="I284" s="599"/>
      <c r="J284" s="531"/>
      <c r="K284" s="130">
        <f>IF(AND(EXACT(C284,C282),C282&lt;&gt;0),K282+1,0)</f>
        <v>87</v>
      </c>
      <c r="L284" s="130" t="str">
        <f>IF(C284&lt;&gt;"",C284&amp;"-"&amp;K284,"")</f>
        <v/>
      </c>
      <c r="M284" s="130" t="str">
        <f t="array" ref="M284">IFERROR(IF(INDEX('Disaggregation Records'!$E$3:$E$80,MATCH(RIGHT(L284,255),RIGHT('Disaggregation Records'!$D$3:$D$80,255),0))="","",INDEX('Disaggregation Records'!$E$3:$E$80,MATCH(RIGHT(L284,255),RIGHT('Disaggregation Records'!$D$3:$D$80,255),0))),"")</f>
        <v/>
      </c>
      <c r="N284" s="130" t="str">
        <f t="array" ref="N284">IFERROR(IF(INDEX('Disaggregation Records'!$F$3:$F$80,MATCH(RIGHT(L284,255),RIGHT('Disaggregation Records'!$D$3:$D$80,255),0))="","",INDEX('Disaggregation Records'!$F$3:$F$80,MATCH(RIGHT(L284,255),RIGHT('Disaggregation Records'!$D$3:$D$80,255),0))),"")</f>
        <v/>
      </c>
      <c r="O284" s="130" t="str">
        <f t="array" ref="O284">IFERROR(IF(INDEX('Disaggregation Records'!$H$3:$H$80,MATCH(RIGHT(L284,255),RIGHT('Disaggregation Records'!$D$3:$D$80,255),0))="","",INDEX('Disaggregation Records'!$H$3:$H$80,MATCH(RIGHT(L284,255),RIGHT('Disaggregation Records'!$D$3:$D$80,255),0))),"")</f>
        <v/>
      </c>
      <c r="P284" s="130"/>
      <c r="Q284" s="52">
        <f t="shared" ref="Q284" si="445">Q282+1</f>
        <v>1328</v>
      </c>
    </row>
    <row r="285" spans="1:17" ht="20.100000000000001" customHeight="1" x14ac:dyDescent="0.25">
      <c r="B285" s="602">
        <v>10.3721804511278</v>
      </c>
      <c r="C285" s="604"/>
      <c r="D285" s="606"/>
      <c r="E285" s="606"/>
      <c r="F285" s="132"/>
      <c r="G285" s="608"/>
      <c r="H285" s="598"/>
      <c r="I285" s="600"/>
      <c r="J285" s="532"/>
      <c r="K285" s="133"/>
      <c r="L285" s="133"/>
      <c r="M285" s="133"/>
      <c r="N285" s="133"/>
      <c r="O285" s="133"/>
      <c r="P285" s="133"/>
      <c r="Q285" s="130"/>
    </row>
    <row r="286" spans="1:17" ht="20.100000000000001" customHeight="1" x14ac:dyDescent="0.25">
      <c r="A286" s="130" t="str">
        <f t="shared" ref="A286" ca="1" si="446">INDIRECT("'update Helper'!C"&amp;Q286)</f>
        <v>a1GDm000000Xmn0MAC</v>
      </c>
      <c r="B286" s="601">
        <v>14</v>
      </c>
      <c r="C286" s="603" t="str">
        <f>IFERROR(VLOOKUP(B286,'Impact Indicators - Section B '!$A$9:$AC$68,29,FALSE),"")</f>
        <v/>
      </c>
      <c r="D286" s="605" t="str">
        <f t="shared" ref="D286" si="447">M286</f>
        <v/>
      </c>
      <c r="E286" s="605" t="str">
        <f t="shared" ref="E286" si="448">N286</f>
        <v/>
      </c>
      <c r="F286" s="131"/>
      <c r="G286" s="607" t="str">
        <f ca="1">IF(OR(INDIRECT("'update Helper'!E"&amp;Q286)="",F286&lt;&gt;0,F287&lt;&gt;0),IF(IFERROR((F286/F287),"")="","",(F286/F287)),INDIRECT("'update Helper'!E"&amp;Q286)/100)</f>
        <v/>
      </c>
      <c r="H286" s="597"/>
      <c r="I286" s="599"/>
      <c r="J286" s="531"/>
      <c r="K286" s="130">
        <f>IF(AND(EXACT(C286,C284),C284&lt;&gt;0),K284+1,0)</f>
        <v>88</v>
      </c>
      <c r="L286" s="130" t="str">
        <f>IF(C286&lt;&gt;"",C286&amp;"-"&amp;K286,"")</f>
        <v/>
      </c>
      <c r="M286" s="130" t="str">
        <f t="array" ref="M286">IFERROR(IF(INDEX('Disaggregation Records'!$E$3:$E$80,MATCH(RIGHT(L286,255),RIGHT('Disaggregation Records'!$D$3:$D$80,255),0))="","",INDEX('Disaggregation Records'!$E$3:$E$80,MATCH(RIGHT(L286,255),RIGHT('Disaggregation Records'!$D$3:$D$80,255),0))),"")</f>
        <v/>
      </c>
      <c r="N286" s="130" t="str">
        <f t="array" ref="N286">IFERROR(IF(INDEX('Disaggregation Records'!$F$3:$F$80,MATCH(RIGHT(L286,255),RIGHT('Disaggregation Records'!$D$3:$D$80,255),0))="","",INDEX('Disaggregation Records'!$F$3:$F$80,MATCH(RIGHT(L286,255),RIGHT('Disaggregation Records'!$D$3:$D$80,255),0))),"")</f>
        <v/>
      </c>
      <c r="O286" s="130" t="str">
        <f t="array" ref="O286">IFERROR(IF(INDEX('Disaggregation Records'!$H$3:$H$80,MATCH(RIGHT(L286,255),RIGHT('Disaggregation Records'!$D$3:$D$80,255),0))="","",INDEX('Disaggregation Records'!$H$3:$H$80,MATCH(RIGHT(L286,255),RIGHT('Disaggregation Records'!$D$3:$D$80,255),0))),"")</f>
        <v/>
      </c>
      <c r="Q286" s="52">
        <f t="shared" ref="Q286" si="449">Q284+1</f>
        <v>1329</v>
      </c>
    </row>
    <row r="287" spans="1:17" ht="20.100000000000001" customHeight="1" x14ac:dyDescent="0.25">
      <c r="A287" s="130"/>
      <c r="B287" s="602">
        <v>10.3721804511278</v>
      </c>
      <c r="C287" s="604"/>
      <c r="D287" s="606"/>
      <c r="E287" s="606"/>
      <c r="F287" s="132"/>
      <c r="G287" s="608"/>
      <c r="H287" s="598"/>
      <c r="I287" s="600"/>
      <c r="J287" s="532"/>
      <c r="K287" s="133"/>
      <c r="L287" s="133"/>
      <c r="M287" s="133"/>
      <c r="N287" s="133"/>
      <c r="O287" s="133"/>
      <c r="Q287" s="130"/>
    </row>
    <row r="288" spans="1:17" ht="20.100000000000001" customHeight="1" x14ac:dyDescent="0.25">
      <c r="A288" s="130" t="str">
        <f t="shared" ca="1" si="421"/>
        <v>a1GDm000000Xmn1MAC</v>
      </c>
      <c r="B288" s="601">
        <v>14</v>
      </c>
      <c r="C288" s="603" t="str">
        <f>IFERROR(VLOOKUP(B288,'Impact Indicators - Section B '!$A$9:$AC$68,29,FALSE),"")</f>
        <v/>
      </c>
      <c r="D288" s="605" t="str">
        <f t="shared" ref="D288" si="450">M288</f>
        <v/>
      </c>
      <c r="E288" s="605" t="str">
        <f t="shared" ref="E288" si="451">N288</f>
        <v/>
      </c>
      <c r="F288" s="131"/>
      <c r="G288" s="607" t="str">
        <f ca="1">IF(OR(INDIRECT("'update Helper'!E"&amp;Q288)="",F288&lt;&gt;0,F289&lt;&gt;0),IF(IFERROR((F288/F289),"")="","",(F288/F289)),INDIRECT("'update Helper'!E"&amp;Q288)/100)</f>
        <v/>
      </c>
      <c r="H288" s="597"/>
      <c r="I288" s="599"/>
      <c r="J288" s="531"/>
      <c r="K288" s="130">
        <f>IF(AND(EXACT(C288,C286),C286&lt;&gt;0),K286+1,0)</f>
        <v>89</v>
      </c>
      <c r="L288" s="130" t="str">
        <f>IF(C288&lt;&gt;"",C288&amp;"-"&amp;K288,"")</f>
        <v/>
      </c>
      <c r="M288" s="130" t="str">
        <f t="array" ref="M288">IFERROR(IF(INDEX('Disaggregation Records'!$E$3:$E$80,MATCH(RIGHT(L288,255),RIGHT('Disaggregation Records'!$D$3:$D$80,255),0))="","",INDEX('Disaggregation Records'!$E$3:$E$80,MATCH(RIGHT(L288,255),RIGHT('Disaggregation Records'!$D$3:$D$80,255),0))),"")</f>
        <v/>
      </c>
      <c r="N288" s="130" t="str">
        <f t="array" ref="N288">IFERROR(IF(INDEX('Disaggregation Records'!$F$3:$F$80,MATCH(RIGHT(L288,255),RIGHT('Disaggregation Records'!$D$3:$D$80,255),0))="","",INDEX('Disaggregation Records'!$F$3:$F$80,MATCH(RIGHT(L288,255),RIGHT('Disaggregation Records'!$D$3:$D$80,255),0))),"")</f>
        <v/>
      </c>
      <c r="O288" s="130" t="str">
        <f t="array" ref="O288">IFERROR(IF(INDEX('Disaggregation Records'!$H$3:$H$80,MATCH(RIGHT(L288,255),RIGHT('Disaggregation Records'!$D$3:$D$80,255),0))="","",INDEX('Disaggregation Records'!$H$3:$H$80,MATCH(RIGHT(L288,255),RIGHT('Disaggregation Records'!$D$3:$D$80,255),0))),"")</f>
        <v/>
      </c>
      <c r="P288" s="130"/>
      <c r="Q288" s="52">
        <f t="shared" ref="Q288" si="452">Q286+1</f>
        <v>1330</v>
      </c>
    </row>
    <row r="289" spans="1:17" ht="20.100000000000001" customHeight="1" x14ac:dyDescent="0.25">
      <c r="B289" s="602">
        <v>10.3721804511278</v>
      </c>
      <c r="C289" s="604"/>
      <c r="D289" s="606"/>
      <c r="E289" s="606"/>
      <c r="F289" s="132"/>
      <c r="G289" s="608"/>
      <c r="H289" s="598"/>
      <c r="I289" s="600"/>
      <c r="J289" s="532"/>
      <c r="K289" s="133"/>
      <c r="L289" s="133"/>
      <c r="M289" s="133"/>
      <c r="N289" s="133"/>
      <c r="O289" s="133"/>
      <c r="P289" s="133"/>
      <c r="Q289" s="130"/>
    </row>
    <row r="290" spans="1:17" ht="20.100000000000001" customHeight="1" x14ac:dyDescent="0.25">
      <c r="A290" s="130" t="str">
        <f t="shared" ref="A290" ca="1" si="453">INDIRECT("'update Helper'!C"&amp;Q290)</f>
        <v>a1GDm000000Xmn2MAC</v>
      </c>
      <c r="B290" s="601">
        <v>15</v>
      </c>
      <c r="C290" s="603" t="str">
        <f>IFERROR(VLOOKUP(B290,'Impact Indicators - Section B '!$A$9:$AC$68,29,FALSE),"")</f>
        <v/>
      </c>
      <c r="D290" s="605" t="str">
        <f t="shared" ref="D290" si="454">M290</f>
        <v/>
      </c>
      <c r="E290" s="605" t="str">
        <f t="shared" ref="E290" si="455">N290</f>
        <v/>
      </c>
      <c r="F290" s="131"/>
      <c r="G290" s="607" t="str">
        <f ca="1">IF(OR(INDIRECT("'update Helper'!E"&amp;Q290)="",F290&lt;&gt;0,F291&lt;&gt;0),IF(IFERROR((F290/F291),"")="","",(F290/F291)),INDIRECT("'update Helper'!E"&amp;Q290)/100)</f>
        <v/>
      </c>
      <c r="H290" s="597"/>
      <c r="I290" s="599"/>
      <c r="J290" s="531"/>
      <c r="K290" s="130">
        <f>IF(AND(EXACT(C290,C288),C288&lt;&gt;0),K288+1,0)</f>
        <v>90</v>
      </c>
      <c r="L290" s="130" t="str">
        <f>IF(C290&lt;&gt;"",C290&amp;"-"&amp;K290,"")</f>
        <v/>
      </c>
      <c r="M290" s="130" t="str">
        <f t="array" ref="M290">IFERROR(IF(INDEX('Disaggregation Records'!$E$3:$E$80,MATCH(RIGHT(L290,255),RIGHT('Disaggregation Records'!$D$3:$D$80,255),0))="","",INDEX('Disaggregation Records'!$E$3:$E$80,MATCH(RIGHT(L290,255),RIGHT('Disaggregation Records'!$D$3:$D$80,255),0))),"")</f>
        <v/>
      </c>
      <c r="N290" s="130" t="str">
        <f t="array" ref="N290">IFERROR(IF(INDEX('Disaggregation Records'!$F$3:$F$80,MATCH(RIGHT(L290,255),RIGHT('Disaggregation Records'!$D$3:$D$80,255),0))="","",INDEX('Disaggregation Records'!$F$3:$F$80,MATCH(RIGHT(L290,255),RIGHT('Disaggregation Records'!$D$3:$D$80,255),0))),"")</f>
        <v/>
      </c>
      <c r="O290" s="130" t="str">
        <f t="array" ref="O290">IFERROR(IF(INDEX('Disaggregation Records'!$H$3:$H$80,MATCH(RIGHT(L290,255),RIGHT('Disaggregation Records'!$D$3:$D$80,255),0))="","",INDEX('Disaggregation Records'!$H$3:$H$80,MATCH(RIGHT(L290,255),RIGHT('Disaggregation Records'!$D$3:$D$80,255),0))),"")</f>
        <v/>
      </c>
      <c r="Q290" s="52">
        <f t="shared" ref="Q290" si="456">Q288+1</f>
        <v>1331</v>
      </c>
    </row>
    <row r="291" spans="1:17" ht="20.100000000000001" customHeight="1" x14ac:dyDescent="0.25">
      <c r="A291" s="130"/>
      <c r="B291" s="602">
        <v>11.086466165413601</v>
      </c>
      <c r="C291" s="604"/>
      <c r="D291" s="606"/>
      <c r="E291" s="606"/>
      <c r="F291" s="132"/>
      <c r="G291" s="608"/>
      <c r="H291" s="598"/>
      <c r="I291" s="600"/>
      <c r="J291" s="532"/>
      <c r="K291" s="133"/>
      <c r="L291" s="133"/>
      <c r="M291" s="133"/>
      <c r="N291" s="133"/>
      <c r="O291" s="133"/>
      <c r="Q291" s="130"/>
    </row>
    <row r="292" spans="1:17" ht="20.100000000000001" customHeight="1" x14ac:dyDescent="0.25">
      <c r="A292" s="130" t="str">
        <f t="shared" ca="1" si="421"/>
        <v>a1GDm000000Xmn3MAC</v>
      </c>
      <c r="B292" s="601">
        <v>15</v>
      </c>
      <c r="C292" s="603" t="str">
        <f>IFERROR(VLOOKUP(B292,'Impact Indicators - Section B '!$A$9:$AC$68,29,FALSE),"")</f>
        <v/>
      </c>
      <c r="D292" s="605" t="str">
        <f t="shared" ref="D292" si="457">M292</f>
        <v/>
      </c>
      <c r="E292" s="605" t="str">
        <f t="shared" ref="E292" si="458">N292</f>
        <v/>
      </c>
      <c r="F292" s="131"/>
      <c r="G292" s="607" t="str">
        <f ca="1">IF(OR(INDIRECT("'update Helper'!E"&amp;Q292)="",F292&lt;&gt;0,F293&lt;&gt;0),IF(IFERROR((F292/F293),"")="","",(F292/F293)),INDIRECT("'update Helper'!E"&amp;Q292)/100)</f>
        <v/>
      </c>
      <c r="H292" s="597"/>
      <c r="I292" s="599"/>
      <c r="J292" s="531"/>
      <c r="K292" s="130">
        <f>IF(AND(EXACT(C292,C290),C290&lt;&gt;0),K290+1,0)</f>
        <v>91</v>
      </c>
      <c r="L292" s="130" t="str">
        <f>IF(C292&lt;&gt;"",C292&amp;"-"&amp;K292,"")</f>
        <v/>
      </c>
      <c r="M292" s="130" t="str">
        <f t="array" ref="M292">IFERROR(IF(INDEX('Disaggregation Records'!$E$3:$E$80,MATCH(RIGHT(L292,255),RIGHT('Disaggregation Records'!$D$3:$D$80,255),0))="","",INDEX('Disaggregation Records'!$E$3:$E$80,MATCH(RIGHT(L292,255),RIGHT('Disaggregation Records'!$D$3:$D$80,255),0))),"")</f>
        <v/>
      </c>
      <c r="N292" s="130" t="str">
        <f t="array" ref="N292">IFERROR(IF(INDEX('Disaggregation Records'!$F$3:$F$80,MATCH(RIGHT(L292,255),RIGHT('Disaggregation Records'!$D$3:$D$80,255),0))="","",INDEX('Disaggregation Records'!$F$3:$F$80,MATCH(RIGHT(L292,255),RIGHT('Disaggregation Records'!$D$3:$D$80,255),0))),"")</f>
        <v/>
      </c>
      <c r="O292" s="130" t="str">
        <f t="array" ref="O292">IFERROR(IF(INDEX('Disaggregation Records'!$H$3:$H$80,MATCH(RIGHT(L292,255),RIGHT('Disaggregation Records'!$D$3:$D$80,255),0))="","",INDEX('Disaggregation Records'!$H$3:$H$80,MATCH(RIGHT(L292,255),RIGHT('Disaggregation Records'!$D$3:$D$80,255),0))),"")</f>
        <v/>
      </c>
      <c r="P292" s="130"/>
      <c r="Q292" s="52">
        <f t="shared" ref="Q292" si="459">Q290+1</f>
        <v>1332</v>
      </c>
    </row>
    <row r="293" spans="1:17" ht="20.100000000000001" customHeight="1" x14ac:dyDescent="0.25">
      <c r="B293" s="602">
        <v>11.086466165413601</v>
      </c>
      <c r="C293" s="604"/>
      <c r="D293" s="606"/>
      <c r="E293" s="606"/>
      <c r="F293" s="132"/>
      <c r="G293" s="608"/>
      <c r="H293" s="598"/>
      <c r="I293" s="600"/>
      <c r="J293" s="532"/>
      <c r="K293" s="133"/>
      <c r="L293" s="133"/>
      <c r="M293" s="133"/>
      <c r="N293" s="133"/>
      <c r="O293" s="133"/>
      <c r="P293" s="133"/>
      <c r="Q293" s="130"/>
    </row>
    <row r="294" spans="1:17" ht="20.100000000000001" customHeight="1" x14ac:dyDescent="0.25">
      <c r="A294" s="130" t="str">
        <f t="shared" ref="A294" ca="1" si="460">INDIRECT("'update Helper'!C"&amp;Q294)</f>
        <v>a1GDm000000Xmn4MAC</v>
      </c>
      <c r="B294" s="601">
        <v>15</v>
      </c>
      <c r="C294" s="603" t="str">
        <f>IFERROR(VLOOKUP(B294,'Impact Indicators - Section B '!$A$9:$AC$68,29,FALSE),"")</f>
        <v/>
      </c>
      <c r="D294" s="605" t="str">
        <f t="shared" ref="D294" si="461">M294</f>
        <v/>
      </c>
      <c r="E294" s="605" t="str">
        <f t="shared" ref="E294" si="462">N294</f>
        <v/>
      </c>
      <c r="F294" s="131"/>
      <c r="G294" s="607" t="str">
        <f ca="1">IF(OR(INDIRECT("'update Helper'!E"&amp;Q294)="",F294&lt;&gt;0,F295&lt;&gt;0),IF(IFERROR((F294/F295),"")="","",(F294/F295)),INDIRECT("'update Helper'!E"&amp;Q294)/100)</f>
        <v/>
      </c>
      <c r="H294" s="597"/>
      <c r="I294" s="599"/>
      <c r="J294" s="531"/>
      <c r="K294" s="130">
        <f>IF(AND(EXACT(C294,C292),C292&lt;&gt;0),K292+1,0)</f>
        <v>92</v>
      </c>
      <c r="L294" s="130" t="str">
        <f>IF(C294&lt;&gt;"",C294&amp;"-"&amp;K294,"")</f>
        <v/>
      </c>
      <c r="M294" s="130" t="str">
        <f t="array" ref="M294">IFERROR(IF(INDEX('Disaggregation Records'!$E$3:$E$80,MATCH(RIGHT(L294,255),RIGHT('Disaggregation Records'!$D$3:$D$80,255),0))="","",INDEX('Disaggregation Records'!$E$3:$E$80,MATCH(RIGHT(L294,255),RIGHT('Disaggregation Records'!$D$3:$D$80,255),0))),"")</f>
        <v/>
      </c>
      <c r="N294" s="130" t="str">
        <f t="array" ref="N294">IFERROR(IF(INDEX('Disaggregation Records'!$F$3:$F$80,MATCH(RIGHT(L294,255),RIGHT('Disaggregation Records'!$D$3:$D$80,255),0))="","",INDEX('Disaggregation Records'!$F$3:$F$80,MATCH(RIGHT(L294,255),RIGHT('Disaggregation Records'!$D$3:$D$80,255),0))),"")</f>
        <v/>
      </c>
      <c r="O294" s="130" t="str">
        <f t="array" ref="O294">IFERROR(IF(INDEX('Disaggregation Records'!$H$3:$H$80,MATCH(RIGHT(L294,255),RIGHT('Disaggregation Records'!$D$3:$D$80,255),0))="","",INDEX('Disaggregation Records'!$H$3:$H$80,MATCH(RIGHT(L294,255),RIGHT('Disaggregation Records'!$D$3:$D$80,255),0))),"")</f>
        <v/>
      </c>
      <c r="Q294" s="52">
        <f t="shared" ref="Q294" si="463">Q292+1</f>
        <v>1333</v>
      </c>
    </row>
    <row r="295" spans="1:17" ht="20.100000000000001" customHeight="1" x14ac:dyDescent="0.25">
      <c r="A295" s="130"/>
      <c r="B295" s="602">
        <v>11.086466165413601</v>
      </c>
      <c r="C295" s="604"/>
      <c r="D295" s="606"/>
      <c r="E295" s="606"/>
      <c r="F295" s="132"/>
      <c r="G295" s="608"/>
      <c r="H295" s="598"/>
      <c r="I295" s="600"/>
      <c r="J295" s="532"/>
      <c r="K295" s="133"/>
      <c r="L295" s="133"/>
      <c r="M295" s="133"/>
      <c r="N295" s="133"/>
      <c r="O295" s="133"/>
      <c r="Q295" s="130"/>
    </row>
    <row r="296" spans="1:17" ht="20.100000000000001" customHeight="1" x14ac:dyDescent="0.25">
      <c r="A296" s="130" t="str">
        <f t="shared" ca="1" si="421"/>
        <v>a1GDm000000Xmn5MAC</v>
      </c>
      <c r="B296" s="601">
        <v>15</v>
      </c>
      <c r="C296" s="603" t="str">
        <f>IFERROR(VLOOKUP(B296,'Impact Indicators - Section B '!$A$9:$AC$68,29,FALSE),"")</f>
        <v/>
      </c>
      <c r="D296" s="605" t="str">
        <f t="shared" ref="D296" si="464">M296</f>
        <v/>
      </c>
      <c r="E296" s="605" t="str">
        <f t="shared" ref="E296" si="465">N296</f>
        <v/>
      </c>
      <c r="F296" s="131"/>
      <c r="G296" s="607" t="str">
        <f ca="1">IF(OR(INDIRECT("'update Helper'!E"&amp;Q296)="",F296&lt;&gt;0,F297&lt;&gt;0),IF(IFERROR((F296/F297),"")="","",(F296/F297)),INDIRECT("'update Helper'!E"&amp;Q296)/100)</f>
        <v/>
      </c>
      <c r="H296" s="597"/>
      <c r="I296" s="599"/>
      <c r="J296" s="531"/>
      <c r="K296" s="130">
        <f>IF(AND(EXACT(C296,C294),C294&lt;&gt;0),K294+1,0)</f>
        <v>93</v>
      </c>
      <c r="L296" s="130" t="str">
        <f>IF(C296&lt;&gt;"",C296&amp;"-"&amp;K296,"")</f>
        <v/>
      </c>
      <c r="M296" s="130" t="str">
        <f t="array" ref="M296">IFERROR(IF(INDEX('Disaggregation Records'!$E$3:$E$80,MATCH(RIGHT(L296,255),RIGHT('Disaggregation Records'!$D$3:$D$80,255),0))="","",INDEX('Disaggregation Records'!$E$3:$E$80,MATCH(RIGHT(L296,255),RIGHT('Disaggregation Records'!$D$3:$D$80,255),0))),"")</f>
        <v/>
      </c>
      <c r="N296" s="130" t="str">
        <f t="array" ref="N296">IFERROR(IF(INDEX('Disaggregation Records'!$F$3:$F$80,MATCH(RIGHT(L296,255),RIGHT('Disaggregation Records'!$D$3:$D$80,255),0))="","",INDEX('Disaggregation Records'!$F$3:$F$80,MATCH(RIGHT(L296,255),RIGHT('Disaggregation Records'!$D$3:$D$80,255),0))),"")</f>
        <v/>
      </c>
      <c r="O296" s="130" t="str">
        <f t="array" ref="O296">IFERROR(IF(INDEX('Disaggregation Records'!$H$3:$H$80,MATCH(RIGHT(L296,255),RIGHT('Disaggregation Records'!$D$3:$D$80,255),0))="","",INDEX('Disaggregation Records'!$H$3:$H$80,MATCH(RIGHT(L296,255),RIGHT('Disaggregation Records'!$D$3:$D$80,255),0))),"")</f>
        <v/>
      </c>
      <c r="Q296" s="52">
        <f t="shared" ref="Q296" si="466">Q294+1</f>
        <v>1334</v>
      </c>
    </row>
    <row r="297" spans="1:17" ht="20.100000000000001" customHeight="1" x14ac:dyDescent="0.25">
      <c r="B297" s="602">
        <v>11.086466165413601</v>
      </c>
      <c r="C297" s="604"/>
      <c r="D297" s="606"/>
      <c r="E297" s="606"/>
      <c r="F297" s="132"/>
      <c r="G297" s="608"/>
      <c r="H297" s="598"/>
      <c r="I297" s="600"/>
      <c r="J297" s="532"/>
      <c r="K297" s="133"/>
      <c r="L297" s="133"/>
      <c r="M297" s="133"/>
      <c r="N297" s="133"/>
      <c r="O297" s="133"/>
      <c r="Q297" s="130"/>
    </row>
    <row r="298" spans="1:17" ht="20.100000000000001" customHeight="1" x14ac:dyDescent="0.25">
      <c r="A298" s="130" t="str">
        <f t="shared" ref="A298" ca="1" si="467">INDIRECT("'update Helper'!C"&amp;Q298)</f>
        <v>a1GDm000000Xmn6MAC</v>
      </c>
      <c r="B298" s="601">
        <v>15</v>
      </c>
      <c r="C298" s="603" t="str">
        <f>IFERROR(VLOOKUP(B298,'Impact Indicators - Section B '!$A$9:$AC$68,29,FALSE),"")</f>
        <v/>
      </c>
      <c r="D298" s="605" t="str">
        <f t="shared" ref="D298" si="468">M298</f>
        <v/>
      </c>
      <c r="E298" s="605" t="str">
        <f t="shared" ref="E298" si="469">N298</f>
        <v/>
      </c>
      <c r="F298" s="131"/>
      <c r="G298" s="607" t="str">
        <f ca="1">IF(OR(INDIRECT("'update Helper'!E"&amp;Q298)="",F298&lt;&gt;0,F299&lt;&gt;0),IF(IFERROR((F298/F299),"")="","",(F298/F299)),INDIRECT("'update Helper'!E"&amp;Q298)/100)</f>
        <v/>
      </c>
      <c r="H298" s="597"/>
      <c r="I298" s="599"/>
      <c r="J298" s="531"/>
      <c r="K298" s="130">
        <f>IF(AND(EXACT(C298,C296),C296&lt;&gt;0),K296+1,0)</f>
        <v>94</v>
      </c>
      <c r="L298" s="130" t="str">
        <f>IF(C298&lt;&gt;"",C298&amp;"-"&amp;K298,"")</f>
        <v/>
      </c>
      <c r="M298" s="130" t="str">
        <f t="array" ref="M298">IFERROR(IF(INDEX('Disaggregation Records'!$E$3:$E$80,MATCH(RIGHT(L298,255),RIGHT('Disaggregation Records'!$D$3:$D$80,255),0))="","",INDEX('Disaggregation Records'!$E$3:$E$80,MATCH(RIGHT(L298,255),RIGHT('Disaggregation Records'!$D$3:$D$80,255),0))),"")</f>
        <v/>
      </c>
      <c r="N298" s="130" t="str">
        <f t="array" ref="N298">IFERROR(IF(INDEX('Disaggregation Records'!$F$3:$F$80,MATCH(RIGHT(L298,255),RIGHT('Disaggregation Records'!$D$3:$D$80,255),0))="","",INDEX('Disaggregation Records'!$F$3:$F$80,MATCH(RIGHT(L298,255),RIGHT('Disaggregation Records'!$D$3:$D$80,255),0))),"")</f>
        <v/>
      </c>
      <c r="O298" s="130" t="str">
        <f t="array" ref="O298">IFERROR(IF(INDEX('Disaggregation Records'!$H$3:$H$80,MATCH(RIGHT(L298,255),RIGHT('Disaggregation Records'!$D$3:$D$80,255),0))="","",INDEX('Disaggregation Records'!$H$3:$H$80,MATCH(RIGHT(L298,255),RIGHT('Disaggregation Records'!$D$3:$D$80,255),0))),"")</f>
        <v/>
      </c>
      <c r="Q298" s="52">
        <f t="shared" ref="Q298" si="470">Q296+1</f>
        <v>1335</v>
      </c>
    </row>
    <row r="299" spans="1:17" ht="20.100000000000001" customHeight="1" x14ac:dyDescent="0.25">
      <c r="A299" s="130"/>
      <c r="B299" s="602">
        <v>11.086466165413601</v>
      </c>
      <c r="C299" s="604"/>
      <c r="D299" s="606"/>
      <c r="E299" s="606"/>
      <c r="F299" s="132"/>
      <c r="G299" s="608"/>
      <c r="H299" s="598"/>
      <c r="I299" s="600"/>
      <c r="J299" s="532"/>
      <c r="K299" s="133"/>
      <c r="L299" s="133"/>
      <c r="M299" s="133"/>
      <c r="N299" s="133"/>
      <c r="O299" s="133"/>
      <c r="Q299" s="130"/>
    </row>
    <row r="300" spans="1:17" ht="20.100000000000001" customHeight="1" x14ac:dyDescent="0.25">
      <c r="A300" s="130" t="str">
        <f t="shared" ca="1" si="421"/>
        <v>a1GDm000000Xmn7MAC</v>
      </c>
      <c r="B300" s="601">
        <v>15</v>
      </c>
      <c r="C300" s="603" t="str">
        <f>IFERROR(VLOOKUP(B300,'Impact Indicators - Section B '!$A$9:$AC$68,29,FALSE),"")</f>
        <v/>
      </c>
      <c r="D300" s="605" t="str">
        <f t="shared" ref="D300" si="471">M300</f>
        <v/>
      </c>
      <c r="E300" s="605" t="str">
        <f t="shared" ref="E300" si="472">N300</f>
        <v/>
      </c>
      <c r="F300" s="131"/>
      <c r="G300" s="607" t="str">
        <f ca="1">IF(OR(INDIRECT("'update Helper'!E"&amp;Q300)="",F300&lt;&gt;0,F301&lt;&gt;0),IF(IFERROR((F300/F301),"")="","",(F300/F301)),INDIRECT("'update Helper'!E"&amp;Q300)/100)</f>
        <v/>
      </c>
      <c r="H300" s="597"/>
      <c r="I300" s="599"/>
      <c r="J300" s="531"/>
      <c r="K300" s="130">
        <f>IF(AND(EXACT(C300,C298),C298&lt;&gt;0),K298+1,0)</f>
        <v>95</v>
      </c>
      <c r="L300" s="130" t="str">
        <f>IF(C300&lt;&gt;"",C300&amp;"-"&amp;K300,"")</f>
        <v/>
      </c>
      <c r="M300" s="130" t="str">
        <f t="array" ref="M300">IFERROR(IF(INDEX('Disaggregation Records'!$E$3:$E$80,MATCH(RIGHT(L300,255),RIGHT('Disaggregation Records'!$D$3:$D$80,255),0))="","",INDEX('Disaggregation Records'!$E$3:$E$80,MATCH(RIGHT(L300,255),RIGHT('Disaggregation Records'!$D$3:$D$80,255),0))),"")</f>
        <v/>
      </c>
      <c r="N300" s="130" t="str">
        <f t="array" ref="N300">IFERROR(IF(INDEX('Disaggregation Records'!$F$3:$F$80,MATCH(RIGHT(L300,255),RIGHT('Disaggregation Records'!$D$3:$D$80,255),0))="","",INDEX('Disaggregation Records'!$F$3:$F$80,MATCH(RIGHT(L300,255),RIGHT('Disaggregation Records'!$D$3:$D$80,255),0))),"")</f>
        <v/>
      </c>
      <c r="O300" s="130" t="str">
        <f t="array" ref="O300">IFERROR(IF(INDEX('Disaggregation Records'!$H$3:$H$80,MATCH(RIGHT(L300,255),RIGHT('Disaggregation Records'!$D$3:$D$80,255),0))="","",INDEX('Disaggregation Records'!$H$3:$H$80,MATCH(RIGHT(L300,255),RIGHT('Disaggregation Records'!$D$3:$D$80,255),0))),"")</f>
        <v/>
      </c>
      <c r="Q300" s="52">
        <f t="shared" ref="Q300" si="473">Q298+1</f>
        <v>1336</v>
      </c>
    </row>
    <row r="301" spans="1:17" ht="20.100000000000001" customHeight="1" x14ac:dyDescent="0.25">
      <c r="B301" s="602">
        <v>11.086466165413601</v>
      </c>
      <c r="C301" s="604"/>
      <c r="D301" s="606"/>
      <c r="E301" s="606"/>
      <c r="F301" s="132"/>
      <c r="G301" s="608"/>
      <c r="H301" s="598"/>
      <c r="I301" s="600"/>
      <c r="J301" s="532"/>
      <c r="K301" s="133"/>
      <c r="L301" s="133"/>
      <c r="M301" s="133"/>
      <c r="N301" s="133"/>
      <c r="O301" s="133"/>
      <c r="Q301" s="130"/>
    </row>
    <row r="302" spans="1:17" ht="20.100000000000001" customHeight="1" x14ac:dyDescent="0.25">
      <c r="A302" s="130" t="str">
        <f t="shared" ref="A302" ca="1" si="474">INDIRECT("'update Helper'!C"&amp;Q302)</f>
        <v>a1GDm000000Xmn8MAC</v>
      </c>
      <c r="B302" s="601">
        <v>15</v>
      </c>
      <c r="C302" s="603" t="str">
        <f>IFERROR(VLOOKUP(B302,'Impact Indicators - Section B '!$A$9:$AC$68,29,FALSE),"")</f>
        <v/>
      </c>
      <c r="D302" s="605" t="str">
        <f t="shared" ref="D302" si="475">M302</f>
        <v/>
      </c>
      <c r="E302" s="605" t="str">
        <f t="shared" ref="E302" si="476">N302</f>
        <v/>
      </c>
      <c r="F302" s="131"/>
      <c r="G302" s="607" t="str">
        <f ca="1">IF(OR(INDIRECT("'update Helper'!E"&amp;Q302)="",F302&lt;&gt;0,F303&lt;&gt;0),IF(IFERROR((F302/F303),"")="","",(F302/F303)),INDIRECT("'update Helper'!E"&amp;Q302)/100)</f>
        <v/>
      </c>
      <c r="H302" s="597"/>
      <c r="I302" s="599"/>
      <c r="J302" s="531"/>
      <c r="K302" s="130">
        <f>IF(AND(EXACT(C302,C300),C300&lt;&gt;0),K300+1,0)</f>
        <v>96</v>
      </c>
      <c r="L302" s="130" t="str">
        <f>IF(C302&lt;&gt;"",C302&amp;"-"&amp;K302,"")</f>
        <v/>
      </c>
      <c r="M302" s="130" t="str">
        <f t="array" ref="M302">IFERROR(IF(INDEX('Disaggregation Records'!$E$3:$E$80,MATCH(RIGHT(L302,255),RIGHT('Disaggregation Records'!$D$3:$D$80,255),0))="","",INDEX('Disaggregation Records'!$E$3:$E$80,MATCH(RIGHT(L302,255),RIGHT('Disaggregation Records'!$D$3:$D$80,255),0))),"")</f>
        <v/>
      </c>
      <c r="N302" s="130" t="str">
        <f t="array" ref="N302">IFERROR(IF(INDEX('Disaggregation Records'!$F$3:$F$80,MATCH(RIGHT(L302,255),RIGHT('Disaggregation Records'!$D$3:$D$80,255),0))="","",INDEX('Disaggregation Records'!$F$3:$F$80,MATCH(RIGHT(L302,255),RIGHT('Disaggregation Records'!$D$3:$D$80,255),0))),"")</f>
        <v/>
      </c>
      <c r="O302" s="130" t="str">
        <f t="array" ref="O302">IFERROR(IF(INDEX('Disaggregation Records'!$H$3:$H$80,MATCH(RIGHT(L302,255),RIGHT('Disaggregation Records'!$D$3:$D$80,255),0))="","",INDEX('Disaggregation Records'!$H$3:$H$80,MATCH(RIGHT(L302,255),RIGHT('Disaggregation Records'!$D$3:$D$80,255),0))),"")</f>
        <v/>
      </c>
      <c r="Q302" s="52">
        <f t="shared" ref="Q302" si="477">Q300+1</f>
        <v>1337</v>
      </c>
    </row>
    <row r="303" spans="1:17" ht="20.100000000000001" customHeight="1" x14ac:dyDescent="0.25">
      <c r="A303" s="130"/>
      <c r="B303" s="602">
        <v>11.086466165413601</v>
      </c>
      <c r="C303" s="604"/>
      <c r="D303" s="606"/>
      <c r="E303" s="606"/>
      <c r="F303" s="132"/>
      <c r="G303" s="608"/>
      <c r="H303" s="598"/>
      <c r="I303" s="600"/>
      <c r="J303" s="532"/>
      <c r="K303" s="133"/>
      <c r="L303" s="133"/>
      <c r="M303" s="133"/>
      <c r="N303" s="133"/>
      <c r="O303" s="133"/>
      <c r="Q303" s="130"/>
    </row>
    <row r="304" spans="1:17" ht="20.100000000000001" customHeight="1" x14ac:dyDescent="0.25">
      <c r="A304" s="130" t="str">
        <f t="shared" ca="1" si="421"/>
        <v>a1GDm000000Xmn9MAC</v>
      </c>
      <c r="B304" s="601">
        <v>15</v>
      </c>
      <c r="C304" s="603" t="str">
        <f>IFERROR(VLOOKUP(B304,'Impact Indicators - Section B '!$A$9:$AC$68,29,FALSE),"")</f>
        <v/>
      </c>
      <c r="D304" s="605" t="str">
        <f t="shared" ref="D304" si="478">M304</f>
        <v/>
      </c>
      <c r="E304" s="605" t="str">
        <f t="shared" ref="E304" si="479">N304</f>
        <v/>
      </c>
      <c r="F304" s="131"/>
      <c r="G304" s="607" t="str">
        <f ca="1">IF(OR(INDIRECT("'update Helper'!E"&amp;Q304)="",F304&lt;&gt;0,F305&lt;&gt;0),IF(IFERROR((F304/F305),"")="","",(F304/F305)),INDIRECT("'update Helper'!E"&amp;Q304)/100)</f>
        <v/>
      </c>
      <c r="H304" s="597"/>
      <c r="I304" s="599"/>
      <c r="J304" s="531"/>
      <c r="K304" s="130">
        <f>IF(AND(EXACT(C304,C302),C302&lt;&gt;0),K302+1,0)</f>
        <v>97</v>
      </c>
      <c r="L304" s="130" t="str">
        <f>IF(C304&lt;&gt;"",C304&amp;"-"&amp;K304,"")</f>
        <v/>
      </c>
      <c r="M304" s="130" t="str">
        <f t="array" ref="M304">IFERROR(IF(INDEX('Disaggregation Records'!$E$3:$E$80,MATCH(RIGHT(L304,255),RIGHT('Disaggregation Records'!$D$3:$D$80,255),0))="","",INDEX('Disaggregation Records'!$E$3:$E$80,MATCH(RIGHT(L304,255),RIGHT('Disaggregation Records'!$D$3:$D$80,255),0))),"")</f>
        <v/>
      </c>
      <c r="N304" s="130" t="str">
        <f t="array" ref="N304">IFERROR(IF(INDEX('Disaggregation Records'!$F$3:$F$80,MATCH(RIGHT(L304,255),RIGHT('Disaggregation Records'!$D$3:$D$80,255),0))="","",INDEX('Disaggregation Records'!$F$3:$F$80,MATCH(RIGHT(L304,255),RIGHT('Disaggregation Records'!$D$3:$D$80,255),0))),"")</f>
        <v/>
      </c>
      <c r="O304" s="130" t="str">
        <f t="array" ref="O304">IFERROR(IF(INDEX('Disaggregation Records'!$H$3:$H$80,MATCH(RIGHT(L304,255),RIGHT('Disaggregation Records'!$D$3:$D$80,255),0))="","",INDEX('Disaggregation Records'!$H$3:$H$80,MATCH(RIGHT(L304,255),RIGHT('Disaggregation Records'!$D$3:$D$80,255),0))),"")</f>
        <v/>
      </c>
      <c r="Q304" s="52">
        <f t="shared" ref="Q304" si="480">Q302+1</f>
        <v>1338</v>
      </c>
    </row>
    <row r="305" spans="1:17" ht="20.100000000000001" customHeight="1" x14ac:dyDescent="0.25">
      <c r="B305" s="602">
        <v>11.086466165413601</v>
      </c>
      <c r="C305" s="604"/>
      <c r="D305" s="606"/>
      <c r="E305" s="606"/>
      <c r="F305" s="132"/>
      <c r="G305" s="608"/>
      <c r="H305" s="598"/>
      <c r="I305" s="600"/>
      <c r="J305" s="532"/>
      <c r="K305" s="133"/>
      <c r="L305" s="133"/>
      <c r="M305" s="133"/>
      <c r="N305" s="133"/>
      <c r="O305" s="133"/>
      <c r="Q305" s="130"/>
    </row>
    <row r="306" spans="1:17" ht="20.100000000000001" customHeight="1" x14ac:dyDescent="0.25">
      <c r="A306" s="130" t="str">
        <f t="shared" ref="A306" ca="1" si="481">INDIRECT("'update Helper'!C"&amp;Q306)</f>
        <v>a1GDm000000XmnAMAS</v>
      </c>
      <c r="B306" s="601">
        <v>15</v>
      </c>
      <c r="C306" s="603" t="str">
        <f>IFERROR(VLOOKUP(B306,'Impact Indicators - Section B '!$A$9:$AC$68,29,FALSE),"")</f>
        <v/>
      </c>
      <c r="D306" s="605" t="str">
        <f t="shared" ref="D306" si="482">M306</f>
        <v/>
      </c>
      <c r="E306" s="605" t="str">
        <f t="shared" ref="E306" si="483">N306</f>
        <v/>
      </c>
      <c r="F306" s="131"/>
      <c r="G306" s="607" t="str">
        <f ca="1">IF(OR(INDIRECT("'update Helper'!E"&amp;Q306)="",F306&lt;&gt;0,F307&lt;&gt;0),IF(IFERROR((F306/F307),"")="","",(F306/F307)),INDIRECT("'update Helper'!E"&amp;Q306)/100)</f>
        <v/>
      </c>
      <c r="H306" s="597"/>
      <c r="I306" s="599"/>
      <c r="J306" s="531"/>
      <c r="K306" s="130">
        <f>IF(AND(EXACT(C306,C304),C304&lt;&gt;0),K304+1,0)</f>
        <v>98</v>
      </c>
      <c r="L306" s="130" t="str">
        <f>IF(C306&lt;&gt;"",C306&amp;"-"&amp;K306,"")</f>
        <v/>
      </c>
      <c r="M306" s="130" t="str">
        <f t="array" ref="M306">IFERROR(IF(INDEX('Disaggregation Records'!$E$3:$E$80,MATCH(RIGHT(L306,255),RIGHT('Disaggregation Records'!$D$3:$D$80,255),0))="","",INDEX('Disaggregation Records'!$E$3:$E$80,MATCH(RIGHT(L306,255),RIGHT('Disaggregation Records'!$D$3:$D$80,255),0))),"")</f>
        <v/>
      </c>
      <c r="N306" s="130" t="str">
        <f t="array" ref="N306">IFERROR(IF(INDEX('Disaggregation Records'!$F$3:$F$80,MATCH(RIGHT(L306,255),RIGHT('Disaggregation Records'!$D$3:$D$80,255),0))="","",INDEX('Disaggregation Records'!$F$3:$F$80,MATCH(RIGHT(L306,255),RIGHT('Disaggregation Records'!$D$3:$D$80,255),0))),"")</f>
        <v/>
      </c>
      <c r="O306" s="130" t="str">
        <f t="array" ref="O306">IFERROR(IF(INDEX('Disaggregation Records'!$H$3:$H$80,MATCH(RIGHT(L306,255),RIGHT('Disaggregation Records'!$D$3:$D$80,255),0))="","",INDEX('Disaggregation Records'!$H$3:$H$80,MATCH(RIGHT(L306,255),RIGHT('Disaggregation Records'!$D$3:$D$80,255),0))),"")</f>
        <v/>
      </c>
      <c r="Q306" s="52">
        <f t="shared" ref="Q306" si="484">Q304+1</f>
        <v>1339</v>
      </c>
    </row>
    <row r="307" spans="1:17" ht="20.100000000000001" customHeight="1" x14ac:dyDescent="0.25">
      <c r="A307" s="130"/>
      <c r="B307" s="602">
        <v>11.086466165413601</v>
      </c>
      <c r="C307" s="604"/>
      <c r="D307" s="606"/>
      <c r="E307" s="606"/>
      <c r="F307" s="132"/>
      <c r="G307" s="608"/>
      <c r="H307" s="598"/>
      <c r="I307" s="600"/>
      <c r="J307" s="532"/>
      <c r="K307" s="133"/>
      <c r="L307" s="133"/>
      <c r="M307" s="133"/>
      <c r="N307" s="133"/>
      <c r="O307" s="133"/>
      <c r="Q307" s="130"/>
    </row>
    <row r="308" spans="1:17" ht="20.100000000000001" customHeight="1" x14ac:dyDescent="0.25">
      <c r="A308" s="130" t="str">
        <f t="shared" ca="1" si="421"/>
        <v>a1GDm000000XmnBMAS</v>
      </c>
      <c r="B308" s="601">
        <v>15</v>
      </c>
      <c r="C308" s="603" t="str">
        <f>IFERROR(VLOOKUP(B308,'Impact Indicators - Section B '!$A$9:$AC$68,29,FALSE),"")</f>
        <v/>
      </c>
      <c r="D308" s="605" t="str">
        <f t="shared" ref="D308" si="485">M308</f>
        <v/>
      </c>
      <c r="E308" s="605" t="str">
        <f t="shared" ref="E308" si="486">N308</f>
        <v/>
      </c>
      <c r="F308" s="131"/>
      <c r="G308" s="607" t="str">
        <f ca="1">IF(OR(INDIRECT("'update Helper'!E"&amp;Q308)="",F308&lt;&gt;0,F309&lt;&gt;0),IF(IFERROR((F308/F309),"")="","",(F308/F309)),INDIRECT("'update Helper'!E"&amp;Q308)/100)</f>
        <v/>
      </c>
      <c r="H308" s="597"/>
      <c r="I308" s="599"/>
      <c r="J308" s="531"/>
      <c r="K308" s="130">
        <f>IF(AND(EXACT(C308,C306),C306&lt;&gt;0),K306+1,0)</f>
        <v>99</v>
      </c>
      <c r="L308" s="130" t="str">
        <f>IF(C308&lt;&gt;"",C308&amp;"-"&amp;K308,"")</f>
        <v/>
      </c>
      <c r="M308" s="130" t="str">
        <f t="array" ref="M308">IFERROR(IF(INDEX('Disaggregation Records'!$E$3:$E$80,MATCH(RIGHT(L308,255),RIGHT('Disaggregation Records'!$D$3:$D$80,255),0))="","",INDEX('Disaggregation Records'!$E$3:$E$80,MATCH(RIGHT(L308,255),RIGHT('Disaggregation Records'!$D$3:$D$80,255),0))),"")</f>
        <v/>
      </c>
      <c r="N308" s="130" t="str">
        <f t="array" ref="N308">IFERROR(IF(INDEX('Disaggregation Records'!$F$3:$F$80,MATCH(RIGHT(L308,255),RIGHT('Disaggregation Records'!$D$3:$D$80,255),0))="","",INDEX('Disaggregation Records'!$F$3:$F$80,MATCH(RIGHT(L308,255),RIGHT('Disaggregation Records'!$D$3:$D$80,255),0))),"")</f>
        <v/>
      </c>
      <c r="O308" s="130" t="str">
        <f t="array" ref="O308">IFERROR(IF(INDEX('Disaggregation Records'!$H$3:$H$80,MATCH(RIGHT(L308,255),RIGHT('Disaggregation Records'!$D$3:$D$80,255),0))="","",INDEX('Disaggregation Records'!$H$3:$H$80,MATCH(RIGHT(L308,255),RIGHT('Disaggregation Records'!$D$3:$D$80,255),0))),"")</f>
        <v/>
      </c>
      <c r="Q308" s="52">
        <f t="shared" ref="Q308" si="487">Q306+1</f>
        <v>1340</v>
      </c>
    </row>
    <row r="309" spans="1:17" ht="20.100000000000001" customHeight="1" x14ac:dyDescent="0.25">
      <c r="B309" s="602">
        <v>11.086466165413601</v>
      </c>
      <c r="C309" s="604"/>
      <c r="D309" s="606"/>
      <c r="E309" s="606"/>
      <c r="F309" s="132"/>
      <c r="G309" s="608"/>
      <c r="H309" s="598"/>
      <c r="I309" s="600"/>
      <c r="J309" s="532"/>
      <c r="K309" s="133"/>
      <c r="L309" s="133"/>
      <c r="M309" s="133"/>
      <c r="N309" s="133"/>
      <c r="O309" s="133"/>
      <c r="Q309" s="130"/>
    </row>
    <row r="310" spans="1:17" ht="20.100000000000001" customHeight="1" x14ac:dyDescent="0.25">
      <c r="B310" s="134"/>
      <c r="C310" s="134"/>
      <c r="D310" s="134"/>
      <c r="E310" s="134"/>
      <c r="F310" s="130"/>
      <c r="G310" s="135"/>
      <c r="H310" s="135"/>
      <c r="I310" s="135"/>
      <c r="J310" s="135"/>
    </row>
    <row r="311" spans="1:17" ht="20.100000000000001" customHeight="1" x14ac:dyDescent="0.25">
      <c r="B311" s="134"/>
      <c r="C311" s="134"/>
      <c r="D311" s="134"/>
      <c r="E311" s="134"/>
      <c r="F311" s="130"/>
      <c r="G311" s="135"/>
      <c r="H311" s="135"/>
      <c r="I311" s="135"/>
      <c r="J311" s="135"/>
    </row>
    <row r="312" spans="1:17" ht="20.100000000000001" customHeight="1" x14ac:dyDescent="0.25">
      <c r="B312" s="134"/>
      <c r="C312" s="134"/>
      <c r="D312" s="134"/>
      <c r="E312" s="134"/>
      <c r="F312" s="130"/>
      <c r="G312" s="135"/>
      <c r="H312" s="135"/>
      <c r="I312" s="135"/>
      <c r="J312" s="135"/>
    </row>
    <row r="313" spans="1:17" x14ac:dyDescent="0.25">
      <c r="B313" s="134"/>
      <c r="C313" s="136"/>
      <c r="D313" s="136"/>
      <c r="E313" s="136"/>
    </row>
    <row r="314" spans="1:17" ht="16.350000000000001" customHeight="1" x14ac:dyDescent="0.25">
      <c r="B314" s="612" t="s">
        <v>2224</v>
      </c>
      <c r="C314" s="613"/>
      <c r="D314" s="613"/>
      <c r="E314" s="613"/>
      <c r="F314" s="613"/>
      <c r="G314" s="613"/>
      <c r="H314" s="613"/>
      <c r="I314" s="613"/>
      <c r="J314" s="613"/>
    </row>
    <row r="315" spans="1:17" ht="45" customHeight="1" x14ac:dyDescent="0.25">
      <c r="B315" s="129" t="s">
        <v>2225</v>
      </c>
      <c r="C315" s="129" t="s">
        <v>2226</v>
      </c>
      <c r="D315" s="129" t="s">
        <v>2216</v>
      </c>
      <c r="E315" s="129" t="s">
        <v>2217</v>
      </c>
      <c r="F315" s="129" t="s">
        <v>740</v>
      </c>
      <c r="G315" s="129" t="s">
        <v>105</v>
      </c>
      <c r="H315" s="129" t="s">
        <v>741</v>
      </c>
      <c r="I315" s="129" t="s">
        <v>199</v>
      </c>
      <c r="J315" s="129" t="s">
        <v>176</v>
      </c>
    </row>
    <row r="316" spans="1:17" s="130" customFormat="1" ht="20.100000000000001" customHeight="1" x14ac:dyDescent="0.25">
      <c r="A316" s="130" t="str">
        <f ca="1">INDIRECT("'update Helper'!C"&amp;Q316)</f>
        <v>a1VDm000000PRahMAG</v>
      </c>
      <c r="B316" s="601">
        <v>1</v>
      </c>
      <c r="C316" s="603" t="str">
        <f>IFERROR(VLOOKUP(B316,'Outcome Indicators - Section C '!$A$9:$AC$70,29,FALSE),"")</f>
        <v>HIV O-4a⁽ᴹ⁾ Percentage of men reporting using a condom the last time they had anal sex with a male partner</v>
      </c>
      <c r="D316" s="605" t="str">
        <f>M316</f>
        <v/>
      </c>
      <c r="E316" s="605" t="str">
        <f>N316</f>
        <v/>
      </c>
      <c r="F316" s="131"/>
      <c r="G316" s="607" t="str">
        <f ca="1">IF(OR(INDIRECT("'update Helper'!E"&amp;Q316)="",F316&lt;&gt;0,F317&lt;&gt;0),IF(IFERROR((F316/F317),"")="","",(F316/F317)),INDIRECT("'update Helper'!E"&amp;Q316)/100)</f>
        <v/>
      </c>
      <c r="H316" s="597"/>
      <c r="I316" s="599"/>
      <c r="J316" s="531"/>
      <c r="K316" s="130">
        <f>IF(AND(EXACT(C316,C314),C314&lt;&gt;0),K314+1,0)</f>
        <v>0</v>
      </c>
      <c r="L316" s="130" t="str">
        <f>IF(C316&lt;&gt;"",C316&amp;"-"&amp;K316,"")</f>
        <v>HIV O-4a⁽ᴹ⁾ Percentage of men reporting using a condom the last time they had anal sex with a male partner-0</v>
      </c>
      <c r="M316" s="130" t="str">
        <f t="array" ref="M316">IFERROR(IF(INDEX('Disaggregation Records'!$E$83:$E$149,MATCH(RIGHT(L316,255),RIGHT('Disaggregation Records'!$D$83:$D$149,255),0))="","",INDEX('Disaggregation Records'!$E$83:$E$149,MATCH(RIGHT(L316,255),RIGHT('Disaggregation Records'!$D$83:$D$149,255),0))),"")</f>
        <v/>
      </c>
      <c r="N316" s="130" t="str">
        <f t="array" ref="N316">IFERROR(IF(INDEX('Disaggregation Records'!$F$83:$F$149,MATCH(RIGHT(L316,255),RIGHT('Disaggregation Records'!$D$83:$D$149,255),0))="","",INDEX('Disaggregation Records'!$F$83:$F$149,MATCH(RIGHT(L316,255),RIGHT('Disaggregation Records'!$D$83:$D$149,255),0))),"")</f>
        <v/>
      </c>
      <c r="O316" s="130" t="str">
        <f t="array" ref="O316">IFERROR(IF(INDEX('Disaggregation Records'!$H$83:$H$149,MATCH(RIGHT(L316,255),RIGHT('Disaggregation Records'!$D$83:$D$149,255),0))="","",INDEX('Disaggregation Records'!$H$83:$H$149,MATCH(RIGHT(L316,255),RIGHT('Disaggregation Records'!$D$83:$D$149,255),0))),"")</f>
        <v/>
      </c>
      <c r="Q316" s="130">
        <f>ROW(Outcome_Indicator_Disaggregation)+3</f>
        <v>887</v>
      </c>
    </row>
    <row r="317" spans="1:17" s="130" customFormat="1" ht="20.100000000000001" customHeight="1" x14ac:dyDescent="0.25">
      <c r="B317" s="602"/>
      <c r="C317" s="604"/>
      <c r="D317" s="606"/>
      <c r="E317" s="606"/>
      <c r="F317" s="132"/>
      <c r="G317" s="608"/>
      <c r="H317" s="598"/>
      <c r="I317" s="600"/>
      <c r="J317" s="532"/>
    </row>
    <row r="318" spans="1:17" ht="20.100000000000001" customHeight="1" x14ac:dyDescent="0.25">
      <c r="A318" s="130" t="str">
        <f ca="1">INDIRECT("'update Helper'!C"&amp;Q318)</f>
        <v>a1VDm000000PRaiMAG</v>
      </c>
      <c r="B318" s="601">
        <v>1</v>
      </c>
      <c r="C318" s="603" t="str">
        <f>IFERROR(VLOOKUP(B318,'Outcome Indicators - Section C '!$A$9:$AC$70,29,FALSE),"")</f>
        <v>HIV O-4a⁽ᴹ⁾ Percentage of men reporting using a condom the last time they had anal sex with a male partner</v>
      </c>
      <c r="D318" s="605" t="str">
        <f>M318</f>
        <v/>
      </c>
      <c r="E318" s="605" t="str">
        <f>N318</f>
        <v/>
      </c>
      <c r="F318" s="131"/>
      <c r="G318" s="607" t="str">
        <f ca="1">IF(OR(INDIRECT("'update Helper'!E"&amp;Q318)="",F318&lt;&gt;0,F319&lt;&gt;0),IF(IFERROR((F318/F319),"")="","",(F318/F319)),INDIRECT("'update Helper'!E"&amp;Q318)/100)</f>
        <v/>
      </c>
      <c r="H318" s="597"/>
      <c r="I318" s="599"/>
      <c r="J318" s="531"/>
      <c r="K318" s="130">
        <f>IF(AND(EXACT(C318,C316),C316&lt;&gt;0),K316+1,0)</f>
        <v>1</v>
      </c>
      <c r="L318" s="130" t="str">
        <f>IF(C318&lt;&gt;"",C318&amp;"-"&amp;K318,"")</f>
        <v>HIV O-4a⁽ᴹ⁾ Percentage of men reporting using a condom the last time they had anal sex with a male partner-1</v>
      </c>
      <c r="M318" s="130" t="str">
        <f t="array" ref="M318">IFERROR(IF(INDEX('Disaggregation Records'!$E$83:$E$149,MATCH(RIGHT(L318,255),RIGHT('Disaggregation Records'!$D$83:$D$149,255),0))="","",INDEX('Disaggregation Records'!$E$83:$E$149,MATCH(RIGHT(L318,255),RIGHT('Disaggregation Records'!$D$83:$D$149,255),0))),"")</f>
        <v/>
      </c>
      <c r="N318" s="130" t="str">
        <f t="array" ref="N318">IFERROR(IF(INDEX('Disaggregation Records'!$F$83:$F$149,MATCH(RIGHT(L318,255),RIGHT('Disaggregation Records'!$D$83:$D$149,255),0))="","",INDEX('Disaggregation Records'!$F$83:$F$149,MATCH(RIGHT(L318,255),RIGHT('Disaggregation Records'!$D$83:$D$149,255),0))),"")</f>
        <v/>
      </c>
      <c r="O318" s="130" t="str">
        <f t="array" ref="O318">IFERROR(IF(INDEX('Disaggregation Records'!$H$83:$H$149,MATCH(RIGHT(L318,255),RIGHT('Disaggregation Records'!$D$83:$D$149,255),0))="","",INDEX('Disaggregation Records'!$H$83:$H$149,MATCH(RIGHT(L318,255),RIGHT('Disaggregation Records'!$D$83:$D$149,255),0))),"")</f>
        <v/>
      </c>
      <c r="P318" s="130"/>
      <c r="Q318" s="52">
        <f>Q316+1</f>
        <v>888</v>
      </c>
    </row>
    <row r="319" spans="1:17" ht="20.100000000000001" customHeight="1" x14ac:dyDescent="0.25">
      <c r="B319" s="602"/>
      <c r="C319" s="604"/>
      <c r="D319" s="606"/>
      <c r="E319" s="606"/>
      <c r="F319" s="132"/>
      <c r="G319" s="608"/>
      <c r="H319" s="598"/>
      <c r="I319" s="600"/>
      <c r="J319" s="532"/>
      <c r="K319" s="130"/>
      <c r="L319" s="130"/>
      <c r="M319" s="130"/>
      <c r="N319" s="130"/>
      <c r="O319" s="130"/>
      <c r="P319" s="130"/>
    </row>
    <row r="320" spans="1:17" ht="20.100000000000001" customHeight="1" x14ac:dyDescent="0.25">
      <c r="A320" s="130" t="str">
        <f t="shared" ref="A320" ca="1" si="488">INDIRECT("'update Helper'!C"&amp;Q320)</f>
        <v>a1VDm000000PRajMAG</v>
      </c>
      <c r="B320" s="601">
        <v>1</v>
      </c>
      <c r="C320" s="603" t="str">
        <f>IFERROR(VLOOKUP(B320,'Outcome Indicators - Section C '!$A$9:$AC$70,29,FALSE),"")</f>
        <v>HIV O-4a⁽ᴹ⁾ Percentage of men reporting using a condom the last time they had anal sex with a male partner</v>
      </c>
      <c r="D320" s="605" t="str">
        <f>M320</f>
        <v/>
      </c>
      <c r="E320" s="605" t="str">
        <f>N320</f>
        <v/>
      </c>
      <c r="F320" s="131"/>
      <c r="G320" s="607" t="str">
        <f ca="1">IF(OR(INDIRECT("'update Helper'!E"&amp;Q320)="",F320&lt;&gt;0,F321&lt;&gt;0),IF(IFERROR((F320/F321),"")="","",(F320/F321)),INDIRECT("'update Helper'!E"&amp;Q320)/100)</f>
        <v/>
      </c>
      <c r="H320" s="597"/>
      <c r="I320" s="599"/>
      <c r="J320" s="531"/>
      <c r="K320" s="130">
        <f>IF(AND(EXACT(C320,C318),C318&lt;&gt;0),K318+1,0)</f>
        <v>2</v>
      </c>
      <c r="L320" s="130" t="str">
        <f>IF(C320&lt;&gt;"",C320&amp;"-"&amp;K320,"")</f>
        <v>HIV O-4a⁽ᴹ⁾ Percentage of men reporting using a condom the last time they had anal sex with a male partner-2</v>
      </c>
      <c r="M320" s="130" t="str">
        <f t="array" ref="M320">IFERROR(IF(INDEX('Disaggregation Records'!$E$83:$E$149,MATCH(RIGHT(L320,255),RIGHT('Disaggregation Records'!$D$83:$D$149,255),0))="","",INDEX('Disaggregation Records'!$E$83:$E$149,MATCH(RIGHT(L320,255),RIGHT('Disaggregation Records'!$D$83:$D$149,255),0))),"")</f>
        <v/>
      </c>
      <c r="N320" s="130" t="str">
        <f t="array" ref="N320">IFERROR(IF(INDEX('Disaggregation Records'!$F$83:$F$149,MATCH(RIGHT(L320,255),RIGHT('Disaggregation Records'!$D$83:$D$149,255),0))="","",INDEX('Disaggregation Records'!$F$83:$F$149,MATCH(RIGHT(L320,255),RIGHT('Disaggregation Records'!$D$83:$D$149,255),0))),"")</f>
        <v/>
      </c>
      <c r="O320" s="130" t="str">
        <f t="array" ref="O320">IFERROR(IF(INDEX('Disaggregation Records'!$H$83:$H$149,MATCH(RIGHT(L320,255),RIGHT('Disaggregation Records'!$D$83:$D$149,255),0))="","",INDEX('Disaggregation Records'!$H$83:$H$149,MATCH(RIGHT(L320,255),RIGHT('Disaggregation Records'!$D$83:$D$149,255),0))),"")</f>
        <v/>
      </c>
      <c r="P320" s="130"/>
      <c r="Q320" s="52">
        <f t="shared" ref="Q320" si="489">Q318+1</f>
        <v>889</v>
      </c>
    </row>
    <row r="321" spans="1:17" ht="20.100000000000001" customHeight="1" x14ac:dyDescent="0.25">
      <c r="A321" s="130"/>
      <c r="B321" s="602"/>
      <c r="C321" s="604"/>
      <c r="D321" s="606"/>
      <c r="E321" s="606"/>
      <c r="F321" s="132"/>
      <c r="G321" s="608"/>
      <c r="H321" s="598"/>
      <c r="I321" s="600"/>
      <c r="J321" s="532"/>
      <c r="K321" s="130"/>
      <c r="L321" s="130"/>
      <c r="M321" s="130"/>
      <c r="N321" s="130"/>
      <c r="O321" s="130"/>
      <c r="P321" s="130"/>
    </row>
    <row r="322" spans="1:17" ht="20.100000000000001" customHeight="1" x14ac:dyDescent="0.25">
      <c r="A322" s="130" t="str">
        <f t="shared" ref="A322" ca="1" si="490">INDIRECT("'update Helper'!C"&amp;Q322)</f>
        <v>a1VDm000000PRakMAG</v>
      </c>
      <c r="B322" s="601">
        <v>1</v>
      </c>
      <c r="C322" s="603" t="str">
        <f>IFERROR(VLOOKUP(B322,'Outcome Indicators - Section C '!$A$9:$AC$70,29,FALSE),"")</f>
        <v>HIV O-4a⁽ᴹ⁾ Percentage of men reporting using a condom the last time they had anal sex with a male partner</v>
      </c>
      <c r="D322" s="605" t="str">
        <f>M322</f>
        <v/>
      </c>
      <c r="E322" s="605" t="str">
        <f>N322</f>
        <v/>
      </c>
      <c r="F322" s="131"/>
      <c r="G322" s="607" t="str">
        <f ca="1">IF(OR(INDIRECT("'update Helper'!E"&amp;Q322)="",F322&lt;&gt;0,F323&lt;&gt;0),IF(IFERROR((F322/F323),"")="","",(F322/F323)),INDIRECT("'update Helper'!E"&amp;Q322)/100)</f>
        <v/>
      </c>
      <c r="H322" s="597"/>
      <c r="I322" s="599"/>
      <c r="J322" s="531"/>
      <c r="K322" s="130">
        <f>IF(AND(EXACT(C322,C320),C320&lt;&gt;0),K320+1,0)</f>
        <v>3</v>
      </c>
      <c r="L322" s="130" t="str">
        <f>IF(C322&lt;&gt;"",C322&amp;"-"&amp;K322,"")</f>
        <v>HIV O-4a⁽ᴹ⁾ Percentage of men reporting using a condom the last time they had anal sex with a male partner-3</v>
      </c>
      <c r="M322" s="130" t="str">
        <f t="array" ref="M322">IFERROR(IF(INDEX('Disaggregation Records'!$E$83:$E$149,MATCH(RIGHT(L322,255),RIGHT('Disaggregation Records'!$D$83:$D$149,255),0))="","",INDEX('Disaggregation Records'!$E$83:$E$149,MATCH(RIGHT(L322,255),RIGHT('Disaggregation Records'!$D$83:$D$149,255),0))),"")</f>
        <v/>
      </c>
      <c r="N322" s="130" t="str">
        <f t="array" ref="N322">IFERROR(IF(INDEX('Disaggregation Records'!$F$83:$F$149,MATCH(RIGHT(L322,255),RIGHT('Disaggregation Records'!$D$83:$D$149,255),0))="","",INDEX('Disaggregation Records'!$F$83:$F$149,MATCH(RIGHT(L322,255),RIGHT('Disaggregation Records'!$D$83:$D$149,255),0))),"")</f>
        <v/>
      </c>
      <c r="O322" s="130" t="str">
        <f t="array" ref="O322">IFERROR(IF(INDEX('Disaggregation Records'!$H$83:$H$149,MATCH(RIGHT(L322,255),RIGHT('Disaggregation Records'!$D$83:$D$149,255),0))="","",INDEX('Disaggregation Records'!$H$83:$H$149,MATCH(RIGHT(L322,255),RIGHT('Disaggregation Records'!$D$83:$D$149,255),0))),"")</f>
        <v/>
      </c>
      <c r="P322" s="130"/>
      <c r="Q322" s="52">
        <f t="shared" ref="Q322" si="491">Q320+1</f>
        <v>890</v>
      </c>
    </row>
    <row r="323" spans="1:17" ht="20.100000000000001" customHeight="1" x14ac:dyDescent="0.25">
      <c r="B323" s="602"/>
      <c r="C323" s="604"/>
      <c r="D323" s="606"/>
      <c r="E323" s="606"/>
      <c r="F323" s="132"/>
      <c r="G323" s="608"/>
      <c r="H323" s="598"/>
      <c r="I323" s="600"/>
      <c r="J323" s="532"/>
      <c r="K323" s="130"/>
      <c r="L323" s="130"/>
      <c r="M323" s="130"/>
      <c r="N323" s="130"/>
      <c r="O323" s="130"/>
      <c r="P323" s="130"/>
    </row>
    <row r="324" spans="1:17" ht="20.100000000000001" customHeight="1" x14ac:dyDescent="0.25">
      <c r="A324" s="130" t="str">
        <f t="shared" ref="A324" ca="1" si="492">INDIRECT("'update Helper'!C"&amp;Q324)</f>
        <v>a1VDm000000PRalMAG</v>
      </c>
      <c r="B324" s="601">
        <v>1</v>
      </c>
      <c r="C324" s="603" t="str">
        <f>IFERROR(VLOOKUP(B324,'Outcome Indicators - Section C '!$A$9:$AC$70,29,FALSE),"")</f>
        <v>HIV O-4a⁽ᴹ⁾ Percentage of men reporting using a condom the last time they had anal sex with a male partner</v>
      </c>
      <c r="D324" s="605" t="str">
        <f>M324</f>
        <v/>
      </c>
      <c r="E324" s="605" t="str">
        <f>N324</f>
        <v/>
      </c>
      <c r="F324" s="131"/>
      <c r="G324" s="607" t="str">
        <f ca="1">IF(OR(INDIRECT("'update Helper'!E"&amp;Q324)="",F324&lt;&gt;0,F325&lt;&gt;0),IF(IFERROR((F324/F325),"")="","",(F324/F325)),INDIRECT("'update Helper'!E"&amp;Q324)/100)</f>
        <v/>
      </c>
      <c r="H324" s="597"/>
      <c r="I324" s="599"/>
      <c r="J324" s="531"/>
      <c r="K324" s="130">
        <f>IF(AND(EXACT(C324,C322),C322&lt;&gt;0),K322+1,0)</f>
        <v>4</v>
      </c>
      <c r="L324" s="130" t="str">
        <f>IF(C324&lt;&gt;"",C324&amp;"-"&amp;K324,"")</f>
        <v>HIV O-4a⁽ᴹ⁾ Percentage of men reporting using a condom the last time they had anal sex with a male partner-4</v>
      </c>
      <c r="M324" s="130" t="str">
        <f t="array" ref="M324">IFERROR(IF(INDEX('Disaggregation Records'!$E$83:$E$149,MATCH(RIGHT(L324,255),RIGHT('Disaggregation Records'!$D$83:$D$149,255),0))="","",INDEX('Disaggregation Records'!$E$83:$E$149,MATCH(RIGHT(L324,255),RIGHT('Disaggregation Records'!$D$83:$D$149,255),0))),"")</f>
        <v/>
      </c>
      <c r="N324" s="130" t="str">
        <f t="array" ref="N324">IFERROR(IF(INDEX('Disaggregation Records'!$F$83:$F$149,MATCH(RIGHT(L324,255),RIGHT('Disaggregation Records'!$D$83:$D$149,255),0))="","",INDEX('Disaggregation Records'!$F$83:$F$149,MATCH(RIGHT(L324,255),RIGHT('Disaggregation Records'!$D$83:$D$149,255),0))),"")</f>
        <v/>
      </c>
      <c r="O324" s="130" t="str">
        <f t="array" ref="O324">IFERROR(IF(INDEX('Disaggregation Records'!$H$83:$H$149,MATCH(RIGHT(L324,255),RIGHT('Disaggregation Records'!$D$83:$D$149,255),0))="","",INDEX('Disaggregation Records'!$H$83:$H$149,MATCH(RIGHT(L324,255),RIGHT('Disaggregation Records'!$D$83:$D$149,255),0))),"")</f>
        <v/>
      </c>
      <c r="P324" s="130"/>
      <c r="Q324" s="52">
        <f t="shared" ref="Q324" si="493">Q322+1</f>
        <v>891</v>
      </c>
    </row>
    <row r="325" spans="1:17" ht="20.100000000000001" customHeight="1" x14ac:dyDescent="0.25">
      <c r="A325" s="130"/>
      <c r="B325" s="602"/>
      <c r="C325" s="604"/>
      <c r="D325" s="606"/>
      <c r="E325" s="606"/>
      <c r="F325" s="132"/>
      <c r="G325" s="608"/>
      <c r="H325" s="598"/>
      <c r="I325" s="600"/>
      <c r="J325" s="532"/>
      <c r="K325" s="130"/>
      <c r="L325" s="130"/>
      <c r="M325" s="130"/>
      <c r="N325" s="130"/>
      <c r="O325" s="130"/>
      <c r="P325" s="130"/>
    </row>
    <row r="326" spans="1:17" ht="20.100000000000001" customHeight="1" x14ac:dyDescent="0.25">
      <c r="A326" s="130" t="str">
        <f t="shared" ref="A326" ca="1" si="494">INDIRECT("'update Helper'!C"&amp;Q326)</f>
        <v>a1VDm000000PRamMAG</v>
      </c>
      <c r="B326" s="601">
        <v>1</v>
      </c>
      <c r="C326" s="603" t="str">
        <f>IFERROR(VLOOKUP(B326,'Outcome Indicators - Section C '!$A$9:$AC$70,29,FALSE),"")</f>
        <v>HIV O-4a⁽ᴹ⁾ Percentage of men reporting using a condom the last time they had anal sex with a male partner</v>
      </c>
      <c r="D326" s="605" t="str">
        <f>M326</f>
        <v/>
      </c>
      <c r="E326" s="605" t="str">
        <f>N326</f>
        <v/>
      </c>
      <c r="F326" s="131"/>
      <c r="G326" s="607" t="str">
        <f ca="1">IF(OR(INDIRECT("'update Helper'!E"&amp;Q326)="",F326&lt;&gt;0,F327&lt;&gt;0),IF(IFERROR((F326/F327),"")="","",(F326/F327)),INDIRECT("'update Helper'!E"&amp;Q326)/100)</f>
        <v/>
      </c>
      <c r="H326" s="597"/>
      <c r="I326" s="599"/>
      <c r="J326" s="531"/>
      <c r="K326" s="130">
        <f>IF(AND(EXACT(C326,C324),C324&lt;&gt;0),K324+1,0)</f>
        <v>5</v>
      </c>
      <c r="L326" s="130" t="str">
        <f>IF(C326&lt;&gt;"",C326&amp;"-"&amp;K326,"")</f>
        <v>HIV O-4a⁽ᴹ⁾ Percentage of men reporting using a condom the last time they had anal sex with a male partner-5</v>
      </c>
      <c r="M326" s="130" t="str">
        <f t="array" ref="M326">IFERROR(IF(INDEX('Disaggregation Records'!$E$83:$E$149,MATCH(RIGHT(L326,255),RIGHT('Disaggregation Records'!$D$83:$D$149,255),0))="","",INDEX('Disaggregation Records'!$E$83:$E$149,MATCH(RIGHT(L326,255),RIGHT('Disaggregation Records'!$D$83:$D$149,255),0))),"")</f>
        <v/>
      </c>
      <c r="N326" s="130" t="str">
        <f t="array" ref="N326">IFERROR(IF(INDEX('Disaggregation Records'!$F$83:$F$149,MATCH(RIGHT(L326,255),RIGHT('Disaggregation Records'!$D$83:$D$149,255),0))="","",INDEX('Disaggregation Records'!$F$83:$F$149,MATCH(RIGHT(L326,255),RIGHT('Disaggregation Records'!$D$83:$D$149,255),0))),"")</f>
        <v/>
      </c>
      <c r="O326" s="130" t="str">
        <f t="array" ref="O326">IFERROR(IF(INDEX('Disaggregation Records'!$H$83:$H$149,MATCH(RIGHT(L326,255),RIGHT('Disaggregation Records'!$D$83:$D$149,255),0))="","",INDEX('Disaggregation Records'!$H$83:$H$149,MATCH(RIGHT(L326,255),RIGHT('Disaggregation Records'!$D$83:$D$149,255),0))),"")</f>
        <v/>
      </c>
      <c r="P326" s="130"/>
      <c r="Q326" s="52">
        <f t="shared" ref="Q326" si="495">Q324+1</f>
        <v>892</v>
      </c>
    </row>
    <row r="327" spans="1:17" ht="20.100000000000001" customHeight="1" x14ac:dyDescent="0.25">
      <c r="B327" s="602"/>
      <c r="C327" s="604"/>
      <c r="D327" s="606"/>
      <c r="E327" s="606"/>
      <c r="F327" s="132"/>
      <c r="G327" s="608"/>
      <c r="H327" s="598"/>
      <c r="I327" s="600"/>
      <c r="J327" s="532"/>
      <c r="K327" s="130"/>
      <c r="L327" s="130"/>
      <c r="M327" s="130"/>
      <c r="N327" s="130"/>
      <c r="O327" s="130"/>
      <c r="P327" s="130"/>
    </row>
    <row r="328" spans="1:17" ht="20.100000000000001" customHeight="1" x14ac:dyDescent="0.25">
      <c r="A328" s="130" t="str">
        <f t="shared" ref="A328" ca="1" si="496">INDIRECT("'update Helper'!C"&amp;Q328)</f>
        <v>a1VDm000000PRanMAG</v>
      </c>
      <c r="B328" s="601">
        <v>1</v>
      </c>
      <c r="C328" s="603" t="str">
        <f>IFERROR(VLOOKUP(B328,'Outcome Indicators - Section C '!$A$9:$AC$70,29,FALSE),"")</f>
        <v>HIV O-4a⁽ᴹ⁾ Percentage of men reporting using a condom the last time they had anal sex with a male partner</v>
      </c>
      <c r="D328" s="605" t="str">
        <f>M328</f>
        <v/>
      </c>
      <c r="E328" s="605" t="str">
        <f>N328</f>
        <v/>
      </c>
      <c r="F328" s="131"/>
      <c r="G328" s="607" t="str">
        <f ca="1">IF(OR(INDIRECT("'update Helper'!E"&amp;Q328)="",F328&lt;&gt;0,F329&lt;&gt;0),IF(IFERROR((F328/F329),"")="","",(F328/F329)),INDIRECT("'update Helper'!E"&amp;Q328)/100)</f>
        <v/>
      </c>
      <c r="H328" s="597"/>
      <c r="I328" s="599"/>
      <c r="J328" s="531"/>
      <c r="K328" s="130">
        <f>IF(AND(EXACT(C328,C326),C326&lt;&gt;0),K326+1,0)</f>
        <v>6</v>
      </c>
      <c r="L328" s="130" t="str">
        <f>IF(C328&lt;&gt;"",C328&amp;"-"&amp;K328,"")</f>
        <v>HIV O-4a⁽ᴹ⁾ Percentage of men reporting using a condom the last time they had anal sex with a male partner-6</v>
      </c>
      <c r="M328" s="130" t="str">
        <f t="array" ref="M328">IFERROR(IF(INDEX('Disaggregation Records'!$E$83:$E$149,MATCH(RIGHT(L328,255),RIGHT('Disaggregation Records'!$D$83:$D$149,255),0))="","",INDEX('Disaggregation Records'!$E$83:$E$149,MATCH(RIGHT(L328,255),RIGHT('Disaggregation Records'!$D$83:$D$149,255),0))),"")</f>
        <v/>
      </c>
      <c r="N328" s="130" t="str">
        <f t="array" ref="N328">IFERROR(IF(INDEX('Disaggregation Records'!$F$83:$F$149,MATCH(RIGHT(L328,255),RIGHT('Disaggregation Records'!$D$83:$D$149,255),0))="","",INDEX('Disaggregation Records'!$F$83:$F$149,MATCH(RIGHT(L328,255),RIGHT('Disaggregation Records'!$D$83:$D$149,255),0))),"")</f>
        <v/>
      </c>
      <c r="O328" s="130" t="str">
        <f t="array" ref="O328">IFERROR(IF(INDEX('Disaggregation Records'!$H$83:$H$149,MATCH(RIGHT(L328,255),RIGHT('Disaggregation Records'!$D$83:$D$149,255),0))="","",INDEX('Disaggregation Records'!$H$83:$H$149,MATCH(RIGHT(L328,255),RIGHT('Disaggregation Records'!$D$83:$D$149,255),0))),"")</f>
        <v/>
      </c>
      <c r="P328" s="130"/>
      <c r="Q328" s="52">
        <f t="shared" ref="Q328" si="497">Q326+1</f>
        <v>893</v>
      </c>
    </row>
    <row r="329" spans="1:17" ht="20.100000000000001" customHeight="1" x14ac:dyDescent="0.25">
      <c r="A329" s="130"/>
      <c r="B329" s="602"/>
      <c r="C329" s="604"/>
      <c r="D329" s="606"/>
      <c r="E329" s="606"/>
      <c r="F329" s="132"/>
      <c r="G329" s="608"/>
      <c r="H329" s="598"/>
      <c r="I329" s="600"/>
      <c r="J329" s="532"/>
      <c r="K329" s="130"/>
      <c r="L329" s="130"/>
      <c r="M329" s="130"/>
      <c r="N329" s="130"/>
      <c r="O329" s="130"/>
      <c r="P329" s="130"/>
    </row>
    <row r="330" spans="1:17" ht="20.100000000000001" customHeight="1" x14ac:dyDescent="0.25">
      <c r="A330" s="130" t="str">
        <f t="shared" ref="A330" ca="1" si="498">INDIRECT("'update Helper'!C"&amp;Q330)</f>
        <v>a1VDm000000PRaoMAG</v>
      </c>
      <c r="B330" s="601">
        <v>1</v>
      </c>
      <c r="C330" s="603" t="str">
        <f>IFERROR(VLOOKUP(B330,'Outcome Indicators - Section C '!$A$9:$AC$70,29,FALSE),"")</f>
        <v>HIV O-4a⁽ᴹ⁾ Percentage of men reporting using a condom the last time they had anal sex with a male partner</v>
      </c>
      <c r="D330" s="605" t="str">
        <f>M330</f>
        <v/>
      </c>
      <c r="E330" s="605" t="str">
        <f>N330</f>
        <v/>
      </c>
      <c r="F330" s="131"/>
      <c r="G330" s="607" t="str">
        <f ca="1">IF(OR(INDIRECT("'update Helper'!E"&amp;Q330)="",F330&lt;&gt;0,F331&lt;&gt;0),IF(IFERROR((F330/F331),"")="","",(F330/F331)),INDIRECT("'update Helper'!E"&amp;Q330)/100)</f>
        <v/>
      </c>
      <c r="H330" s="597"/>
      <c r="I330" s="599"/>
      <c r="J330" s="531"/>
      <c r="K330" s="130">
        <f>IF(AND(EXACT(C330,C328),C328&lt;&gt;0),K328+1,0)</f>
        <v>7</v>
      </c>
      <c r="L330" s="130" t="str">
        <f>IF(C330&lt;&gt;"",C330&amp;"-"&amp;K330,"")</f>
        <v>HIV O-4a⁽ᴹ⁾ Percentage of men reporting using a condom the last time they had anal sex with a male partner-7</v>
      </c>
      <c r="M330" s="130" t="str">
        <f t="array" ref="M330">IFERROR(IF(INDEX('Disaggregation Records'!$E$83:$E$149,MATCH(RIGHT(L330,255),RIGHT('Disaggregation Records'!$D$83:$D$149,255),0))="","",INDEX('Disaggregation Records'!$E$83:$E$149,MATCH(RIGHT(L330,255),RIGHT('Disaggregation Records'!$D$83:$D$149,255),0))),"")</f>
        <v/>
      </c>
      <c r="N330" s="130" t="str">
        <f t="array" ref="N330">IFERROR(IF(INDEX('Disaggregation Records'!$F$83:$F$149,MATCH(RIGHT(L330,255),RIGHT('Disaggregation Records'!$D$83:$D$149,255),0))="","",INDEX('Disaggregation Records'!$F$83:$F$149,MATCH(RIGHT(L330,255),RIGHT('Disaggregation Records'!$D$83:$D$149,255),0))),"")</f>
        <v/>
      </c>
      <c r="O330" s="130" t="str">
        <f t="array" ref="O330">IFERROR(IF(INDEX('Disaggregation Records'!$H$83:$H$149,MATCH(RIGHT(L330,255),RIGHT('Disaggregation Records'!$D$83:$D$149,255),0))="","",INDEX('Disaggregation Records'!$H$83:$H$149,MATCH(RIGHT(L330,255),RIGHT('Disaggregation Records'!$D$83:$D$149,255),0))),"")</f>
        <v/>
      </c>
      <c r="P330" s="130"/>
      <c r="Q330" s="52">
        <f t="shared" ref="Q330" si="499">Q328+1</f>
        <v>894</v>
      </c>
    </row>
    <row r="331" spans="1:17" ht="20.100000000000001" customHeight="1" x14ac:dyDescent="0.25">
      <c r="B331" s="602"/>
      <c r="C331" s="604"/>
      <c r="D331" s="606"/>
      <c r="E331" s="606"/>
      <c r="F331" s="132"/>
      <c r="G331" s="608"/>
      <c r="H331" s="598"/>
      <c r="I331" s="600"/>
      <c r="J331" s="532"/>
      <c r="K331" s="130"/>
      <c r="L331" s="130"/>
      <c r="M331" s="130"/>
      <c r="N331" s="130"/>
      <c r="O331" s="130"/>
      <c r="P331" s="130"/>
    </row>
    <row r="332" spans="1:17" ht="20.100000000000001" customHeight="1" x14ac:dyDescent="0.25">
      <c r="A332" s="130" t="str">
        <f t="shared" ref="A332" ca="1" si="500">INDIRECT("'update Helper'!C"&amp;Q332)</f>
        <v>a1VDm000000PRapMAG</v>
      </c>
      <c r="B332" s="601">
        <v>1</v>
      </c>
      <c r="C332" s="603" t="str">
        <f>IFERROR(VLOOKUP(B332,'Outcome Indicators - Section C '!$A$9:$AC$70,29,FALSE),"")</f>
        <v>HIV O-4a⁽ᴹ⁾ Percentage of men reporting using a condom the last time they had anal sex with a male partner</v>
      </c>
      <c r="D332" s="605" t="str">
        <f>M332</f>
        <v/>
      </c>
      <c r="E332" s="605" t="str">
        <f>N332</f>
        <v/>
      </c>
      <c r="F332" s="131"/>
      <c r="G332" s="607" t="str">
        <f ca="1">IF(OR(INDIRECT("'update Helper'!E"&amp;Q332)="",F332&lt;&gt;0,F333&lt;&gt;0),IF(IFERROR((F332/F333),"")="","",(F332/F333)),INDIRECT("'update Helper'!E"&amp;Q332)/100)</f>
        <v/>
      </c>
      <c r="H332" s="597"/>
      <c r="I332" s="599"/>
      <c r="J332" s="531"/>
      <c r="K332" s="130">
        <f>IF(AND(EXACT(C332,C330),C330&lt;&gt;0),K330+1,0)</f>
        <v>8</v>
      </c>
      <c r="L332" s="130" t="str">
        <f>IF(C332&lt;&gt;"",C332&amp;"-"&amp;K332,"")</f>
        <v>HIV O-4a⁽ᴹ⁾ Percentage of men reporting using a condom the last time they had anal sex with a male partner-8</v>
      </c>
      <c r="M332" s="130" t="str">
        <f t="array" ref="M332">IFERROR(IF(INDEX('Disaggregation Records'!$E$83:$E$149,MATCH(RIGHT(L332,255),RIGHT('Disaggregation Records'!$D$83:$D$149,255),0))="","",INDEX('Disaggregation Records'!$E$83:$E$149,MATCH(RIGHT(L332,255),RIGHT('Disaggregation Records'!$D$83:$D$149,255),0))),"")</f>
        <v/>
      </c>
      <c r="N332" s="130" t="str">
        <f t="array" ref="N332">IFERROR(IF(INDEX('Disaggregation Records'!$F$83:$F$149,MATCH(RIGHT(L332,255),RIGHT('Disaggregation Records'!$D$83:$D$149,255),0))="","",INDEX('Disaggregation Records'!$F$83:$F$149,MATCH(RIGHT(L332,255),RIGHT('Disaggregation Records'!$D$83:$D$149,255),0))),"")</f>
        <v/>
      </c>
      <c r="O332" s="130" t="str">
        <f t="array" ref="O332">IFERROR(IF(INDEX('Disaggregation Records'!$H$83:$H$149,MATCH(RIGHT(L332,255),RIGHT('Disaggregation Records'!$D$83:$D$149,255),0))="","",INDEX('Disaggregation Records'!$H$83:$H$149,MATCH(RIGHT(L332,255),RIGHT('Disaggregation Records'!$D$83:$D$149,255),0))),"")</f>
        <v/>
      </c>
      <c r="P332" s="130"/>
      <c r="Q332" s="52">
        <f t="shared" ref="Q332" si="501">Q330+1</f>
        <v>895</v>
      </c>
    </row>
    <row r="333" spans="1:17" ht="20.100000000000001" customHeight="1" x14ac:dyDescent="0.25">
      <c r="A333" s="130"/>
      <c r="B333" s="602"/>
      <c r="C333" s="604"/>
      <c r="D333" s="606"/>
      <c r="E333" s="606"/>
      <c r="F333" s="132"/>
      <c r="G333" s="608"/>
      <c r="H333" s="598"/>
      <c r="I333" s="600"/>
      <c r="J333" s="532"/>
      <c r="K333" s="130"/>
      <c r="L333" s="130"/>
      <c r="M333" s="130"/>
      <c r="N333" s="130"/>
      <c r="O333" s="130"/>
      <c r="P333" s="130"/>
    </row>
    <row r="334" spans="1:17" ht="20.100000000000001" customHeight="1" x14ac:dyDescent="0.25">
      <c r="A334" s="130" t="str">
        <f t="shared" ref="A334" ca="1" si="502">INDIRECT("'update Helper'!C"&amp;Q334)</f>
        <v>a1VDm000000PRaqMAG</v>
      </c>
      <c r="B334" s="601">
        <v>1</v>
      </c>
      <c r="C334" s="603" t="str">
        <f>IFERROR(VLOOKUP(B334,'Outcome Indicators - Section C '!$A$9:$AC$70,29,FALSE),"")</f>
        <v>HIV O-4a⁽ᴹ⁾ Percentage of men reporting using a condom the last time they had anal sex with a male partner</v>
      </c>
      <c r="D334" s="605" t="str">
        <f>M334</f>
        <v/>
      </c>
      <c r="E334" s="605" t="str">
        <f>N334</f>
        <v/>
      </c>
      <c r="F334" s="131"/>
      <c r="G334" s="607" t="str">
        <f ca="1">IF(OR(INDIRECT("'update Helper'!E"&amp;Q334)="",F334&lt;&gt;0,F335&lt;&gt;0),IF(IFERROR((F334/F335),"")="","",(F334/F335)),INDIRECT("'update Helper'!E"&amp;Q334)/100)</f>
        <v/>
      </c>
      <c r="H334" s="597"/>
      <c r="I334" s="599"/>
      <c r="J334" s="531"/>
      <c r="K334" s="130">
        <f>IF(AND(EXACT(C334,C332),C332&lt;&gt;0),K332+1,0)</f>
        <v>9</v>
      </c>
      <c r="L334" s="130" t="str">
        <f>IF(C334&lt;&gt;"",C334&amp;"-"&amp;K334,"")</f>
        <v>HIV O-4a⁽ᴹ⁾ Percentage of men reporting using a condom the last time they had anal sex with a male partner-9</v>
      </c>
      <c r="M334" s="130" t="str">
        <f t="array" ref="M334">IFERROR(IF(INDEX('Disaggregation Records'!$E$83:$E$149,MATCH(RIGHT(L334,255),RIGHT('Disaggregation Records'!$D$83:$D$149,255),0))="","",INDEX('Disaggregation Records'!$E$83:$E$149,MATCH(RIGHT(L334,255),RIGHT('Disaggregation Records'!$D$83:$D$149,255),0))),"")</f>
        <v/>
      </c>
      <c r="N334" s="130" t="str">
        <f t="array" ref="N334">IFERROR(IF(INDEX('Disaggregation Records'!$F$83:$F$149,MATCH(RIGHT(L334,255),RIGHT('Disaggregation Records'!$D$83:$D$149,255),0))="","",INDEX('Disaggregation Records'!$F$83:$F$149,MATCH(RIGHT(L334,255),RIGHT('Disaggregation Records'!$D$83:$D$149,255),0))),"")</f>
        <v/>
      </c>
      <c r="O334" s="130" t="str">
        <f t="array" ref="O334">IFERROR(IF(INDEX('Disaggregation Records'!$H$83:$H$149,MATCH(RIGHT(L334,255),RIGHT('Disaggregation Records'!$D$83:$D$149,255),0))="","",INDEX('Disaggregation Records'!$H$83:$H$149,MATCH(RIGHT(L334,255),RIGHT('Disaggregation Records'!$D$83:$D$149,255),0))),"")</f>
        <v/>
      </c>
      <c r="P334" s="130"/>
      <c r="Q334" s="52">
        <f t="shared" ref="Q334" si="503">Q332+1</f>
        <v>896</v>
      </c>
    </row>
    <row r="335" spans="1:17" ht="20.100000000000001" customHeight="1" x14ac:dyDescent="0.25">
      <c r="B335" s="602"/>
      <c r="C335" s="604"/>
      <c r="D335" s="606"/>
      <c r="E335" s="606"/>
      <c r="F335" s="132"/>
      <c r="G335" s="608"/>
      <c r="H335" s="598"/>
      <c r="I335" s="600"/>
      <c r="J335" s="532"/>
      <c r="K335" s="130"/>
      <c r="L335" s="130"/>
      <c r="M335" s="130"/>
      <c r="N335" s="130"/>
      <c r="O335" s="130"/>
      <c r="P335" s="130"/>
    </row>
    <row r="336" spans="1:17" ht="20.100000000000001" customHeight="1" x14ac:dyDescent="0.25">
      <c r="A336" s="130" t="str">
        <f t="shared" ref="A336" ca="1" si="504">INDIRECT("'update Helper'!C"&amp;Q336)</f>
        <v>a1VDm000000PRarMAG</v>
      </c>
      <c r="B336" s="601">
        <v>2</v>
      </c>
      <c r="C336" s="603" t="str">
        <f>IFERROR(VLOOKUP(B336,'Outcome Indicators - Section C '!$A$9:$AC$70,29,FALSE),"")</f>
        <v>HIV O-5⁽ᴹ⁾ Percentage of sex workers reporting using a condom with their most recent client</v>
      </c>
      <c r="D336" s="605" t="str">
        <f>M336</f>
        <v/>
      </c>
      <c r="E336" s="605" t="str">
        <f>N336</f>
        <v/>
      </c>
      <c r="F336" s="131"/>
      <c r="G336" s="607" t="str">
        <f ca="1">IF(OR(INDIRECT("'update Helper'!E"&amp;Q336)="",F336&lt;&gt;0,F337&lt;&gt;0),IF(IFERROR((F336/F337),"")="","",(F336/F337)),INDIRECT("'update Helper'!E"&amp;Q336)/100)</f>
        <v/>
      </c>
      <c r="H336" s="597"/>
      <c r="I336" s="599"/>
      <c r="J336" s="531"/>
      <c r="K336" s="130">
        <f>IF(AND(EXACT(C336,C334),C334&lt;&gt;0),K334+1,0)</f>
        <v>0</v>
      </c>
      <c r="L336" s="130" t="str">
        <f>IF(C336&lt;&gt;"",C336&amp;"-"&amp;K336,"")</f>
        <v>HIV O-5⁽ᴹ⁾ Percentage of sex workers reporting using a condom with their most recent client-0</v>
      </c>
      <c r="M336" s="130" t="str">
        <f t="array" ref="M336">IFERROR(IF(INDEX('Disaggregation Records'!$E$83:$E$149,MATCH(RIGHT(L336,255),RIGHT('Disaggregation Records'!$D$83:$D$149,255),0))="","",INDEX('Disaggregation Records'!$E$83:$E$149,MATCH(RIGHT(L336,255),RIGHT('Disaggregation Records'!$D$83:$D$149,255),0))),"")</f>
        <v/>
      </c>
      <c r="N336" s="130" t="str">
        <f t="array" ref="N336">IFERROR(IF(INDEX('Disaggregation Records'!$F$83:$F$149,MATCH(RIGHT(L336,255),RIGHT('Disaggregation Records'!$D$83:$D$149,255),0))="","",INDEX('Disaggregation Records'!$F$83:$F$149,MATCH(RIGHT(L336,255),RIGHT('Disaggregation Records'!$D$83:$D$149,255),0))),"")</f>
        <v/>
      </c>
      <c r="O336" s="130" t="str">
        <f t="array" ref="O336">IFERROR(IF(INDEX('Disaggregation Records'!$H$83:$H$149,MATCH(RIGHT(L336,255),RIGHT('Disaggregation Records'!$D$83:$D$149,255),0))="","",INDEX('Disaggregation Records'!$H$83:$H$149,MATCH(RIGHT(L336,255),RIGHT('Disaggregation Records'!$D$83:$D$149,255),0))),"")</f>
        <v/>
      </c>
      <c r="P336" s="130"/>
      <c r="Q336" s="52">
        <f t="shared" ref="Q336" si="505">Q334+1</f>
        <v>897</v>
      </c>
    </row>
    <row r="337" spans="1:17" ht="20.100000000000001" customHeight="1" x14ac:dyDescent="0.25">
      <c r="A337" s="130"/>
      <c r="B337" s="602"/>
      <c r="C337" s="604"/>
      <c r="D337" s="606"/>
      <c r="E337" s="606"/>
      <c r="F337" s="132"/>
      <c r="G337" s="608"/>
      <c r="H337" s="598"/>
      <c r="I337" s="600"/>
      <c r="J337" s="532"/>
      <c r="K337" s="130"/>
      <c r="L337" s="130"/>
      <c r="M337" s="130"/>
      <c r="N337" s="130"/>
      <c r="O337" s="130"/>
      <c r="P337" s="130"/>
    </row>
    <row r="338" spans="1:17" ht="20.100000000000001" customHeight="1" x14ac:dyDescent="0.25">
      <c r="A338" s="130" t="str">
        <f t="shared" ref="A338" ca="1" si="506">INDIRECT("'update Helper'!C"&amp;Q338)</f>
        <v>a1VDm000000PRasMAG</v>
      </c>
      <c r="B338" s="601">
        <v>2</v>
      </c>
      <c r="C338" s="603" t="str">
        <f>IFERROR(VLOOKUP(B338,'Outcome Indicators - Section C '!$A$9:$AC$70,29,FALSE),"")</f>
        <v>HIV O-5⁽ᴹ⁾ Percentage of sex workers reporting using a condom with their most recent client</v>
      </c>
      <c r="D338" s="605" t="str">
        <f>M338</f>
        <v/>
      </c>
      <c r="E338" s="605" t="str">
        <f>N338</f>
        <v/>
      </c>
      <c r="F338" s="131"/>
      <c r="G338" s="607" t="str">
        <f ca="1">IF(OR(INDIRECT("'update Helper'!E"&amp;Q338)="",F338&lt;&gt;0,F339&lt;&gt;0),IF(IFERROR((F338/F339),"")="","",(F338/F339)),INDIRECT("'update Helper'!E"&amp;Q338)/100)</f>
        <v/>
      </c>
      <c r="H338" s="597"/>
      <c r="I338" s="599"/>
      <c r="J338" s="531"/>
      <c r="K338" s="130">
        <f>IF(AND(EXACT(C338,C336),C336&lt;&gt;0),K336+1,0)</f>
        <v>1</v>
      </c>
      <c r="L338" s="130" t="str">
        <f>IF(C338&lt;&gt;"",C338&amp;"-"&amp;K338,"")</f>
        <v>HIV O-5⁽ᴹ⁾ Percentage of sex workers reporting using a condom with their most recent client-1</v>
      </c>
      <c r="M338" s="130" t="str">
        <f t="array" ref="M338">IFERROR(IF(INDEX('Disaggregation Records'!$E$83:$E$149,MATCH(RIGHT(L338,255),RIGHT('Disaggregation Records'!$D$83:$D$149,255),0))="","",INDEX('Disaggregation Records'!$E$83:$E$149,MATCH(RIGHT(L338,255),RIGHT('Disaggregation Records'!$D$83:$D$149,255),0))),"")</f>
        <v/>
      </c>
      <c r="N338" s="130" t="str">
        <f t="array" ref="N338">IFERROR(IF(INDEX('Disaggregation Records'!$F$83:$F$149,MATCH(RIGHT(L338,255),RIGHT('Disaggregation Records'!$D$83:$D$149,255),0))="","",INDEX('Disaggregation Records'!$F$83:$F$149,MATCH(RIGHT(L338,255),RIGHT('Disaggregation Records'!$D$83:$D$149,255),0))),"")</f>
        <v/>
      </c>
      <c r="O338" s="130" t="str">
        <f t="array" ref="O338">IFERROR(IF(INDEX('Disaggregation Records'!$H$83:$H$149,MATCH(RIGHT(L338,255),RIGHT('Disaggregation Records'!$D$83:$D$149,255),0))="","",INDEX('Disaggregation Records'!$H$83:$H$149,MATCH(RIGHT(L338,255),RIGHT('Disaggregation Records'!$D$83:$D$149,255),0))),"")</f>
        <v/>
      </c>
      <c r="P338" s="130"/>
      <c r="Q338" s="52">
        <f t="shared" ref="Q338" si="507">Q336+1</f>
        <v>898</v>
      </c>
    </row>
    <row r="339" spans="1:17" ht="20.100000000000001" customHeight="1" x14ac:dyDescent="0.25">
      <c r="B339" s="602"/>
      <c r="C339" s="604"/>
      <c r="D339" s="606"/>
      <c r="E339" s="606"/>
      <c r="F339" s="132"/>
      <c r="G339" s="608"/>
      <c r="H339" s="598"/>
      <c r="I339" s="600"/>
      <c r="J339" s="532"/>
      <c r="K339" s="130"/>
      <c r="L339" s="130"/>
      <c r="M339" s="130"/>
      <c r="N339" s="130"/>
      <c r="O339" s="130"/>
      <c r="P339" s="130"/>
    </row>
    <row r="340" spans="1:17" ht="20.100000000000001" customHeight="1" x14ac:dyDescent="0.25">
      <c r="A340" s="130" t="str">
        <f t="shared" ref="A340" ca="1" si="508">INDIRECT("'update Helper'!C"&amp;Q340)</f>
        <v>a1VDm000000PRatMAG</v>
      </c>
      <c r="B340" s="601">
        <v>2</v>
      </c>
      <c r="C340" s="603" t="str">
        <f>IFERROR(VLOOKUP(B340,'Outcome Indicators - Section C '!$A$9:$AC$70,29,FALSE),"")</f>
        <v>HIV O-5⁽ᴹ⁾ Percentage of sex workers reporting using a condom with their most recent client</v>
      </c>
      <c r="D340" s="605" t="str">
        <f>M340</f>
        <v/>
      </c>
      <c r="E340" s="605" t="str">
        <f>N340</f>
        <v/>
      </c>
      <c r="F340" s="131"/>
      <c r="G340" s="607" t="str">
        <f ca="1">IF(OR(INDIRECT("'update Helper'!E"&amp;Q340)="",F340&lt;&gt;0,F341&lt;&gt;0),IF(IFERROR((F340/F341),"")="","",(F340/F341)),INDIRECT("'update Helper'!E"&amp;Q340)/100)</f>
        <v/>
      </c>
      <c r="H340" s="597"/>
      <c r="I340" s="599"/>
      <c r="J340" s="531"/>
      <c r="K340" s="130">
        <f>IF(AND(EXACT(C340,C338),C338&lt;&gt;0),K338+1,0)</f>
        <v>2</v>
      </c>
      <c r="L340" s="130" t="str">
        <f>IF(C340&lt;&gt;"",C340&amp;"-"&amp;K340,"")</f>
        <v>HIV O-5⁽ᴹ⁾ Percentage of sex workers reporting using a condom with their most recent client-2</v>
      </c>
      <c r="M340" s="130" t="str">
        <f t="array" ref="M340">IFERROR(IF(INDEX('Disaggregation Records'!$E$83:$E$149,MATCH(RIGHT(L340,255),RIGHT('Disaggregation Records'!$D$83:$D$149,255),0))="","",INDEX('Disaggregation Records'!$E$83:$E$149,MATCH(RIGHT(L340,255),RIGHT('Disaggregation Records'!$D$83:$D$149,255),0))),"")</f>
        <v/>
      </c>
      <c r="N340" s="130" t="str">
        <f t="array" ref="N340">IFERROR(IF(INDEX('Disaggregation Records'!$F$83:$F$149,MATCH(RIGHT(L340,255),RIGHT('Disaggregation Records'!$D$83:$D$149,255),0))="","",INDEX('Disaggregation Records'!$F$83:$F$149,MATCH(RIGHT(L340,255),RIGHT('Disaggregation Records'!$D$83:$D$149,255),0))),"")</f>
        <v/>
      </c>
      <c r="O340" s="130" t="str">
        <f t="array" ref="O340">IFERROR(IF(INDEX('Disaggregation Records'!$H$83:$H$149,MATCH(RIGHT(L340,255),RIGHT('Disaggregation Records'!$D$83:$D$149,255),0))="","",INDEX('Disaggregation Records'!$H$83:$H$149,MATCH(RIGHT(L340,255),RIGHT('Disaggregation Records'!$D$83:$D$149,255),0))),"")</f>
        <v/>
      </c>
      <c r="P340" s="130"/>
      <c r="Q340" s="52">
        <f t="shared" ref="Q340" si="509">Q338+1</f>
        <v>899</v>
      </c>
    </row>
    <row r="341" spans="1:17" ht="20.100000000000001" customHeight="1" x14ac:dyDescent="0.25">
      <c r="A341" s="130"/>
      <c r="B341" s="602"/>
      <c r="C341" s="604"/>
      <c r="D341" s="606"/>
      <c r="E341" s="606"/>
      <c r="F341" s="132"/>
      <c r="G341" s="608"/>
      <c r="H341" s="598"/>
      <c r="I341" s="600"/>
      <c r="J341" s="532"/>
      <c r="K341" s="130"/>
      <c r="L341" s="130"/>
      <c r="M341" s="130"/>
      <c r="N341" s="130"/>
      <c r="O341" s="130"/>
      <c r="P341" s="130"/>
    </row>
    <row r="342" spans="1:17" ht="20.100000000000001" customHeight="1" x14ac:dyDescent="0.25">
      <c r="A342" s="130" t="str">
        <f t="shared" ref="A342" ca="1" si="510">INDIRECT("'update Helper'!C"&amp;Q342)</f>
        <v>a1VDm000000PRauMAG</v>
      </c>
      <c r="B342" s="601">
        <v>2</v>
      </c>
      <c r="C342" s="603" t="str">
        <f>IFERROR(VLOOKUP(B342,'Outcome Indicators - Section C '!$A$9:$AC$70,29,FALSE),"")</f>
        <v>HIV O-5⁽ᴹ⁾ Percentage of sex workers reporting using a condom with their most recent client</v>
      </c>
      <c r="D342" s="605" t="str">
        <f>M342</f>
        <v/>
      </c>
      <c r="E342" s="605" t="str">
        <f>N342</f>
        <v/>
      </c>
      <c r="F342" s="131"/>
      <c r="G342" s="607" t="str">
        <f ca="1">IF(OR(INDIRECT("'update Helper'!E"&amp;Q342)="",F342&lt;&gt;0,F343&lt;&gt;0),IF(IFERROR((F342/F343),"")="","",(F342/F343)),INDIRECT("'update Helper'!E"&amp;Q342)/100)</f>
        <v/>
      </c>
      <c r="H342" s="597"/>
      <c r="I342" s="599"/>
      <c r="J342" s="531"/>
      <c r="K342" s="130">
        <f>IF(AND(EXACT(C342,C340),C340&lt;&gt;0),K340+1,0)</f>
        <v>3</v>
      </c>
      <c r="L342" s="130" t="str">
        <f>IF(C342&lt;&gt;"",C342&amp;"-"&amp;K342,"")</f>
        <v>HIV O-5⁽ᴹ⁾ Percentage of sex workers reporting using a condom with their most recent client-3</v>
      </c>
      <c r="M342" s="130" t="str">
        <f t="array" ref="M342">IFERROR(IF(INDEX('Disaggregation Records'!$E$83:$E$149,MATCH(RIGHT(L342,255),RIGHT('Disaggregation Records'!$D$83:$D$149,255),0))="","",INDEX('Disaggregation Records'!$E$83:$E$149,MATCH(RIGHT(L342,255),RIGHT('Disaggregation Records'!$D$83:$D$149,255),0))),"")</f>
        <v/>
      </c>
      <c r="N342" s="130" t="str">
        <f t="array" ref="N342">IFERROR(IF(INDEX('Disaggregation Records'!$F$83:$F$149,MATCH(RIGHT(L342,255),RIGHT('Disaggregation Records'!$D$83:$D$149,255),0))="","",INDEX('Disaggregation Records'!$F$83:$F$149,MATCH(RIGHT(L342,255),RIGHT('Disaggregation Records'!$D$83:$D$149,255),0))),"")</f>
        <v/>
      </c>
      <c r="O342" s="130" t="str">
        <f t="array" ref="O342">IFERROR(IF(INDEX('Disaggregation Records'!$H$83:$H$149,MATCH(RIGHT(L342,255),RIGHT('Disaggregation Records'!$D$83:$D$149,255),0))="","",INDEX('Disaggregation Records'!$H$83:$H$149,MATCH(RIGHT(L342,255),RIGHT('Disaggregation Records'!$D$83:$D$149,255),0))),"")</f>
        <v/>
      </c>
      <c r="P342" s="130"/>
      <c r="Q342" s="52">
        <f t="shared" ref="Q342" si="511">Q340+1</f>
        <v>900</v>
      </c>
    </row>
    <row r="343" spans="1:17" ht="20.100000000000001" customHeight="1" x14ac:dyDescent="0.25">
      <c r="B343" s="602"/>
      <c r="C343" s="604"/>
      <c r="D343" s="606"/>
      <c r="E343" s="606"/>
      <c r="F343" s="132"/>
      <c r="G343" s="608"/>
      <c r="H343" s="598"/>
      <c r="I343" s="600"/>
      <c r="J343" s="532"/>
      <c r="K343" s="130"/>
      <c r="L343" s="130"/>
      <c r="M343" s="130"/>
      <c r="N343" s="130"/>
      <c r="O343" s="130"/>
      <c r="P343" s="130"/>
    </row>
    <row r="344" spans="1:17" ht="20.100000000000001" customHeight="1" x14ac:dyDescent="0.25">
      <c r="A344" s="130" t="str">
        <f t="shared" ref="A344" ca="1" si="512">INDIRECT("'update Helper'!C"&amp;Q344)</f>
        <v>a1VDm000000PRavMAG</v>
      </c>
      <c r="B344" s="601">
        <v>2</v>
      </c>
      <c r="C344" s="603" t="str">
        <f>IFERROR(VLOOKUP(B344,'Outcome Indicators - Section C '!$A$9:$AC$70,29,FALSE),"")</f>
        <v>HIV O-5⁽ᴹ⁾ Percentage of sex workers reporting using a condom with their most recent client</v>
      </c>
      <c r="D344" s="605" t="str">
        <f>M344</f>
        <v/>
      </c>
      <c r="E344" s="605" t="str">
        <f>N344</f>
        <v/>
      </c>
      <c r="F344" s="131"/>
      <c r="G344" s="607" t="str">
        <f ca="1">IF(OR(INDIRECT("'update Helper'!E"&amp;Q344)="",F344&lt;&gt;0,F345&lt;&gt;0),IF(IFERROR((F344/F345),"")="","",(F344/F345)),INDIRECT("'update Helper'!E"&amp;Q344)/100)</f>
        <v/>
      </c>
      <c r="H344" s="597"/>
      <c r="I344" s="599"/>
      <c r="J344" s="531"/>
      <c r="K344" s="130">
        <f>IF(AND(EXACT(C344,C342),C342&lt;&gt;0),K342+1,0)</f>
        <v>4</v>
      </c>
      <c r="L344" s="130" t="str">
        <f>IF(C344&lt;&gt;"",C344&amp;"-"&amp;K344,"")</f>
        <v>HIV O-5⁽ᴹ⁾ Percentage of sex workers reporting using a condom with their most recent client-4</v>
      </c>
      <c r="M344" s="130" t="str">
        <f t="array" ref="M344">IFERROR(IF(INDEX('Disaggregation Records'!$E$83:$E$149,MATCH(RIGHT(L344,255),RIGHT('Disaggregation Records'!$D$83:$D$149,255),0))="","",INDEX('Disaggregation Records'!$E$83:$E$149,MATCH(RIGHT(L344,255),RIGHT('Disaggregation Records'!$D$83:$D$149,255),0))),"")</f>
        <v/>
      </c>
      <c r="N344" s="130" t="str">
        <f t="array" ref="N344">IFERROR(IF(INDEX('Disaggregation Records'!$F$83:$F$149,MATCH(RIGHT(L344,255),RIGHT('Disaggregation Records'!$D$83:$D$149,255),0))="","",INDEX('Disaggregation Records'!$F$83:$F$149,MATCH(RIGHT(L344,255),RIGHT('Disaggregation Records'!$D$83:$D$149,255),0))),"")</f>
        <v/>
      </c>
      <c r="O344" s="130" t="str">
        <f t="array" ref="O344">IFERROR(IF(INDEX('Disaggregation Records'!$H$83:$H$149,MATCH(RIGHT(L344,255),RIGHT('Disaggregation Records'!$D$83:$D$149,255),0))="","",INDEX('Disaggregation Records'!$H$83:$H$149,MATCH(RIGHT(L344,255),RIGHT('Disaggregation Records'!$D$83:$D$149,255),0))),"")</f>
        <v/>
      </c>
      <c r="P344" s="130"/>
      <c r="Q344" s="52">
        <f t="shared" ref="Q344" si="513">Q342+1</f>
        <v>901</v>
      </c>
    </row>
    <row r="345" spans="1:17" ht="20.100000000000001" customHeight="1" x14ac:dyDescent="0.25">
      <c r="A345" s="130"/>
      <c r="B345" s="602"/>
      <c r="C345" s="604"/>
      <c r="D345" s="606"/>
      <c r="E345" s="606"/>
      <c r="F345" s="132"/>
      <c r="G345" s="608"/>
      <c r="H345" s="598"/>
      <c r="I345" s="600"/>
      <c r="J345" s="532"/>
      <c r="K345" s="130"/>
      <c r="L345" s="130"/>
      <c r="M345" s="130"/>
      <c r="N345" s="130"/>
      <c r="O345" s="130"/>
      <c r="P345" s="130"/>
    </row>
    <row r="346" spans="1:17" ht="20.100000000000001" customHeight="1" x14ac:dyDescent="0.25">
      <c r="A346" s="130" t="str">
        <f t="shared" ref="A346" ca="1" si="514">INDIRECT("'update Helper'!C"&amp;Q346)</f>
        <v>a1VDm000000PRawMAG</v>
      </c>
      <c r="B346" s="601">
        <v>2</v>
      </c>
      <c r="C346" s="603" t="str">
        <f>IFERROR(VLOOKUP(B346,'Outcome Indicators - Section C '!$A$9:$AC$70,29,FALSE),"")</f>
        <v>HIV O-5⁽ᴹ⁾ Percentage of sex workers reporting using a condom with their most recent client</v>
      </c>
      <c r="D346" s="605" t="str">
        <f>M346</f>
        <v/>
      </c>
      <c r="E346" s="605" t="str">
        <f>N346</f>
        <v/>
      </c>
      <c r="F346" s="131"/>
      <c r="G346" s="607" t="str">
        <f ca="1">IF(OR(INDIRECT("'update Helper'!E"&amp;Q346)="",F346&lt;&gt;0,F347&lt;&gt;0),IF(IFERROR((F346/F347),"")="","",(F346/F347)),INDIRECT("'update Helper'!E"&amp;Q346)/100)</f>
        <v/>
      </c>
      <c r="H346" s="597"/>
      <c r="I346" s="599"/>
      <c r="J346" s="531"/>
      <c r="K346" s="130">
        <f>IF(AND(EXACT(C346,C344),C344&lt;&gt;0),K344+1,0)</f>
        <v>5</v>
      </c>
      <c r="L346" s="130" t="str">
        <f>IF(C346&lt;&gt;"",C346&amp;"-"&amp;K346,"")</f>
        <v>HIV O-5⁽ᴹ⁾ Percentage of sex workers reporting using a condom with their most recent client-5</v>
      </c>
      <c r="M346" s="130" t="str">
        <f t="array" ref="M346">IFERROR(IF(INDEX('Disaggregation Records'!$E$83:$E$149,MATCH(RIGHT(L346,255),RIGHT('Disaggregation Records'!$D$83:$D$149,255),0))="","",INDEX('Disaggregation Records'!$E$83:$E$149,MATCH(RIGHT(L346,255),RIGHT('Disaggregation Records'!$D$83:$D$149,255),0))),"")</f>
        <v/>
      </c>
      <c r="N346" s="130" t="str">
        <f t="array" ref="N346">IFERROR(IF(INDEX('Disaggregation Records'!$F$83:$F$149,MATCH(RIGHT(L346,255),RIGHT('Disaggregation Records'!$D$83:$D$149,255),0))="","",INDEX('Disaggregation Records'!$F$83:$F$149,MATCH(RIGHT(L346,255),RIGHT('Disaggregation Records'!$D$83:$D$149,255),0))),"")</f>
        <v/>
      </c>
      <c r="O346" s="130" t="str">
        <f t="array" ref="O346">IFERROR(IF(INDEX('Disaggregation Records'!$H$83:$H$149,MATCH(RIGHT(L346,255),RIGHT('Disaggregation Records'!$D$83:$D$149,255),0))="","",INDEX('Disaggregation Records'!$H$83:$H$149,MATCH(RIGHT(L346,255),RIGHT('Disaggregation Records'!$D$83:$D$149,255),0))),"")</f>
        <v/>
      </c>
      <c r="P346" s="130"/>
      <c r="Q346" s="52">
        <f t="shared" ref="Q346" si="515">Q344+1</f>
        <v>902</v>
      </c>
    </row>
    <row r="347" spans="1:17" ht="20.100000000000001" customHeight="1" x14ac:dyDescent="0.25">
      <c r="B347" s="602"/>
      <c r="C347" s="604"/>
      <c r="D347" s="606"/>
      <c r="E347" s="606"/>
      <c r="F347" s="132"/>
      <c r="G347" s="608"/>
      <c r="H347" s="598"/>
      <c r="I347" s="600"/>
      <c r="J347" s="532"/>
      <c r="K347" s="130"/>
      <c r="L347" s="130"/>
      <c r="M347" s="130"/>
      <c r="N347" s="130"/>
      <c r="O347" s="130"/>
      <c r="P347" s="130"/>
    </row>
    <row r="348" spans="1:17" ht="20.100000000000001" customHeight="1" x14ac:dyDescent="0.25">
      <c r="A348" s="130" t="str">
        <f t="shared" ref="A348" ca="1" si="516">INDIRECT("'update Helper'!C"&amp;Q348)</f>
        <v>a1VDm000000PRaxMAG</v>
      </c>
      <c r="B348" s="601">
        <v>2</v>
      </c>
      <c r="C348" s="603" t="str">
        <f>IFERROR(VLOOKUP(B348,'Outcome Indicators - Section C '!$A$9:$AC$70,29,FALSE),"")</f>
        <v>HIV O-5⁽ᴹ⁾ Percentage of sex workers reporting using a condom with their most recent client</v>
      </c>
      <c r="D348" s="605" t="str">
        <f>M348</f>
        <v/>
      </c>
      <c r="E348" s="605" t="str">
        <f>N348</f>
        <v/>
      </c>
      <c r="F348" s="131"/>
      <c r="G348" s="607" t="str">
        <f ca="1">IF(OR(INDIRECT("'update Helper'!E"&amp;Q348)="",F348&lt;&gt;0,F349&lt;&gt;0),IF(IFERROR((F348/F349),"")="","",(F348/F349)),INDIRECT("'update Helper'!E"&amp;Q348)/100)</f>
        <v/>
      </c>
      <c r="H348" s="597"/>
      <c r="I348" s="599"/>
      <c r="J348" s="531"/>
      <c r="K348" s="130">
        <f>IF(AND(EXACT(C348,C346),C346&lt;&gt;0),K346+1,0)</f>
        <v>6</v>
      </c>
      <c r="L348" s="130" t="str">
        <f>IF(C348&lt;&gt;"",C348&amp;"-"&amp;K348,"")</f>
        <v>HIV O-5⁽ᴹ⁾ Percentage of sex workers reporting using a condom with their most recent client-6</v>
      </c>
      <c r="M348" s="130" t="str">
        <f t="array" ref="M348">IFERROR(IF(INDEX('Disaggregation Records'!$E$83:$E$149,MATCH(RIGHT(L348,255),RIGHT('Disaggregation Records'!$D$83:$D$149,255),0))="","",INDEX('Disaggregation Records'!$E$83:$E$149,MATCH(RIGHT(L348,255),RIGHT('Disaggregation Records'!$D$83:$D$149,255),0))),"")</f>
        <v/>
      </c>
      <c r="N348" s="130" t="str">
        <f t="array" ref="N348">IFERROR(IF(INDEX('Disaggregation Records'!$F$83:$F$149,MATCH(RIGHT(L348,255),RIGHT('Disaggregation Records'!$D$83:$D$149,255),0))="","",INDEX('Disaggregation Records'!$F$83:$F$149,MATCH(RIGHT(L348,255),RIGHT('Disaggregation Records'!$D$83:$D$149,255),0))),"")</f>
        <v/>
      </c>
      <c r="O348" s="130" t="str">
        <f t="array" ref="O348">IFERROR(IF(INDEX('Disaggregation Records'!$H$83:$H$149,MATCH(RIGHT(L348,255),RIGHT('Disaggregation Records'!$D$83:$D$149,255),0))="","",INDEX('Disaggregation Records'!$H$83:$H$149,MATCH(RIGHT(L348,255),RIGHT('Disaggregation Records'!$D$83:$D$149,255),0))),"")</f>
        <v/>
      </c>
      <c r="P348" s="130"/>
      <c r="Q348" s="52">
        <f t="shared" ref="Q348" si="517">Q346+1</f>
        <v>903</v>
      </c>
    </row>
    <row r="349" spans="1:17" ht="20.100000000000001" customHeight="1" x14ac:dyDescent="0.25">
      <c r="A349" s="130"/>
      <c r="B349" s="602"/>
      <c r="C349" s="604"/>
      <c r="D349" s="606"/>
      <c r="E349" s="606"/>
      <c r="F349" s="132"/>
      <c r="G349" s="608"/>
      <c r="H349" s="598"/>
      <c r="I349" s="600"/>
      <c r="J349" s="532"/>
      <c r="K349" s="130"/>
      <c r="L349" s="130"/>
      <c r="M349" s="130"/>
      <c r="N349" s="130"/>
      <c r="O349" s="130"/>
      <c r="P349" s="130"/>
    </row>
    <row r="350" spans="1:17" ht="20.100000000000001" customHeight="1" x14ac:dyDescent="0.25">
      <c r="A350" s="130" t="str">
        <f t="shared" ref="A350" ca="1" si="518">INDIRECT("'update Helper'!C"&amp;Q350)</f>
        <v>a1VDm000000PRayMAG</v>
      </c>
      <c r="B350" s="601">
        <v>2</v>
      </c>
      <c r="C350" s="603" t="str">
        <f>IFERROR(VLOOKUP(B350,'Outcome Indicators - Section C '!$A$9:$AC$70,29,FALSE),"")</f>
        <v>HIV O-5⁽ᴹ⁾ Percentage of sex workers reporting using a condom with their most recent client</v>
      </c>
      <c r="D350" s="605" t="str">
        <f>M350</f>
        <v/>
      </c>
      <c r="E350" s="605" t="str">
        <f>N350</f>
        <v/>
      </c>
      <c r="F350" s="131"/>
      <c r="G350" s="607" t="str">
        <f ca="1">IF(OR(INDIRECT("'update Helper'!E"&amp;Q350)="",F350&lt;&gt;0,F351&lt;&gt;0),IF(IFERROR((F350/F351),"")="","",(F350/F351)),INDIRECT("'update Helper'!E"&amp;Q350)/100)</f>
        <v/>
      </c>
      <c r="H350" s="597"/>
      <c r="I350" s="599"/>
      <c r="J350" s="531"/>
      <c r="K350" s="130">
        <f>IF(AND(EXACT(C350,C348),C348&lt;&gt;0),K348+1,0)</f>
        <v>7</v>
      </c>
      <c r="L350" s="130" t="str">
        <f>IF(C350&lt;&gt;"",C350&amp;"-"&amp;K350,"")</f>
        <v>HIV O-5⁽ᴹ⁾ Percentage of sex workers reporting using a condom with their most recent client-7</v>
      </c>
      <c r="M350" s="130" t="str">
        <f t="array" ref="M350">IFERROR(IF(INDEX('Disaggregation Records'!$E$83:$E$149,MATCH(RIGHT(L350,255),RIGHT('Disaggregation Records'!$D$83:$D$149,255),0))="","",INDEX('Disaggregation Records'!$E$83:$E$149,MATCH(RIGHT(L350,255),RIGHT('Disaggregation Records'!$D$83:$D$149,255),0))),"")</f>
        <v/>
      </c>
      <c r="N350" s="130" t="str">
        <f t="array" ref="N350">IFERROR(IF(INDEX('Disaggregation Records'!$F$83:$F$149,MATCH(RIGHT(L350,255),RIGHT('Disaggregation Records'!$D$83:$D$149,255),0))="","",INDEX('Disaggregation Records'!$F$83:$F$149,MATCH(RIGHT(L350,255),RIGHT('Disaggregation Records'!$D$83:$D$149,255),0))),"")</f>
        <v/>
      </c>
      <c r="O350" s="130" t="str">
        <f t="array" ref="O350">IFERROR(IF(INDEX('Disaggregation Records'!$H$83:$H$149,MATCH(RIGHT(L350,255),RIGHT('Disaggregation Records'!$D$83:$D$149,255),0))="","",INDEX('Disaggregation Records'!$H$83:$H$149,MATCH(RIGHT(L350,255),RIGHT('Disaggregation Records'!$D$83:$D$149,255),0))),"")</f>
        <v/>
      </c>
      <c r="P350" s="130"/>
      <c r="Q350" s="52">
        <f t="shared" ref="Q350" si="519">Q348+1</f>
        <v>904</v>
      </c>
    </row>
    <row r="351" spans="1:17" ht="20.100000000000001" customHeight="1" x14ac:dyDescent="0.25">
      <c r="B351" s="602"/>
      <c r="C351" s="604"/>
      <c r="D351" s="606"/>
      <c r="E351" s="606"/>
      <c r="F351" s="132"/>
      <c r="G351" s="608"/>
      <c r="H351" s="598"/>
      <c r="I351" s="600"/>
      <c r="J351" s="532"/>
      <c r="K351" s="130"/>
      <c r="L351" s="130"/>
      <c r="M351" s="130"/>
      <c r="N351" s="130"/>
      <c r="O351" s="130"/>
      <c r="P351" s="130"/>
    </row>
    <row r="352" spans="1:17" ht="20.100000000000001" customHeight="1" x14ac:dyDescent="0.25">
      <c r="A352" s="130" t="str">
        <f t="shared" ref="A352" ca="1" si="520">INDIRECT("'update Helper'!C"&amp;Q352)</f>
        <v>a1VDm000000PRazMAG</v>
      </c>
      <c r="B352" s="601">
        <v>2</v>
      </c>
      <c r="C352" s="603" t="str">
        <f>IFERROR(VLOOKUP(B352,'Outcome Indicators - Section C '!$A$9:$AC$70,29,FALSE),"")</f>
        <v>HIV O-5⁽ᴹ⁾ Percentage of sex workers reporting using a condom with their most recent client</v>
      </c>
      <c r="D352" s="605" t="str">
        <f>M352</f>
        <v/>
      </c>
      <c r="E352" s="605" t="str">
        <f>N352</f>
        <v/>
      </c>
      <c r="F352" s="131"/>
      <c r="G352" s="607" t="str">
        <f ca="1">IF(OR(INDIRECT("'update Helper'!E"&amp;Q352)="",F352&lt;&gt;0,F353&lt;&gt;0),IF(IFERROR((F352/F353),"")="","",(F352/F353)),INDIRECT("'update Helper'!E"&amp;Q352)/100)</f>
        <v/>
      </c>
      <c r="H352" s="597"/>
      <c r="I352" s="599"/>
      <c r="J352" s="531"/>
      <c r="K352" s="130">
        <f>IF(AND(EXACT(C352,C350),C350&lt;&gt;0),K350+1,0)</f>
        <v>8</v>
      </c>
      <c r="L352" s="130" t="str">
        <f>IF(C352&lt;&gt;"",C352&amp;"-"&amp;K352,"")</f>
        <v>HIV O-5⁽ᴹ⁾ Percentage of sex workers reporting using a condom with their most recent client-8</v>
      </c>
      <c r="M352" s="130" t="str">
        <f t="array" ref="M352">IFERROR(IF(INDEX('Disaggregation Records'!$E$83:$E$149,MATCH(RIGHT(L352,255),RIGHT('Disaggregation Records'!$D$83:$D$149,255),0))="","",INDEX('Disaggregation Records'!$E$83:$E$149,MATCH(RIGHT(L352,255),RIGHT('Disaggregation Records'!$D$83:$D$149,255),0))),"")</f>
        <v/>
      </c>
      <c r="N352" s="130" t="str">
        <f t="array" ref="N352">IFERROR(IF(INDEX('Disaggregation Records'!$F$83:$F$149,MATCH(RIGHT(L352,255),RIGHT('Disaggregation Records'!$D$83:$D$149,255),0))="","",INDEX('Disaggregation Records'!$F$83:$F$149,MATCH(RIGHT(L352,255),RIGHT('Disaggregation Records'!$D$83:$D$149,255),0))),"")</f>
        <v/>
      </c>
      <c r="O352" s="130" t="str">
        <f t="array" ref="O352">IFERROR(IF(INDEX('Disaggregation Records'!$H$83:$H$149,MATCH(RIGHT(L352,255),RIGHT('Disaggregation Records'!$D$83:$D$149,255),0))="","",INDEX('Disaggregation Records'!$H$83:$H$149,MATCH(RIGHT(L352,255),RIGHT('Disaggregation Records'!$D$83:$D$149,255),0))),"")</f>
        <v/>
      </c>
      <c r="P352" s="130"/>
      <c r="Q352" s="52">
        <f t="shared" ref="Q352" si="521">Q350+1</f>
        <v>905</v>
      </c>
    </row>
    <row r="353" spans="1:17" ht="20.100000000000001" customHeight="1" x14ac:dyDescent="0.25">
      <c r="A353" s="130"/>
      <c r="B353" s="602"/>
      <c r="C353" s="604"/>
      <c r="D353" s="606"/>
      <c r="E353" s="606"/>
      <c r="F353" s="132"/>
      <c r="G353" s="608"/>
      <c r="H353" s="598"/>
      <c r="I353" s="600"/>
      <c r="J353" s="532"/>
      <c r="K353" s="130"/>
      <c r="L353" s="130"/>
      <c r="M353" s="130"/>
      <c r="N353" s="130"/>
      <c r="O353" s="130"/>
      <c r="P353" s="130"/>
    </row>
    <row r="354" spans="1:17" ht="20.100000000000001" customHeight="1" x14ac:dyDescent="0.25">
      <c r="A354" s="130" t="str">
        <f t="shared" ref="A354" ca="1" si="522">INDIRECT("'update Helper'!C"&amp;Q354)</f>
        <v>a1VDm000000PRb0MAG</v>
      </c>
      <c r="B354" s="601">
        <v>2</v>
      </c>
      <c r="C354" s="603" t="str">
        <f>IFERROR(VLOOKUP(B354,'Outcome Indicators - Section C '!$A$9:$AC$70,29,FALSE),"")</f>
        <v>HIV O-5⁽ᴹ⁾ Percentage of sex workers reporting using a condom with their most recent client</v>
      </c>
      <c r="D354" s="605" t="str">
        <f>M354</f>
        <v/>
      </c>
      <c r="E354" s="605" t="str">
        <f>N354</f>
        <v/>
      </c>
      <c r="F354" s="131"/>
      <c r="G354" s="607" t="str">
        <f ca="1">IF(OR(INDIRECT("'update Helper'!E"&amp;Q354)="",F354&lt;&gt;0,F355&lt;&gt;0),IF(IFERROR((F354/F355),"")="","",(F354/F355)),INDIRECT("'update Helper'!E"&amp;Q354)/100)</f>
        <v/>
      </c>
      <c r="H354" s="597"/>
      <c r="I354" s="599"/>
      <c r="J354" s="531"/>
      <c r="K354" s="130">
        <f>IF(AND(EXACT(C354,C352),C352&lt;&gt;0),K352+1,0)</f>
        <v>9</v>
      </c>
      <c r="L354" s="130" t="str">
        <f>IF(C354&lt;&gt;"",C354&amp;"-"&amp;K354,"")</f>
        <v>HIV O-5⁽ᴹ⁾ Percentage of sex workers reporting using a condom with their most recent client-9</v>
      </c>
      <c r="M354" s="130" t="str">
        <f t="array" ref="M354">IFERROR(IF(INDEX('Disaggregation Records'!$E$83:$E$149,MATCH(RIGHT(L354,255),RIGHT('Disaggregation Records'!$D$83:$D$149,255),0))="","",INDEX('Disaggregation Records'!$E$83:$E$149,MATCH(RIGHT(L354,255),RIGHT('Disaggregation Records'!$D$83:$D$149,255),0))),"")</f>
        <v/>
      </c>
      <c r="N354" s="130" t="str">
        <f t="array" ref="N354">IFERROR(IF(INDEX('Disaggregation Records'!$F$83:$F$149,MATCH(RIGHT(L354,255),RIGHT('Disaggregation Records'!$D$83:$D$149,255),0))="","",INDEX('Disaggregation Records'!$F$83:$F$149,MATCH(RIGHT(L354,255),RIGHT('Disaggregation Records'!$D$83:$D$149,255),0))),"")</f>
        <v/>
      </c>
      <c r="O354" s="130" t="str">
        <f t="array" ref="O354">IFERROR(IF(INDEX('Disaggregation Records'!$H$83:$H$149,MATCH(RIGHT(L354,255),RIGHT('Disaggregation Records'!$D$83:$D$149,255),0))="","",INDEX('Disaggregation Records'!$H$83:$H$149,MATCH(RIGHT(L354,255),RIGHT('Disaggregation Records'!$D$83:$D$149,255),0))),"")</f>
        <v/>
      </c>
      <c r="P354" s="130"/>
      <c r="Q354" s="52">
        <f t="shared" ref="Q354" si="523">Q352+1</f>
        <v>906</v>
      </c>
    </row>
    <row r="355" spans="1:17" ht="20.100000000000001" customHeight="1" x14ac:dyDescent="0.25">
      <c r="B355" s="602"/>
      <c r="C355" s="604"/>
      <c r="D355" s="606"/>
      <c r="E355" s="606"/>
      <c r="F355" s="132"/>
      <c r="G355" s="608"/>
      <c r="H355" s="598"/>
      <c r="I355" s="600"/>
      <c r="J355" s="532"/>
      <c r="K355" s="130"/>
      <c r="L355" s="130"/>
      <c r="M355" s="130"/>
      <c r="N355" s="130"/>
      <c r="O355" s="130"/>
      <c r="P355" s="130"/>
    </row>
    <row r="356" spans="1:17" ht="20.100000000000001" customHeight="1" x14ac:dyDescent="0.25">
      <c r="A356" s="130" t="str">
        <f t="shared" ref="A356" ca="1" si="524">INDIRECT("'update Helper'!C"&amp;Q356)</f>
        <v>a1VDm000000PRb1MAG</v>
      </c>
      <c r="B356" s="601">
        <v>3</v>
      </c>
      <c r="C356" s="603" t="str">
        <f>IFERROR(VLOOKUP(B356,'Outcome Indicators - Section C '!$A$9:$AC$70,29,FALSE),"")</f>
        <v>HIV O-4.1b⁽ᴹ⁾ Percentage of transgender people reporting using a condom during their most recent sexual intercourse or anal sex</v>
      </c>
      <c r="D356" s="605" t="str">
        <f>M356</f>
        <v/>
      </c>
      <c r="E356" s="605" t="str">
        <f>N356</f>
        <v/>
      </c>
      <c r="F356" s="131"/>
      <c r="G356" s="607" t="str">
        <f ca="1">IF(OR(INDIRECT("'update Helper'!E"&amp;Q356)="",F356&lt;&gt;0,F357&lt;&gt;0),IF(IFERROR((F356/F357),"")="","",(F356/F357)),INDIRECT("'update Helper'!E"&amp;Q356)/100)</f>
        <v/>
      </c>
      <c r="H356" s="597"/>
      <c r="I356" s="599"/>
      <c r="J356" s="531"/>
      <c r="K356" s="130">
        <f>IF(AND(EXACT(C356,C354),C354&lt;&gt;0),K354+1,0)</f>
        <v>0</v>
      </c>
      <c r="L356" s="130" t="str">
        <f>IF(C356&lt;&gt;"",C356&amp;"-"&amp;K356,"")</f>
        <v>HIV O-4.1b⁽ᴹ⁾ Percentage of transgender people reporting using a condom during their most recent sexual intercourse or anal sex-0</v>
      </c>
      <c r="M356" s="130" t="str">
        <f t="array" ref="M356">IFERROR(IF(INDEX('Disaggregation Records'!$E$83:$E$149,MATCH(RIGHT(L356,255),RIGHT('Disaggregation Records'!$D$83:$D$149,255),0))="","",INDEX('Disaggregation Records'!$E$83:$E$149,MATCH(RIGHT(L356,255),RIGHT('Disaggregation Records'!$D$83:$D$149,255),0))),"")</f>
        <v/>
      </c>
      <c r="N356" s="130" t="str">
        <f t="array" ref="N356">IFERROR(IF(INDEX('Disaggregation Records'!$F$83:$F$149,MATCH(RIGHT(L356,255),RIGHT('Disaggregation Records'!$D$83:$D$149,255),0))="","",INDEX('Disaggregation Records'!$F$83:$F$149,MATCH(RIGHT(L356,255),RIGHT('Disaggregation Records'!$D$83:$D$149,255),0))),"")</f>
        <v/>
      </c>
      <c r="O356" s="130" t="str">
        <f t="array" ref="O356">IFERROR(IF(INDEX('Disaggregation Records'!$H$83:$H$149,MATCH(RIGHT(L356,255),RIGHT('Disaggregation Records'!$D$83:$D$149,255),0))="","",INDEX('Disaggregation Records'!$H$83:$H$149,MATCH(RIGHT(L356,255),RIGHT('Disaggregation Records'!$D$83:$D$149,255),0))),"")</f>
        <v/>
      </c>
      <c r="P356" s="130"/>
      <c r="Q356" s="52">
        <f t="shared" ref="Q356" si="525">Q354+1</f>
        <v>907</v>
      </c>
    </row>
    <row r="357" spans="1:17" ht="20.100000000000001" customHeight="1" x14ac:dyDescent="0.25">
      <c r="A357" s="130"/>
      <c r="B357" s="602"/>
      <c r="C357" s="604"/>
      <c r="D357" s="606"/>
      <c r="E357" s="606"/>
      <c r="F357" s="132"/>
      <c r="G357" s="608"/>
      <c r="H357" s="598"/>
      <c r="I357" s="600"/>
      <c r="J357" s="532"/>
      <c r="K357" s="130"/>
      <c r="L357" s="130"/>
      <c r="M357" s="130"/>
      <c r="N357" s="130"/>
      <c r="O357" s="130"/>
      <c r="P357" s="130"/>
    </row>
    <row r="358" spans="1:17" ht="20.100000000000001" customHeight="1" x14ac:dyDescent="0.25">
      <c r="A358" s="130" t="str">
        <f t="shared" ref="A358" ca="1" si="526">INDIRECT("'update Helper'!C"&amp;Q358)</f>
        <v>a1VDm000000PRb2MAG</v>
      </c>
      <c r="B358" s="601">
        <v>3</v>
      </c>
      <c r="C358" s="603" t="str">
        <f>IFERROR(VLOOKUP(B358,'Outcome Indicators - Section C '!$A$9:$AC$70,29,FALSE),"")</f>
        <v>HIV O-4.1b⁽ᴹ⁾ Percentage of transgender people reporting using a condom during their most recent sexual intercourse or anal sex</v>
      </c>
      <c r="D358" s="605" t="str">
        <f>M358</f>
        <v/>
      </c>
      <c r="E358" s="605" t="str">
        <f>N358</f>
        <v/>
      </c>
      <c r="F358" s="131"/>
      <c r="G358" s="607" t="str">
        <f ca="1">IF(OR(INDIRECT("'update Helper'!E"&amp;Q358)="",F358&lt;&gt;0,F359&lt;&gt;0),IF(IFERROR((F358/F359),"")="","",(F358/F359)),INDIRECT("'update Helper'!E"&amp;Q358)/100)</f>
        <v/>
      </c>
      <c r="H358" s="597"/>
      <c r="I358" s="599"/>
      <c r="J358" s="531"/>
      <c r="K358" s="130">
        <f>IF(AND(EXACT(C358,C356),C356&lt;&gt;0),K356+1,0)</f>
        <v>1</v>
      </c>
      <c r="L358" s="130" t="str">
        <f>IF(C358&lt;&gt;"",C358&amp;"-"&amp;K358,"")</f>
        <v>HIV O-4.1b⁽ᴹ⁾ Percentage of transgender people reporting using a condom during their most recent sexual intercourse or anal sex-1</v>
      </c>
      <c r="M358" s="130" t="str">
        <f t="array" ref="M358">IFERROR(IF(INDEX('Disaggregation Records'!$E$83:$E$149,MATCH(RIGHT(L358,255),RIGHT('Disaggregation Records'!$D$83:$D$149,255),0))="","",INDEX('Disaggregation Records'!$E$83:$E$149,MATCH(RIGHT(L358,255),RIGHT('Disaggregation Records'!$D$83:$D$149,255),0))),"")</f>
        <v/>
      </c>
      <c r="N358" s="130" t="str">
        <f t="array" ref="N358">IFERROR(IF(INDEX('Disaggregation Records'!$F$83:$F$149,MATCH(RIGHT(L358,255),RIGHT('Disaggregation Records'!$D$83:$D$149,255),0))="","",INDEX('Disaggregation Records'!$F$83:$F$149,MATCH(RIGHT(L358,255),RIGHT('Disaggregation Records'!$D$83:$D$149,255),0))),"")</f>
        <v/>
      </c>
      <c r="O358" s="130" t="str">
        <f t="array" ref="O358">IFERROR(IF(INDEX('Disaggregation Records'!$H$83:$H$149,MATCH(RIGHT(L358,255),RIGHT('Disaggregation Records'!$D$83:$D$149,255),0))="","",INDEX('Disaggregation Records'!$H$83:$H$149,MATCH(RIGHT(L358,255),RIGHT('Disaggregation Records'!$D$83:$D$149,255),0))),"")</f>
        <v/>
      </c>
      <c r="P358" s="130"/>
      <c r="Q358" s="52">
        <f t="shared" ref="Q358" si="527">Q356+1</f>
        <v>908</v>
      </c>
    </row>
    <row r="359" spans="1:17" ht="20.100000000000001" customHeight="1" x14ac:dyDescent="0.25">
      <c r="B359" s="602"/>
      <c r="C359" s="604"/>
      <c r="D359" s="606"/>
      <c r="E359" s="606"/>
      <c r="F359" s="132"/>
      <c r="G359" s="608"/>
      <c r="H359" s="598"/>
      <c r="I359" s="600"/>
      <c r="J359" s="532"/>
      <c r="K359" s="130"/>
      <c r="L359" s="130"/>
      <c r="M359" s="130"/>
      <c r="N359" s="130"/>
      <c r="O359" s="130"/>
      <c r="P359" s="130"/>
    </row>
    <row r="360" spans="1:17" ht="20.100000000000001" customHeight="1" x14ac:dyDescent="0.25">
      <c r="A360" s="130" t="str">
        <f t="shared" ref="A360" ca="1" si="528">INDIRECT("'update Helper'!C"&amp;Q360)</f>
        <v>a1VDm000000PRb3MAG</v>
      </c>
      <c r="B360" s="601">
        <v>3</v>
      </c>
      <c r="C360" s="603" t="str">
        <f>IFERROR(VLOOKUP(B360,'Outcome Indicators - Section C '!$A$9:$AC$70,29,FALSE),"")</f>
        <v>HIV O-4.1b⁽ᴹ⁾ Percentage of transgender people reporting using a condom during their most recent sexual intercourse or anal sex</v>
      </c>
      <c r="D360" s="605" t="str">
        <f>M360</f>
        <v/>
      </c>
      <c r="E360" s="605" t="str">
        <f>N360</f>
        <v/>
      </c>
      <c r="F360" s="131"/>
      <c r="G360" s="607" t="str">
        <f ca="1">IF(OR(INDIRECT("'update Helper'!E"&amp;Q360)="",F360&lt;&gt;0,F361&lt;&gt;0),IF(IFERROR((F360/F361),"")="","",(F360/F361)),INDIRECT("'update Helper'!E"&amp;Q360)/100)</f>
        <v/>
      </c>
      <c r="H360" s="597"/>
      <c r="I360" s="599"/>
      <c r="J360" s="531"/>
      <c r="K360" s="130">
        <f>IF(AND(EXACT(C360,C358),C358&lt;&gt;0),K358+1,0)</f>
        <v>2</v>
      </c>
      <c r="L360" s="130" t="str">
        <f>IF(C360&lt;&gt;"",C360&amp;"-"&amp;K360,"")</f>
        <v>HIV O-4.1b⁽ᴹ⁾ Percentage of transgender people reporting using a condom during their most recent sexual intercourse or anal sex-2</v>
      </c>
      <c r="M360" s="130" t="str">
        <f t="array" ref="M360">IFERROR(IF(INDEX('Disaggregation Records'!$E$83:$E$149,MATCH(RIGHT(L360,255),RIGHT('Disaggregation Records'!$D$83:$D$149,255),0))="","",INDEX('Disaggregation Records'!$E$83:$E$149,MATCH(RIGHT(L360,255),RIGHT('Disaggregation Records'!$D$83:$D$149,255),0))),"")</f>
        <v/>
      </c>
      <c r="N360" s="130" t="str">
        <f t="array" ref="N360">IFERROR(IF(INDEX('Disaggregation Records'!$F$83:$F$149,MATCH(RIGHT(L360,255),RIGHT('Disaggregation Records'!$D$83:$D$149,255),0))="","",INDEX('Disaggregation Records'!$F$83:$F$149,MATCH(RIGHT(L360,255),RIGHT('Disaggregation Records'!$D$83:$D$149,255),0))),"")</f>
        <v/>
      </c>
      <c r="O360" s="130" t="str">
        <f t="array" ref="O360">IFERROR(IF(INDEX('Disaggregation Records'!$H$83:$H$149,MATCH(RIGHT(L360,255),RIGHT('Disaggregation Records'!$D$83:$D$149,255),0))="","",INDEX('Disaggregation Records'!$H$83:$H$149,MATCH(RIGHT(L360,255),RIGHT('Disaggregation Records'!$D$83:$D$149,255),0))),"")</f>
        <v/>
      </c>
      <c r="P360" s="130"/>
      <c r="Q360" s="52">
        <f t="shared" ref="Q360" si="529">Q358+1</f>
        <v>909</v>
      </c>
    </row>
    <row r="361" spans="1:17" ht="20.100000000000001" customHeight="1" x14ac:dyDescent="0.25">
      <c r="A361" s="130"/>
      <c r="B361" s="602"/>
      <c r="C361" s="604"/>
      <c r="D361" s="606"/>
      <c r="E361" s="606"/>
      <c r="F361" s="132"/>
      <c r="G361" s="608"/>
      <c r="H361" s="598"/>
      <c r="I361" s="600"/>
      <c r="J361" s="532"/>
      <c r="K361" s="130"/>
      <c r="L361" s="130"/>
      <c r="M361" s="130"/>
      <c r="N361" s="130"/>
      <c r="O361" s="130"/>
      <c r="P361" s="130"/>
    </row>
    <row r="362" spans="1:17" ht="20.100000000000001" customHeight="1" x14ac:dyDescent="0.25">
      <c r="A362" s="130" t="str">
        <f t="shared" ref="A362" ca="1" si="530">INDIRECT("'update Helper'!C"&amp;Q362)</f>
        <v>a1VDm000000PRb4MAG</v>
      </c>
      <c r="B362" s="601">
        <v>3</v>
      </c>
      <c r="C362" s="603" t="str">
        <f>IFERROR(VLOOKUP(B362,'Outcome Indicators - Section C '!$A$9:$AC$70,29,FALSE),"")</f>
        <v>HIV O-4.1b⁽ᴹ⁾ Percentage of transgender people reporting using a condom during their most recent sexual intercourse or anal sex</v>
      </c>
      <c r="D362" s="605" t="str">
        <f>M362</f>
        <v/>
      </c>
      <c r="E362" s="605" t="str">
        <f>N362</f>
        <v/>
      </c>
      <c r="F362" s="131"/>
      <c r="G362" s="607" t="str">
        <f ca="1">IF(OR(INDIRECT("'update Helper'!E"&amp;Q362)="",F362&lt;&gt;0,F363&lt;&gt;0),IF(IFERROR((F362/F363),"")="","",(F362/F363)),INDIRECT("'update Helper'!E"&amp;Q362)/100)</f>
        <v/>
      </c>
      <c r="H362" s="597"/>
      <c r="I362" s="599"/>
      <c r="J362" s="531"/>
      <c r="K362" s="130">
        <f>IF(AND(EXACT(C362,C360),C360&lt;&gt;0),K360+1,0)</f>
        <v>3</v>
      </c>
      <c r="L362" s="130" t="str">
        <f>IF(C362&lt;&gt;"",C362&amp;"-"&amp;K362,"")</f>
        <v>HIV O-4.1b⁽ᴹ⁾ Percentage of transgender people reporting using a condom during their most recent sexual intercourse or anal sex-3</v>
      </c>
      <c r="M362" s="130" t="str">
        <f t="array" ref="M362">IFERROR(IF(INDEX('Disaggregation Records'!$E$83:$E$149,MATCH(RIGHT(L362,255),RIGHT('Disaggregation Records'!$D$83:$D$149,255),0))="","",INDEX('Disaggregation Records'!$E$83:$E$149,MATCH(RIGHT(L362,255),RIGHT('Disaggregation Records'!$D$83:$D$149,255),0))),"")</f>
        <v/>
      </c>
      <c r="N362" s="130" t="str">
        <f t="array" ref="N362">IFERROR(IF(INDEX('Disaggregation Records'!$F$83:$F$149,MATCH(RIGHT(L362,255),RIGHT('Disaggregation Records'!$D$83:$D$149,255),0))="","",INDEX('Disaggregation Records'!$F$83:$F$149,MATCH(RIGHT(L362,255),RIGHT('Disaggregation Records'!$D$83:$D$149,255),0))),"")</f>
        <v/>
      </c>
      <c r="O362" s="130" t="str">
        <f t="array" ref="O362">IFERROR(IF(INDEX('Disaggregation Records'!$H$83:$H$149,MATCH(RIGHT(L362,255),RIGHT('Disaggregation Records'!$D$83:$D$149,255),0))="","",INDEX('Disaggregation Records'!$H$83:$H$149,MATCH(RIGHT(L362,255),RIGHT('Disaggregation Records'!$D$83:$D$149,255),0))),"")</f>
        <v/>
      </c>
      <c r="P362" s="130"/>
      <c r="Q362" s="52">
        <f t="shared" ref="Q362" si="531">Q360+1</f>
        <v>910</v>
      </c>
    </row>
    <row r="363" spans="1:17" ht="20.100000000000001" customHeight="1" x14ac:dyDescent="0.25">
      <c r="B363" s="602"/>
      <c r="C363" s="604"/>
      <c r="D363" s="606"/>
      <c r="E363" s="606"/>
      <c r="F363" s="132"/>
      <c r="G363" s="608"/>
      <c r="H363" s="598"/>
      <c r="I363" s="600"/>
      <c r="J363" s="532"/>
      <c r="K363" s="130"/>
      <c r="L363" s="130"/>
      <c r="M363" s="130"/>
      <c r="N363" s="130"/>
      <c r="O363" s="130"/>
      <c r="P363" s="130"/>
    </row>
    <row r="364" spans="1:17" ht="20.100000000000001" customHeight="1" x14ac:dyDescent="0.25">
      <c r="A364" s="130" t="str">
        <f t="shared" ref="A364" ca="1" si="532">INDIRECT("'update Helper'!C"&amp;Q364)</f>
        <v>a1VDm000000PRb5MAG</v>
      </c>
      <c r="B364" s="601">
        <v>3</v>
      </c>
      <c r="C364" s="603" t="str">
        <f>IFERROR(VLOOKUP(B364,'Outcome Indicators - Section C '!$A$9:$AC$70,29,FALSE),"")</f>
        <v>HIV O-4.1b⁽ᴹ⁾ Percentage of transgender people reporting using a condom during their most recent sexual intercourse or anal sex</v>
      </c>
      <c r="D364" s="605" t="str">
        <f>M364</f>
        <v/>
      </c>
      <c r="E364" s="605" t="str">
        <f>N364</f>
        <v/>
      </c>
      <c r="F364" s="131"/>
      <c r="G364" s="607" t="str">
        <f ca="1">IF(OR(INDIRECT("'update Helper'!E"&amp;Q364)="",F364&lt;&gt;0,F365&lt;&gt;0),IF(IFERROR((F364/F365),"")="","",(F364/F365)),INDIRECT("'update Helper'!E"&amp;Q364)/100)</f>
        <v/>
      </c>
      <c r="H364" s="597"/>
      <c r="I364" s="599"/>
      <c r="J364" s="531"/>
      <c r="K364" s="130">
        <f>IF(AND(EXACT(C364,C362),C362&lt;&gt;0),K362+1,0)</f>
        <v>4</v>
      </c>
      <c r="L364" s="130" t="str">
        <f>IF(C364&lt;&gt;"",C364&amp;"-"&amp;K364,"")</f>
        <v>HIV O-4.1b⁽ᴹ⁾ Percentage of transgender people reporting using a condom during their most recent sexual intercourse or anal sex-4</v>
      </c>
      <c r="M364" s="130" t="str">
        <f t="array" ref="M364">IFERROR(IF(INDEX('Disaggregation Records'!$E$83:$E$149,MATCH(RIGHT(L364,255),RIGHT('Disaggregation Records'!$D$83:$D$149,255),0))="","",INDEX('Disaggregation Records'!$E$83:$E$149,MATCH(RIGHT(L364,255),RIGHT('Disaggregation Records'!$D$83:$D$149,255),0))),"")</f>
        <v/>
      </c>
      <c r="N364" s="130" t="str">
        <f t="array" ref="N364">IFERROR(IF(INDEX('Disaggregation Records'!$F$83:$F$149,MATCH(RIGHT(L364,255),RIGHT('Disaggregation Records'!$D$83:$D$149,255),0))="","",INDEX('Disaggregation Records'!$F$83:$F$149,MATCH(RIGHT(L364,255),RIGHT('Disaggregation Records'!$D$83:$D$149,255),0))),"")</f>
        <v/>
      </c>
      <c r="O364" s="130" t="str">
        <f t="array" ref="O364">IFERROR(IF(INDEX('Disaggregation Records'!$H$83:$H$149,MATCH(RIGHT(L364,255),RIGHT('Disaggregation Records'!$D$83:$D$149,255),0))="","",INDEX('Disaggregation Records'!$H$83:$H$149,MATCH(RIGHT(L364,255),RIGHT('Disaggregation Records'!$D$83:$D$149,255),0))),"")</f>
        <v/>
      </c>
      <c r="P364" s="130"/>
      <c r="Q364" s="52">
        <f t="shared" ref="Q364" si="533">Q362+1</f>
        <v>911</v>
      </c>
    </row>
    <row r="365" spans="1:17" ht="20.100000000000001" customHeight="1" x14ac:dyDescent="0.25">
      <c r="A365" s="130"/>
      <c r="B365" s="602"/>
      <c r="C365" s="604"/>
      <c r="D365" s="606"/>
      <c r="E365" s="606"/>
      <c r="F365" s="132"/>
      <c r="G365" s="608"/>
      <c r="H365" s="598"/>
      <c r="I365" s="600"/>
      <c r="J365" s="532"/>
      <c r="K365" s="130"/>
      <c r="L365" s="130"/>
      <c r="M365" s="130"/>
      <c r="N365" s="130"/>
      <c r="O365" s="130"/>
      <c r="P365" s="130"/>
    </row>
    <row r="366" spans="1:17" ht="20.100000000000001" customHeight="1" x14ac:dyDescent="0.25">
      <c r="A366" s="130" t="str">
        <f t="shared" ref="A366" ca="1" si="534">INDIRECT("'update Helper'!C"&amp;Q366)</f>
        <v>a1VDm000000PRb6MAG</v>
      </c>
      <c r="B366" s="601">
        <v>3</v>
      </c>
      <c r="C366" s="603" t="str">
        <f>IFERROR(VLOOKUP(B366,'Outcome Indicators - Section C '!$A$9:$AC$70,29,FALSE),"")</f>
        <v>HIV O-4.1b⁽ᴹ⁾ Percentage of transgender people reporting using a condom during their most recent sexual intercourse or anal sex</v>
      </c>
      <c r="D366" s="605" t="str">
        <f>M366</f>
        <v/>
      </c>
      <c r="E366" s="605" t="str">
        <f>N366</f>
        <v/>
      </c>
      <c r="F366" s="131"/>
      <c r="G366" s="607" t="str">
        <f ca="1">IF(OR(INDIRECT("'update Helper'!E"&amp;Q366)="",F366&lt;&gt;0,F367&lt;&gt;0),IF(IFERROR((F366/F367),"")="","",(F366/F367)),INDIRECT("'update Helper'!E"&amp;Q366)/100)</f>
        <v/>
      </c>
      <c r="H366" s="597"/>
      <c r="I366" s="599"/>
      <c r="J366" s="531"/>
      <c r="K366" s="130">
        <f>IF(AND(EXACT(C366,C364),C364&lt;&gt;0),K364+1,0)</f>
        <v>5</v>
      </c>
      <c r="L366" s="130" t="str">
        <f>IF(C366&lt;&gt;"",C366&amp;"-"&amp;K366,"")</f>
        <v>HIV O-4.1b⁽ᴹ⁾ Percentage of transgender people reporting using a condom during their most recent sexual intercourse or anal sex-5</v>
      </c>
      <c r="M366" s="130" t="str">
        <f t="array" ref="M366">IFERROR(IF(INDEX('Disaggregation Records'!$E$83:$E$149,MATCH(RIGHT(L366,255),RIGHT('Disaggregation Records'!$D$83:$D$149,255),0))="","",INDEX('Disaggregation Records'!$E$83:$E$149,MATCH(RIGHT(L366,255),RIGHT('Disaggregation Records'!$D$83:$D$149,255),0))),"")</f>
        <v/>
      </c>
      <c r="N366" s="130" t="str">
        <f t="array" ref="N366">IFERROR(IF(INDEX('Disaggregation Records'!$F$83:$F$149,MATCH(RIGHT(L366,255),RIGHT('Disaggregation Records'!$D$83:$D$149,255),0))="","",INDEX('Disaggregation Records'!$F$83:$F$149,MATCH(RIGHT(L366,255),RIGHT('Disaggregation Records'!$D$83:$D$149,255),0))),"")</f>
        <v/>
      </c>
      <c r="O366" s="130" t="str">
        <f t="array" ref="O366">IFERROR(IF(INDEX('Disaggregation Records'!$H$83:$H$149,MATCH(RIGHT(L366,255),RIGHT('Disaggregation Records'!$D$83:$D$149,255),0))="","",INDEX('Disaggregation Records'!$H$83:$H$149,MATCH(RIGHT(L366,255),RIGHT('Disaggregation Records'!$D$83:$D$149,255),0))),"")</f>
        <v/>
      </c>
      <c r="P366" s="130"/>
      <c r="Q366" s="52">
        <f t="shared" ref="Q366" si="535">Q364+1</f>
        <v>912</v>
      </c>
    </row>
    <row r="367" spans="1:17" ht="20.100000000000001" customHeight="1" x14ac:dyDescent="0.25">
      <c r="B367" s="602"/>
      <c r="C367" s="604"/>
      <c r="D367" s="606"/>
      <c r="E367" s="606"/>
      <c r="F367" s="132"/>
      <c r="G367" s="608"/>
      <c r="H367" s="598"/>
      <c r="I367" s="600"/>
      <c r="J367" s="532"/>
      <c r="K367" s="130"/>
      <c r="L367" s="130"/>
      <c r="M367" s="130"/>
      <c r="N367" s="130"/>
      <c r="O367" s="130"/>
      <c r="P367" s="130"/>
    </row>
    <row r="368" spans="1:17" ht="20.100000000000001" customHeight="1" x14ac:dyDescent="0.25">
      <c r="A368" s="130" t="str">
        <f t="shared" ref="A368" ca="1" si="536">INDIRECT("'update Helper'!C"&amp;Q368)</f>
        <v>a1VDm000000PRb7MAG</v>
      </c>
      <c r="B368" s="601">
        <v>3</v>
      </c>
      <c r="C368" s="603" t="str">
        <f>IFERROR(VLOOKUP(B368,'Outcome Indicators - Section C '!$A$9:$AC$70,29,FALSE),"")</f>
        <v>HIV O-4.1b⁽ᴹ⁾ Percentage of transgender people reporting using a condom during their most recent sexual intercourse or anal sex</v>
      </c>
      <c r="D368" s="605" t="str">
        <f>M368</f>
        <v/>
      </c>
      <c r="E368" s="605" t="str">
        <f>N368</f>
        <v/>
      </c>
      <c r="F368" s="131"/>
      <c r="G368" s="607" t="str">
        <f ca="1">IF(OR(INDIRECT("'update Helper'!E"&amp;Q368)="",F368&lt;&gt;0,F369&lt;&gt;0),IF(IFERROR((F368/F369),"")="","",(F368/F369)),INDIRECT("'update Helper'!E"&amp;Q368)/100)</f>
        <v/>
      </c>
      <c r="H368" s="597"/>
      <c r="I368" s="599"/>
      <c r="J368" s="531"/>
      <c r="K368" s="130">
        <f>IF(AND(EXACT(C368,C366),C366&lt;&gt;0),K366+1,0)</f>
        <v>6</v>
      </c>
      <c r="L368" s="130" t="str">
        <f>IF(C368&lt;&gt;"",C368&amp;"-"&amp;K368,"")</f>
        <v>HIV O-4.1b⁽ᴹ⁾ Percentage of transgender people reporting using a condom during their most recent sexual intercourse or anal sex-6</v>
      </c>
      <c r="M368" s="130" t="str">
        <f t="array" ref="M368">IFERROR(IF(INDEX('Disaggregation Records'!$E$83:$E$149,MATCH(RIGHT(L368,255),RIGHT('Disaggregation Records'!$D$83:$D$149,255),0))="","",INDEX('Disaggregation Records'!$E$83:$E$149,MATCH(RIGHT(L368,255),RIGHT('Disaggregation Records'!$D$83:$D$149,255),0))),"")</f>
        <v/>
      </c>
      <c r="N368" s="130" t="str">
        <f t="array" ref="N368">IFERROR(IF(INDEX('Disaggregation Records'!$F$83:$F$149,MATCH(RIGHT(L368,255),RIGHT('Disaggregation Records'!$D$83:$D$149,255),0))="","",INDEX('Disaggregation Records'!$F$83:$F$149,MATCH(RIGHT(L368,255),RIGHT('Disaggregation Records'!$D$83:$D$149,255),0))),"")</f>
        <v/>
      </c>
      <c r="O368" s="130" t="str">
        <f t="array" ref="O368">IFERROR(IF(INDEX('Disaggregation Records'!$H$83:$H$149,MATCH(RIGHT(L368,255),RIGHT('Disaggregation Records'!$D$83:$D$149,255),0))="","",INDEX('Disaggregation Records'!$H$83:$H$149,MATCH(RIGHT(L368,255),RIGHT('Disaggregation Records'!$D$83:$D$149,255),0))),"")</f>
        <v/>
      </c>
      <c r="P368" s="130"/>
      <c r="Q368" s="52">
        <f t="shared" ref="Q368" si="537">Q366+1</f>
        <v>913</v>
      </c>
    </row>
    <row r="369" spans="1:17" ht="20.100000000000001" customHeight="1" x14ac:dyDescent="0.25">
      <c r="A369" s="130"/>
      <c r="B369" s="602"/>
      <c r="C369" s="604"/>
      <c r="D369" s="606"/>
      <c r="E369" s="606"/>
      <c r="F369" s="132"/>
      <c r="G369" s="608"/>
      <c r="H369" s="598"/>
      <c r="I369" s="600"/>
      <c r="J369" s="532"/>
      <c r="K369" s="130"/>
      <c r="L369" s="130"/>
      <c r="M369" s="130"/>
      <c r="N369" s="130"/>
      <c r="O369" s="130"/>
      <c r="P369" s="130"/>
    </row>
    <row r="370" spans="1:17" ht="20.100000000000001" customHeight="1" x14ac:dyDescent="0.25">
      <c r="A370" s="130" t="str">
        <f t="shared" ref="A370" ca="1" si="538">INDIRECT("'update Helper'!C"&amp;Q370)</f>
        <v>a1VDm000000PRb8MAG</v>
      </c>
      <c r="B370" s="601">
        <v>3</v>
      </c>
      <c r="C370" s="603" t="str">
        <f>IFERROR(VLOOKUP(B370,'Outcome Indicators - Section C '!$A$9:$AC$70,29,FALSE),"")</f>
        <v>HIV O-4.1b⁽ᴹ⁾ Percentage of transgender people reporting using a condom during their most recent sexual intercourse or anal sex</v>
      </c>
      <c r="D370" s="605" t="str">
        <f>M370</f>
        <v/>
      </c>
      <c r="E370" s="605" t="str">
        <f>N370</f>
        <v/>
      </c>
      <c r="F370" s="131"/>
      <c r="G370" s="607" t="str">
        <f ca="1">IF(OR(INDIRECT("'update Helper'!E"&amp;Q370)="",F370&lt;&gt;0,F371&lt;&gt;0),IF(IFERROR((F370/F371),"")="","",(F370/F371)),INDIRECT("'update Helper'!E"&amp;Q370)/100)</f>
        <v/>
      </c>
      <c r="H370" s="597"/>
      <c r="I370" s="599"/>
      <c r="J370" s="531"/>
      <c r="K370" s="130">
        <f>IF(AND(EXACT(C370,C368),C368&lt;&gt;0),K368+1,0)</f>
        <v>7</v>
      </c>
      <c r="L370" s="130" t="str">
        <f>IF(C370&lt;&gt;"",C370&amp;"-"&amp;K370,"")</f>
        <v>HIV O-4.1b⁽ᴹ⁾ Percentage of transgender people reporting using a condom during their most recent sexual intercourse or anal sex-7</v>
      </c>
      <c r="M370" s="130" t="str">
        <f t="array" ref="M370">IFERROR(IF(INDEX('Disaggregation Records'!$E$83:$E$149,MATCH(RIGHT(L370,255),RIGHT('Disaggregation Records'!$D$83:$D$149,255),0))="","",INDEX('Disaggregation Records'!$E$83:$E$149,MATCH(RIGHT(L370,255),RIGHT('Disaggregation Records'!$D$83:$D$149,255),0))),"")</f>
        <v/>
      </c>
      <c r="N370" s="130" t="str">
        <f t="array" ref="N370">IFERROR(IF(INDEX('Disaggregation Records'!$F$83:$F$149,MATCH(RIGHT(L370,255),RIGHT('Disaggregation Records'!$D$83:$D$149,255),0))="","",INDEX('Disaggregation Records'!$F$83:$F$149,MATCH(RIGHT(L370,255),RIGHT('Disaggregation Records'!$D$83:$D$149,255),0))),"")</f>
        <v/>
      </c>
      <c r="O370" s="130" t="str">
        <f t="array" ref="O370">IFERROR(IF(INDEX('Disaggregation Records'!$H$83:$H$149,MATCH(RIGHT(L370,255),RIGHT('Disaggregation Records'!$D$83:$D$149,255),0))="","",INDEX('Disaggregation Records'!$H$83:$H$149,MATCH(RIGHT(L370,255),RIGHT('Disaggregation Records'!$D$83:$D$149,255),0))),"")</f>
        <v/>
      </c>
      <c r="P370" s="130"/>
      <c r="Q370" s="52">
        <f t="shared" ref="Q370" si="539">Q368+1</f>
        <v>914</v>
      </c>
    </row>
    <row r="371" spans="1:17" ht="20.100000000000001" customHeight="1" x14ac:dyDescent="0.25">
      <c r="B371" s="602"/>
      <c r="C371" s="604"/>
      <c r="D371" s="606"/>
      <c r="E371" s="606"/>
      <c r="F371" s="132"/>
      <c r="G371" s="608"/>
      <c r="H371" s="598"/>
      <c r="I371" s="600"/>
      <c r="J371" s="532"/>
      <c r="K371" s="130"/>
      <c r="L371" s="130"/>
      <c r="M371" s="130"/>
      <c r="N371" s="130"/>
      <c r="O371" s="130"/>
      <c r="P371" s="130"/>
    </row>
    <row r="372" spans="1:17" ht="20.100000000000001" customHeight="1" x14ac:dyDescent="0.25">
      <c r="A372" s="130" t="str">
        <f t="shared" ref="A372" ca="1" si="540">INDIRECT("'update Helper'!C"&amp;Q372)</f>
        <v>a1VDm000000PRb9MAG</v>
      </c>
      <c r="B372" s="601">
        <v>3</v>
      </c>
      <c r="C372" s="603" t="str">
        <f>IFERROR(VLOOKUP(B372,'Outcome Indicators - Section C '!$A$9:$AC$70,29,FALSE),"")</f>
        <v>HIV O-4.1b⁽ᴹ⁾ Percentage of transgender people reporting using a condom during their most recent sexual intercourse or anal sex</v>
      </c>
      <c r="D372" s="605" t="str">
        <f>M372</f>
        <v/>
      </c>
      <c r="E372" s="605" t="str">
        <f>N372</f>
        <v/>
      </c>
      <c r="F372" s="131"/>
      <c r="G372" s="607" t="str">
        <f ca="1">IF(OR(INDIRECT("'update Helper'!E"&amp;Q372)="",F372&lt;&gt;0,F373&lt;&gt;0),IF(IFERROR((F372/F373),"")="","",(F372/F373)),INDIRECT("'update Helper'!E"&amp;Q372)/100)</f>
        <v/>
      </c>
      <c r="H372" s="597"/>
      <c r="I372" s="599"/>
      <c r="J372" s="531"/>
      <c r="K372" s="130">
        <f>IF(AND(EXACT(C372,C370),C370&lt;&gt;0),K370+1,0)</f>
        <v>8</v>
      </c>
      <c r="L372" s="130" t="str">
        <f>IF(C372&lt;&gt;"",C372&amp;"-"&amp;K372,"")</f>
        <v>HIV O-4.1b⁽ᴹ⁾ Percentage of transgender people reporting using a condom during their most recent sexual intercourse or anal sex-8</v>
      </c>
      <c r="M372" s="130" t="str">
        <f t="array" ref="M372">IFERROR(IF(INDEX('Disaggregation Records'!$E$83:$E$149,MATCH(RIGHT(L372,255),RIGHT('Disaggregation Records'!$D$83:$D$149,255),0))="","",INDEX('Disaggregation Records'!$E$83:$E$149,MATCH(RIGHT(L372,255),RIGHT('Disaggregation Records'!$D$83:$D$149,255),0))),"")</f>
        <v/>
      </c>
      <c r="N372" s="130" t="str">
        <f t="array" ref="N372">IFERROR(IF(INDEX('Disaggregation Records'!$F$83:$F$149,MATCH(RIGHT(L372,255),RIGHT('Disaggregation Records'!$D$83:$D$149,255),0))="","",INDEX('Disaggregation Records'!$F$83:$F$149,MATCH(RIGHT(L372,255),RIGHT('Disaggregation Records'!$D$83:$D$149,255),0))),"")</f>
        <v/>
      </c>
      <c r="O372" s="130" t="str">
        <f t="array" ref="O372">IFERROR(IF(INDEX('Disaggregation Records'!$H$83:$H$149,MATCH(RIGHT(L372,255),RIGHT('Disaggregation Records'!$D$83:$D$149,255),0))="","",INDEX('Disaggregation Records'!$H$83:$H$149,MATCH(RIGHT(L372,255),RIGHT('Disaggregation Records'!$D$83:$D$149,255),0))),"")</f>
        <v/>
      </c>
      <c r="P372" s="130"/>
      <c r="Q372" s="52">
        <f t="shared" ref="Q372" si="541">Q370+1</f>
        <v>915</v>
      </c>
    </row>
    <row r="373" spans="1:17" ht="20.100000000000001" customHeight="1" x14ac:dyDescent="0.25">
      <c r="A373" s="130"/>
      <c r="B373" s="602"/>
      <c r="C373" s="604"/>
      <c r="D373" s="606"/>
      <c r="E373" s="606"/>
      <c r="F373" s="132"/>
      <c r="G373" s="608"/>
      <c r="H373" s="598"/>
      <c r="I373" s="600"/>
      <c r="J373" s="532"/>
      <c r="K373" s="130"/>
      <c r="L373" s="130"/>
      <c r="M373" s="130"/>
      <c r="N373" s="130"/>
      <c r="O373" s="130"/>
      <c r="P373" s="130"/>
    </row>
    <row r="374" spans="1:17" ht="20.100000000000001" customHeight="1" x14ac:dyDescent="0.25">
      <c r="A374" s="130" t="str">
        <f t="shared" ref="A374" ca="1" si="542">INDIRECT("'update Helper'!C"&amp;Q374)</f>
        <v>a1VDm000000PRbAMAW</v>
      </c>
      <c r="B374" s="601">
        <v>3</v>
      </c>
      <c r="C374" s="603" t="str">
        <f>IFERROR(VLOOKUP(B374,'Outcome Indicators - Section C '!$A$9:$AC$70,29,FALSE),"")</f>
        <v>HIV O-4.1b⁽ᴹ⁾ Percentage of transgender people reporting using a condom during their most recent sexual intercourse or anal sex</v>
      </c>
      <c r="D374" s="605" t="str">
        <f>M374</f>
        <v/>
      </c>
      <c r="E374" s="605" t="str">
        <f>N374</f>
        <v/>
      </c>
      <c r="F374" s="131"/>
      <c r="G374" s="607" t="str">
        <f ca="1">IF(OR(INDIRECT("'update Helper'!E"&amp;Q374)="",F374&lt;&gt;0,F375&lt;&gt;0),IF(IFERROR((F374/F375),"")="","",(F374/F375)),INDIRECT("'update Helper'!E"&amp;Q374)/100)</f>
        <v/>
      </c>
      <c r="H374" s="597"/>
      <c r="I374" s="599"/>
      <c r="J374" s="531"/>
      <c r="K374" s="130">
        <f>IF(AND(EXACT(C374,C372),C372&lt;&gt;0),K372+1,0)</f>
        <v>9</v>
      </c>
      <c r="L374" s="130" t="str">
        <f>IF(C374&lt;&gt;"",C374&amp;"-"&amp;K374,"")</f>
        <v>HIV O-4.1b⁽ᴹ⁾ Percentage of transgender people reporting using a condom during their most recent sexual intercourse or anal sex-9</v>
      </c>
      <c r="M374" s="130" t="str">
        <f t="array" ref="M374">IFERROR(IF(INDEX('Disaggregation Records'!$E$83:$E$149,MATCH(RIGHT(L374,255),RIGHT('Disaggregation Records'!$D$83:$D$149,255),0))="","",INDEX('Disaggregation Records'!$E$83:$E$149,MATCH(RIGHT(L374,255),RIGHT('Disaggregation Records'!$D$83:$D$149,255),0))),"")</f>
        <v/>
      </c>
      <c r="N374" s="130" t="str">
        <f t="array" ref="N374">IFERROR(IF(INDEX('Disaggregation Records'!$F$83:$F$149,MATCH(RIGHT(L374,255),RIGHT('Disaggregation Records'!$D$83:$D$149,255),0))="","",INDEX('Disaggregation Records'!$F$83:$F$149,MATCH(RIGHT(L374,255),RIGHT('Disaggregation Records'!$D$83:$D$149,255),0))),"")</f>
        <v/>
      </c>
      <c r="O374" s="130" t="str">
        <f t="array" ref="O374">IFERROR(IF(INDEX('Disaggregation Records'!$H$83:$H$149,MATCH(RIGHT(L374,255),RIGHT('Disaggregation Records'!$D$83:$D$149,255),0))="","",INDEX('Disaggregation Records'!$H$83:$H$149,MATCH(RIGHT(L374,255),RIGHT('Disaggregation Records'!$D$83:$D$149,255),0))),"")</f>
        <v/>
      </c>
      <c r="P374" s="130"/>
      <c r="Q374" s="52">
        <f t="shared" ref="Q374" si="543">Q372+1</f>
        <v>916</v>
      </c>
    </row>
    <row r="375" spans="1:17" ht="20.100000000000001" customHeight="1" x14ac:dyDescent="0.25">
      <c r="B375" s="602"/>
      <c r="C375" s="604"/>
      <c r="D375" s="606"/>
      <c r="E375" s="606"/>
      <c r="F375" s="132"/>
      <c r="G375" s="608"/>
      <c r="H375" s="598"/>
      <c r="I375" s="600"/>
      <c r="J375" s="532"/>
      <c r="K375" s="130"/>
      <c r="L375" s="130"/>
      <c r="M375" s="130"/>
      <c r="N375" s="130"/>
      <c r="O375" s="130"/>
      <c r="P375" s="130"/>
    </row>
    <row r="376" spans="1:17" ht="20.100000000000001" customHeight="1" x14ac:dyDescent="0.25">
      <c r="A376" s="130" t="str">
        <f t="shared" ref="A376" ca="1" si="544">INDIRECT("'update Helper'!C"&amp;Q376)</f>
        <v>a1VDm000000PRbBMAW</v>
      </c>
      <c r="B376" s="601">
        <v>4</v>
      </c>
      <c r="C376" s="603" t="str">
        <f>IFERROR(VLOOKUP(B376,'Outcome Indicators - Section C '!$A$9:$AC$70,29,FALSE),"")</f>
        <v>HIV O-6⁽ᴹ⁾ Percentage of people who inject drugs reporting using sterile injecting equipment the last time they injected</v>
      </c>
      <c r="D376" s="605" t="str">
        <f>M376</f>
        <v/>
      </c>
      <c r="E376" s="605" t="str">
        <f>N376</f>
        <v/>
      </c>
      <c r="F376" s="131"/>
      <c r="G376" s="607" t="str">
        <f ca="1">IF(OR(INDIRECT("'update Helper'!E"&amp;Q376)="",F376&lt;&gt;0,F377&lt;&gt;0),IF(IFERROR((F376/F377),"")="","",(F376/F377)),INDIRECT("'update Helper'!E"&amp;Q376)/100)</f>
        <v/>
      </c>
      <c r="H376" s="597"/>
      <c r="I376" s="599"/>
      <c r="J376" s="531"/>
      <c r="K376" s="130">
        <f>IF(AND(EXACT(C376,C374),C374&lt;&gt;0),K374+1,0)</f>
        <v>0</v>
      </c>
      <c r="L376" s="130" t="str">
        <f>IF(C376&lt;&gt;"",C376&amp;"-"&amp;K376,"")</f>
        <v>HIV O-6⁽ᴹ⁾ Percentage of people who inject drugs reporting using sterile injecting equipment the last time they injected-0</v>
      </c>
      <c r="M376" s="130" t="str">
        <f t="array" ref="M376">IFERROR(IF(INDEX('Disaggregation Records'!$E$83:$E$149,MATCH(RIGHT(L376,255),RIGHT('Disaggregation Records'!$D$83:$D$149,255),0))="","",INDEX('Disaggregation Records'!$E$83:$E$149,MATCH(RIGHT(L376,255),RIGHT('Disaggregation Records'!$D$83:$D$149,255),0))),"")</f>
        <v/>
      </c>
      <c r="N376" s="130" t="str">
        <f t="array" ref="N376">IFERROR(IF(INDEX('Disaggregation Records'!$F$83:$F$149,MATCH(RIGHT(L376,255),RIGHT('Disaggregation Records'!$D$83:$D$149,255),0))="","",INDEX('Disaggregation Records'!$F$83:$F$149,MATCH(RIGHT(L376,255),RIGHT('Disaggregation Records'!$D$83:$D$149,255),0))),"")</f>
        <v/>
      </c>
      <c r="O376" s="130" t="str">
        <f t="array" ref="O376">IFERROR(IF(INDEX('Disaggregation Records'!$H$83:$H$149,MATCH(RIGHT(L376,255),RIGHT('Disaggregation Records'!$D$83:$D$149,255),0))="","",INDEX('Disaggregation Records'!$H$83:$H$149,MATCH(RIGHT(L376,255),RIGHT('Disaggregation Records'!$D$83:$D$149,255),0))),"")</f>
        <v/>
      </c>
      <c r="P376" s="130"/>
      <c r="Q376" s="52">
        <f t="shared" ref="Q376" si="545">Q374+1</f>
        <v>917</v>
      </c>
    </row>
    <row r="377" spans="1:17" ht="20.100000000000001" customHeight="1" x14ac:dyDescent="0.25">
      <c r="A377" s="130"/>
      <c r="B377" s="602"/>
      <c r="C377" s="604"/>
      <c r="D377" s="606"/>
      <c r="E377" s="606"/>
      <c r="F377" s="132"/>
      <c r="G377" s="608"/>
      <c r="H377" s="598"/>
      <c r="I377" s="600"/>
      <c r="J377" s="532"/>
      <c r="K377" s="130"/>
      <c r="L377" s="130"/>
      <c r="M377" s="130"/>
      <c r="N377" s="130"/>
      <c r="O377" s="130"/>
      <c r="P377" s="130"/>
    </row>
    <row r="378" spans="1:17" ht="20.100000000000001" customHeight="1" x14ac:dyDescent="0.25">
      <c r="A378" s="130" t="str">
        <f t="shared" ref="A378" ca="1" si="546">INDIRECT("'update Helper'!C"&amp;Q378)</f>
        <v>a1VDm000000PRbCMAW</v>
      </c>
      <c r="B378" s="601">
        <v>4</v>
      </c>
      <c r="C378" s="603" t="str">
        <f>IFERROR(VLOOKUP(B378,'Outcome Indicators - Section C '!$A$9:$AC$70,29,FALSE),"")</f>
        <v>HIV O-6⁽ᴹ⁾ Percentage of people who inject drugs reporting using sterile injecting equipment the last time they injected</v>
      </c>
      <c r="D378" s="605" t="str">
        <f>M378</f>
        <v/>
      </c>
      <c r="E378" s="605" t="str">
        <f>N378</f>
        <v/>
      </c>
      <c r="F378" s="131"/>
      <c r="G378" s="607" t="str">
        <f ca="1">IF(OR(INDIRECT("'update Helper'!E"&amp;Q378)="",F378&lt;&gt;0,F379&lt;&gt;0),IF(IFERROR((F378/F379),"")="","",(F378/F379)),INDIRECT("'update Helper'!E"&amp;Q378)/100)</f>
        <v/>
      </c>
      <c r="H378" s="597"/>
      <c r="I378" s="599"/>
      <c r="J378" s="531"/>
      <c r="K378" s="130">
        <f>IF(AND(EXACT(C378,C376),C376&lt;&gt;0),K376+1,0)</f>
        <v>1</v>
      </c>
      <c r="L378" s="130" t="str">
        <f>IF(C378&lt;&gt;"",C378&amp;"-"&amp;K378,"")</f>
        <v>HIV O-6⁽ᴹ⁾ Percentage of people who inject drugs reporting using sterile injecting equipment the last time they injected-1</v>
      </c>
      <c r="M378" s="130" t="str">
        <f t="array" ref="M378">IFERROR(IF(INDEX('Disaggregation Records'!$E$83:$E$149,MATCH(RIGHT(L378,255),RIGHT('Disaggregation Records'!$D$83:$D$149,255),0))="","",INDEX('Disaggregation Records'!$E$83:$E$149,MATCH(RIGHT(L378,255),RIGHT('Disaggregation Records'!$D$83:$D$149,255),0))),"")</f>
        <v/>
      </c>
      <c r="N378" s="130" t="str">
        <f t="array" ref="N378">IFERROR(IF(INDEX('Disaggregation Records'!$F$83:$F$149,MATCH(RIGHT(L378,255),RIGHT('Disaggregation Records'!$D$83:$D$149,255),0))="","",INDEX('Disaggregation Records'!$F$83:$F$149,MATCH(RIGHT(L378,255),RIGHT('Disaggregation Records'!$D$83:$D$149,255),0))),"")</f>
        <v/>
      </c>
      <c r="O378" s="130" t="str">
        <f t="array" ref="O378">IFERROR(IF(INDEX('Disaggregation Records'!$H$83:$H$149,MATCH(RIGHT(L378,255),RIGHT('Disaggregation Records'!$D$83:$D$149,255),0))="","",INDEX('Disaggregation Records'!$H$83:$H$149,MATCH(RIGHT(L378,255),RIGHT('Disaggregation Records'!$D$83:$D$149,255),0))),"")</f>
        <v/>
      </c>
      <c r="P378" s="130"/>
      <c r="Q378" s="52">
        <f t="shared" ref="Q378" si="547">Q376+1</f>
        <v>918</v>
      </c>
    </row>
    <row r="379" spans="1:17" ht="20.100000000000001" customHeight="1" x14ac:dyDescent="0.25">
      <c r="B379" s="602"/>
      <c r="C379" s="604"/>
      <c r="D379" s="606"/>
      <c r="E379" s="606"/>
      <c r="F379" s="132"/>
      <c r="G379" s="608"/>
      <c r="H379" s="598"/>
      <c r="I379" s="600"/>
      <c r="J379" s="532"/>
      <c r="K379" s="130"/>
      <c r="L379" s="130"/>
      <c r="M379" s="130"/>
      <c r="N379" s="130"/>
      <c r="O379" s="130"/>
      <c r="P379" s="130"/>
    </row>
    <row r="380" spans="1:17" ht="20.100000000000001" customHeight="1" x14ac:dyDescent="0.25">
      <c r="A380" s="130" t="str">
        <f t="shared" ref="A380" ca="1" si="548">INDIRECT("'update Helper'!C"&amp;Q380)</f>
        <v>a1VDm000000PRbDMAW</v>
      </c>
      <c r="B380" s="601">
        <v>4</v>
      </c>
      <c r="C380" s="603" t="str">
        <f>IFERROR(VLOOKUP(B380,'Outcome Indicators - Section C '!$A$9:$AC$70,29,FALSE),"")</f>
        <v>HIV O-6⁽ᴹ⁾ Percentage of people who inject drugs reporting using sterile injecting equipment the last time they injected</v>
      </c>
      <c r="D380" s="605" t="str">
        <f>M380</f>
        <v/>
      </c>
      <c r="E380" s="605" t="str">
        <f>N380</f>
        <v/>
      </c>
      <c r="F380" s="131"/>
      <c r="G380" s="607" t="str">
        <f ca="1">IF(OR(INDIRECT("'update Helper'!E"&amp;Q380)="",F380&lt;&gt;0,F381&lt;&gt;0),IF(IFERROR((F380/F381),"")="","",(F380/F381)),INDIRECT("'update Helper'!E"&amp;Q380)/100)</f>
        <v/>
      </c>
      <c r="H380" s="597"/>
      <c r="I380" s="599"/>
      <c r="J380" s="531"/>
      <c r="K380" s="130">
        <f>IF(AND(EXACT(C380,C378),C378&lt;&gt;0),K378+1,0)</f>
        <v>2</v>
      </c>
      <c r="L380" s="130" t="str">
        <f>IF(C380&lt;&gt;"",C380&amp;"-"&amp;K380,"")</f>
        <v>HIV O-6⁽ᴹ⁾ Percentage of people who inject drugs reporting using sterile injecting equipment the last time they injected-2</v>
      </c>
      <c r="M380" s="130" t="str">
        <f t="array" ref="M380">IFERROR(IF(INDEX('Disaggregation Records'!$E$83:$E$149,MATCH(RIGHT(L380,255),RIGHT('Disaggregation Records'!$D$83:$D$149,255),0))="","",INDEX('Disaggregation Records'!$E$83:$E$149,MATCH(RIGHT(L380,255),RIGHT('Disaggregation Records'!$D$83:$D$149,255),0))),"")</f>
        <v/>
      </c>
      <c r="N380" s="130" t="str">
        <f t="array" ref="N380">IFERROR(IF(INDEX('Disaggregation Records'!$F$83:$F$149,MATCH(RIGHT(L380,255),RIGHT('Disaggregation Records'!$D$83:$D$149,255),0))="","",INDEX('Disaggregation Records'!$F$83:$F$149,MATCH(RIGHT(L380,255),RIGHT('Disaggregation Records'!$D$83:$D$149,255),0))),"")</f>
        <v/>
      </c>
      <c r="O380" s="130" t="str">
        <f t="array" ref="O380">IFERROR(IF(INDEX('Disaggregation Records'!$H$83:$H$149,MATCH(RIGHT(L380,255),RIGHT('Disaggregation Records'!$D$83:$D$149,255),0))="","",INDEX('Disaggregation Records'!$H$83:$H$149,MATCH(RIGHT(L380,255),RIGHT('Disaggregation Records'!$D$83:$D$149,255),0))),"")</f>
        <v/>
      </c>
      <c r="P380" s="130"/>
      <c r="Q380" s="52">
        <f t="shared" ref="Q380" si="549">Q378+1</f>
        <v>919</v>
      </c>
    </row>
    <row r="381" spans="1:17" ht="20.100000000000001" customHeight="1" x14ac:dyDescent="0.25">
      <c r="A381" s="130"/>
      <c r="B381" s="602"/>
      <c r="C381" s="604"/>
      <c r="D381" s="606"/>
      <c r="E381" s="606"/>
      <c r="F381" s="132"/>
      <c r="G381" s="608"/>
      <c r="H381" s="598"/>
      <c r="I381" s="600"/>
      <c r="J381" s="532"/>
      <c r="K381" s="130"/>
      <c r="L381" s="130"/>
      <c r="M381" s="130"/>
      <c r="N381" s="130"/>
      <c r="O381" s="130"/>
      <c r="P381" s="130"/>
    </row>
    <row r="382" spans="1:17" ht="20.100000000000001" customHeight="1" x14ac:dyDescent="0.25">
      <c r="A382" s="130" t="str">
        <f t="shared" ref="A382" ca="1" si="550">INDIRECT("'update Helper'!C"&amp;Q382)</f>
        <v>a1VDm000000PRbEMAW</v>
      </c>
      <c r="B382" s="601">
        <v>4</v>
      </c>
      <c r="C382" s="603" t="str">
        <f>IFERROR(VLOOKUP(B382,'Outcome Indicators - Section C '!$A$9:$AC$70,29,FALSE),"")</f>
        <v>HIV O-6⁽ᴹ⁾ Percentage of people who inject drugs reporting using sterile injecting equipment the last time they injected</v>
      </c>
      <c r="D382" s="605" t="str">
        <f>M382</f>
        <v/>
      </c>
      <c r="E382" s="605" t="str">
        <f>N382</f>
        <v/>
      </c>
      <c r="F382" s="131"/>
      <c r="G382" s="607" t="str">
        <f ca="1">IF(OR(INDIRECT("'update Helper'!E"&amp;Q382)="",F382&lt;&gt;0,F383&lt;&gt;0),IF(IFERROR((F382/F383),"")="","",(F382/F383)),INDIRECT("'update Helper'!E"&amp;Q382)/100)</f>
        <v/>
      </c>
      <c r="H382" s="597"/>
      <c r="I382" s="599"/>
      <c r="J382" s="531"/>
      <c r="K382" s="130">
        <f>IF(AND(EXACT(C382,C380),C380&lt;&gt;0),K380+1,0)</f>
        <v>3</v>
      </c>
      <c r="L382" s="130" t="str">
        <f>IF(C382&lt;&gt;"",C382&amp;"-"&amp;K382,"")</f>
        <v>HIV O-6⁽ᴹ⁾ Percentage of people who inject drugs reporting using sterile injecting equipment the last time they injected-3</v>
      </c>
      <c r="M382" s="130" t="str">
        <f t="array" ref="M382">IFERROR(IF(INDEX('Disaggregation Records'!$E$83:$E$149,MATCH(RIGHT(L382,255),RIGHT('Disaggregation Records'!$D$83:$D$149,255),0))="","",INDEX('Disaggregation Records'!$E$83:$E$149,MATCH(RIGHT(L382,255),RIGHT('Disaggregation Records'!$D$83:$D$149,255),0))),"")</f>
        <v/>
      </c>
      <c r="N382" s="130" t="str">
        <f t="array" ref="N382">IFERROR(IF(INDEX('Disaggregation Records'!$F$83:$F$149,MATCH(RIGHT(L382,255),RIGHT('Disaggregation Records'!$D$83:$D$149,255),0))="","",INDEX('Disaggregation Records'!$F$83:$F$149,MATCH(RIGHT(L382,255),RIGHT('Disaggregation Records'!$D$83:$D$149,255),0))),"")</f>
        <v/>
      </c>
      <c r="O382" s="130" t="str">
        <f t="array" ref="O382">IFERROR(IF(INDEX('Disaggregation Records'!$H$83:$H$149,MATCH(RIGHT(L382,255),RIGHT('Disaggregation Records'!$D$83:$D$149,255),0))="","",INDEX('Disaggregation Records'!$H$83:$H$149,MATCH(RIGHT(L382,255),RIGHT('Disaggregation Records'!$D$83:$D$149,255),0))),"")</f>
        <v/>
      </c>
      <c r="P382" s="130"/>
      <c r="Q382" s="52">
        <f t="shared" ref="Q382" si="551">Q380+1</f>
        <v>920</v>
      </c>
    </row>
    <row r="383" spans="1:17" ht="20.100000000000001" customHeight="1" x14ac:dyDescent="0.25">
      <c r="B383" s="602"/>
      <c r="C383" s="604"/>
      <c r="D383" s="606"/>
      <c r="E383" s="606"/>
      <c r="F383" s="132"/>
      <c r="G383" s="608"/>
      <c r="H383" s="598"/>
      <c r="I383" s="600"/>
      <c r="J383" s="532"/>
      <c r="K383" s="130"/>
      <c r="L383" s="130"/>
      <c r="M383" s="130"/>
      <c r="N383" s="130"/>
      <c r="O383" s="130"/>
      <c r="P383" s="130"/>
    </row>
    <row r="384" spans="1:17" ht="20.100000000000001" customHeight="1" x14ac:dyDescent="0.25">
      <c r="A384" s="130" t="str">
        <f t="shared" ref="A384" ca="1" si="552">INDIRECT("'update Helper'!C"&amp;Q384)</f>
        <v>a1VDm000000PRbFMAW</v>
      </c>
      <c r="B384" s="601">
        <v>4</v>
      </c>
      <c r="C384" s="603" t="str">
        <f>IFERROR(VLOOKUP(B384,'Outcome Indicators - Section C '!$A$9:$AC$70,29,FALSE),"")</f>
        <v>HIV O-6⁽ᴹ⁾ Percentage of people who inject drugs reporting using sterile injecting equipment the last time they injected</v>
      </c>
      <c r="D384" s="605" t="str">
        <f>M384</f>
        <v/>
      </c>
      <c r="E384" s="605" t="str">
        <f>N384</f>
        <v/>
      </c>
      <c r="F384" s="131"/>
      <c r="G384" s="607" t="str">
        <f ca="1">IF(OR(INDIRECT("'update Helper'!E"&amp;Q384)="",F384&lt;&gt;0,F385&lt;&gt;0),IF(IFERROR((F384/F385),"")="","",(F384/F385)),INDIRECT("'update Helper'!E"&amp;Q384)/100)</f>
        <v/>
      </c>
      <c r="H384" s="597"/>
      <c r="I384" s="599"/>
      <c r="J384" s="531"/>
      <c r="K384" s="130">
        <f>IF(AND(EXACT(C384,C382),C382&lt;&gt;0),K382+1,0)</f>
        <v>4</v>
      </c>
      <c r="L384" s="130" t="str">
        <f>IF(C384&lt;&gt;"",C384&amp;"-"&amp;K384,"")</f>
        <v>HIV O-6⁽ᴹ⁾ Percentage of people who inject drugs reporting using sterile injecting equipment the last time they injected-4</v>
      </c>
      <c r="M384" s="130" t="str">
        <f t="array" ref="M384">IFERROR(IF(INDEX('Disaggregation Records'!$E$83:$E$149,MATCH(RIGHT(L384,255),RIGHT('Disaggregation Records'!$D$83:$D$149,255),0))="","",INDEX('Disaggregation Records'!$E$83:$E$149,MATCH(RIGHT(L384,255),RIGHT('Disaggregation Records'!$D$83:$D$149,255),0))),"")</f>
        <v/>
      </c>
      <c r="N384" s="130" t="str">
        <f t="array" ref="N384">IFERROR(IF(INDEX('Disaggregation Records'!$F$83:$F$149,MATCH(RIGHT(L384,255),RIGHT('Disaggregation Records'!$D$83:$D$149,255),0))="","",INDEX('Disaggregation Records'!$F$83:$F$149,MATCH(RIGHT(L384,255),RIGHT('Disaggregation Records'!$D$83:$D$149,255),0))),"")</f>
        <v/>
      </c>
      <c r="O384" s="130" t="str">
        <f t="array" ref="O384">IFERROR(IF(INDEX('Disaggregation Records'!$H$83:$H$149,MATCH(RIGHT(L384,255),RIGHT('Disaggregation Records'!$D$83:$D$149,255),0))="","",INDEX('Disaggregation Records'!$H$83:$H$149,MATCH(RIGHT(L384,255),RIGHT('Disaggregation Records'!$D$83:$D$149,255),0))),"")</f>
        <v/>
      </c>
      <c r="P384" s="130"/>
      <c r="Q384" s="52">
        <f t="shared" ref="Q384" si="553">Q382+1</f>
        <v>921</v>
      </c>
    </row>
    <row r="385" spans="1:17" ht="20.100000000000001" customHeight="1" x14ac:dyDescent="0.25">
      <c r="A385" s="130"/>
      <c r="B385" s="602"/>
      <c r="C385" s="604"/>
      <c r="D385" s="606"/>
      <c r="E385" s="606"/>
      <c r="F385" s="132"/>
      <c r="G385" s="608"/>
      <c r="H385" s="598"/>
      <c r="I385" s="600"/>
      <c r="J385" s="532"/>
      <c r="K385" s="130"/>
      <c r="L385" s="130"/>
      <c r="M385" s="130"/>
      <c r="N385" s="130"/>
      <c r="O385" s="130"/>
      <c r="P385" s="130"/>
    </row>
    <row r="386" spans="1:17" ht="20.100000000000001" customHeight="1" x14ac:dyDescent="0.25">
      <c r="A386" s="130" t="str">
        <f t="shared" ref="A386" ca="1" si="554">INDIRECT("'update Helper'!C"&amp;Q386)</f>
        <v>a1VDm000000PRbGMAW</v>
      </c>
      <c r="B386" s="601">
        <v>4</v>
      </c>
      <c r="C386" s="603" t="str">
        <f>IFERROR(VLOOKUP(B386,'Outcome Indicators - Section C '!$A$9:$AC$70,29,FALSE),"")</f>
        <v>HIV O-6⁽ᴹ⁾ Percentage of people who inject drugs reporting using sterile injecting equipment the last time they injected</v>
      </c>
      <c r="D386" s="605" t="str">
        <f>M386</f>
        <v/>
      </c>
      <c r="E386" s="605" t="str">
        <f>N386</f>
        <v/>
      </c>
      <c r="F386" s="131"/>
      <c r="G386" s="607" t="str">
        <f ca="1">IF(OR(INDIRECT("'update Helper'!E"&amp;Q386)="",F386&lt;&gt;0,F387&lt;&gt;0),IF(IFERROR((F386/F387),"")="","",(F386/F387)),INDIRECT("'update Helper'!E"&amp;Q386)/100)</f>
        <v/>
      </c>
      <c r="H386" s="597"/>
      <c r="I386" s="599"/>
      <c r="J386" s="531"/>
      <c r="K386" s="130">
        <f>IF(AND(EXACT(C386,C384),C384&lt;&gt;0),K384+1,0)</f>
        <v>5</v>
      </c>
      <c r="L386" s="130" t="str">
        <f>IF(C386&lt;&gt;"",C386&amp;"-"&amp;K386,"")</f>
        <v>HIV O-6⁽ᴹ⁾ Percentage of people who inject drugs reporting using sterile injecting equipment the last time they injected-5</v>
      </c>
      <c r="M386" s="130" t="str">
        <f t="array" ref="M386">IFERROR(IF(INDEX('Disaggregation Records'!$E$83:$E$149,MATCH(RIGHT(L386,255),RIGHT('Disaggregation Records'!$D$83:$D$149,255),0))="","",INDEX('Disaggregation Records'!$E$83:$E$149,MATCH(RIGHT(L386,255),RIGHT('Disaggregation Records'!$D$83:$D$149,255),0))),"")</f>
        <v/>
      </c>
      <c r="N386" s="130" t="str">
        <f t="array" ref="N386">IFERROR(IF(INDEX('Disaggregation Records'!$F$83:$F$149,MATCH(RIGHT(L386,255),RIGHT('Disaggregation Records'!$D$83:$D$149,255),0))="","",INDEX('Disaggregation Records'!$F$83:$F$149,MATCH(RIGHT(L386,255),RIGHT('Disaggregation Records'!$D$83:$D$149,255),0))),"")</f>
        <v/>
      </c>
      <c r="O386" s="130" t="str">
        <f t="array" ref="O386">IFERROR(IF(INDEX('Disaggregation Records'!$H$83:$H$149,MATCH(RIGHT(L386,255),RIGHT('Disaggregation Records'!$D$83:$D$149,255),0))="","",INDEX('Disaggregation Records'!$H$83:$H$149,MATCH(RIGHT(L386,255),RIGHT('Disaggregation Records'!$D$83:$D$149,255),0))),"")</f>
        <v/>
      </c>
      <c r="P386" s="130"/>
      <c r="Q386" s="52">
        <f t="shared" ref="Q386" si="555">Q384+1</f>
        <v>922</v>
      </c>
    </row>
    <row r="387" spans="1:17" ht="20.100000000000001" customHeight="1" x14ac:dyDescent="0.25">
      <c r="B387" s="602"/>
      <c r="C387" s="604"/>
      <c r="D387" s="606"/>
      <c r="E387" s="606"/>
      <c r="F387" s="132"/>
      <c r="G387" s="608"/>
      <c r="H387" s="598"/>
      <c r="I387" s="600"/>
      <c r="J387" s="532"/>
      <c r="K387" s="130"/>
      <c r="L387" s="130"/>
      <c r="M387" s="130"/>
      <c r="N387" s="130"/>
      <c r="O387" s="130"/>
      <c r="P387" s="130"/>
    </row>
    <row r="388" spans="1:17" ht="20.100000000000001" customHeight="1" x14ac:dyDescent="0.25">
      <c r="A388" s="130" t="str">
        <f t="shared" ref="A388" ca="1" si="556">INDIRECT("'update Helper'!C"&amp;Q388)</f>
        <v>a1VDm000000PRbHMAW</v>
      </c>
      <c r="B388" s="601">
        <v>4</v>
      </c>
      <c r="C388" s="603" t="str">
        <f>IFERROR(VLOOKUP(B388,'Outcome Indicators - Section C '!$A$9:$AC$70,29,FALSE),"")</f>
        <v>HIV O-6⁽ᴹ⁾ Percentage of people who inject drugs reporting using sterile injecting equipment the last time they injected</v>
      </c>
      <c r="D388" s="605" t="str">
        <f>M388</f>
        <v/>
      </c>
      <c r="E388" s="605" t="str">
        <f>N388</f>
        <v/>
      </c>
      <c r="F388" s="131"/>
      <c r="G388" s="607" t="str">
        <f ca="1">IF(OR(INDIRECT("'update Helper'!E"&amp;Q388)="",F388&lt;&gt;0,F389&lt;&gt;0),IF(IFERROR((F388/F389),"")="","",(F388/F389)),INDIRECT("'update Helper'!E"&amp;Q388)/100)</f>
        <v/>
      </c>
      <c r="H388" s="597"/>
      <c r="I388" s="599"/>
      <c r="J388" s="531"/>
      <c r="K388" s="130">
        <f>IF(AND(EXACT(C388,C386),C386&lt;&gt;0),K386+1,0)</f>
        <v>6</v>
      </c>
      <c r="L388" s="130" t="str">
        <f>IF(C388&lt;&gt;"",C388&amp;"-"&amp;K388,"")</f>
        <v>HIV O-6⁽ᴹ⁾ Percentage of people who inject drugs reporting using sterile injecting equipment the last time they injected-6</v>
      </c>
      <c r="M388" s="130" t="str">
        <f t="array" ref="M388">IFERROR(IF(INDEX('Disaggregation Records'!$E$83:$E$149,MATCH(RIGHT(L388,255),RIGHT('Disaggregation Records'!$D$83:$D$149,255),0))="","",INDEX('Disaggregation Records'!$E$83:$E$149,MATCH(RIGHT(L388,255),RIGHT('Disaggregation Records'!$D$83:$D$149,255),0))),"")</f>
        <v/>
      </c>
      <c r="N388" s="130" t="str">
        <f t="array" ref="N388">IFERROR(IF(INDEX('Disaggregation Records'!$F$83:$F$149,MATCH(RIGHT(L388,255),RIGHT('Disaggregation Records'!$D$83:$D$149,255),0))="","",INDEX('Disaggregation Records'!$F$83:$F$149,MATCH(RIGHT(L388,255),RIGHT('Disaggregation Records'!$D$83:$D$149,255),0))),"")</f>
        <v/>
      </c>
      <c r="O388" s="130" t="str">
        <f t="array" ref="O388">IFERROR(IF(INDEX('Disaggregation Records'!$H$83:$H$149,MATCH(RIGHT(L388,255),RIGHT('Disaggregation Records'!$D$83:$D$149,255),0))="","",INDEX('Disaggregation Records'!$H$83:$H$149,MATCH(RIGHT(L388,255),RIGHT('Disaggregation Records'!$D$83:$D$149,255),0))),"")</f>
        <v/>
      </c>
      <c r="P388" s="130"/>
      <c r="Q388" s="52">
        <f t="shared" ref="Q388" si="557">Q386+1</f>
        <v>923</v>
      </c>
    </row>
    <row r="389" spans="1:17" ht="20.100000000000001" customHeight="1" x14ac:dyDescent="0.25">
      <c r="A389" s="130"/>
      <c r="B389" s="602"/>
      <c r="C389" s="604"/>
      <c r="D389" s="606"/>
      <c r="E389" s="606"/>
      <c r="F389" s="132"/>
      <c r="G389" s="608"/>
      <c r="H389" s="598"/>
      <c r="I389" s="600"/>
      <c r="J389" s="532"/>
      <c r="K389" s="130"/>
      <c r="L389" s="130"/>
      <c r="M389" s="130"/>
      <c r="N389" s="130"/>
      <c r="O389" s="130"/>
      <c r="P389" s="130"/>
    </row>
    <row r="390" spans="1:17" ht="20.100000000000001" customHeight="1" x14ac:dyDescent="0.25">
      <c r="A390" s="130" t="str">
        <f t="shared" ref="A390" ca="1" si="558">INDIRECT("'update Helper'!C"&amp;Q390)</f>
        <v>a1VDm000000PRbIMAW</v>
      </c>
      <c r="B390" s="601">
        <v>4</v>
      </c>
      <c r="C390" s="603" t="str">
        <f>IFERROR(VLOOKUP(B390,'Outcome Indicators - Section C '!$A$9:$AC$70,29,FALSE),"")</f>
        <v>HIV O-6⁽ᴹ⁾ Percentage of people who inject drugs reporting using sterile injecting equipment the last time they injected</v>
      </c>
      <c r="D390" s="605" t="str">
        <f>M390</f>
        <v/>
      </c>
      <c r="E390" s="605" t="str">
        <f>N390</f>
        <v/>
      </c>
      <c r="F390" s="131"/>
      <c r="G390" s="607" t="str">
        <f ca="1">IF(OR(INDIRECT("'update Helper'!E"&amp;Q390)="",F390&lt;&gt;0,F391&lt;&gt;0),IF(IFERROR((F390/F391),"")="","",(F390/F391)),INDIRECT("'update Helper'!E"&amp;Q390)/100)</f>
        <v/>
      </c>
      <c r="H390" s="597"/>
      <c r="I390" s="599"/>
      <c r="J390" s="531"/>
      <c r="K390" s="130">
        <f>IF(AND(EXACT(C390,C388),C388&lt;&gt;0),K388+1,0)</f>
        <v>7</v>
      </c>
      <c r="L390" s="130" t="str">
        <f>IF(C390&lt;&gt;"",C390&amp;"-"&amp;K390,"")</f>
        <v>HIV O-6⁽ᴹ⁾ Percentage of people who inject drugs reporting using sterile injecting equipment the last time they injected-7</v>
      </c>
      <c r="M390" s="130" t="str">
        <f t="array" ref="M390">IFERROR(IF(INDEX('Disaggregation Records'!$E$83:$E$149,MATCH(RIGHT(L390,255),RIGHT('Disaggregation Records'!$D$83:$D$149,255),0))="","",INDEX('Disaggregation Records'!$E$83:$E$149,MATCH(RIGHT(L390,255),RIGHT('Disaggregation Records'!$D$83:$D$149,255),0))),"")</f>
        <v/>
      </c>
      <c r="N390" s="130" t="str">
        <f t="array" ref="N390">IFERROR(IF(INDEX('Disaggregation Records'!$F$83:$F$149,MATCH(RIGHT(L390,255),RIGHT('Disaggregation Records'!$D$83:$D$149,255),0))="","",INDEX('Disaggregation Records'!$F$83:$F$149,MATCH(RIGHT(L390,255),RIGHT('Disaggregation Records'!$D$83:$D$149,255),0))),"")</f>
        <v/>
      </c>
      <c r="O390" s="130" t="str">
        <f t="array" ref="O390">IFERROR(IF(INDEX('Disaggregation Records'!$H$83:$H$149,MATCH(RIGHT(L390,255),RIGHT('Disaggregation Records'!$D$83:$D$149,255),0))="","",INDEX('Disaggregation Records'!$H$83:$H$149,MATCH(RIGHT(L390,255),RIGHT('Disaggregation Records'!$D$83:$D$149,255),0))),"")</f>
        <v/>
      </c>
      <c r="P390" s="130"/>
      <c r="Q390" s="52">
        <f t="shared" ref="Q390" si="559">Q388+1</f>
        <v>924</v>
      </c>
    </row>
    <row r="391" spans="1:17" ht="20.100000000000001" customHeight="1" x14ac:dyDescent="0.25">
      <c r="B391" s="602"/>
      <c r="C391" s="604"/>
      <c r="D391" s="606"/>
      <c r="E391" s="606"/>
      <c r="F391" s="132"/>
      <c r="G391" s="608"/>
      <c r="H391" s="598"/>
      <c r="I391" s="600"/>
      <c r="J391" s="532"/>
      <c r="K391" s="130"/>
      <c r="L391" s="130"/>
      <c r="M391" s="130"/>
      <c r="N391" s="130"/>
      <c r="O391" s="130"/>
      <c r="P391" s="130"/>
    </row>
    <row r="392" spans="1:17" ht="20.100000000000001" customHeight="1" x14ac:dyDescent="0.25">
      <c r="A392" s="130" t="str">
        <f t="shared" ref="A392" ca="1" si="560">INDIRECT("'update Helper'!C"&amp;Q392)</f>
        <v>a1VDm000000PRbJMAW</v>
      </c>
      <c r="B392" s="601">
        <v>4</v>
      </c>
      <c r="C392" s="603" t="str">
        <f>IFERROR(VLOOKUP(B392,'Outcome Indicators - Section C '!$A$9:$AC$70,29,FALSE),"")</f>
        <v>HIV O-6⁽ᴹ⁾ Percentage of people who inject drugs reporting using sterile injecting equipment the last time they injected</v>
      </c>
      <c r="D392" s="605" t="str">
        <f>M392</f>
        <v/>
      </c>
      <c r="E392" s="605" t="str">
        <f>N392</f>
        <v/>
      </c>
      <c r="F392" s="131"/>
      <c r="G392" s="607" t="str">
        <f ca="1">IF(OR(INDIRECT("'update Helper'!E"&amp;Q392)="",F392&lt;&gt;0,F393&lt;&gt;0),IF(IFERROR((F392/F393),"")="","",(F392/F393)),INDIRECT("'update Helper'!E"&amp;Q392)/100)</f>
        <v/>
      </c>
      <c r="H392" s="597"/>
      <c r="I392" s="599"/>
      <c r="J392" s="531"/>
      <c r="K392" s="130">
        <f>IF(AND(EXACT(C392,C390),C390&lt;&gt;0),K390+1,0)</f>
        <v>8</v>
      </c>
      <c r="L392" s="130" t="str">
        <f>IF(C392&lt;&gt;"",C392&amp;"-"&amp;K392,"")</f>
        <v>HIV O-6⁽ᴹ⁾ Percentage of people who inject drugs reporting using sterile injecting equipment the last time they injected-8</v>
      </c>
      <c r="M392" s="130" t="str">
        <f t="array" ref="M392">IFERROR(IF(INDEX('Disaggregation Records'!$E$83:$E$149,MATCH(RIGHT(L392,255),RIGHT('Disaggregation Records'!$D$83:$D$149,255),0))="","",INDEX('Disaggregation Records'!$E$83:$E$149,MATCH(RIGHT(L392,255),RIGHT('Disaggregation Records'!$D$83:$D$149,255),0))),"")</f>
        <v/>
      </c>
      <c r="N392" s="130" t="str">
        <f t="array" ref="N392">IFERROR(IF(INDEX('Disaggregation Records'!$F$83:$F$149,MATCH(RIGHT(L392,255),RIGHT('Disaggregation Records'!$D$83:$D$149,255),0))="","",INDEX('Disaggregation Records'!$F$83:$F$149,MATCH(RIGHT(L392,255),RIGHT('Disaggregation Records'!$D$83:$D$149,255),0))),"")</f>
        <v/>
      </c>
      <c r="O392" s="130" t="str">
        <f t="array" ref="O392">IFERROR(IF(INDEX('Disaggregation Records'!$H$83:$H$149,MATCH(RIGHT(L392,255),RIGHT('Disaggregation Records'!$D$83:$D$149,255),0))="","",INDEX('Disaggregation Records'!$H$83:$H$149,MATCH(RIGHT(L392,255),RIGHT('Disaggregation Records'!$D$83:$D$149,255),0))),"")</f>
        <v/>
      </c>
      <c r="P392" s="130"/>
      <c r="Q392" s="52">
        <f t="shared" ref="Q392" si="561">Q390+1</f>
        <v>925</v>
      </c>
    </row>
    <row r="393" spans="1:17" ht="20.100000000000001" customHeight="1" x14ac:dyDescent="0.25">
      <c r="A393" s="130"/>
      <c r="B393" s="602"/>
      <c r="C393" s="604"/>
      <c r="D393" s="606"/>
      <c r="E393" s="606"/>
      <c r="F393" s="132"/>
      <c r="G393" s="608"/>
      <c r="H393" s="598"/>
      <c r="I393" s="600"/>
      <c r="J393" s="532"/>
      <c r="K393" s="130"/>
      <c r="L393" s="130"/>
      <c r="M393" s="130"/>
      <c r="N393" s="130"/>
      <c r="O393" s="130"/>
      <c r="P393" s="130"/>
    </row>
    <row r="394" spans="1:17" ht="20.100000000000001" customHeight="1" x14ac:dyDescent="0.25">
      <c r="A394" s="130" t="str">
        <f t="shared" ref="A394" ca="1" si="562">INDIRECT("'update Helper'!C"&amp;Q394)</f>
        <v>a1VDm000000PRbKMAW</v>
      </c>
      <c r="B394" s="601">
        <v>4</v>
      </c>
      <c r="C394" s="603" t="str">
        <f>IFERROR(VLOOKUP(B394,'Outcome Indicators - Section C '!$A$9:$AC$70,29,FALSE),"")</f>
        <v>HIV O-6⁽ᴹ⁾ Percentage of people who inject drugs reporting using sterile injecting equipment the last time they injected</v>
      </c>
      <c r="D394" s="605" t="str">
        <f>M394</f>
        <v/>
      </c>
      <c r="E394" s="605" t="str">
        <f>N394</f>
        <v/>
      </c>
      <c r="F394" s="131"/>
      <c r="G394" s="607" t="str">
        <f ca="1">IF(OR(INDIRECT("'update Helper'!E"&amp;Q394)="",F394&lt;&gt;0,F395&lt;&gt;0),IF(IFERROR((F394/F395),"")="","",(F394/F395)),INDIRECT("'update Helper'!E"&amp;Q394)/100)</f>
        <v/>
      </c>
      <c r="H394" s="597"/>
      <c r="I394" s="599"/>
      <c r="J394" s="531"/>
      <c r="K394" s="130">
        <f>IF(AND(EXACT(C394,C392),C392&lt;&gt;0),K392+1,0)</f>
        <v>9</v>
      </c>
      <c r="L394" s="130" t="str">
        <f>IF(C394&lt;&gt;"",C394&amp;"-"&amp;K394,"")</f>
        <v>HIV O-6⁽ᴹ⁾ Percentage of people who inject drugs reporting using sterile injecting equipment the last time they injected-9</v>
      </c>
      <c r="M394" s="130" t="str">
        <f t="array" ref="M394">IFERROR(IF(INDEX('Disaggregation Records'!$E$83:$E$149,MATCH(RIGHT(L394,255),RIGHT('Disaggregation Records'!$D$83:$D$149,255),0))="","",INDEX('Disaggregation Records'!$E$83:$E$149,MATCH(RIGHT(L394,255),RIGHT('Disaggregation Records'!$D$83:$D$149,255),0))),"")</f>
        <v/>
      </c>
      <c r="N394" s="130" t="str">
        <f t="array" ref="N394">IFERROR(IF(INDEX('Disaggregation Records'!$F$83:$F$149,MATCH(RIGHT(L394,255),RIGHT('Disaggregation Records'!$D$83:$D$149,255),0))="","",INDEX('Disaggregation Records'!$F$83:$F$149,MATCH(RIGHT(L394,255),RIGHT('Disaggregation Records'!$D$83:$D$149,255),0))),"")</f>
        <v/>
      </c>
      <c r="O394" s="130" t="str">
        <f t="array" ref="O394">IFERROR(IF(INDEX('Disaggregation Records'!$H$83:$H$149,MATCH(RIGHT(L394,255),RIGHT('Disaggregation Records'!$D$83:$D$149,255),0))="","",INDEX('Disaggregation Records'!$H$83:$H$149,MATCH(RIGHT(L394,255),RIGHT('Disaggregation Records'!$D$83:$D$149,255),0))),"")</f>
        <v/>
      </c>
      <c r="P394" s="130"/>
      <c r="Q394" s="52">
        <f t="shared" ref="Q394" si="563">Q392+1</f>
        <v>926</v>
      </c>
    </row>
    <row r="395" spans="1:17" ht="20.100000000000001" customHeight="1" x14ac:dyDescent="0.25">
      <c r="B395" s="602"/>
      <c r="C395" s="604"/>
      <c r="D395" s="606"/>
      <c r="E395" s="606"/>
      <c r="F395" s="132"/>
      <c r="G395" s="608"/>
      <c r="H395" s="598"/>
      <c r="I395" s="600"/>
      <c r="J395" s="532"/>
      <c r="K395" s="130"/>
      <c r="L395" s="130"/>
      <c r="M395" s="130"/>
      <c r="N395" s="130"/>
      <c r="O395" s="130"/>
      <c r="P395" s="130"/>
    </row>
    <row r="396" spans="1:17" ht="20.100000000000001" customHeight="1" x14ac:dyDescent="0.25">
      <c r="A396" s="130" t="str">
        <f t="shared" ref="A396" ca="1" si="564">INDIRECT("'update Helper'!C"&amp;Q396)</f>
        <v>a1VDm000000PRbLMAW</v>
      </c>
      <c r="B396" s="601">
        <v>5</v>
      </c>
      <c r="C396" s="603" t="str">
        <f>IFERROR(VLOOKUP(B396,'Outcome Indicators - Section C '!$A$9:$AC$70,29,FALSE),"")</f>
        <v>HIV O-11⁽ᴹ⁾ Percentage of people living with HIV who know their HIV status at the end of the reporting period</v>
      </c>
      <c r="D396" s="605" t="str">
        <f>M396</f>
        <v>Age</v>
      </c>
      <c r="E396" s="605" t="str">
        <f>N396</f>
        <v>15+</v>
      </c>
      <c r="F396" s="131">
        <v>8121</v>
      </c>
      <c r="G396" s="607">
        <f ca="1">IF(OR(INDIRECT("'update Helper'!E"&amp;Q396)="",F396&lt;&gt;0,F397&lt;&gt;0),IF(IFERROR((F396/F397),"")="","",(F396/F397)),INDIRECT("'update Helper'!E"&amp;Q396)/100)</f>
        <v>0.8422526446795271</v>
      </c>
      <c r="H396" s="597"/>
      <c r="I396" s="599" t="s">
        <v>2201</v>
      </c>
      <c r="J396" s="531" t="s">
        <v>2227</v>
      </c>
      <c r="K396" s="130">
        <f>IF(AND(EXACT(C396,C394),C394&lt;&gt;0),K394+1,0)</f>
        <v>0</v>
      </c>
      <c r="L396" s="130" t="str">
        <f>IF(C396&lt;&gt;"",C396&amp;"-"&amp;K396,"")</f>
        <v>HIV O-11⁽ᴹ⁾ Percentage of people living with HIV who know their HIV status at the end of the reporting period-0</v>
      </c>
      <c r="M396" s="130" t="str">
        <f t="array" ref="M396">IFERROR(IF(INDEX('Disaggregation Records'!$E$83:$E$149,MATCH(RIGHT(L396,255),RIGHT('Disaggregation Records'!$D$83:$D$149,255),0))="","",INDEX('Disaggregation Records'!$E$83:$E$149,MATCH(RIGHT(L396,255),RIGHT('Disaggregation Records'!$D$83:$D$149,255),0))),"")</f>
        <v>Age</v>
      </c>
      <c r="N396" s="130" t="str">
        <f t="array" ref="N396">IFERROR(IF(INDEX('Disaggregation Records'!$F$83:$F$149,MATCH(RIGHT(L396,255),RIGHT('Disaggregation Records'!$D$83:$D$149,255),0))="","",INDEX('Disaggregation Records'!$F$83:$F$149,MATCH(RIGHT(L396,255),RIGHT('Disaggregation Records'!$D$83:$D$149,255),0))),"")</f>
        <v>15+</v>
      </c>
      <c r="O396" s="130" t="str">
        <f t="array" ref="O396">IFERROR(IF(INDEX('Disaggregation Records'!$H$83:$H$149,MATCH(RIGHT(L396,255),RIGHT('Disaggregation Records'!$D$83:$D$149,255),0))="","",INDEX('Disaggregation Records'!$H$83:$H$149,MATCH(RIGHT(L396,255),RIGHT('Disaggregation Records'!$D$83:$D$149,255),0))),"")</f>
        <v>IDR-01103</v>
      </c>
      <c r="P396" s="130"/>
      <c r="Q396" s="52">
        <f t="shared" ref="Q396" si="565">Q394+1</f>
        <v>927</v>
      </c>
    </row>
    <row r="397" spans="1:17" ht="39.75" customHeight="1" x14ac:dyDescent="0.25">
      <c r="A397" s="130"/>
      <c r="B397" s="602"/>
      <c r="C397" s="604"/>
      <c r="D397" s="606"/>
      <c r="E397" s="606"/>
      <c r="F397" s="132">
        <v>9642</v>
      </c>
      <c r="G397" s="608"/>
      <c r="H397" s="598"/>
      <c r="I397" s="600"/>
      <c r="J397" s="532"/>
      <c r="K397" s="130"/>
      <c r="L397" s="130"/>
      <c r="M397" s="130"/>
      <c r="N397" s="130"/>
      <c r="O397" s="130"/>
      <c r="P397" s="130"/>
    </row>
    <row r="398" spans="1:17" ht="45.75" customHeight="1" x14ac:dyDescent="0.25">
      <c r="A398" s="130" t="str">
        <f t="shared" ref="A398" ca="1" si="566">INDIRECT("'update Helper'!C"&amp;Q398)</f>
        <v>a1VDm000000PRbMMAW</v>
      </c>
      <c r="B398" s="601">
        <v>5</v>
      </c>
      <c r="C398" s="603" t="str">
        <f>IFERROR(VLOOKUP(B398,'Outcome Indicators - Section C '!$A$9:$AC$70,29,FALSE),"")</f>
        <v>HIV O-11⁽ᴹ⁾ Percentage of people living with HIV who know their HIV status at the end of the reporting period</v>
      </c>
      <c r="D398" s="605" t="str">
        <f>M398</f>
        <v>Age</v>
      </c>
      <c r="E398" s="605" t="str">
        <f>N398</f>
        <v>&lt;15</v>
      </c>
      <c r="F398" s="131">
        <v>186</v>
      </c>
      <c r="G398" s="607">
        <f ca="1">IF(OR(INDIRECT("'update Helper'!E"&amp;Q398)="",F398&lt;&gt;0,F399&lt;&gt;0),IF(IFERROR((F398/F399),"")="","",(F398/F399)),INDIRECT("'update Helper'!E"&amp;Q398)/100)</f>
        <v>0.46616541353383456</v>
      </c>
      <c r="H398" s="597"/>
      <c r="I398" s="599" t="s">
        <v>2201</v>
      </c>
      <c r="J398" s="531" t="s">
        <v>2228</v>
      </c>
      <c r="K398" s="130">
        <f>IF(AND(EXACT(C398,C396),C396&lt;&gt;0),K396+1,0)</f>
        <v>1</v>
      </c>
      <c r="L398" s="130" t="str">
        <f>IF(C398&lt;&gt;"",C398&amp;"-"&amp;K398,"")</f>
        <v>HIV O-11⁽ᴹ⁾ Percentage of people living with HIV who know their HIV status at the end of the reporting period-1</v>
      </c>
      <c r="M398" s="130" t="str">
        <f t="array" ref="M398">IFERROR(IF(INDEX('Disaggregation Records'!$E$83:$E$149,MATCH(RIGHT(L398,255),RIGHT('Disaggregation Records'!$D$83:$D$149,255),0))="","",INDEX('Disaggregation Records'!$E$83:$E$149,MATCH(RIGHT(L398,255),RIGHT('Disaggregation Records'!$D$83:$D$149,255),0))),"")</f>
        <v>Age</v>
      </c>
      <c r="N398" s="130" t="str">
        <f t="array" ref="N398">IFERROR(IF(INDEX('Disaggregation Records'!$F$83:$F$149,MATCH(RIGHT(L398,255),RIGHT('Disaggregation Records'!$D$83:$D$149,255),0))="","",INDEX('Disaggregation Records'!$F$83:$F$149,MATCH(RIGHT(L398,255),RIGHT('Disaggregation Records'!$D$83:$D$149,255),0))),"")</f>
        <v>&lt;15</v>
      </c>
      <c r="O398" s="130" t="str">
        <f t="array" ref="O398">IFERROR(IF(INDEX('Disaggregation Records'!$H$83:$H$149,MATCH(RIGHT(L398,255),RIGHT('Disaggregation Records'!$D$83:$D$149,255),0))="","",INDEX('Disaggregation Records'!$H$83:$H$149,MATCH(RIGHT(L398,255),RIGHT('Disaggregation Records'!$D$83:$D$149,255),0))),"")</f>
        <v>IDR-01102</v>
      </c>
      <c r="P398" s="130"/>
      <c r="Q398" s="52">
        <f t="shared" ref="Q398" si="567">Q396+1</f>
        <v>928</v>
      </c>
    </row>
    <row r="399" spans="1:17" ht="22.5" customHeight="1" x14ac:dyDescent="0.25">
      <c r="B399" s="602"/>
      <c r="C399" s="604"/>
      <c r="D399" s="606"/>
      <c r="E399" s="606"/>
      <c r="F399" s="132">
        <v>399</v>
      </c>
      <c r="G399" s="608"/>
      <c r="H399" s="598"/>
      <c r="I399" s="600"/>
      <c r="J399" s="532"/>
      <c r="K399" s="130"/>
      <c r="L399" s="130"/>
      <c r="M399" s="130"/>
      <c r="N399" s="130"/>
      <c r="O399" s="130"/>
      <c r="P399" s="130"/>
    </row>
    <row r="400" spans="1:17" ht="31.5" customHeight="1" x14ac:dyDescent="0.25">
      <c r="A400" s="130" t="str">
        <f t="shared" ref="A400" ca="1" si="568">INDIRECT("'update Helper'!C"&amp;Q400)</f>
        <v>a1VDm000000PRbNMAW</v>
      </c>
      <c r="B400" s="601">
        <v>5</v>
      </c>
      <c r="C400" s="603" t="str">
        <f>IFERROR(VLOOKUP(B400,'Outcome Indicators - Section C '!$A$9:$AC$70,29,FALSE),"")</f>
        <v>HIV O-11⁽ᴹ⁾ Percentage of people living with HIV who know their HIV status at the end of the reporting period</v>
      </c>
      <c r="D400" s="605" t="str">
        <f>M400</f>
        <v>Gender | Age</v>
      </c>
      <c r="E400" s="605" t="str">
        <f>N400</f>
        <v>Male 15+</v>
      </c>
      <c r="F400" s="131">
        <v>4764</v>
      </c>
      <c r="G400" s="607">
        <f ca="1">IF(OR(INDIRECT("'update Helper'!E"&amp;Q400)="",F400&lt;&gt;0,F401&lt;&gt;0),IF(IFERROR((F400/F401),"")="","",(F400/F401)),INDIRECT("'update Helper'!E"&amp;Q400)/100)</f>
        <v>1.8529754959159861</v>
      </c>
      <c r="H400" s="597"/>
      <c r="I400" s="599" t="s">
        <v>2201</v>
      </c>
      <c r="J400" s="531" t="s">
        <v>2229</v>
      </c>
      <c r="K400" s="130">
        <f>IF(AND(EXACT(C400,C398),C398&lt;&gt;0),K398+1,0)</f>
        <v>2</v>
      </c>
      <c r="L400" s="130" t="str">
        <f>IF(C400&lt;&gt;"",C400&amp;"-"&amp;K400,"")</f>
        <v>HIV O-11⁽ᴹ⁾ Percentage of people living with HIV who know their HIV status at the end of the reporting period-2</v>
      </c>
      <c r="M400" s="130" t="str">
        <f t="array" ref="M400">IFERROR(IF(INDEX('Disaggregation Records'!$E$83:$E$149,MATCH(RIGHT(L400,255),RIGHT('Disaggregation Records'!$D$83:$D$149,255),0))="","",INDEX('Disaggregation Records'!$E$83:$E$149,MATCH(RIGHT(L400,255),RIGHT('Disaggregation Records'!$D$83:$D$149,255),0))),"")</f>
        <v>Gender | Age</v>
      </c>
      <c r="N400" s="130" t="str">
        <f t="array" ref="N400">IFERROR(IF(INDEX('Disaggregation Records'!$F$83:$F$149,MATCH(RIGHT(L400,255),RIGHT('Disaggregation Records'!$D$83:$D$149,255),0))="","",INDEX('Disaggregation Records'!$F$83:$F$149,MATCH(RIGHT(L400,255),RIGHT('Disaggregation Records'!$D$83:$D$149,255),0))),"")</f>
        <v>Male 15+</v>
      </c>
      <c r="O400" s="130" t="str">
        <f t="array" ref="O400">IFERROR(IF(INDEX('Disaggregation Records'!$H$83:$H$149,MATCH(RIGHT(L400,255),RIGHT('Disaggregation Records'!$D$83:$D$149,255),0))="","",INDEX('Disaggregation Records'!$H$83:$H$149,MATCH(RIGHT(L400,255),RIGHT('Disaggregation Records'!$D$83:$D$149,255),0))),"")</f>
        <v>IDR-01101</v>
      </c>
      <c r="P400" s="130"/>
      <c r="Q400" s="52">
        <f t="shared" ref="Q400" si="569">Q398+1</f>
        <v>929</v>
      </c>
    </row>
    <row r="401" spans="1:17" ht="42" customHeight="1" x14ac:dyDescent="0.25">
      <c r="A401" s="130"/>
      <c r="B401" s="602"/>
      <c r="C401" s="604"/>
      <c r="D401" s="606"/>
      <c r="E401" s="606"/>
      <c r="F401" s="132">
        <v>2571</v>
      </c>
      <c r="G401" s="608"/>
      <c r="H401" s="598"/>
      <c r="I401" s="600"/>
      <c r="J401" s="532"/>
      <c r="K401" s="130"/>
      <c r="L401" s="130"/>
      <c r="M401" s="130"/>
      <c r="N401" s="130"/>
      <c r="O401" s="130"/>
      <c r="P401" s="130"/>
    </row>
    <row r="402" spans="1:17" ht="39" customHeight="1" x14ac:dyDescent="0.25">
      <c r="A402" s="130" t="str">
        <f t="shared" ref="A402" ca="1" si="570">INDIRECT("'update Helper'!C"&amp;Q402)</f>
        <v>a1VDm000000PRbOMAW</v>
      </c>
      <c r="B402" s="601">
        <v>5</v>
      </c>
      <c r="C402" s="603" t="str">
        <f>IFERROR(VLOOKUP(B402,'Outcome Indicators - Section C '!$A$9:$AC$70,29,FALSE),"")</f>
        <v>HIV O-11⁽ᴹ⁾ Percentage of people living with HIV who know their HIV status at the end of the reporting period</v>
      </c>
      <c r="D402" s="605" t="str">
        <f>M402</f>
        <v>Gender | Age</v>
      </c>
      <c r="E402" s="605" t="str">
        <f>N402</f>
        <v>Female 15+</v>
      </c>
      <c r="F402" s="131">
        <v>3357</v>
      </c>
      <c r="G402" s="607">
        <f ca="1">IF(OR(INDIRECT("'update Helper'!E"&amp;Q402)="",F402&lt;&gt;0,F403&lt;&gt;0),IF(IFERROR((F402/F403),"")="","",(F402/F403)),INDIRECT("'update Helper'!E"&amp;Q402)/100)</f>
        <v>0.90387722132471726</v>
      </c>
      <c r="H402" s="597"/>
      <c r="I402" s="599" t="s">
        <v>2201</v>
      </c>
      <c r="J402" s="531" t="s">
        <v>2230</v>
      </c>
      <c r="K402" s="130">
        <f>IF(AND(EXACT(C402,C400),C400&lt;&gt;0),K400+1,0)</f>
        <v>3</v>
      </c>
      <c r="L402" s="130" t="str">
        <f>IF(C402&lt;&gt;"",C402&amp;"-"&amp;K402,"")</f>
        <v>HIV O-11⁽ᴹ⁾ Percentage of people living with HIV who know their HIV status at the end of the reporting period-3</v>
      </c>
      <c r="M402" s="130" t="str">
        <f t="array" ref="M402">IFERROR(IF(INDEX('Disaggregation Records'!$E$83:$E$149,MATCH(RIGHT(L402,255),RIGHT('Disaggregation Records'!$D$83:$D$149,255),0))="","",INDEX('Disaggregation Records'!$E$83:$E$149,MATCH(RIGHT(L402,255),RIGHT('Disaggregation Records'!$D$83:$D$149,255),0))),"")</f>
        <v>Gender | Age</v>
      </c>
      <c r="N402" s="130" t="str">
        <f t="array" ref="N402">IFERROR(IF(INDEX('Disaggregation Records'!$F$83:$F$149,MATCH(RIGHT(L402,255),RIGHT('Disaggregation Records'!$D$83:$D$149,255),0))="","",INDEX('Disaggregation Records'!$F$83:$F$149,MATCH(RIGHT(L402,255),RIGHT('Disaggregation Records'!$D$83:$D$149,255),0))),"")</f>
        <v>Female 15+</v>
      </c>
      <c r="O402" s="130" t="str">
        <f t="array" ref="O402">IFERROR(IF(INDEX('Disaggregation Records'!$H$83:$H$149,MATCH(RIGHT(L402,255),RIGHT('Disaggregation Records'!$D$83:$D$149,255),0))="","",INDEX('Disaggregation Records'!$H$83:$H$149,MATCH(RIGHT(L402,255),RIGHT('Disaggregation Records'!$D$83:$D$149,255),0))),"")</f>
        <v>IDR-01100</v>
      </c>
      <c r="P402" s="130"/>
      <c r="Q402" s="52">
        <f t="shared" ref="Q402" si="571">Q400+1</f>
        <v>930</v>
      </c>
    </row>
    <row r="403" spans="1:17" ht="34.5" customHeight="1" x14ac:dyDescent="0.25">
      <c r="B403" s="602"/>
      <c r="C403" s="604"/>
      <c r="D403" s="606"/>
      <c r="E403" s="606"/>
      <c r="F403" s="132">
        <v>3714</v>
      </c>
      <c r="G403" s="608"/>
      <c r="H403" s="598"/>
      <c r="I403" s="600"/>
      <c r="J403" s="532"/>
      <c r="K403" s="130"/>
      <c r="L403" s="130"/>
      <c r="M403" s="130"/>
      <c r="N403" s="130"/>
      <c r="O403" s="130"/>
      <c r="P403" s="130"/>
    </row>
    <row r="404" spans="1:17" ht="20.100000000000001" customHeight="1" x14ac:dyDescent="0.25">
      <c r="A404" s="130" t="str">
        <f t="shared" ref="A404" ca="1" si="572">INDIRECT("'update Helper'!C"&amp;Q404)</f>
        <v>a1VDm000000PRbPMAW</v>
      </c>
      <c r="B404" s="601">
        <v>5</v>
      </c>
      <c r="C404" s="603" t="str">
        <f>IFERROR(VLOOKUP(B404,'Outcome Indicators - Section C '!$A$9:$AC$70,29,FALSE),"")</f>
        <v>HIV O-11⁽ᴹ⁾ Percentage of people living with HIV who know their HIV status at the end of the reporting period</v>
      </c>
      <c r="D404" s="605" t="str">
        <f>M404</f>
        <v/>
      </c>
      <c r="E404" s="605" t="str">
        <f>N404</f>
        <v/>
      </c>
      <c r="F404" s="131"/>
      <c r="G404" s="607" t="str">
        <f ca="1">IF(OR(INDIRECT("'update Helper'!E"&amp;Q404)="",F404&lt;&gt;0,F405&lt;&gt;0),IF(IFERROR((F404/F405),"")="","",(F404/F405)),INDIRECT("'update Helper'!E"&amp;Q404)/100)</f>
        <v/>
      </c>
      <c r="H404" s="597"/>
      <c r="I404" s="599"/>
      <c r="J404" s="531"/>
      <c r="K404" s="130">
        <f>IF(AND(EXACT(C404,C402),C402&lt;&gt;0),K402+1,0)</f>
        <v>4</v>
      </c>
      <c r="L404" s="130" t="str">
        <f>IF(C404&lt;&gt;"",C404&amp;"-"&amp;K404,"")</f>
        <v>HIV O-11⁽ᴹ⁾ Percentage of people living with HIV who know their HIV status at the end of the reporting period-4</v>
      </c>
      <c r="M404" s="130" t="str">
        <f t="array" ref="M404">IFERROR(IF(INDEX('Disaggregation Records'!$E$83:$E$149,MATCH(RIGHT(L404,255),RIGHT('Disaggregation Records'!$D$83:$D$149,255),0))="","",INDEX('Disaggregation Records'!$E$83:$E$149,MATCH(RIGHT(L404,255),RIGHT('Disaggregation Records'!$D$83:$D$149,255),0))),"")</f>
        <v/>
      </c>
      <c r="N404" s="130" t="str">
        <f t="array" ref="N404">IFERROR(IF(INDEX('Disaggregation Records'!$F$83:$F$149,MATCH(RIGHT(L404,255),RIGHT('Disaggregation Records'!$D$83:$D$149,255),0))="","",INDEX('Disaggregation Records'!$F$83:$F$149,MATCH(RIGHT(L404,255),RIGHT('Disaggregation Records'!$D$83:$D$149,255),0))),"")</f>
        <v/>
      </c>
      <c r="O404" s="130" t="str">
        <f t="array" ref="O404">IFERROR(IF(INDEX('Disaggregation Records'!$H$83:$H$149,MATCH(RIGHT(L404,255),RIGHT('Disaggregation Records'!$D$83:$D$149,255),0))="","",INDEX('Disaggregation Records'!$H$83:$H$149,MATCH(RIGHT(L404,255),RIGHT('Disaggregation Records'!$D$83:$D$149,255),0))),"")</f>
        <v/>
      </c>
      <c r="P404" s="130"/>
      <c r="Q404" s="52">
        <f t="shared" ref="Q404" si="573">Q402+1</f>
        <v>931</v>
      </c>
    </row>
    <row r="405" spans="1:17" ht="20.100000000000001" customHeight="1" x14ac:dyDescent="0.25">
      <c r="A405" s="130"/>
      <c r="B405" s="602"/>
      <c r="C405" s="604"/>
      <c r="D405" s="606"/>
      <c r="E405" s="606"/>
      <c r="F405" s="132"/>
      <c r="G405" s="608"/>
      <c r="H405" s="598"/>
      <c r="I405" s="600"/>
      <c r="J405" s="532"/>
      <c r="K405" s="130"/>
      <c r="L405" s="130"/>
      <c r="M405" s="130"/>
      <c r="N405" s="130"/>
      <c r="O405" s="130"/>
      <c r="P405" s="130"/>
    </row>
    <row r="406" spans="1:17" ht="20.100000000000001" customHeight="1" x14ac:dyDescent="0.25">
      <c r="A406" s="130" t="str">
        <f t="shared" ref="A406" ca="1" si="574">INDIRECT("'update Helper'!C"&amp;Q406)</f>
        <v>a1VDm000000PRbQMAW</v>
      </c>
      <c r="B406" s="601">
        <v>5</v>
      </c>
      <c r="C406" s="603" t="str">
        <f>IFERROR(VLOOKUP(B406,'Outcome Indicators - Section C '!$A$9:$AC$70,29,FALSE),"")</f>
        <v>HIV O-11⁽ᴹ⁾ Percentage of people living with HIV who know their HIV status at the end of the reporting period</v>
      </c>
      <c r="D406" s="605" t="str">
        <f>M406</f>
        <v/>
      </c>
      <c r="E406" s="605" t="str">
        <f>N406</f>
        <v/>
      </c>
      <c r="F406" s="131"/>
      <c r="G406" s="607" t="str">
        <f ca="1">IF(OR(INDIRECT("'update Helper'!E"&amp;Q406)="",F406&lt;&gt;0,F407&lt;&gt;0),IF(IFERROR((F406/F407),"")="","",(F406/F407)),INDIRECT("'update Helper'!E"&amp;Q406)/100)</f>
        <v/>
      </c>
      <c r="H406" s="597"/>
      <c r="I406" s="599"/>
      <c r="J406" s="531"/>
      <c r="K406" s="130">
        <f>IF(AND(EXACT(C406,C404),C404&lt;&gt;0),K404+1,0)</f>
        <v>5</v>
      </c>
      <c r="L406" s="130" t="str">
        <f>IF(C406&lt;&gt;"",C406&amp;"-"&amp;K406,"")</f>
        <v>HIV O-11⁽ᴹ⁾ Percentage of people living with HIV who know their HIV status at the end of the reporting period-5</v>
      </c>
      <c r="M406" s="130" t="str">
        <f t="array" ref="M406">IFERROR(IF(INDEX('Disaggregation Records'!$E$83:$E$149,MATCH(RIGHT(L406,255),RIGHT('Disaggregation Records'!$D$83:$D$149,255),0))="","",INDEX('Disaggregation Records'!$E$83:$E$149,MATCH(RIGHT(L406,255),RIGHT('Disaggregation Records'!$D$83:$D$149,255),0))),"")</f>
        <v/>
      </c>
      <c r="N406" s="130" t="str">
        <f t="array" ref="N406">IFERROR(IF(INDEX('Disaggregation Records'!$F$83:$F$149,MATCH(RIGHT(L406,255),RIGHT('Disaggregation Records'!$D$83:$D$149,255),0))="","",INDEX('Disaggregation Records'!$F$83:$F$149,MATCH(RIGHT(L406,255),RIGHT('Disaggregation Records'!$D$83:$D$149,255),0))),"")</f>
        <v/>
      </c>
      <c r="O406" s="130" t="str">
        <f t="array" ref="O406">IFERROR(IF(INDEX('Disaggregation Records'!$H$83:$H$149,MATCH(RIGHT(L406,255),RIGHT('Disaggregation Records'!$D$83:$D$149,255),0))="","",INDEX('Disaggregation Records'!$H$83:$H$149,MATCH(RIGHT(L406,255),RIGHT('Disaggregation Records'!$D$83:$D$149,255),0))),"")</f>
        <v/>
      </c>
      <c r="P406" s="130"/>
      <c r="Q406" s="52">
        <f t="shared" ref="Q406" si="575">Q404+1</f>
        <v>932</v>
      </c>
    </row>
    <row r="407" spans="1:17" ht="20.100000000000001" customHeight="1" x14ac:dyDescent="0.25">
      <c r="B407" s="602"/>
      <c r="C407" s="604"/>
      <c r="D407" s="606"/>
      <c r="E407" s="606"/>
      <c r="F407" s="132"/>
      <c r="G407" s="608"/>
      <c r="H407" s="598"/>
      <c r="I407" s="600"/>
      <c r="J407" s="532"/>
      <c r="K407" s="130"/>
      <c r="L407" s="130"/>
      <c r="M407" s="130"/>
      <c r="N407" s="130"/>
      <c r="O407" s="130"/>
      <c r="P407" s="130"/>
    </row>
    <row r="408" spans="1:17" ht="20.100000000000001" customHeight="1" x14ac:dyDescent="0.25">
      <c r="A408" s="130" t="str">
        <f t="shared" ref="A408" ca="1" si="576">INDIRECT("'update Helper'!C"&amp;Q408)</f>
        <v>a1VDm000000PRbRMAW</v>
      </c>
      <c r="B408" s="601">
        <v>5</v>
      </c>
      <c r="C408" s="603" t="str">
        <f>IFERROR(VLOOKUP(B408,'Outcome Indicators - Section C '!$A$9:$AC$70,29,FALSE),"")</f>
        <v>HIV O-11⁽ᴹ⁾ Percentage of people living with HIV who know their HIV status at the end of the reporting period</v>
      </c>
      <c r="D408" s="605" t="str">
        <f>M408</f>
        <v/>
      </c>
      <c r="E408" s="605" t="str">
        <f>N408</f>
        <v/>
      </c>
      <c r="F408" s="131"/>
      <c r="G408" s="607" t="str">
        <f ca="1">IF(OR(INDIRECT("'update Helper'!E"&amp;Q408)="",F408&lt;&gt;0,F409&lt;&gt;0),IF(IFERROR((F408/F409),"")="","",(F408/F409)),INDIRECT("'update Helper'!E"&amp;Q408)/100)</f>
        <v/>
      </c>
      <c r="H408" s="597"/>
      <c r="I408" s="599"/>
      <c r="J408" s="531"/>
      <c r="K408" s="130">
        <f>IF(AND(EXACT(C408,C406),C406&lt;&gt;0),K406+1,0)</f>
        <v>6</v>
      </c>
      <c r="L408" s="130" t="str">
        <f>IF(C408&lt;&gt;"",C408&amp;"-"&amp;K408,"")</f>
        <v>HIV O-11⁽ᴹ⁾ Percentage of people living with HIV who know their HIV status at the end of the reporting period-6</v>
      </c>
      <c r="M408" s="130" t="str">
        <f t="array" ref="M408">IFERROR(IF(INDEX('Disaggregation Records'!$E$83:$E$149,MATCH(RIGHT(L408,255),RIGHT('Disaggregation Records'!$D$83:$D$149,255),0))="","",INDEX('Disaggregation Records'!$E$83:$E$149,MATCH(RIGHT(L408,255),RIGHT('Disaggregation Records'!$D$83:$D$149,255),0))),"")</f>
        <v/>
      </c>
      <c r="N408" s="130" t="str">
        <f t="array" ref="N408">IFERROR(IF(INDEX('Disaggregation Records'!$F$83:$F$149,MATCH(RIGHT(L408,255),RIGHT('Disaggregation Records'!$D$83:$D$149,255),0))="","",INDEX('Disaggregation Records'!$F$83:$F$149,MATCH(RIGHT(L408,255),RIGHT('Disaggregation Records'!$D$83:$D$149,255),0))),"")</f>
        <v/>
      </c>
      <c r="O408" s="130" t="str">
        <f t="array" ref="O408">IFERROR(IF(INDEX('Disaggregation Records'!$H$83:$H$149,MATCH(RIGHT(L408,255),RIGHT('Disaggregation Records'!$D$83:$D$149,255),0))="","",INDEX('Disaggregation Records'!$H$83:$H$149,MATCH(RIGHT(L408,255),RIGHT('Disaggregation Records'!$D$83:$D$149,255),0))),"")</f>
        <v/>
      </c>
      <c r="P408" s="130"/>
      <c r="Q408" s="52">
        <f t="shared" ref="Q408" si="577">Q406+1</f>
        <v>933</v>
      </c>
    </row>
    <row r="409" spans="1:17" ht="20.100000000000001" customHeight="1" x14ac:dyDescent="0.25">
      <c r="A409" s="130"/>
      <c r="B409" s="602"/>
      <c r="C409" s="604"/>
      <c r="D409" s="606"/>
      <c r="E409" s="606"/>
      <c r="F409" s="132"/>
      <c r="G409" s="608"/>
      <c r="H409" s="598"/>
      <c r="I409" s="600"/>
      <c r="J409" s="532"/>
      <c r="K409" s="130"/>
      <c r="L409" s="130"/>
      <c r="M409" s="130"/>
      <c r="N409" s="130"/>
      <c r="O409" s="130"/>
      <c r="P409" s="130"/>
    </row>
    <row r="410" spans="1:17" ht="20.100000000000001" customHeight="1" x14ac:dyDescent="0.25">
      <c r="A410" s="130" t="str">
        <f t="shared" ref="A410" ca="1" si="578">INDIRECT("'update Helper'!C"&amp;Q410)</f>
        <v>a1VDm000000PRbSMAW</v>
      </c>
      <c r="B410" s="601">
        <v>5</v>
      </c>
      <c r="C410" s="603" t="str">
        <f>IFERROR(VLOOKUP(B410,'Outcome Indicators - Section C '!$A$9:$AC$70,29,FALSE),"")</f>
        <v>HIV O-11⁽ᴹ⁾ Percentage of people living with HIV who know their HIV status at the end of the reporting period</v>
      </c>
      <c r="D410" s="605" t="str">
        <f>M410</f>
        <v/>
      </c>
      <c r="E410" s="605" t="str">
        <f>N410</f>
        <v/>
      </c>
      <c r="F410" s="131"/>
      <c r="G410" s="607" t="str">
        <f ca="1">IF(OR(INDIRECT("'update Helper'!E"&amp;Q410)="",F410&lt;&gt;0,F411&lt;&gt;0),IF(IFERROR((F410/F411),"")="","",(F410/F411)),INDIRECT("'update Helper'!E"&amp;Q410)/100)</f>
        <v/>
      </c>
      <c r="H410" s="597"/>
      <c r="I410" s="599"/>
      <c r="J410" s="531"/>
      <c r="K410" s="130">
        <f>IF(AND(EXACT(C410,C408),C408&lt;&gt;0),K408+1,0)</f>
        <v>7</v>
      </c>
      <c r="L410" s="130" t="str">
        <f>IF(C410&lt;&gt;"",C410&amp;"-"&amp;K410,"")</f>
        <v>HIV O-11⁽ᴹ⁾ Percentage of people living with HIV who know their HIV status at the end of the reporting period-7</v>
      </c>
      <c r="M410" s="130" t="str">
        <f t="array" ref="M410">IFERROR(IF(INDEX('Disaggregation Records'!$E$83:$E$149,MATCH(RIGHT(L410,255),RIGHT('Disaggregation Records'!$D$83:$D$149,255),0))="","",INDEX('Disaggregation Records'!$E$83:$E$149,MATCH(RIGHT(L410,255),RIGHT('Disaggregation Records'!$D$83:$D$149,255),0))),"")</f>
        <v/>
      </c>
      <c r="N410" s="130" t="str">
        <f t="array" ref="N410">IFERROR(IF(INDEX('Disaggregation Records'!$F$83:$F$149,MATCH(RIGHT(L410,255),RIGHT('Disaggregation Records'!$D$83:$D$149,255),0))="","",INDEX('Disaggregation Records'!$F$83:$F$149,MATCH(RIGHT(L410,255),RIGHT('Disaggregation Records'!$D$83:$D$149,255),0))),"")</f>
        <v/>
      </c>
      <c r="O410" s="130" t="str">
        <f t="array" ref="O410">IFERROR(IF(INDEX('Disaggregation Records'!$H$83:$H$149,MATCH(RIGHT(L410,255),RIGHT('Disaggregation Records'!$D$83:$D$149,255),0))="","",INDEX('Disaggregation Records'!$H$83:$H$149,MATCH(RIGHT(L410,255),RIGHT('Disaggregation Records'!$D$83:$D$149,255),0))),"")</f>
        <v/>
      </c>
      <c r="P410" s="130"/>
      <c r="Q410" s="52">
        <f t="shared" ref="Q410" si="579">Q408+1</f>
        <v>934</v>
      </c>
    </row>
    <row r="411" spans="1:17" ht="20.100000000000001" customHeight="1" x14ac:dyDescent="0.25">
      <c r="B411" s="602"/>
      <c r="C411" s="604"/>
      <c r="D411" s="606"/>
      <c r="E411" s="606"/>
      <c r="F411" s="132"/>
      <c r="G411" s="608"/>
      <c r="H411" s="598"/>
      <c r="I411" s="600"/>
      <c r="J411" s="532"/>
      <c r="K411" s="130"/>
      <c r="L411" s="130"/>
      <c r="M411" s="130"/>
      <c r="N411" s="130"/>
      <c r="O411" s="130"/>
      <c r="P411" s="130"/>
    </row>
    <row r="412" spans="1:17" ht="20.100000000000001" customHeight="1" x14ac:dyDescent="0.25">
      <c r="A412" s="130" t="str">
        <f t="shared" ref="A412" ca="1" si="580">INDIRECT("'update Helper'!C"&amp;Q412)</f>
        <v>a1VDm000000PRbTMAW</v>
      </c>
      <c r="B412" s="601">
        <v>5</v>
      </c>
      <c r="C412" s="603" t="str">
        <f>IFERROR(VLOOKUP(B412,'Outcome Indicators - Section C '!$A$9:$AC$70,29,FALSE),"")</f>
        <v>HIV O-11⁽ᴹ⁾ Percentage of people living with HIV who know their HIV status at the end of the reporting period</v>
      </c>
      <c r="D412" s="605" t="str">
        <f>M412</f>
        <v/>
      </c>
      <c r="E412" s="605" t="str">
        <f>N412</f>
        <v/>
      </c>
      <c r="F412" s="131"/>
      <c r="G412" s="607" t="str">
        <f ca="1">IF(OR(INDIRECT("'update Helper'!E"&amp;Q412)="",F412&lt;&gt;0,F413&lt;&gt;0),IF(IFERROR((F412/F413),"")="","",(F412/F413)),INDIRECT("'update Helper'!E"&amp;Q412)/100)</f>
        <v/>
      </c>
      <c r="H412" s="597"/>
      <c r="I412" s="599"/>
      <c r="J412" s="531"/>
      <c r="K412" s="130">
        <f>IF(AND(EXACT(C412,C410),C410&lt;&gt;0),K410+1,0)</f>
        <v>8</v>
      </c>
      <c r="L412" s="130" t="str">
        <f>IF(C412&lt;&gt;"",C412&amp;"-"&amp;K412,"")</f>
        <v>HIV O-11⁽ᴹ⁾ Percentage of people living with HIV who know their HIV status at the end of the reporting period-8</v>
      </c>
      <c r="M412" s="130" t="str">
        <f t="array" ref="M412">IFERROR(IF(INDEX('Disaggregation Records'!$E$83:$E$149,MATCH(RIGHT(L412,255),RIGHT('Disaggregation Records'!$D$83:$D$149,255),0))="","",INDEX('Disaggregation Records'!$E$83:$E$149,MATCH(RIGHT(L412,255),RIGHT('Disaggregation Records'!$D$83:$D$149,255),0))),"")</f>
        <v/>
      </c>
      <c r="N412" s="130" t="str">
        <f t="array" ref="N412">IFERROR(IF(INDEX('Disaggregation Records'!$F$83:$F$149,MATCH(RIGHT(L412,255),RIGHT('Disaggregation Records'!$D$83:$D$149,255),0))="","",INDEX('Disaggregation Records'!$F$83:$F$149,MATCH(RIGHT(L412,255),RIGHT('Disaggregation Records'!$D$83:$D$149,255),0))),"")</f>
        <v/>
      </c>
      <c r="O412" s="130" t="str">
        <f t="array" ref="O412">IFERROR(IF(INDEX('Disaggregation Records'!$H$83:$H$149,MATCH(RIGHT(L412,255),RIGHT('Disaggregation Records'!$D$83:$D$149,255),0))="","",INDEX('Disaggregation Records'!$H$83:$H$149,MATCH(RIGHT(L412,255),RIGHT('Disaggregation Records'!$D$83:$D$149,255),0))),"")</f>
        <v/>
      </c>
      <c r="P412" s="130"/>
      <c r="Q412" s="52">
        <f t="shared" ref="Q412" si="581">Q410+1</f>
        <v>935</v>
      </c>
    </row>
    <row r="413" spans="1:17" ht="20.100000000000001" customHeight="1" x14ac:dyDescent="0.25">
      <c r="A413" s="130"/>
      <c r="B413" s="602"/>
      <c r="C413" s="604"/>
      <c r="D413" s="606"/>
      <c r="E413" s="606"/>
      <c r="F413" s="132"/>
      <c r="G413" s="608"/>
      <c r="H413" s="598"/>
      <c r="I413" s="600"/>
      <c r="J413" s="532"/>
      <c r="K413" s="130"/>
      <c r="L413" s="130"/>
      <c r="M413" s="130"/>
      <c r="N413" s="130"/>
      <c r="O413" s="130"/>
      <c r="P413" s="130"/>
    </row>
    <row r="414" spans="1:17" ht="20.100000000000001" customHeight="1" x14ac:dyDescent="0.25">
      <c r="A414" s="130" t="str">
        <f t="shared" ref="A414" ca="1" si="582">INDIRECT("'update Helper'!C"&amp;Q414)</f>
        <v>a1VDm000000PRbUMAW</v>
      </c>
      <c r="B414" s="601">
        <v>5</v>
      </c>
      <c r="C414" s="603" t="str">
        <f>IFERROR(VLOOKUP(B414,'Outcome Indicators - Section C '!$A$9:$AC$70,29,FALSE),"")</f>
        <v>HIV O-11⁽ᴹ⁾ Percentage of people living with HIV who know their HIV status at the end of the reporting period</v>
      </c>
      <c r="D414" s="605" t="str">
        <f>M414</f>
        <v/>
      </c>
      <c r="E414" s="605" t="str">
        <f>N414</f>
        <v/>
      </c>
      <c r="F414" s="131"/>
      <c r="G414" s="607" t="str">
        <f ca="1">IF(OR(INDIRECT("'update Helper'!E"&amp;Q414)="",F414&lt;&gt;0,F415&lt;&gt;0),IF(IFERROR((F414/F415),"")="","",(F414/F415)),INDIRECT("'update Helper'!E"&amp;Q414)/100)</f>
        <v/>
      </c>
      <c r="H414" s="597"/>
      <c r="I414" s="599"/>
      <c r="J414" s="531"/>
      <c r="K414" s="130">
        <f>IF(AND(EXACT(C414,C412),C412&lt;&gt;0),K412+1,0)</f>
        <v>9</v>
      </c>
      <c r="L414" s="130" t="str">
        <f>IF(C414&lt;&gt;"",C414&amp;"-"&amp;K414,"")</f>
        <v>HIV O-11⁽ᴹ⁾ Percentage of people living with HIV who know their HIV status at the end of the reporting period-9</v>
      </c>
      <c r="M414" s="130" t="str">
        <f t="array" ref="M414">IFERROR(IF(INDEX('Disaggregation Records'!$E$83:$E$149,MATCH(RIGHT(L414,255),RIGHT('Disaggregation Records'!$D$83:$D$149,255),0))="","",INDEX('Disaggregation Records'!$E$83:$E$149,MATCH(RIGHT(L414,255),RIGHT('Disaggregation Records'!$D$83:$D$149,255),0))),"")</f>
        <v/>
      </c>
      <c r="N414" s="130" t="str">
        <f t="array" ref="N414">IFERROR(IF(INDEX('Disaggregation Records'!$F$83:$F$149,MATCH(RIGHT(L414,255),RIGHT('Disaggregation Records'!$D$83:$D$149,255),0))="","",INDEX('Disaggregation Records'!$F$83:$F$149,MATCH(RIGHT(L414,255),RIGHT('Disaggregation Records'!$D$83:$D$149,255),0))),"")</f>
        <v/>
      </c>
      <c r="O414" s="130" t="str">
        <f t="array" ref="O414">IFERROR(IF(INDEX('Disaggregation Records'!$H$83:$H$149,MATCH(RIGHT(L414,255),RIGHT('Disaggregation Records'!$D$83:$D$149,255),0))="","",INDEX('Disaggregation Records'!$H$83:$H$149,MATCH(RIGHT(L414,255),RIGHT('Disaggregation Records'!$D$83:$D$149,255),0))),"")</f>
        <v/>
      </c>
      <c r="P414" s="130"/>
      <c r="Q414" s="52">
        <f t="shared" ref="Q414" si="583">Q412+1</f>
        <v>936</v>
      </c>
    </row>
    <row r="415" spans="1:17" ht="20.100000000000001" customHeight="1" x14ac:dyDescent="0.25">
      <c r="B415" s="602"/>
      <c r="C415" s="604"/>
      <c r="D415" s="606"/>
      <c r="E415" s="606"/>
      <c r="F415" s="132"/>
      <c r="G415" s="608"/>
      <c r="H415" s="598"/>
      <c r="I415" s="600"/>
      <c r="J415" s="532"/>
      <c r="K415" s="130"/>
      <c r="L415" s="130"/>
      <c r="M415" s="130"/>
      <c r="N415" s="130"/>
      <c r="O415" s="130"/>
      <c r="P415" s="130"/>
    </row>
    <row r="416" spans="1:17" ht="20.100000000000001" customHeight="1" x14ac:dyDescent="0.25">
      <c r="A416" s="130" t="str">
        <f t="shared" ref="A416" ca="1" si="584">INDIRECT("'update Helper'!C"&amp;Q416)</f>
        <v>a1VDm000000PRbVMAW</v>
      </c>
      <c r="B416" s="601">
        <v>6</v>
      </c>
      <c r="C416" s="603" t="str">
        <f>IFERROR(VLOOKUP(B416,'Outcome Indicators - Section C '!$A$9:$AC$70,29,FALSE),"")</f>
        <v>HIV O-12 Percentage of people living with HIV and on ART who are virologically suppressed</v>
      </c>
      <c r="D416" s="605" t="str">
        <f>M416</f>
        <v>Age</v>
      </c>
      <c r="E416" s="605" t="str">
        <f>N416</f>
        <v>15+</v>
      </c>
      <c r="F416" s="131">
        <v>4617</v>
      </c>
      <c r="G416" s="607">
        <f ca="1">IF(OR(INDIRECT("'update Helper'!E"&amp;Q416)="",F416&lt;&gt;0,F417&lt;&gt;0),IF(IFERROR((F416/F417),"")="","",(F416/F417)),INDIRECT("'update Helper'!E"&amp;Q416)/100)</f>
        <v>0.96167465111435113</v>
      </c>
      <c r="H416" s="597"/>
      <c r="I416" s="599" t="s">
        <v>2201</v>
      </c>
      <c r="J416" s="531" t="s">
        <v>2231</v>
      </c>
      <c r="K416" s="130">
        <f>IF(AND(EXACT(C416,C414),C414&lt;&gt;0),K414+1,0)</f>
        <v>0</v>
      </c>
      <c r="L416" s="130" t="str">
        <f>IF(C416&lt;&gt;"",C416&amp;"-"&amp;K416,"")</f>
        <v>HIV O-12 Percentage of people living with HIV and on ART who are virologically suppressed-0</v>
      </c>
      <c r="M416" s="130" t="str">
        <f t="array" ref="M416">IFERROR(IF(INDEX('Disaggregation Records'!$E$83:$E$149,MATCH(RIGHT(L416,255),RIGHT('Disaggregation Records'!$D$83:$D$149,255),0))="","",INDEX('Disaggregation Records'!$E$83:$E$149,MATCH(RIGHT(L416,255),RIGHT('Disaggregation Records'!$D$83:$D$149,255),0))),"")</f>
        <v>Age</v>
      </c>
      <c r="N416" s="130" t="str">
        <f t="array" ref="N416">IFERROR(IF(INDEX('Disaggregation Records'!$F$83:$F$149,MATCH(RIGHT(L416,255),RIGHT('Disaggregation Records'!$D$83:$D$149,255),0))="","",INDEX('Disaggregation Records'!$F$83:$F$149,MATCH(RIGHT(L416,255),RIGHT('Disaggregation Records'!$D$83:$D$149,255),0))),"")</f>
        <v>15+</v>
      </c>
      <c r="O416" s="130" t="str">
        <f t="array" ref="O416">IFERROR(IF(INDEX('Disaggregation Records'!$H$83:$H$149,MATCH(RIGHT(L416,255),RIGHT('Disaggregation Records'!$D$83:$D$149,255),0))="","",INDEX('Disaggregation Records'!$H$83:$H$149,MATCH(RIGHT(L416,255),RIGHT('Disaggregation Records'!$D$83:$D$149,255),0))),"")</f>
        <v>IDR-01111</v>
      </c>
      <c r="P416" s="130"/>
      <c r="Q416" s="52">
        <f t="shared" ref="Q416" si="585">Q414+1</f>
        <v>937</v>
      </c>
    </row>
    <row r="417" spans="1:17" ht="20.100000000000001" customHeight="1" x14ac:dyDescent="0.25">
      <c r="A417" s="130"/>
      <c r="B417" s="602"/>
      <c r="C417" s="604"/>
      <c r="D417" s="606"/>
      <c r="E417" s="606"/>
      <c r="F417" s="132">
        <v>4801</v>
      </c>
      <c r="G417" s="608"/>
      <c r="H417" s="598"/>
      <c r="I417" s="600"/>
      <c r="J417" s="532"/>
      <c r="K417" s="130"/>
      <c r="L417" s="130"/>
      <c r="M417" s="130"/>
      <c r="N417" s="130"/>
      <c r="O417" s="130"/>
      <c r="P417" s="130"/>
    </row>
    <row r="418" spans="1:17" ht="20.100000000000001" customHeight="1" x14ac:dyDescent="0.25">
      <c r="A418" s="130" t="str">
        <f t="shared" ref="A418" ca="1" si="586">INDIRECT("'update Helper'!C"&amp;Q418)</f>
        <v>a1VDm000000PRbWMAW</v>
      </c>
      <c r="B418" s="601">
        <v>6</v>
      </c>
      <c r="C418" s="603" t="str">
        <f>IFERROR(VLOOKUP(B418,'Outcome Indicators - Section C '!$A$9:$AC$70,29,FALSE),"")</f>
        <v>HIV O-12 Percentage of people living with HIV and on ART who are virologically suppressed</v>
      </c>
      <c r="D418" s="605" t="str">
        <f>M418</f>
        <v>Age</v>
      </c>
      <c r="E418" s="605" t="str">
        <f>N418</f>
        <v>&lt;15</v>
      </c>
      <c r="F418" s="131">
        <v>133</v>
      </c>
      <c r="G418" s="607">
        <f ca="1">IF(OR(INDIRECT("'update Helper'!E"&amp;Q418)="",F418&lt;&gt;0,F419&lt;&gt;0),IF(IFERROR((F418/F419),"")="","",(F418/F419)),INDIRECT("'update Helper'!E"&amp;Q418)/100)</f>
        <v>0.875</v>
      </c>
      <c r="H418" s="597"/>
      <c r="I418" s="599" t="s">
        <v>2201</v>
      </c>
      <c r="J418" s="531" t="s">
        <v>2232</v>
      </c>
      <c r="K418" s="130">
        <f>IF(AND(EXACT(C418,C416),C416&lt;&gt;0),K416+1,0)</f>
        <v>1</v>
      </c>
      <c r="L418" s="130" t="str">
        <f>IF(C418&lt;&gt;"",C418&amp;"-"&amp;K418,"")</f>
        <v>HIV O-12 Percentage of people living with HIV and on ART who are virologically suppressed-1</v>
      </c>
      <c r="M418" s="130" t="str">
        <f t="array" ref="M418">IFERROR(IF(INDEX('Disaggregation Records'!$E$83:$E$149,MATCH(RIGHT(L418,255),RIGHT('Disaggregation Records'!$D$83:$D$149,255),0))="","",INDEX('Disaggregation Records'!$E$83:$E$149,MATCH(RIGHT(L418,255),RIGHT('Disaggregation Records'!$D$83:$D$149,255),0))),"")</f>
        <v>Age</v>
      </c>
      <c r="N418" s="130" t="str">
        <f t="array" ref="N418">IFERROR(IF(INDEX('Disaggregation Records'!$F$83:$F$149,MATCH(RIGHT(L418,255),RIGHT('Disaggregation Records'!$D$83:$D$149,255),0))="","",INDEX('Disaggregation Records'!$F$83:$F$149,MATCH(RIGHT(L418,255),RIGHT('Disaggregation Records'!$D$83:$D$149,255),0))),"")</f>
        <v>&lt;15</v>
      </c>
      <c r="O418" s="130" t="str">
        <f t="array" ref="O418">IFERROR(IF(INDEX('Disaggregation Records'!$H$83:$H$149,MATCH(RIGHT(L418,255),RIGHT('Disaggregation Records'!$D$83:$D$149,255),0))="","",INDEX('Disaggregation Records'!$H$83:$H$149,MATCH(RIGHT(L418,255),RIGHT('Disaggregation Records'!$D$83:$D$149,255),0))),"")</f>
        <v>IDR-01110</v>
      </c>
      <c r="P418" s="130"/>
      <c r="Q418" s="52">
        <f t="shared" ref="Q418" si="587">Q416+1</f>
        <v>938</v>
      </c>
    </row>
    <row r="419" spans="1:17" ht="20.100000000000001" customHeight="1" x14ac:dyDescent="0.25">
      <c r="B419" s="602"/>
      <c r="C419" s="604"/>
      <c r="D419" s="606"/>
      <c r="E419" s="606"/>
      <c r="F419" s="132">
        <v>152</v>
      </c>
      <c r="G419" s="608"/>
      <c r="H419" s="598"/>
      <c r="I419" s="600"/>
      <c r="J419" s="532"/>
      <c r="K419" s="130"/>
      <c r="L419" s="130"/>
      <c r="M419" s="130"/>
      <c r="N419" s="130"/>
      <c r="O419" s="130"/>
      <c r="P419" s="130"/>
    </row>
    <row r="420" spans="1:17" ht="20.100000000000001" customHeight="1" x14ac:dyDescent="0.25">
      <c r="A420" s="130" t="str">
        <f t="shared" ref="A420" ca="1" si="588">INDIRECT("'update Helper'!C"&amp;Q420)</f>
        <v>a1VDm000000PRbXMAW</v>
      </c>
      <c r="B420" s="601">
        <v>6</v>
      </c>
      <c r="C420" s="603" t="str">
        <f>IFERROR(VLOOKUP(B420,'Outcome Indicators - Section C '!$A$9:$AC$70,29,FALSE),"")</f>
        <v>HIV O-12 Percentage of people living with HIV and on ART who are virologically suppressed</v>
      </c>
      <c r="D420" s="605" t="str">
        <f>M420</f>
        <v>Gender | Age</v>
      </c>
      <c r="E420" s="605" t="str">
        <f>N420</f>
        <v>Male 15+</v>
      </c>
      <c r="F420" s="131">
        <v>2447</v>
      </c>
      <c r="G420" s="607">
        <f ca="1">IF(OR(INDIRECT("'update Helper'!E"&amp;Q420)="",F420&lt;&gt;0,F421&lt;&gt;0),IF(IFERROR((F420/F421),"")="","",(F420/F421)),INDIRECT("'update Helper'!E"&amp;Q420)/100)</f>
        <v>0.95585937499999996</v>
      </c>
      <c r="H420" s="597"/>
      <c r="I420" s="599" t="s">
        <v>2201</v>
      </c>
      <c r="J420" s="531" t="s">
        <v>2233</v>
      </c>
      <c r="K420" s="130">
        <f>IF(AND(EXACT(C420,C418),C418&lt;&gt;0),K418+1,0)</f>
        <v>2</v>
      </c>
      <c r="L420" s="130" t="str">
        <f>IF(C420&lt;&gt;"",C420&amp;"-"&amp;K420,"")</f>
        <v>HIV O-12 Percentage of people living with HIV and on ART who are virologically suppressed-2</v>
      </c>
      <c r="M420" s="130" t="str">
        <f t="array" ref="M420">IFERROR(IF(INDEX('Disaggregation Records'!$E$83:$E$149,MATCH(RIGHT(L420,255),RIGHT('Disaggregation Records'!$D$83:$D$149,255),0))="","",INDEX('Disaggregation Records'!$E$83:$E$149,MATCH(RIGHT(L420,255),RIGHT('Disaggregation Records'!$D$83:$D$149,255),0))),"")</f>
        <v>Gender | Age</v>
      </c>
      <c r="N420" s="130" t="str">
        <f t="array" ref="N420">IFERROR(IF(INDEX('Disaggregation Records'!$F$83:$F$149,MATCH(RIGHT(L420,255),RIGHT('Disaggregation Records'!$D$83:$D$149,255),0))="","",INDEX('Disaggregation Records'!$F$83:$F$149,MATCH(RIGHT(L420,255),RIGHT('Disaggregation Records'!$D$83:$D$149,255),0))),"")</f>
        <v>Male 15+</v>
      </c>
      <c r="O420" s="130" t="str">
        <f t="array" ref="O420">IFERROR(IF(INDEX('Disaggregation Records'!$H$83:$H$149,MATCH(RIGHT(L420,255),RIGHT('Disaggregation Records'!$D$83:$D$149,255),0))="","",INDEX('Disaggregation Records'!$H$83:$H$149,MATCH(RIGHT(L420,255),RIGHT('Disaggregation Records'!$D$83:$D$149,255),0))),"")</f>
        <v>IDR-01109</v>
      </c>
      <c r="P420" s="130"/>
      <c r="Q420" s="52">
        <f t="shared" ref="Q420" si="589">Q418+1</f>
        <v>939</v>
      </c>
    </row>
    <row r="421" spans="1:17" ht="20.100000000000001" customHeight="1" x14ac:dyDescent="0.25">
      <c r="A421" s="130"/>
      <c r="B421" s="602"/>
      <c r="C421" s="604"/>
      <c r="D421" s="606"/>
      <c r="E421" s="606"/>
      <c r="F421" s="132">
        <v>2560</v>
      </c>
      <c r="G421" s="608"/>
      <c r="H421" s="598"/>
      <c r="I421" s="600"/>
      <c r="J421" s="532"/>
      <c r="K421" s="130"/>
      <c r="L421" s="130"/>
      <c r="M421" s="130"/>
      <c r="N421" s="130"/>
      <c r="O421" s="130"/>
      <c r="P421" s="130"/>
    </row>
    <row r="422" spans="1:17" ht="20.100000000000001" customHeight="1" x14ac:dyDescent="0.25">
      <c r="A422" s="130" t="str">
        <f t="shared" ref="A422" ca="1" si="590">INDIRECT("'update Helper'!C"&amp;Q422)</f>
        <v>a1VDm000000PRbYMAW</v>
      </c>
      <c r="B422" s="601">
        <v>6</v>
      </c>
      <c r="C422" s="603" t="str">
        <f>IFERROR(VLOOKUP(B422,'Outcome Indicators - Section C '!$A$9:$AC$70,29,FALSE),"")</f>
        <v>HIV O-12 Percentage of people living with HIV and on ART who are virologically suppressed</v>
      </c>
      <c r="D422" s="605" t="str">
        <f>M422</f>
        <v>Gender | Age</v>
      </c>
      <c r="E422" s="605" t="str">
        <f>N422</f>
        <v>Female 15+</v>
      </c>
      <c r="F422" s="131">
        <v>2170</v>
      </c>
      <c r="G422" s="607">
        <f ca="1">IF(OR(INDIRECT("'update Helper'!E"&amp;Q422)="",F422&lt;&gt;0,F423&lt;&gt;0),IF(IFERROR((F422/F423),"")="","",(F422/F423)),INDIRECT("'update Helper'!E"&amp;Q422)/100)</f>
        <v>0.96831771530566713</v>
      </c>
      <c r="H422" s="597"/>
      <c r="I422" s="599" t="s">
        <v>2201</v>
      </c>
      <c r="J422" s="531" t="s">
        <v>2234</v>
      </c>
      <c r="K422" s="130">
        <f>IF(AND(EXACT(C422,C420),C420&lt;&gt;0),K420+1,0)</f>
        <v>3</v>
      </c>
      <c r="L422" s="130" t="str">
        <f>IF(C422&lt;&gt;"",C422&amp;"-"&amp;K422,"")</f>
        <v>HIV O-12 Percentage of people living with HIV and on ART who are virologically suppressed-3</v>
      </c>
      <c r="M422" s="130" t="str">
        <f t="array" ref="M422">IFERROR(IF(INDEX('Disaggregation Records'!$E$83:$E$149,MATCH(RIGHT(L422,255),RIGHT('Disaggregation Records'!$D$83:$D$149,255),0))="","",INDEX('Disaggregation Records'!$E$83:$E$149,MATCH(RIGHT(L422,255),RIGHT('Disaggregation Records'!$D$83:$D$149,255),0))),"")</f>
        <v>Gender | Age</v>
      </c>
      <c r="N422" s="130" t="str">
        <f t="array" ref="N422">IFERROR(IF(INDEX('Disaggregation Records'!$F$83:$F$149,MATCH(RIGHT(L422,255),RIGHT('Disaggregation Records'!$D$83:$D$149,255),0))="","",INDEX('Disaggregation Records'!$F$83:$F$149,MATCH(RIGHT(L422,255),RIGHT('Disaggregation Records'!$D$83:$D$149,255),0))),"")</f>
        <v>Female 15+</v>
      </c>
      <c r="O422" s="130" t="str">
        <f t="array" ref="O422">IFERROR(IF(INDEX('Disaggregation Records'!$H$83:$H$149,MATCH(RIGHT(L422,255),RIGHT('Disaggregation Records'!$D$83:$D$149,255),0))="","",INDEX('Disaggregation Records'!$H$83:$H$149,MATCH(RIGHT(L422,255),RIGHT('Disaggregation Records'!$D$83:$D$149,255),0))),"")</f>
        <v>IDR-01108</v>
      </c>
      <c r="P422" s="130"/>
      <c r="Q422" s="52">
        <f t="shared" ref="Q422" si="591">Q420+1</f>
        <v>940</v>
      </c>
    </row>
    <row r="423" spans="1:17" ht="20.100000000000001" customHeight="1" x14ac:dyDescent="0.25">
      <c r="B423" s="602"/>
      <c r="C423" s="604"/>
      <c r="D423" s="606"/>
      <c r="E423" s="606"/>
      <c r="F423" s="132">
        <v>2241</v>
      </c>
      <c r="G423" s="608"/>
      <c r="H423" s="598"/>
      <c r="I423" s="600"/>
      <c r="J423" s="532"/>
      <c r="K423" s="130"/>
      <c r="L423" s="130"/>
      <c r="M423" s="130"/>
      <c r="N423" s="130"/>
      <c r="O423" s="130"/>
      <c r="P423" s="130"/>
    </row>
    <row r="424" spans="1:17" ht="20.100000000000001" customHeight="1" x14ac:dyDescent="0.25">
      <c r="A424" s="130" t="str">
        <f t="shared" ref="A424" ca="1" si="592">INDIRECT("'update Helper'!C"&amp;Q424)</f>
        <v>a1VDm000000PRbZMAW</v>
      </c>
      <c r="B424" s="601">
        <v>6</v>
      </c>
      <c r="C424" s="603" t="str">
        <f>IFERROR(VLOOKUP(B424,'Outcome Indicators - Section C '!$A$9:$AC$70,29,FALSE),"")</f>
        <v>HIV O-12 Percentage of people living with HIV and on ART who are virologically suppressed</v>
      </c>
      <c r="D424" s="605" t="str">
        <f>M424</f>
        <v/>
      </c>
      <c r="E424" s="605" t="str">
        <f>N424</f>
        <v/>
      </c>
      <c r="F424" s="131"/>
      <c r="G424" s="607" t="str">
        <f ca="1">IF(OR(INDIRECT("'update Helper'!E"&amp;Q424)="",F424&lt;&gt;0,F425&lt;&gt;0),IF(IFERROR((F424/F425),"")="","",(F424/F425)),INDIRECT("'update Helper'!E"&amp;Q424)/100)</f>
        <v/>
      </c>
      <c r="H424" s="597"/>
      <c r="I424" s="599"/>
      <c r="J424" s="531"/>
      <c r="K424" s="130">
        <f>IF(AND(EXACT(C424,C422),C422&lt;&gt;0),K422+1,0)</f>
        <v>4</v>
      </c>
      <c r="L424" s="130" t="str">
        <f>IF(C424&lt;&gt;"",C424&amp;"-"&amp;K424,"")</f>
        <v>HIV O-12 Percentage of people living with HIV and on ART who are virologically suppressed-4</v>
      </c>
      <c r="M424" s="130" t="str">
        <f t="array" ref="M424">IFERROR(IF(INDEX('Disaggregation Records'!$E$83:$E$149,MATCH(RIGHT(L424,255),RIGHT('Disaggregation Records'!$D$83:$D$149,255),0))="","",INDEX('Disaggregation Records'!$E$83:$E$149,MATCH(RIGHT(L424,255),RIGHT('Disaggregation Records'!$D$83:$D$149,255),0))),"")</f>
        <v/>
      </c>
      <c r="N424" s="130" t="str">
        <f t="array" ref="N424">IFERROR(IF(INDEX('Disaggregation Records'!$F$83:$F$149,MATCH(RIGHT(L424,255),RIGHT('Disaggregation Records'!$D$83:$D$149,255),0))="","",INDEX('Disaggregation Records'!$F$83:$F$149,MATCH(RIGHT(L424,255),RIGHT('Disaggregation Records'!$D$83:$D$149,255),0))),"")</f>
        <v/>
      </c>
      <c r="O424" s="130" t="str">
        <f t="array" ref="O424">IFERROR(IF(INDEX('Disaggregation Records'!$H$83:$H$149,MATCH(RIGHT(L424,255),RIGHT('Disaggregation Records'!$D$83:$D$149,255),0))="","",INDEX('Disaggregation Records'!$H$83:$H$149,MATCH(RIGHT(L424,255),RIGHT('Disaggregation Records'!$D$83:$D$149,255),0))),"")</f>
        <v/>
      </c>
      <c r="P424" s="130"/>
      <c r="Q424" s="52">
        <f t="shared" ref="Q424" si="593">Q422+1</f>
        <v>941</v>
      </c>
    </row>
    <row r="425" spans="1:17" ht="20.100000000000001" customHeight="1" x14ac:dyDescent="0.25">
      <c r="A425" s="130"/>
      <c r="B425" s="602"/>
      <c r="C425" s="604"/>
      <c r="D425" s="606"/>
      <c r="E425" s="606"/>
      <c r="F425" s="132"/>
      <c r="G425" s="608"/>
      <c r="H425" s="598"/>
      <c r="I425" s="600"/>
      <c r="J425" s="532"/>
      <c r="K425" s="130"/>
      <c r="L425" s="130"/>
      <c r="M425" s="130"/>
      <c r="N425" s="130"/>
      <c r="O425" s="130"/>
      <c r="P425" s="130"/>
    </row>
    <row r="426" spans="1:17" ht="20.100000000000001" customHeight="1" x14ac:dyDescent="0.25">
      <c r="A426" s="130" t="str">
        <f t="shared" ref="A426" ca="1" si="594">INDIRECT("'update Helper'!C"&amp;Q426)</f>
        <v>a1VDm000000PRbaMAG</v>
      </c>
      <c r="B426" s="601">
        <v>6</v>
      </c>
      <c r="C426" s="603" t="str">
        <f>IFERROR(VLOOKUP(B426,'Outcome Indicators - Section C '!$A$9:$AC$70,29,FALSE),"")</f>
        <v>HIV O-12 Percentage of people living with HIV and on ART who are virologically suppressed</v>
      </c>
      <c r="D426" s="605" t="str">
        <f>M426</f>
        <v/>
      </c>
      <c r="E426" s="605" t="str">
        <f>N426</f>
        <v/>
      </c>
      <c r="F426" s="131"/>
      <c r="G426" s="607" t="str">
        <f ca="1">IF(OR(INDIRECT("'update Helper'!E"&amp;Q426)="",F426&lt;&gt;0,F427&lt;&gt;0),IF(IFERROR((F426/F427),"")="","",(F426/F427)),INDIRECT("'update Helper'!E"&amp;Q426)/100)</f>
        <v/>
      </c>
      <c r="H426" s="597"/>
      <c r="I426" s="599"/>
      <c r="J426" s="531"/>
      <c r="K426" s="130">
        <f>IF(AND(EXACT(C426,C424),C424&lt;&gt;0),K424+1,0)</f>
        <v>5</v>
      </c>
      <c r="L426" s="130" t="str">
        <f>IF(C426&lt;&gt;"",C426&amp;"-"&amp;K426,"")</f>
        <v>HIV O-12 Percentage of people living with HIV and on ART who are virologically suppressed-5</v>
      </c>
      <c r="M426" s="130" t="str">
        <f t="array" ref="M426">IFERROR(IF(INDEX('Disaggregation Records'!$E$83:$E$149,MATCH(RIGHT(L426,255),RIGHT('Disaggregation Records'!$D$83:$D$149,255),0))="","",INDEX('Disaggregation Records'!$E$83:$E$149,MATCH(RIGHT(L426,255),RIGHT('Disaggregation Records'!$D$83:$D$149,255),0))),"")</f>
        <v/>
      </c>
      <c r="N426" s="130" t="str">
        <f t="array" ref="N426">IFERROR(IF(INDEX('Disaggregation Records'!$F$83:$F$149,MATCH(RIGHT(L426,255),RIGHT('Disaggregation Records'!$D$83:$D$149,255),0))="","",INDEX('Disaggregation Records'!$F$83:$F$149,MATCH(RIGHT(L426,255),RIGHT('Disaggregation Records'!$D$83:$D$149,255),0))),"")</f>
        <v/>
      </c>
      <c r="O426" s="130" t="str">
        <f t="array" ref="O426">IFERROR(IF(INDEX('Disaggregation Records'!$H$83:$H$149,MATCH(RIGHT(L426,255),RIGHT('Disaggregation Records'!$D$83:$D$149,255),0))="","",INDEX('Disaggregation Records'!$H$83:$H$149,MATCH(RIGHT(L426,255),RIGHT('Disaggregation Records'!$D$83:$D$149,255),0))),"")</f>
        <v/>
      </c>
      <c r="P426" s="130"/>
      <c r="Q426" s="52">
        <f t="shared" ref="Q426" si="595">Q424+1</f>
        <v>942</v>
      </c>
    </row>
    <row r="427" spans="1:17" ht="20.100000000000001" customHeight="1" x14ac:dyDescent="0.25">
      <c r="B427" s="602"/>
      <c r="C427" s="604"/>
      <c r="D427" s="606"/>
      <c r="E427" s="606"/>
      <c r="F427" s="132"/>
      <c r="G427" s="608"/>
      <c r="H427" s="598"/>
      <c r="I427" s="600"/>
      <c r="J427" s="532"/>
      <c r="K427" s="130"/>
      <c r="L427" s="130"/>
      <c r="M427" s="130"/>
      <c r="N427" s="130"/>
      <c r="O427" s="130"/>
      <c r="P427" s="130"/>
    </row>
    <row r="428" spans="1:17" ht="20.100000000000001" customHeight="1" x14ac:dyDescent="0.25">
      <c r="A428" s="130" t="str">
        <f t="shared" ref="A428" ca="1" si="596">INDIRECT("'update Helper'!C"&amp;Q428)</f>
        <v>a1VDm000000PRbbMAG</v>
      </c>
      <c r="B428" s="601">
        <v>6</v>
      </c>
      <c r="C428" s="603" t="str">
        <f>IFERROR(VLOOKUP(B428,'Outcome Indicators - Section C '!$A$9:$AC$70,29,FALSE),"")</f>
        <v>HIV O-12 Percentage of people living with HIV and on ART who are virologically suppressed</v>
      </c>
      <c r="D428" s="605" t="str">
        <f>M428</f>
        <v/>
      </c>
      <c r="E428" s="605" t="str">
        <f>N428</f>
        <v/>
      </c>
      <c r="F428" s="131"/>
      <c r="G428" s="607" t="str">
        <f ca="1">IF(OR(INDIRECT("'update Helper'!E"&amp;Q428)="",F428&lt;&gt;0,F429&lt;&gt;0),IF(IFERROR((F428/F429),"")="","",(F428/F429)),INDIRECT("'update Helper'!E"&amp;Q428)/100)</f>
        <v/>
      </c>
      <c r="H428" s="597"/>
      <c r="I428" s="599"/>
      <c r="J428" s="531"/>
      <c r="K428" s="130">
        <f>IF(AND(EXACT(C428,C426),C426&lt;&gt;0),K426+1,0)</f>
        <v>6</v>
      </c>
      <c r="L428" s="130" t="str">
        <f>IF(C428&lt;&gt;"",C428&amp;"-"&amp;K428,"")</f>
        <v>HIV O-12 Percentage of people living with HIV and on ART who are virologically suppressed-6</v>
      </c>
      <c r="M428" s="130" t="str">
        <f t="array" ref="M428">IFERROR(IF(INDEX('Disaggregation Records'!$E$83:$E$149,MATCH(RIGHT(L428,255),RIGHT('Disaggregation Records'!$D$83:$D$149,255),0))="","",INDEX('Disaggregation Records'!$E$83:$E$149,MATCH(RIGHT(L428,255),RIGHT('Disaggregation Records'!$D$83:$D$149,255),0))),"")</f>
        <v/>
      </c>
      <c r="N428" s="130" t="str">
        <f t="array" ref="N428">IFERROR(IF(INDEX('Disaggregation Records'!$F$83:$F$149,MATCH(RIGHT(L428,255),RIGHT('Disaggregation Records'!$D$83:$D$149,255),0))="","",INDEX('Disaggregation Records'!$F$83:$F$149,MATCH(RIGHT(L428,255),RIGHT('Disaggregation Records'!$D$83:$D$149,255),0))),"")</f>
        <v/>
      </c>
      <c r="O428" s="130" t="str">
        <f t="array" ref="O428">IFERROR(IF(INDEX('Disaggregation Records'!$H$83:$H$149,MATCH(RIGHT(L428,255),RIGHT('Disaggregation Records'!$D$83:$D$149,255),0))="","",INDEX('Disaggregation Records'!$H$83:$H$149,MATCH(RIGHT(L428,255),RIGHT('Disaggregation Records'!$D$83:$D$149,255),0))),"")</f>
        <v/>
      </c>
      <c r="P428" s="130"/>
      <c r="Q428" s="52">
        <f t="shared" ref="Q428" si="597">Q426+1</f>
        <v>943</v>
      </c>
    </row>
    <row r="429" spans="1:17" ht="20.100000000000001" customHeight="1" x14ac:dyDescent="0.25">
      <c r="A429" s="130"/>
      <c r="B429" s="602"/>
      <c r="C429" s="604"/>
      <c r="D429" s="606"/>
      <c r="E429" s="606"/>
      <c r="F429" s="132"/>
      <c r="G429" s="608"/>
      <c r="H429" s="598"/>
      <c r="I429" s="600"/>
      <c r="J429" s="532"/>
      <c r="K429" s="130"/>
      <c r="L429" s="130"/>
      <c r="M429" s="130"/>
      <c r="N429" s="130"/>
      <c r="O429" s="130"/>
      <c r="P429" s="130"/>
    </row>
    <row r="430" spans="1:17" ht="20.100000000000001" customHeight="1" x14ac:dyDescent="0.25">
      <c r="A430" s="130" t="str">
        <f t="shared" ref="A430" ca="1" si="598">INDIRECT("'update Helper'!C"&amp;Q430)</f>
        <v>a1VDm000000PRbcMAG</v>
      </c>
      <c r="B430" s="601">
        <v>6</v>
      </c>
      <c r="C430" s="603" t="str">
        <f>IFERROR(VLOOKUP(B430,'Outcome Indicators - Section C '!$A$9:$AC$70,29,FALSE),"")</f>
        <v>HIV O-12 Percentage of people living with HIV and on ART who are virologically suppressed</v>
      </c>
      <c r="D430" s="605" t="str">
        <f>M430</f>
        <v/>
      </c>
      <c r="E430" s="605" t="str">
        <f>N430</f>
        <v/>
      </c>
      <c r="F430" s="131"/>
      <c r="G430" s="607" t="str">
        <f ca="1">IF(OR(INDIRECT("'update Helper'!E"&amp;Q430)="",F430&lt;&gt;0,F431&lt;&gt;0),IF(IFERROR((F430/F431),"")="","",(F430/F431)),INDIRECT("'update Helper'!E"&amp;Q430)/100)</f>
        <v/>
      </c>
      <c r="H430" s="597"/>
      <c r="I430" s="599"/>
      <c r="J430" s="531"/>
      <c r="K430" s="130">
        <f>IF(AND(EXACT(C430,C428),C428&lt;&gt;0),K428+1,0)</f>
        <v>7</v>
      </c>
      <c r="L430" s="130" t="str">
        <f>IF(C430&lt;&gt;"",C430&amp;"-"&amp;K430,"")</f>
        <v>HIV O-12 Percentage of people living with HIV and on ART who are virologically suppressed-7</v>
      </c>
      <c r="M430" s="130" t="str">
        <f t="array" ref="M430">IFERROR(IF(INDEX('Disaggregation Records'!$E$83:$E$149,MATCH(RIGHT(L430,255),RIGHT('Disaggregation Records'!$D$83:$D$149,255),0))="","",INDEX('Disaggregation Records'!$E$83:$E$149,MATCH(RIGHT(L430,255),RIGHT('Disaggregation Records'!$D$83:$D$149,255),0))),"")</f>
        <v/>
      </c>
      <c r="N430" s="130" t="str">
        <f t="array" ref="N430">IFERROR(IF(INDEX('Disaggregation Records'!$F$83:$F$149,MATCH(RIGHT(L430,255),RIGHT('Disaggregation Records'!$D$83:$D$149,255),0))="","",INDEX('Disaggregation Records'!$F$83:$F$149,MATCH(RIGHT(L430,255),RIGHT('Disaggregation Records'!$D$83:$D$149,255),0))),"")</f>
        <v/>
      </c>
      <c r="O430" s="130" t="str">
        <f t="array" ref="O430">IFERROR(IF(INDEX('Disaggregation Records'!$H$83:$H$149,MATCH(RIGHT(L430,255),RIGHT('Disaggregation Records'!$D$83:$D$149,255),0))="","",INDEX('Disaggregation Records'!$H$83:$H$149,MATCH(RIGHT(L430,255),RIGHT('Disaggregation Records'!$D$83:$D$149,255),0))),"")</f>
        <v/>
      </c>
      <c r="P430" s="130"/>
      <c r="Q430" s="52">
        <f t="shared" ref="Q430" si="599">Q428+1</f>
        <v>944</v>
      </c>
    </row>
    <row r="431" spans="1:17" ht="20.100000000000001" customHeight="1" x14ac:dyDescent="0.25">
      <c r="B431" s="602"/>
      <c r="C431" s="604"/>
      <c r="D431" s="606"/>
      <c r="E431" s="606"/>
      <c r="F431" s="132"/>
      <c r="G431" s="608"/>
      <c r="H431" s="598"/>
      <c r="I431" s="600"/>
      <c r="J431" s="532"/>
      <c r="K431" s="130"/>
      <c r="L431" s="130"/>
      <c r="M431" s="130"/>
      <c r="N431" s="130"/>
      <c r="O431" s="130"/>
      <c r="P431" s="130"/>
    </row>
    <row r="432" spans="1:17" ht="20.100000000000001" customHeight="1" x14ac:dyDescent="0.25">
      <c r="A432" s="130" t="str">
        <f t="shared" ref="A432" ca="1" si="600">INDIRECT("'update Helper'!C"&amp;Q432)</f>
        <v>a1VDm000000PRbdMAG</v>
      </c>
      <c r="B432" s="601">
        <v>6</v>
      </c>
      <c r="C432" s="603" t="str">
        <f>IFERROR(VLOOKUP(B432,'Outcome Indicators - Section C '!$A$9:$AC$70,29,FALSE),"")</f>
        <v>HIV O-12 Percentage of people living with HIV and on ART who are virologically suppressed</v>
      </c>
      <c r="D432" s="605" t="str">
        <f>M432</f>
        <v/>
      </c>
      <c r="E432" s="605" t="str">
        <f>N432</f>
        <v/>
      </c>
      <c r="F432" s="131"/>
      <c r="G432" s="607" t="str">
        <f ca="1">IF(OR(INDIRECT("'update Helper'!E"&amp;Q432)="",F432&lt;&gt;0,F433&lt;&gt;0),IF(IFERROR((F432/F433),"")="","",(F432/F433)),INDIRECT("'update Helper'!E"&amp;Q432)/100)</f>
        <v/>
      </c>
      <c r="H432" s="597"/>
      <c r="I432" s="599"/>
      <c r="J432" s="531"/>
      <c r="K432" s="130">
        <f>IF(AND(EXACT(C432,C430),C430&lt;&gt;0),K430+1,0)</f>
        <v>8</v>
      </c>
      <c r="L432" s="130" t="str">
        <f>IF(C432&lt;&gt;"",C432&amp;"-"&amp;K432,"")</f>
        <v>HIV O-12 Percentage of people living with HIV and on ART who are virologically suppressed-8</v>
      </c>
      <c r="M432" s="130" t="str">
        <f t="array" ref="M432">IFERROR(IF(INDEX('Disaggregation Records'!$E$83:$E$149,MATCH(RIGHT(L432,255),RIGHT('Disaggregation Records'!$D$83:$D$149,255),0))="","",INDEX('Disaggregation Records'!$E$83:$E$149,MATCH(RIGHT(L432,255),RIGHT('Disaggregation Records'!$D$83:$D$149,255),0))),"")</f>
        <v/>
      </c>
      <c r="N432" s="130" t="str">
        <f t="array" ref="N432">IFERROR(IF(INDEX('Disaggregation Records'!$F$83:$F$149,MATCH(RIGHT(L432,255),RIGHT('Disaggregation Records'!$D$83:$D$149,255),0))="","",INDEX('Disaggregation Records'!$F$83:$F$149,MATCH(RIGHT(L432,255),RIGHT('Disaggregation Records'!$D$83:$D$149,255),0))),"")</f>
        <v/>
      </c>
      <c r="O432" s="130" t="str">
        <f t="array" ref="O432">IFERROR(IF(INDEX('Disaggregation Records'!$H$83:$H$149,MATCH(RIGHT(L432,255),RIGHT('Disaggregation Records'!$D$83:$D$149,255),0))="","",INDEX('Disaggregation Records'!$H$83:$H$149,MATCH(RIGHT(L432,255),RIGHT('Disaggregation Records'!$D$83:$D$149,255),0))),"")</f>
        <v/>
      </c>
      <c r="P432" s="130"/>
      <c r="Q432" s="52">
        <f t="shared" ref="Q432" si="601">Q430+1</f>
        <v>945</v>
      </c>
    </row>
    <row r="433" spans="1:17" ht="20.100000000000001" customHeight="1" x14ac:dyDescent="0.25">
      <c r="A433" s="130"/>
      <c r="B433" s="602"/>
      <c r="C433" s="604"/>
      <c r="D433" s="606"/>
      <c r="E433" s="606"/>
      <c r="F433" s="132"/>
      <c r="G433" s="608"/>
      <c r="H433" s="598"/>
      <c r="I433" s="600"/>
      <c r="J433" s="532"/>
      <c r="K433" s="130"/>
      <c r="L433" s="130"/>
      <c r="M433" s="130"/>
      <c r="N433" s="130"/>
      <c r="O433" s="130"/>
      <c r="P433" s="130"/>
    </row>
    <row r="434" spans="1:17" ht="20.100000000000001" customHeight="1" x14ac:dyDescent="0.25">
      <c r="A434" s="130" t="str">
        <f t="shared" ref="A434" ca="1" si="602">INDIRECT("'update Helper'!C"&amp;Q434)</f>
        <v>a1VDm000000PRbeMAG</v>
      </c>
      <c r="B434" s="601">
        <v>6</v>
      </c>
      <c r="C434" s="603" t="str">
        <f>IFERROR(VLOOKUP(B434,'Outcome Indicators - Section C '!$A$9:$AC$70,29,FALSE),"")</f>
        <v>HIV O-12 Percentage of people living with HIV and on ART who are virologically suppressed</v>
      </c>
      <c r="D434" s="605" t="str">
        <f>M434</f>
        <v/>
      </c>
      <c r="E434" s="605" t="str">
        <f>N434</f>
        <v/>
      </c>
      <c r="F434" s="131"/>
      <c r="G434" s="607" t="str">
        <f ca="1">IF(OR(INDIRECT("'update Helper'!E"&amp;Q434)="",F434&lt;&gt;0,F435&lt;&gt;0),IF(IFERROR((F434/F435),"")="","",(F434/F435)),INDIRECT("'update Helper'!E"&amp;Q434)/100)</f>
        <v/>
      </c>
      <c r="H434" s="597"/>
      <c r="I434" s="599"/>
      <c r="J434" s="531"/>
      <c r="K434" s="130">
        <f>IF(AND(EXACT(C434,C432),C432&lt;&gt;0),K432+1,0)</f>
        <v>9</v>
      </c>
      <c r="L434" s="130" t="str">
        <f>IF(C434&lt;&gt;"",C434&amp;"-"&amp;K434,"")</f>
        <v>HIV O-12 Percentage of people living with HIV and on ART who are virologically suppressed-9</v>
      </c>
      <c r="M434" s="130" t="str">
        <f t="array" ref="M434">IFERROR(IF(INDEX('Disaggregation Records'!$E$83:$E$149,MATCH(RIGHT(L434,255),RIGHT('Disaggregation Records'!$D$83:$D$149,255),0))="","",INDEX('Disaggregation Records'!$E$83:$E$149,MATCH(RIGHT(L434,255),RIGHT('Disaggregation Records'!$D$83:$D$149,255),0))),"")</f>
        <v/>
      </c>
      <c r="N434" s="130" t="str">
        <f t="array" ref="N434">IFERROR(IF(INDEX('Disaggregation Records'!$F$83:$F$149,MATCH(RIGHT(L434,255),RIGHT('Disaggregation Records'!$D$83:$D$149,255),0))="","",INDEX('Disaggregation Records'!$F$83:$F$149,MATCH(RIGHT(L434,255),RIGHT('Disaggregation Records'!$D$83:$D$149,255),0))),"")</f>
        <v/>
      </c>
      <c r="O434" s="130" t="str">
        <f t="array" ref="O434">IFERROR(IF(INDEX('Disaggregation Records'!$H$83:$H$149,MATCH(RIGHT(L434,255),RIGHT('Disaggregation Records'!$D$83:$D$149,255),0))="","",INDEX('Disaggregation Records'!$H$83:$H$149,MATCH(RIGHT(L434,255),RIGHT('Disaggregation Records'!$D$83:$D$149,255),0))),"")</f>
        <v/>
      </c>
      <c r="P434" s="130"/>
      <c r="Q434" s="52">
        <f t="shared" ref="Q434" si="603">Q432+1</f>
        <v>946</v>
      </c>
    </row>
    <row r="435" spans="1:17" ht="20.100000000000001" customHeight="1" x14ac:dyDescent="0.25">
      <c r="B435" s="602"/>
      <c r="C435" s="604"/>
      <c r="D435" s="606"/>
      <c r="E435" s="606"/>
      <c r="F435" s="132"/>
      <c r="G435" s="608"/>
      <c r="H435" s="598"/>
      <c r="I435" s="600"/>
      <c r="J435" s="532"/>
      <c r="K435" s="130"/>
      <c r="L435" s="130"/>
      <c r="M435" s="130"/>
      <c r="N435" s="130"/>
      <c r="O435" s="130"/>
      <c r="P435" s="130"/>
    </row>
    <row r="436" spans="1:17" ht="20.100000000000001" customHeight="1" x14ac:dyDescent="0.25">
      <c r="A436" s="130" t="str">
        <f t="shared" ref="A436" ca="1" si="604">INDIRECT("'update Helper'!C"&amp;Q436)</f>
        <v>a1VDm000000PRbfMAG</v>
      </c>
      <c r="B436" s="601">
        <v>7</v>
      </c>
      <c r="C436" s="603" t="str">
        <f>IFERROR(VLOOKUP(B436,'Outcome Indicators - Section C '!$A$9:$AC$70,29,FALSE),"")</f>
        <v>HIV O-15 Percentage of people living with HIV who report experiences of HIV-related discrimination in health-care settings</v>
      </c>
      <c r="D436" s="605" t="str">
        <f>M436</f>
        <v/>
      </c>
      <c r="E436" s="605" t="str">
        <f>N436</f>
        <v/>
      </c>
      <c r="F436" s="131"/>
      <c r="G436" s="607" t="str">
        <f ca="1">IF(OR(INDIRECT("'update Helper'!E"&amp;Q436)="",F436&lt;&gt;0,F437&lt;&gt;0),IF(IFERROR((F436/F437),"")="","",(F436/F437)),INDIRECT("'update Helper'!E"&amp;Q436)/100)</f>
        <v/>
      </c>
      <c r="H436" s="597"/>
      <c r="I436" s="599"/>
      <c r="J436" s="531"/>
      <c r="K436" s="130">
        <f>IF(AND(EXACT(C436,C434),C434&lt;&gt;0),K434+1,0)</f>
        <v>0</v>
      </c>
      <c r="L436" s="130" t="str">
        <f>IF(C436&lt;&gt;"",C436&amp;"-"&amp;K436,"")</f>
        <v>HIV O-15 Percentage of people living with HIV who report experiences of HIV-related discrimination in health-care settings-0</v>
      </c>
      <c r="M436" s="130" t="str">
        <f t="array" ref="M436">IFERROR(IF(INDEX('Disaggregation Records'!$E$83:$E$149,MATCH(RIGHT(L436,255),RIGHT('Disaggregation Records'!$D$83:$D$149,255),0))="","",INDEX('Disaggregation Records'!$E$83:$E$149,MATCH(RIGHT(L436,255),RIGHT('Disaggregation Records'!$D$83:$D$149,255),0))),"")</f>
        <v/>
      </c>
      <c r="N436" s="130" t="str">
        <f t="array" ref="N436">IFERROR(IF(INDEX('Disaggregation Records'!$F$83:$F$149,MATCH(RIGHT(L436,255),RIGHT('Disaggregation Records'!$D$83:$D$149,255),0))="","",INDEX('Disaggregation Records'!$F$83:$F$149,MATCH(RIGHT(L436,255),RIGHT('Disaggregation Records'!$D$83:$D$149,255),0))),"")</f>
        <v/>
      </c>
      <c r="O436" s="130" t="str">
        <f t="array" ref="O436">IFERROR(IF(INDEX('Disaggregation Records'!$H$83:$H$149,MATCH(RIGHT(L436,255),RIGHT('Disaggregation Records'!$D$83:$D$149,255),0))="","",INDEX('Disaggregation Records'!$H$83:$H$149,MATCH(RIGHT(L436,255),RIGHT('Disaggregation Records'!$D$83:$D$149,255),0))),"")</f>
        <v/>
      </c>
      <c r="P436" s="130"/>
      <c r="Q436" s="52">
        <f t="shared" ref="Q436" si="605">Q434+1</f>
        <v>947</v>
      </c>
    </row>
    <row r="437" spans="1:17" ht="20.100000000000001" customHeight="1" x14ac:dyDescent="0.25">
      <c r="A437" s="130"/>
      <c r="B437" s="602"/>
      <c r="C437" s="604"/>
      <c r="D437" s="606"/>
      <c r="E437" s="606"/>
      <c r="F437" s="132"/>
      <c r="G437" s="608"/>
      <c r="H437" s="598"/>
      <c r="I437" s="600"/>
      <c r="J437" s="532"/>
      <c r="K437" s="130"/>
      <c r="L437" s="130"/>
      <c r="M437" s="130"/>
      <c r="N437" s="130"/>
      <c r="O437" s="130"/>
      <c r="P437" s="130"/>
    </row>
    <row r="438" spans="1:17" ht="20.100000000000001" customHeight="1" x14ac:dyDescent="0.25">
      <c r="A438" s="130" t="str">
        <f t="shared" ref="A438" ca="1" si="606">INDIRECT("'update Helper'!C"&amp;Q438)</f>
        <v>a1VDm000000PRbgMAG</v>
      </c>
      <c r="B438" s="601">
        <v>7</v>
      </c>
      <c r="C438" s="603" t="str">
        <f>IFERROR(VLOOKUP(B438,'Outcome Indicators - Section C '!$A$9:$AC$70,29,FALSE),"")</f>
        <v>HIV O-15 Percentage of people living with HIV who report experiences of HIV-related discrimination in health-care settings</v>
      </c>
      <c r="D438" s="605" t="str">
        <f>M438</f>
        <v/>
      </c>
      <c r="E438" s="605" t="str">
        <f>N438</f>
        <v/>
      </c>
      <c r="F438" s="131"/>
      <c r="G438" s="607" t="str">
        <f ca="1">IF(OR(INDIRECT("'update Helper'!E"&amp;Q438)="",F438&lt;&gt;0,F439&lt;&gt;0),IF(IFERROR((F438/F439),"")="","",(F438/F439)),INDIRECT("'update Helper'!E"&amp;Q438)/100)</f>
        <v/>
      </c>
      <c r="H438" s="597"/>
      <c r="I438" s="599"/>
      <c r="J438" s="531"/>
      <c r="K438" s="130">
        <f>IF(AND(EXACT(C438,C436),C436&lt;&gt;0),K436+1,0)</f>
        <v>1</v>
      </c>
      <c r="L438" s="130" t="str">
        <f>IF(C438&lt;&gt;"",C438&amp;"-"&amp;K438,"")</f>
        <v>HIV O-15 Percentage of people living with HIV who report experiences of HIV-related discrimination in health-care settings-1</v>
      </c>
      <c r="M438" s="130" t="str">
        <f t="array" ref="M438">IFERROR(IF(INDEX('Disaggregation Records'!$E$83:$E$149,MATCH(RIGHT(L438,255),RIGHT('Disaggregation Records'!$D$83:$D$149,255),0))="","",INDEX('Disaggregation Records'!$E$83:$E$149,MATCH(RIGHT(L438,255),RIGHT('Disaggregation Records'!$D$83:$D$149,255),0))),"")</f>
        <v/>
      </c>
      <c r="N438" s="130" t="str">
        <f t="array" ref="N438">IFERROR(IF(INDEX('Disaggregation Records'!$F$83:$F$149,MATCH(RIGHT(L438,255),RIGHT('Disaggregation Records'!$D$83:$D$149,255),0))="","",INDEX('Disaggregation Records'!$F$83:$F$149,MATCH(RIGHT(L438,255),RIGHT('Disaggregation Records'!$D$83:$D$149,255),0))),"")</f>
        <v/>
      </c>
      <c r="O438" s="130" t="str">
        <f t="array" ref="O438">IFERROR(IF(INDEX('Disaggregation Records'!$H$83:$H$149,MATCH(RIGHT(L438,255),RIGHT('Disaggregation Records'!$D$83:$D$149,255),0))="","",INDEX('Disaggregation Records'!$H$83:$H$149,MATCH(RIGHT(L438,255),RIGHT('Disaggregation Records'!$D$83:$D$149,255),0))),"")</f>
        <v/>
      </c>
      <c r="P438" s="130"/>
      <c r="Q438" s="52">
        <f t="shared" ref="Q438" si="607">Q436+1</f>
        <v>948</v>
      </c>
    </row>
    <row r="439" spans="1:17" ht="20.100000000000001" customHeight="1" x14ac:dyDescent="0.25">
      <c r="B439" s="602"/>
      <c r="C439" s="604"/>
      <c r="D439" s="606"/>
      <c r="E439" s="606"/>
      <c r="F439" s="132"/>
      <c r="G439" s="608"/>
      <c r="H439" s="598"/>
      <c r="I439" s="600"/>
      <c r="J439" s="532"/>
      <c r="K439" s="130"/>
      <c r="L439" s="130"/>
      <c r="M439" s="130"/>
      <c r="N439" s="130"/>
      <c r="O439" s="130"/>
      <c r="P439" s="130"/>
    </row>
    <row r="440" spans="1:17" ht="20.100000000000001" customHeight="1" x14ac:dyDescent="0.25">
      <c r="A440" s="130" t="str">
        <f t="shared" ref="A440" ca="1" si="608">INDIRECT("'update Helper'!C"&amp;Q440)</f>
        <v>a1VDm000000PRbhMAG</v>
      </c>
      <c r="B440" s="601">
        <v>7</v>
      </c>
      <c r="C440" s="603" t="str">
        <f>IFERROR(VLOOKUP(B440,'Outcome Indicators - Section C '!$A$9:$AC$70,29,FALSE),"")</f>
        <v>HIV O-15 Percentage of people living with HIV who report experiences of HIV-related discrimination in health-care settings</v>
      </c>
      <c r="D440" s="605" t="str">
        <f>M440</f>
        <v/>
      </c>
      <c r="E440" s="605" t="str">
        <f>N440</f>
        <v/>
      </c>
      <c r="F440" s="131"/>
      <c r="G440" s="607" t="str">
        <f ca="1">IF(OR(INDIRECT("'update Helper'!E"&amp;Q440)="",F440&lt;&gt;0,F441&lt;&gt;0),IF(IFERROR((F440/F441),"")="","",(F440/F441)),INDIRECT("'update Helper'!E"&amp;Q440)/100)</f>
        <v/>
      </c>
      <c r="H440" s="597"/>
      <c r="I440" s="599"/>
      <c r="J440" s="531"/>
      <c r="K440" s="130">
        <f>IF(AND(EXACT(C440,C438),C438&lt;&gt;0),K438+1,0)</f>
        <v>2</v>
      </c>
      <c r="L440" s="130" t="str">
        <f>IF(C440&lt;&gt;"",C440&amp;"-"&amp;K440,"")</f>
        <v>HIV O-15 Percentage of people living with HIV who report experiences of HIV-related discrimination in health-care settings-2</v>
      </c>
      <c r="M440" s="130" t="str">
        <f t="array" ref="M440">IFERROR(IF(INDEX('Disaggregation Records'!$E$83:$E$149,MATCH(RIGHT(L440,255),RIGHT('Disaggregation Records'!$D$83:$D$149,255),0))="","",INDEX('Disaggregation Records'!$E$83:$E$149,MATCH(RIGHT(L440,255),RIGHT('Disaggregation Records'!$D$83:$D$149,255),0))),"")</f>
        <v/>
      </c>
      <c r="N440" s="130" t="str">
        <f t="array" ref="N440">IFERROR(IF(INDEX('Disaggregation Records'!$F$83:$F$149,MATCH(RIGHT(L440,255),RIGHT('Disaggregation Records'!$D$83:$D$149,255),0))="","",INDEX('Disaggregation Records'!$F$83:$F$149,MATCH(RIGHT(L440,255),RIGHT('Disaggregation Records'!$D$83:$D$149,255),0))),"")</f>
        <v/>
      </c>
      <c r="O440" s="130" t="str">
        <f t="array" ref="O440">IFERROR(IF(INDEX('Disaggregation Records'!$H$83:$H$149,MATCH(RIGHT(L440,255),RIGHT('Disaggregation Records'!$D$83:$D$149,255),0))="","",INDEX('Disaggregation Records'!$H$83:$H$149,MATCH(RIGHT(L440,255),RIGHT('Disaggregation Records'!$D$83:$D$149,255),0))),"")</f>
        <v/>
      </c>
      <c r="P440" s="130"/>
      <c r="Q440" s="52">
        <f t="shared" ref="Q440" si="609">Q438+1</f>
        <v>949</v>
      </c>
    </row>
    <row r="441" spans="1:17" ht="20.100000000000001" customHeight="1" x14ac:dyDescent="0.25">
      <c r="A441" s="130"/>
      <c r="B441" s="602"/>
      <c r="C441" s="604"/>
      <c r="D441" s="606"/>
      <c r="E441" s="606"/>
      <c r="F441" s="132"/>
      <c r="G441" s="608"/>
      <c r="H441" s="598"/>
      <c r="I441" s="600"/>
      <c r="J441" s="532"/>
      <c r="K441" s="130"/>
      <c r="L441" s="130"/>
      <c r="M441" s="130"/>
      <c r="N441" s="130"/>
      <c r="O441" s="130"/>
      <c r="P441" s="130"/>
    </row>
    <row r="442" spans="1:17" ht="20.100000000000001" customHeight="1" x14ac:dyDescent="0.25">
      <c r="A442" s="130" t="str">
        <f t="shared" ref="A442" ca="1" si="610">INDIRECT("'update Helper'!C"&amp;Q442)</f>
        <v>a1VDm000000PRbiMAG</v>
      </c>
      <c r="B442" s="601">
        <v>7</v>
      </c>
      <c r="C442" s="603" t="str">
        <f>IFERROR(VLOOKUP(B442,'Outcome Indicators - Section C '!$A$9:$AC$70,29,FALSE),"")</f>
        <v>HIV O-15 Percentage of people living with HIV who report experiences of HIV-related discrimination in health-care settings</v>
      </c>
      <c r="D442" s="605" t="str">
        <f>M442</f>
        <v/>
      </c>
      <c r="E442" s="605" t="str">
        <f>N442</f>
        <v/>
      </c>
      <c r="F442" s="131"/>
      <c r="G442" s="607" t="str">
        <f ca="1">IF(OR(INDIRECT("'update Helper'!E"&amp;Q442)="",F442&lt;&gt;0,F443&lt;&gt;0),IF(IFERROR((F442/F443),"")="","",(F442/F443)),INDIRECT("'update Helper'!E"&amp;Q442)/100)</f>
        <v/>
      </c>
      <c r="H442" s="597"/>
      <c r="I442" s="599"/>
      <c r="J442" s="531"/>
      <c r="K442" s="130">
        <f>IF(AND(EXACT(C442,C440),C440&lt;&gt;0),K440+1,0)</f>
        <v>3</v>
      </c>
      <c r="L442" s="130" t="str">
        <f>IF(C442&lt;&gt;"",C442&amp;"-"&amp;K442,"")</f>
        <v>HIV O-15 Percentage of people living with HIV who report experiences of HIV-related discrimination in health-care settings-3</v>
      </c>
      <c r="M442" s="130" t="str">
        <f t="array" ref="M442">IFERROR(IF(INDEX('Disaggregation Records'!$E$83:$E$149,MATCH(RIGHT(L442,255),RIGHT('Disaggregation Records'!$D$83:$D$149,255),0))="","",INDEX('Disaggregation Records'!$E$83:$E$149,MATCH(RIGHT(L442,255),RIGHT('Disaggregation Records'!$D$83:$D$149,255),0))),"")</f>
        <v/>
      </c>
      <c r="N442" s="130" t="str">
        <f t="array" ref="N442">IFERROR(IF(INDEX('Disaggregation Records'!$F$83:$F$149,MATCH(RIGHT(L442,255),RIGHT('Disaggregation Records'!$D$83:$D$149,255),0))="","",INDEX('Disaggregation Records'!$F$83:$F$149,MATCH(RIGHT(L442,255),RIGHT('Disaggregation Records'!$D$83:$D$149,255),0))),"")</f>
        <v/>
      </c>
      <c r="O442" s="130" t="str">
        <f t="array" ref="O442">IFERROR(IF(INDEX('Disaggregation Records'!$H$83:$H$149,MATCH(RIGHT(L442,255),RIGHT('Disaggregation Records'!$D$83:$D$149,255),0))="","",INDEX('Disaggregation Records'!$H$83:$H$149,MATCH(RIGHT(L442,255),RIGHT('Disaggregation Records'!$D$83:$D$149,255),0))),"")</f>
        <v/>
      </c>
      <c r="P442" s="130"/>
      <c r="Q442" s="52">
        <f t="shared" ref="Q442" si="611">Q440+1</f>
        <v>950</v>
      </c>
    </row>
    <row r="443" spans="1:17" ht="20.100000000000001" customHeight="1" x14ac:dyDescent="0.25">
      <c r="B443" s="602"/>
      <c r="C443" s="604"/>
      <c r="D443" s="606"/>
      <c r="E443" s="606"/>
      <c r="F443" s="132"/>
      <c r="G443" s="608"/>
      <c r="H443" s="598"/>
      <c r="I443" s="600"/>
      <c r="J443" s="532"/>
      <c r="K443" s="130"/>
      <c r="L443" s="130"/>
      <c r="M443" s="130"/>
      <c r="N443" s="130"/>
      <c r="O443" s="130"/>
      <c r="P443" s="130"/>
    </row>
    <row r="444" spans="1:17" ht="20.100000000000001" customHeight="1" x14ac:dyDescent="0.25">
      <c r="A444" s="130" t="str">
        <f t="shared" ref="A444" ca="1" si="612">INDIRECT("'update Helper'!C"&amp;Q444)</f>
        <v>a1VDm000000PRbjMAG</v>
      </c>
      <c r="B444" s="601">
        <v>7</v>
      </c>
      <c r="C444" s="603" t="str">
        <f>IFERROR(VLOOKUP(B444,'Outcome Indicators - Section C '!$A$9:$AC$70,29,FALSE),"")</f>
        <v>HIV O-15 Percentage of people living with HIV who report experiences of HIV-related discrimination in health-care settings</v>
      </c>
      <c r="D444" s="605" t="str">
        <f>M444</f>
        <v/>
      </c>
      <c r="E444" s="605" t="str">
        <f>N444</f>
        <v/>
      </c>
      <c r="F444" s="131"/>
      <c r="G444" s="607" t="str">
        <f ca="1">IF(OR(INDIRECT("'update Helper'!E"&amp;Q444)="",F444&lt;&gt;0,F445&lt;&gt;0),IF(IFERROR((F444/F445),"")="","",(F444/F445)),INDIRECT("'update Helper'!E"&amp;Q444)/100)</f>
        <v/>
      </c>
      <c r="H444" s="597"/>
      <c r="I444" s="599"/>
      <c r="J444" s="531"/>
      <c r="K444" s="130">
        <f>IF(AND(EXACT(C444,C442),C442&lt;&gt;0),K442+1,0)</f>
        <v>4</v>
      </c>
      <c r="L444" s="130" t="str">
        <f>IF(C444&lt;&gt;"",C444&amp;"-"&amp;K444,"")</f>
        <v>HIV O-15 Percentage of people living with HIV who report experiences of HIV-related discrimination in health-care settings-4</v>
      </c>
      <c r="M444" s="130" t="str">
        <f t="array" ref="M444">IFERROR(IF(INDEX('Disaggregation Records'!$E$83:$E$149,MATCH(RIGHT(L444,255),RIGHT('Disaggregation Records'!$D$83:$D$149,255),0))="","",INDEX('Disaggregation Records'!$E$83:$E$149,MATCH(RIGHT(L444,255),RIGHT('Disaggregation Records'!$D$83:$D$149,255),0))),"")</f>
        <v/>
      </c>
      <c r="N444" s="130" t="str">
        <f t="array" ref="N444">IFERROR(IF(INDEX('Disaggregation Records'!$F$83:$F$149,MATCH(RIGHT(L444,255),RIGHT('Disaggregation Records'!$D$83:$D$149,255),0))="","",INDEX('Disaggregation Records'!$F$83:$F$149,MATCH(RIGHT(L444,255),RIGHT('Disaggregation Records'!$D$83:$D$149,255),0))),"")</f>
        <v/>
      </c>
      <c r="O444" s="130" t="str">
        <f t="array" ref="O444">IFERROR(IF(INDEX('Disaggregation Records'!$H$83:$H$149,MATCH(RIGHT(L444,255),RIGHT('Disaggregation Records'!$D$83:$D$149,255),0))="","",INDEX('Disaggregation Records'!$H$83:$H$149,MATCH(RIGHT(L444,255),RIGHT('Disaggregation Records'!$D$83:$D$149,255),0))),"")</f>
        <v/>
      </c>
      <c r="P444" s="130"/>
      <c r="Q444" s="52">
        <f t="shared" ref="Q444" si="613">Q442+1</f>
        <v>951</v>
      </c>
    </row>
    <row r="445" spans="1:17" ht="20.100000000000001" customHeight="1" x14ac:dyDescent="0.25">
      <c r="A445" s="130"/>
      <c r="B445" s="602"/>
      <c r="C445" s="604"/>
      <c r="D445" s="606"/>
      <c r="E445" s="606"/>
      <c r="F445" s="132"/>
      <c r="G445" s="608"/>
      <c r="H445" s="598"/>
      <c r="I445" s="600"/>
      <c r="J445" s="532"/>
      <c r="K445" s="130"/>
      <c r="L445" s="130"/>
      <c r="M445" s="130"/>
      <c r="N445" s="130"/>
      <c r="O445" s="130"/>
      <c r="P445" s="130"/>
    </row>
    <row r="446" spans="1:17" ht="20.100000000000001" customHeight="1" x14ac:dyDescent="0.25">
      <c r="A446" s="130" t="str">
        <f t="shared" ref="A446" ca="1" si="614">INDIRECT("'update Helper'!C"&amp;Q446)</f>
        <v>a1VDm000000PRbkMAG</v>
      </c>
      <c r="B446" s="601">
        <v>7</v>
      </c>
      <c r="C446" s="603" t="str">
        <f>IFERROR(VLOOKUP(B446,'Outcome Indicators - Section C '!$A$9:$AC$70,29,FALSE),"")</f>
        <v>HIV O-15 Percentage of people living with HIV who report experiences of HIV-related discrimination in health-care settings</v>
      </c>
      <c r="D446" s="605" t="str">
        <f>M446</f>
        <v/>
      </c>
      <c r="E446" s="605" t="str">
        <f>N446</f>
        <v/>
      </c>
      <c r="F446" s="131"/>
      <c r="G446" s="607" t="str">
        <f ca="1">IF(OR(INDIRECT("'update Helper'!E"&amp;Q446)="",F446&lt;&gt;0,F447&lt;&gt;0),IF(IFERROR((F446/F447),"")="","",(F446/F447)),INDIRECT("'update Helper'!E"&amp;Q446)/100)</f>
        <v/>
      </c>
      <c r="H446" s="597"/>
      <c r="I446" s="599"/>
      <c r="J446" s="531"/>
      <c r="K446" s="130">
        <f>IF(AND(EXACT(C446,C444),C444&lt;&gt;0),K444+1,0)</f>
        <v>5</v>
      </c>
      <c r="L446" s="130" t="str">
        <f>IF(C446&lt;&gt;"",C446&amp;"-"&amp;K446,"")</f>
        <v>HIV O-15 Percentage of people living with HIV who report experiences of HIV-related discrimination in health-care settings-5</v>
      </c>
      <c r="M446" s="130" t="str">
        <f t="array" ref="M446">IFERROR(IF(INDEX('Disaggregation Records'!$E$83:$E$149,MATCH(RIGHT(L446,255),RIGHT('Disaggregation Records'!$D$83:$D$149,255),0))="","",INDEX('Disaggregation Records'!$E$83:$E$149,MATCH(RIGHT(L446,255),RIGHT('Disaggregation Records'!$D$83:$D$149,255),0))),"")</f>
        <v/>
      </c>
      <c r="N446" s="130" t="str">
        <f t="array" ref="N446">IFERROR(IF(INDEX('Disaggregation Records'!$F$83:$F$149,MATCH(RIGHT(L446,255),RIGHT('Disaggregation Records'!$D$83:$D$149,255),0))="","",INDEX('Disaggregation Records'!$F$83:$F$149,MATCH(RIGHT(L446,255),RIGHT('Disaggregation Records'!$D$83:$D$149,255),0))),"")</f>
        <v/>
      </c>
      <c r="O446" s="130" t="str">
        <f t="array" ref="O446">IFERROR(IF(INDEX('Disaggregation Records'!$H$83:$H$149,MATCH(RIGHT(L446,255),RIGHT('Disaggregation Records'!$D$83:$D$149,255),0))="","",INDEX('Disaggregation Records'!$H$83:$H$149,MATCH(RIGHT(L446,255),RIGHT('Disaggregation Records'!$D$83:$D$149,255),0))),"")</f>
        <v/>
      </c>
      <c r="P446" s="130"/>
      <c r="Q446" s="52">
        <f t="shared" ref="Q446" si="615">Q444+1</f>
        <v>952</v>
      </c>
    </row>
    <row r="447" spans="1:17" ht="20.100000000000001" customHeight="1" x14ac:dyDescent="0.25">
      <c r="B447" s="602"/>
      <c r="C447" s="604"/>
      <c r="D447" s="606"/>
      <c r="E447" s="606"/>
      <c r="F447" s="132"/>
      <c r="G447" s="608"/>
      <c r="H447" s="598"/>
      <c r="I447" s="600"/>
      <c r="J447" s="532"/>
      <c r="K447" s="130"/>
      <c r="L447" s="130"/>
      <c r="M447" s="130"/>
      <c r="N447" s="130"/>
      <c r="O447" s="130"/>
      <c r="P447" s="130"/>
    </row>
    <row r="448" spans="1:17" ht="20.100000000000001" customHeight="1" x14ac:dyDescent="0.25">
      <c r="A448" s="130" t="str">
        <f t="shared" ref="A448" ca="1" si="616">INDIRECT("'update Helper'!C"&amp;Q448)</f>
        <v>a1VDm000000PRblMAG</v>
      </c>
      <c r="B448" s="601">
        <v>7</v>
      </c>
      <c r="C448" s="603" t="str">
        <f>IFERROR(VLOOKUP(B448,'Outcome Indicators - Section C '!$A$9:$AC$70,29,FALSE),"")</f>
        <v>HIV O-15 Percentage of people living with HIV who report experiences of HIV-related discrimination in health-care settings</v>
      </c>
      <c r="D448" s="605" t="str">
        <f>M448</f>
        <v/>
      </c>
      <c r="E448" s="605" t="str">
        <f>N448</f>
        <v/>
      </c>
      <c r="F448" s="131"/>
      <c r="G448" s="607" t="str">
        <f ca="1">IF(OR(INDIRECT("'update Helper'!E"&amp;Q448)="",F448&lt;&gt;0,F449&lt;&gt;0),IF(IFERROR((F448/F449),"")="","",(F448/F449)),INDIRECT("'update Helper'!E"&amp;Q448)/100)</f>
        <v/>
      </c>
      <c r="H448" s="597"/>
      <c r="I448" s="599"/>
      <c r="J448" s="531"/>
      <c r="K448" s="130">
        <f>IF(AND(EXACT(C448,C446),C446&lt;&gt;0),K446+1,0)</f>
        <v>6</v>
      </c>
      <c r="L448" s="130" t="str">
        <f>IF(C448&lt;&gt;"",C448&amp;"-"&amp;K448,"")</f>
        <v>HIV O-15 Percentage of people living with HIV who report experiences of HIV-related discrimination in health-care settings-6</v>
      </c>
      <c r="M448" s="130" t="str">
        <f t="array" ref="M448">IFERROR(IF(INDEX('Disaggregation Records'!$E$83:$E$149,MATCH(RIGHT(L448,255),RIGHT('Disaggregation Records'!$D$83:$D$149,255),0))="","",INDEX('Disaggregation Records'!$E$83:$E$149,MATCH(RIGHT(L448,255),RIGHT('Disaggregation Records'!$D$83:$D$149,255),0))),"")</f>
        <v/>
      </c>
      <c r="N448" s="130" t="str">
        <f t="array" ref="N448">IFERROR(IF(INDEX('Disaggregation Records'!$F$83:$F$149,MATCH(RIGHT(L448,255),RIGHT('Disaggregation Records'!$D$83:$D$149,255),0))="","",INDEX('Disaggregation Records'!$F$83:$F$149,MATCH(RIGHT(L448,255),RIGHT('Disaggregation Records'!$D$83:$D$149,255),0))),"")</f>
        <v/>
      </c>
      <c r="O448" s="130" t="str">
        <f t="array" ref="O448">IFERROR(IF(INDEX('Disaggregation Records'!$H$83:$H$149,MATCH(RIGHT(L448,255),RIGHT('Disaggregation Records'!$D$83:$D$149,255),0))="","",INDEX('Disaggregation Records'!$H$83:$H$149,MATCH(RIGHT(L448,255),RIGHT('Disaggregation Records'!$D$83:$D$149,255),0))),"")</f>
        <v/>
      </c>
      <c r="P448" s="130"/>
      <c r="Q448" s="52">
        <f t="shared" ref="Q448" si="617">Q446+1</f>
        <v>953</v>
      </c>
    </row>
    <row r="449" spans="1:17" ht="20.100000000000001" customHeight="1" x14ac:dyDescent="0.25">
      <c r="A449" s="130"/>
      <c r="B449" s="602"/>
      <c r="C449" s="604"/>
      <c r="D449" s="606"/>
      <c r="E449" s="606"/>
      <c r="F449" s="132"/>
      <c r="G449" s="608"/>
      <c r="H449" s="598"/>
      <c r="I449" s="600"/>
      <c r="J449" s="532"/>
      <c r="K449" s="130"/>
      <c r="L449" s="130"/>
      <c r="M449" s="130"/>
      <c r="N449" s="130"/>
      <c r="O449" s="130"/>
      <c r="P449" s="130"/>
    </row>
    <row r="450" spans="1:17" ht="20.100000000000001" customHeight="1" x14ac:dyDescent="0.25">
      <c r="A450" s="130" t="str">
        <f t="shared" ref="A450" ca="1" si="618">INDIRECT("'update Helper'!C"&amp;Q450)</f>
        <v>a1VDm000000PRbmMAG</v>
      </c>
      <c r="B450" s="601">
        <v>7</v>
      </c>
      <c r="C450" s="603" t="str">
        <f>IFERROR(VLOOKUP(B450,'Outcome Indicators - Section C '!$A$9:$AC$70,29,FALSE),"")</f>
        <v>HIV O-15 Percentage of people living with HIV who report experiences of HIV-related discrimination in health-care settings</v>
      </c>
      <c r="D450" s="605" t="str">
        <f>M450</f>
        <v/>
      </c>
      <c r="E450" s="605" t="str">
        <f>N450</f>
        <v/>
      </c>
      <c r="F450" s="131"/>
      <c r="G450" s="607" t="str">
        <f ca="1">IF(OR(INDIRECT("'update Helper'!E"&amp;Q450)="",F450&lt;&gt;0,F451&lt;&gt;0),IF(IFERROR((F450/F451),"")="","",(F450/F451)),INDIRECT("'update Helper'!E"&amp;Q450)/100)</f>
        <v/>
      </c>
      <c r="H450" s="597"/>
      <c r="I450" s="599"/>
      <c r="J450" s="531"/>
      <c r="K450" s="130">
        <f>IF(AND(EXACT(C450,C448),C448&lt;&gt;0),K448+1,0)</f>
        <v>7</v>
      </c>
      <c r="L450" s="130" t="str">
        <f>IF(C450&lt;&gt;"",C450&amp;"-"&amp;K450,"")</f>
        <v>HIV O-15 Percentage of people living with HIV who report experiences of HIV-related discrimination in health-care settings-7</v>
      </c>
      <c r="M450" s="130" t="str">
        <f t="array" ref="M450">IFERROR(IF(INDEX('Disaggregation Records'!$E$83:$E$149,MATCH(RIGHT(L450,255),RIGHT('Disaggregation Records'!$D$83:$D$149,255),0))="","",INDEX('Disaggregation Records'!$E$83:$E$149,MATCH(RIGHT(L450,255),RIGHT('Disaggregation Records'!$D$83:$D$149,255),0))),"")</f>
        <v/>
      </c>
      <c r="N450" s="130" t="str">
        <f t="array" ref="N450">IFERROR(IF(INDEX('Disaggregation Records'!$F$83:$F$149,MATCH(RIGHT(L450,255),RIGHT('Disaggregation Records'!$D$83:$D$149,255),0))="","",INDEX('Disaggregation Records'!$F$83:$F$149,MATCH(RIGHT(L450,255),RIGHT('Disaggregation Records'!$D$83:$D$149,255),0))),"")</f>
        <v/>
      </c>
      <c r="O450" s="130" t="str">
        <f t="array" ref="O450">IFERROR(IF(INDEX('Disaggregation Records'!$H$83:$H$149,MATCH(RIGHT(L450,255),RIGHT('Disaggregation Records'!$D$83:$D$149,255),0))="","",INDEX('Disaggregation Records'!$H$83:$H$149,MATCH(RIGHT(L450,255),RIGHT('Disaggregation Records'!$D$83:$D$149,255),0))),"")</f>
        <v/>
      </c>
      <c r="P450" s="130"/>
      <c r="Q450" s="52">
        <f t="shared" ref="Q450" si="619">Q448+1</f>
        <v>954</v>
      </c>
    </row>
    <row r="451" spans="1:17" ht="20.100000000000001" customHeight="1" x14ac:dyDescent="0.25">
      <c r="B451" s="602"/>
      <c r="C451" s="604"/>
      <c r="D451" s="606"/>
      <c r="E451" s="606"/>
      <c r="F451" s="132"/>
      <c r="G451" s="608"/>
      <c r="H451" s="598"/>
      <c r="I451" s="600"/>
      <c r="J451" s="532"/>
      <c r="K451" s="130"/>
      <c r="L451" s="130"/>
      <c r="M451" s="130"/>
      <c r="N451" s="130"/>
      <c r="O451" s="130"/>
      <c r="P451" s="130"/>
    </row>
    <row r="452" spans="1:17" ht="20.100000000000001" customHeight="1" x14ac:dyDescent="0.25">
      <c r="A452" s="130" t="str">
        <f t="shared" ref="A452" ca="1" si="620">INDIRECT("'update Helper'!C"&amp;Q452)</f>
        <v>a1VDm000000PRbnMAG</v>
      </c>
      <c r="B452" s="601">
        <v>7</v>
      </c>
      <c r="C452" s="603" t="str">
        <f>IFERROR(VLOOKUP(B452,'Outcome Indicators - Section C '!$A$9:$AC$70,29,FALSE),"")</f>
        <v>HIV O-15 Percentage of people living with HIV who report experiences of HIV-related discrimination in health-care settings</v>
      </c>
      <c r="D452" s="605" t="str">
        <f>M452</f>
        <v/>
      </c>
      <c r="E452" s="605" t="str">
        <f>N452</f>
        <v/>
      </c>
      <c r="F452" s="131"/>
      <c r="G452" s="607" t="str">
        <f ca="1">IF(OR(INDIRECT("'update Helper'!E"&amp;Q452)="",F452&lt;&gt;0,F453&lt;&gt;0),IF(IFERROR((F452/F453),"")="","",(F452/F453)),INDIRECT("'update Helper'!E"&amp;Q452)/100)</f>
        <v/>
      </c>
      <c r="H452" s="597"/>
      <c r="I452" s="599"/>
      <c r="J452" s="531"/>
      <c r="K452" s="130">
        <f>IF(AND(EXACT(C452,C450),C450&lt;&gt;0),K450+1,0)</f>
        <v>8</v>
      </c>
      <c r="L452" s="130" t="str">
        <f>IF(C452&lt;&gt;"",C452&amp;"-"&amp;K452,"")</f>
        <v>HIV O-15 Percentage of people living with HIV who report experiences of HIV-related discrimination in health-care settings-8</v>
      </c>
      <c r="M452" s="130" t="str">
        <f t="array" ref="M452">IFERROR(IF(INDEX('Disaggregation Records'!$E$83:$E$149,MATCH(RIGHT(L452,255),RIGHT('Disaggregation Records'!$D$83:$D$149,255),0))="","",INDEX('Disaggregation Records'!$E$83:$E$149,MATCH(RIGHT(L452,255),RIGHT('Disaggregation Records'!$D$83:$D$149,255),0))),"")</f>
        <v/>
      </c>
      <c r="N452" s="130" t="str">
        <f t="array" ref="N452">IFERROR(IF(INDEX('Disaggregation Records'!$F$83:$F$149,MATCH(RIGHT(L452,255),RIGHT('Disaggregation Records'!$D$83:$D$149,255),0))="","",INDEX('Disaggregation Records'!$F$83:$F$149,MATCH(RIGHT(L452,255),RIGHT('Disaggregation Records'!$D$83:$D$149,255),0))),"")</f>
        <v/>
      </c>
      <c r="O452" s="130" t="str">
        <f t="array" ref="O452">IFERROR(IF(INDEX('Disaggregation Records'!$H$83:$H$149,MATCH(RIGHT(L452,255),RIGHT('Disaggregation Records'!$D$83:$D$149,255),0))="","",INDEX('Disaggregation Records'!$H$83:$H$149,MATCH(RIGHT(L452,255),RIGHT('Disaggregation Records'!$D$83:$D$149,255),0))),"")</f>
        <v/>
      </c>
      <c r="P452" s="130"/>
      <c r="Q452" s="52">
        <f t="shared" ref="Q452" si="621">Q450+1</f>
        <v>955</v>
      </c>
    </row>
    <row r="453" spans="1:17" ht="20.100000000000001" customHeight="1" x14ac:dyDescent="0.25">
      <c r="A453" s="130"/>
      <c r="B453" s="602"/>
      <c r="C453" s="604"/>
      <c r="D453" s="606"/>
      <c r="E453" s="606"/>
      <c r="F453" s="132"/>
      <c r="G453" s="608"/>
      <c r="H453" s="598"/>
      <c r="I453" s="600"/>
      <c r="J453" s="532"/>
      <c r="K453" s="130"/>
      <c r="L453" s="130"/>
      <c r="M453" s="130"/>
      <c r="N453" s="130"/>
      <c r="O453" s="130"/>
      <c r="P453" s="130"/>
    </row>
    <row r="454" spans="1:17" ht="20.100000000000001" customHeight="1" x14ac:dyDescent="0.25">
      <c r="A454" s="130" t="str">
        <f t="shared" ref="A454" ca="1" si="622">INDIRECT("'update Helper'!C"&amp;Q454)</f>
        <v>a1VDm000000PRboMAG</v>
      </c>
      <c r="B454" s="601">
        <v>7</v>
      </c>
      <c r="C454" s="603" t="str">
        <f>IFERROR(VLOOKUP(B454,'Outcome Indicators - Section C '!$A$9:$AC$70,29,FALSE),"")</f>
        <v>HIV O-15 Percentage of people living with HIV who report experiences of HIV-related discrimination in health-care settings</v>
      </c>
      <c r="D454" s="605" t="str">
        <f>M454</f>
        <v/>
      </c>
      <c r="E454" s="605" t="str">
        <f>N454</f>
        <v/>
      </c>
      <c r="F454" s="131"/>
      <c r="G454" s="607" t="str">
        <f ca="1">IF(OR(INDIRECT("'update Helper'!E"&amp;Q454)="",F454&lt;&gt;0,F455&lt;&gt;0),IF(IFERROR((F454/F455),"")="","",(F454/F455)),INDIRECT("'update Helper'!E"&amp;Q454)/100)</f>
        <v/>
      </c>
      <c r="H454" s="597"/>
      <c r="I454" s="599"/>
      <c r="J454" s="531"/>
      <c r="K454" s="130">
        <f>IF(AND(EXACT(C454,C452),C452&lt;&gt;0),K452+1,0)</f>
        <v>9</v>
      </c>
      <c r="L454" s="130" t="str">
        <f>IF(C454&lt;&gt;"",C454&amp;"-"&amp;K454,"")</f>
        <v>HIV O-15 Percentage of people living with HIV who report experiences of HIV-related discrimination in health-care settings-9</v>
      </c>
      <c r="M454" s="130" t="str">
        <f t="array" ref="M454">IFERROR(IF(INDEX('Disaggregation Records'!$E$83:$E$149,MATCH(RIGHT(L454,255),RIGHT('Disaggregation Records'!$D$83:$D$149,255),0))="","",INDEX('Disaggregation Records'!$E$83:$E$149,MATCH(RIGHT(L454,255),RIGHT('Disaggregation Records'!$D$83:$D$149,255),0))),"")</f>
        <v/>
      </c>
      <c r="N454" s="130" t="str">
        <f t="array" ref="N454">IFERROR(IF(INDEX('Disaggregation Records'!$F$83:$F$149,MATCH(RIGHT(L454,255),RIGHT('Disaggregation Records'!$D$83:$D$149,255),0))="","",INDEX('Disaggregation Records'!$F$83:$F$149,MATCH(RIGHT(L454,255),RIGHT('Disaggregation Records'!$D$83:$D$149,255),0))),"")</f>
        <v/>
      </c>
      <c r="O454" s="130" t="str">
        <f t="array" ref="O454">IFERROR(IF(INDEX('Disaggregation Records'!$H$83:$H$149,MATCH(RIGHT(L454,255),RIGHT('Disaggregation Records'!$D$83:$D$149,255),0))="","",INDEX('Disaggregation Records'!$H$83:$H$149,MATCH(RIGHT(L454,255),RIGHT('Disaggregation Records'!$D$83:$D$149,255),0))),"")</f>
        <v/>
      </c>
      <c r="P454" s="130"/>
      <c r="Q454" s="52">
        <f t="shared" ref="Q454" si="623">Q452+1</f>
        <v>956</v>
      </c>
    </row>
    <row r="455" spans="1:17" ht="20.100000000000001" customHeight="1" x14ac:dyDescent="0.25">
      <c r="B455" s="602"/>
      <c r="C455" s="604"/>
      <c r="D455" s="606"/>
      <c r="E455" s="606"/>
      <c r="F455" s="132"/>
      <c r="G455" s="608"/>
      <c r="H455" s="598"/>
      <c r="I455" s="600"/>
      <c r="J455" s="532"/>
      <c r="K455" s="130"/>
      <c r="L455" s="130"/>
      <c r="M455" s="130"/>
      <c r="N455" s="130"/>
      <c r="O455" s="130"/>
      <c r="P455" s="130"/>
    </row>
    <row r="456" spans="1:17" ht="42.75" customHeight="1" x14ac:dyDescent="0.25">
      <c r="A456" s="130" t="str">
        <f t="shared" ref="A456" ca="1" si="624">INDIRECT("'update Helper'!C"&amp;Q456)</f>
        <v>a1VDm000000PRbpMAG</v>
      </c>
      <c r="B456" s="601">
        <v>8</v>
      </c>
      <c r="C456" s="603" t="str">
        <f>IFERROR(VLOOKUP(B456,'Outcome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56" s="605" t="str">
        <f>M456</f>
        <v>Age</v>
      </c>
      <c r="E456" s="605" t="str">
        <f>N456</f>
        <v>15+</v>
      </c>
      <c r="F456" s="131"/>
      <c r="G456" s="607" t="str">
        <f ca="1">IF(OR(INDIRECT("'update Helper'!E"&amp;Q456)="",F456&lt;&gt;0,F457&lt;&gt;0),IF(IFERROR((F456/F457),"")="","",(F456/F457)),INDIRECT("'update Helper'!E"&amp;Q456)/100)</f>
        <v/>
      </c>
      <c r="H456" s="597"/>
      <c r="I456" s="599"/>
      <c r="J456" s="531" t="s">
        <v>2235</v>
      </c>
      <c r="K456" s="130">
        <f>IF(AND(EXACT(C456,C454),C454&lt;&gt;0),K454+1,0)</f>
        <v>0</v>
      </c>
      <c r="L456" s="130" t="str">
        <f>IF(C456&lt;&gt;"",C456&amp;"-"&amp;K456,"")</f>
        <v>TB O-5⁽ᴹ⁾ TB treatment coverage: Percentage of patients with new and relapse TB that were notified and treated among the estimated number of incident TB in the same year (all forms of TB - bacteriologically confirmed plus clinically diagnosed-0</v>
      </c>
      <c r="M456" s="130" t="str">
        <f t="array" ref="M456">IFERROR(IF(INDEX('Disaggregation Records'!$E$83:$E$149,MATCH(RIGHT(L456,255),RIGHT('Disaggregation Records'!$D$83:$D$149,255),0))="","",INDEX('Disaggregation Records'!$E$83:$E$149,MATCH(RIGHT(L456,255),RIGHT('Disaggregation Records'!$D$83:$D$149,255),0))),"")</f>
        <v>Age</v>
      </c>
      <c r="N456" s="130" t="str">
        <f t="array" ref="N456">IFERROR(IF(INDEX('Disaggregation Records'!$F$83:$F$149,MATCH(RIGHT(L456,255),RIGHT('Disaggregation Records'!$D$83:$D$149,255),0))="","",INDEX('Disaggregation Records'!$F$83:$F$149,MATCH(RIGHT(L456,255),RIGHT('Disaggregation Records'!$D$83:$D$149,255),0))),"")</f>
        <v>15+</v>
      </c>
      <c r="O456" s="130" t="str">
        <f t="array" ref="O456">IFERROR(IF(INDEX('Disaggregation Records'!$H$83:$H$149,MATCH(RIGHT(L456,255),RIGHT('Disaggregation Records'!$D$83:$D$149,255),0))="","",INDEX('Disaggregation Records'!$H$83:$H$149,MATCH(RIGHT(L456,255),RIGHT('Disaggregation Records'!$D$83:$D$149,255),0))),"")</f>
        <v>IDR-01140</v>
      </c>
      <c r="P456" s="130"/>
      <c r="Q456" s="52">
        <f t="shared" ref="Q456" si="625">Q454+1</f>
        <v>957</v>
      </c>
    </row>
    <row r="457" spans="1:17" ht="64.5" customHeight="1" x14ac:dyDescent="0.25">
      <c r="A457" s="130"/>
      <c r="B457" s="602"/>
      <c r="C457" s="604"/>
      <c r="D457" s="606"/>
      <c r="E457" s="606"/>
      <c r="F457" s="132"/>
      <c r="G457" s="608"/>
      <c r="H457" s="598"/>
      <c r="I457" s="600"/>
      <c r="J457" s="532"/>
      <c r="K457" s="130"/>
      <c r="L457" s="130"/>
      <c r="M457" s="130"/>
      <c r="N457" s="130"/>
      <c r="O457" s="130"/>
      <c r="P457" s="130"/>
    </row>
    <row r="458" spans="1:17" ht="37.5" customHeight="1" x14ac:dyDescent="0.25">
      <c r="A458" s="130" t="str">
        <f t="shared" ref="A458" ca="1" si="626">INDIRECT("'update Helper'!C"&amp;Q458)</f>
        <v>a1VDm000000PRbqMAG</v>
      </c>
      <c r="B458" s="601">
        <v>8</v>
      </c>
      <c r="C458" s="603" t="str">
        <f>IFERROR(VLOOKUP(B458,'Outcome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58" s="605" t="str">
        <f>M458</f>
        <v>Age</v>
      </c>
      <c r="E458" s="605" t="str">
        <f>N458</f>
        <v>&lt;15</v>
      </c>
      <c r="F458" s="131"/>
      <c r="G458" s="607" t="str">
        <f ca="1">IF(OR(INDIRECT("'update Helper'!E"&amp;Q458)="",F458&lt;&gt;0,F459&lt;&gt;0),IF(IFERROR((F458/F459),"")="","",(F458/F459)),INDIRECT("'update Helper'!E"&amp;Q458)/100)</f>
        <v/>
      </c>
      <c r="H458" s="597"/>
      <c r="I458" s="599"/>
      <c r="J458" s="531" t="s">
        <v>2236</v>
      </c>
      <c r="K458" s="130">
        <f>IF(AND(EXACT(C458,C456),C456&lt;&gt;0),K456+1,0)</f>
        <v>1</v>
      </c>
      <c r="L458" s="130" t="str">
        <f>IF(C458&lt;&gt;"",C458&amp;"-"&amp;K458,"")</f>
        <v>TB O-5⁽ᴹ⁾ TB treatment coverage: Percentage of patients with new and relapse TB that were notified and treated among the estimated number of incident TB in the same year (all forms of TB - bacteriologically confirmed plus clinically diagnosed-1</v>
      </c>
      <c r="M458" s="130" t="str">
        <f t="array" ref="M458">IFERROR(IF(INDEX('Disaggregation Records'!$E$83:$E$149,MATCH(RIGHT(L458,255),RIGHT('Disaggregation Records'!$D$83:$D$149,255),0))="","",INDEX('Disaggregation Records'!$E$83:$E$149,MATCH(RIGHT(L458,255),RIGHT('Disaggregation Records'!$D$83:$D$149,255),0))),"")</f>
        <v>Age</v>
      </c>
      <c r="N458" s="130" t="str">
        <f t="array" ref="N458">IFERROR(IF(INDEX('Disaggregation Records'!$F$83:$F$149,MATCH(RIGHT(L458,255),RIGHT('Disaggregation Records'!$D$83:$D$149,255),0))="","",INDEX('Disaggregation Records'!$F$83:$F$149,MATCH(RIGHT(L458,255),RIGHT('Disaggregation Records'!$D$83:$D$149,255),0))),"")</f>
        <v>&lt;15</v>
      </c>
      <c r="O458" s="130" t="str">
        <f t="array" ref="O458">IFERROR(IF(INDEX('Disaggregation Records'!$H$83:$H$149,MATCH(RIGHT(L458,255),RIGHT('Disaggregation Records'!$D$83:$D$149,255),0))="","",INDEX('Disaggregation Records'!$H$83:$H$149,MATCH(RIGHT(L458,255),RIGHT('Disaggregation Records'!$D$83:$D$149,255),0))),"")</f>
        <v>IDR-01139</v>
      </c>
      <c r="P458" s="130"/>
      <c r="Q458" s="52">
        <f t="shared" ref="Q458" si="627">Q456+1</f>
        <v>958</v>
      </c>
    </row>
    <row r="459" spans="1:17" ht="44.25" customHeight="1" x14ac:dyDescent="0.25">
      <c r="B459" s="602"/>
      <c r="C459" s="604"/>
      <c r="D459" s="606"/>
      <c r="E459" s="606"/>
      <c r="F459" s="132"/>
      <c r="G459" s="608"/>
      <c r="H459" s="598"/>
      <c r="I459" s="600"/>
      <c r="J459" s="532"/>
      <c r="K459" s="130"/>
      <c r="L459" s="130"/>
      <c r="M459" s="130"/>
      <c r="N459" s="130"/>
      <c r="O459" s="130"/>
      <c r="P459" s="130"/>
    </row>
    <row r="460" spans="1:17" ht="36.75" customHeight="1" x14ac:dyDescent="0.25">
      <c r="A460" s="130" t="str">
        <f t="shared" ref="A460" ca="1" si="628">INDIRECT("'update Helper'!C"&amp;Q460)</f>
        <v>a1VDm000000PRbrMAG</v>
      </c>
      <c r="B460" s="601">
        <v>8</v>
      </c>
      <c r="C460" s="603" t="str">
        <f>IFERROR(VLOOKUP(B460,'Outcome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60" s="605" t="str">
        <f>M460</f>
        <v>Gender</v>
      </c>
      <c r="E460" s="605" t="str">
        <f>N460</f>
        <v>Male</v>
      </c>
      <c r="F460" s="131"/>
      <c r="G460" s="607" t="str">
        <f ca="1">IF(OR(INDIRECT("'update Helper'!E"&amp;Q460)="",F460&lt;&gt;0,F461&lt;&gt;0),IF(IFERROR((F460/F461),"")="","",(F460/F461)),INDIRECT("'update Helper'!E"&amp;Q460)/100)</f>
        <v/>
      </c>
      <c r="H460" s="597"/>
      <c r="I460" s="599"/>
      <c r="J460" s="531" t="s">
        <v>2236</v>
      </c>
      <c r="K460" s="130">
        <f>IF(AND(EXACT(C460,C458),C458&lt;&gt;0),K458+1,0)</f>
        <v>2</v>
      </c>
      <c r="L460" s="130" t="str">
        <f>IF(C460&lt;&gt;"",C460&amp;"-"&amp;K460,"")</f>
        <v>TB O-5⁽ᴹ⁾ TB treatment coverage: Percentage of patients with new and relapse TB that were notified and treated among the estimated number of incident TB in the same year (all forms of TB - bacteriologically confirmed plus clinically diagnosed-2</v>
      </c>
      <c r="M460" s="130" t="str">
        <f t="array" ref="M460">IFERROR(IF(INDEX('Disaggregation Records'!$E$83:$E$149,MATCH(RIGHT(L460,255),RIGHT('Disaggregation Records'!$D$83:$D$149,255),0))="","",INDEX('Disaggregation Records'!$E$83:$E$149,MATCH(RIGHT(L460,255),RIGHT('Disaggregation Records'!$D$83:$D$149,255),0))),"")</f>
        <v>Gender</v>
      </c>
      <c r="N460" s="130" t="str">
        <f t="array" ref="N460">IFERROR(IF(INDEX('Disaggregation Records'!$F$83:$F$149,MATCH(RIGHT(L460,255),RIGHT('Disaggregation Records'!$D$83:$D$149,255),0))="","",INDEX('Disaggregation Records'!$F$83:$F$149,MATCH(RIGHT(L460,255),RIGHT('Disaggregation Records'!$D$83:$D$149,255),0))),"")</f>
        <v>Male</v>
      </c>
      <c r="O460" s="130" t="str">
        <f t="array" ref="O460">IFERROR(IF(INDEX('Disaggregation Records'!$H$83:$H$149,MATCH(RIGHT(L460,255),RIGHT('Disaggregation Records'!$D$83:$D$149,255),0))="","",INDEX('Disaggregation Records'!$H$83:$H$149,MATCH(RIGHT(L460,255),RIGHT('Disaggregation Records'!$D$83:$D$149,255),0))),"")</f>
        <v>IDR-01138</v>
      </c>
      <c r="P460" s="130"/>
      <c r="Q460" s="52">
        <f t="shared" ref="Q460" si="629">Q458+1</f>
        <v>959</v>
      </c>
    </row>
    <row r="461" spans="1:17" ht="40.5" customHeight="1" x14ac:dyDescent="0.25">
      <c r="A461" s="130"/>
      <c r="B461" s="602"/>
      <c r="C461" s="604"/>
      <c r="D461" s="606"/>
      <c r="E461" s="606"/>
      <c r="F461" s="132"/>
      <c r="G461" s="608"/>
      <c r="H461" s="598"/>
      <c r="I461" s="600"/>
      <c r="J461" s="532"/>
      <c r="K461" s="130"/>
      <c r="L461" s="130"/>
      <c r="M461" s="130"/>
      <c r="N461" s="130"/>
      <c r="O461" s="130"/>
      <c r="P461" s="130"/>
    </row>
    <row r="462" spans="1:17" ht="38.25" customHeight="1" x14ac:dyDescent="0.25">
      <c r="A462" s="130" t="str">
        <f t="shared" ref="A462" ca="1" si="630">INDIRECT("'update Helper'!C"&amp;Q462)</f>
        <v>a1VDm000000PRbsMAG</v>
      </c>
      <c r="B462" s="601">
        <v>8</v>
      </c>
      <c r="C462" s="603" t="str">
        <f>IFERROR(VLOOKUP(B462,'Outcome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62" s="605" t="str">
        <f>M462</f>
        <v>Gender</v>
      </c>
      <c r="E462" s="605" t="str">
        <f>N462</f>
        <v>Female</v>
      </c>
      <c r="F462" s="131"/>
      <c r="G462" s="607" t="str">
        <f ca="1">IF(OR(INDIRECT("'update Helper'!E"&amp;Q462)="",F462&lt;&gt;0,F463&lt;&gt;0),IF(IFERROR((F462/F463),"")="","",(F462/F463)),INDIRECT("'update Helper'!E"&amp;Q462)/100)</f>
        <v/>
      </c>
      <c r="H462" s="597"/>
      <c r="I462" s="599"/>
      <c r="J462" s="531" t="s">
        <v>2236</v>
      </c>
      <c r="K462" s="130">
        <f>IF(AND(EXACT(C462,C460),C460&lt;&gt;0),K460+1,0)</f>
        <v>3</v>
      </c>
      <c r="L462" s="130" t="str">
        <f>IF(C462&lt;&gt;"",C462&amp;"-"&amp;K462,"")</f>
        <v>TB O-5⁽ᴹ⁾ TB treatment coverage: Percentage of patients with new and relapse TB that were notified and treated among the estimated number of incident TB in the same year (all forms of TB - bacteriologically confirmed plus clinically diagnosed-3</v>
      </c>
      <c r="M462" s="130" t="str">
        <f t="array" ref="M462">IFERROR(IF(INDEX('Disaggregation Records'!$E$83:$E$149,MATCH(RIGHT(L462,255),RIGHT('Disaggregation Records'!$D$83:$D$149,255),0))="","",INDEX('Disaggregation Records'!$E$83:$E$149,MATCH(RIGHT(L462,255),RIGHT('Disaggregation Records'!$D$83:$D$149,255),0))),"")</f>
        <v>Gender</v>
      </c>
      <c r="N462" s="130" t="str">
        <f t="array" ref="N462">IFERROR(IF(INDEX('Disaggregation Records'!$F$83:$F$149,MATCH(RIGHT(L462,255),RIGHT('Disaggregation Records'!$D$83:$D$149,255),0))="","",INDEX('Disaggregation Records'!$F$83:$F$149,MATCH(RIGHT(L462,255),RIGHT('Disaggregation Records'!$D$83:$D$149,255),0))),"")</f>
        <v>Female</v>
      </c>
      <c r="O462" s="130" t="str">
        <f t="array" ref="O462">IFERROR(IF(INDEX('Disaggregation Records'!$H$83:$H$149,MATCH(RIGHT(L462,255),RIGHT('Disaggregation Records'!$D$83:$D$149,255),0))="","",INDEX('Disaggregation Records'!$H$83:$H$149,MATCH(RIGHT(L462,255),RIGHT('Disaggregation Records'!$D$83:$D$149,255),0))),"")</f>
        <v>IDR-01137</v>
      </c>
      <c r="P462" s="130"/>
      <c r="Q462" s="52">
        <f t="shared" ref="Q462" si="631">Q460+1</f>
        <v>960</v>
      </c>
    </row>
    <row r="463" spans="1:17" ht="40.5" customHeight="1" x14ac:dyDescent="0.25">
      <c r="B463" s="602"/>
      <c r="C463" s="604"/>
      <c r="D463" s="606"/>
      <c r="E463" s="606"/>
      <c r="F463" s="132"/>
      <c r="G463" s="608"/>
      <c r="H463" s="598"/>
      <c r="I463" s="600"/>
      <c r="J463" s="532"/>
      <c r="K463" s="130"/>
      <c r="L463" s="130"/>
      <c r="M463" s="130"/>
      <c r="N463" s="130"/>
      <c r="O463" s="130"/>
      <c r="P463" s="130"/>
    </row>
    <row r="464" spans="1:17" ht="20.100000000000001" customHeight="1" x14ac:dyDescent="0.25">
      <c r="A464" s="130" t="str">
        <f t="shared" ref="A464" ca="1" si="632">INDIRECT("'update Helper'!C"&amp;Q464)</f>
        <v>a1VDm000000PRbtMAG</v>
      </c>
      <c r="B464" s="601">
        <v>8</v>
      </c>
      <c r="C464" s="603" t="str">
        <f>IFERROR(VLOOKUP(B464,'Outcome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64" s="605" t="str">
        <f>M464</f>
        <v/>
      </c>
      <c r="E464" s="605" t="str">
        <f>N464</f>
        <v/>
      </c>
      <c r="F464" s="131"/>
      <c r="G464" s="607" t="str">
        <f ca="1">IF(OR(INDIRECT("'update Helper'!E"&amp;Q464)="",F464&lt;&gt;0,F465&lt;&gt;0),IF(IFERROR((F464/F465),"")="","",(F464/F465)),INDIRECT("'update Helper'!E"&amp;Q464)/100)</f>
        <v/>
      </c>
      <c r="H464" s="597"/>
      <c r="I464" s="599"/>
      <c r="J464" s="531"/>
      <c r="K464" s="130">
        <f>IF(AND(EXACT(C464,C462),C462&lt;&gt;0),K462+1,0)</f>
        <v>4</v>
      </c>
      <c r="L464" s="130" t="str">
        <f>IF(C464&lt;&gt;"",C464&amp;"-"&amp;K464,"")</f>
        <v>TB O-5⁽ᴹ⁾ TB treatment coverage: Percentage of patients with new and relapse TB that were notified and treated among the estimated number of incident TB in the same year (all forms of TB - bacteriologically confirmed plus clinically diagnosed-4</v>
      </c>
      <c r="M464" s="130" t="str">
        <f t="array" ref="M464">IFERROR(IF(INDEX('Disaggregation Records'!$E$83:$E$149,MATCH(RIGHT(L464,255),RIGHT('Disaggregation Records'!$D$83:$D$149,255),0))="","",INDEX('Disaggregation Records'!$E$83:$E$149,MATCH(RIGHT(L464,255),RIGHT('Disaggregation Records'!$D$83:$D$149,255),0))),"")</f>
        <v/>
      </c>
      <c r="N464" s="130" t="str">
        <f t="array" ref="N464">IFERROR(IF(INDEX('Disaggregation Records'!$F$83:$F$149,MATCH(RIGHT(L464,255),RIGHT('Disaggregation Records'!$D$83:$D$149,255),0))="","",INDEX('Disaggregation Records'!$F$83:$F$149,MATCH(RIGHT(L464,255),RIGHT('Disaggregation Records'!$D$83:$D$149,255),0))),"")</f>
        <v/>
      </c>
      <c r="O464" s="130" t="str">
        <f t="array" ref="O464">IFERROR(IF(INDEX('Disaggregation Records'!$H$83:$H$149,MATCH(RIGHT(L464,255),RIGHT('Disaggregation Records'!$D$83:$D$149,255),0))="","",INDEX('Disaggregation Records'!$H$83:$H$149,MATCH(RIGHT(L464,255),RIGHT('Disaggregation Records'!$D$83:$D$149,255),0))),"")</f>
        <v/>
      </c>
      <c r="P464" s="130"/>
      <c r="Q464" s="52">
        <f t="shared" ref="Q464" si="633">Q462+1</f>
        <v>961</v>
      </c>
    </row>
    <row r="465" spans="1:17" ht="20.100000000000001" customHeight="1" x14ac:dyDescent="0.25">
      <c r="A465" s="130"/>
      <c r="B465" s="602"/>
      <c r="C465" s="604"/>
      <c r="D465" s="606"/>
      <c r="E465" s="606"/>
      <c r="F465" s="132"/>
      <c r="G465" s="608"/>
      <c r="H465" s="598"/>
      <c r="I465" s="600"/>
      <c r="J465" s="532"/>
      <c r="K465" s="130"/>
      <c r="L465" s="130"/>
      <c r="M465" s="130"/>
      <c r="N465" s="130"/>
      <c r="O465" s="130"/>
      <c r="P465" s="130"/>
    </row>
    <row r="466" spans="1:17" ht="20.100000000000001" customHeight="1" x14ac:dyDescent="0.25">
      <c r="A466" s="130" t="str">
        <f t="shared" ref="A466" ca="1" si="634">INDIRECT("'update Helper'!C"&amp;Q466)</f>
        <v>a1VDm000000PRbuMAG</v>
      </c>
      <c r="B466" s="601">
        <v>8</v>
      </c>
      <c r="C466" s="603" t="str">
        <f>IFERROR(VLOOKUP(B466,'Outcome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66" s="605" t="str">
        <f>M466</f>
        <v/>
      </c>
      <c r="E466" s="605" t="str">
        <f>N466</f>
        <v/>
      </c>
      <c r="F466" s="131"/>
      <c r="G466" s="607" t="str">
        <f ca="1">IF(OR(INDIRECT("'update Helper'!E"&amp;Q466)="",F466&lt;&gt;0,F467&lt;&gt;0),IF(IFERROR((F466/F467),"")="","",(F466/F467)),INDIRECT("'update Helper'!E"&amp;Q466)/100)</f>
        <v/>
      </c>
      <c r="H466" s="597"/>
      <c r="I466" s="599"/>
      <c r="J466" s="531"/>
      <c r="K466" s="130">
        <f>IF(AND(EXACT(C466,C464),C464&lt;&gt;0),K464+1,0)</f>
        <v>5</v>
      </c>
      <c r="L466" s="130" t="str">
        <f>IF(C466&lt;&gt;"",C466&amp;"-"&amp;K466,"")</f>
        <v>TB O-5⁽ᴹ⁾ TB treatment coverage: Percentage of patients with new and relapse TB that were notified and treated among the estimated number of incident TB in the same year (all forms of TB - bacteriologically confirmed plus clinically diagnosed-5</v>
      </c>
      <c r="M466" s="130" t="str">
        <f t="array" ref="M466">IFERROR(IF(INDEX('Disaggregation Records'!$E$83:$E$149,MATCH(RIGHT(L466,255),RIGHT('Disaggregation Records'!$D$83:$D$149,255),0))="","",INDEX('Disaggregation Records'!$E$83:$E$149,MATCH(RIGHT(L466,255),RIGHT('Disaggregation Records'!$D$83:$D$149,255),0))),"")</f>
        <v/>
      </c>
      <c r="N466" s="130" t="str">
        <f t="array" ref="N466">IFERROR(IF(INDEX('Disaggregation Records'!$F$83:$F$149,MATCH(RIGHT(L466,255),RIGHT('Disaggregation Records'!$D$83:$D$149,255),0))="","",INDEX('Disaggregation Records'!$F$83:$F$149,MATCH(RIGHT(L466,255),RIGHT('Disaggregation Records'!$D$83:$D$149,255),0))),"")</f>
        <v/>
      </c>
      <c r="O466" s="130" t="str">
        <f t="array" ref="O466">IFERROR(IF(INDEX('Disaggregation Records'!$H$83:$H$149,MATCH(RIGHT(L466,255),RIGHT('Disaggregation Records'!$D$83:$D$149,255),0))="","",INDEX('Disaggregation Records'!$H$83:$H$149,MATCH(RIGHT(L466,255),RIGHT('Disaggregation Records'!$D$83:$D$149,255),0))),"")</f>
        <v/>
      </c>
      <c r="P466" s="130"/>
      <c r="Q466" s="52">
        <f t="shared" ref="Q466" si="635">Q464+1</f>
        <v>962</v>
      </c>
    </row>
    <row r="467" spans="1:17" ht="20.100000000000001" customHeight="1" x14ac:dyDescent="0.25">
      <c r="B467" s="602"/>
      <c r="C467" s="604"/>
      <c r="D467" s="606"/>
      <c r="E467" s="606"/>
      <c r="F467" s="132"/>
      <c r="G467" s="608"/>
      <c r="H467" s="598"/>
      <c r="I467" s="600"/>
      <c r="J467" s="532"/>
      <c r="K467" s="130"/>
      <c r="L467" s="130"/>
      <c r="M467" s="130"/>
      <c r="N467" s="130"/>
      <c r="O467" s="130"/>
      <c r="P467" s="130"/>
    </row>
    <row r="468" spans="1:17" ht="20.100000000000001" customHeight="1" x14ac:dyDescent="0.25">
      <c r="A468" s="130" t="str">
        <f t="shared" ref="A468" ca="1" si="636">INDIRECT("'update Helper'!C"&amp;Q468)</f>
        <v>a1VDm000000PRbvMAG</v>
      </c>
      <c r="B468" s="601">
        <v>8</v>
      </c>
      <c r="C468" s="603" t="str">
        <f>IFERROR(VLOOKUP(B468,'Outcome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68" s="605" t="str">
        <f>M468</f>
        <v/>
      </c>
      <c r="E468" s="605" t="str">
        <f>N468</f>
        <v/>
      </c>
      <c r="F468" s="131"/>
      <c r="G468" s="607" t="str">
        <f ca="1">IF(OR(INDIRECT("'update Helper'!E"&amp;Q468)="",F468&lt;&gt;0,F469&lt;&gt;0),IF(IFERROR((F468/F469),"")="","",(F468/F469)),INDIRECT("'update Helper'!E"&amp;Q468)/100)</f>
        <v/>
      </c>
      <c r="H468" s="597"/>
      <c r="I468" s="599"/>
      <c r="J468" s="531"/>
      <c r="K468" s="130">
        <f>IF(AND(EXACT(C468,C466),C466&lt;&gt;0),K466+1,0)</f>
        <v>6</v>
      </c>
      <c r="L468" s="130" t="str">
        <f>IF(C468&lt;&gt;"",C468&amp;"-"&amp;K468,"")</f>
        <v>TB O-5⁽ᴹ⁾ TB treatment coverage: Percentage of patients with new and relapse TB that were notified and treated among the estimated number of incident TB in the same year (all forms of TB - bacteriologically confirmed plus clinically diagnosed-6</v>
      </c>
      <c r="M468" s="130" t="str">
        <f t="array" ref="M468">IFERROR(IF(INDEX('Disaggregation Records'!$E$83:$E$149,MATCH(RIGHT(L468,255),RIGHT('Disaggregation Records'!$D$83:$D$149,255),0))="","",INDEX('Disaggregation Records'!$E$83:$E$149,MATCH(RIGHT(L468,255),RIGHT('Disaggregation Records'!$D$83:$D$149,255),0))),"")</f>
        <v/>
      </c>
      <c r="N468" s="130" t="str">
        <f t="array" ref="N468">IFERROR(IF(INDEX('Disaggregation Records'!$F$83:$F$149,MATCH(RIGHT(L468,255),RIGHT('Disaggregation Records'!$D$83:$D$149,255),0))="","",INDEX('Disaggregation Records'!$F$83:$F$149,MATCH(RIGHT(L468,255),RIGHT('Disaggregation Records'!$D$83:$D$149,255),0))),"")</f>
        <v/>
      </c>
      <c r="O468" s="130" t="str">
        <f t="array" ref="O468">IFERROR(IF(INDEX('Disaggregation Records'!$H$83:$H$149,MATCH(RIGHT(L468,255),RIGHT('Disaggregation Records'!$D$83:$D$149,255),0))="","",INDEX('Disaggregation Records'!$H$83:$H$149,MATCH(RIGHT(L468,255),RIGHT('Disaggregation Records'!$D$83:$D$149,255),0))),"")</f>
        <v/>
      </c>
      <c r="P468" s="130"/>
      <c r="Q468" s="52">
        <f t="shared" ref="Q468" si="637">Q466+1</f>
        <v>963</v>
      </c>
    </row>
    <row r="469" spans="1:17" ht="20.100000000000001" customHeight="1" x14ac:dyDescent="0.25">
      <c r="A469" s="130"/>
      <c r="B469" s="602"/>
      <c r="C469" s="604"/>
      <c r="D469" s="606"/>
      <c r="E469" s="606"/>
      <c r="F469" s="132"/>
      <c r="G469" s="608"/>
      <c r="H469" s="598"/>
      <c r="I469" s="600"/>
      <c r="J469" s="532"/>
      <c r="K469" s="130"/>
      <c r="L469" s="130"/>
      <c r="M469" s="130"/>
      <c r="N469" s="130"/>
      <c r="O469" s="130"/>
      <c r="P469" s="130"/>
    </row>
    <row r="470" spans="1:17" ht="20.100000000000001" customHeight="1" x14ac:dyDescent="0.25">
      <c r="A470" s="130" t="str">
        <f t="shared" ref="A470" ca="1" si="638">INDIRECT("'update Helper'!C"&amp;Q470)</f>
        <v>a1VDm000000PRbwMAG</v>
      </c>
      <c r="B470" s="601">
        <v>8</v>
      </c>
      <c r="C470" s="603" t="str">
        <f>IFERROR(VLOOKUP(B470,'Outcome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70" s="605" t="str">
        <f>M470</f>
        <v/>
      </c>
      <c r="E470" s="605" t="str">
        <f>N470</f>
        <v/>
      </c>
      <c r="F470" s="131"/>
      <c r="G470" s="607" t="str">
        <f ca="1">IF(OR(INDIRECT("'update Helper'!E"&amp;Q470)="",F470&lt;&gt;0,F471&lt;&gt;0),IF(IFERROR((F470/F471),"")="","",(F470/F471)),INDIRECT("'update Helper'!E"&amp;Q470)/100)</f>
        <v/>
      </c>
      <c r="H470" s="597"/>
      <c r="I470" s="599"/>
      <c r="J470" s="531"/>
      <c r="K470" s="130">
        <f>IF(AND(EXACT(C470,C468),C468&lt;&gt;0),K468+1,0)</f>
        <v>7</v>
      </c>
      <c r="L470" s="130" t="str">
        <f>IF(C470&lt;&gt;"",C470&amp;"-"&amp;K470,"")</f>
        <v>TB O-5⁽ᴹ⁾ TB treatment coverage: Percentage of patients with new and relapse TB that were notified and treated among the estimated number of incident TB in the same year (all forms of TB - bacteriologically confirmed plus clinically diagnosed-7</v>
      </c>
      <c r="M470" s="130" t="str">
        <f t="array" ref="M470">IFERROR(IF(INDEX('Disaggregation Records'!$E$83:$E$149,MATCH(RIGHT(L470,255),RIGHT('Disaggregation Records'!$D$83:$D$149,255),0))="","",INDEX('Disaggregation Records'!$E$83:$E$149,MATCH(RIGHT(L470,255),RIGHT('Disaggregation Records'!$D$83:$D$149,255),0))),"")</f>
        <v/>
      </c>
      <c r="N470" s="130" t="str">
        <f t="array" ref="N470">IFERROR(IF(INDEX('Disaggregation Records'!$F$83:$F$149,MATCH(RIGHT(L470,255),RIGHT('Disaggregation Records'!$D$83:$D$149,255),0))="","",INDEX('Disaggregation Records'!$F$83:$F$149,MATCH(RIGHT(L470,255),RIGHT('Disaggregation Records'!$D$83:$D$149,255),0))),"")</f>
        <v/>
      </c>
      <c r="O470" s="130" t="str">
        <f t="array" ref="O470">IFERROR(IF(INDEX('Disaggregation Records'!$H$83:$H$149,MATCH(RIGHT(L470,255),RIGHT('Disaggregation Records'!$D$83:$D$149,255),0))="","",INDEX('Disaggregation Records'!$H$83:$H$149,MATCH(RIGHT(L470,255),RIGHT('Disaggregation Records'!$D$83:$D$149,255),0))),"")</f>
        <v/>
      </c>
      <c r="P470" s="130"/>
      <c r="Q470" s="52">
        <f t="shared" ref="Q470" si="639">Q468+1</f>
        <v>964</v>
      </c>
    </row>
    <row r="471" spans="1:17" ht="20.100000000000001" customHeight="1" x14ac:dyDescent="0.25">
      <c r="B471" s="602"/>
      <c r="C471" s="604"/>
      <c r="D471" s="606"/>
      <c r="E471" s="606"/>
      <c r="F471" s="132"/>
      <c r="G471" s="608"/>
      <c r="H471" s="598"/>
      <c r="I471" s="600"/>
      <c r="J471" s="532"/>
      <c r="K471" s="130"/>
      <c r="L471" s="130"/>
      <c r="M471" s="130"/>
      <c r="N471" s="130"/>
      <c r="O471" s="130"/>
      <c r="P471" s="130"/>
    </row>
    <row r="472" spans="1:17" ht="20.100000000000001" customHeight="1" x14ac:dyDescent="0.25">
      <c r="A472" s="130" t="str">
        <f t="shared" ref="A472" ca="1" si="640">INDIRECT("'update Helper'!C"&amp;Q472)</f>
        <v>a1VDm000000PRbxMAG</v>
      </c>
      <c r="B472" s="601">
        <v>8</v>
      </c>
      <c r="C472" s="603" t="str">
        <f>IFERROR(VLOOKUP(B472,'Outcome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72" s="605" t="str">
        <f>M472</f>
        <v/>
      </c>
      <c r="E472" s="605" t="str">
        <f>N472</f>
        <v/>
      </c>
      <c r="F472" s="131"/>
      <c r="G472" s="607" t="str">
        <f ca="1">IF(OR(INDIRECT("'update Helper'!E"&amp;Q472)="",F472&lt;&gt;0,F473&lt;&gt;0),IF(IFERROR((F472/F473),"")="","",(F472/F473)),INDIRECT("'update Helper'!E"&amp;Q472)/100)</f>
        <v/>
      </c>
      <c r="H472" s="597"/>
      <c r="I472" s="599"/>
      <c r="J472" s="531"/>
      <c r="K472" s="130">
        <f>IF(AND(EXACT(C472,C470),C470&lt;&gt;0),K470+1,0)</f>
        <v>8</v>
      </c>
      <c r="L472" s="130" t="str">
        <f>IF(C472&lt;&gt;"",C472&amp;"-"&amp;K472,"")</f>
        <v>TB O-5⁽ᴹ⁾ TB treatment coverage: Percentage of patients with new and relapse TB that were notified and treated among the estimated number of incident TB in the same year (all forms of TB - bacteriologically confirmed plus clinically diagnosed-8</v>
      </c>
      <c r="M472" s="130" t="str">
        <f t="array" ref="M472">IFERROR(IF(INDEX('Disaggregation Records'!$E$83:$E$149,MATCH(RIGHT(L472,255),RIGHT('Disaggregation Records'!$D$83:$D$149,255),0))="","",INDEX('Disaggregation Records'!$E$83:$E$149,MATCH(RIGHT(L472,255),RIGHT('Disaggregation Records'!$D$83:$D$149,255),0))),"")</f>
        <v/>
      </c>
      <c r="N472" s="130" t="str">
        <f t="array" ref="N472">IFERROR(IF(INDEX('Disaggregation Records'!$F$83:$F$149,MATCH(RIGHT(L472,255),RIGHT('Disaggregation Records'!$D$83:$D$149,255),0))="","",INDEX('Disaggregation Records'!$F$83:$F$149,MATCH(RIGHT(L472,255),RIGHT('Disaggregation Records'!$D$83:$D$149,255),0))),"")</f>
        <v/>
      </c>
      <c r="O472" s="130" t="str">
        <f t="array" ref="O472">IFERROR(IF(INDEX('Disaggregation Records'!$H$83:$H$149,MATCH(RIGHT(L472,255),RIGHT('Disaggregation Records'!$D$83:$D$149,255),0))="","",INDEX('Disaggregation Records'!$H$83:$H$149,MATCH(RIGHT(L472,255),RIGHT('Disaggregation Records'!$D$83:$D$149,255),0))),"")</f>
        <v/>
      </c>
      <c r="P472" s="130"/>
      <c r="Q472" s="52">
        <f t="shared" ref="Q472" si="641">Q470+1</f>
        <v>965</v>
      </c>
    </row>
    <row r="473" spans="1:17" ht="20.100000000000001" customHeight="1" x14ac:dyDescent="0.25">
      <c r="A473" s="130"/>
      <c r="B473" s="602"/>
      <c r="C473" s="604"/>
      <c r="D473" s="606"/>
      <c r="E473" s="606"/>
      <c r="F473" s="132"/>
      <c r="G473" s="608"/>
      <c r="H473" s="598"/>
      <c r="I473" s="600"/>
      <c r="J473" s="532"/>
      <c r="K473" s="130"/>
      <c r="L473" s="130"/>
      <c r="M473" s="130"/>
      <c r="N473" s="130"/>
      <c r="O473" s="130"/>
      <c r="P473" s="130"/>
    </row>
    <row r="474" spans="1:17" ht="20.100000000000001" customHeight="1" x14ac:dyDescent="0.25">
      <c r="A474" s="130" t="str">
        <f t="shared" ref="A474" ca="1" si="642">INDIRECT("'update Helper'!C"&amp;Q474)</f>
        <v>a1VDm000000PRbyMAG</v>
      </c>
      <c r="B474" s="601">
        <v>8</v>
      </c>
      <c r="C474" s="603" t="str">
        <f>IFERROR(VLOOKUP(B474,'Outcome Indicators - Section C '!$A$9:$AC$70,29,FALSE),"")</f>
        <v>TB O-5⁽ᴹ⁾ TB treatment coverage: Percentage of patients with new and relapse TB that were notified and treated among the estimated number of incident TB in the same year (all forms of TB - bacteriologically confirmed plus clinically diagnosed</v>
      </c>
      <c r="D474" s="605" t="str">
        <f>M474</f>
        <v/>
      </c>
      <c r="E474" s="605" t="str">
        <f>N474</f>
        <v/>
      </c>
      <c r="F474" s="131"/>
      <c r="G474" s="607" t="str">
        <f ca="1">IF(OR(INDIRECT("'update Helper'!E"&amp;Q474)="",F474&lt;&gt;0,F475&lt;&gt;0),IF(IFERROR((F474/F475),"")="","",(F474/F475)),INDIRECT("'update Helper'!E"&amp;Q474)/100)</f>
        <v/>
      </c>
      <c r="H474" s="597"/>
      <c r="I474" s="599"/>
      <c r="J474" s="531"/>
      <c r="K474" s="130">
        <f>IF(AND(EXACT(C474,C472),C472&lt;&gt;0),K472+1,0)</f>
        <v>9</v>
      </c>
      <c r="L474" s="130" t="str">
        <f>IF(C474&lt;&gt;"",C474&amp;"-"&amp;K474,"")</f>
        <v>TB O-5⁽ᴹ⁾ TB treatment coverage: Percentage of patients with new and relapse TB that were notified and treated among the estimated number of incident TB in the same year (all forms of TB - bacteriologically confirmed plus clinically diagnosed-9</v>
      </c>
      <c r="M474" s="130" t="str">
        <f t="array" ref="M474">IFERROR(IF(INDEX('Disaggregation Records'!$E$83:$E$149,MATCH(RIGHT(L474,255),RIGHT('Disaggregation Records'!$D$83:$D$149,255),0))="","",INDEX('Disaggregation Records'!$E$83:$E$149,MATCH(RIGHT(L474,255),RIGHT('Disaggregation Records'!$D$83:$D$149,255),0))),"")</f>
        <v/>
      </c>
      <c r="N474" s="130" t="str">
        <f t="array" ref="N474">IFERROR(IF(INDEX('Disaggregation Records'!$F$83:$F$149,MATCH(RIGHT(L474,255),RIGHT('Disaggregation Records'!$D$83:$D$149,255),0))="","",INDEX('Disaggregation Records'!$F$83:$F$149,MATCH(RIGHT(L474,255),RIGHT('Disaggregation Records'!$D$83:$D$149,255),0))),"")</f>
        <v/>
      </c>
      <c r="O474" s="130" t="str">
        <f t="array" ref="O474">IFERROR(IF(INDEX('Disaggregation Records'!$H$83:$H$149,MATCH(RIGHT(L474,255),RIGHT('Disaggregation Records'!$D$83:$D$149,255),0))="","",INDEX('Disaggregation Records'!$H$83:$H$149,MATCH(RIGHT(L474,255),RIGHT('Disaggregation Records'!$D$83:$D$149,255),0))),"")</f>
        <v/>
      </c>
      <c r="P474" s="130"/>
      <c r="Q474" s="52">
        <f t="shared" ref="Q474" si="643">Q472+1</f>
        <v>966</v>
      </c>
    </row>
    <row r="475" spans="1:17" ht="20.100000000000001" customHeight="1" x14ac:dyDescent="0.25">
      <c r="B475" s="602"/>
      <c r="C475" s="604"/>
      <c r="D475" s="606"/>
      <c r="E475" s="606"/>
      <c r="F475" s="132"/>
      <c r="G475" s="608"/>
      <c r="H475" s="598"/>
      <c r="I475" s="600"/>
      <c r="J475" s="532"/>
      <c r="K475" s="130"/>
      <c r="L475" s="130"/>
      <c r="M475" s="130"/>
      <c r="N475" s="130"/>
      <c r="O475" s="130"/>
      <c r="P475" s="130"/>
    </row>
    <row r="476" spans="1:17" ht="20.100000000000001" customHeight="1" x14ac:dyDescent="0.25">
      <c r="A476" s="130" t="str">
        <f t="shared" ref="A476" ca="1" si="644">INDIRECT("'update Helper'!C"&amp;Q476)</f>
        <v>a1VDm000000PRbzMAG</v>
      </c>
      <c r="B476" s="601">
        <v>9</v>
      </c>
      <c r="C476" s="603" t="str">
        <f>IFERROR(VLOOKUP(B476,'Outcome Indicators - Section C '!$A$9:$AC$70,29,FALSE),"")</f>
        <v>TB O-4⁽ᴹ⁾ Treatment success rate of RR-TB and/or MDR-TB: Percentage of patients with RR and/or MDR-TB successfully treated</v>
      </c>
      <c r="D476" s="605" t="str">
        <f>M476</f>
        <v/>
      </c>
      <c r="E476" s="605" t="str">
        <f>N476</f>
        <v/>
      </c>
      <c r="F476" s="131"/>
      <c r="G476" s="607" t="str">
        <f ca="1">IF(OR(INDIRECT("'update Helper'!E"&amp;Q476)="",F476&lt;&gt;0,F477&lt;&gt;0),IF(IFERROR((F476/F477),"")="","",(F476/F477)),INDIRECT("'update Helper'!E"&amp;Q476)/100)</f>
        <v/>
      </c>
      <c r="H476" s="597"/>
      <c r="I476" s="599"/>
      <c r="J476" s="531"/>
      <c r="K476" s="130">
        <f>IF(AND(EXACT(C476,C474),C474&lt;&gt;0),K474+1,0)</f>
        <v>0</v>
      </c>
      <c r="L476" s="130" t="str">
        <f>IF(C476&lt;&gt;"",C476&amp;"-"&amp;K476,"")</f>
        <v>TB O-4⁽ᴹ⁾ Treatment success rate of RR-TB and/or MDR-TB: Percentage of patients with RR and/or MDR-TB successfully treated-0</v>
      </c>
      <c r="M476" s="130" t="str">
        <f t="array" ref="M476">IFERROR(IF(INDEX('Disaggregation Records'!$E$83:$E$149,MATCH(RIGHT(L476,255),RIGHT('Disaggregation Records'!$D$83:$D$149,255),0))="","",INDEX('Disaggregation Records'!$E$83:$E$149,MATCH(RIGHT(L476,255),RIGHT('Disaggregation Records'!$D$83:$D$149,255),0))),"")</f>
        <v/>
      </c>
      <c r="N476" s="130" t="str">
        <f t="array" ref="N476">IFERROR(IF(INDEX('Disaggregation Records'!$F$83:$F$149,MATCH(RIGHT(L476,255),RIGHT('Disaggregation Records'!$D$83:$D$149,255),0))="","",INDEX('Disaggregation Records'!$F$83:$F$149,MATCH(RIGHT(L476,255),RIGHT('Disaggregation Records'!$D$83:$D$149,255),0))),"")</f>
        <v/>
      </c>
      <c r="O476" s="130" t="str">
        <f t="array" ref="O476">IFERROR(IF(INDEX('Disaggregation Records'!$H$83:$H$149,MATCH(RIGHT(L476,255),RIGHT('Disaggregation Records'!$D$83:$D$149,255),0))="","",INDEX('Disaggregation Records'!$H$83:$H$149,MATCH(RIGHT(L476,255),RIGHT('Disaggregation Records'!$D$83:$D$149,255),0))),"")</f>
        <v/>
      </c>
      <c r="P476" s="130"/>
      <c r="Q476" s="52">
        <f t="shared" ref="Q476" si="645">Q474+1</f>
        <v>967</v>
      </c>
    </row>
    <row r="477" spans="1:17" ht="20.100000000000001" customHeight="1" x14ac:dyDescent="0.25">
      <c r="A477" s="130"/>
      <c r="B477" s="602"/>
      <c r="C477" s="604"/>
      <c r="D477" s="606"/>
      <c r="E477" s="606"/>
      <c r="F477" s="132"/>
      <c r="G477" s="608"/>
      <c r="H477" s="598"/>
      <c r="I477" s="600"/>
      <c r="J477" s="532"/>
      <c r="K477" s="130"/>
      <c r="L477" s="130"/>
      <c r="M477" s="130"/>
      <c r="N477" s="130"/>
      <c r="O477" s="130"/>
      <c r="P477" s="130"/>
    </row>
    <row r="478" spans="1:17" ht="20.100000000000001" customHeight="1" x14ac:dyDescent="0.25">
      <c r="A478" s="130" t="str">
        <f t="shared" ref="A478" ca="1" si="646">INDIRECT("'update Helper'!C"&amp;Q478)</f>
        <v>a1VDm000000PRc0MAG</v>
      </c>
      <c r="B478" s="601">
        <v>9</v>
      </c>
      <c r="C478" s="603" t="str">
        <f>IFERROR(VLOOKUP(B478,'Outcome Indicators - Section C '!$A$9:$AC$70,29,FALSE),"")</f>
        <v>TB O-4⁽ᴹ⁾ Treatment success rate of RR-TB and/or MDR-TB: Percentage of patients with RR and/or MDR-TB successfully treated</v>
      </c>
      <c r="D478" s="605" t="str">
        <f>M478</f>
        <v/>
      </c>
      <c r="E478" s="605" t="str">
        <f>N478</f>
        <v/>
      </c>
      <c r="F478" s="131"/>
      <c r="G478" s="607" t="str">
        <f ca="1">IF(OR(INDIRECT("'update Helper'!E"&amp;Q478)="",F478&lt;&gt;0,F479&lt;&gt;0),IF(IFERROR((F478/F479),"")="","",(F478/F479)),INDIRECT("'update Helper'!E"&amp;Q478)/100)</f>
        <v/>
      </c>
      <c r="H478" s="597"/>
      <c r="I478" s="599"/>
      <c r="J478" s="531"/>
      <c r="K478" s="130">
        <f>IF(AND(EXACT(C478,C476),C476&lt;&gt;0),K476+1,0)</f>
        <v>1</v>
      </c>
      <c r="L478" s="130" t="str">
        <f>IF(C478&lt;&gt;"",C478&amp;"-"&amp;K478,"")</f>
        <v>TB O-4⁽ᴹ⁾ Treatment success rate of RR-TB and/or MDR-TB: Percentage of patients with RR and/or MDR-TB successfully treated-1</v>
      </c>
      <c r="M478" s="130" t="str">
        <f t="array" ref="M478">IFERROR(IF(INDEX('Disaggregation Records'!$E$83:$E$149,MATCH(RIGHT(L478,255),RIGHT('Disaggregation Records'!$D$83:$D$149,255),0))="","",INDEX('Disaggregation Records'!$E$83:$E$149,MATCH(RIGHT(L478,255),RIGHT('Disaggregation Records'!$D$83:$D$149,255),0))),"")</f>
        <v/>
      </c>
      <c r="N478" s="130" t="str">
        <f t="array" ref="N478">IFERROR(IF(INDEX('Disaggregation Records'!$F$83:$F$149,MATCH(RIGHT(L478,255),RIGHT('Disaggregation Records'!$D$83:$D$149,255),0))="","",INDEX('Disaggregation Records'!$F$83:$F$149,MATCH(RIGHT(L478,255),RIGHT('Disaggregation Records'!$D$83:$D$149,255),0))),"")</f>
        <v/>
      </c>
      <c r="O478" s="130" t="str">
        <f t="array" ref="O478">IFERROR(IF(INDEX('Disaggregation Records'!$H$83:$H$149,MATCH(RIGHT(L478,255),RIGHT('Disaggregation Records'!$D$83:$D$149,255),0))="","",INDEX('Disaggregation Records'!$H$83:$H$149,MATCH(RIGHT(L478,255),RIGHT('Disaggregation Records'!$D$83:$D$149,255),0))),"")</f>
        <v/>
      </c>
      <c r="P478" s="130"/>
      <c r="Q478" s="52">
        <f t="shared" ref="Q478" si="647">Q476+1</f>
        <v>968</v>
      </c>
    </row>
    <row r="479" spans="1:17" ht="20.100000000000001" customHeight="1" x14ac:dyDescent="0.25">
      <c r="B479" s="602"/>
      <c r="C479" s="604"/>
      <c r="D479" s="606"/>
      <c r="E479" s="606"/>
      <c r="F479" s="132"/>
      <c r="G479" s="608"/>
      <c r="H479" s="598"/>
      <c r="I479" s="600"/>
      <c r="J479" s="532"/>
      <c r="K479" s="130"/>
      <c r="L479" s="130"/>
      <c r="M479" s="130"/>
      <c r="N479" s="130"/>
      <c r="O479" s="130"/>
      <c r="P479" s="130"/>
    </row>
    <row r="480" spans="1:17" ht="20.100000000000001" customHeight="1" x14ac:dyDescent="0.25">
      <c r="A480" s="130" t="str">
        <f t="shared" ref="A480" ca="1" si="648">INDIRECT("'update Helper'!C"&amp;Q480)</f>
        <v>a1VDm000000PRc1MAG</v>
      </c>
      <c r="B480" s="601">
        <v>9</v>
      </c>
      <c r="C480" s="603" t="str">
        <f>IFERROR(VLOOKUP(B480,'Outcome Indicators - Section C '!$A$9:$AC$70,29,FALSE),"")</f>
        <v>TB O-4⁽ᴹ⁾ Treatment success rate of RR-TB and/or MDR-TB: Percentage of patients with RR and/or MDR-TB successfully treated</v>
      </c>
      <c r="D480" s="605" t="str">
        <f>M480</f>
        <v/>
      </c>
      <c r="E480" s="605" t="str">
        <f>N480</f>
        <v/>
      </c>
      <c r="F480" s="131"/>
      <c r="G480" s="607" t="str">
        <f ca="1">IF(OR(INDIRECT("'update Helper'!E"&amp;Q480)="",F480&lt;&gt;0,F481&lt;&gt;0),IF(IFERROR((F480/F481),"")="","",(F480/F481)),INDIRECT("'update Helper'!E"&amp;Q480)/100)</f>
        <v/>
      </c>
      <c r="H480" s="597"/>
      <c r="I480" s="599"/>
      <c r="J480" s="531"/>
      <c r="K480" s="130">
        <f>IF(AND(EXACT(C480,C478),C478&lt;&gt;0),K478+1,0)</f>
        <v>2</v>
      </c>
      <c r="L480" s="130" t="str">
        <f>IF(C480&lt;&gt;"",C480&amp;"-"&amp;K480,"")</f>
        <v>TB O-4⁽ᴹ⁾ Treatment success rate of RR-TB and/or MDR-TB: Percentage of patients with RR and/or MDR-TB successfully treated-2</v>
      </c>
      <c r="M480" s="130" t="str">
        <f t="array" ref="M480">IFERROR(IF(INDEX('Disaggregation Records'!$E$83:$E$149,MATCH(RIGHT(L480,255),RIGHT('Disaggregation Records'!$D$83:$D$149,255),0))="","",INDEX('Disaggregation Records'!$E$83:$E$149,MATCH(RIGHT(L480,255),RIGHT('Disaggregation Records'!$D$83:$D$149,255),0))),"")</f>
        <v/>
      </c>
      <c r="N480" s="130" t="str">
        <f t="array" ref="N480">IFERROR(IF(INDEX('Disaggregation Records'!$F$83:$F$149,MATCH(RIGHT(L480,255),RIGHT('Disaggregation Records'!$D$83:$D$149,255),0))="","",INDEX('Disaggregation Records'!$F$83:$F$149,MATCH(RIGHT(L480,255),RIGHT('Disaggregation Records'!$D$83:$D$149,255),0))),"")</f>
        <v/>
      </c>
      <c r="O480" s="130" t="str">
        <f t="array" ref="O480">IFERROR(IF(INDEX('Disaggregation Records'!$H$83:$H$149,MATCH(RIGHT(L480,255),RIGHT('Disaggregation Records'!$D$83:$D$149,255),0))="","",INDEX('Disaggregation Records'!$H$83:$H$149,MATCH(RIGHT(L480,255),RIGHT('Disaggregation Records'!$D$83:$D$149,255),0))),"")</f>
        <v/>
      </c>
      <c r="P480" s="130"/>
      <c r="Q480" s="52">
        <f t="shared" ref="Q480" si="649">Q478+1</f>
        <v>969</v>
      </c>
    </row>
    <row r="481" spans="1:17" ht="20.100000000000001" customHeight="1" x14ac:dyDescent="0.25">
      <c r="A481" s="130"/>
      <c r="B481" s="602"/>
      <c r="C481" s="604"/>
      <c r="D481" s="606"/>
      <c r="E481" s="606"/>
      <c r="F481" s="132"/>
      <c r="G481" s="608"/>
      <c r="H481" s="598"/>
      <c r="I481" s="600"/>
      <c r="J481" s="532"/>
      <c r="K481" s="130"/>
      <c r="L481" s="130"/>
      <c r="M481" s="130"/>
      <c r="N481" s="130"/>
      <c r="O481" s="130"/>
      <c r="P481" s="130"/>
    </row>
    <row r="482" spans="1:17" ht="20.100000000000001" customHeight="1" x14ac:dyDescent="0.25">
      <c r="A482" s="130" t="str">
        <f t="shared" ref="A482" ca="1" si="650">INDIRECT("'update Helper'!C"&amp;Q482)</f>
        <v>a1VDm000000PRc2MAG</v>
      </c>
      <c r="B482" s="601">
        <v>9</v>
      </c>
      <c r="C482" s="603" t="str">
        <f>IFERROR(VLOOKUP(B482,'Outcome Indicators - Section C '!$A$9:$AC$70,29,FALSE),"")</f>
        <v>TB O-4⁽ᴹ⁾ Treatment success rate of RR-TB and/or MDR-TB: Percentage of patients with RR and/or MDR-TB successfully treated</v>
      </c>
      <c r="D482" s="605" t="str">
        <f>M482</f>
        <v/>
      </c>
      <c r="E482" s="605" t="str">
        <f>N482</f>
        <v/>
      </c>
      <c r="F482" s="131"/>
      <c r="G482" s="607" t="str">
        <f ca="1">IF(OR(INDIRECT("'update Helper'!E"&amp;Q482)="",F482&lt;&gt;0,F483&lt;&gt;0),IF(IFERROR((F482/F483),"")="","",(F482/F483)),INDIRECT("'update Helper'!E"&amp;Q482)/100)</f>
        <v/>
      </c>
      <c r="H482" s="597"/>
      <c r="I482" s="599"/>
      <c r="J482" s="531"/>
      <c r="K482" s="130">
        <f>IF(AND(EXACT(C482,C480),C480&lt;&gt;0),K480+1,0)</f>
        <v>3</v>
      </c>
      <c r="L482" s="130" t="str">
        <f>IF(C482&lt;&gt;"",C482&amp;"-"&amp;K482,"")</f>
        <v>TB O-4⁽ᴹ⁾ Treatment success rate of RR-TB and/or MDR-TB: Percentage of patients with RR and/or MDR-TB successfully treated-3</v>
      </c>
      <c r="M482" s="130" t="str">
        <f t="array" ref="M482">IFERROR(IF(INDEX('Disaggregation Records'!$E$83:$E$149,MATCH(RIGHT(L482,255),RIGHT('Disaggregation Records'!$D$83:$D$149,255),0))="","",INDEX('Disaggregation Records'!$E$83:$E$149,MATCH(RIGHT(L482,255),RIGHT('Disaggregation Records'!$D$83:$D$149,255),0))),"")</f>
        <v/>
      </c>
      <c r="N482" s="130" t="str">
        <f t="array" ref="N482">IFERROR(IF(INDEX('Disaggregation Records'!$F$83:$F$149,MATCH(RIGHT(L482,255),RIGHT('Disaggregation Records'!$D$83:$D$149,255),0))="","",INDEX('Disaggregation Records'!$F$83:$F$149,MATCH(RIGHT(L482,255),RIGHT('Disaggregation Records'!$D$83:$D$149,255),0))),"")</f>
        <v/>
      </c>
      <c r="O482" s="130" t="str">
        <f t="array" ref="O482">IFERROR(IF(INDEX('Disaggregation Records'!$H$83:$H$149,MATCH(RIGHT(L482,255),RIGHT('Disaggregation Records'!$D$83:$D$149,255),0))="","",INDEX('Disaggregation Records'!$H$83:$H$149,MATCH(RIGHT(L482,255),RIGHT('Disaggregation Records'!$D$83:$D$149,255),0))),"")</f>
        <v/>
      </c>
      <c r="P482" s="130"/>
      <c r="Q482" s="52">
        <f t="shared" ref="Q482" si="651">Q480+1</f>
        <v>970</v>
      </c>
    </row>
    <row r="483" spans="1:17" ht="20.100000000000001" customHeight="1" x14ac:dyDescent="0.25">
      <c r="B483" s="602"/>
      <c r="C483" s="604"/>
      <c r="D483" s="606"/>
      <c r="E483" s="606"/>
      <c r="F483" s="132"/>
      <c r="G483" s="608"/>
      <c r="H483" s="598"/>
      <c r="I483" s="600"/>
      <c r="J483" s="532"/>
      <c r="K483" s="130"/>
      <c r="L483" s="130"/>
      <c r="M483" s="130"/>
      <c r="N483" s="130"/>
      <c r="O483" s="130"/>
      <c r="P483" s="130"/>
    </row>
    <row r="484" spans="1:17" ht="20.100000000000001" customHeight="1" x14ac:dyDescent="0.25">
      <c r="A484" s="130" t="str">
        <f t="shared" ref="A484" ca="1" si="652">INDIRECT("'update Helper'!C"&amp;Q484)</f>
        <v>a1VDm000000PRc3MAG</v>
      </c>
      <c r="B484" s="601">
        <v>9</v>
      </c>
      <c r="C484" s="603" t="str">
        <f>IFERROR(VLOOKUP(B484,'Outcome Indicators - Section C '!$A$9:$AC$70,29,FALSE),"")</f>
        <v>TB O-4⁽ᴹ⁾ Treatment success rate of RR-TB and/or MDR-TB: Percentage of patients with RR and/or MDR-TB successfully treated</v>
      </c>
      <c r="D484" s="605" t="str">
        <f>M484</f>
        <v/>
      </c>
      <c r="E484" s="605" t="str">
        <f>N484</f>
        <v/>
      </c>
      <c r="F484" s="131"/>
      <c r="G484" s="607" t="str">
        <f ca="1">IF(OR(INDIRECT("'update Helper'!E"&amp;Q484)="",F484&lt;&gt;0,F485&lt;&gt;0),IF(IFERROR((F484/F485),"")="","",(F484/F485)),INDIRECT("'update Helper'!E"&amp;Q484)/100)</f>
        <v/>
      </c>
      <c r="H484" s="597"/>
      <c r="I484" s="599"/>
      <c r="J484" s="531"/>
      <c r="K484" s="130">
        <f>IF(AND(EXACT(C484,C482),C482&lt;&gt;0),K482+1,0)</f>
        <v>4</v>
      </c>
      <c r="L484" s="130" t="str">
        <f>IF(C484&lt;&gt;"",C484&amp;"-"&amp;K484,"")</f>
        <v>TB O-4⁽ᴹ⁾ Treatment success rate of RR-TB and/or MDR-TB: Percentage of patients with RR and/or MDR-TB successfully treated-4</v>
      </c>
      <c r="M484" s="130" t="str">
        <f t="array" ref="M484">IFERROR(IF(INDEX('Disaggregation Records'!$E$83:$E$149,MATCH(RIGHT(L484,255),RIGHT('Disaggregation Records'!$D$83:$D$149,255),0))="","",INDEX('Disaggregation Records'!$E$83:$E$149,MATCH(RIGHT(L484,255),RIGHT('Disaggregation Records'!$D$83:$D$149,255),0))),"")</f>
        <v/>
      </c>
      <c r="N484" s="130" t="str">
        <f t="array" ref="N484">IFERROR(IF(INDEX('Disaggregation Records'!$F$83:$F$149,MATCH(RIGHT(L484,255),RIGHT('Disaggregation Records'!$D$83:$D$149,255),0))="","",INDEX('Disaggregation Records'!$F$83:$F$149,MATCH(RIGHT(L484,255),RIGHT('Disaggregation Records'!$D$83:$D$149,255),0))),"")</f>
        <v/>
      </c>
      <c r="O484" s="130" t="str">
        <f t="array" ref="O484">IFERROR(IF(INDEX('Disaggregation Records'!$H$83:$H$149,MATCH(RIGHT(L484,255),RIGHT('Disaggregation Records'!$D$83:$D$149,255),0))="","",INDEX('Disaggregation Records'!$H$83:$H$149,MATCH(RIGHT(L484,255),RIGHT('Disaggregation Records'!$D$83:$D$149,255),0))),"")</f>
        <v/>
      </c>
      <c r="P484" s="130"/>
      <c r="Q484" s="52">
        <f t="shared" ref="Q484" si="653">Q482+1</f>
        <v>971</v>
      </c>
    </row>
    <row r="485" spans="1:17" ht="20.100000000000001" customHeight="1" x14ac:dyDescent="0.25">
      <c r="A485" s="130"/>
      <c r="B485" s="602"/>
      <c r="C485" s="604"/>
      <c r="D485" s="606"/>
      <c r="E485" s="606"/>
      <c r="F485" s="132"/>
      <c r="G485" s="608"/>
      <c r="H485" s="598"/>
      <c r="I485" s="600"/>
      <c r="J485" s="532"/>
      <c r="K485" s="130"/>
      <c r="L485" s="130"/>
      <c r="M485" s="130"/>
      <c r="N485" s="130"/>
      <c r="O485" s="130"/>
      <c r="P485" s="130"/>
    </row>
    <row r="486" spans="1:17" ht="20.100000000000001" customHeight="1" x14ac:dyDescent="0.25">
      <c r="A486" s="130" t="str">
        <f t="shared" ref="A486" ca="1" si="654">INDIRECT("'update Helper'!C"&amp;Q486)</f>
        <v>a1VDm000000PRc4MAG</v>
      </c>
      <c r="B486" s="601">
        <v>9</v>
      </c>
      <c r="C486" s="603" t="str">
        <f>IFERROR(VLOOKUP(B486,'Outcome Indicators - Section C '!$A$9:$AC$70,29,FALSE),"")</f>
        <v>TB O-4⁽ᴹ⁾ Treatment success rate of RR-TB and/or MDR-TB: Percentage of patients with RR and/or MDR-TB successfully treated</v>
      </c>
      <c r="D486" s="605" t="str">
        <f>M486</f>
        <v/>
      </c>
      <c r="E486" s="605" t="str">
        <f>N486</f>
        <v/>
      </c>
      <c r="F486" s="131"/>
      <c r="G486" s="607" t="str">
        <f ca="1">IF(OR(INDIRECT("'update Helper'!E"&amp;Q486)="",F486&lt;&gt;0,F487&lt;&gt;0),IF(IFERROR((F486/F487),"")="","",(F486/F487)),INDIRECT("'update Helper'!E"&amp;Q486)/100)</f>
        <v/>
      </c>
      <c r="H486" s="597"/>
      <c r="I486" s="599"/>
      <c r="J486" s="531"/>
      <c r="K486" s="130">
        <f>IF(AND(EXACT(C486,C484),C484&lt;&gt;0),K484+1,0)</f>
        <v>5</v>
      </c>
      <c r="L486" s="130" t="str">
        <f>IF(C486&lt;&gt;"",C486&amp;"-"&amp;K486,"")</f>
        <v>TB O-4⁽ᴹ⁾ Treatment success rate of RR-TB and/or MDR-TB: Percentage of patients with RR and/or MDR-TB successfully treated-5</v>
      </c>
      <c r="M486" s="130" t="str">
        <f t="array" ref="M486">IFERROR(IF(INDEX('Disaggregation Records'!$E$83:$E$149,MATCH(RIGHT(L486,255),RIGHT('Disaggregation Records'!$D$83:$D$149,255),0))="","",INDEX('Disaggregation Records'!$E$83:$E$149,MATCH(RIGHT(L486,255),RIGHT('Disaggregation Records'!$D$83:$D$149,255),0))),"")</f>
        <v/>
      </c>
      <c r="N486" s="130" t="str">
        <f t="array" ref="N486">IFERROR(IF(INDEX('Disaggregation Records'!$F$83:$F$149,MATCH(RIGHT(L486,255),RIGHT('Disaggregation Records'!$D$83:$D$149,255),0))="","",INDEX('Disaggregation Records'!$F$83:$F$149,MATCH(RIGHT(L486,255),RIGHT('Disaggregation Records'!$D$83:$D$149,255),0))),"")</f>
        <v/>
      </c>
      <c r="O486" s="130" t="str">
        <f t="array" ref="O486">IFERROR(IF(INDEX('Disaggregation Records'!$H$83:$H$149,MATCH(RIGHT(L486,255),RIGHT('Disaggregation Records'!$D$83:$D$149,255),0))="","",INDEX('Disaggregation Records'!$H$83:$H$149,MATCH(RIGHT(L486,255),RIGHT('Disaggregation Records'!$D$83:$D$149,255),0))),"")</f>
        <v/>
      </c>
      <c r="P486" s="130"/>
      <c r="Q486" s="52">
        <f t="shared" ref="Q486" si="655">Q484+1</f>
        <v>972</v>
      </c>
    </row>
    <row r="487" spans="1:17" ht="20.100000000000001" customHeight="1" x14ac:dyDescent="0.25">
      <c r="B487" s="602"/>
      <c r="C487" s="604"/>
      <c r="D487" s="606"/>
      <c r="E487" s="606"/>
      <c r="F487" s="132"/>
      <c r="G487" s="608"/>
      <c r="H487" s="598"/>
      <c r="I487" s="600"/>
      <c r="J487" s="532"/>
      <c r="K487" s="130"/>
      <c r="L487" s="130"/>
      <c r="M487" s="130"/>
      <c r="N487" s="130"/>
      <c r="O487" s="130"/>
      <c r="P487" s="130"/>
    </row>
    <row r="488" spans="1:17" ht="20.100000000000001" customHeight="1" x14ac:dyDescent="0.25">
      <c r="A488" s="130" t="str">
        <f t="shared" ref="A488" ca="1" si="656">INDIRECT("'update Helper'!C"&amp;Q488)</f>
        <v>a1VDm000000PRc5MAG</v>
      </c>
      <c r="B488" s="601">
        <v>9</v>
      </c>
      <c r="C488" s="603" t="str">
        <f>IFERROR(VLOOKUP(B488,'Outcome Indicators - Section C '!$A$9:$AC$70,29,FALSE),"")</f>
        <v>TB O-4⁽ᴹ⁾ Treatment success rate of RR-TB and/or MDR-TB: Percentage of patients with RR and/or MDR-TB successfully treated</v>
      </c>
      <c r="D488" s="605" t="str">
        <f>M488</f>
        <v/>
      </c>
      <c r="E488" s="605" t="str">
        <f>N488</f>
        <v/>
      </c>
      <c r="F488" s="131"/>
      <c r="G488" s="607" t="str">
        <f ca="1">IF(OR(INDIRECT("'update Helper'!E"&amp;Q488)="",F488&lt;&gt;0,F489&lt;&gt;0),IF(IFERROR((F488/F489),"")="","",(F488/F489)),INDIRECT("'update Helper'!E"&amp;Q488)/100)</f>
        <v/>
      </c>
      <c r="H488" s="597"/>
      <c r="I488" s="599"/>
      <c r="J488" s="531"/>
      <c r="K488" s="130">
        <f>IF(AND(EXACT(C488,C486),C486&lt;&gt;0),K486+1,0)</f>
        <v>6</v>
      </c>
      <c r="L488" s="130" t="str">
        <f>IF(C488&lt;&gt;"",C488&amp;"-"&amp;K488,"")</f>
        <v>TB O-4⁽ᴹ⁾ Treatment success rate of RR-TB and/or MDR-TB: Percentage of patients with RR and/or MDR-TB successfully treated-6</v>
      </c>
      <c r="M488" s="130" t="str">
        <f t="array" ref="M488">IFERROR(IF(INDEX('Disaggregation Records'!$E$83:$E$149,MATCH(RIGHT(L488,255),RIGHT('Disaggregation Records'!$D$83:$D$149,255),0))="","",INDEX('Disaggregation Records'!$E$83:$E$149,MATCH(RIGHT(L488,255),RIGHT('Disaggregation Records'!$D$83:$D$149,255),0))),"")</f>
        <v/>
      </c>
      <c r="N488" s="130" t="str">
        <f t="array" ref="N488">IFERROR(IF(INDEX('Disaggregation Records'!$F$83:$F$149,MATCH(RIGHT(L488,255),RIGHT('Disaggregation Records'!$D$83:$D$149,255),0))="","",INDEX('Disaggregation Records'!$F$83:$F$149,MATCH(RIGHT(L488,255),RIGHT('Disaggregation Records'!$D$83:$D$149,255),0))),"")</f>
        <v/>
      </c>
      <c r="O488" s="130" t="str">
        <f t="array" ref="O488">IFERROR(IF(INDEX('Disaggregation Records'!$H$83:$H$149,MATCH(RIGHT(L488,255),RIGHT('Disaggregation Records'!$D$83:$D$149,255),0))="","",INDEX('Disaggregation Records'!$H$83:$H$149,MATCH(RIGHT(L488,255),RIGHT('Disaggregation Records'!$D$83:$D$149,255),0))),"")</f>
        <v/>
      </c>
      <c r="P488" s="130"/>
      <c r="Q488" s="52">
        <f t="shared" ref="Q488" si="657">Q486+1</f>
        <v>973</v>
      </c>
    </row>
    <row r="489" spans="1:17" ht="20.100000000000001" customHeight="1" x14ac:dyDescent="0.25">
      <c r="A489" s="130"/>
      <c r="B489" s="602"/>
      <c r="C489" s="604"/>
      <c r="D489" s="606"/>
      <c r="E489" s="606"/>
      <c r="F489" s="132"/>
      <c r="G489" s="608"/>
      <c r="H489" s="598"/>
      <c r="I489" s="600"/>
      <c r="J489" s="532"/>
      <c r="K489" s="130"/>
      <c r="L489" s="130"/>
      <c r="M489" s="130"/>
      <c r="N489" s="130"/>
      <c r="O489" s="130"/>
      <c r="P489" s="130"/>
    </row>
    <row r="490" spans="1:17" ht="20.100000000000001" customHeight="1" x14ac:dyDescent="0.25">
      <c r="A490" s="130" t="str">
        <f t="shared" ref="A490" ca="1" si="658">INDIRECT("'update Helper'!C"&amp;Q490)</f>
        <v>a1VDm000000PRc6MAG</v>
      </c>
      <c r="B490" s="601">
        <v>9</v>
      </c>
      <c r="C490" s="603" t="str">
        <f>IFERROR(VLOOKUP(B490,'Outcome Indicators - Section C '!$A$9:$AC$70,29,FALSE),"")</f>
        <v>TB O-4⁽ᴹ⁾ Treatment success rate of RR-TB and/or MDR-TB: Percentage of patients with RR and/or MDR-TB successfully treated</v>
      </c>
      <c r="D490" s="605" t="str">
        <f>M490</f>
        <v/>
      </c>
      <c r="E490" s="605" t="str">
        <f>N490</f>
        <v/>
      </c>
      <c r="F490" s="131"/>
      <c r="G490" s="607" t="str">
        <f ca="1">IF(OR(INDIRECT("'update Helper'!E"&amp;Q490)="",F490&lt;&gt;0,F491&lt;&gt;0),IF(IFERROR((F490/F491),"")="","",(F490/F491)),INDIRECT("'update Helper'!E"&amp;Q490)/100)</f>
        <v/>
      </c>
      <c r="H490" s="597"/>
      <c r="I490" s="599"/>
      <c r="J490" s="531"/>
      <c r="K490" s="130">
        <f>IF(AND(EXACT(C490,C488),C488&lt;&gt;0),K488+1,0)</f>
        <v>7</v>
      </c>
      <c r="L490" s="130" t="str">
        <f>IF(C490&lt;&gt;"",C490&amp;"-"&amp;K490,"")</f>
        <v>TB O-4⁽ᴹ⁾ Treatment success rate of RR-TB and/or MDR-TB: Percentage of patients with RR and/or MDR-TB successfully treated-7</v>
      </c>
      <c r="M490" s="130" t="str">
        <f t="array" ref="M490">IFERROR(IF(INDEX('Disaggregation Records'!$E$83:$E$149,MATCH(RIGHT(L490,255),RIGHT('Disaggregation Records'!$D$83:$D$149,255),0))="","",INDEX('Disaggregation Records'!$E$83:$E$149,MATCH(RIGHT(L490,255),RIGHT('Disaggregation Records'!$D$83:$D$149,255),0))),"")</f>
        <v/>
      </c>
      <c r="N490" s="130" t="str">
        <f t="array" ref="N490">IFERROR(IF(INDEX('Disaggregation Records'!$F$83:$F$149,MATCH(RIGHT(L490,255),RIGHT('Disaggregation Records'!$D$83:$D$149,255),0))="","",INDEX('Disaggregation Records'!$F$83:$F$149,MATCH(RIGHT(L490,255),RIGHT('Disaggregation Records'!$D$83:$D$149,255),0))),"")</f>
        <v/>
      </c>
      <c r="O490" s="130" t="str">
        <f t="array" ref="O490">IFERROR(IF(INDEX('Disaggregation Records'!$H$83:$H$149,MATCH(RIGHT(L490,255),RIGHT('Disaggregation Records'!$D$83:$D$149,255),0))="","",INDEX('Disaggregation Records'!$H$83:$H$149,MATCH(RIGHT(L490,255),RIGHT('Disaggregation Records'!$D$83:$D$149,255),0))),"")</f>
        <v/>
      </c>
      <c r="P490" s="130"/>
      <c r="Q490" s="52">
        <f t="shared" ref="Q490" si="659">Q488+1</f>
        <v>974</v>
      </c>
    </row>
    <row r="491" spans="1:17" ht="20.100000000000001" customHeight="1" x14ac:dyDescent="0.25">
      <c r="B491" s="602"/>
      <c r="C491" s="604"/>
      <c r="D491" s="606"/>
      <c r="E491" s="606"/>
      <c r="F491" s="132"/>
      <c r="G491" s="608"/>
      <c r="H491" s="598"/>
      <c r="I491" s="600"/>
      <c r="J491" s="532"/>
      <c r="K491" s="130"/>
      <c r="L491" s="130"/>
      <c r="M491" s="130"/>
      <c r="N491" s="130"/>
      <c r="O491" s="130"/>
      <c r="P491" s="130"/>
    </row>
    <row r="492" spans="1:17" ht="20.100000000000001" customHeight="1" x14ac:dyDescent="0.25">
      <c r="A492" s="130" t="str">
        <f t="shared" ref="A492" ca="1" si="660">INDIRECT("'update Helper'!C"&amp;Q492)</f>
        <v>a1VDm000000PRc7MAG</v>
      </c>
      <c r="B492" s="601">
        <v>9</v>
      </c>
      <c r="C492" s="603" t="str">
        <f>IFERROR(VLOOKUP(B492,'Outcome Indicators - Section C '!$A$9:$AC$70,29,FALSE),"")</f>
        <v>TB O-4⁽ᴹ⁾ Treatment success rate of RR-TB and/or MDR-TB: Percentage of patients with RR and/or MDR-TB successfully treated</v>
      </c>
      <c r="D492" s="605" t="str">
        <f>M492</f>
        <v/>
      </c>
      <c r="E492" s="605" t="str">
        <f>N492</f>
        <v/>
      </c>
      <c r="F492" s="131"/>
      <c r="G492" s="607" t="str">
        <f ca="1">IF(OR(INDIRECT("'update Helper'!E"&amp;Q492)="",F492&lt;&gt;0,F493&lt;&gt;0),IF(IFERROR((F492/F493),"")="","",(F492/F493)),INDIRECT("'update Helper'!E"&amp;Q492)/100)</f>
        <v/>
      </c>
      <c r="H492" s="597"/>
      <c r="I492" s="599"/>
      <c r="J492" s="531"/>
      <c r="K492" s="130">
        <f>IF(AND(EXACT(C492,C490),C490&lt;&gt;0),K490+1,0)</f>
        <v>8</v>
      </c>
      <c r="L492" s="130" t="str">
        <f>IF(C492&lt;&gt;"",C492&amp;"-"&amp;K492,"")</f>
        <v>TB O-4⁽ᴹ⁾ Treatment success rate of RR-TB and/or MDR-TB: Percentage of patients with RR and/or MDR-TB successfully treated-8</v>
      </c>
      <c r="M492" s="130" t="str">
        <f t="array" ref="M492">IFERROR(IF(INDEX('Disaggregation Records'!$E$83:$E$149,MATCH(RIGHT(L492,255),RIGHT('Disaggregation Records'!$D$83:$D$149,255),0))="","",INDEX('Disaggregation Records'!$E$83:$E$149,MATCH(RIGHT(L492,255),RIGHT('Disaggregation Records'!$D$83:$D$149,255),0))),"")</f>
        <v/>
      </c>
      <c r="N492" s="130" t="str">
        <f t="array" ref="N492">IFERROR(IF(INDEX('Disaggregation Records'!$F$83:$F$149,MATCH(RIGHT(L492,255),RIGHT('Disaggregation Records'!$D$83:$D$149,255),0))="","",INDEX('Disaggregation Records'!$F$83:$F$149,MATCH(RIGHT(L492,255),RIGHT('Disaggregation Records'!$D$83:$D$149,255),0))),"")</f>
        <v/>
      </c>
      <c r="O492" s="130" t="str">
        <f t="array" ref="O492">IFERROR(IF(INDEX('Disaggregation Records'!$H$83:$H$149,MATCH(RIGHT(L492,255),RIGHT('Disaggregation Records'!$D$83:$D$149,255),0))="","",INDEX('Disaggregation Records'!$H$83:$H$149,MATCH(RIGHT(L492,255),RIGHT('Disaggregation Records'!$D$83:$D$149,255),0))),"")</f>
        <v/>
      </c>
      <c r="P492" s="130"/>
      <c r="Q492" s="52">
        <f t="shared" ref="Q492" si="661">Q490+1</f>
        <v>975</v>
      </c>
    </row>
    <row r="493" spans="1:17" ht="20.100000000000001" customHeight="1" x14ac:dyDescent="0.25">
      <c r="A493" s="130"/>
      <c r="B493" s="602"/>
      <c r="C493" s="604"/>
      <c r="D493" s="606"/>
      <c r="E493" s="606"/>
      <c r="F493" s="132"/>
      <c r="G493" s="608"/>
      <c r="H493" s="598"/>
      <c r="I493" s="600"/>
      <c r="J493" s="532"/>
      <c r="K493" s="130"/>
      <c r="L493" s="130"/>
      <c r="M493" s="130"/>
      <c r="N493" s="130"/>
      <c r="O493" s="130"/>
      <c r="P493" s="130"/>
    </row>
    <row r="494" spans="1:17" ht="20.100000000000001" customHeight="1" x14ac:dyDescent="0.25">
      <c r="A494" s="130" t="str">
        <f t="shared" ref="A494" ca="1" si="662">INDIRECT("'update Helper'!C"&amp;Q494)</f>
        <v>a1VDm000000PRc8MAG</v>
      </c>
      <c r="B494" s="601">
        <v>9</v>
      </c>
      <c r="C494" s="603" t="str">
        <f>IFERROR(VLOOKUP(B494,'Outcome Indicators - Section C '!$A$9:$AC$70,29,FALSE),"")</f>
        <v>TB O-4⁽ᴹ⁾ Treatment success rate of RR-TB and/or MDR-TB: Percentage of patients with RR and/or MDR-TB successfully treated</v>
      </c>
      <c r="D494" s="605" t="str">
        <f>M494</f>
        <v/>
      </c>
      <c r="E494" s="605" t="str">
        <f>N494</f>
        <v/>
      </c>
      <c r="F494" s="131"/>
      <c r="G494" s="607" t="str">
        <f ca="1">IF(OR(INDIRECT("'update Helper'!E"&amp;Q494)="",F494&lt;&gt;0,F495&lt;&gt;0),IF(IFERROR((F494/F495),"")="","",(F494/F495)),INDIRECT("'update Helper'!E"&amp;Q494)/100)</f>
        <v/>
      </c>
      <c r="H494" s="597"/>
      <c r="I494" s="599"/>
      <c r="J494" s="531"/>
      <c r="K494" s="130">
        <f>IF(AND(EXACT(C494,C492),C492&lt;&gt;0),K492+1,0)</f>
        <v>9</v>
      </c>
      <c r="L494" s="130" t="str">
        <f>IF(C494&lt;&gt;"",C494&amp;"-"&amp;K494,"")</f>
        <v>TB O-4⁽ᴹ⁾ Treatment success rate of RR-TB and/or MDR-TB: Percentage of patients with RR and/or MDR-TB successfully treated-9</v>
      </c>
      <c r="M494" s="130" t="str">
        <f t="array" ref="M494">IFERROR(IF(INDEX('Disaggregation Records'!$E$83:$E$149,MATCH(RIGHT(L494,255),RIGHT('Disaggregation Records'!$D$83:$D$149,255),0))="","",INDEX('Disaggregation Records'!$E$83:$E$149,MATCH(RIGHT(L494,255),RIGHT('Disaggregation Records'!$D$83:$D$149,255),0))),"")</f>
        <v/>
      </c>
      <c r="N494" s="130" t="str">
        <f t="array" ref="N494">IFERROR(IF(INDEX('Disaggregation Records'!$F$83:$F$149,MATCH(RIGHT(L494,255),RIGHT('Disaggregation Records'!$D$83:$D$149,255),0))="","",INDEX('Disaggregation Records'!$F$83:$F$149,MATCH(RIGHT(L494,255),RIGHT('Disaggregation Records'!$D$83:$D$149,255),0))),"")</f>
        <v/>
      </c>
      <c r="O494" s="130" t="str">
        <f t="array" ref="O494">IFERROR(IF(INDEX('Disaggregation Records'!$H$83:$H$149,MATCH(RIGHT(L494,255),RIGHT('Disaggregation Records'!$D$83:$D$149,255),0))="","",INDEX('Disaggregation Records'!$H$83:$H$149,MATCH(RIGHT(L494,255),RIGHT('Disaggregation Records'!$D$83:$D$149,255),0))),"")</f>
        <v/>
      </c>
      <c r="P494" s="130"/>
      <c r="Q494" s="52">
        <f t="shared" ref="Q494" si="663">Q492+1</f>
        <v>976</v>
      </c>
    </row>
    <row r="495" spans="1:17" ht="20.100000000000001" customHeight="1" x14ac:dyDescent="0.25">
      <c r="B495" s="602"/>
      <c r="C495" s="604"/>
      <c r="D495" s="606"/>
      <c r="E495" s="606"/>
      <c r="F495" s="132"/>
      <c r="G495" s="608"/>
      <c r="H495" s="598"/>
      <c r="I495" s="600"/>
      <c r="J495" s="532"/>
      <c r="K495" s="130"/>
      <c r="L495" s="130"/>
      <c r="M495" s="130"/>
      <c r="N495" s="130"/>
      <c r="O495" s="130"/>
      <c r="P495" s="130"/>
    </row>
    <row r="496" spans="1:17" ht="20.100000000000001" customHeight="1" x14ac:dyDescent="0.25">
      <c r="A496" s="130" t="str">
        <f t="shared" ref="A496" ca="1" si="664">INDIRECT("'update Helper'!C"&amp;Q496)</f>
        <v>a1VDm000000PRc9MAG</v>
      </c>
      <c r="B496" s="601">
        <v>10</v>
      </c>
      <c r="C496" s="603" t="str">
        <f>IFERROR(VLOOKUP(B496,'Outcome Indicators - Section C '!$A$9:$AC$70,29,FALSE),"")</f>
        <v>TB O-8 Percentage of people diagnosed with TB who report stigma in health care settings that inhibited them from seeking and accessing TB services</v>
      </c>
      <c r="D496" s="605" t="str">
        <f>M496</f>
        <v/>
      </c>
      <c r="E496" s="605" t="str">
        <f>N496</f>
        <v/>
      </c>
      <c r="F496" s="131"/>
      <c r="G496" s="607" t="str">
        <f ca="1">IF(OR(INDIRECT("'update Helper'!E"&amp;Q496)="",F496&lt;&gt;0,F497&lt;&gt;0),IF(IFERROR((F496/F497),"")="","",(F496/F497)),INDIRECT("'update Helper'!E"&amp;Q496)/100)</f>
        <v/>
      </c>
      <c r="H496" s="597"/>
      <c r="I496" s="599"/>
      <c r="J496" s="531"/>
      <c r="K496" s="130">
        <f>IF(AND(EXACT(C496,C494),C494&lt;&gt;0),K494+1,0)</f>
        <v>0</v>
      </c>
      <c r="L496" s="130" t="str">
        <f>IF(C496&lt;&gt;"",C496&amp;"-"&amp;K496,"")</f>
        <v>TB O-8 Percentage of people diagnosed with TB who report stigma in health care settings that inhibited them from seeking and accessing TB services-0</v>
      </c>
      <c r="M496" s="130" t="str">
        <f t="array" ref="M496">IFERROR(IF(INDEX('Disaggregation Records'!$E$83:$E$149,MATCH(RIGHT(L496,255),RIGHT('Disaggregation Records'!$D$83:$D$149,255),0))="","",INDEX('Disaggregation Records'!$E$83:$E$149,MATCH(RIGHT(L496,255),RIGHT('Disaggregation Records'!$D$83:$D$149,255),0))),"")</f>
        <v/>
      </c>
      <c r="N496" s="130" t="str">
        <f t="array" ref="N496">IFERROR(IF(INDEX('Disaggregation Records'!$F$83:$F$149,MATCH(RIGHT(L496,255),RIGHT('Disaggregation Records'!$D$83:$D$149,255),0))="","",INDEX('Disaggregation Records'!$F$83:$F$149,MATCH(RIGHT(L496,255),RIGHT('Disaggregation Records'!$D$83:$D$149,255),0))),"")</f>
        <v/>
      </c>
      <c r="O496" s="130" t="str">
        <f t="array" ref="O496">IFERROR(IF(INDEX('Disaggregation Records'!$H$83:$H$149,MATCH(RIGHT(L496,255),RIGHT('Disaggregation Records'!$D$83:$D$149,255),0))="","",INDEX('Disaggregation Records'!$H$83:$H$149,MATCH(RIGHT(L496,255),RIGHT('Disaggregation Records'!$D$83:$D$149,255),0))),"")</f>
        <v/>
      </c>
      <c r="P496" s="130"/>
      <c r="Q496" s="52">
        <f t="shared" ref="Q496" si="665">Q494+1</f>
        <v>977</v>
      </c>
    </row>
    <row r="497" spans="1:17" ht="20.100000000000001" customHeight="1" x14ac:dyDescent="0.25">
      <c r="A497" s="130"/>
      <c r="B497" s="602"/>
      <c r="C497" s="604"/>
      <c r="D497" s="606"/>
      <c r="E497" s="606"/>
      <c r="F497" s="132"/>
      <c r="G497" s="608"/>
      <c r="H497" s="598"/>
      <c r="I497" s="600"/>
      <c r="J497" s="532"/>
      <c r="K497" s="130"/>
      <c r="L497" s="130"/>
      <c r="M497" s="130"/>
      <c r="N497" s="130"/>
      <c r="O497" s="130"/>
      <c r="P497" s="130"/>
    </row>
    <row r="498" spans="1:17" ht="20.100000000000001" customHeight="1" x14ac:dyDescent="0.25">
      <c r="A498" s="130" t="str">
        <f t="shared" ref="A498" ca="1" si="666">INDIRECT("'update Helper'!C"&amp;Q498)</f>
        <v>a1VDm000000PRcAMAW</v>
      </c>
      <c r="B498" s="601">
        <v>10</v>
      </c>
      <c r="C498" s="603" t="str">
        <f>IFERROR(VLOOKUP(B498,'Outcome Indicators - Section C '!$A$9:$AC$70,29,FALSE),"")</f>
        <v>TB O-8 Percentage of people diagnosed with TB who report stigma in health care settings that inhibited them from seeking and accessing TB services</v>
      </c>
      <c r="D498" s="605" t="str">
        <f>M498</f>
        <v/>
      </c>
      <c r="E498" s="605" t="str">
        <f>N498</f>
        <v/>
      </c>
      <c r="F498" s="131"/>
      <c r="G498" s="607" t="str">
        <f ca="1">IF(OR(INDIRECT("'update Helper'!E"&amp;Q498)="",F498&lt;&gt;0,F499&lt;&gt;0),IF(IFERROR((F498/F499),"")="","",(F498/F499)),INDIRECT("'update Helper'!E"&amp;Q498)/100)</f>
        <v/>
      </c>
      <c r="H498" s="597"/>
      <c r="I498" s="599"/>
      <c r="J498" s="531"/>
      <c r="K498" s="130">
        <f>IF(AND(EXACT(C498,C496),C496&lt;&gt;0),K496+1,0)</f>
        <v>1</v>
      </c>
      <c r="L498" s="130" t="str">
        <f>IF(C498&lt;&gt;"",C498&amp;"-"&amp;K498,"")</f>
        <v>TB O-8 Percentage of people diagnosed with TB who report stigma in health care settings that inhibited them from seeking and accessing TB services-1</v>
      </c>
      <c r="M498" s="130" t="str">
        <f t="array" ref="M498">IFERROR(IF(INDEX('Disaggregation Records'!$E$83:$E$149,MATCH(RIGHT(L498,255),RIGHT('Disaggregation Records'!$D$83:$D$149,255),0))="","",INDEX('Disaggregation Records'!$E$83:$E$149,MATCH(RIGHT(L498,255),RIGHT('Disaggregation Records'!$D$83:$D$149,255),0))),"")</f>
        <v/>
      </c>
      <c r="N498" s="130" t="str">
        <f t="array" ref="N498">IFERROR(IF(INDEX('Disaggregation Records'!$F$83:$F$149,MATCH(RIGHT(L498,255),RIGHT('Disaggregation Records'!$D$83:$D$149,255),0))="","",INDEX('Disaggregation Records'!$F$83:$F$149,MATCH(RIGHT(L498,255),RIGHT('Disaggregation Records'!$D$83:$D$149,255),0))),"")</f>
        <v/>
      </c>
      <c r="O498" s="130" t="str">
        <f t="array" ref="O498">IFERROR(IF(INDEX('Disaggregation Records'!$H$83:$H$149,MATCH(RIGHT(L498,255),RIGHT('Disaggregation Records'!$D$83:$D$149,255),0))="","",INDEX('Disaggregation Records'!$H$83:$H$149,MATCH(RIGHT(L498,255),RIGHT('Disaggregation Records'!$D$83:$D$149,255),0))),"")</f>
        <v/>
      </c>
      <c r="P498" s="130"/>
      <c r="Q498" s="52">
        <f t="shared" ref="Q498" si="667">Q496+1</f>
        <v>978</v>
      </c>
    </row>
    <row r="499" spans="1:17" ht="20.100000000000001" customHeight="1" x14ac:dyDescent="0.25">
      <c r="B499" s="602"/>
      <c r="C499" s="604"/>
      <c r="D499" s="606"/>
      <c r="E499" s="606"/>
      <c r="F499" s="132"/>
      <c r="G499" s="608"/>
      <c r="H499" s="598"/>
      <c r="I499" s="600"/>
      <c r="J499" s="532"/>
      <c r="K499" s="130"/>
      <c r="L499" s="130"/>
      <c r="M499" s="130"/>
      <c r="N499" s="130"/>
      <c r="O499" s="130"/>
      <c r="P499" s="130"/>
    </row>
    <row r="500" spans="1:17" ht="20.100000000000001" customHeight="1" x14ac:dyDescent="0.25">
      <c r="A500" s="130" t="str">
        <f t="shared" ref="A500" ca="1" si="668">INDIRECT("'update Helper'!C"&amp;Q500)</f>
        <v>a1VDm000000PRcBMAW</v>
      </c>
      <c r="B500" s="601">
        <v>10</v>
      </c>
      <c r="C500" s="603" t="str">
        <f>IFERROR(VLOOKUP(B500,'Outcome Indicators - Section C '!$A$9:$AC$70,29,FALSE),"")</f>
        <v>TB O-8 Percentage of people diagnosed with TB who report stigma in health care settings that inhibited them from seeking and accessing TB services</v>
      </c>
      <c r="D500" s="605" t="str">
        <f>M500</f>
        <v/>
      </c>
      <c r="E500" s="605" t="str">
        <f>N500</f>
        <v/>
      </c>
      <c r="F500" s="131"/>
      <c r="G500" s="607" t="str">
        <f ca="1">IF(OR(INDIRECT("'update Helper'!E"&amp;Q500)="",F500&lt;&gt;0,F501&lt;&gt;0),IF(IFERROR((F500/F501),"")="","",(F500/F501)),INDIRECT("'update Helper'!E"&amp;Q500)/100)</f>
        <v/>
      </c>
      <c r="H500" s="597"/>
      <c r="I500" s="599"/>
      <c r="J500" s="531"/>
      <c r="K500" s="130">
        <f>IF(AND(EXACT(C500,C498),C498&lt;&gt;0),K498+1,0)</f>
        <v>2</v>
      </c>
      <c r="L500" s="130" t="str">
        <f>IF(C500&lt;&gt;"",C500&amp;"-"&amp;K500,"")</f>
        <v>TB O-8 Percentage of people diagnosed with TB who report stigma in health care settings that inhibited them from seeking and accessing TB services-2</v>
      </c>
      <c r="M500" s="130" t="str">
        <f t="array" ref="M500">IFERROR(IF(INDEX('Disaggregation Records'!$E$83:$E$149,MATCH(RIGHT(L500,255),RIGHT('Disaggregation Records'!$D$83:$D$149,255),0))="","",INDEX('Disaggregation Records'!$E$83:$E$149,MATCH(RIGHT(L500,255),RIGHT('Disaggregation Records'!$D$83:$D$149,255),0))),"")</f>
        <v/>
      </c>
      <c r="N500" s="130" t="str">
        <f t="array" ref="N500">IFERROR(IF(INDEX('Disaggregation Records'!$F$83:$F$149,MATCH(RIGHT(L500,255),RIGHT('Disaggregation Records'!$D$83:$D$149,255),0))="","",INDEX('Disaggregation Records'!$F$83:$F$149,MATCH(RIGHT(L500,255),RIGHT('Disaggregation Records'!$D$83:$D$149,255),0))),"")</f>
        <v/>
      </c>
      <c r="O500" s="130" t="str">
        <f t="array" ref="O500">IFERROR(IF(INDEX('Disaggregation Records'!$H$83:$H$149,MATCH(RIGHT(L500,255),RIGHT('Disaggregation Records'!$D$83:$D$149,255),0))="","",INDEX('Disaggregation Records'!$H$83:$H$149,MATCH(RIGHT(L500,255),RIGHT('Disaggregation Records'!$D$83:$D$149,255),0))),"")</f>
        <v/>
      </c>
      <c r="P500" s="130"/>
      <c r="Q500" s="52">
        <f t="shared" ref="Q500" si="669">Q498+1</f>
        <v>979</v>
      </c>
    </row>
    <row r="501" spans="1:17" ht="20.100000000000001" customHeight="1" x14ac:dyDescent="0.25">
      <c r="A501" s="130"/>
      <c r="B501" s="602"/>
      <c r="C501" s="604"/>
      <c r="D501" s="606"/>
      <c r="E501" s="606"/>
      <c r="F501" s="132"/>
      <c r="G501" s="608"/>
      <c r="H501" s="598"/>
      <c r="I501" s="600"/>
      <c r="J501" s="532"/>
      <c r="K501" s="130"/>
      <c r="L501" s="130"/>
      <c r="M501" s="130"/>
      <c r="N501" s="130"/>
      <c r="O501" s="130"/>
      <c r="P501" s="130"/>
    </row>
    <row r="502" spans="1:17" ht="20.100000000000001" customHeight="1" x14ac:dyDescent="0.25">
      <c r="A502" s="130" t="str">
        <f t="shared" ref="A502" ca="1" si="670">INDIRECT("'update Helper'!C"&amp;Q502)</f>
        <v>a1VDm000000PRcCMAW</v>
      </c>
      <c r="B502" s="601">
        <v>10</v>
      </c>
      <c r="C502" s="603" t="str">
        <f>IFERROR(VLOOKUP(B502,'Outcome Indicators - Section C '!$A$9:$AC$70,29,FALSE),"")</f>
        <v>TB O-8 Percentage of people diagnosed with TB who report stigma in health care settings that inhibited them from seeking and accessing TB services</v>
      </c>
      <c r="D502" s="605" t="str">
        <f>M502</f>
        <v/>
      </c>
      <c r="E502" s="605" t="str">
        <f>N502</f>
        <v/>
      </c>
      <c r="F502" s="131"/>
      <c r="G502" s="607" t="str">
        <f ca="1">IF(OR(INDIRECT("'update Helper'!E"&amp;Q502)="",F502&lt;&gt;0,F503&lt;&gt;0),IF(IFERROR((F502/F503),"")="","",(F502/F503)),INDIRECT("'update Helper'!E"&amp;Q502)/100)</f>
        <v/>
      </c>
      <c r="H502" s="597"/>
      <c r="I502" s="599"/>
      <c r="J502" s="531"/>
      <c r="K502" s="130">
        <f>IF(AND(EXACT(C502,C500),C500&lt;&gt;0),K500+1,0)</f>
        <v>3</v>
      </c>
      <c r="L502" s="130" t="str">
        <f>IF(C502&lt;&gt;"",C502&amp;"-"&amp;K502,"")</f>
        <v>TB O-8 Percentage of people diagnosed with TB who report stigma in health care settings that inhibited them from seeking and accessing TB services-3</v>
      </c>
      <c r="M502" s="130" t="str">
        <f t="array" ref="M502">IFERROR(IF(INDEX('Disaggregation Records'!$E$83:$E$149,MATCH(RIGHT(L502,255),RIGHT('Disaggregation Records'!$D$83:$D$149,255),0))="","",INDEX('Disaggregation Records'!$E$83:$E$149,MATCH(RIGHT(L502,255),RIGHT('Disaggregation Records'!$D$83:$D$149,255),0))),"")</f>
        <v/>
      </c>
      <c r="N502" s="130" t="str">
        <f t="array" ref="N502">IFERROR(IF(INDEX('Disaggregation Records'!$F$83:$F$149,MATCH(RIGHT(L502,255),RIGHT('Disaggregation Records'!$D$83:$D$149,255),0))="","",INDEX('Disaggregation Records'!$F$83:$F$149,MATCH(RIGHT(L502,255),RIGHT('Disaggregation Records'!$D$83:$D$149,255),0))),"")</f>
        <v/>
      </c>
      <c r="O502" s="130" t="str">
        <f t="array" ref="O502">IFERROR(IF(INDEX('Disaggregation Records'!$H$83:$H$149,MATCH(RIGHT(L502,255),RIGHT('Disaggregation Records'!$D$83:$D$149,255),0))="","",INDEX('Disaggregation Records'!$H$83:$H$149,MATCH(RIGHT(L502,255),RIGHT('Disaggregation Records'!$D$83:$D$149,255),0))),"")</f>
        <v/>
      </c>
      <c r="P502" s="130"/>
      <c r="Q502" s="52">
        <f t="shared" ref="Q502" si="671">Q500+1</f>
        <v>980</v>
      </c>
    </row>
    <row r="503" spans="1:17" ht="20.100000000000001" customHeight="1" x14ac:dyDescent="0.25">
      <c r="B503" s="602"/>
      <c r="C503" s="604"/>
      <c r="D503" s="606"/>
      <c r="E503" s="606"/>
      <c r="F503" s="132"/>
      <c r="G503" s="608"/>
      <c r="H503" s="598"/>
      <c r="I503" s="600"/>
      <c r="J503" s="532"/>
      <c r="K503" s="130"/>
      <c r="L503" s="130"/>
      <c r="M503" s="130"/>
      <c r="N503" s="130"/>
      <c r="O503" s="130"/>
      <c r="P503" s="130"/>
    </row>
    <row r="504" spans="1:17" ht="20.100000000000001" customHeight="1" x14ac:dyDescent="0.25">
      <c r="A504" s="130" t="str">
        <f t="shared" ref="A504" ca="1" si="672">INDIRECT("'update Helper'!C"&amp;Q504)</f>
        <v>a1VDm000000PRcDMAW</v>
      </c>
      <c r="B504" s="601">
        <v>10</v>
      </c>
      <c r="C504" s="603" t="str">
        <f>IFERROR(VLOOKUP(B504,'Outcome Indicators - Section C '!$A$9:$AC$70,29,FALSE),"")</f>
        <v>TB O-8 Percentage of people diagnosed with TB who report stigma in health care settings that inhibited them from seeking and accessing TB services</v>
      </c>
      <c r="D504" s="605" t="str">
        <f>M504</f>
        <v/>
      </c>
      <c r="E504" s="605" t="str">
        <f>N504</f>
        <v/>
      </c>
      <c r="F504" s="131"/>
      <c r="G504" s="607" t="str">
        <f ca="1">IF(OR(INDIRECT("'update Helper'!E"&amp;Q504)="",F504&lt;&gt;0,F505&lt;&gt;0),IF(IFERROR((F504/F505),"")="","",(F504/F505)),INDIRECT("'update Helper'!E"&amp;Q504)/100)</f>
        <v/>
      </c>
      <c r="H504" s="597"/>
      <c r="I504" s="599"/>
      <c r="J504" s="531"/>
      <c r="K504" s="130">
        <f>IF(AND(EXACT(C504,C502),C502&lt;&gt;0),K502+1,0)</f>
        <v>4</v>
      </c>
      <c r="L504" s="130" t="str">
        <f>IF(C504&lt;&gt;"",C504&amp;"-"&amp;K504,"")</f>
        <v>TB O-8 Percentage of people diagnosed with TB who report stigma in health care settings that inhibited them from seeking and accessing TB services-4</v>
      </c>
      <c r="M504" s="130" t="str">
        <f t="array" ref="M504">IFERROR(IF(INDEX('Disaggregation Records'!$E$83:$E$149,MATCH(RIGHT(L504,255),RIGHT('Disaggregation Records'!$D$83:$D$149,255),0))="","",INDEX('Disaggregation Records'!$E$83:$E$149,MATCH(RIGHT(L504,255),RIGHT('Disaggregation Records'!$D$83:$D$149,255),0))),"")</f>
        <v/>
      </c>
      <c r="N504" s="130" t="str">
        <f t="array" ref="N504">IFERROR(IF(INDEX('Disaggregation Records'!$F$83:$F$149,MATCH(RIGHT(L504,255),RIGHT('Disaggregation Records'!$D$83:$D$149,255),0))="","",INDEX('Disaggregation Records'!$F$83:$F$149,MATCH(RIGHT(L504,255),RIGHT('Disaggregation Records'!$D$83:$D$149,255),0))),"")</f>
        <v/>
      </c>
      <c r="O504" s="130" t="str">
        <f t="array" ref="O504">IFERROR(IF(INDEX('Disaggregation Records'!$H$83:$H$149,MATCH(RIGHT(L504,255),RIGHT('Disaggregation Records'!$D$83:$D$149,255),0))="","",INDEX('Disaggregation Records'!$H$83:$H$149,MATCH(RIGHT(L504,255),RIGHT('Disaggregation Records'!$D$83:$D$149,255),0))),"")</f>
        <v/>
      </c>
      <c r="P504" s="130"/>
      <c r="Q504" s="52">
        <f t="shared" ref="Q504" si="673">Q502+1</f>
        <v>981</v>
      </c>
    </row>
    <row r="505" spans="1:17" ht="20.100000000000001" customHeight="1" x14ac:dyDescent="0.25">
      <c r="A505" s="130"/>
      <c r="B505" s="602"/>
      <c r="C505" s="604"/>
      <c r="D505" s="606"/>
      <c r="E505" s="606"/>
      <c r="F505" s="132"/>
      <c r="G505" s="608"/>
      <c r="H505" s="598"/>
      <c r="I505" s="600"/>
      <c r="J505" s="532"/>
      <c r="K505" s="130"/>
      <c r="L505" s="130"/>
      <c r="M505" s="130"/>
      <c r="N505" s="130"/>
      <c r="O505" s="130"/>
      <c r="P505" s="130"/>
    </row>
    <row r="506" spans="1:17" ht="20.100000000000001" customHeight="1" x14ac:dyDescent="0.25">
      <c r="A506" s="130" t="str">
        <f t="shared" ref="A506" ca="1" si="674">INDIRECT("'update Helper'!C"&amp;Q506)</f>
        <v>a1VDm000000PRcEMAW</v>
      </c>
      <c r="B506" s="601">
        <v>10</v>
      </c>
      <c r="C506" s="603" t="str">
        <f>IFERROR(VLOOKUP(B506,'Outcome Indicators - Section C '!$A$9:$AC$70,29,FALSE),"")</f>
        <v>TB O-8 Percentage of people diagnosed with TB who report stigma in health care settings that inhibited them from seeking and accessing TB services</v>
      </c>
      <c r="D506" s="605" t="str">
        <f>M506</f>
        <v/>
      </c>
      <c r="E506" s="605" t="str">
        <f>N506</f>
        <v/>
      </c>
      <c r="F506" s="131"/>
      <c r="G506" s="607" t="str">
        <f ca="1">IF(OR(INDIRECT("'update Helper'!E"&amp;Q506)="",F506&lt;&gt;0,F507&lt;&gt;0),IF(IFERROR((F506/F507),"")="","",(F506/F507)),INDIRECT("'update Helper'!E"&amp;Q506)/100)</f>
        <v/>
      </c>
      <c r="H506" s="597"/>
      <c r="I506" s="599"/>
      <c r="J506" s="531"/>
      <c r="K506" s="130">
        <f>IF(AND(EXACT(C506,C504),C504&lt;&gt;0),K504+1,0)</f>
        <v>5</v>
      </c>
      <c r="L506" s="130" t="str">
        <f>IF(C506&lt;&gt;"",C506&amp;"-"&amp;K506,"")</f>
        <v>TB O-8 Percentage of people diagnosed with TB who report stigma in health care settings that inhibited them from seeking and accessing TB services-5</v>
      </c>
      <c r="M506" s="130" t="str">
        <f t="array" ref="M506">IFERROR(IF(INDEX('Disaggregation Records'!$E$83:$E$149,MATCH(RIGHT(L506,255),RIGHT('Disaggregation Records'!$D$83:$D$149,255),0))="","",INDEX('Disaggregation Records'!$E$83:$E$149,MATCH(RIGHT(L506,255),RIGHT('Disaggregation Records'!$D$83:$D$149,255),0))),"")</f>
        <v/>
      </c>
      <c r="N506" s="130" t="str">
        <f t="array" ref="N506">IFERROR(IF(INDEX('Disaggregation Records'!$F$83:$F$149,MATCH(RIGHT(L506,255),RIGHT('Disaggregation Records'!$D$83:$D$149,255),0))="","",INDEX('Disaggregation Records'!$F$83:$F$149,MATCH(RIGHT(L506,255),RIGHT('Disaggregation Records'!$D$83:$D$149,255),0))),"")</f>
        <v/>
      </c>
      <c r="O506" s="130" t="str">
        <f t="array" ref="O506">IFERROR(IF(INDEX('Disaggregation Records'!$H$83:$H$149,MATCH(RIGHT(L506,255),RIGHT('Disaggregation Records'!$D$83:$D$149,255),0))="","",INDEX('Disaggregation Records'!$H$83:$H$149,MATCH(RIGHT(L506,255),RIGHT('Disaggregation Records'!$D$83:$D$149,255),0))),"")</f>
        <v/>
      </c>
      <c r="P506" s="130"/>
      <c r="Q506" s="52">
        <f t="shared" ref="Q506" si="675">Q504+1</f>
        <v>982</v>
      </c>
    </row>
    <row r="507" spans="1:17" ht="20.100000000000001" customHeight="1" x14ac:dyDescent="0.25">
      <c r="B507" s="602"/>
      <c r="C507" s="604"/>
      <c r="D507" s="606"/>
      <c r="E507" s="606"/>
      <c r="F507" s="132"/>
      <c r="G507" s="608"/>
      <c r="H507" s="598"/>
      <c r="I507" s="600"/>
      <c r="J507" s="532"/>
      <c r="K507" s="130"/>
      <c r="L507" s="130"/>
      <c r="M507" s="130"/>
      <c r="N507" s="130"/>
      <c r="O507" s="130"/>
      <c r="P507" s="130"/>
    </row>
    <row r="508" spans="1:17" ht="20.100000000000001" customHeight="1" x14ac:dyDescent="0.25">
      <c r="A508" s="130" t="str">
        <f t="shared" ref="A508" ca="1" si="676">INDIRECT("'update Helper'!C"&amp;Q508)</f>
        <v>a1VDm000000PRcFMAW</v>
      </c>
      <c r="B508" s="601">
        <v>10</v>
      </c>
      <c r="C508" s="603" t="str">
        <f>IFERROR(VLOOKUP(B508,'Outcome Indicators - Section C '!$A$9:$AC$70,29,FALSE),"")</f>
        <v>TB O-8 Percentage of people diagnosed with TB who report stigma in health care settings that inhibited them from seeking and accessing TB services</v>
      </c>
      <c r="D508" s="605" t="str">
        <f>M508</f>
        <v/>
      </c>
      <c r="E508" s="605" t="str">
        <f>N508</f>
        <v/>
      </c>
      <c r="F508" s="131"/>
      <c r="G508" s="607" t="str">
        <f ca="1">IF(OR(INDIRECT("'update Helper'!E"&amp;Q508)="",F508&lt;&gt;0,F509&lt;&gt;0),IF(IFERROR((F508/F509),"")="","",(F508/F509)),INDIRECT("'update Helper'!E"&amp;Q508)/100)</f>
        <v/>
      </c>
      <c r="H508" s="597"/>
      <c r="I508" s="599"/>
      <c r="J508" s="531"/>
      <c r="K508" s="130">
        <f>IF(AND(EXACT(C508,C506),C506&lt;&gt;0),K506+1,0)</f>
        <v>6</v>
      </c>
      <c r="L508" s="130" t="str">
        <f>IF(C508&lt;&gt;"",C508&amp;"-"&amp;K508,"")</f>
        <v>TB O-8 Percentage of people diagnosed with TB who report stigma in health care settings that inhibited them from seeking and accessing TB services-6</v>
      </c>
      <c r="M508" s="130" t="str">
        <f t="array" ref="M508">IFERROR(IF(INDEX('Disaggregation Records'!$E$83:$E$149,MATCH(RIGHT(L508,255),RIGHT('Disaggregation Records'!$D$83:$D$149,255),0))="","",INDEX('Disaggregation Records'!$E$83:$E$149,MATCH(RIGHT(L508,255),RIGHT('Disaggregation Records'!$D$83:$D$149,255),0))),"")</f>
        <v/>
      </c>
      <c r="N508" s="130" t="str">
        <f t="array" ref="N508">IFERROR(IF(INDEX('Disaggregation Records'!$F$83:$F$149,MATCH(RIGHT(L508,255),RIGHT('Disaggregation Records'!$D$83:$D$149,255),0))="","",INDEX('Disaggregation Records'!$F$83:$F$149,MATCH(RIGHT(L508,255),RIGHT('Disaggregation Records'!$D$83:$D$149,255),0))),"")</f>
        <v/>
      </c>
      <c r="O508" s="130" t="str">
        <f t="array" ref="O508">IFERROR(IF(INDEX('Disaggregation Records'!$H$83:$H$149,MATCH(RIGHT(L508,255),RIGHT('Disaggregation Records'!$D$83:$D$149,255),0))="","",INDEX('Disaggregation Records'!$H$83:$H$149,MATCH(RIGHT(L508,255),RIGHT('Disaggregation Records'!$D$83:$D$149,255),0))),"")</f>
        <v/>
      </c>
      <c r="P508" s="130"/>
      <c r="Q508" s="52">
        <f t="shared" ref="Q508" si="677">Q506+1</f>
        <v>983</v>
      </c>
    </row>
    <row r="509" spans="1:17" ht="20.100000000000001" customHeight="1" x14ac:dyDescent="0.25">
      <c r="A509" s="130"/>
      <c r="B509" s="602"/>
      <c r="C509" s="604"/>
      <c r="D509" s="606"/>
      <c r="E509" s="606"/>
      <c r="F509" s="132"/>
      <c r="G509" s="608"/>
      <c r="H509" s="598"/>
      <c r="I509" s="600"/>
      <c r="J509" s="532"/>
      <c r="K509" s="130"/>
      <c r="L509" s="130"/>
      <c r="M509" s="130"/>
      <c r="N509" s="130"/>
      <c r="O509" s="130"/>
      <c r="P509" s="130"/>
    </row>
    <row r="510" spans="1:17" ht="20.100000000000001" customHeight="1" x14ac:dyDescent="0.25">
      <c r="A510" s="130" t="str">
        <f t="shared" ref="A510" ca="1" si="678">INDIRECT("'update Helper'!C"&amp;Q510)</f>
        <v>a1VDm000000PRcGMAW</v>
      </c>
      <c r="B510" s="601">
        <v>10</v>
      </c>
      <c r="C510" s="603" t="str">
        <f>IFERROR(VLOOKUP(B510,'Outcome Indicators - Section C '!$A$9:$AC$70,29,FALSE),"")</f>
        <v>TB O-8 Percentage of people diagnosed with TB who report stigma in health care settings that inhibited them from seeking and accessing TB services</v>
      </c>
      <c r="D510" s="605" t="str">
        <f>M510</f>
        <v/>
      </c>
      <c r="E510" s="605" t="str">
        <f>N510</f>
        <v/>
      </c>
      <c r="F510" s="131"/>
      <c r="G510" s="607" t="str">
        <f ca="1">IF(OR(INDIRECT("'update Helper'!E"&amp;Q510)="",F510&lt;&gt;0,F511&lt;&gt;0),IF(IFERROR((F510/F511),"")="","",(F510/F511)),INDIRECT("'update Helper'!E"&amp;Q510)/100)</f>
        <v/>
      </c>
      <c r="H510" s="597"/>
      <c r="I510" s="599"/>
      <c r="J510" s="531"/>
      <c r="K510" s="130">
        <f>IF(AND(EXACT(C510,C508),C508&lt;&gt;0),K508+1,0)</f>
        <v>7</v>
      </c>
      <c r="L510" s="130" t="str">
        <f>IF(C510&lt;&gt;"",C510&amp;"-"&amp;K510,"")</f>
        <v>TB O-8 Percentage of people diagnosed with TB who report stigma in health care settings that inhibited them from seeking and accessing TB services-7</v>
      </c>
      <c r="M510" s="130" t="str">
        <f t="array" ref="M510">IFERROR(IF(INDEX('Disaggregation Records'!$E$83:$E$149,MATCH(RIGHT(L510,255),RIGHT('Disaggregation Records'!$D$83:$D$149,255),0))="","",INDEX('Disaggregation Records'!$E$83:$E$149,MATCH(RIGHT(L510,255),RIGHT('Disaggregation Records'!$D$83:$D$149,255),0))),"")</f>
        <v/>
      </c>
      <c r="N510" s="130" t="str">
        <f t="array" ref="N510">IFERROR(IF(INDEX('Disaggregation Records'!$F$83:$F$149,MATCH(RIGHT(L510,255),RIGHT('Disaggregation Records'!$D$83:$D$149,255),0))="","",INDEX('Disaggregation Records'!$F$83:$F$149,MATCH(RIGHT(L510,255),RIGHT('Disaggregation Records'!$D$83:$D$149,255),0))),"")</f>
        <v/>
      </c>
      <c r="O510" s="130" t="str">
        <f t="array" ref="O510">IFERROR(IF(INDEX('Disaggregation Records'!$H$83:$H$149,MATCH(RIGHT(L510,255),RIGHT('Disaggregation Records'!$D$83:$D$149,255),0))="","",INDEX('Disaggregation Records'!$H$83:$H$149,MATCH(RIGHT(L510,255),RIGHT('Disaggregation Records'!$D$83:$D$149,255),0))),"")</f>
        <v/>
      </c>
      <c r="P510" s="130"/>
      <c r="Q510" s="52">
        <f t="shared" ref="Q510" si="679">Q508+1</f>
        <v>984</v>
      </c>
    </row>
    <row r="511" spans="1:17" ht="20.100000000000001" customHeight="1" x14ac:dyDescent="0.25">
      <c r="B511" s="602"/>
      <c r="C511" s="604"/>
      <c r="D511" s="606"/>
      <c r="E511" s="606"/>
      <c r="F511" s="132"/>
      <c r="G511" s="608"/>
      <c r="H511" s="598"/>
      <c r="I511" s="600"/>
      <c r="J511" s="532"/>
      <c r="K511" s="130"/>
      <c r="L511" s="130"/>
      <c r="M511" s="130"/>
      <c r="N511" s="130"/>
      <c r="O511" s="130"/>
      <c r="P511" s="130"/>
    </row>
    <row r="512" spans="1:17" ht="20.100000000000001" customHeight="1" x14ac:dyDescent="0.25">
      <c r="A512" s="130" t="str">
        <f t="shared" ref="A512" ca="1" si="680">INDIRECT("'update Helper'!C"&amp;Q512)</f>
        <v>a1VDm000000PRcHMAW</v>
      </c>
      <c r="B512" s="601">
        <v>10</v>
      </c>
      <c r="C512" s="603" t="str">
        <f>IFERROR(VLOOKUP(B512,'Outcome Indicators - Section C '!$A$9:$AC$70,29,FALSE),"")</f>
        <v>TB O-8 Percentage of people diagnosed with TB who report stigma in health care settings that inhibited them from seeking and accessing TB services</v>
      </c>
      <c r="D512" s="605" t="str">
        <f>M512</f>
        <v/>
      </c>
      <c r="E512" s="605" t="str">
        <f>N512</f>
        <v/>
      </c>
      <c r="F512" s="131"/>
      <c r="G512" s="607" t="str">
        <f ca="1">IF(OR(INDIRECT("'update Helper'!E"&amp;Q512)="",F512&lt;&gt;0,F513&lt;&gt;0),IF(IFERROR((F512/F513),"")="","",(F512/F513)),INDIRECT("'update Helper'!E"&amp;Q512)/100)</f>
        <v/>
      </c>
      <c r="H512" s="597"/>
      <c r="I512" s="599"/>
      <c r="J512" s="531"/>
      <c r="K512" s="130">
        <f>IF(AND(EXACT(C512,C510),C510&lt;&gt;0),K510+1,0)</f>
        <v>8</v>
      </c>
      <c r="L512" s="130" t="str">
        <f>IF(C512&lt;&gt;"",C512&amp;"-"&amp;K512,"")</f>
        <v>TB O-8 Percentage of people diagnosed with TB who report stigma in health care settings that inhibited them from seeking and accessing TB services-8</v>
      </c>
      <c r="M512" s="130" t="str">
        <f t="array" ref="M512">IFERROR(IF(INDEX('Disaggregation Records'!$E$83:$E$149,MATCH(RIGHT(L512,255),RIGHT('Disaggregation Records'!$D$83:$D$149,255),0))="","",INDEX('Disaggregation Records'!$E$83:$E$149,MATCH(RIGHT(L512,255),RIGHT('Disaggregation Records'!$D$83:$D$149,255),0))),"")</f>
        <v/>
      </c>
      <c r="N512" s="130" t="str">
        <f t="array" ref="N512">IFERROR(IF(INDEX('Disaggregation Records'!$F$83:$F$149,MATCH(RIGHT(L512,255),RIGHT('Disaggregation Records'!$D$83:$D$149,255),0))="","",INDEX('Disaggregation Records'!$F$83:$F$149,MATCH(RIGHT(L512,255),RIGHT('Disaggregation Records'!$D$83:$D$149,255),0))),"")</f>
        <v/>
      </c>
      <c r="O512" s="130" t="str">
        <f t="array" ref="O512">IFERROR(IF(INDEX('Disaggregation Records'!$H$83:$H$149,MATCH(RIGHT(L512,255),RIGHT('Disaggregation Records'!$D$83:$D$149,255),0))="","",INDEX('Disaggregation Records'!$H$83:$H$149,MATCH(RIGHT(L512,255),RIGHT('Disaggregation Records'!$D$83:$D$149,255),0))),"")</f>
        <v/>
      </c>
      <c r="P512" s="130"/>
      <c r="Q512" s="52">
        <f t="shared" ref="Q512" si="681">Q510+1</f>
        <v>985</v>
      </c>
    </row>
    <row r="513" spans="1:17" ht="20.100000000000001" customHeight="1" x14ac:dyDescent="0.25">
      <c r="A513" s="130"/>
      <c r="B513" s="602"/>
      <c r="C513" s="604"/>
      <c r="D513" s="606"/>
      <c r="E513" s="606"/>
      <c r="F513" s="132"/>
      <c r="G513" s="608"/>
      <c r="H513" s="598"/>
      <c r="I513" s="600"/>
      <c r="J513" s="532"/>
      <c r="K513" s="130"/>
      <c r="L513" s="130"/>
      <c r="M513" s="130"/>
      <c r="N513" s="130"/>
      <c r="O513" s="130"/>
      <c r="P513" s="130"/>
    </row>
    <row r="514" spans="1:17" ht="20.100000000000001" customHeight="1" x14ac:dyDescent="0.25">
      <c r="A514" s="130" t="str">
        <f t="shared" ref="A514" ca="1" si="682">INDIRECT("'update Helper'!C"&amp;Q514)</f>
        <v>a1VDm000000PRcIMAW</v>
      </c>
      <c r="B514" s="601">
        <v>10</v>
      </c>
      <c r="C514" s="603" t="str">
        <f>IFERROR(VLOOKUP(B514,'Outcome Indicators - Section C '!$A$9:$AC$70,29,FALSE),"")</f>
        <v>TB O-8 Percentage of people diagnosed with TB who report stigma in health care settings that inhibited them from seeking and accessing TB services</v>
      </c>
      <c r="D514" s="605" t="str">
        <f>M514</f>
        <v/>
      </c>
      <c r="E514" s="605" t="str">
        <f>N514</f>
        <v/>
      </c>
      <c r="F514" s="131"/>
      <c r="G514" s="607" t="str">
        <f ca="1">IF(OR(INDIRECT("'update Helper'!E"&amp;Q514)="",F514&lt;&gt;0,F515&lt;&gt;0),IF(IFERROR((F514/F515),"")="","",(F514/F515)),INDIRECT("'update Helper'!E"&amp;Q514)/100)</f>
        <v/>
      </c>
      <c r="H514" s="597"/>
      <c r="I514" s="599"/>
      <c r="J514" s="531"/>
      <c r="K514" s="130">
        <f>IF(AND(EXACT(C514,C512),C512&lt;&gt;0),K512+1,0)</f>
        <v>9</v>
      </c>
      <c r="L514" s="130" t="str">
        <f>IF(C514&lt;&gt;"",C514&amp;"-"&amp;K514,"")</f>
        <v>TB O-8 Percentage of people diagnosed with TB who report stigma in health care settings that inhibited them from seeking and accessing TB services-9</v>
      </c>
      <c r="M514" s="130" t="str">
        <f t="array" ref="M514">IFERROR(IF(INDEX('Disaggregation Records'!$E$83:$E$149,MATCH(RIGHT(L514,255),RIGHT('Disaggregation Records'!$D$83:$D$149,255),0))="","",INDEX('Disaggregation Records'!$E$83:$E$149,MATCH(RIGHT(L514,255),RIGHT('Disaggregation Records'!$D$83:$D$149,255),0))),"")</f>
        <v/>
      </c>
      <c r="N514" s="130" t="str">
        <f t="array" ref="N514">IFERROR(IF(INDEX('Disaggregation Records'!$F$83:$F$149,MATCH(RIGHT(L514,255),RIGHT('Disaggregation Records'!$D$83:$D$149,255),0))="","",INDEX('Disaggregation Records'!$F$83:$F$149,MATCH(RIGHT(L514,255),RIGHT('Disaggregation Records'!$D$83:$D$149,255),0))),"")</f>
        <v/>
      </c>
      <c r="O514" s="130" t="str">
        <f t="array" ref="O514">IFERROR(IF(INDEX('Disaggregation Records'!$H$83:$H$149,MATCH(RIGHT(L514,255),RIGHT('Disaggregation Records'!$D$83:$D$149,255),0))="","",INDEX('Disaggregation Records'!$H$83:$H$149,MATCH(RIGHT(L514,255),RIGHT('Disaggregation Records'!$D$83:$D$149,255),0))),"")</f>
        <v/>
      </c>
      <c r="P514" s="130"/>
      <c r="Q514" s="52">
        <f t="shared" ref="Q514" si="683">Q512+1</f>
        <v>986</v>
      </c>
    </row>
    <row r="515" spans="1:17" ht="20.100000000000001" customHeight="1" x14ac:dyDescent="0.25">
      <c r="B515" s="602"/>
      <c r="C515" s="604"/>
      <c r="D515" s="606"/>
      <c r="E515" s="606"/>
      <c r="F515" s="132"/>
      <c r="G515" s="608"/>
      <c r="H515" s="598"/>
      <c r="I515" s="600"/>
      <c r="J515" s="532"/>
      <c r="K515" s="130"/>
      <c r="L515" s="130"/>
      <c r="M515" s="130"/>
      <c r="N515" s="130"/>
      <c r="O515" s="130"/>
      <c r="P515" s="130"/>
    </row>
    <row r="516" spans="1:17" ht="20.100000000000001" customHeight="1" x14ac:dyDescent="0.25">
      <c r="A516" s="130" t="str">
        <f t="shared" ref="A516" ca="1" si="684">INDIRECT("'update Helper'!C"&amp;Q516)</f>
        <v>a1VDm000000PRcJMAW</v>
      </c>
      <c r="B516" s="601">
        <v>11</v>
      </c>
      <c r="C516" s="603" t="str">
        <f>IFERROR(VLOOKUP(B516,'Outcome Indicators - Section C '!$A$9:$AC$70,29,FALSE),"")</f>
        <v/>
      </c>
      <c r="D516" s="605" t="str">
        <f>M516</f>
        <v/>
      </c>
      <c r="E516" s="605" t="str">
        <f>N516</f>
        <v/>
      </c>
      <c r="F516" s="131"/>
      <c r="G516" s="607" t="str">
        <f ca="1">IF(OR(INDIRECT("'update Helper'!E"&amp;Q516)="",F516&lt;&gt;0,F517&lt;&gt;0),IF(IFERROR((F516/F517),"")="","",(F516/F517)),INDIRECT("'update Helper'!E"&amp;Q516)/100)</f>
        <v/>
      </c>
      <c r="H516" s="597"/>
      <c r="I516" s="599"/>
      <c r="J516" s="531"/>
      <c r="K516" s="130">
        <f>IF(AND(EXACT(C516,C514),C514&lt;&gt;0),K514+1,0)</f>
        <v>0</v>
      </c>
      <c r="L516" s="130" t="str">
        <f>IF(C516&lt;&gt;"",C516&amp;"-"&amp;K516,"")</f>
        <v/>
      </c>
      <c r="M516" s="130" t="str">
        <f t="array" ref="M516">IFERROR(IF(INDEX('Disaggregation Records'!$E$83:$E$149,MATCH(RIGHT(L516,255),RIGHT('Disaggregation Records'!$D$83:$D$149,255),0))="","",INDEX('Disaggregation Records'!$E$83:$E$149,MATCH(RIGHT(L516,255),RIGHT('Disaggregation Records'!$D$83:$D$149,255),0))),"")</f>
        <v/>
      </c>
      <c r="N516" s="130" t="str">
        <f t="array" ref="N516">IFERROR(IF(INDEX('Disaggregation Records'!$F$83:$F$149,MATCH(RIGHT(L516,255),RIGHT('Disaggregation Records'!$D$83:$D$149,255),0))="","",INDEX('Disaggregation Records'!$F$83:$F$149,MATCH(RIGHT(L516,255),RIGHT('Disaggregation Records'!$D$83:$D$149,255),0))),"")</f>
        <v/>
      </c>
      <c r="O516" s="130" t="str">
        <f t="array" ref="O516">IFERROR(IF(INDEX('Disaggregation Records'!$H$83:$H$149,MATCH(RIGHT(L516,255),RIGHT('Disaggregation Records'!$D$83:$D$149,255),0))="","",INDEX('Disaggregation Records'!$H$83:$H$149,MATCH(RIGHT(L516,255),RIGHT('Disaggregation Records'!$D$83:$D$149,255),0))),"")</f>
        <v/>
      </c>
      <c r="P516" s="130"/>
      <c r="Q516" s="52">
        <f t="shared" ref="Q516" si="685">Q514+1</f>
        <v>987</v>
      </c>
    </row>
    <row r="517" spans="1:17" ht="20.100000000000001" customHeight="1" x14ac:dyDescent="0.25">
      <c r="A517" s="130"/>
      <c r="B517" s="602"/>
      <c r="C517" s="604"/>
      <c r="D517" s="606"/>
      <c r="E517" s="606"/>
      <c r="F517" s="132"/>
      <c r="G517" s="608"/>
      <c r="H517" s="598"/>
      <c r="I517" s="600"/>
      <c r="J517" s="532"/>
      <c r="K517" s="130"/>
      <c r="L517" s="130"/>
      <c r="M517" s="130"/>
      <c r="N517" s="130"/>
      <c r="O517" s="130"/>
      <c r="P517" s="130"/>
    </row>
    <row r="518" spans="1:17" ht="20.100000000000001" customHeight="1" x14ac:dyDescent="0.25">
      <c r="A518" s="130" t="str">
        <f t="shared" ref="A518" ca="1" si="686">INDIRECT("'update Helper'!C"&amp;Q518)</f>
        <v>a1VDm000000PRcKMAW</v>
      </c>
      <c r="B518" s="601">
        <v>11</v>
      </c>
      <c r="C518" s="603" t="str">
        <f>IFERROR(VLOOKUP(B518,'Outcome Indicators - Section C '!$A$9:$AC$70,29,FALSE),"")</f>
        <v/>
      </c>
      <c r="D518" s="605" t="str">
        <f>M518</f>
        <v/>
      </c>
      <c r="E518" s="605" t="str">
        <f>N518</f>
        <v/>
      </c>
      <c r="F518" s="131"/>
      <c r="G518" s="607" t="str">
        <f ca="1">IF(OR(INDIRECT("'update Helper'!E"&amp;Q518)="",F518&lt;&gt;0,F519&lt;&gt;0),IF(IFERROR((F518/F519),"")="","",(F518/F519)),INDIRECT("'update Helper'!E"&amp;Q518)/100)</f>
        <v/>
      </c>
      <c r="H518" s="597"/>
      <c r="I518" s="599"/>
      <c r="J518" s="531"/>
      <c r="K518" s="130">
        <f>IF(AND(EXACT(C518,C516),C516&lt;&gt;0),K516+1,0)</f>
        <v>1</v>
      </c>
      <c r="L518" s="130" t="str">
        <f>IF(C518&lt;&gt;"",C518&amp;"-"&amp;K518,"")</f>
        <v/>
      </c>
      <c r="M518" s="130" t="str">
        <f t="array" ref="M518">IFERROR(IF(INDEX('Disaggregation Records'!$E$83:$E$149,MATCH(RIGHT(L518,255),RIGHT('Disaggregation Records'!$D$83:$D$149,255),0))="","",INDEX('Disaggregation Records'!$E$83:$E$149,MATCH(RIGHT(L518,255),RIGHT('Disaggregation Records'!$D$83:$D$149,255),0))),"")</f>
        <v/>
      </c>
      <c r="N518" s="130" t="str">
        <f t="array" ref="N518">IFERROR(IF(INDEX('Disaggregation Records'!$F$83:$F$149,MATCH(RIGHT(L518,255),RIGHT('Disaggregation Records'!$D$83:$D$149,255),0))="","",INDEX('Disaggregation Records'!$F$83:$F$149,MATCH(RIGHT(L518,255),RIGHT('Disaggregation Records'!$D$83:$D$149,255),0))),"")</f>
        <v/>
      </c>
      <c r="O518" s="130" t="str">
        <f t="array" ref="O518">IFERROR(IF(INDEX('Disaggregation Records'!$H$83:$H$149,MATCH(RIGHT(L518,255),RIGHT('Disaggregation Records'!$D$83:$D$149,255),0))="","",INDEX('Disaggregation Records'!$H$83:$H$149,MATCH(RIGHT(L518,255),RIGHT('Disaggregation Records'!$D$83:$D$149,255),0))),"")</f>
        <v/>
      </c>
      <c r="P518" s="130"/>
      <c r="Q518" s="52">
        <f t="shared" ref="Q518" si="687">Q516+1</f>
        <v>988</v>
      </c>
    </row>
    <row r="519" spans="1:17" ht="20.100000000000001" customHeight="1" x14ac:dyDescent="0.25">
      <c r="B519" s="602"/>
      <c r="C519" s="604"/>
      <c r="D519" s="606"/>
      <c r="E519" s="606"/>
      <c r="F519" s="132"/>
      <c r="G519" s="608"/>
      <c r="H519" s="598"/>
      <c r="I519" s="600"/>
      <c r="J519" s="532"/>
      <c r="K519" s="130"/>
      <c r="L519" s="130"/>
      <c r="M519" s="130"/>
      <c r="N519" s="130"/>
      <c r="O519" s="130"/>
      <c r="P519" s="130"/>
    </row>
    <row r="520" spans="1:17" ht="20.100000000000001" customHeight="1" x14ac:dyDescent="0.25">
      <c r="A520" s="130" t="str">
        <f t="shared" ref="A520" ca="1" si="688">INDIRECT("'update Helper'!C"&amp;Q520)</f>
        <v>a1VDm000000PRcLMAW</v>
      </c>
      <c r="B520" s="601">
        <v>11</v>
      </c>
      <c r="C520" s="603" t="str">
        <f>IFERROR(VLOOKUP(B520,'Outcome Indicators - Section C '!$A$9:$AC$70,29,FALSE),"")</f>
        <v/>
      </c>
      <c r="D520" s="605" t="str">
        <f>M520</f>
        <v/>
      </c>
      <c r="E520" s="605" t="str">
        <f>N520</f>
        <v/>
      </c>
      <c r="F520" s="131"/>
      <c r="G520" s="607" t="str">
        <f ca="1">IF(OR(INDIRECT("'update Helper'!E"&amp;Q520)="",F520&lt;&gt;0,F521&lt;&gt;0),IF(IFERROR((F520/F521),"")="","",(F520/F521)),INDIRECT("'update Helper'!E"&amp;Q520)/100)</f>
        <v/>
      </c>
      <c r="H520" s="597"/>
      <c r="I520" s="599"/>
      <c r="J520" s="531"/>
      <c r="K520" s="130">
        <f>IF(AND(EXACT(C520,C518),C518&lt;&gt;0),K518+1,0)</f>
        <v>2</v>
      </c>
      <c r="L520" s="130" t="str">
        <f>IF(C520&lt;&gt;"",C520&amp;"-"&amp;K520,"")</f>
        <v/>
      </c>
      <c r="M520" s="130" t="str">
        <f t="array" ref="M520">IFERROR(IF(INDEX('Disaggregation Records'!$E$83:$E$149,MATCH(RIGHT(L520,255),RIGHT('Disaggregation Records'!$D$83:$D$149,255),0))="","",INDEX('Disaggregation Records'!$E$83:$E$149,MATCH(RIGHT(L520,255),RIGHT('Disaggregation Records'!$D$83:$D$149,255),0))),"")</f>
        <v/>
      </c>
      <c r="N520" s="130" t="str">
        <f t="array" ref="N520">IFERROR(IF(INDEX('Disaggregation Records'!$F$83:$F$149,MATCH(RIGHT(L520,255),RIGHT('Disaggregation Records'!$D$83:$D$149,255),0))="","",INDEX('Disaggregation Records'!$F$83:$F$149,MATCH(RIGHT(L520,255),RIGHT('Disaggregation Records'!$D$83:$D$149,255),0))),"")</f>
        <v/>
      </c>
      <c r="O520" s="130" t="str">
        <f t="array" ref="O520">IFERROR(IF(INDEX('Disaggregation Records'!$H$83:$H$149,MATCH(RIGHT(L520,255),RIGHT('Disaggregation Records'!$D$83:$D$149,255),0))="","",INDEX('Disaggregation Records'!$H$83:$H$149,MATCH(RIGHT(L520,255),RIGHT('Disaggregation Records'!$D$83:$D$149,255),0))),"")</f>
        <v/>
      </c>
      <c r="P520" s="130"/>
      <c r="Q520" s="52">
        <f t="shared" ref="Q520" si="689">Q518+1</f>
        <v>989</v>
      </c>
    </row>
    <row r="521" spans="1:17" ht="20.100000000000001" customHeight="1" x14ac:dyDescent="0.25">
      <c r="A521" s="130"/>
      <c r="B521" s="602"/>
      <c r="C521" s="604"/>
      <c r="D521" s="606"/>
      <c r="E521" s="606"/>
      <c r="F521" s="132"/>
      <c r="G521" s="608"/>
      <c r="H521" s="598"/>
      <c r="I521" s="600"/>
      <c r="J521" s="532"/>
      <c r="K521" s="130"/>
      <c r="L521" s="130"/>
      <c r="M521" s="130"/>
      <c r="N521" s="130"/>
      <c r="O521" s="130"/>
      <c r="P521" s="130"/>
    </row>
    <row r="522" spans="1:17" ht="20.100000000000001" customHeight="1" x14ac:dyDescent="0.25">
      <c r="A522" s="130" t="str">
        <f t="shared" ref="A522" ca="1" si="690">INDIRECT("'update Helper'!C"&amp;Q522)</f>
        <v>a1VDm000000PRcMMAW</v>
      </c>
      <c r="B522" s="601">
        <v>11</v>
      </c>
      <c r="C522" s="603" t="str">
        <f>IFERROR(VLOOKUP(B522,'Outcome Indicators - Section C '!$A$9:$AC$70,29,FALSE),"")</f>
        <v/>
      </c>
      <c r="D522" s="605" t="str">
        <f>M522</f>
        <v/>
      </c>
      <c r="E522" s="605" t="str">
        <f>N522</f>
        <v/>
      </c>
      <c r="F522" s="131"/>
      <c r="G522" s="607" t="str">
        <f ca="1">IF(OR(INDIRECT("'update Helper'!E"&amp;Q522)="",F522&lt;&gt;0,F523&lt;&gt;0),IF(IFERROR((F522/F523),"")="","",(F522/F523)),INDIRECT("'update Helper'!E"&amp;Q522)/100)</f>
        <v/>
      </c>
      <c r="H522" s="597"/>
      <c r="I522" s="599"/>
      <c r="J522" s="531"/>
      <c r="K522" s="130">
        <f>IF(AND(EXACT(C522,C520),C520&lt;&gt;0),K520+1,0)</f>
        <v>3</v>
      </c>
      <c r="L522" s="130" t="str">
        <f>IF(C522&lt;&gt;"",C522&amp;"-"&amp;K522,"")</f>
        <v/>
      </c>
      <c r="M522" s="130" t="str">
        <f t="array" ref="M522">IFERROR(IF(INDEX('Disaggregation Records'!$E$83:$E$149,MATCH(RIGHT(L522,255),RIGHT('Disaggregation Records'!$D$83:$D$149,255),0))="","",INDEX('Disaggregation Records'!$E$83:$E$149,MATCH(RIGHT(L522,255),RIGHT('Disaggregation Records'!$D$83:$D$149,255),0))),"")</f>
        <v/>
      </c>
      <c r="N522" s="130" t="str">
        <f t="array" ref="N522">IFERROR(IF(INDEX('Disaggregation Records'!$F$83:$F$149,MATCH(RIGHT(L522,255),RIGHT('Disaggregation Records'!$D$83:$D$149,255),0))="","",INDEX('Disaggregation Records'!$F$83:$F$149,MATCH(RIGHT(L522,255),RIGHT('Disaggregation Records'!$D$83:$D$149,255),0))),"")</f>
        <v/>
      </c>
      <c r="O522" s="130" t="str">
        <f t="array" ref="O522">IFERROR(IF(INDEX('Disaggregation Records'!$H$83:$H$149,MATCH(RIGHT(L522,255),RIGHT('Disaggregation Records'!$D$83:$D$149,255),0))="","",INDEX('Disaggregation Records'!$H$83:$H$149,MATCH(RIGHT(L522,255),RIGHT('Disaggregation Records'!$D$83:$D$149,255),0))),"")</f>
        <v/>
      </c>
      <c r="P522" s="130"/>
      <c r="Q522" s="52">
        <f t="shared" ref="Q522" si="691">Q520+1</f>
        <v>990</v>
      </c>
    </row>
    <row r="523" spans="1:17" ht="20.100000000000001" customHeight="1" x14ac:dyDescent="0.25">
      <c r="B523" s="602"/>
      <c r="C523" s="604"/>
      <c r="D523" s="606"/>
      <c r="E523" s="606"/>
      <c r="F523" s="132"/>
      <c r="G523" s="608"/>
      <c r="H523" s="598"/>
      <c r="I523" s="600"/>
      <c r="J523" s="532"/>
      <c r="K523" s="130"/>
      <c r="L523" s="130"/>
      <c r="M523" s="130"/>
      <c r="N523" s="130"/>
      <c r="O523" s="130"/>
      <c r="P523" s="130"/>
    </row>
    <row r="524" spans="1:17" ht="20.100000000000001" customHeight="1" x14ac:dyDescent="0.25">
      <c r="A524" s="130" t="str">
        <f t="shared" ref="A524" ca="1" si="692">INDIRECT("'update Helper'!C"&amp;Q524)</f>
        <v>a1VDm000000PRcNMAW</v>
      </c>
      <c r="B524" s="601">
        <v>11</v>
      </c>
      <c r="C524" s="603" t="str">
        <f>IFERROR(VLOOKUP(B524,'Outcome Indicators - Section C '!$A$9:$AC$70,29,FALSE),"")</f>
        <v/>
      </c>
      <c r="D524" s="605" t="str">
        <f>M524</f>
        <v/>
      </c>
      <c r="E524" s="605" t="str">
        <f>N524</f>
        <v/>
      </c>
      <c r="F524" s="131"/>
      <c r="G524" s="607" t="str">
        <f ca="1">IF(OR(INDIRECT("'update Helper'!E"&amp;Q524)="",F524&lt;&gt;0,F525&lt;&gt;0),IF(IFERROR((F524/F525),"")="","",(F524/F525)),INDIRECT("'update Helper'!E"&amp;Q524)/100)</f>
        <v/>
      </c>
      <c r="H524" s="597"/>
      <c r="I524" s="599"/>
      <c r="J524" s="531"/>
      <c r="K524" s="130">
        <f>IF(AND(EXACT(C524,C522),C522&lt;&gt;0),K522+1,0)</f>
        <v>4</v>
      </c>
      <c r="L524" s="130" t="str">
        <f>IF(C524&lt;&gt;"",C524&amp;"-"&amp;K524,"")</f>
        <v/>
      </c>
      <c r="M524" s="130" t="str">
        <f t="array" ref="M524">IFERROR(IF(INDEX('Disaggregation Records'!$E$83:$E$149,MATCH(RIGHT(L524,255),RIGHT('Disaggregation Records'!$D$83:$D$149,255),0))="","",INDEX('Disaggregation Records'!$E$83:$E$149,MATCH(RIGHT(L524,255),RIGHT('Disaggregation Records'!$D$83:$D$149,255),0))),"")</f>
        <v/>
      </c>
      <c r="N524" s="130" t="str">
        <f t="array" ref="N524">IFERROR(IF(INDEX('Disaggregation Records'!$F$83:$F$149,MATCH(RIGHT(L524,255),RIGHT('Disaggregation Records'!$D$83:$D$149,255),0))="","",INDEX('Disaggregation Records'!$F$83:$F$149,MATCH(RIGHT(L524,255),RIGHT('Disaggregation Records'!$D$83:$D$149,255),0))),"")</f>
        <v/>
      </c>
      <c r="O524" s="130" t="str">
        <f t="array" ref="O524">IFERROR(IF(INDEX('Disaggregation Records'!$H$83:$H$149,MATCH(RIGHT(L524,255),RIGHT('Disaggregation Records'!$D$83:$D$149,255),0))="","",INDEX('Disaggregation Records'!$H$83:$H$149,MATCH(RIGHT(L524,255),RIGHT('Disaggregation Records'!$D$83:$D$149,255),0))),"")</f>
        <v/>
      </c>
      <c r="P524" s="130"/>
      <c r="Q524" s="52">
        <f t="shared" ref="Q524" si="693">Q522+1</f>
        <v>991</v>
      </c>
    </row>
    <row r="525" spans="1:17" ht="20.100000000000001" customHeight="1" x14ac:dyDescent="0.25">
      <c r="A525" s="130"/>
      <c r="B525" s="602"/>
      <c r="C525" s="604"/>
      <c r="D525" s="606"/>
      <c r="E525" s="606"/>
      <c r="F525" s="132"/>
      <c r="G525" s="608"/>
      <c r="H525" s="598"/>
      <c r="I525" s="600"/>
      <c r="J525" s="532"/>
      <c r="K525" s="130"/>
      <c r="L525" s="130"/>
      <c r="M525" s="130"/>
      <c r="N525" s="130"/>
      <c r="O525" s="130"/>
      <c r="P525" s="130"/>
    </row>
    <row r="526" spans="1:17" ht="20.100000000000001" customHeight="1" x14ac:dyDescent="0.25">
      <c r="A526" s="130" t="str">
        <f t="shared" ref="A526" ca="1" si="694">INDIRECT("'update Helper'!C"&amp;Q526)</f>
        <v>a1VDm000000PRcOMAW</v>
      </c>
      <c r="B526" s="601">
        <v>11</v>
      </c>
      <c r="C526" s="603" t="str">
        <f>IFERROR(VLOOKUP(B526,'Outcome Indicators - Section C '!$A$9:$AC$70,29,FALSE),"")</f>
        <v/>
      </c>
      <c r="D526" s="605" t="str">
        <f>M526</f>
        <v/>
      </c>
      <c r="E526" s="605" t="str">
        <f>N526</f>
        <v/>
      </c>
      <c r="F526" s="131"/>
      <c r="G526" s="607" t="str">
        <f ca="1">IF(OR(INDIRECT("'update Helper'!E"&amp;Q526)="",F526&lt;&gt;0,F527&lt;&gt;0),IF(IFERROR((F526/F527),"")="","",(F526/F527)),INDIRECT("'update Helper'!E"&amp;Q526)/100)</f>
        <v/>
      </c>
      <c r="H526" s="597"/>
      <c r="I526" s="599"/>
      <c r="J526" s="531"/>
      <c r="K526" s="130">
        <f>IF(AND(EXACT(C526,C524),C524&lt;&gt;0),K524+1,0)</f>
        <v>5</v>
      </c>
      <c r="L526" s="130" t="str">
        <f>IF(C526&lt;&gt;"",C526&amp;"-"&amp;K526,"")</f>
        <v/>
      </c>
      <c r="M526" s="130" t="str">
        <f t="array" ref="M526">IFERROR(IF(INDEX('Disaggregation Records'!$E$83:$E$149,MATCH(RIGHT(L526,255),RIGHT('Disaggregation Records'!$D$83:$D$149,255),0))="","",INDEX('Disaggregation Records'!$E$83:$E$149,MATCH(RIGHT(L526,255),RIGHT('Disaggregation Records'!$D$83:$D$149,255),0))),"")</f>
        <v/>
      </c>
      <c r="N526" s="130" t="str">
        <f t="array" ref="N526">IFERROR(IF(INDEX('Disaggregation Records'!$F$83:$F$149,MATCH(RIGHT(L526,255),RIGHT('Disaggregation Records'!$D$83:$D$149,255),0))="","",INDEX('Disaggregation Records'!$F$83:$F$149,MATCH(RIGHT(L526,255),RIGHT('Disaggregation Records'!$D$83:$D$149,255),0))),"")</f>
        <v/>
      </c>
      <c r="O526" s="130" t="str">
        <f t="array" ref="O526">IFERROR(IF(INDEX('Disaggregation Records'!$H$83:$H$149,MATCH(RIGHT(L526,255),RIGHT('Disaggregation Records'!$D$83:$D$149,255),0))="","",INDEX('Disaggregation Records'!$H$83:$H$149,MATCH(RIGHT(L526,255),RIGHT('Disaggregation Records'!$D$83:$D$149,255),0))),"")</f>
        <v/>
      </c>
      <c r="P526" s="130"/>
      <c r="Q526" s="52">
        <f t="shared" ref="Q526" si="695">Q524+1</f>
        <v>992</v>
      </c>
    </row>
    <row r="527" spans="1:17" ht="20.100000000000001" customHeight="1" x14ac:dyDescent="0.25">
      <c r="B527" s="602"/>
      <c r="C527" s="604"/>
      <c r="D527" s="606"/>
      <c r="E527" s="606"/>
      <c r="F527" s="132"/>
      <c r="G527" s="608"/>
      <c r="H527" s="598"/>
      <c r="I527" s="600"/>
      <c r="J527" s="532"/>
      <c r="K527" s="130"/>
      <c r="L527" s="130"/>
      <c r="M527" s="130"/>
      <c r="N527" s="130"/>
      <c r="O527" s="130"/>
      <c r="P527" s="130"/>
    </row>
    <row r="528" spans="1:17" ht="20.100000000000001" customHeight="1" x14ac:dyDescent="0.25">
      <c r="A528" s="130" t="str">
        <f t="shared" ref="A528" ca="1" si="696">INDIRECT("'update Helper'!C"&amp;Q528)</f>
        <v>a1VDm000000PRcPMAW</v>
      </c>
      <c r="B528" s="601">
        <v>11</v>
      </c>
      <c r="C528" s="603" t="str">
        <f>IFERROR(VLOOKUP(B528,'Outcome Indicators - Section C '!$A$9:$AC$70,29,FALSE),"")</f>
        <v/>
      </c>
      <c r="D528" s="605" t="str">
        <f>M528</f>
        <v/>
      </c>
      <c r="E528" s="605" t="str">
        <f>N528</f>
        <v/>
      </c>
      <c r="F528" s="131"/>
      <c r="G528" s="607" t="str">
        <f ca="1">IF(OR(INDIRECT("'update Helper'!E"&amp;Q528)="",F528&lt;&gt;0,F529&lt;&gt;0),IF(IFERROR((F528/F529),"")="","",(F528/F529)),INDIRECT("'update Helper'!E"&amp;Q528)/100)</f>
        <v/>
      </c>
      <c r="H528" s="597"/>
      <c r="I528" s="599"/>
      <c r="J528" s="531"/>
      <c r="K528" s="130">
        <f>IF(AND(EXACT(C528,C526),C526&lt;&gt;0),K526+1,0)</f>
        <v>6</v>
      </c>
      <c r="L528" s="130" t="str">
        <f>IF(C528&lt;&gt;"",C528&amp;"-"&amp;K528,"")</f>
        <v/>
      </c>
      <c r="M528" s="130" t="str">
        <f t="array" ref="M528">IFERROR(IF(INDEX('Disaggregation Records'!$E$83:$E$149,MATCH(RIGHT(L528,255),RIGHT('Disaggregation Records'!$D$83:$D$149,255),0))="","",INDEX('Disaggregation Records'!$E$83:$E$149,MATCH(RIGHT(L528,255),RIGHT('Disaggregation Records'!$D$83:$D$149,255),0))),"")</f>
        <v/>
      </c>
      <c r="N528" s="130" t="str">
        <f t="array" ref="N528">IFERROR(IF(INDEX('Disaggregation Records'!$F$83:$F$149,MATCH(RIGHT(L528,255),RIGHT('Disaggregation Records'!$D$83:$D$149,255),0))="","",INDEX('Disaggregation Records'!$F$83:$F$149,MATCH(RIGHT(L528,255),RIGHT('Disaggregation Records'!$D$83:$D$149,255),0))),"")</f>
        <v/>
      </c>
      <c r="O528" s="130" t="str">
        <f t="array" ref="O528">IFERROR(IF(INDEX('Disaggregation Records'!$H$83:$H$149,MATCH(RIGHT(L528,255),RIGHT('Disaggregation Records'!$D$83:$D$149,255),0))="","",INDEX('Disaggregation Records'!$H$83:$H$149,MATCH(RIGHT(L528,255),RIGHT('Disaggregation Records'!$D$83:$D$149,255),0))),"")</f>
        <v/>
      </c>
      <c r="P528" s="130"/>
      <c r="Q528" s="52">
        <f t="shared" ref="Q528" si="697">Q526+1</f>
        <v>993</v>
      </c>
    </row>
    <row r="529" spans="1:17" ht="20.100000000000001" customHeight="1" x14ac:dyDescent="0.25">
      <c r="A529" s="130"/>
      <c r="B529" s="602"/>
      <c r="C529" s="604"/>
      <c r="D529" s="606"/>
      <c r="E529" s="606"/>
      <c r="F529" s="132"/>
      <c r="G529" s="608"/>
      <c r="H529" s="598"/>
      <c r="I529" s="600"/>
      <c r="J529" s="532"/>
      <c r="K529" s="130"/>
      <c r="L529" s="130"/>
      <c r="M529" s="130"/>
      <c r="N529" s="130"/>
      <c r="O529" s="130"/>
      <c r="P529" s="130"/>
    </row>
    <row r="530" spans="1:17" ht="20.100000000000001" customHeight="1" x14ac:dyDescent="0.25">
      <c r="A530" s="130" t="str">
        <f t="shared" ref="A530" ca="1" si="698">INDIRECT("'update Helper'!C"&amp;Q530)</f>
        <v>a1VDm000000PRcQMAW</v>
      </c>
      <c r="B530" s="601">
        <v>11</v>
      </c>
      <c r="C530" s="603" t="str">
        <f>IFERROR(VLOOKUP(B530,'Outcome Indicators - Section C '!$A$9:$AC$70,29,FALSE),"")</f>
        <v/>
      </c>
      <c r="D530" s="605" t="str">
        <f>M530</f>
        <v/>
      </c>
      <c r="E530" s="605" t="str">
        <f>N530</f>
        <v/>
      </c>
      <c r="F530" s="131"/>
      <c r="G530" s="607" t="str">
        <f ca="1">IF(OR(INDIRECT("'update Helper'!E"&amp;Q530)="",F530&lt;&gt;0,F531&lt;&gt;0),IF(IFERROR((F530/F531),"")="","",(F530/F531)),INDIRECT("'update Helper'!E"&amp;Q530)/100)</f>
        <v/>
      </c>
      <c r="H530" s="597"/>
      <c r="I530" s="599"/>
      <c r="J530" s="531"/>
      <c r="K530" s="130">
        <f>IF(AND(EXACT(C530,C528),C528&lt;&gt;0),K528+1,0)</f>
        <v>7</v>
      </c>
      <c r="L530" s="130" t="str">
        <f>IF(C530&lt;&gt;"",C530&amp;"-"&amp;K530,"")</f>
        <v/>
      </c>
      <c r="M530" s="130" t="str">
        <f t="array" ref="M530">IFERROR(IF(INDEX('Disaggregation Records'!$E$83:$E$149,MATCH(RIGHT(L530,255),RIGHT('Disaggregation Records'!$D$83:$D$149,255),0))="","",INDEX('Disaggregation Records'!$E$83:$E$149,MATCH(RIGHT(L530,255),RIGHT('Disaggregation Records'!$D$83:$D$149,255),0))),"")</f>
        <v/>
      </c>
      <c r="N530" s="130" t="str">
        <f t="array" ref="N530">IFERROR(IF(INDEX('Disaggregation Records'!$F$83:$F$149,MATCH(RIGHT(L530,255),RIGHT('Disaggregation Records'!$D$83:$D$149,255),0))="","",INDEX('Disaggregation Records'!$F$83:$F$149,MATCH(RIGHT(L530,255),RIGHT('Disaggregation Records'!$D$83:$D$149,255),0))),"")</f>
        <v/>
      </c>
      <c r="O530" s="130" t="str">
        <f t="array" ref="O530">IFERROR(IF(INDEX('Disaggregation Records'!$H$83:$H$149,MATCH(RIGHT(L530,255),RIGHT('Disaggregation Records'!$D$83:$D$149,255),0))="","",INDEX('Disaggregation Records'!$H$83:$H$149,MATCH(RIGHT(L530,255),RIGHT('Disaggregation Records'!$D$83:$D$149,255),0))),"")</f>
        <v/>
      </c>
      <c r="P530" s="130"/>
      <c r="Q530" s="52">
        <f t="shared" ref="Q530" si="699">Q528+1</f>
        <v>994</v>
      </c>
    </row>
    <row r="531" spans="1:17" ht="20.100000000000001" customHeight="1" x14ac:dyDescent="0.25">
      <c r="B531" s="602"/>
      <c r="C531" s="604"/>
      <c r="D531" s="606"/>
      <c r="E531" s="606"/>
      <c r="F531" s="132"/>
      <c r="G531" s="608"/>
      <c r="H531" s="598"/>
      <c r="I531" s="600"/>
      <c r="J531" s="532"/>
      <c r="K531" s="130"/>
      <c r="L531" s="130"/>
      <c r="M531" s="130"/>
      <c r="N531" s="130"/>
      <c r="O531" s="130"/>
      <c r="P531" s="130"/>
    </row>
    <row r="532" spans="1:17" ht="20.100000000000001" customHeight="1" x14ac:dyDescent="0.25">
      <c r="A532" s="130" t="str">
        <f t="shared" ref="A532" ca="1" si="700">INDIRECT("'update Helper'!C"&amp;Q532)</f>
        <v>a1VDm000000PRcRMAW</v>
      </c>
      <c r="B532" s="601">
        <v>11</v>
      </c>
      <c r="C532" s="603" t="str">
        <f>IFERROR(VLOOKUP(B532,'Outcome Indicators - Section C '!$A$9:$AC$70,29,FALSE),"")</f>
        <v/>
      </c>
      <c r="D532" s="605" t="str">
        <f>M532</f>
        <v/>
      </c>
      <c r="E532" s="605" t="str">
        <f>N532</f>
        <v/>
      </c>
      <c r="F532" s="131"/>
      <c r="G532" s="607" t="str">
        <f ca="1">IF(OR(INDIRECT("'update Helper'!E"&amp;Q532)="",F532&lt;&gt;0,F533&lt;&gt;0),IF(IFERROR((F532/F533),"")="","",(F532/F533)),INDIRECT("'update Helper'!E"&amp;Q532)/100)</f>
        <v/>
      </c>
      <c r="H532" s="597"/>
      <c r="I532" s="599"/>
      <c r="J532" s="531"/>
      <c r="K532" s="130">
        <f>IF(AND(EXACT(C532,C530),C530&lt;&gt;0),K530+1,0)</f>
        <v>8</v>
      </c>
      <c r="L532" s="130" t="str">
        <f>IF(C532&lt;&gt;"",C532&amp;"-"&amp;K532,"")</f>
        <v/>
      </c>
      <c r="M532" s="130" t="str">
        <f t="array" ref="M532">IFERROR(IF(INDEX('Disaggregation Records'!$E$83:$E$149,MATCH(RIGHT(L532,255),RIGHT('Disaggregation Records'!$D$83:$D$149,255),0))="","",INDEX('Disaggregation Records'!$E$83:$E$149,MATCH(RIGHT(L532,255),RIGHT('Disaggregation Records'!$D$83:$D$149,255),0))),"")</f>
        <v/>
      </c>
      <c r="N532" s="130" t="str">
        <f t="array" ref="N532">IFERROR(IF(INDEX('Disaggregation Records'!$F$83:$F$149,MATCH(RIGHT(L532,255),RIGHT('Disaggregation Records'!$D$83:$D$149,255),0))="","",INDEX('Disaggregation Records'!$F$83:$F$149,MATCH(RIGHT(L532,255),RIGHT('Disaggregation Records'!$D$83:$D$149,255),0))),"")</f>
        <v/>
      </c>
      <c r="O532" s="130" t="str">
        <f t="array" ref="O532">IFERROR(IF(INDEX('Disaggregation Records'!$H$83:$H$149,MATCH(RIGHT(L532,255),RIGHT('Disaggregation Records'!$D$83:$D$149,255),0))="","",INDEX('Disaggregation Records'!$H$83:$H$149,MATCH(RIGHT(L532,255),RIGHT('Disaggregation Records'!$D$83:$D$149,255),0))),"")</f>
        <v/>
      </c>
      <c r="P532" s="130"/>
      <c r="Q532" s="52">
        <f t="shared" ref="Q532" si="701">Q530+1</f>
        <v>995</v>
      </c>
    </row>
    <row r="533" spans="1:17" ht="20.100000000000001" customHeight="1" x14ac:dyDescent="0.25">
      <c r="A533" s="130"/>
      <c r="B533" s="602"/>
      <c r="C533" s="604"/>
      <c r="D533" s="606"/>
      <c r="E533" s="606"/>
      <c r="F533" s="132"/>
      <c r="G533" s="608"/>
      <c r="H533" s="598"/>
      <c r="I533" s="600"/>
      <c r="J533" s="532"/>
      <c r="K533" s="130"/>
      <c r="L533" s="130"/>
      <c r="M533" s="130"/>
      <c r="N533" s="130"/>
      <c r="O533" s="130"/>
      <c r="P533" s="130"/>
    </row>
    <row r="534" spans="1:17" ht="20.100000000000001" customHeight="1" x14ac:dyDescent="0.25">
      <c r="A534" s="130" t="str">
        <f t="shared" ref="A534" ca="1" si="702">INDIRECT("'update Helper'!C"&amp;Q534)</f>
        <v>a1VDm000000PRcSMAW</v>
      </c>
      <c r="B534" s="601">
        <v>11</v>
      </c>
      <c r="C534" s="603" t="str">
        <f>IFERROR(VLOOKUP(B534,'Outcome Indicators - Section C '!$A$9:$AC$70,29,FALSE),"")</f>
        <v/>
      </c>
      <c r="D534" s="605" t="str">
        <f>M534</f>
        <v/>
      </c>
      <c r="E534" s="605" t="str">
        <f>N534</f>
        <v/>
      </c>
      <c r="F534" s="131"/>
      <c r="G534" s="607" t="str">
        <f ca="1">IF(OR(INDIRECT("'update Helper'!E"&amp;Q534)="",F534&lt;&gt;0,F535&lt;&gt;0),IF(IFERROR((F534/F535),"")="","",(F534/F535)),INDIRECT("'update Helper'!E"&amp;Q534)/100)</f>
        <v/>
      </c>
      <c r="H534" s="597"/>
      <c r="I534" s="599"/>
      <c r="J534" s="531"/>
      <c r="K534" s="130">
        <f>IF(AND(EXACT(C534,C532),C532&lt;&gt;0),K532+1,0)</f>
        <v>9</v>
      </c>
      <c r="L534" s="130" t="str">
        <f>IF(C534&lt;&gt;"",C534&amp;"-"&amp;K534,"")</f>
        <v/>
      </c>
      <c r="M534" s="130" t="str">
        <f t="array" ref="M534">IFERROR(IF(INDEX('Disaggregation Records'!$E$83:$E$149,MATCH(RIGHT(L534,255),RIGHT('Disaggregation Records'!$D$83:$D$149,255),0))="","",INDEX('Disaggregation Records'!$E$83:$E$149,MATCH(RIGHT(L534,255),RIGHT('Disaggregation Records'!$D$83:$D$149,255),0))),"")</f>
        <v/>
      </c>
      <c r="N534" s="130" t="str">
        <f t="array" ref="N534">IFERROR(IF(INDEX('Disaggregation Records'!$F$83:$F$149,MATCH(RIGHT(L534,255),RIGHT('Disaggregation Records'!$D$83:$D$149,255),0))="","",INDEX('Disaggregation Records'!$F$83:$F$149,MATCH(RIGHT(L534,255),RIGHT('Disaggregation Records'!$D$83:$D$149,255),0))),"")</f>
        <v/>
      </c>
      <c r="O534" s="130" t="str">
        <f t="array" ref="O534">IFERROR(IF(INDEX('Disaggregation Records'!$H$83:$H$149,MATCH(RIGHT(L534,255),RIGHT('Disaggregation Records'!$D$83:$D$149,255),0))="","",INDEX('Disaggregation Records'!$H$83:$H$149,MATCH(RIGHT(L534,255),RIGHT('Disaggregation Records'!$D$83:$D$149,255),0))),"")</f>
        <v/>
      </c>
      <c r="P534" s="130"/>
      <c r="Q534" s="52">
        <f t="shared" ref="Q534" si="703">Q532+1</f>
        <v>996</v>
      </c>
    </row>
    <row r="535" spans="1:17" ht="20.100000000000001" customHeight="1" x14ac:dyDescent="0.25">
      <c r="B535" s="602"/>
      <c r="C535" s="604"/>
      <c r="D535" s="606"/>
      <c r="E535" s="606"/>
      <c r="F535" s="132"/>
      <c r="G535" s="608"/>
      <c r="H535" s="598"/>
      <c r="I535" s="600"/>
      <c r="J535" s="532"/>
      <c r="K535" s="130"/>
      <c r="L535" s="130"/>
      <c r="M535" s="130"/>
      <c r="N535" s="130"/>
      <c r="O535" s="130"/>
      <c r="P535" s="130"/>
    </row>
    <row r="536" spans="1:17" ht="20.100000000000001" customHeight="1" x14ac:dyDescent="0.25">
      <c r="A536" s="130" t="str">
        <f t="shared" ref="A536" ca="1" si="704">INDIRECT("'update Helper'!C"&amp;Q536)</f>
        <v>a1VDm000000PRcTMAW</v>
      </c>
      <c r="B536" s="601">
        <v>12</v>
      </c>
      <c r="C536" s="603" t="str">
        <f>IFERROR(VLOOKUP(B536,'Outcome Indicators - Section C '!$A$9:$AC$70,29,FALSE),"")</f>
        <v/>
      </c>
      <c r="D536" s="605" t="str">
        <f>M536</f>
        <v/>
      </c>
      <c r="E536" s="605" t="str">
        <f>N536</f>
        <v/>
      </c>
      <c r="F536" s="131"/>
      <c r="G536" s="607" t="str">
        <f ca="1">IF(OR(INDIRECT("'update Helper'!E"&amp;Q536)="",F536&lt;&gt;0,F537&lt;&gt;0),IF(IFERROR((F536/F537),"")="","",(F536/F537)),INDIRECT("'update Helper'!E"&amp;Q536)/100)</f>
        <v/>
      </c>
      <c r="H536" s="597"/>
      <c r="I536" s="599"/>
      <c r="J536" s="531"/>
      <c r="K536" s="130">
        <f>IF(AND(EXACT(C536,C534),C534&lt;&gt;0),K534+1,0)</f>
        <v>10</v>
      </c>
      <c r="L536" s="130" t="str">
        <f>IF(C536&lt;&gt;"",C536&amp;"-"&amp;K536,"")</f>
        <v/>
      </c>
      <c r="M536" s="130" t="str">
        <f t="array" ref="M536">IFERROR(IF(INDEX('Disaggregation Records'!$E$83:$E$149,MATCH(RIGHT(L536,255),RIGHT('Disaggregation Records'!$D$83:$D$149,255),0))="","",INDEX('Disaggregation Records'!$E$83:$E$149,MATCH(RIGHT(L536,255),RIGHT('Disaggregation Records'!$D$83:$D$149,255),0))),"")</f>
        <v/>
      </c>
      <c r="N536" s="130" t="str">
        <f t="array" ref="N536">IFERROR(IF(INDEX('Disaggregation Records'!$F$83:$F$149,MATCH(RIGHT(L536,255),RIGHT('Disaggregation Records'!$D$83:$D$149,255),0))="","",INDEX('Disaggregation Records'!$F$83:$F$149,MATCH(RIGHT(L536,255),RIGHT('Disaggregation Records'!$D$83:$D$149,255),0))),"")</f>
        <v/>
      </c>
      <c r="O536" s="130" t="str">
        <f t="array" ref="O536">IFERROR(IF(INDEX('Disaggregation Records'!$H$83:$H$149,MATCH(RIGHT(L536,255),RIGHT('Disaggregation Records'!$D$83:$D$149,255),0))="","",INDEX('Disaggregation Records'!$H$83:$H$149,MATCH(RIGHT(L536,255),RIGHT('Disaggregation Records'!$D$83:$D$149,255),0))),"")</f>
        <v/>
      </c>
      <c r="P536" s="130"/>
      <c r="Q536" s="52">
        <f t="shared" ref="Q536" si="705">Q534+1</f>
        <v>997</v>
      </c>
    </row>
    <row r="537" spans="1:17" ht="20.100000000000001" customHeight="1" x14ac:dyDescent="0.25">
      <c r="A537" s="130"/>
      <c r="B537" s="602"/>
      <c r="C537" s="604"/>
      <c r="D537" s="606"/>
      <c r="E537" s="606"/>
      <c r="F537" s="132"/>
      <c r="G537" s="608"/>
      <c r="H537" s="598"/>
      <c r="I537" s="600"/>
      <c r="J537" s="532"/>
      <c r="K537" s="130"/>
      <c r="L537" s="130"/>
      <c r="M537" s="130"/>
      <c r="N537" s="130"/>
      <c r="O537" s="130"/>
      <c r="P537" s="130"/>
    </row>
    <row r="538" spans="1:17" ht="20.100000000000001" customHeight="1" x14ac:dyDescent="0.25">
      <c r="A538" s="130" t="str">
        <f t="shared" ref="A538" ca="1" si="706">INDIRECT("'update Helper'!C"&amp;Q538)</f>
        <v>a1VDm000000PRcUMAW</v>
      </c>
      <c r="B538" s="601">
        <v>12</v>
      </c>
      <c r="C538" s="603" t="str">
        <f>IFERROR(VLOOKUP(B538,'Outcome Indicators - Section C '!$A$9:$AC$70,29,FALSE),"")</f>
        <v/>
      </c>
      <c r="D538" s="605" t="str">
        <f>M538</f>
        <v/>
      </c>
      <c r="E538" s="605" t="str">
        <f>N538</f>
        <v/>
      </c>
      <c r="F538" s="131"/>
      <c r="G538" s="607" t="str">
        <f ca="1">IF(OR(INDIRECT("'update Helper'!E"&amp;Q538)="",F538&lt;&gt;0,F539&lt;&gt;0),IF(IFERROR((F538/F539),"")="","",(F538/F539)),INDIRECT("'update Helper'!E"&amp;Q538)/100)</f>
        <v/>
      </c>
      <c r="H538" s="597"/>
      <c r="I538" s="599"/>
      <c r="J538" s="531"/>
      <c r="K538" s="130">
        <f>IF(AND(EXACT(C538,C536),C536&lt;&gt;0),K536+1,0)</f>
        <v>11</v>
      </c>
      <c r="L538" s="130" t="str">
        <f>IF(C538&lt;&gt;"",C538&amp;"-"&amp;K538,"")</f>
        <v/>
      </c>
      <c r="M538" s="130" t="str">
        <f t="array" ref="M538">IFERROR(IF(INDEX('Disaggregation Records'!$E$83:$E$149,MATCH(RIGHT(L538,255),RIGHT('Disaggregation Records'!$D$83:$D$149,255),0))="","",INDEX('Disaggregation Records'!$E$83:$E$149,MATCH(RIGHT(L538,255),RIGHT('Disaggregation Records'!$D$83:$D$149,255),0))),"")</f>
        <v/>
      </c>
      <c r="N538" s="130" t="str">
        <f t="array" ref="N538">IFERROR(IF(INDEX('Disaggregation Records'!$F$83:$F$149,MATCH(RIGHT(L538,255),RIGHT('Disaggregation Records'!$D$83:$D$149,255),0))="","",INDEX('Disaggregation Records'!$F$83:$F$149,MATCH(RIGHT(L538,255),RIGHT('Disaggregation Records'!$D$83:$D$149,255),0))),"")</f>
        <v/>
      </c>
      <c r="O538" s="130" t="str">
        <f t="array" ref="O538">IFERROR(IF(INDEX('Disaggregation Records'!$H$83:$H$149,MATCH(RIGHT(L538,255),RIGHT('Disaggregation Records'!$D$83:$D$149,255),0))="","",INDEX('Disaggregation Records'!$H$83:$H$149,MATCH(RIGHT(L538,255),RIGHT('Disaggregation Records'!$D$83:$D$149,255),0))),"")</f>
        <v/>
      </c>
      <c r="P538" s="130"/>
      <c r="Q538" s="52">
        <f t="shared" ref="Q538" si="707">Q536+1</f>
        <v>998</v>
      </c>
    </row>
    <row r="539" spans="1:17" ht="20.100000000000001" customHeight="1" x14ac:dyDescent="0.25">
      <c r="B539" s="602"/>
      <c r="C539" s="604"/>
      <c r="D539" s="606"/>
      <c r="E539" s="606"/>
      <c r="F539" s="132"/>
      <c r="G539" s="608"/>
      <c r="H539" s="598"/>
      <c r="I539" s="600"/>
      <c r="J539" s="532"/>
      <c r="K539" s="130"/>
      <c r="L539" s="130"/>
      <c r="M539" s="130"/>
      <c r="N539" s="130"/>
      <c r="O539" s="130"/>
      <c r="P539" s="130"/>
    </row>
    <row r="540" spans="1:17" ht="20.100000000000001" customHeight="1" x14ac:dyDescent="0.25">
      <c r="A540" s="130" t="str">
        <f t="shared" ref="A540" ca="1" si="708">INDIRECT("'update Helper'!C"&amp;Q540)</f>
        <v>a1VDm000000PRcVMAW</v>
      </c>
      <c r="B540" s="601">
        <v>12</v>
      </c>
      <c r="C540" s="603" t="str">
        <f>IFERROR(VLOOKUP(B540,'Outcome Indicators - Section C '!$A$9:$AC$70,29,FALSE),"")</f>
        <v/>
      </c>
      <c r="D540" s="605" t="str">
        <f>M540</f>
        <v/>
      </c>
      <c r="E540" s="605" t="str">
        <f>N540</f>
        <v/>
      </c>
      <c r="F540" s="131"/>
      <c r="G540" s="607" t="str">
        <f ca="1">IF(OR(INDIRECT("'update Helper'!E"&amp;Q540)="",F540&lt;&gt;0,F541&lt;&gt;0),IF(IFERROR((F540/F541),"")="","",(F540/F541)),INDIRECT("'update Helper'!E"&amp;Q540)/100)</f>
        <v/>
      </c>
      <c r="H540" s="597"/>
      <c r="I540" s="599"/>
      <c r="J540" s="531"/>
      <c r="K540" s="130">
        <f>IF(AND(EXACT(C540,C538),C538&lt;&gt;0),K538+1,0)</f>
        <v>12</v>
      </c>
      <c r="L540" s="130" t="str">
        <f>IF(C540&lt;&gt;"",C540&amp;"-"&amp;K540,"")</f>
        <v/>
      </c>
      <c r="M540" s="130" t="str">
        <f t="array" ref="M540">IFERROR(IF(INDEX('Disaggregation Records'!$E$83:$E$149,MATCH(RIGHT(L540,255),RIGHT('Disaggregation Records'!$D$83:$D$149,255),0))="","",INDEX('Disaggregation Records'!$E$83:$E$149,MATCH(RIGHT(L540,255),RIGHT('Disaggregation Records'!$D$83:$D$149,255),0))),"")</f>
        <v/>
      </c>
      <c r="N540" s="130" t="str">
        <f t="array" ref="N540">IFERROR(IF(INDEX('Disaggregation Records'!$F$83:$F$149,MATCH(RIGHT(L540,255),RIGHT('Disaggregation Records'!$D$83:$D$149,255),0))="","",INDEX('Disaggregation Records'!$F$83:$F$149,MATCH(RIGHT(L540,255),RIGHT('Disaggregation Records'!$D$83:$D$149,255),0))),"")</f>
        <v/>
      </c>
      <c r="O540" s="130" t="str">
        <f t="array" ref="O540">IFERROR(IF(INDEX('Disaggregation Records'!$H$83:$H$149,MATCH(RIGHT(L540,255),RIGHT('Disaggregation Records'!$D$83:$D$149,255),0))="","",INDEX('Disaggregation Records'!$H$83:$H$149,MATCH(RIGHT(L540,255),RIGHT('Disaggregation Records'!$D$83:$D$149,255),0))),"")</f>
        <v/>
      </c>
      <c r="P540" s="130"/>
      <c r="Q540" s="52">
        <f t="shared" ref="Q540" si="709">Q538+1</f>
        <v>999</v>
      </c>
    </row>
    <row r="541" spans="1:17" ht="20.100000000000001" customHeight="1" x14ac:dyDescent="0.25">
      <c r="A541" s="130"/>
      <c r="B541" s="602"/>
      <c r="C541" s="604"/>
      <c r="D541" s="606"/>
      <c r="E541" s="606"/>
      <c r="F541" s="132"/>
      <c r="G541" s="608"/>
      <c r="H541" s="598"/>
      <c r="I541" s="600"/>
      <c r="J541" s="532"/>
      <c r="K541" s="130"/>
      <c r="L541" s="130"/>
      <c r="M541" s="130"/>
      <c r="N541" s="130"/>
      <c r="O541" s="130"/>
      <c r="P541" s="130"/>
    </row>
    <row r="542" spans="1:17" ht="20.100000000000001" customHeight="1" x14ac:dyDescent="0.25">
      <c r="A542" s="130" t="str">
        <f t="shared" ref="A542" ca="1" si="710">INDIRECT("'update Helper'!C"&amp;Q542)</f>
        <v>a1VDm000000PRcWMAW</v>
      </c>
      <c r="B542" s="601">
        <v>12</v>
      </c>
      <c r="C542" s="603" t="str">
        <f>IFERROR(VLOOKUP(B542,'Outcome Indicators - Section C '!$A$9:$AC$70,29,FALSE),"")</f>
        <v/>
      </c>
      <c r="D542" s="605" t="str">
        <f>M542</f>
        <v/>
      </c>
      <c r="E542" s="605" t="str">
        <f>N542</f>
        <v/>
      </c>
      <c r="F542" s="131"/>
      <c r="G542" s="607" t="str">
        <f ca="1">IF(OR(INDIRECT("'update Helper'!E"&amp;Q542)="",F542&lt;&gt;0,F543&lt;&gt;0),IF(IFERROR((F542/F543),"")="","",(F542/F543)),INDIRECT("'update Helper'!E"&amp;Q542)/100)</f>
        <v/>
      </c>
      <c r="H542" s="597"/>
      <c r="I542" s="599"/>
      <c r="J542" s="531"/>
      <c r="K542" s="130">
        <f>IF(AND(EXACT(C542,C540),C540&lt;&gt;0),K540+1,0)</f>
        <v>13</v>
      </c>
      <c r="L542" s="130" t="str">
        <f>IF(C542&lt;&gt;"",C542&amp;"-"&amp;K542,"")</f>
        <v/>
      </c>
      <c r="M542" s="130" t="str">
        <f t="array" ref="M542">IFERROR(IF(INDEX('Disaggregation Records'!$E$83:$E$149,MATCH(RIGHT(L542,255),RIGHT('Disaggregation Records'!$D$83:$D$149,255),0))="","",INDEX('Disaggregation Records'!$E$83:$E$149,MATCH(RIGHT(L542,255),RIGHT('Disaggregation Records'!$D$83:$D$149,255),0))),"")</f>
        <v/>
      </c>
      <c r="N542" s="130" t="str">
        <f t="array" ref="N542">IFERROR(IF(INDEX('Disaggregation Records'!$F$83:$F$149,MATCH(RIGHT(L542,255),RIGHT('Disaggregation Records'!$D$83:$D$149,255),0))="","",INDEX('Disaggregation Records'!$F$83:$F$149,MATCH(RIGHT(L542,255),RIGHT('Disaggregation Records'!$D$83:$D$149,255),0))),"")</f>
        <v/>
      </c>
      <c r="O542" s="130" t="str">
        <f t="array" ref="O542">IFERROR(IF(INDEX('Disaggregation Records'!$H$83:$H$149,MATCH(RIGHT(L542,255),RIGHT('Disaggregation Records'!$D$83:$D$149,255),0))="","",INDEX('Disaggregation Records'!$H$83:$H$149,MATCH(RIGHT(L542,255),RIGHT('Disaggregation Records'!$D$83:$D$149,255),0))),"")</f>
        <v/>
      </c>
      <c r="P542" s="130"/>
      <c r="Q542" s="52">
        <f t="shared" ref="Q542" si="711">Q540+1</f>
        <v>1000</v>
      </c>
    </row>
    <row r="543" spans="1:17" ht="20.100000000000001" customHeight="1" x14ac:dyDescent="0.25">
      <c r="B543" s="602"/>
      <c r="C543" s="604"/>
      <c r="D543" s="606"/>
      <c r="E543" s="606"/>
      <c r="F543" s="132"/>
      <c r="G543" s="608"/>
      <c r="H543" s="598"/>
      <c r="I543" s="600"/>
      <c r="J543" s="532"/>
      <c r="K543" s="130"/>
      <c r="L543" s="130"/>
      <c r="M543" s="130"/>
      <c r="N543" s="130"/>
      <c r="O543" s="130"/>
      <c r="P543" s="130"/>
    </row>
    <row r="544" spans="1:17" ht="20.100000000000001" customHeight="1" x14ac:dyDescent="0.25">
      <c r="A544" s="130" t="str">
        <f t="shared" ref="A544" ca="1" si="712">INDIRECT("'update Helper'!C"&amp;Q544)</f>
        <v>a1VDm000000PRcXMAW</v>
      </c>
      <c r="B544" s="601">
        <v>12</v>
      </c>
      <c r="C544" s="603" t="str">
        <f>IFERROR(VLOOKUP(B544,'Outcome Indicators - Section C '!$A$9:$AC$70,29,FALSE),"")</f>
        <v/>
      </c>
      <c r="D544" s="605" t="str">
        <f>M544</f>
        <v/>
      </c>
      <c r="E544" s="605" t="str">
        <f>N544</f>
        <v/>
      </c>
      <c r="F544" s="131"/>
      <c r="G544" s="607" t="str">
        <f ca="1">IF(OR(INDIRECT("'update Helper'!E"&amp;Q544)="",F544&lt;&gt;0,F545&lt;&gt;0),IF(IFERROR((F544/F545),"")="","",(F544/F545)),INDIRECT("'update Helper'!E"&amp;Q544)/100)</f>
        <v/>
      </c>
      <c r="H544" s="597"/>
      <c r="I544" s="599"/>
      <c r="J544" s="531"/>
      <c r="K544" s="130">
        <f>IF(AND(EXACT(C544,C542),C542&lt;&gt;0),K542+1,0)</f>
        <v>14</v>
      </c>
      <c r="L544" s="130" t="str">
        <f>IF(C544&lt;&gt;"",C544&amp;"-"&amp;K544,"")</f>
        <v/>
      </c>
      <c r="M544" s="130" t="str">
        <f t="array" ref="M544">IFERROR(IF(INDEX('Disaggregation Records'!$E$83:$E$149,MATCH(RIGHT(L544,255),RIGHT('Disaggregation Records'!$D$83:$D$149,255),0))="","",INDEX('Disaggregation Records'!$E$83:$E$149,MATCH(RIGHT(L544,255),RIGHT('Disaggregation Records'!$D$83:$D$149,255),0))),"")</f>
        <v/>
      </c>
      <c r="N544" s="130" t="str">
        <f t="array" ref="N544">IFERROR(IF(INDEX('Disaggregation Records'!$F$83:$F$149,MATCH(RIGHT(L544,255),RIGHT('Disaggregation Records'!$D$83:$D$149,255),0))="","",INDEX('Disaggregation Records'!$F$83:$F$149,MATCH(RIGHT(L544,255),RIGHT('Disaggregation Records'!$D$83:$D$149,255),0))),"")</f>
        <v/>
      </c>
      <c r="O544" s="130" t="str">
        <f t="array" ref="O544">IFERROR(IF(INDEX('Disaggregation Records'!$H$83:$H$149,MATCH(RIGHT(L544,255),RIGHT('Disaggregation Records'!$D$83:$D$149,255),0))="","",INDEX('Disaggregation Records'!$H$83:$H$149,MATCH(RIGHT(L544,255),RIGHT('Disaggregation Records'!$D$83:$D$149,255),0))),"")</f>
        <v/>
      </c>
      <c r="P544" s="130"/>
      <c r="Q544" s="52">
        <f t="shared" ref="Q544" si="713">Q542+1</f>
        <v>1001</v>
      </c>
    </row>
    <row r="545" spans="1:17" ht="20.100000000000001" customHeight="1" x14ac:dyDescent="0.25">
      <c r="A545" s="130"/>
      <c r="B545" s="602"/>
      <c r="C545" s="604"/>
      <c r="D545" s="606"/>
      <c r="E545" s="606"/>
      <c r="F545" s="132"/>
      <c r="G545" s="608"/>
      <c r="H545" s="598"/>
      <c r="I545" s="600"/>
      <c r="J545" s="532"/>
      <c r="K545" s="130"/>
      <c r="L545" s="130"/>
      <c r="M545" s="130"/>
      <c r="N545" s="130"/>
      <c r="O545" s="130"/>
      <c r="P545" s="130"/>
    </row>
    <row r="546" spans="1:17" ht="20.100000000000001" customHeight="1" x14ac:dyDescent="0.25">
      <c r="A546" s="130" t="str">
        <f t="shared" ref="A546" ca="1" si="714">INDIRECT("'update Helper'!C"&amp;Q546)</f>
        <v>a1VDm000000PRcYMAW</v>
      </c>
      <c r="B546" s="601">
        <v>12</v>
      </c>
      <c r="C546" s="603" t="str">
        <f>IFERROR(VLOOKUP(B546,'Outcome Indicators - Section C '!$A$9:$AC$70,29,FALSE),"")</f>
        <v/>
      </c>
      <c r="D546" s="605" t="str">
        <f>M546</f>
        <v/>
      </c>
      <c r="E546" s="605" t="str">
        <f>N546</f>
        <v/>
      </c>
      <c r="F546" s="131"/>
      <c r="G546" s="607" t="str">
        <f ca="1">IF(OR(INDIRECT("'update Helper'!E"&amp;Q546)="",F546&lt;&gt;0,F547&lt;&gt;0),IF(IFERROR((F546/F547),"")="","",(F546/F547)),INDIRECT("'update Helper'!E"&amp;Q546)/100)</f>
        <v/>
      </c>
      <c r="H546" s="597"/>
      <c r="I546" s="599"/>
      <c r="J546" s="531"/>
      <c r="K546" s="130">
        <f>IF(AND(EXACT(C546,C544),C544&lt;&gt;0),K544+1,0)</f>
        <v>15</v>
      </c>
      <c r="L546" s="130" t="str">
        <f>IF(C546&lt;&gt;"",C546&amp;"-"&amp;K546,"")</f>
        <v/>
      </c>
      <c r="M546" s="130" t="str">
        <f t="array" ref="M546">IFERROR(IF(INDEX('Disaggregation Records'!$E$83:$E$149,MATCH(RIGHT(L546,255),RIGHT('Disaggregation Records'!$D$83:$D$149,255),0))="","",INDEX('Disaggregation Records'!$E$83:$E$149,MATCH(RIGHT(L546,255),RIGHT('Disaggregation Records'!$D$83:$D$149,255),0))),"")</f>
        <v/>
      </c>
      <c r="N546" s="130" t="str">
        <f t="array" ref="N546">IFERROR(IF(INDEX('Disaggregation Records'!$F$83:$F$149,MATCH(RIGHT(L546,255),RIGHT('Disaggregation Records'!$D$83:$D$149,255),0))="","",INDEX('Disaggregation Records'!$F$83:$F$149,MATCH(RIGHT(L546,255),RIGHT('Disaggregation Records'!$D$83:$D$149,255),0))),"")</f>
        <v/>
      </c>
      <c r="O546" s="130" t="str">
        <f t="array" ref="O546">IFERROR(IF(INDEX('Disaggregation Records'!$H$83:$H$149,MATCH(RIGHT(L546,255),RIGHT('Disaggregation Records'!$D$83:$D$149,255),0))="","",INDEX('Disaggregation Records'!$H$83:$H$149,MATCH(RIGHT(L546,255),RIGHT('Disaggregation Records'!$D$83:$D$149,255),0))),"")</f>
        <v/>
      </c>
      <c r="P546" s="130"/>
      <c r="Q546" s="52">
        <f t="shared" ref="Q546" si="715">Q544+1</f>
        <v>1002</v>
      </c>
    </row>
    <row r="547" spans="1:17" ht="20.100000000000001" customHeight="1" x14ac:dyDescent="0.25">
      <c r="B547" s="602"/>
      <c r="C547" s="604"/>
      <c r="D547" s="606"/>
      <c r="E547" s="606"/>
      <c r="F547" s="132"/>
      <c r="G547" s="608"/>
      <c r="H547" s="598"/>
      <c r="I547" s="600"/>
      <c r="J547" s="532"/>
      <c r="K547" s="130"/>
      <c r="L547" s="130"/>
      <c r="M547" s="130"/>
      <c r="N547" s="130"/>
      <c r="O547" s="130"/>
      <c r="P547" s="130"/>
    </row>
    <row r="548" spans="1:17" ht="20.100000000000001" customHeight="1" x14ac:dyDescent="0.25">
      <c r="A548" s="130" t="str">
        <f t="shared" ref="A548" ca="1" si="716">INDIRECT("'update Helper'!C"&amp;Q548)</f>
        <v>a1VDm000000PRcZMAW</v>
      </c>
      <c r="B548" s="601">
        <v>12</v>
      </c>
      <c r="C548" s="603" t="str">
        <f>IFERROR(VLOOKUP(B548,'Outcome Indicators - Section C '!$A$9:$AC$70,29,FALSE),"")</f>
        <v/>
      </c>
      <c r="D548" s="605" t="str">
        <f>M548</f>
        <v/>
      </c>
      <c r="E548" s="605" t="str">
        <f>N548</f>
        <v/>
      </c>
      <c r="F548" s="131"/>
      <c r="G548" s="607" t="str">
        <f ca="1">IF(OR(INDIRECT("'update Helper'!E"&amp;Q548)="",F548&lt;&gt;0,F549&lt;&gt;0),IF(IFERROR((F548/F549),"")="","",(F548/F549)),INDIRECT("'update Helper'!E"&amp;Q548)/100)</f>
        <v/>
      </c>
      <c r="H548" s="597"/>
      <c r="I548" s="599"/>
      <c r="J548" s="531"/>
      <c r="K548" s="130">
        <f>IF(AND(EXACT(C548,C546),C546&lt;&gt;0),K546+1,0)</f>
        <v>16</v>
      </c>
      <c r="L548" s="130" t="str">
        <f>IF(C548&lt;&gt;"",C548&amp;"-"&amp;K548,"")</f>
        <v/>
      </c>
      <c r="M548" s="130" t="str">
        <f t="array" ref="M548">IFERROR(IF(INDEX('Disaggregation Records'!$E$83:$E$149,MATCH(RIGHT(L548,255),RIGHT('Disaggregation Records'!$D$83:$D$149,255),0))="","",INDEX('Disaggregation Records'!$E$83:$E$149,MATCH(RIGHT(L548,255),RIGHT('Disaggregation Records'!$D$83:$D$149,255),0))),"")</f>
        <v/>
      </c>
      <c r="N548" s="130" t="str">
        <f t="array" ref="N548">IFERROR(IF(INDEX('Disaggregation Records'!$F$83:$F$149,MATCH(RIGHT(L548,255),RIGHT('Disaggregation Records'!$D$83:$D$149,255),0))="","",INDEX('Disaggregation Records'!$F$83:$F$149,MATCH(RIGHT(L548,255),RIGHT('Disaggregation Records'!$D$83:$D$149,255),0))),"")</f>
        <v/>
      </c>
      <c r="O548" s="130" t="str">
        <f t="array" ref="O548">IFERROR(IF(INDEX('Disaggregation Records'!$H$83:$H$149,MATCH(RIGHT(L548,255),RIGHT('Disaggregation Records'!$D$83:$D$149,255),0))="","",INDEX('Disaggregation Records'!$H$83:$H$149,MATCH(RIGHT(L548,255),RIGHT('Disaggregation Records'!$D$83:$D$149,255),0))),"")</f>
        <v/>
      </c>
      <c r="P548" s="130"/>
      <c r="Q548" s="52">
        <f t="shared" ref="Q548" si="717">Q546+1</f>
        <v>1003</v>
      </c>
    </row>
    <row r="549" spans="1:17" ht="20.100000000000001" customHeight="1" x14ac:dyDescent="0.25">
      <c r="A549" s="130"/>
      <c r="B549" s="602"/>
      <c r="C549" s="604"/>
      <c r="D549" s="606"/>
      <c r="E549" s="606"/>
      <c r="F549" s="132"/>
      <c r="G549" s="608"/>
      <c r="H549" s="598"/>
      <c r="I549" s="600"/>
      <c r="J549" s="532"/>
      <c r="K549" s="130"/>
      <c r="L549" s="130"/>
      <c r="M549" s="130"/>
      <c r="N549" s="130"/>
      <c r="O549" s="130"/>
      <c r="P549" s="130"/>
    </row>
    <row r="550" spans="1:17" ht="20.100000000000001" customHeight="1" x14ac:dyDescent="0.25">
      <c r="A550" s="130" t="str">
        <f t="shared" ref="A550" ca="1" si="718">INDIRECT("'update Helper'!C"&amp;Q550)</f>
        <v>a1VDm000000PRcaMAG</v>
      </c>
      <c r="B550" s="601">
        <v>12</v>
      </c>
      <c r="C550" s="603" t="str">
        <f>IFERROR(VLOOKUP(B550,'Outcome Indicators - Section C '!$A$9:$AC$70,29,FALSE),"")</f>
        <v/>
      </c>
      <c r="D550" s="605" t="str">
        <f>M550</f>
        <v/>
      </c>
      <c r="E550" s="605" t="str">
        <f>N550</f>
        <v/>
      </c>
      <c r="F550" s="131"/>
      <c r="G550" s="607" t="str">
        <f ca="1">IF(OR(INDIRECT("'update Helper'!E"&amp;Q550)="",F550&lt;&gt;0,F551&lt;&gt;0),IF(IFERROR((F550/F551),"")="","",(F550/F551)),INDIRECT("'update Helper'!E"&amp;Q550)/100)</f>
        <v/>
      </c>
      <c r="H550" s="597"/>
      <c r="I550" s="599"/>
      <c r="J550" s="531"/>
      <c r="K550" s="130">
        <f>IF(AND(EXACT(C550,C548),C548&lt;&gt;0),K548+1,0)</f>
        <v>17</v>
      </c>
      <c r="L550" s="130" t="str">
        <f>IF(C550&lt;&gt;"",C550&amp;"-"&amp;K550,"")</f>
        <v/>
      </c>
      <c r="M550" s="130" t="str">
        <f t="array" ref="M550">IFERROR(IF(INDEX('Disaggregation Records'!$E$83:$E$149,MATCH(RIGHT(L550,255),RIGHT('Disaggregation Records'!$D$83:$D$149,255),0))="","",INDEX('Disaggregation Records'!$E$83:$E$149,MATCH(RIGHT(L550,255),RIGHT('Disaggregation Records'!$D$83:$D$149,255),0))),"")</f>
        <v/>
      </c>
      <c r="N550" s="130" t="str">
        <f t="array" ref="N550">IFERROR(IF(INDEX('Disaggregation Records'!$F$83:$F$149,MATCH(RIGHT(L550,255),RIGHT('Disaggregation Records'!$D$83:$D$149,255),0))="","",INDEX('Disaggregation Records'!$F$83:$F$149,MATCH(RIGHT(L550,255),RIGHT('Disaggregation Records'!$D$83:$D$149,255),0))),"")</f>
        <v/>
      </c>
      <c r="O550" s="130" t="str">
        <f t="array" ref="O550">IFERROR(IF(INDEX('Disaggregation Records'!$H$83:$H$149,MATCH(RIGHT(L550,255),RIGHT('Disaggregation Records'!$D$83:$D$149,255),0))="","",INDEX('Disaggregation Records'!$H$83:$H$149,MATCH(RIGHT(L550,255),RIGHT('Disaggregation Records'!$D$83:$D$149,255),0))),"")</f>
        <v/>
      </c>
      <c r="P550" s="130"/>
      <c r="Q550" s="52">
        <f t="shared" ref="Q550" si="719">Q548+1</f>
        <v>1004</v>
      </c>
    </row>
    <row r="551" spans="1:17" ht="20.100000000000001" customHeight="1" x14ac:dyDescent="0.25">
      <c r="B551" s="602"/>
      <c r="C551" s="604"/>
      <c r="D551" s="606"/>
      <c r="E551" s="606"/>
      <c r="F551" s="132"/>
      <c r="G551" s="608"/>
      <c r="H551" s="598"/>
      <c r="I551" s="600"/>
      <c r="J551" s="532"/>
      <c r="K551" s="130"/>
      <c r="L551" s="130"/>
      <c r="M551" s="130"/>
      <c r="N551" s="130"/>
      <c r="O551" s="130"/>
      <c r="P551" s="130"/>
    </row>
    <row r="552" spans="1:17" ht="20.100000000000001" customHeight="1" x14ac:dyDescent="0.25">
      <c r="A552" s="130" t="str">
        <f t="shared" ref="A552" ca="1" si="720">INDIRECT("'update Helper'!C"&amp;Q552)</f>
        <v>a1VDm000000PRcbMAG</v>
      </c>
      <c r="B552" s="601">
        <v>12</v>
      </c>
      <c r="C552" s="603" t="str">
        <f>IFERROR(VLOOKUP(B552,'Outcome Indicators - Section C '!$A$9:$AC$70,29,FALSE),"")</f>
        <v/>
      </c>
      <c r="D552" s="605" t="str">
        <f>M552</f>
        <v/>
      </c>
      <c r="E552" s="605" t="str">
        <f>N552</f>
        <v/>
      </c>
      <c r="F552" s="131"/>
      <c r="G552" s="607" t="str">
        <f ca="1">IF(OR(INDIRECT("'update Helper'!E"&amp;Q552)="",F552&lt;&gt;0,F553&lt;&gt;0),IF(IFERROR((F552/F553),"")="","",(F552/F553)),INDIRECT("'update Helper'!E"&amp;Q552)/100)</f>
        <v/>
      </c>
      <c r="H552" s="597"/>
      <c r="I552" s="599"/>
      <c r="J552" s="531"/>
      <c r="K552" s="130">
        <f>IF(AND(EXACT(C552,C550),C550&lt;&gt;0),K550+1,0)</f>
        <v>18</v>
      </c>
      <c r="L552" s="130" t="str">
        <f>IF(C552&lt;&gt;"",C552&amp;"-"&amp;K552,"")</f>
        <v/>
      </c>
      <c r="M552" s="130" t="str">
        <f t="array" ref="M552">IFERROR(IF(INDEX('Disaggregation Records'!$E$83:$E$149,MATCH(RIGHT(L552,255),RIGHT('Disaggregation Records'!$D$83:$D$149,255),0))="","",INDEX('Disaggregation Records'!$E$83:$E$149,MATCH(RIGHT(L552,255),RIGHT('Disaggregation Records'!$D$83:$D$149,255),0))),"")</f>
        <v/>
      </c>
      <c r="N552" s="130" t="str">
        <f t="array" ref="N552">IFERROR(IF(INDEX('Disaggregation Records'!$F$83:$F$149,MATCH(RIGHT(L552,255),RIGHT('Disaggregation Records'!$D$83:$D$149,255),0))="","",INDEX('Disaggregation Records'!$F$83:$F$149,MATCH(RIGHT(L552,255),RIGHT('Disaggregation Records'!$D$83:$D$149,255),0))),"")</f>
        <v/>
      </c>
      <c r="O552" s="130" t="str">
        <f t="array" ref="O552">IFERROR(IF(INDEX('Disaggregation Records'!$H$83:$H$149,MATCH(RIGHT(L552,255),RIGHT('Disaggregation Records'!$D$83:$D$149,255),0))="","",INDEX('Disaggregation Records'!$H$83:$H$149,MATCH(RIGHT(L552,255),RIGHT('Disaggregation Records'!$D$83:$D$149,255),0))),"")</f>
        <v/>
      </c>
      <c r="P552" s="130"/>
      <c r="Q552" s="52">
        <f t="shared" ref="Q552" si="721">Q550+1</f>
        <v>1005</v>
      </c>
    </row>
    <row r="553" spans="1:17" ht="20.100000000000001" customHeight="1" x14ac:dyDescent="0.25">
      <c r="A553" s="130"/>
      <c r="B553" s="602"/>
      <c r="C553" s="604"/>
      <c r="D553" s="606"/>
      <c r="E553" s="606"/>
      <c r="F553" s="132"/>
      <c r="G553" s="608"/>
      <c r="H553" s="598"/>
      <c r="I553" s="600"/>
      <c r="J553" s="532"/>
      <c r="K553" s="130"/>
      <c r="L553" s="130"/>
      <c r="M553" s="130"/>
      <c r="N553" s="130"/>
      <c r="O553" s="130"/>
      <c r="P553" s="130"/>
    </row>
    <row r="554" spans="1:17" ht="20.100000000000001" customHeight="1" x14ac:dyDescent="0.25">
      <c r="A554" s="130" t="str">
        <f t="shared" ref="A554" ca="1" si="722">INDIRECT("'update Helper'!C"&amp;Q554)</f>
        <v>a1VDm000000PRccMAG</v>
      </c>
      <c r="B554" s="601">
        <v>12</v>
      </c>
      <c r="C554" s="603" t="str">
        <f>IFERROR(VLOOKUP(B554,'Outcome Indicators - Section C '!$A$9:$AC$70,29,FALSE),"")</f>
        <v/>
      </c>
      <c r="D554" s="605" t="str">
        <f>M554</f>
        <v/>
      </c>
      <c r="E554" s="605" t="str">
        <f>N554</f>
        <v/>
      </c>
      <c r="F554" s="131"/>
      <c r="G554" s="607" t="str">
        <f ca="1">IF(OR(INDIRECT("'update Helper'!E"&amp;Q554)="",F554&lt;&gt;0,F555&lt;&gt;0),IF(IFERROR((F554/F555),"")="","",(F554/F555)),INDIRECT("'update Helper'!E"&amp;Q554)/100)</f>
        <v/>
      </c>
      <c r="H554" s="597"/>
      <c r="I554" s="599"/>
      <c r="J554" s="531"/>
      <c r="K554" s="130">
        <f>IF(AND(EXACT(C554,C552),C552&lt;&gt;0),K552+1,0)</f>
        <v>19</v>
      </c>
      <c r="L554" s="130" t="str">
        <f>IF(C554&lt;&gt;"",C554&amp;"-"&amp;K554,"")</f>
        <v/>
      </c>
      <c r="M554" s="130" t="str">
        <f t="array" ref="M554">IFERROR(IF(INDEX('Disaggregation Records'!$E$83:$E$149,MATCH(RIGHT(L554,255),RIGHT('Disaggregation Records'!$D$83:$D$149,255),0))="","",INDEX('Disaggregation Records'!$E$83:$E$149,MATCH(RIGHT(L554,255),RIGHT('Disaggregation Records'!$D$83:$D$149,255),0))),"")</f>
        <v/>
      </c>
      <c r="N554" s="130" t="str">
        <f t="array" ref="N554">IFERROR(IF(INDEX('Disaggregation Records'!$F$83:$F$149,MATCH(RIGHT(L554,255),RIGHT('Disaggregation Records'!$D$83:$D$149,255),0))="","",INDEX('Disaggregation Records'!$F$83:$F$149,MATCH(RIGHT(L554,255),RIGHT('Disaggregation Records'!$D$83:$D$149,255),0))),"")</f>
        <v/>
      </c>
      <c r="O554" s="130" t="str">
        <f t="array" ref="O554">IFERROR(IF(INDEX('Disaggregation Records'!$H$83:$H$149,MATCH(RIGHT(L554,255),RIGHT('Disaggregation Records'!$D$83:$D$149,255),0))="","",INDEX('Disaggregation Records'!$H$83:$H$149,MATCH(RIGHT(L554,255),RIGHT('Disaggregation Records'!$D$83:$D$149,255),0))),"")</f>
        <v/>
      </c>
      <c r="P554" s="130"/>
      <c r="Q554" s="52">
        <f t="shared" ref="Q554" si="723">Q552+1</f>
        <v>1006</v>
      </c>
    </row>
    <row r="555" spans="1:17" ht="20.100000000000001" customHeight="1" x14ac:dyDescent="0.25">
      <c r="B555" s="602"/>
      <c r="C555" s="604"/>
      <c r="D555" s="606"/>
      <c r="E555" s="606"/>
      <c r="F555" s="132"/>
      <c r="G555" s="608"/>
      <c r="H555" s="598"/>
      <c r="I555" s="600"/>
      <c r="J555" s="532"/>
      <c r="K555" s="130"/>
      <c r="L555" s="130"/>
      <c r="M555" s="130"/>
      <c r="N555" s="130"/>
      <c r="O555" s="130"/>
      <c r="P555" s="130"/>
    </row>
    <row r="556" spans="1:17" ht="20.100000000000001" customHeight="1" x14ac:dyDescent="0.25">
      <c r="A556" s="130" t="str">
        <f t="shared" ref="A556" ca="1" si="724">INDIRECT("'update Helper'!C"&amp;Q556)</f>
        <v>a1VDm000000PRcdMAG</v>
      </c>
      <c r="B556" s="601">
        <v>13</v>
      </c>
      <c r="C556" s="603" t="str">
        <f>IFERROR(VLOOKUP(B556,'Outcome Indicators - Section C '!$A$9:$AC$70,29,FALSE),"")</f>
        <v/>
      </c>
      <c r="D556" s="605" t="str">
        <f>M556</f>
        <v/>
      </c>
      <c r="E556" s="605" t="str">
        <f>N556</f>
        <v/>
      </c>
      <c r="F556" s="131"/>
      <c r="G556" s="607" t="str">
        <f ca="1">IF(OR(INDIRECT("'update Helper'!E"&amp;Q556)="",F556&lt;&gt;0,F557&lt;&gt;0),IF(IFERROR((F556/F557),"")="","",(F556/F557)),INDIRECT("'update Helper'!E"&amp;Q556)/100)</f>
        <v/>
      </c>
      <c r="H556" s="597"/>
      <c r="I556" s="599"/>
      <c r="J556" s="531"/>
      <c r="K556" s="130">
        <f>IF(AND(EXACT(C556,C554),C554&lt;&gt;0),K554+1,0)</f>
        <v>20</v>
      </c>
      <c r="L556" s="130" t="str">
        <f>IF(C556&lt;&gt;"",C556&amp;"-"&amp;K556,"")</f>
        <v/>
      </c>
      <c r="M556" s="130" t="str">
        <f t="array" ref="M556">IFERROR(IF(INDEX('Disaggregation Records'!$E$83:$E$149,MATCH(RIGHT(L556,255),RIGHT('Disaggregation Records'!$D$83:$D$149,255),0))="","",INDEX('Disaggregation Records'!$E$83:$E$149,MATCH(RIGHT(L556,255),RIGHT('Disaggregation Records'!$D$83:$D$149,255),0))),"")</f>
        <v/>
      </c>
      <c r="N556" s="130" t="str">
        <f t="array" ref="N556">IFERROR(IF(INDEX('Disaggregation Records'!$F$83:$F$149,MATCH(RIGHT(L556,255),RIGHT('Disaggregation Records'!$D$83:$D$149,255),0))="","",INDEX('Disaggregation Records'!$F$83:$F$149,MATCH(RIGHT(L556,255),RIGHT('Disaggregation Records'!$D$83:$D$149,255),0))),"")</f>
        <v/>
      </c>
      <c r="O556" s="130" t="str">
        <f t="array" ref="O556">IFERROR(IF(INDEX('Disaggregation Records'!$H$83:$H$149,MATCH(RIGHT(L556,255),RIGHT('Disaggregation Records'!$D$83:$D$149,255),0))="","",INDEX('Disaggregation Records'!$H$83:$H$149,MATCH(RIGHT(L556,255),RIGHT('Disaggregation Records'!$D$83:$D$149,255),0))),"")</f>
        <v/>
      </c>
      <c r="P556" s="130"/>
      <c r="Q556" s="52">
        <f t="shared" ref="Q556" si="725">Q554+1</f>
        <v>1007</v>
      </c>
    </row>
    <row r="557" spans="1:17" ht="20.100000000000001" customHeight="1" x14ac:dyDescent="0.25">
      <c r="A557" s="130"/>
      <c r="B557" s="602"/>
      <c r="C557" s="604"/>
      <c r="D557" s="606"/>
      <c r="E557" s="606"/>
      <c r="F557" s="132"/>
      <c r="G557" s="608"/>
      <c r="H557" s="598"/>
      <c r="I557" s="600"/>
      <c r="J557" s="532"/>
      <c r="K557" s="130"/>
      <c r="L557" s="130"/>
      <c r="M557" s="130"/>
      <c r="N557" s="130"/>
      <c r="O557" s="130"/>
      <c r="P557" s="130"/>
    </row>
    <row r="558" spans="1:17" ht="20.100000000000001" customHeight="1" x14ac:dyDescent="0.25">
      <c r="A558" s="130" t="str">
        <f t="shared" ref="A558" ca="1" si="726">INDIRECT("'update Helper'!C"&amp;Q558)</f>
        <v>a1VDm000000PRceMAG</v>
      </c>
      <c r="B558" s="601">
        <v>13</v>
      </c>
      <c r="C558" s="603" t="str">
        <f>IFERROR(VLOOKUP(B558,'Outcome Indicators - Section C '!$A$9:$AC$70,29,FALSE),"")</f>
        <v/>
      </c>
      <c r="D558" s="605" t="str">
        <f>M558</f>
        <v/>
      </c>
      <c r="E558" s="605" t="str">
        <f>N558</f>
        <v/>
      </c>
      <c r="F558" s="131"/>
      <c r="G558" s="607" t="str">
        <f ca="1">IF(OR(INDIRECT("'update Helper'!E"&amp;Q558)="",F558&lt;&gt;0,F559&lt;&gt;0),IF(IFERROR((F558/F559),"")="","",(F558/F559)),INDIRECT("'update Helper'!E"&amp;Q558)/100)</f>
        <v/>
      </c>
      <c r="H558" s="597"/>
      <c r="I558" s="599"/>
      <c r="J558" s="531"/>
      <c r="K558" s="130">
        <f>IF(AND(EXACT(C558,C556),C556&lt;&gt;0),K556+1,0)</f>
        <v>21</v>
      </c>
      <c r="L558" s="130" t="str">
        <f>IF(C558&lt;&gt;"",C558&amp;"-"&amp;K558,"")</f>
        <v/>
      </c>
      <c r="M558" s="130" t="str">
        <f t="array" ref="M558">IFERROR(IF(INDEX('Disaggregation Records'!$E$83:$E$149,MATCH(RIGHT(L558,255),RIGHT('Disaggregation Records'!$D$83:$D$149,255),0))="","",INDEX('Disaggregation Records'!$E$83:$E$149,MATCH(RIGHT(L558,255),RIGHT('Disaggregation Records'!$D$83:$D$149,255),0))),"")</f>
        <v/>
      </c>
      <c r="N558" s="130" t="str">
        <f t="array" ref="N558">IFERROR(IF(INDEX('Disaggregation Records'!$F$83:$F$149,MATCH(RIGHT(L558,255),RIGHT('Disaggregation Records'!$D$83:$D$149,255),0))="","",INDEX('Disaggregation Records'!$F$83:$F$149,MATCH(RIGHT(L558,255),RIGHT('Disaggregation Records'!$D$83:$D$149,255),0))),"")</f>
        <v/>
      </c>
      <c r="O558" s="130" t="str">
        <f t="array" ref="O558">IFERROR(IF(INDEX('Disaggregation Records'!$H$83:$H$149,MATCH(RIGHT(L558,255),RIGHT('Disaggregation Records'!$D$83:$D$149,255),0))="","",INDEX('Disaggregation Records'!$H$83:$H$149,MATCH(RIGHT(L558,255),RIGHT('Disaggregation Records'!$D$83:$D$149,255),0))),"")</f>
        <v/>
      </c>
      <c r="P558" s="130"/>
      <c r="Q558" s="52">
        <f t="shared" ref="Q558" si="727">Q556+1</f>
        <v>1008</v>
      </c>
    </row>
    <row r="559" spans="1:17" ht="20.100000000000001" customHeight="1" x14ac:dyDescent="0.25">
      <c r="B559" s="602"/>
      <c r="C559" s="604"/>
      <c r="D559" s="606"/>
      <c r="E559" s="606"/>
      <c r="F559" s="132"/>
      <c r="G559" s="608"/>
      <c r="H559" s="598"/>
      <c r="I559" s="600"/>
      <c r="J559" s="532"/>
      <c r="K559" s="130"/>
      <c r="L559" s="130"/>
      <c r="M559" s="130"/>
      <c r="N559" s="130"/>
      <c r="O559" s="130"/>
      <c r="P559" s="130"/>
    </row>
    <row r="560" spans="1:17" ht="20.100000000000001" customHeight="1" x14ac:dyDescent="0.25">
      <c r="A560" s="130" t="str">
        <f t="shared" ref="A560" ca="1" si="728">INDIRECT("'update Helper'!C"&amp;Q560)</f>
        <v>a1VDm000000PRcfMAG</v>
      </c>
      <c r="B560" s="601">
        <v>13</v>
      </c>
      <c r="C560" s="603" t="str">
        <f>IFERROR(VLOOKUP(B560,'Outcome Indicators - Section C '!$A$9:$AC$70,29,FALSE),"")</f>
        <v/>
      </c>
      <c r="D560" s="605" t="str">
        <f>M560</f>
        <v/>
      </c>
      <c r="E560" s="605" t="str">
        <f>N560</f>
        <v/>
      </c>
      <c r="F560" s="131"/>
      <c r="G560" s="607" t="str">
        <f ca="1">IF(OR(INDIRECT("'update Helper'!E"&amp;Q560)="",F560&lt;&gt;0,F561&lt;&gt;0),IF(IFERROR((F560/F561),"")="","",(F560/F561)),INDIRECT("'update Helper'!E"&amp;Q560)/100)</f>
        <v/>
      </c>
      <c r="H560" s="597"/>
      <c r="I560" s="599"/>
      <c r="J560" s="531"/>
      <c r="K560" s="130">
        <f>IF(AND(EXACT(C560,C558),C558&lt;&gt;0),K558+1,0)</f>
        <v>22</v>
      </c>
      <c r="L560" s="130" t="str">
        <f>IF(C560&lt;&gt;"",C560&amp;"-"&amp;K560,"")</f>
        <v/>
      </c>
      <c r="M560" s="130" t="str">
        <f t="array" ref="M560">IFERROR(IF(INDEX('Disaggregation Records'!$E$83:$E$149,MATCH(RIGHT(L560,255),RIGHT('Disaggregation Records'!$D$83:$D$149,255),0))="","",INDEX('Disaggregation Records'!$E$83:$E$149,MATCH(RIGHT(L560,255),RIGHT('Disaggregation Records'!$D$83:$D$149,255),0))),"")</f>
        <v/>
      </c>
      <c r="N560" s="130" t="str">
        <f t="array" ref="N560">IFERROR(IF(INDEX('Disaggregation Records'!$F$83:$F$149,MATCH(RIGHT(L560,255),RIGHT('Disaggregation Records'!$D$83:$D$149,255),0))="","",INDEX('Disaggregation Records'!$F$83:$F$149,MATCH(RIGHT(L560,255),RIGHT('Disaggregation Records'!$D$83:$D$149,255),0))),"")</f>
        <v/>
      </c>
      <c r="O560" s="130" t="str">
        <f t="array" ref="O560">IFERROR(IF(INDEX('Disaggregation Records'!$H$83:$H$149,MATCH(RIGHT(L560,255),RIGHT('Disaggregation Records'!$D$83:$D$149,255),0))="","",INDEX('Disaggregation Records'!$H$83:$H$149,MATCH(RIGHT(L560,255),RIGHT('Disaggregation Records'!$D$83:$D$149,255),0))),"")</f>
        <v/>
      </c>
      <c r="P560" s="130"/>
      <c r="Q560" s="52">
        <f t="shared" ref="Q560" si="729">Q558+1</f>
        <v>1009</v>
      </c>
    </row>
    <row r="561" spans="1:17" ht="20.100000000000001" customHeight="1" x14ac:dyDescent="0.25">
      <c r="A561" s="130"/>
      <c r="B561" s="602"/>
      <c r="C561" s="604"/>
      <c r="D561" s="606"/>
      <c r="E561" s="606"/>
      <c r="F561" s="132"/>
      <c r="G561" s="608"/>
      <c r="H561" s="598"/>
      <c r="I561" s="600"/>
      <c r="J561" s="532"/>
      <c r="K561" s="130"/>
      <c r="L561" s="130"/>
      <c r="M561" s="130"/>
      <c r="N561" s="130"/>
      <c r="O561" s="130"/>
      <c r="P561" s="130"/>
    </row>
    <row r="562" spans="1:17" ht="20.100000000000001" customHeight="1" x14ac:dyDescent="0.25">
      <c r="A562" s="130" t="str">
        <f t="shared" ref="A562" ca="1" si="730">INDIRECT("'update Helper'!C"&amp;Q562)</f>
        <v>a1VDm000000PRcgMAG</v>
      </c>
      <c r="B562" s="601">
        <v>13</v>
      </c>
      <c r="C562" s="603" t="str">
        <f>IFERROR(VLOOKUP(B562,'Outcome Indicators - Section C '!$A$9:$AC$70,29,FALSE),"")</f>
        <v/>
      </c>
      <c r="D562" s="605" t="str">
        <f>M562</f>
        <v/>
      </c>
      <c r="E562" s="605" t="str">
        <f>N562</f>
        <v/>
      </c>
      <c r="F562" s="131"/>
      <c r="G562" s="607" t="str">
        <f ca="1">IF(OR(INDIRECT("'update Helper'!E"&amp;Q562)="",F562&lt;&gt;0,F563&lt;&gt;0),IF(IFERROR((F562/F563),"")="","",(F562/F563)),INDIRECT("'update Helper'!E"&amp;Q562)/100)</f>
        <v/>
      </c>
      <c r="H562" s="597"/>
      <c r="I562" s="599"/>
      <c r="J562" s="531"/>
      <c r="K562" s="130">
        <f>IF(AND(EXACT(C562,C560),C560&lt;&gt;0),K560+1,0)</f>
        <v>23</v>
      </c>
      <c r="L562" s="130" t="str">
        <f>IF(C562&lt;&gt;"",C562&amp;"-"&amp;K562,"")</f>
        <v/>
      </c>
      <c r="M562" s="130" t="str">
        <f t="array" ref="M562">IFERROR(IF(INDEX('Disaggregation Records'!$E$83:$E$149,MATCH(RIGHT(L562,255),RIGHT('Disaggregation Records'!$D$83:$D$149,255),0))="","",INDEX('Disaggregation Records'!$E$83:$E$149,MATCH(RIGHT(L562,255),RIGHT('Disaggregation Records'!$D$83:$D$149,255),0))),"")</f>
        <v/>
      </c>
      <c r="N562" s="130" t="str">
        <f t="array" ref="N562">IFERROR(IF(INDEX('Disaggregation Records'!$F$83:$F$149,MATCH(RIGHT(L562,255),RIGHT('Disaggregation Records'!$D$83:$D$149,255),0))="","",INDEX('Disaggregation Records'!$F$83:$F$149,MATCH(RIGHT(L562,255),RIGHT('Disaggregation Records'!$D$83:$D$149,255),0))),"")</f>
        <v/>
      </c>
      <c r="O562" s="130" t="str">
        <f t="array" ref="O562">IFERROR(IF(INDEX('Disaggregation Records'!$H$83:$H$149,MATCH(RIGHT(L562,255),RIGHT('Disaggregation Records'!$D$83:$D$149,255),0))="","",INDEX('Disaggregation Records'!$H$83:$H$149,MATCH(RIGHT(L562,255),RIGHT('Disaggregation Records'!$D$83:$D$149,255),0))),"")</f>
        <v/>
      </c>
      <c r="P562" s="130"/>
      <c r="Q562" s="52">
        <f t="shared" ref="Q562" si="731">Q560+1</f>
        <v>1010</v>
      </c>
    </row>
    <row r="563" spans="1:17" ht="20.100000000000001" customHeight="1" x14ac:dyDescent="0.25">
      <c r="B563" s="602"/>
      <c r="C563" s="604"/>
      <c r="D563" s="606"/>
      <c r="E563" s="606"/>
      <c r="F563" s="132"/>
      <c r="G563" s="608"/>
      <c r="H563" s="598"/>
      <c r="I563" s="600"/>
      <c r="J563" s="532"/>
      <c r="K563" s="130"/>
      <c r="L563" s="130"/>
      <c r="M563" s="130"/>
      <c r="N563" s="130"/>
      <c r="O563" s="130"/>
      <c r="P563" s="130"/>
    </row>
    <row r="564" spans="1:17" ht="20.100000000000001" customHeight="1" x14ac:dyDescent="0.25">
      <c r="A564" s="130" t="str">
        <f t="shared" ref="A564" ca="1" si="732">INDIRECT("'update Helper'!C"&amp;Q564)</f>
        <v>a1VDm000000PRchMAG</v>
      </c>
      <c r="B564" s="601">
        <v>13</v>
      </c>
      <c r="C564" s="603" t="str">
        <f>IFERROR(VLOOKUP(B564,'Outcome Indicators - Section C '!$A$9:$AC$70,29,FALSE),"")</f>
        <v/>
      </c>
      <c r="D564" s="605" t="str">
        <f>M564</f>
        <v/>
      </c>
      <c r="E564" s="605" t="str">
        <f>N564</f>
        <v/>
      </c>
      <c r="F564" s="131"/>
      <c r="G564" s="607" t="str">
        <f ca="1">IF(OR(INDIRECT("'update Helper'!E"&amp;Q564)="",F564&lt;&gt;0,F565&lt;&gt;0),IF(IFERROR((F564/F565),"")="","",(F564/F565)),INDIRECT("'update Helper'!E"&amp;Q564)/100)</f>
        <v/>
      </c>
      <c r="H564" s="597"/>
      <c r="I564" s="599"/>
      <c r="J564" s="531"/>
      <c r="K564" s="130">
        <f>IF(AND(EXACT(C564,C562),C562&lt;&gt;0),K562+1,0)</f>
        <v>24</v>
      </c>
      <c r="L564" s="130" t="str">
        <f>IF(C564&lt;&gt;"",C564&amp;"-"&amp;K564,"")</f>
        <v/>
      </c>
      <c r="M564" s="130" t="str">
        <f t="array" ref="M564">IFERROR(IF(INDEX('Disaggregation Records'!$E$83:$E$149,MATCH(RIGHT(L564,255),RIGHT('Disaggregation Records'!$D$83:$D$149,255),0))="","",INDEX('Disaggregation Records'!$E$83:$E$149,MATCH(RIGHT(L564,255),RIGHT('Disaggregation Records'!$D$83:$D$149,255),0))),"")</f>
        <v/>
      </c>
      <c r="N564" s="130" t="str">
        <f t="array" ref="N564">IFERROR(IF(INDEX('Disaggregation Records'!$F$83:$F$149,MATCH(RIGHT(L564,255),RIGHT('Disaggregation Records'!$D$83:$D$149,255),0))="","",INDEX('Disaggregation Records'!$F$83:$F$149,MATCH(RIGHT(L564,255),RIGHT('Disaggregation Records'!$D$83:$D$149,255),0))),"")</f>
        <v/>
      </c>
      <c r="O564" s="130" t="str">
        <f t="array" ref="O564">IFERROR(IF(INDEX('Disaggregation Records'!$H$83:$H$149,MATCH(RIGHT(L564,255),RIGHT('Disaggregation Records'!$D$83:$D$149,255),0))="","",INDEX('Disaggregation Records'!$H$83:$H$149,MATCH(RIGHT(L564,255),RIGHT('Disaggregation Records'!$D$83:$D$149,255),0))),"")</f>
        <v/>
      </c>
      <c r="P564" s="130"/>
      <c r="Q564" s="52">
        <f t="shared" ref="Q564" si="733">Q562+1</f>
        <v>1011</v>
      </c>
    </row>
    <row r="565" spans="1:17" ht="20.100000000000001" customHeight="1" x14ac:dyDescent="0.25">
      <c r="A565" s="130"/>
      <c r="B565" s="602"/>
      <c r="C565" s="604"/>
      <c r="D565" s="606"/>
      <c r="E565" s="606"/>
      <c r="F565" s="132"/>
      <c r="G565" s="608"/>
      <c r="H565" s="598"/>
      <c r="I565" s="600"/>
      <c r="J565" s="532"/>
      <c r="K565" s="130"/>
      <c r="L565" s="130"/>
      <c r="M565" s="130"/>
      <c r="N565" s="130"/>
      <c r="O565" s="130"/>
      <c r="P565" s="130"/>
    </row>
    <row r="566" spans="1:17" ht="20.100000000000001" customHeight="1" x14ac:dyDescent="0.25">
      <c r="A566" s="130" t="str">
        <f t="shared" ref="A566" ca="1" si="734">INDIRECT("'update Helper'!C"&amp;Q566)</f>
        <v>a1VDm000000PRciMAG</v>
      </c>
      <c r="B566" s="601">
        <v>13</v>
      </c>
      <c r="C566" s="603" t="str">
        <f>IFERROR(VLOOKUP(B566,'Outcome Indicators - Section C '!$A$9:$AC$70,29,FALSE),"")</f>
        <v/>
      </c>
      <c r="D566" s="605" t="str">
        <f>M566</f>
        <v/>
      </c>
      <c r="E566" s="605" t="str">
        <f>N566</f>
        <v/>
      </c>
      <c r="F566" s="131"/>
      <c r="G566" s="607" t="str">
        <f ca="1">IF(OR(INDIRECT("'update Helper'!E"&amp;Q566)="",F566&lt;&gt;0,F567&lt;&gt;0),IF(IFERROR((F566/F567),"")="","",(F566/F567)),INDIRECT("'update Helper'!E"&amp;Q566)/100)</f>
        <v/>
      </c>
      <c r="H566" s="597"/>
      <c r="I566" s="599"/>
      <c r="J566" s="531"/>
      <c r="K566" s="130">
        <f>IF(AND(EXACT(C566,C564),C564&lt;&gt;0),K564+1,0)</f>
        <v>25</v>
      </c>
      <c r="L566" s="130" t="str">
        <f>IF(C566&lt;&gt;"",C566&amp;"-"&amp;K566,"")</f>
        <v/>
      </c>
      <c r="M566" s="130" t="str">
        <f t="array" ref="M566">IFERROR(IF(INDEX('Disaggregation Records'!$E$83:$E$149,MATCH(RIGHT(L566,255),RIGHT('Disaggregation Records'!$D$83:$D$149,255),0))="","",INDEX('Disaggregation Records'!$E$83:$E$149,MATCH(RIGHT(L566,255),RIGHT('Disaggregation Records'!$D$83:$D$149,255),0))),"")</f>
        <v/>
      </c>
      <c r="N566" s="130" t="str">
        <f t="array" ref="N566">IFERROR(IF(INDEX('Disaggregation Records'!$F$83:$F$149,MATCH(RIGHT(L566,255),RIGHT('Disaggregation Records'!$D$83:$D$149,255),0))="","",INDEX('Disaggregation Records'!$F$83:$F$149,MATCH(RIGHT(L566,255),RIGHT('Disaggregation Records'!$D$83:$D$149,255),0))),"")</f>
        <v/>
      </c>
      <c r="O566" s="130" t="str">
        <f t="array" ref="O566">IFERROR(IF(INDEX('Disaggregation Records'!$H$83:$H$149,MATCH(RIGHT(L566,255),RIGHT('Disaggregation Records'!$D$83:$D$149,255),0))="","",INDEX('Disaggregation Records'!$H$83:$H$149,MATCH(RIGHT(L566,255),RIGHT('Disaggregation Records'!$D$83:$D$149,255),0))),"")</f>
        <v/>
      </c>
      <c r="P566" s="130"/>
      <c r="Q566" s="52">
        <f t="shared" ref="Q566" si="735">Q564+1</f>
        <v>1012</v>
      </c>
    </row>
    <row r="567" spans="1:17" ht="20.100000000000001" customHeight="1" x14ac:dyDescent="0.25">
      <c r="B567" s="602"/>
      <c r="C567" s="604"/>
      <c r="D567" s="606"/>
      <c r="E567" s="606"/>
      <c r="F567" s="132"/>
      <c r="G567" s="608"/>
      <c r="H567" s="598"/>
      <c r="I567" s="600"/>
      <c r="J567" s="532"/>
      <c r="K567" s="130"/>
      <c r="L567" s="130"/>
      <c r="M567" s="130"/>
      <c r="N567" s="130"/>
      <c r="O567" s="130"/>
      <c r="P567" s="130"/>
    </row>
    <row r="568" spans="1:17" ht="20.100000000000001" customHeight="1" x14ac:dyDescent="0.25">
      <c r="A568" s="130" t="str">
        <f t="shared" ref="A568" ca="1" si="736">INDIRECT("'update Helper'!C"&amp;Q568)</f>
        <v>a1VDm000000PRcjMAG</v>
      </c>
      <c r="B568" s="601">
        <v>13</v>
      </c>
      <c r="C568" s="603" t="str">
        <f>IFERROR(VLOOKUP(B568,'Outcome Indicators - Section C '!$A$9:$AC$70,29,FALSE),"")</f>
        <v/>
      </c>
      <c r="D568" s="605" t="str">
        <f>M568</f>
        <v/>
      </c>
      <c r="E568" s="605" t="str">
        <f>N568</f>
        <v/>
      </c>
      <c r="F568" s="131"/>
      <c r="G568" s="607" t="str">
        <f ca="1">IF(OR(INDIRECT("'update Helper'!E"&amp;Q568)="",F568&lt;&gt;0,F569&lt;&gt;0),IF(IFERROR((F568/F569),"")="","",(F568/F569)),INDIRECT("'update Helper'!E"&amp;Q568)/100)</f>
        <v/>
      </c>
      <c r="H568" s="597"/>
      <c r="I568" s="599"/>
      <c r="J568" s="531"/>
      <c r="K568" s="130">
        <f>IF(AND(EXACT(C568,C566),C566&lt;&gt;0),K566+1,0)</f>
        <v>26</v>
      </c>
      <c r="L568" s="130" t="str">
        <f>IF(C568&lt;&gt;"",C568&amp;"-"&amp;K568,"")</f>
        <v/>
      </c>
      <c r="M568" s="130" t="str">
        <f t="array" ref="M568">IFERROR(IF(INDEX('Disaggregation Records'!$E$83:$E$149,MATCH(RIGHT(L568,255),RIGHT('Disaggregation Records'!$D$83:$D$149,255),0))="","",INDEX('Disaggregation Records'!$E$83:$E$149,MATCH(RIGHT(L568,255),RIGHT('Disaggregation Records'!$D$83:$D$149,255),0))),"")</f>
        <v/>
      </c>
      <c r="N568" s="130" t="str">
        <f t="array" ref="N568">IFERROR(IF(INDEX('Disaggregation Records'!$F$83:$F$149,MATCH(RIGHT(L568,255),RIGHT('Disaggregation Records'!$D$83:$D$149,255),0))="","",INDEX('Disaggregation Records'!$F$83:$F$149,MATCH(RIGHT(L568,255),RIGHT('Disaggregation Records'!$D$83:$D$149,255),0))),"")</f>
        <v/>
      </c>
      <c r="O568" s="130" t="str">
        <f t="array" ref="O568">IFERROR(IF(INDEX('Disaggregation Records'!$H$83:$H$149,MATCH(RIGHT(L568,255),RIGHT('Disaggregation Records'!$D$83:$D$149,255),0))="","",INDEX('Disaggregation Records'!$H$83:$H$149,MATCH(RIGHT(L568,255),RIGHT('Disaggregation Records'!$D$83:$D$149,255),0))),"")</f>
        <v/>
      </c>
      <c r="P568" s="130"/>
      <c r="Q568" s="52">
        <f t="shared" ref="Q568" si="737">Q566+1</f>
        <v>1013</v>
      </c>
    </row>
    <row r="569" spans="1:17" ht="20.100000000000001" customHeight="1" x14ac:dyDescent="0.25">
      <c r="A569" s="130"/>
      <c r="B569" s="602"/>
      <c r="C569" s="604"/>
      <c r="D569" s="606"/>
      <c r="E569" s="606"/>
      <c r="F569" s="132"/>
      <c r="G569" s="608"/>
      <c r="H569" s="598"/>
      <c r="I569" s="600"/>
      <c r="J569" s="532"/>
      <c r="K569" s="130"/>
      <c r="L569" s="130"/>
      <c r="M569" s="130"/>
      <c r="N569" s="130"/>
      <c r="O569" s="130"/>
      <c r="P569" s="130"/>
    </row>
    <row r="570" spans="1:17" ht="20.100000000000001" customHeight="1" x14ac:dyDescent="0.25">
      <c r="A570" s="130" t="str">
        <f t="shared" ref="A570" ca="1" si="738">INDIRECT("'update Helper'!C"&amp;Q570)</f>
        <v>a1VDm000000PRckMAG</v>
      </c>
      <c r="B570" s="601">
        <v>13</v>
      </c>
      <c r="C570" s="603" t="str">
        <f>IFERROR(VLOOKUP(B570,'Outcome Indicators - Section C '!$A$9:$AC$70,29,FALSE),"")</f>
        <v/>
      </c>
      <c r="D570" s="605" t="str">
        <f>M570</f>
        <v/>
      </c>
      <c r="E570" s="605" t="str">
        <f>N570</f>
        <v/>
      </c>
      <c r="F570" s="131"/>
      <c r="G570" s="607" t="str">
        <f ca="1">IF(OR(INDIRECT("'update Helper'!E"&amp;Q570)="",F570&lt;&gt;0,F571&lt;&gt;0),IF(IFERROR((F570/F571),"")="","",(F570/F571)),INDIRECT("'update Helper'!E"&amp;Q570)/100)</f>
        <v/>
      </c>
      <c r="H570" s="597"/>
      <c r="I570" s="599"/>
      <c r="J570" s="531"/>
      <c r="K570" s="130">
        <f>IF(AND(EXACT(C570,C568),C568&lt;&gt;0),K568+1,0)</f>
        <v>27</v>
      </c>
      <c r="L570" s="130" t="str">
        <f>IF(C570&lt;&gt;"",C570&amp;"-"&amp;K570,"")</f>
        <v/>
      </c>
      <c r="M570" s="130" t="str">
        <f t="array" ref="M570">IFERROR(IF(INDEX('Disaggregation Records'!$E$83:$E$149,MATCH(RIGHT(L570,255),RIGHT('Disaggregation Records'!$D$83:$D$149,255),0))="","",INDEX('Disaggregation Records'!$E$83:$E$149,MATCH(RIGHT(L570,255),RIGHT('Disaggregation Records'!$D$83:$D$149,255),0))),"")</f>
        <v/>
      </c>
      <c r="N570" s="130" t="str">
        <f t="array" ref="N570">IFERROR(IF(INDEX('Disaggregation Records'!$F$83:$F$149,MATCH(RIGHT(L570,255),RIGHT('Disaggregation Records'!$D$83:$D$149,255),0))="","",INDEX('Disaggregation Records'!$F$83:$F$149,MATCH(RIGHT(L570,255),RIGHT('Disaggregation Records'!$D$83:$D$149,255),0))),"")</f>
        <v/>
      </c>
      <c r="O570" s="130" t="str">
        <f t="array" ref="O570">IFERROR(IF(INDEX('Disaggregation Records'!$H$83:$H$149,MATCH(RIGHT(L570,255),RIGHT('Disaggregation Records'!$D$83:$D$149,255),0))="","",INDEX('Disaggregation Records'!$H$83:$H$149,MATCH(RIGHT(L570,255),RIGHT('Disaggregation Records'!$D$83:$D$149,255),0))),"")</f>
        <v/>
      </c>
      <c r="P570" s="130"/>
      <c r="Q570" s="52">
        <f t="shared" ref="Q570" si="739">Q568+1</f>
        <v>1014</v>
      </c>
    </row>
    <row r="571" spans="1:17" ht="20.100000000000001" customHeight="1" x14ac:dyDescent="0.25">
      <c r="B571" s="602"/>
      <c r="C571" s="604"/>
      <c r="D571" s="606"/>
      <c r="E571" s="606"/>
      <c r="F571" s="132"/>
      <c r="G571" s="608"/>
      <c r="H571" s="598"/>
      <c r="I571" s="600"/>
      <c r="J571" s="532"/>
      <c r="K571" s="130"/>
      <c r="L571" s="130"/>
      <c r="M571" s="130"/>
      <c r="N571" s="130"/>
      <c r="O571" s="130"/>
      <c r="P571" s="130"/>
    </row>
    <row r="572" spans="1:17" ht="20.100000000000001" customHeight="1" x14ac:dyDescent="0.25">
      <c r="A572" s="130" t="str">
        <f t="shared" ref="A572" ca="1" si="740">INDIRECT("'update Helper'!C"&amp;Q572)</f>
        <v>a1VDm000000PRclMAG</v>
      </c>
      <c r="B572" s="601">
        <v>13</v>
      </c>
      <c r="C572" s="603" t="str">
        <f>IFERROR(VLOOKUP(B572,'Outcome Indicators - Section C '!$A$9:$AC$70,29,FALSE),"")</f>
        <v/>
      </c>
      <c r="D572" s="605" t="str">
        <f>M572</f>
        <v/>
      </c>
      <c r="E572" s="605" t="str">
        <f>N572</f>
        <v/>
      </c>
      <c r="F572" s="131"/>
      <c r="G572" s="607" t="str">
        <f ca="1">IF(OR(INDIRECT("'update Helper'!E"&amp;Q572)="",F572&lt;&gt;0,F573&lt;&gt;0),IF(IFERROR((F572/F573),"")="","",(F572/F573)),INDIRECT("'update Helper'!E"&amp;Q572)/100)</f>
        <v/>
      </c>
      <c r="H572" s="597"/>
      <c r="I572" s="599"/>
      <c r="J572" s="531"/>
      <c r="K572" s="130">
        <f>IF(AND(EXACT(C572,C570),C570&lt;&gt;0),K570+1,0)</f>
        <v>28</v>
      </c>
      <c r="L572" s="130" t="str">
        <f>IF(C572&lt;&gt;"",C572&amp;"-"&amp;K572,"")</f>
        <v/>
      </c>
      <c r="M572" s="130" t="str">
        <f t="array" ref="M572">IFERROR(IF(INDEX('Disaggregation Records'!$E$83:$E$149,MATCH(RIGHT(L572,255),RIGHT('Disaggregation Records'!$D$83:$D$149,255),0))="","",INDEX('Disaggregation Records'!$E$83:$E$149,MATCH(RIGHT(L572,255),RIGHT('Disaggregation Records'!$D$83:$D$149,255),0))),"")</f>
        <v/>
      </c>
      <c r="N572" s="130" t="str">
        <f t="array" ref="N572">IFERROR(IF(INDEX('Disaggregation Records'!$F$83:$F$149,MATCH(RIGHT(L572,255),RIGHT('Disaggregation Records'!$D$83:$D$149,255),0))="","",INDEX('Disaggregation Records'!$F$83:$F$149,MATCH(RIGHT(L572,255),RIGHT('Disaggregation Records'!$D$83:$D$149,255),0))),"")</f>
        <v/>
      </c>
      <c r="O572" s="130" t="str">
        <f t="array" ref="O572">IFERROR(IF(INDEX('Disaggregation Records'!$H$83:$H$149,MATCH(RIGHT(L572,255),RIGHT('Disaggregation Records'!$D$83:$D$149,255),0))="","",INDEX('Disaggregation Records'!$H$83:$H$149,MATCH(RIGHT(L572,255),RIGHT('Disaggregation Records'!$D$83:$D$149,255),0))),"")</f>
        <v/>
      </c>
      <c r="P572" s="130"/>
      <c r="Q572" s="52">
        <f t="shared" ref="Q572" si="741">Q570+1</f>
        <v>1015</v>
      </c>
    </row>
    <row r="573" spans="1:17" ht="20.100000000000001" customHeight="1" x14ac:dyDescent="0.25">
      <c r="A573" s="130"/>
      <c r="B573" s="602"/>
      <c r="C573" s="604"/>
      <c r="D573" s="606"/>
      <c r="E573" s="606"/>
      <c r="F573" s="132"/>
      <c r="G573" s="608"/>
      <c r="H573" s="598"/>
      <c r="I573" s="600"/>
      <c r="J573" s="532"/>
      <c r="K573" s="130"/>
      <c r="L573" s="130"/>
      <c r="M573" s="130"/>
      <c r="N573" s="130"/>
      <c r="O573" s="130"/>
      <c r="P573" s="130"/>
    </row>
    <row r="574" spans="1:17" ht="20.100000000000001" customHeight="1" x14ac:dyDescent="0.25">
      <c r="A574" s="130" t="str">
        <f t="shared" ref="A574" ca="1" si="742">INDIRECT("'update Helper'!C"&amp;Q574)</f>
        <v>a1VDm000000PRcmMAG</v>
      </c>
      <c r="B574" s="601">
        <v>13</v>
      </c>
      <c r="C574" s="603" t="str">
        <f>IFERROR(VLOOKUP(B574,'Outcome Indicators - Section C '!$A$9:$AC$70,29,FALSE),"")</f>
        <v/>
      </c>
      <c r="D574" s="605" t="str">
        <f>M574</f>
        <v/>
      </c>
      <c r="E574" s="605" t="str">
        <f>N574</f>
        <v/>
      </c>
      <c r="F574" s="131"/>
      <c r="G574" s="607" t="str">
        <f ca="1">IF(OR(INDIRECT("'update Helper'!E"&amp;Q574)="",F574&lt;&gt;0,F575&lt;&gt;0),IF(IFERROR((F574/F575),"")="","",(F574/F575)),INDIRECT("'update Helper'!E"&amp;Q574)/100)</f>
        <v/>
      </c>
      <c r="H574" s="597"/>
      <c r="I574" s="599"/>
      <c r="J574" s="531"/>
      <c r="K574" s="130">
        <f>IF(AND(EXACT(C574,C572),C572&lt;&gt;0),K572+1,0)</f>
        <v>29</v>
      </c>
      <c r="L574" s="130" t="str">
        <f>IF(C574&lt;&gt;"",C574&amp;"-"&amp;K574,"")</f>
        <v/>
      </c>
      <c r="M574" s="130" t="str">
        <f t="array" ref="M574">IFERROR(IF(INDEX('Disaggregation Records'!$E$83:$E$149,MATCH(RIGHT(L574,255),RIGHT('Disaggregation Records'!$D$83:$D$149,255),0))="","",INDEX('Disaggregation Records'!$E$83:$E$149,MATCH(RIGHT(L574,255),RIGHT('Disaggregation Records'!$D$83:$D$149,255),0))),"")</f>
        <v/>
      </c>
      <c r="N574" s="130" t="str">
        <f t="array" ref="N574">IFERROR(IF(INDEX('Disaggregation Records'!$F$83:$F$149,MATCH(RIGHT(L574,255),RIGHT('Disaggregation Records'!$D$83:$D$149,255),0))="","",INDEX('Disaggregation Records'!$F$83:$F$149,MATCH(RIGHT(L574,255),RIGHT('Disaggregation Records'!$D$83:$D$149,255),0))),"")</f>
        <v/>
      </c>
      <c r="O574" s="130" t="str">
        <f t="array" ref="O574">IFERROR(IF(INDEX('Disaggregation Records'!$H$83:$H$149,MATCH(RIGHT(L574,255),RIGHT('Disaggregation Records'!$D$83:$D$149,255),0))="","",INDEX('Disaggregation Records'!$H$83:$H$149,MATCH(RIGHT(L574,255),RIGHT('Disaggregation Records'!$D$83:$D$149,255),0))),"")</f>
        <v/>
      </c>
      <c r="P574" s="130"/>
      <c r="Q574" s="52">
        <f t="shared" ref="Q574" si="743">Q572+1</f>
        <v>1016</v>
      </c>
    </row>
    <row r="575" spans="1:17" ht="20.100000000000001" customHeight="1" x14ac:dyDescent="0.25">
      <c r="B575" s="602"/>
      <c r="C575" s="604"/>
      <c r="D575" s="606"/>
      <c r="E575" s="606"/>
      <c r="F575" s="132"/>
      <c r="G575" s="608"/>
      <c r="H575" s="598"/>
      <c r="I575" s="600"/>
      <c r="J575" s="532"/>
      <c r="K575" s="130"/>
      <c r="L575" s="130"/>
      <c r="M575" s="130"/>
      <c r="N575" s="130"/>
      <c r="O575" s="130"/>
      <c r="P575" s="130"/>
    </row>
    <row r="576" spans="1:17" ht="20.100000000000001" customHeight="1" x14ac:dyDescent="0.25">
      <c r="A576" s="130" t="str">
        <f t="shared" ref="A576" ca="1" si="744">INDIRECT("'update Helper'!C"&amp;Q576)</f>
        <v>a1VDm000000PRcnMAG</v>
      </c>
      <c r="B576" s="601">
        <v>14</v>
      </c>
      <c r="C576" s="603" t="str">
        <f>IFERROR(VLOOKUP(B576,'Outcome Indicators - Section C '!$A$9:$AC$70,29,FALSE),"")</f>
        <v/>
      </c>
      <c r="D576" s="605" t="str">
        <f>M576</f>
        <v/>
      </c>
      <c r="E576" s="605" t="str">
        <f>N576</f>
        <v/>
      </c>
      <c r="F576" s="131"/>
      <c r="G576" s="607" t="str">
        <f ca="1">IF(OR(INDIRECT("'update Helper'!E"&amp;Q576)="",F576&lt;&gt;0,F577&lt;&gt;0),IF(IFERROR((F576/F577),"")="","",(F576/F577)),INDIRECT("'update Helper'!E"&amp;Q576)/100)</f>
        <v/>
      </c>
      <c r="H576" s="597"/>
      <c r="I576" s="599"/>
      <c r="J576" s="531"/>
      <c r="K576" s="130">
        <f>IF(AND(EXACT(C576,C574),C574&lt;&gt;0),K574+1,0)</f>
        <v>30</v>
      </c>
      <c r="L576" s="130" t="str">
        <f>IF(C576&lt;&gt;"",C576&amp;"-"&amp;K576,"")</f>
        <v/>
      </c>
      <c r="M576" s="130" t="str">
        <f t="array" ref="M576">IFERROR(IF(INDEX('Disaggregation Records'!$E$83:$E$149,MATCH(RIGHT(L576,255),RIGHT('Disaggregation Records'!$D$83:$D$149,255),0))="","",INDEX('Disaggregation Records'!$E$83:$E$149,MATCH(RIGHT(L576,255),RIGHT('Disaggregation Records'!$D$83:$D$149,255),0))),"")</f>
        <v/>
      </c>
      <c r="N576" s="130" t="str">
        <f t="array" ref="N576">IFERROR(IF(INDEX('Disaggregation Records'!$F$83:$F$149,MATCH(RIGHT(L576,255),RIGHT('Disaggregation Records'!$D$83:$D$149,255),0))="","",INDEX('Disaggregation Records'!$F$83:$F$149,MATCH(RIGHT(L576,255),RIGHT('Disaggregation Records'!$D$83:$D$149,255),0))),"")</f>
        <v/>
      </c>
      <c r="O576" s="130" t="str">
        <f t="array" ref="O576">IFERROR(IF(INDEX('Disaggregation Records'!$H$83:$H$149,MATCH(RIGHT(L576,255),RIGHT('Disaggregation Records'!$D$83:$D$149,255),0))="","",INDEX('Disaggregation Records'!$H$83:$H$149,MATCH(RIGHT(L576,255),RIGHT('Disaggregation Records'!$D$83:$D$149,255),0))),"")</f>
        <v/>
      </c>
      <c r="P576" s="130"/>
      <c r="Q576" s="52">
        <f t="shared" ref="Q576" si="745">Q574+1</f>
        <v>1017</v>
      </c>
    </row>
    <row r="577" spans="1:17" ht="20.100000000000001" customHeight="1" x14ac:dyDescent="0.25">
      <c r="A577" s="130"/>
      <c r="B577" s="602"/>
      <c r="C577" s="604"/>
      <c r="D577" s="606"/>
      <c r="E577" s="606"/>
      <c r="F577" s="132"/>
      <c r="G577" s="608"/>
      <c r="H577" s="598"/>
      <c r="I577" s="600"/>
      <c r="J577" s="532"/>
      <c r="K577" s="130"/>
      <c r="L577" s="130"/>
      <c r="M577" s="130"/>
      <c r="N577" s="130"/>
      <c r="O577" s="130"/>
      <c r="P577" s="130"/>
    </row>
    <row r="578" spans="1:17" ht="20.100000000000001" customHeight="1" x14ac:dyDescent="0.25">
      <c r="A578" s="130" t="str">
        <f t="shared" ref="A578" ca="1" si="746">INDIRECT("'update Helper'!C"&amp;Q578)</f>
        <v>a1VDm000000PRcoMAG</v>
      </c>
      <c r="B578" s="601">
        <v>14</v>
      </c>
      <c r="C578" s="603" t="str">
        <f>IFERROR(VLOOKUP(B578,'Outcome Indicators - Section C '!$A$9:$AC$70,29,FALSE),"")</f>
        <v/>
      </c>
      <c r="D578" s="605" t="str">
        <f>M578</f>
        <v/>
      </c>
      <c r="E578" s="605" t="str">
        <f>N578</f>
        <v/>
      </c>
      <c r="F578" s="131"/>
      <c r="G578" s="607" t="str">
        <f ca="1">IF(OR(INDIRECT("'update Helper'!E"&amp;Q578)="",F578&lt;&gt;0,F579&lt;&gt;0),IF(IFERROR((F578/F579),"")="","",(F578/F579)),INDIRECT("'update Helper'!E"&amp;Q578)/100)</f>
        <v/>
      </c>
      <c r="H578" s="597"/>
      <c r="I578" s="599"/>
      <c r="J578" s="531"/>
      <c r="K578" s="130">
        <f>IF(AND(EXACT(C578,C576),C576&lt;&gt;0),K576+1,0)</f>
        <v>31</v>
      </c>
      <c r="L578" s="130" t="str">
        <f>IF(C578&lt;&gt;"",C578&amp;"-"&amp;K578,"")</f>
        <v/>
      </c>
      <c r="M578" s="130" t="str">
        <f t="array" ref="M578">IFERROR(IF(INDEX('Disaggregation Records'!$E$83:$E$149,MATCH(RIGHT(L578,255),RIGHT('Disaggregation Records'!$D$83:$D$149,255),0))="","",INDEX('Disaggregation Records'!$E$83:$E$149,MATCH(RIGHT(L578,255),RIGHT('Disaggregation Records'!$D$83:$D$149,255),0))),"")</f>
        <v/>
      </c>
      <c r="N578" s="130" t="str">
        <f t="array" ref="N578">IFERROR(IF(INDEX('Disaggregation Records'!$F$83:$F$149,MATCH(RIGHT(L578,255),RIGHT('Disaggregation Records'!$D$83:$D$149,255),0))="","",INDEX('Disaggregation Records'!$F$83:$F$149,MATCH(RIGHT(L578,255),RIGHT('Disaggregation Records'!$D$83:$D$149,255),0))),"")</f>
        <v/>
      </c>
      <c r="O578" s="130" t="str">
        <f t="array" ref="O578">IFERROR(IF(INDEX('Disaggregation Records'!$H$83:$H$149,MATCH(RIGHT(L578,255),RIGHT('Disaggregation Records'!$D$83:$D$149,255),0))="","",INDEX('Disaggregation Records'!$H$83:$H$149,MATCH(RIGHT(L578,255),RIGHT('Disaggregation Records'!$D$83:$D$149,255),0))),"")</f>
        <v/>
      </c>
      <c r="P578" s="130"/>
      <c r="Q578" s="52">
        <f t="shared" ref="Q578" si="747">Q576+1</f>
        <v>1018</v>
      </c>
    </row>
    <row r="579" spans="1:17" ht="20.100000000000001" customHeight="1" x14ac:dyDescent="0.25">
      <c r="B579" s="602"/>
      <c r="C579" s="604"/>
      <c r="D579" s="606"/>
      <c r="E579" s="606"/>
      <c r="F579" s="132"/>
      <c r="G579" s="608"/>
      <c r="H579" s="598"/>
      <c r="I579" s="600"/>
      <c r="J579" s="532"/>
      <c r="K579" s="130"/>
      <c r="L579" s="130"/>
      <c r="M579" s="130"/>
      <c r="N579" s="130"/>
      <c r="O579" s="130"/>
      <c r="P579" s="130"/>
    </row>
    <row r="580" spans="1:17" ht="20.100000000000001" customHeight="1" x14ac:dyDescent="0.25">
      <c r="A580" s="130" t="str">
        <f t="shared" ref="A580" ca="1" si="748">INDIRECT("'update Helper'!C"&amp;Q580)</f>
        <v>a1VDm000000PRcpMAG</v>
      </c>
      <c r="B580" s="601">
        <v>14</v>
      </c>
      <c r="C580" s="603" t="str">
        <f>IFERROR(VLOOKUP(B580,'Outcome Indicators - Section C '!$A$9:$AC$70,29,FALSE),"")</f>
        <v/>
      </c>
      <c r="D580" s="605" t="str">
        <f>M580</f>
        <v/>
      </c>
      <c r="E580" s="605" t="str">
        <f>N580</f>
        <v/>
      </c>
      <c r="F580" s="131"/>
      <c r="G580" s="607" t="str">
        <f ca="1">IF(OR(INDIRECT("'update Helper'!E"&amp;Q580)="",F580&lt;&gt;0,F581&lt;&gt;0),IF(IFERROR((F580/F581),"")="","",(F580/F581)),INDIRECT("'update Helper'!E"&amp;Q580)/100)</f>
        <v/>
      </c>
      <c r="H580" s="597"/>
      <c r="I580" s="599"/>
      <c r="J580" s="531"/>
      <c r="K580" s="130">
        <f>IF(AND(EXACT(C580,C578),C578&lt;&gt;0),K578+1,0)</f>
        <v>32</v>
      </c>
      <c r="L580" s="130" t="str">
        <f>IF(C580&lt;&gt;"",C580&amp;"-"&amp;K580,"")</f>
        <v/>
      </c>
      <c r="M580" s="130" t="str">
        <f t="array" ref="M580">IFERROR(IF(INDEX('Disaggregation Records'!$E$83:$E$149,MATCH(RIGHT(L580,255),RIGHT('Disaggregation Records'!$D$83:$D$149,255),0))="","",INDEX('Disaggregation Records'!$E$83:$E$149,MATCH(RIGHT(L580,255),RIGHT('Disaggregation Records'!$D$83:$D$149,255),0))),"")</f>
        <v/>
      </c>
      <c r="N580" s="130" t="str">
        <f t="array" ref="N580">IFERROR(IF(INDEX('Disaggregation Records'!$F$83:$F$149,MATCH(RIGHT(L580,255),RIGHT('Disaggregation Records'!$D$83:$D$149,255),0))="","",INDEX('Disaggregation Records'!$F$83:$F$149,MATCH(RIGHT(L580,255),RIGHT('Disaggregation Records'!$D$83:$D$149,255),0))),"")</f>
        <v/>
      </c>
      <c r="O580" s="130" t="str">
        <f t="array" ref="O580">IFERROR(IF(INDEX('Disaggregation Records'!$H$83:$H$149,MATCH(RIGHT(L580,255),RIGHT('Disaggregation Records'!$D$83:$D$149,255),0))="","",INDEX('Disaggregation Records'!$H$83:$H$149,MATCH(RIGHT(L580,255),RIGHT('Disaggregation Records'!$D$83:$D$149,255),0))),"")</f>
        <v/>
      </c>
      <c r="P580" s="130"/>
      <c r="Q580" s="52">
        <f t="shared" ref="Q580" si="749">Q578+1</f>
        <v>1019</v>
      </c>
    </row>
    <row r="581" spans="1:17" ht="20.100000000000001" customHeight="1" x14ac:dyDescent="0.25">
      <c r="A581" s="130"/>
      <c r="B581" s="602"/>
      <c r="C581" s="604"/>
      <c r="D581" s="606"/>
      <c r="E581" s="606"/>
      <c r="F581" s="132"/>
      <c r="G581" s="608"/>
      <c r="H581" s="598"/>
      <c r="I581" s="600"/>
      <c r="J581" s="532"/>
      <c r="K581" s="130"/>
      <c r="L581" s="130"/>
      <c r="M581" s="130"/>
      <c r="N581" s="130"/>
      <c r="O581" s="130"/>
      <c r="P581" s="130"/>
    </row>
    <row r="582" spans="1:17" ht="20.100000000000001" customHeight="1" x14ac:dyDescent="0.25">
      <c r="A582" s="130" t="str">
        <f t="shared" ref="A582" ca="1" si="750">INDIRECT("'update Helper'!C"&amp;Q582)</f>
        <v>a1VDm000000PRcqMAG</v>
      </c>
      <c r="B582" s="601">
        <v>14</v>
      </c>
      <c r="C582" s="603" t="str">
        <f>IFERROR(VLOOKUP(B582,'Outcome Indicators - Section C '!$A$9:$AC$70,29,FALSE),"")</f>
        <v/>
      </c>
      <c r="D582" s="605" t="str">
        <f>M582</f>
        <v/>
      </c>
      <c r="E582" s="605" t="str">
        <f>N582</f>
        <v/>
      </c>
      <c r="F582" s="131"/>
      <c r="G582" s="607" t="str">
        <f ca="1">IF(OR(INDIRECT("'update Helper'!E"&amp;Q582)="",F582&lt;&gt;0,F583&lt;&gt;0),IF(IFERROR((F582/F583),"")="","",(F582/F583)),INDIRECT("'update Helper'!E"&amp;Q582)/100)</f>
        <v/>
      </c>
      <c r="H582" s="597"/>
      <c r="I582" s="599"/>
      <c r="J582" s="531"/>
      <c r="K582" s="130">
        <f>IF(AND(EXACT(C582,C580),C580&lt;&gt;0),K580+1,0)</f>
        <v>33</v>
      </c>
      <c r="L582" s="130" t="str">
        <f>IF(C582&lt;&gt;"",C582&amp;"-"&amp;K582,"")</f>
        <v/>
      </c>
      <c r="M582" s="130" t="str">
        <f t="array" ref="M582">IFERROR(IF(INDEX('Disaggregation Records'!$E$83:$E$149,MATCH(RIGHT(L582,255),RIGHT('Disaggregation Records'!$D$83:$D$149,255),0))="","",INDEX('Disaggregation Records'!$E$83:$E$149,MATCH(RIGHT(L582,255),RIGHT('Disaggregation Records'!$D$83:$D$149,255),0))),"")</f>
        <v/>
      </c>
      <c r="N582" s="130" t="str">
        <f t="array" ref="N582">IFERROR(IF(INDEX('Disaggregation Records'!$F$83:$F$149,MATCH(RIGHT(L582,255),RIGHT('Disaggregation Records'!$D$83:$D$149,255),0))="","",INDEX('Disaggregation Records'!$F$83:$F$149,MATCH(RIGHT(L582,255),RIGHT('Disaggregation Records'!$D$83:$D$149,255),0))),"")</f>
        <v/>
      </c>
      <c r="O582" s="130" t="str">
        <f t="array" ref="O582">IFERROR(IF(INDEX('Disaggregation Records'!$H$83:$H$149,MATCH(RIGHT(L582,255),RIGHT('Disaggregation Records'!$D$83:$D$149,255),0))="","",INDEX('Disaggregation Records'!$H$83:$H$149,MATCH(RIGHT(L582,255),RIGHT('Disaggregation Records'!$D$83:$D$149,255),0))),"")</f>
        <v/>
      </c>
      <c r="P582" s="130"/>
      <c r="Q582" s="52">
        <f t="shared" ref="Q582" si="751">Q580+1</f>
        <v>1020</v>
      </c>
    </row>
    <row r="583" spans="1:17" ht="20.100000000000001" customHeight="1" x14ac:dyDescent="0.25">
      <c r="B583" s="602"/>
      <c r="C583" s="604"/>
      <c r="D583" s="606"/>
      <c r="E583" s="606"/>
      <c r="F583" s="132"/>
      <c r="G583" s="608"/>
      <c r="H583" s="598"/>
      <c r="I583" s="600"/>
      <c r="J583" s="532"/>
      <c r="K583" s="130"/>
      <c r="L583" s="130"/>
      <c r="M583" s="130"/>
      <c r="N583" s="130"/>
      <c r="O583" s="130"/>
      <c r="P583" s="130"/>
    </row>
    <row r="584" spans="1:17" ht="20.100000000000001" customHeight="1" x14ac:dyDescent="0.25">
      <c r="A584" s="130" t="str">
        <f t="shared" ref="A584" ca="1" si="752">INDIRECT("'update Helper'!C"&amp;Q584)</f>
        <v>a1VDm000000PRcrMAG</v>
      </c>
      <c r="B584" s="601">
        <v>14</v>
      </c>
      <c r="C584" s="603" t="str">
        <f>IFERROR(VLOOKUP(B584,'Outcome Indicators - Section C '!$A$9:$AC$70,29,FALSE),"")</f>
        <v/>
      </c>
      <c r="D584" s="605" t="str">
        <f>M584</f>
        <v/>
      </c>
      <c r="E584" s="605" t="str">
        <f>N584</f>
        <v/>
      </c>
      <c r="F584" s="131"/>
      <c r="G584" s="607" t="str">
        <f ca="1">IF(OR(INDIRECT("'update Helper'!E"&amp;Q584)="",F584&lt;&gt;0,F585&lt;&gt;0),IF(IFERROR((F584/F585),"")="","",(F584/F585)),INDIRECT("'update Helper'!E"&amp;Q584)/100)</f>
        <v/>
      </c>
      <c r="H584" s="597"/>
      <c r="I584" s="599"/>
      <c r="J584" s="531"/>
      <c r="K584" s="130">
        <f>IF(AND(EXACT(C584,C582),C582&lt;&gt;0),K582+1,0)</f>
        <v>34</v>
      </c>
      <c r="L584" s="130" t="str">
        <f>IF(C584&lt;&gt;"",C584&amp;"-"&amp;K584,"")</f>
        <v/>
      </c>
      <c r="M584" s="130" t="str">
        <f t="array" ref="M584">IFERROR(IF(INDEX('Disaggregation Records'!$E$83:$E$149,MATCH(RIGHT(L584,255),RIGHT('Disaggregation Records'!$D$83:$D$149,255),0))="","",INDEX('Disaggregation Records'!$E$83:$E$149,MATCH(RIGHT(L584,255),RIGHT('Disaggregation Records'!$D$83:$D$149,255),0))),"")</f>
        <v/>
      </c>
      <c r="N584" s="130" t="str">
        <f t="array" ref="N584">IFERROR(IF(INDEX('Disaggregation Records'!$F$83:$F$149,MATCH(RIGHT(L584,255),RIGHT('Disaggregation Records'!$D$83:$D$149,255),0))="","",INDEX('Disaggregation Records'!$F$83:$F$149,MATCH(RIGHT(L584,255),RIGHT('Disaggregation Records'!$D$83:$D$149,255),0))),"")</f>
        <v/>
      </c>
      <c r="O584" s="130" t="str">
        <f t="array" ref="O584">IFERROR(IF(INDEX('Disaggregation Records'!$H$83:$H$149,MATCH(RIGHT(L584,255),RIGHT('Disaggregation Records'!$D$83:$D$149,255),0))="","",INDEX('Disaggregation Records'!$H$83:$H$149,MATCH(RIGHT(L584,255),RIGHT('Disaggregation Records'!$D$83:$D$149,255),0))),"")</f>
        <v/>
      </c>
      <c r="P584" s="130"/>
      <c r="Q584" s="52">
        <f t="shared" ref="Q584" si="753">Q582+1</f>
        <v>1021</v>
      </c>
    </row>
    <row r="585" spans="1:17" ht="20.100000000000001" customHeight="1" x14ac:dyDescent="0.25">
      <c r="A585" s="130"/>
      <c r="B585" s="602"/>
      <c r="C585" s="604"/>
      <c r="D585" s="606"/>
      <c r="E585" s="606"/>
      <c r="F585" s="132"/>
      <c r="G585" s="608"/>
      <c r="H585" s="598"/>
      <c r="I585" s="600"/>
      <c r="J585" s="532"/>
      <c r="K585" s="130"/>
      <c r="L585" s="130"/>
      <c r="M585" s="130"/>
      <c r="N585" s="130"/>
      <c r="O585" s="130"/>
      <c r="P585" s="130"/>
    </row>
    <row r="586" spans="1:17" ht="20.100000000000001" customHeight="1" x14ac:dyDescent="0.25">
      <c r="A586" s="130" t="str">
        <f t="shared" ref="A586" ca="1" si="754">INDIRECT("'update Helper'!C"&amp;Q586)</f>
        <v>a1VDm000000PRcsMAG</v>
      </c>
      <c r="B586" s="601">
        <v>14</v>
      </c>
      <c r="C586" s="603" t="str">
        <f>IFERROR(VLOOKUP(B586,'Outcome Indicators - Section C '!$A$9:$AC$70,29,FALSE),"")</f>
        <v/>
      </c>
      <c r="D586" s="605" t="str">
        <f>M586</f>
        <v/>
      </c>
      <c r="E586" s="605" t="str">
        <f>N586</f>
        <v/>
      </c>
      <c r="F586" s="131"/>
      <c r="G586" s="607" t="str">
        <f ca="1">IF(OR(INDIRECT("'update Helper'!E"&amp;Q586)="",F586&lt;&gt;0,F587&lt;&gt;0),IF(IFERROR((F586/F587),"")="","",(F586/F587)),INDIRECT("'update Helper'!E"&amp;Q586)/100)</f>
        <v/>
      </c>
      <c r="H586" s="597"/>
      <c r="I586" s="599"/>
      <c r="J586" s="531"/>
      <c r="K586" s="130">
        <f>IF(AND(EXACT(C586,C584),C584&lt;&gt;0),K584+1,0)</f>
        <v>35</v>
      </c>
      <c r="L586" s="130" t="str">
        <f>IF(C586&lt;&gt;"",C586&amp;"-"&amp;K586,"")</f>
        <v/>
      </c>
      <c r="M586" s="130" t="str">
        <f t="array" ref="M586">IFERROR(IF(INDEX('Disaggregation Records'!$E$83:$E$149,MATCH(RIGHT(L586,255),RIGHT('Disaggregation Records'!$D$83:$D$149,255),0))="","",INDEX('Disaggregation Records'!$E$83:$E$149,MATCH(RIGHT(L586,255),RIGHT('Disaggregation Records'!$D$83:$D$149,255),0))),"")</f>
        <v/>
      </c>
      <c r="N586" s="130" t="str">
        <f t="array" ref="N586">IFERROR(IF(INDEX('Disaggregation Records'!$F$83:$F$149,MATCH(RIGHT(L586,255),RIGHT('Disaggregation Records'!$D$83:$D$149,255),0))="","",INDEX('Disaggregation Records'!$F$83:$F$149,MATCH(RIGHT(L586,255),RIGHT('Disaggregation Records'!$D$83:$D$149,255),0))),"")</f>
        <v/>
      </c>
      <c r="O586" s="130" t="str">
        <f t="array" ref="O586">IFERROR(IF(INDEX('Disaggregation Records'!$H$83:$H$149,MATCH(RIGHT(L586,255),RIGHT('Disaggregation Records'!$D$83:$D$149,255),0))="","",INDEX('Disaggregation Records'!$H$83:$H$149,MATCH(RIGHT(L586,255),RIGHT('Disaggregation Records'!$D$83:$D$149,255),0))),"")</f>
        <v/>
      </c>
      <c r="P586" s="130"/>
      <c r="Q586" s="52">
        <f t="shared" ref="Q586" si="755">Q584+1</f>
        <v>1022</v>
      </c>
    </row>
    <row r="587" spans="1:17" ht="20.100000000000001" customHeight="1" x14ac:dyDescent="0.25">
      <c r="B587" s="602"/>
      <c r="C587" s="604"/>
      <c r="D587" s="606"/>
      <c r="E587" s="606"/>
      <c r="F587" s="132"/>
      <c r="G587" s="608"/>
      <c r="H587" s="598"/>
      <c r="I587" s="600"/>
      <c r="J587" s="532"/>
      <c r="K587" s="130"/>
      <c r="L587" s="130"/>
      <c r="M587" s="130"/>
      <c r="N587" s="130"/>
      <c r="O587" s="130"/>
      <c r="P587" s="130"/>
    </row>
    <row r="588" spans="1:17" ht="20.100000000000001" customHeight="1" x14ac:dyDescent="0.25">
      <c r="A588" s="130" t="str">
        <f t="shared" ref="A588" ca="1" si="756">INDIRECT("'update Helper'!C"&amp;Q588)</f>
        <v>a1VDm000000PRctMAG</v>
      </c>
      <c r="B588" s="601">
        <v>14</v>
      </c>
      <c r="C588" s="603" t="str">
        <f>IFERROR(VLOOKUP(B588,'Outcome Indicators - Section C '!$A$9:$AC$70,29,FALSE),"")</f>
        <v/>
      </c>
      <c r="D588" s="605" t="str">
        <f>M588</f>
        <v/>
      </c>
      <c r="E588" s="605" t="str">
        <f>N588</f>
        <v/>
      </c>
      <c r="F588" s="131"/>
      <c r="G588" s="607" t="str">
        <f ca="1">IF(OR(INDIRECT("'update Helper'!E"&amp;Q588)="",F588&lt;&gt;0,F589&lt;&gt;0),IF(IFERROR((F588/F589),"")="","",(F588/F589)),INDIRECT("'update Helper'!E"&amp;Q588)/100)</f>
        <v/>
      </c>
      <c r="H588" s="597"/>
      <c r="I588" s="599"/>
      <c r="J588" s="531"/>
      <c r="K588" s="130">
        <f>IF(AND(EXACT(C588,C586),C586&lt;&gt;0),K586+1,0)</f>
        <v>36</v>
      </c>
      <c r="L588" s="130" t="str">
        <f>IF(C588&lt;&gt;"",C588&amp;"-"&amp;K588,"")</f>
        <v/>
      </c>
      <c r="M588" s="130" t="str">
        <f t="array" ref="M588">IFERROR(IF(INDEX('Disaggregation Records'!$E$83:$E$149,MATCH(RIGHT(L588,255),RIGHT('Disaggregation Records'!$D$83:$D$149,255),0))="","",INDEX('Disaggregation Records'!$E$83:$E$149,MATCH(RIGHT(L588,255),RIGHT('Disaggregation Records'!$D$83:$D$149,255),0))),"")</f>
        <v/>
      </c>
      <c r="N588" s="130" t="str">
        <f t="array" ref="N588">IFERROR(IF(INDEX('Disaggregation Records'!$F$83:$F$149,MATCH(RIGHT(L588,255),RIGHT('Disaggregation Records'!$D$83:$D$149,255),0))="","",INDEX('Disaggregation Records'!$F$83:$F$149,MATCH(RIGHT(L588,255),RIGHT('Disaggregation Records'!$D$83:$D$149,255),0))),"")</f>
        <v/>
      </c>
      <c r="O588" s="130" t="str">
        <f t="array" ref="O588">IFERROR(IF(INDEX('Disaggregation Records'!$H$83:$H$149,MATCH(RIGHT(L588,255),RIGHT('Disaggregation Records'!$D$83:$D$149,255),0))="","",INDEX('Disaggregation Records'!$H$83:$H$149,MATCH(RIGHT(L588,255),RIGHT('Disaggregation Records'!$D$83:$D$149,255),0))),"")</f>
        <v/>
      </c>
      <c r="P588" s="130"/>
      <c r="Q588" s="52">
        <f t="shared" ref="Q588" si="757">Q586+1</f>
        <v>1023</v>
      </c>
    </row>
    <row r="589" spans="1:17" ht="20.100000000000001" customHeight="1" x14ac:dyDescent="0.25">
      <c r="A589" s="130"/>
      <c r="B589" s="602"/>
      <c r="C589" s="604"/>
      <c r="D589" s="606"/>
      <c r="E589" s="606"/>
      <c r="F589" s="132"/>
      <c r="G589" s="608"/>
      <c r="H589" s="598"/>
      <c r="I589" s="600"/>
      <c r="J589" s="532"/>
      <c r="K589" s="130"/>
      <c r="L589" s="130"/>
      <c r="M589" s="130"/>
      <c r="N589" s="130"/>
      <c r="O589" s="130"/>
      <c r="P589" s="130"/>
    </row>
    <row r="590" spans="1:17" ht="20.100000000000001" customHeight="1" x14ac:dyDescent="0.25">
      <c r="A590" s="130" t="str">
        <f t="shared" ref="A590" ca="1" si="758">INDIRECT("'update Helper'!C"&amp;Q590)</f>
        <v>a1VDm000000PRcuMAG</v>
      </c>
      <c r="B590" s="601">
        <v>14</v>
      </c>
      <c r="C590" s="603" t="str">
        <f>IFERROR(VLOOKUP(B590,'Outcome Indicators - Section C '!$A$9:$AC$70,29,FALSE),"")</f>
        <v/>
      </c>
      <c r="D590" s="605" t="str">
        <f>M590</f>
        <v/>
      </c>
      <c r="E590" s="605" t="str">
        <f>N590</f>
        <v/>
      </c>
      <c r="F590" s="131"/>
      <c r="G590" s="607" t="str">
        <f ca="1">IF(OR(INDIRECT("'update Helper'!E"&amp;Q590)="",F590&lt;&gt;0,F591&lt;&gt;0),IF(IFERROR((F590/F591),"")="","",(F590/F591)),INDIRECT("'update Helper'!E"&amp;Q590)/100)</f>
        <v/>
      </c>
      <c r="H590" s="597"/>
      <c r="I590" s="599"/>
      <c r="J590" s="531"/>
      <c r="K590" s="130">
        <f>IF(AND(EXACT(C590,C588),C588&lt;&gt;0),K588+1,0)</f>
        <v>37</v>
      </c>
      <c r="L590" s="130" t="str">
        <f>IF(C590&lt;&gt;"",C590&amp;"-"&amp;K590,"")</f>
        <v/>
      </c>
      <c r="M590" s="130" t="str">
        <f t="array" ref="M590">IFERROR(IF(INDEX('Disaggregation Records'!$E$83:$E$149,MATCH(RIGHT(L590,255),RIGHT('Disaggregation Records'!$D$83:$D$149,255),0))="","",INDEX('Disaggregation Records'!$E$83:$E$149,MATCH(RIGHT(L590,255),RIGHT('Disaggregation Records'!$D$83:$D$149,255),0))),"")</f>
        <v/>
      </c>
      <c r="N590" s="130" t="str">
        <f t="array" ref="N590">IFERROR(IF(INDEX('Disaggregation Records'!$F$83:$F$149,MATCH(RIGHT(L590,255),RIGHT('Disaggregation Records'!$D$83:$D$149,255),0))="","",INDEX('Disaggregation Records'!$F$83:$F$149,MATCH(RIGHT(L590,255),RIGHT('Disaggregation Records'!$D$83:$D$149,255),0))),"")</f>
        <v/>
      </c>
      <c r="O590" s="130" t="str">
        <f t="array" ref="O590">IFERROR(IF(INDEX('Disaggregation Records'!$H$83:$H$149,MATCH(RIGHT(L590,255),RIGHT('Disaggregation Records'!$D$83:$D$149,255),0))="","",INDEX('Disaggregation Records'!$H$83:$H$149,MATCH(RIGHT(L590,255),RIGHT('Disaggregation Records'!$D$83:$D$149,255),0))),"")</f>
        <v/>
      </c>
      <c r="P590" s="130"/>
      <c r="Q590" s="52">
        <f t="shared" ref="Q590" si="759">Q588+1</f>
        <v>1024</v>
      </c>
    </row>
    <row r="591" spans="1:17" ht="20.100000000000001" customHeight="1" x14ac:dyDescent="0.25">
      <c r="B591" s="602"/>
      <c r="C591" s="604"/>
      <c r="D591" s="606"/>
      <c r="E591" s="606"/>
      <c r="F591" s="132"/>
      <c r="G591" s="608"/>
      <c r="H591" s="598"/>
      <c r="I591" s="600"/>
      <c r="J591" s="532"/>
      <c r="K591" s="130"/>
      <c r="L591" s="130"/>
      <c r="M591" s="130"/>
      <c r="N591" s="130"/>
      <c r="O591" s="130"/>
      <c r="P591" s="130"/>
    </row>
    <row r="592" spans="1:17" ht="20.100000000000001" customHeight="1" x14ac:dyDescent="0.25">
      <c r="A592" s="130" t="str">
        <f t="shared" ref="A592" ca="1" si="760">INDIRECT("'update Helper'!C"&amp;Q592)</f>
        <v>a1VDm000000PRcvMAG</v>
      </c>
      <c r="B592" s="601">
        <v>14</v>
      </c>
      <c r="C592" s="603" t="str">
        <f>IFERROR(VLOOKUP(B592,'Outcome Indicators - Section C '!$A$9:$AC$70,29,FALSE),"")</f>
        <v/>
      </c>
      <c r="D592" s="605" t="str">
        <f>M592</f>
        <v/>
      </c>
      <c r="E592" s="605" t="str">
        <f>N592</f>
        <v/>
      </c>
      <c r="F592" s="131"/>
      <c r="G592" s="607" t="str">
        <f ca="1">IF(OR(INDIRECT("'update Helper'!E"&amp;Q592)="",F592&lt;&gt;0,F593&lt;&gt;0),IF(IFERROR((F592/F593),"")="","",(F592/F593)),INDIRECT("'update Helper'!E"&amp;Q592)/100)</f>
        <v/>
      </c>
      <c r="H592" s="597"/>
      <c r="I592" s="599"/>
      <c r="J592" s="531"/>
      <c r="K592" s="130">
        <f>IF(AND(EXACT(C592,C590),C590&lt;&gt;0),K590+1,0)</f>
        <v>38</v>
      </c>
      <c r="L592" s="130" t="str">
        <f>IF(C592&lt;&gt;"",C592&amp;"-"&amp;K592,"")</f>
        <v/>
      </c>
      <c r="M592" s="130" t="str">
        <f t="array" ref="M592">IFERROR(IF(INDEX('Disaggregation Records'!$E$83:$E$149,MATCH(RIGHT(L592,255),RIGHT('Disaggregation Records'!$D$83:$D$149,255),0))="","",INDEX('Disaggregation Records'!$E$83:$E$149,MATCH(RIGHT(L592,255),RIGHT('Disaggregation Records'!$D$83:$D$149,255),0))),"")</f>
        <v/>
      </c>
      <c r="N592" s="130" t="str">
        <f t="array" ref="N592">IFERROR(IF(INDEX('Disaggregation Records'!$F$83:$F$149,MATCH(RIGHT(L592,255),RIGHT('Disaggregation Records'!$D$83:$D$149,255),0))="","",INDEX('Disaggregation Records'!$F$83:$F$149,MATCH(RIGHT(L592,255),RIGHT('Disaggregation Records'!$D$83:$D$149,255),0))),"")</f>
        <v/>
      </c>
      <c r="O592" s="130" t="str">
        <f t="array" ref="O592">IFERROR(IF(INDEX('Disaggregation Records'!$H$83:$H$149,MATCH(RIGHT(L592,255),RIGHT('Disaggregation Records'!$D$83:$D$149,255),0))="","",INDEX('Disaggregation Records'!$H$83:$H$149,MATCH(RIGHT(L592,255),RIGHT('Disaggregation Records'!$D$83:$D$149,255),0))),"")</f>
        <v/>
      </c>
      <c r="P592" s="130"/>
      <c r="Q592" s="52">
        <f t="shared" ref="Q592" si="761">Q590+1</f>
        <v>1025</v>
      </c>
    </row>
    <row r="593" spans="1:17" ht="20.100000000000001" customHeight="1" x14ac:dyDescent="0.25">
      <c r="A593" s="130"/>
      <c r="B593" s="602"/>
      <c r="C593" s="604"/>
      <c r="D593" s="606"/>
      <c r="E593" s="606"/>
      <c r="F593" s="132"/>
      <c r="G593" s="608"/>
      <c r="H593" s="598"/>
      <c r="I593" s="600"/>
      <c r="J593" s="532"/>
      <c r="K593" s="130"/>
      <c r="L593" s="130"/>
      <c r="M593" s="130"/>
      <c r="N593" s="130"/>
      <c r="O593" s="130"/>
      <c r="P593" s="130"/>
    </row>
    <row r="594" spans="1:17" ht="20.100000000000001" customHeight="1" x14ac:dyDescent="0.25">
      <c r="A594" s="130" t="str">
        <f t="shared" ref="A594" ca="1" si="762">INDIRECT("'update Helper'!C"&amp;Q594)</f>
        <v>a1VDm000000PRcwMAG</v>
      </c>
      <c r="B594" s="601">
        <v>14</v>
      </c>
      <c r="C594" s="603" t="str">
        <f>IFERROR(VLOOKUP(B594,'Outcome Indicators - Section C '!$A$9:$AC$70,29,FALSE),"")</f>
        <v/>
      </c>
      <c r="D594" s="605" t="str">
        <f>M594</f>
        <v/>
      </c>
      <c r="E594" s="605" t="str">
        <f>N594</f>
        <v/>
      </c>
      <c r="F594" s="131"/>
      <c r="G594" s="607" t="str">
        <f ca="1">IF(OR(INDIRECT("'update Helper'!E"&amp;Q594)="",F594&lt;&gt;0,F595&lt;&gt;0),IF(IFERROR((F594/F595),"")="","",(F594/F595)),INDIRECT("'update Helper'!E"&amp;Q594)/100)</f>
        <v/>
      </c>
      <c r="H594" s="597"/>
      <c r="I594" s="599"/>
      <c r="J594" s="531"/>
      <c r="K594" s="130">
        <f>IF(AND(EXACT(C594,C592),C592&lt;&gt;0),K592+1,0)</f>
        <v>39</v>
      </c>
      <c r="L594" s="130" t="str">
        <f>IF(C594&lt;&gt;"",C594&amp;"-"&amp;K594,"")</f>
        <v/>
      </c>
      <c r="M594" s="130" t="str">
        <f t="array" ref="M594">IFERROR(IF(INDEX('Disaggregation Records'!$E$83:$E$149,MATCH(RIGHT(L594,255),RIGHT('Disaggregation Records'!$D$83:$D$149,255),0))="","",INDEX('Disaggregation Records'!$E$83:$E$149,MATCH(RIGHT(L594,255),RIGHT('Disaggregation Records'!$D$83:$D$149,255),0))),"")</f>
        <v/>
      </c>
      <c r="N594" s="130" t="str">
        <f t="array" ref="N594">IFERROR(IF(INDEX('Disaggregation Records'!$F$83:$F$149,MATCH(RIGHT(L594,255),RIGHT('Disaggregation Records'!$D$83:$D$149,255),0))="","",INDEX('Disaggregation Records'!$F$83:$F$149,MATCH(RIGHT(L594,255),RIGHT('Disaggregation Records'!$D$83:$D$149,255),0))),"")</f>
        <v/>
      </c>
      <c r="O594" s="130" t="str">
        <f t="array" ref="O594">IFERROR(IF(INDEX('Disaggregation Records'!$H$83:$H$149,MATCH(RIGHT(L594,255),RIGHT('Disaggregation Records'!$D$83:$D$149,255),0))="","",INDEX('Disaggregation Records'!$H$83:$H$149,MATCH(RIGHT(L594,255),RIGHT('Disaggregation Records'!$D$83:$D$149,255),0))),"")</f>
        <v/>
      </c>
      <c r="P594" s="130"/>
      <c r="Q594" s="52">
        <f t="shared" ref="Q594" si="763">Q592+1</f>
        <v>1026</v>
      </c>
    </row>
    <row r="595" spans="1:17" ht="20.100000000000001" customHeight="1" x14ac:dyDescent="0.25">
      <c r="B595" s="602"/>
      <c r="C595" s="604"/>
      <c r="D595" s="606"/>
      <c r="E595" s="606"/>
      <c r="F595" s="132"/>
      <c r="G595" s="608"/>
      <c r="H595" s="598"/>
      <c r="I595" s="600"/>
      <c r="J595" s="532"/>
      <c r="K595" s="130"/>
      <c r="L595" s="130"/>
      <c r="M595" s="130"/>
      <c r="N595" s="130"/>
      <c r="O595" s="130"/>
      <c r="P595" s="130"/>
    </row>
    <row r="596" spans="1:17" ht="20.100000000000001" customHeight="1" x14ac:dyDescent="0.25">
      <c r="A596" s="130" t="str">
        <f t="shared" ref="A596" ca="1" si="764">INDIRECT("'update Helper'!C"&amp;Q596)</f>
        <v>a1VDm000000PRcxMAG</v>
      </c>
      <c r="B596" s="601">
        <v>15</v>
      </c>
      <c r="C596" s="603" t="str">
        <f>IFERROR(VLOOKUP(B596,'Outcome Indicators - Section C '!$A$9:$AC$70,29,FALSE),"")</f>
        <v/>
      </c>
      <c r="D596" s="605" t="str">
        <f>M596</f>
        <v/>
      </c>
      <c r="E596" s="605" t="str">
        <f>N596</f>
        <v/>
      </c>
      <c r="F596" s="131"/>
      <c r="G596" s="607" t="str">
        <f ca="1">IF(OR(INDIRECT("'update Helper'!E"&amp;Q596)="",F596&lt;&gt;0,F597&lt;&gt;0),IF(IFERROR((F596/F597),"")="","",(F596/F597)),INDIRECT("'update Helper'!E"&amp;Q596)/100)</f>
        <v/>
      </c>
      <c r="H596" s="597"/>
      <c r="I596" s="599"/>
      <c r="J596" s="531"/>
      <c r="K596" s="130">
        <f>IF(AND(EXACT(C596,C594),C594&lt;&gt;0),K594+1,0)</f>
        <v>40</v>
      </c>
      <c r="L596" s="130" t="str">
        <f>IF(C596&lt;&gt;"",C596&amp;"-"&amp;K596,"")</f>
        <v/>
      </c>
      <c r="M596" s="130" t="str">
        <f t="array" ref="M596">IFERROR(IF(INDEX('Disaggregation Records'!$E$83:$E$149,MATCH(RIGHT(L596,255),RIGHT('Disaggregation Records'!$D$83:$D$149,255),0))="","",INDEX('Disaggregation Records'!$E$83:$E$149,MATCH(RIGHT(L596,255),RIGHT('Disaggregation Records'!$D$83:$D$149,255),0))),"")</f>
        <v/>
      </c>
      <c r="N596" s="130" t="str">
        <f t="array" ref="N596">IFERROR(IF(INDEX('Disaggregation Records'!$F$83:$F$149,MATCH(RIGHT(L596,255),RIGHT('Disaggregation Records'!$D$83:$D$149,255),0))="","",INDEX('Disaggregation Records'!$F$83:$F$149,MATCH(RIGHT(L596,255),RIGHT('Disaggregation Records'!$D$83:$D$149,255),0))),"")</f>
        <v/>
      </c>
      <c r="O596" s="130" t="str">
        <f t="array" ref="O596">IFERROR(IF(INDEX('Disaggregation Records'!$H$83:$H$149,MATCH(RIGHT(L596,255),RIGHT('Disaggregation Records'!$D$83:$D$149,255),0))="","",INDEX('Disaggregation Records'!$H$83:$H$149,MATCH(RIGHT(L596,255),RIGHT('Disaggregation Records'!$D$83:$D$149,255),0))),"")</f>
        <v/>
      </c>
      <c r="P596" s="130"/>
      <c r="Q596" s="52">
        <f t="shared" ref="Q596" si="765">Q594+1</f>
        <v>1027</v>
      </c>
    </row>
    <row r="597" spans="1:17" ht="20.100000000000001" customHeight="1" x14ac:dyDescent="0.25">
      <c r="A597" s="130"/>
      <c r="B597" s="602"/>
      <c r="C597" s="604"/>
      <c r="D597" s="606"/>
      <c r="E597" s="606"/>
      <c r="F597" s="132"/>
      <c r="G597" s="608"/>
      <c r="H597" s="598"/>
      <c r="I597" s="600"/>
      <c r="J597" s="532"/>
      <c r="K597" s="130"/>
      <c r="L597" s="130"/>
      <c r="M597" s="130"/>
      <c r="N597" s="130"/>
      <c r="O597" s="130"/>
      <c r="P597" s="130"/>
    </row>
    <row r="598" spans="1:17" ht="20.100000000000001" customHeight="1" x14ac:dyDescent="0.25">
      <c r="A598" s="130" t="str">
        <f t="shared" ref="A598" ca="1" si="766">INDIRECT("'update Helper'!C"&amp;Q598)</f>
        <v>a1VDm000000PRcyMAG</v>
      </c>
      <c r="B598" s="601">
        <v>15</v>
      </c>
      <c r="C598" s="603" t="str">
        <f>IFERROR(VLOOKUP(B598,'Outcome Indicators - Section C '!$A$9:$AC$70,29,FALSE),"")</f>
        <v/>
      </c>
      <c r="D598" s="605" t="str">
        <f>M598</f>
        <v/>
      </c>
      <c r="E598" s="605" t="str">
        <f>N598</f>
        <v/>
      </c>
      <c r="F598" s="131"/>
      <c r="G598" s="607" t="str">
        <f ca="1">IF(OR(INDIRECT("'update Helper'!E"&amp;Q598)="",F598&lt;&gt;0,F599&lt;&gt;0),IF(IFERROR((F598/F599),"")="","",(F598/F599)),INDIRECT("'update Helper'!E"&amp;Q598)/100)</f>
        <v/>
      </c>
      <c r="H598" s="597"/>
      <c r="I598" s="599"/>
      <c r="J598" s="531"/>
      <c r="K598" s="130">
        <f>IF(AND(EXACT(C598,C596),C596&lt;&gt;0),K596+1,0)</f>
        <v>41</v>
      </c>
      <c r="L598" s="130" t="str">
        <f>IF(C598&lt;&gt;"",C598&amp;"-"&amp;K598,"")</f>
        <v/>
      </c>
      <c r="M598" s="130" t="str">
        <f t="array" ref="M598">IFERROR(IF(INDEX('Disaggregation Records'!$E$83:$E$149,MATCH(RIGHT(L598,255),RIGHT('Disaggregation Records'!$D$83:$D$149,255),0))="","",INDEX('Disaggregation Records'!$E$83:$E$149,MATCH(RIGHT(L598,255),RIGHT('Disaggregation Records'!$D$83:$D$149,255),0))),"")</f>
        <v/>
      </c>
      <c r="N598" s="130" t="str">
        <f t="array" ref="N598">IFERROR(IF(INDEX('Disaggregation Records'!$F$83:$F$149,MATCH(RIGHT(L598,255),RIGHT('Disaggregation Records'!$D$83:$D$149,255),0))="","",INDEX('Disaggregation Records'!$F$83:$F$149,MATCH(RIGHT(L598,255),RIGHT('Disaggregation Records'!$D$83:$D$149,255),0))),"")</f>
        <v/>
      </c>
      <c r="O598" s="130" t="str">
        <f t="array" ref="O598">IFERROR(IF(INDEX('Disaggregation Records'!$H$83:$H$149,MATCH(RIGHT(L598,255),RIGHT('Disaggregation Records'!$D$83:$D$149,255),0))="","",INDEX('Disaggregation Records'!$H$83:$H$149,MATCH(RIGHT(L598,255),RIGHT('Disaggregation Records'!$D$83:$D$149,255),0))),"")</f>
        <v/>
      </c>
      <c r="P598" s="130"/>
      <c r="Q598" s="52">
        <f t="shared" ref="Q598" si="767">Q596+1</f>
        <v>1028</v>
      </c>
    </row>
    <row r="599" spans="1:17" ht="20.100000000000001" customHeight="1" x14ac:dyDescent="0.25">
      <c r="B599" s="602"/>
      <c r="C599" s="604"/>
      <c r="D599" s="606"/>
      <c r="E599" s="606"/>
      <c r="F599" s="132"/>
      <c r="G599" s="608"/>
      <c r="H599" s="598"/>
      <c r="I599" s="600"/>
      <c r="J599" s="532"/>
      <c r="K599" s="130"/>
      <c r="L599" s="130"/>
      <c r="M599" s="130"/>
      <c r="N599" s="130"/>
      <c r="O599" s="130"/>
      <c r="P599" s="130"/>
    </row>
    <row r="600" spans="1:17" ht="20.100000000000001" customHeight="1" x14ac:dyDescent="0.25">
      <c r="A600" s="130" t="str">
        <f t="shared" ref="A600" ca="1" si="768">INDIRECT("'update Helper'!C"&amp;Q600)</f>
        <v>a1VDm000000PRczMAG</v>
      </c>
      <c r="B600" s="601">
        <v>15</v>
      </c>
      <c r="C600" s="603" t="str">
        <f>IFERROR(VLOOKUP(B600,'Outcome Indicators - Section C '!$A$9:$AC$70,29,FALSE),"")</f>
        <v/>
      </c>
      <c r="D600" s="605" t="str">
        <f>M600</f>
        <v/>
      </c>
      <c r="E600" s="605" t="str">
        <f>N600</f>
        <v/>
      </c>
      <c r="F600" s="131"/>
      <c r="G600" s="607" t="str">
        <f ca="1">IF(OR(INDIRECT("'update Helper'!E"&amp;Q600)="",F600&lt;&gt;0,F601&lt;&gt;0),IF(IFERROR((F600/F601),"")="","",(F600/F601)),INDIRECT("'update Helper'!E"&amp;Q600)/100)</f>
        <v/>
      </c>
      <c r="H600" s="597"/>
      <c r="I600" s="599"/>
      <c r="J600" s="531"/>
      <c r="K600" s="130">
        <f>IF(AND(EXACT(C600,C598),C598&lt;&gt;0),K598+1,0)</f>
        <v>42</v>
      </c>
      <c r="L600" s="130" t="str">
        <f>IF(C600&lt;&gt;"",C600&amp;"-"&amp;K600,"")</f>
        <v/>
      </c>
      <c r="M600" s="130" t="str">
        <f t="array" ref="M600">IFERROR(IF(INDEX('Disaggregation Records'!$E$83:$E$149,MATCH(RIGHT(L600,255),RIGHT('Disaggregation Records'!$D$83:$D$149,255),0))="","",INDEX('Disaggregation Records'!$E$83:$E$149,MATCH(RIGHT(L600,255),RIGHT('Disaggregation Records'!$D$83:$D$149,255),0))),"")</f>
        <v/>
      </c>
      <c r="N600" s="130" t="str">
        <f t="array" ref="N600">IFERROR(IF(INDEX('Disaggregation Records'!$F$83:$F$149,MATCH(RIGHT(L600,255),RIGHT('Disaggregation Records'!$D$83:$D$149,255),0))="","",INDEX('Disaggregation Records'!$F$83:$F$149,MATCH(RIGHT(L600,255),RIGHT('Disaggregation Records'!$D$83:$D$149,255),0))),"")</f>
        <v/>
      </c>
      <c r="O600" s="130" t="str">
        <f t="array" ref="O600">IFERROR(IF(INDEX('Disaggregation Records'!$H$83:$H$149,MATCH(RIGHT(L600,255),RIGHT('Disaggregation Records'!$D$83:$D$149,255),0))="","",INDEX('Disaggregation Records'!$H$83:$H$149,MATCH(RIGHT(L600,255),RIGHT('Disaggregation Records'!$D$83:$D$149,255),0))),"")</f>
        <v/>
      </c>
      <c r="P600" s="130"/>
      <c r="Q600" s="52">
        <f t="shared" ref="Q600" si="769">Q598+1</f>
        <v>1029</v>
      </c>
    </row>
    <row r="601" spans="1:17" ht="20.100000000000001" customHeight="1" x14ac:dyDescent="0.25">
      <c r="A601" s="130"/>
      <c r="B601" s="602"/>
      <c r="C601" s="604"/>
      <c r="D601" s="606"/>
      <c r="E601" s="606"/>
      <c r="F601" s="132"/>
      <c r="G601" s="608"/>
      <c r="H601" s="598"/>
      <c r="I601" s="600"/>
      <c r="J601" s="532"/>
      <c r="K601" s="130"/>
      <c r="L601" s="130"/>
      <c r="M601" s="130"/>
      <c r="N601" s="130"/>
      <c r="O601" s="130"/>
      <c r="P601" s="130"/>
    </row>
    <row r="602" spans="1:17" ht="20.100000000000001" customHeight="1" x14ac:dyDescent="0.25">
      <c r="A602" s="130" t="str">
        <f t="shared" ref="A602" ca="1" si="770">INDIRECT("'update Helper'!C"&amp;Q602)</f>
        <v>a1VDm000000PRd0MAG</v>
      </c>
      <c r="B602" s="601">
        <v>15</v>
      </c>
      <c r="C602" s="603" t="str">
        <f>IFERROR(VLOOKUP(B602,'Outcome Indicators - Section C '!$A$9:$AC$70,29,FALSE),"")</f>
        <v/>
      </c>
      <c r="D602" s="605" t="str">
        <f>M602</f>
        <v/>
      </c>
      <c r="E602" s="605" t="str">
        <f>N602</f>
        <v/>
      </c>
      <c r="F602" s="131"/>
      <c r="G602" s="607" t="str">
        <f ca="1">IF(OR(INDIRECT("'update Helper'!E"&amp;Q602)="",F602&lt;&gt;0,F603&lt;&gt;0),IF(IFERROR((F602/F603),"")="","",(F602/F603)),INDIRECT("'update Helper'!E"&amp;Q602)/100)</f>
        <v/>
      </c>
      <c r="H602" s="597"/>
      <c r="I602" s="599"/>
      <c r="J602" s="531"/>
      <c r="K602" s="130">
        <f>IF(AND(EXACT(C602,C600),C600&lt;&gt;0),K600+1,0)</f>
        <v>43</v>
      </c>
      <c r="L602" s="130" t="str">
        <f>IF(C602&lt;&gt;"",C602&amp;"-"&amp;K602,"")</f>
        <v/>
      </c>
      <c r="M602" s="130" t="str">
        <f t="array" ref="M602">IFERROR(IF(INDEX('Disaggregation Records'!$E$83:$E$149,MATCH(RIGHT(L602,255),RIGHT('Disaggregation Records'!$D$83:$D$149,255),0))="","",INDEX('Disaggregation Records'!$E$83:$E$149,MATCH(RIGHT(L602,255),RIGHT('Disaggregation Records'!$D$83:$D$149,255),0))),"")</f>
        <v/>
      </c>
      <c r="N602" s="130" t="str">
        <f t="array" ref="N602">IFERROR(IF(INDEX('Disaggregation Records'!$F$83:$F$149,MATCH(RIGHT(L602,255),RIGHT('Disaggregation Records'!$D$83:$D$149,255),0))="","",INDEX('Disaggregation Records'!$F$83:$F$149,MATCH(RIGHT(L602,255),RIGHT('Disaggregation Records'!$D$83:$D$149,255),0))),"")</f>
        <v/>
      </c>
      <c r="O602" s="130" t="str">
        <f t="array" ref="O602">IFERROR(IF(INDEX('Disaggregation Records'!$H$83:$H$149,MATCH(RIGHT(L602,255),RIGHT('Disaggregation Records'!$D$83:$D$149,255),0))="","",INDEX('Disaggregation Records'!$H$83:$H$149,MATCH(RIGHT(L602,255),RIGHT('Disaggregation Records'!$D$83:$D$149,255),0))),"")</f>
        <v/>
      </c>
      <c r="P602" s="130"/>
      <c r="Q602" s="52">
        <f t="shared" ref="Q602" si="771">Q600+1</f>
        <v>1030</v>
      </c>
    </row>
    <row r="603" spans="1:17" ht="20.100000000000001" customHeight="1" x14ac:dyDescent="0.25">
      <c r="B603" s="602"/>
      <c r="C603" s="604"/>
      <c r="D603" s="606"/>
      <c r="E603" s="606"/>
      <c r="F603" s="132"/>
      <c r="G603" s="608"/>
      <c r="H603" s="598"/>
      <c r="I603" s="600"/>
      <c r="J603" s="532"/>
      <c r="K603" s="130"/>
      <c r="L603" s="130"/>
      <c r="M603" s="130"/>
      <c r="N603" s="130"/>
      <c r="O603" s="130"/>
      <c r="P603" s="130"/>
    </row>
    <row r="604" spans="1:17" ht="20.100000000000001" customHeight="1" x14ac:dyDescent="0.25">
      <c r="A604" s="130" t="str">
        <f t="shared" ref="A604" ca="1" si="772">INDIRECT("'update Helper'!C"&amp;Q604)</f>
        <v>a1VDm000000PRd1MAG</v>
      </c>
      <c r="B604" s="601">
        <v>15</v>
      </c>
      <c r="C604" s="603" t="str">
        <f>IFERROR(VLOOKUP(B604,'Outcome Indicators - Section C '!$A$9:$AC$70,29,FALSE),"")</f>
        <v/>
      </c>
      <c r="D604" s="605" t="str">
        <f>M604</f>
        <v/>
      </c>
      <c r="E604" s="605" t="str">
        <f>N604</f>
        <v/>
      </c>
      <c r="F604" s="131"/>
      <c r="G604" s="607" t="str">
        <f ca="1">IF(OR(INDIRECT("'update Helper'!E"&amp;Q604)="",F604&lt;&gt;0,F605&lt;&gt;0),IF(IFERROR((F604/F605),"")="","",(F604/F605)),INDIRECT("'update Helper'!E"&amp;Q604)/100)</f>
        <v/>
      </c>
      <c r="H604" s="597"/>
      <c r="I604" s="599"/>
      <c r="J604" s="531"/>
      <c r="K604" s="130">
        <f>IF(AND(EXACT(C604,C602),C602&lt;&gt;0),K602+1,0)</f>
        <v>44</v>
      </c>
      <c r="L604" s="130" t="str">
        <f>IF(C604&lt;&gt;"",C604&amp;"-"&amp;K604,"")</f>
        <v/>
      </c>
      <c r="M604" s="130" t="str">
        <f t="array" ref="M604">IFERROR(IF(INDEX('Disaggregation Records'!$E$83:$E$149,MATCH(RIGHT(L604,255),RIGHT('Disaggregation Records'!$D$83:$D$149,255),0))="","",INDEX('Disaggregation Records'!$E$83:$E$149,MATCH(RIGHT(L604,255),RIGHT('Disaggregation Records'!$D$83:$D$149,255),0))),"")</f>
        <v/>
      </c>
      <c r="N604" s="130" t="str">
        <f t="array" ref="N604">IFERROR(IF(INDEX('Disaggregation Records'!$F$83:$F$149,MATCH(RIGHT(L604,255),RIGHT('Disaggregation Records'!$D$83:$D$149,255),0))="","",INDEX('Disaggregation Records'!$F$83:$F$149,MATCH(RIGHT(L604,255),RIGHT('Disaggregation Records'!$D$83:$D$149,255),0))),"")</f>
        <v/>
      </c>
      <c r="O604" s="130" t="str">
        <f t="array" ref="O604">IFERROR(IF(INDEX('Disaggregation Records'!$H$83:$H$149,MATCH(RIGHT(L604,255),RIGHT('Disaggregation Records'!$D$83:$D$149,255),0))="","",INDEX('Disaggregation Records'!$H$83:$H$149,MATCH(RIGHT(L604,255),RIGHT('Disaggregation Records'!$D$83:$D$149,255),0))),"")</f>
        <v/>
      </c>
      <c r="P604" s="130"/>
      <c r="Q604" s="52">
        <f t="shared" ref="Q604" si="773">Q602+1</f>
        <v>1031</v>
      </c>
    </row>
    <row r="605" spans="1:17" ht="20.100000000000001" customHeight="1" x14ac:dyDescent="0.25">
      <c r="A605" s="130"/>
      <c r="B605" s="602"/>
      <c r="C605" s="604"/>
      <c r="D605" s="606"/>
      <c r="E605" s="606"/>
      <c r="F605" s="132"/>
      <c r="G605" s="608"/>
      <c r="H605" s="598"/>
      <c r="I605" s="600"/>
      <c r="J605" s="532"/>
      <c r="K605" s="130"/>
      <c r="L605" s="130"/>
      <c r="M605" s="130"/>
      <c r="N605" s="130"/>
      <c r="O605" s="130"/>
      <c r="P605" s="130"/>
    </row>
    <row r="606" spans="1:17" ht="20.100000000000001" customHeight="1" x14ac:dyDescent="0.25">
      <c r="A606" s="130" t="str">
        <f t="shared" ref="A606" ca="1" si="774">INDIRECT("'update Helper'!C"&amp;Q606)</f>
        <v>a1VDm000000PRd2MAG</v>
      </c>
      <c r="B606" s="601">
        <v>15</v>
      </c>
      <c r="C606" s="603" t="str">
        <f>IFERROR(VLOOKUP(B606,'Outcome Indicators - Section C '!$A$9:$AC$70,29,FALSE),"")</f>
        <v/>
      </c>
      <c r="D606" s="605" t="str">
        <f>M606</f>
        <v/>
      </c>
      <c r="E606" s="605" t="str">
        <f>N606</f>
        <v/>
      </c>
      <c r="F606" s="131"/>
      <c r="G606" s="607" t="str">
        <f ca="1">IF(OR(INDIRECT("'update Helper'!E"&amp;Q606)="",F606&lt;&gt;0,F607&lt;&gt;0),IF(IFERROR((F606/F607),"")="","",(F606/F607)),INDIRECT("'update Helper'!E"&amp;Q606)/100)</f>
        <v/>
      </c>
      <c r="H606" s="597"/>
      <c r="I606" s="599"/>
      <c r="J606" s="531"/>
      <c r="K606" s="130">
        <f>IF(AND(EXACT(C606,C604),C604&lt;&gt;0),K604+1,0)</f>
        <v>45</v>
      </c>
      <c r="L606" s="130" t="str">
        <f>IF(C606&lt;&gt;"",C606&amp;"-"&amp;K606,"")</f>
        <v/>
      </c>
      <c r="M606" s="130" t="str">
        <f t="array" ref="M606">IFERROR(IF(INDEX('Disaggregation Records'!$E$83:$E$149,MATCH(RIGHT(L606,255),RIGHT('Disaggregation Records'!$D$83:$D$149,255),0))="","",INDEX('Disaggregation Records'!$E$83:$E$149,MATCH(RIGHT(L606,255),RIGHT('Disaggregation Records'!$D$83:$D$149,255),0))),"")</f>
        <v/>
      </c>
      <c r="N606" s="130" t="str">
        <f t="array" ref="N606">IFERROR(IF(INDEX('Disaggregation Records'!$F$83:$F$149,MATCH(RIGHT(L606,255),RIGHT('Disaggregation Records'!$D$83:$D$149,255),0))="","",INDEX('Disaggregation Records'!$F$83:$F$149,MATCH(RIGHT(L606,255),RIGHT('Disaggregation Records'!$D$83:$D$149,255),0))),"")</f>
        <v/>
      </c>
      <c r="O606" s="130" t="str">
        <f t="array" ref="O606">IFERROR(IF(INDEX('Disaggregation Records'!$H$83:$H$149,MATCH(RIGHT(L606,255),RIGHT('Disaggregation Records'!$D$83:$D$149,255),0))="","",INDEX('Disaggregation Records'!$H$83:$H$149,MATCH(RIGHT(L606,255),RIGHT('Disaggregation Records'!$D$83:$D$149,255),0))),"")</f>
        <v/>
      </c>
      <c r="P606" s="130"/>
      <c r="Q606" s="52">
        <f t="shared" ref="Q606" si="775">Q604+1</f>
        <v>1032</v>
      </c>
    </row>
    <row r="607" spans="1:17" ht="20.100000000000001" customHeight="1" x14ac:dyDescent="0.25">
      <c r="B607" s="602"/>
      <c r="C607" s="604"/>
      <c r="D607" s="606"/>
      <c r="E607" s="606"/>
      <c r="F607" s="132"/>
      <c r="G607" s="608"/>
      <c r="H607" s="598"/>
      <c r="I607" s="600"/>
      <c r="J607" s="532"/>
      <c r="K607" s="130"/>
      <c r="L607" s="130"/>
      <c r="M607" s="130"/>
      <c r="N607" s="130"/>
      <c r="O607" s="130"/>
      <c r="P607" s="130"/>
    </row>
    <row r="608" spans="1:17" ht="20.100000000000001" customHeight="1" x14ac:dyDescent="0.25">
      <c r="A608" s="130" t="str">
        <f t="shared" ref="A608" ca="1" si="776">INDIRECT("'update Helper'!C"&amp;Q608)</f>
        <v>a1VDm000000PRd3MAG</v>
      </c>
      <c r="B608" s="601">
        <v>15</v>
      </c>
      <c r="C608" s="603" t="str">
        <f>IFERROR(VLOOKUP(B608,'Outcome Indicators - Section C '!$A$9:$AC$70,29,FALSE),"")</f>
        <v/>
      </c>
      <c r="D608" s="605" t="str">
        <f>M608</f>
        <v/>
      </c>
      <c r="E608" s="605" t="str">
        <f>N608</f>
        <v/>
      </c>
      <c r="F608" s="131"/>
      <c r="G608" s="607" t="str">
        <f ca="1">IF(OR(INDIRECT("'update Helper'!E"&amp;Q608)="",F608&lt;&gt;0,F609&lt;&gt;0),IF(IFERROR((F608/F609),"")="","",(F608/F609)),INDIRECT("'update Helper'!E"&amp;Q608)/100)</f>
        <v/>
      </c>
      <c r="H608" s="597"/>
      <c r="I608" s="599"/>
      <c r="J608" s="531"/>
      <c r="K608" s="130">
        <f>IF(AND(EXACT(C608,C606),C606&lt;&gt;0),K606+1,0)</f>
        <v>46</v>
      </c>
      <c r="L608" s="130" t="str">
        <f>IF(C608&lt;&gt;"",C608&amp;"-"&amp;K608,"")</f>
        <v/>
      </c>
      <c r="M608" s="130" t="str">
        <f t="array" ref="M608">IFERROR(IF(INDEX('Disaggregation Records'!$E$83:$E$149,MATCH(RIGHT(L608,255),RIGHT('Disaggregation Records'!$D$83:$D$149,255),0))="","",INDEX('Disaggregation Records'!$E$83:$E$149,MATCH(RIGHT(L608,255),RIGHT('Disaggregation Records'!$D$83:$D$149,255),0))),"")</f>
        <v/>
      </c>
      <c r="N608" s="130" t="str">
        <f t="array" ref="N608">IFERROR(IF(INDEX('Disaggregation Records'!$F$83:$F$149,MATCH(RIGHT(L608,255),RIGHT('Disaggregation Records'!$D$83:$D$149,255),0))="","",INDEX('Disaggregation Records'!$F$83:$F$149,MATCH(RIGHT(L608,255),RIGHT('Disaggregation Records'!$D$83:$D$149,255),0))),"")</f>
        <v/>
      </c>
      <c r="O608" s="130" t="str">
        <f t="array" ref="O608">IFERROR(IF(INDEX('Disaggregation Records'!$H$83:$H$149,MATCH(RIGHT(L608,255),RIGHT('Disaggregation Records'!$D$83:$D$149,255),0))="","",INDEX('Disaggregation Records'!$H$83:$H$149,MATCH(RIGHT(L608,255),RIGHT('Disaggregation Records'!$D$83:$D$149,255),0))),"")</f>
        <v/>
      </c>
      <c r="P608" s="130"/>
      <c r="Q608" s="52">
        <f t="shared" ref="Q608" si="777">Q606+1</f>
        <v>1033</v>
      </c>
    </row>
    <row r="609" spans="1:17" ht="20.100000000000001" customHeight="1" x14ac:dyDescent="0.25">
      <c r="A609" s="130"/>
      <c r="B609" s="602"/>
      <c r="C609" s="604"/>
      <c r="D609" s="606"/>
      <c r="E609" s="606"/>
      <c r="F609" s="132"/>
      <c r="G609" s="608"/>
      <c r="H609" s="598"/>
      <c r="I609" s="600"/>
      <c r="J609" s="532"/>
      <c r="K609" s="130"/>
      <c r="L609" s="130"/>
      <c r="M609" s="130"/>
      <c r="N609" s="130"/>
      <c r="O609" s="130"/>
      <c r="P609" s="130"/>
    </row>
    <row r="610" spans="1:17" ht="20.100000000000001" customHeight="1" x14ac:dyDescent="0.25">
      <c r="A610" s="130" t="str">
        <f t="shared" ref="A610" ca="1" si="778">INDIRECT("'update Helper'!C"&amp;Q610)</f>
        <v>a1VDm000000PRd4MAG</v>
      </c>
      <c r="B610" s="601">
        <v>15</v>
      </c>
      <c r="C610" s="603" t="str">
        <f>IFERROR(VLOOKUP(B610,'Outcome Indicators - Section C '!$A$9:$AC$70,29,FALSE),"")</f>
        <v/>
      </c>
      <c r="D610" s="605" t="str">
        <f>M610</f>
        <v/>
      </c>
      <c r="E610" s="605" t="str">
        <f>N610</f>
        <v/>
      </c>
      <c r="F610" s="131"/>
      <c r="G610" s="607" t="str">
        <f ca="1">IF(OR(INDIRECT("'update Helper'!E"&amp;Q610)="",F610&lt;&gt;0,F611&lt;&gt;0),IF(IFERROR((F610/F611),"")="","",(F610/F611)),INDIRECT("'update Helper'!E"&amp;Q610)/100)</f>
        <v/>
      </c>
      <c r="H610" s="597"/>
      <c r="I610" s="599"/>
      <c r="J610" s="531"/>
      <c r="K610" s="130">
        <f>IF(AND(EXACT(C610,C608),C608&lt;&gt;0),K608+1,0)</f>
        <v>47</v>
      </c>
      <c r="L610" s="130" t="str">
        <f>IF(C610&lt;&gt;"",C610&amp;"-"&amp;K610,"")</f>
        <v/>
      </c>
      <c r="M610" s="130" t="str">
        <f t="array" ref="M610">IFERROR(IF(INDEX('Disaggregation Records'!$E$83:$E$149,MATCH(RIGHT(L610,255),RIGHT('Disaggregation Records'!$D$83:$D$149,255),0))="","",INDEX('Disaggregation Records'!$E$83:$E$149,MATCH(RIGHT(L610,255),RIGHT('Disaggregation Records'!$D$83:$D$149,255),0))),"")</f>
        <v/>
      </c>
      <c r="N610" s="130" t="str">
        <f t="array" ref="N610">IFERROR(IF(INDEX('Disaggregation Records'!$F$83:$F$149,MATCH(RIGHT(L610,255),RIGHT('Disaggregation Records'!$D$83:$D$149,255),0))="","",INDEX('Disaggregation Records'!$F$83:$F$149,MATCH(RIGHT(L610,255),RIGHT('Disaggregation Records'!$D$83:$D$149,255),0))),"")</f>
        <v/>
      </c>
      <c r="O610" s="130" t="str">
        <f t="array" ref="O610">IFERROR(IF(INDEX('Disaggregation Records'!$H$83:$H$149,MATCH(RIGHT(L610,255),RIGHT('Disaggregation Records'!$D$83:$D$149,255),0))="","",INDEX('Disaggregation Records'!$H$83:$H$149,MATCH(RIGHT(L610,255),RIGHT('Disaggregation Records'!$D$83:$D$149,255),0))),"")</f>
        <v/>
      </c>
      <c r="P610" s="130"/>
      <c r="Q610" s="52">
        <f t="shared" ref="Q610" si="779">Q608+1</f>
        <v>1034</v>
      </c>
    </row>
    <row r="611" spans="1:17" ht="20.100000000000001" customHeight="1" x14ac:dyDescent="0.25">
      <c r="B611" s="602"/>
      <c r="C611" s="604"/>
      <c r="D611" s="606"/>
      <c r="E611" s="606"/>
      <c r="F611" s="132"/>
      <c r="G611" s="608"/>
      <c r="H611" s="598"/>
      <c r="I611" s="600"/>
      <c r="J611" s="532"/>
      <c r="K611" s="130"/>
      <c r="L611" s="130"/>
      <c r="M611" s="130"/>
      <c r="N611" s="130"/>
      <c r="O611" s="130"/>
      <c r="P611" s="130"/>
    </row>
    <row r="612" spans="1:17" ht="20.100000000000001" customHeight="1" x14ac:dyDescent="0.25">
      <c r="A612" s="130" t="str">
        <f t="shared" ref="A612" ca="1" si="780">INDIRECT("'update Helper'!C"&amp;Q612)</f>
        <v>a1VDm000000PRd5MAG</v>
      </c>
      <c r="B612" s="601">
        <v>15</v>
      </c>
      <c r="C612" s="603" t="str">
        <f>IFERROR(VLOOKUP(B612,'Outcome Indicators - Section C '!$A$9:$AC$70,29,FALSE),"")</f>
        <v/>
      </c>
      <c r="D612" s="605" t="str">
        <f>M612</f>
        <v/>
      </c>
      <c r="E612" s="605" t="str">
        <f>N612</f>
        <v/>
      </c>
      <c r="F612" s="131"/>
      <c r="G612" s="607" t="str">
        <f ca="1">IF(OR(INDIRECT("'update Helper'!E"&amp;Q612)="",F612&lt;&gt;0,F613&lt;&gt;0),IF(IFERROR((F612/F613),"")="","",(F612/F613)),INDIRECT("'update Helper'!E"&amp;Q612)/100)</f>
        <v/>
      </c>
      <c r="H612" s="597"/>
      <c r="I612" s="599"/>
      <c r="J612" s="531"/>
      <c r="K612" s="130">
        <f>IF(AND(EXACT(C612,C610),C610&lt;&gt;0),K610+1,0)</f>
        <v>48</v>
      </c>
      <c r="L612" s="130" t="str">
        <f>IF(C612&lt;&gt;"",C612&amp;"-"&amp;K612,"")</f>
        <v/>
      </c>
      <c r="M612" s="130" t="str">
        <f t="array" ref="M612">IFERROR(IF(INDEX('Disaggregation Records'!$E$83:$E$149,MATCH(RIGHT(L612,255),RIGHT('Disaggregation Records'!$D$83:$D$149,255),0))="","",INDEX('Disaggregation Records'!$E$83:$E$149,MATCH(RIGHT(L612,255),RIGHT('Disaggregation Records'!$D$83:$D$149,255),0))),"")</f>
        <v/>
      </c>
      <c r="N612" s="130" t="str">
        <f t="array" ref="N612">IFERROR(IF(INDEX('Disaggregation Records'!$F$83:$F$149,MATCH(RIGHT(L612,255),RIGHT('Disaggregation Records'!$D$83:$D$149,255),0))="","",INDEX('Disaggregation Records'!$F$83:$F$149,MATCH(RIGHT(L612,255),RIGHT('Disaggregation Records'!$D$83:$D$149,255),0))),"")</f>
        <v/>
      </c>
      <c r="O612" s="130" t="str">
        <f t="array" ref="O612">IFERROR(IF(INDEX('Disaggregation Records'!$H$83:$H$149,MATCH(RIGHT(L612,255),RIGHT('Disaggregation Records'!$D$83:$D$149,255),0))="","",INDEX('Disaggregation Records'!$H$83:$H$149,MATCH(RIGHT(L612,255),RIGHT('Disaggregation Records'!$D$83:$D$149,255),0))),"")</f>
        <v/>
      </c>
      <c r="P612" s="130"/>
      <c r="Q612" s="52">
        <f t="shared" ref="Q612" si="781">Q610+1</f>
        <v>1035</v>
      </c>
    </row>
    <row r="613" spans="1:17" ht="20.100000000000001" customHeight="1" x14ac:dyDescent="0.25">
      <c r="A613" s="130"/>
      <c r="B613" s="602"/>
      <c r="C613" s="604"/>
      <c r="D613" s="606"/>
      <c r="E613" s="606"/>
      <c r="F613" s="132"/>
      <c r="G613" s="608"/>
      <c r="H613" s="598"/>
      <c r="I613" s="600"/>
      <c r="J613" s="532"/>
      <c r="K613" s="130"/>
      <c r="L613" s="130"/>
      <c r="M613" s="130"/>
      <c r="N613" s="130"/>
      <c r="O613" s="130"/>
      <c r="P613" s="130"/>
    </row>
    <row r="614" spans="1:17" ht="20.100000000000001" customHeight="1" x14ac:dyDescent="0.25">
      <c r="A614" s="130" t="str">
        <f t="shared" ref="A614" ca="1" si="782">INDIRECT("'update Helper'!C"&amp;Q614)</f>
        <v>a1VDm000000PRd6MAG</v>
      </c>
      <c r="B614" s="601">
        <v>15</v>
      </c>
      <c r="C614" s="603" t="str">
        <f>IFERROR(VLOOKUP(B614,'Outcome Indicators - Section C '!$A$9:$AC$70,29,FALSE),"")</f>
        <v/>
      </c>
      <c r="D614" s="605" t="str">
        <f>M614</f>
        <v/>
      </c>
      <c r="E614" s="605" t="str">
        <f>N614</f>
        <v/>
      </c>
      <c r="F614" s="131"/>
      <c r="G614" s="607" t="str">
        <f ca="1">IF(OR(INDIRECT("'update Helper'!E"&amp;Q614)="",F614&lt;&gt;0,F615&lt;&gt;0),IF(IFERROR((F614/F615),"")="","",(F614/F615)),INDIRECT("'update Helper'!E"&amp;Q614)/100)</f>
        <v/>
      </c>
      <c r="H614" s="597"/>
      <c r="I614" s="599"/>
      <c r="J614" s="531"/>
      <c r="K614" s="130">
        <f>IF(AND(EXACT(C614,C612),C612&lt;&gt;0),K612+1,0)</f>
        <v>49</v>
      </c>
      <c r="L614" s="130" t="str">
        <f>IF(C614&lt;&gt;"",C614&amp;"-"&amp;K614,"")</f>
        <v/>
      </c>
      <c r="M614" s="130" t="str">
        <f t="array" ref="M614">IFERROR(IF(INDEX('Disaggregation Records'!$E$83:$E$149,MATCH(RIGHT(L614,255),RIGHT('Disaggregation Records'!$D$83:$D$149,255),0))="","",INDEX('Disaggregation Records'!$E$83:$E$149,MATCH(RIGHT(L614,255),RIGHT('Disaggregation Records'!$D$83:$D$149,255),0))),"")</f>
        <v/>
      </c>
      <c r="N614" s="130" t="str">
        <f t="array" ref="N614">IFERROR(IF(INDEX('Disaggregation Records'!$F$83:$F$149,MATCH(RIGHT(L614,255),RIGHT('Disaggregation Records'!$D$83:$D$149,255),0))="","",INDEX('Disaggregation Records'!$F$83:$F$149,MATCH(RIGHT(L614,255),RIGHT('Disaggregation Records'!$D$83:$D$149,255),0))),"")</f>
        <v/>
      </c>
      <c r="O614" s="130" t="str">
        <f t="array" ref="O614">IFERROR(IF(INDEX('Disaggregation Records'!$H$83:$H$149,MATCH(RIGHT(L614,255),RIGHT('Disaggregation Records'!$D$83:$D$149,255),0))="","",INDEX('Disaggregation Records'!$H$83:$H$149,MATCH(RIGHT(L614,255),RIGHT('Disaggregation Records'!$D$83:$D$149,255),0))),"")</f>
        <v/>
      </c>
      <c r="P614" s="130"/>
      <c r="Q614" s="52">
        <f t="shared" ref="Q614" si="783">Q612+1</f>
        <v>1036</v>
      </c>
    </row>
    <row r="615" spans="1:17" ht="20.100000000000001" customHeight="1" x14ac:dyDescent="0.25">
      <c r="B615" s="602"/>
      <c r="C615" s="604"/>
      <c r="D615" s="606"/>
      <c r="E615" s="606"/>
      <c r="F615" s="132"/>
      <c r="G615" s="608"/>
      <c r="H615" s="598"/>
      <c r="I615" s="600"/>
      <c r="J615" s="532"/>
      <c r="K615" s="130"/>
      <c r="L615" s="130"/>
      <c r="M615" s="130"/>
      <c r="N615" s="130"/>
      <c r="O615" s="130"/>
      <c r="P615" s="130"/>
    </row>
    <row r="616" spans="1:17" x14ac:dyDescent="0.25">
      <c r="B616" s="136"/>
      <c r="C616" s="136"/>
      <c r="D616" s="136"/>
      <c r="E616" s="136"/>
      <c r="K616" s="130"/>
      <c r="L616" s="130"/>
      <c r="M616" s="130"/>
      <c r="N616" s="130"/>
      <c r="O616" s="130"/>
      <c r="P616" s="130"/>
    </row>
    <row r="617" spans="1:17" x14ac:dyDescent="0.25">
      <c r="B617" s="136"/>
      <c r="C617" s="136"/>
      <c r="D617" s="136"/>
      <c r="E617" s="136"/>
    </row>
    <row r="618" spans="1:17" x14ac:dyDescent="0.25">
      <c r="B618" s="136"/>
      <c r="C618" s="136"/>
      <c r="D618" s="136"/>
      <c r="E618" s="136"/>
    </row>
    <row r="619" spans="1:17" ht="16.350000000000001" customHeight="1" x14ac:dyDescent="0.25">
      <c r="B619" s="609" t="s">
        <v>2237</v>
      </c>
      <c r="C619" s="610"/>
      <c r="D619" s="610"/>
      <c r="E619" s="610"/>
      <c r="F619" s="610"/>
      <c r="G619" s="610"/>
      <c r="H619" s="610"/>
      <c r="I619" s="610"/>
      <c r="J619" s="610"/>
    </row>
    <row r="620" spans="1:17" ht="45" customHeight="1" x14ac:dyDescent="0.25">
      <c r="B620" s="129" t="s">
        <v>2174</v>
      </c>
      <c r="C620" s="129" t="s">
        <v>2238</v>
      </c>
      <c r="D620" s="129" t="s">
        <v>2216</v>
      </c>
      <c r="E620" s="129" t="s">
        <v>2217</v>
      </c>
      <c r="F620" s="129" t="s">
        <v>740</v>
      </c>
      <c r="G620" s="129" t="s">
        <v>105</v>
      </c>
      <c r="H620" s="129" t="s">
        <v>741</v>
      </c>
      <c r="I620" s="129" t="s">
        <v>199</v>
      </c>
      <c r="J620" s="129" t="s">
        <v>176</v>
      </c>
    </row>
    <row r="621" spans="1:17" s="130" customFormat="1" ht="45.75" customHeight="1" x14ac:dyDescent="0.25">
      <c r="A621" s="130" t="str">
        <f t="shared" ref="A621" ca="1" si="784">INDIRECT("'update Helper'!C"&amp;Q621)</f>
        <v>a16Dm000000LZZWIA4</v>
      </c>
      <c r="B621" s="601">
        <v>1</v>
      </c>
      <c r="C621" s="603" t="str">
        <f>IFERROR(VLOOKUP(B621,'Coverage Indicators - Section D'!$A$9:$AO$70,41,FALSE),"")</f>
        <v>KP-1a⁽ᴹ⁾ Percentage of men who have sex with men reached with HIV prevention programs - defined package of services</v>
      </c>
      <c r="D621" s="605" t="str">
        <f>M621</f>
        <v>Age</v>
      </c>
      <c r="E621" s="605" t="str">
        <f>N621</f>
        <v>25+</v>
      </c>
      <c r="F621" s="131">
        <v>10585</v>
      </c>
      <c r="G621" s="615" t="str">
        <f ca="1">IF(OR(INDIRECT("'update Helper'!E"&amp;Q621)="",F621&lt;&gt;0,F622&lt;&gt;0),IF(IFERROR((F621/F622),"")="","",(F621/F622)),INDIRECT("'update Helper'!E"&amp;Q621)/100)</f>
        <v/>
      </c>
      <c r="H621" s="597">
        <v>2022</v>
      </c>
      <c r="I621" s="599" t="s">
        <v>2239</v>
      </c>
      <c r="J621" s="531" t="s">
        <v>2240</v>
      </c>
      <c r="K621" s="130">
        <f>IF(AND(EXACT(C621,C619),C619&lt;&gt;0),K619+1,0)</f>
        <v>0</v>
      </c>
      <c r="L621" s="130" t="str">
        <f>IF(C621&lt;&gt;"",C621&amp;"-"&amp;K621,"")</f>
        <v>KP-1a⁽ᴹ⁾ Percentage of men who have sex with men reached with HIV prevention programs - defined package of services-0</v>
      </c>
      <c r="M621" s="130" t="str">
        <f t="array" ref="M621">IFERROR(IF(INDEX('Disaggregation Records'!$E$152:$E$513,MATCH(RIGHT(L621,255),RIGHT('Disaggregation Records'!$D$152:$D$513,255),0))="","",INDEX('Disaggregation Records'!$E$152:$E$513,MATCH(RIGHT(L621,255),RIGHT('Disaggregation Records'!$D$152:$D$513,255),0))),"")</f>
        <v>Age</v>
      </c>
      <c r="N621" s="130" t="str">
        <f t="array" ref="N621">IFERROR(IF(INDEX('Disaggregation Records'!$F$152:$F$513,MATCH(RIGHT(L621,255),RIGHT('Disaggregation Records'!$D$152:$D$513,255),0))="","",INDEX('Disaggregation Records'!$F$152:$F$513,MATCH(RIGHT(L621,255),RIGHT('Disaggregation Records'!$D$152:$D$513,255),0))),"")</f>
        <v>25+</v>
      </c>
      <c r="O621" s="130" t="str">
        <f t="array" ref="O621">IFERROR(IF(INDEX('Disaggregation Records'!$H$152:$H$513,MATCH(RIGHT(L621,255),RIGHT('Disaggregation Records'!$D$152:$D$513,255),0))="","",INDEX('Disaggregation Records'!$H$152:$H$513,MATCH(RIGHT(L621,255),RIGHT('Disaggregation Records'!$D$152:$D$513,255),0))),"")</f>
        <v>IDR-01165</v>
      </c>
      <c r="Q621" s="130">
        <f>ROW(Coverage_Indicator_Disaggregation)+3</f>
        <v>1495</v>
      </c>
    </row>
    <row r="622" spans="1:17" s="130" customFormat="1" ht="22.5" customHeight="1" x14ac:dyDescent="0.25">
      <c r="B622" s="602"/>
      <c r="C622" s="604"/>
      <c r="D622" s="606"/>
      <c r="E622" s="606"/>
      <c r="F622" s="132"/>
      <c r="G622" s="616"/>
      <c r="H622" s="598"/>
      <c r="I622" s="600"/>
      <c r="J622" s="532"/>
    </row>
    <row r="623" spans="1:17" ht="34.5" customHeight="1" x14ac:dyDescent="0.25">
      <c r="A623" s="130" t="str">
        <f t="shared" ref="A623" ca="1" si="785">INDIRECT("'update Helper'!C"&amp;Q623)</f>
        <v>a16Dm000000LZZXIA4</v>
      </c>
      <c r="B623" s="601">
        <v>1</v>
      </c>
      <c r="C623" s="603" t="str">
        <f>IFERROR(VLOOKUP(B623,'Coverage Indicators - Section D'!$A$9:$AO$70,41,FALSE),"")</f>
        <v>KP-1a⁽ᴹ⁾ Percentage of men who have sex with men reached with HIV prevention programs - defined package of services</v>
      </c>
      <c r="D623" s="605" t="str">
        <f>M623</f>
        <v>Age</v>
      </c>
      <c r="E623" s="605" t="str">
        <f t="shared" ref="E623" si="786">N623</f>
        <v>20-24</v>
      </c>
      <c r="F623" s="131">
        <v>3506</v>
      </c>
      <c r="G623" s="615" t="str">
        <f ca="1">IF(OR(INDIRECT("'update Helper'!E"&amp;Q623)="",F623&lt;&gt;0,F624&lt;&gt;0),IF(IFERROR((F623/F624),"")="","",(F623/F624)),INDIRECT("'update Helper'!E"&amp;Q623)/100)</f>
        <v/>
      </c>
      <c r="H623" s="597">
        <v>2022</v>
      </c>
      <c r="I623" s="599" t="s">
        <v>2239</v>
      </c>
      <c r="J623" s="531" t="s">
        <v>2240</v>
      </c>
      <c r="K623" s="130">
        <f>IF(AND(EXACT(C623,C621),C621&lt;&gt;0),K621+1,0)</f>
        <v>1</v>
      </c>
      <c r="L623" s="130" t="str">
        <f t="shared" ref="L623" si="787">IF(C623&lt;&gt;"",C623&amp;"-"&amp;K623,"")</f>
        <v>KP-1a⁽ᴹ⁾ Percentage of men who have sex with men reached with HIV prevention programs - defined package of services-1</v>
      </c>
      <c r="M623" s="130" t="str">
        <f t="array" ref="M623">IFERROR(IF(INDEX('Disaggregation Records'!$E$152:$E$513,MATCH(RIGHT(L623,255),RIGHT('Disaggregation Records'!$D$152:$D$513,255),0))="","",INDEX('Disaggregation Records'!$E$152:$E$513,MATCH(RIGHT(L623,255),RIGHT('Disaggregation Records'!$D$152:$D$513,255),0))),"")</f>
        <v>Age</v>
      </c>
      <c r="N623" s="130" t="str">
        <f t="array" ref="N623">IFERROR(IF(INDEX('Disaggregation Records'!$F$152:$F$513,MATCH(RIGHT(L623,255),RIGHT('Disaggregation Records'!$D$152:$D$513,255),0))="","",INDEX('Disaggregation Records'!$F$152:$F$513,MATCH(RIGHT(L623,255),RIGHT('Disaggregation Records'!$D$152:$D$513,255),0))),"")</f>
        <v>20-24</v>
      </c>
      <c r="O623" s="130" t="str">
        <f t="array" ref="O623">IFERROR(IF(INDEX('Disaggregation Records'!$H$152:$H$513,MATCH(RIGHT(L623,255),RIGHT('Disaggregation Records'!$D$152:$D$513,255),0))="","",INDEX('Disaggregation Records'!$H$152:$H$513,MATCH(RIGHT(L623,255),RIGHT('Disaggregation Records'!$D$152:$D$513,255),0))),"")</f>
        <v>IDR-01164</v>
      </c>
      <c r="P623" s="130"/>
      <c r="Q623" s="52">
        <f>Q621+1</f>
        <v>1496</v>
      </c>
    </row>
    <row r="624" spans="1:17" ht="24.75" customHeight="1" x14ac:dyDescent="0.25">
      <c r="B624" s="602"/>
      <c r="C624" s="604"/>
      <c r="D624" s="606"/>
      <c r="E624" s="606"/>
      <c r="F624" s="132"/>
      <c r="G624" s="616"/>
      <c r="H624" s="598"/>
      <c r="I624" s="600"/>
      <c r="J624" s="532"/>
      <c r="K624" s="130"/>
      <c r="L624" s="130"/>
      <c r="M624" s="130"/>
      <c r="N624" s="130"/>
      <c r="O624" s="130"/>
      <c r="P624" s="130"/>
    </row>
    <row r="625" spans="1:17" ht="40.5" customHeight="1" x14ac:dyDescent="0.25">
      <c r="A625" s="130" t="str">
        <f t="shared" ref="A625:A685" ca="1" si="788">INDIRECT("'update Helper'!C"&amp;Q625)</f>
        <v>a16Dm000000LZZYIA4</v>
      </c>
      <c r="B625" s="601">
        <v>1</v>
      </c>
      <c r="C625" s="603" t="str">
        <f>IFERROR(VLOOKUP(B625,'Coverage Indicators - Section D'!$A$9:$AO$70,41,FALSE),"")</f>
        <v>KP-1a⁽ᴹ⁾ Percentage of men who have sex with men reached with HIV prevention programs - defined package of services</v>
      </c>
      <c r="D625" s="605" t="str">
        <f>M625</f>
        <v>Age</v>
      </c>
      <c r="E625" s="605" t="str">
        <f t="shared" ref="E625" si="789">N625</f>
        <v>15-19</v>
      </c>
      <c r="F625" s="131">
        <v>286</v>
      </c>
      <c r="G625" s="615" t="str">
        <f ca="1">IF(OR(INDIRECT("'update Helper'!E"&amp;Q625)="",F625&lt;&gt;0,F626&lt;&gt;0),IF(IFERROR((F625/F626),"")="","",(F625/F626)),INDIRECT("'update Helper'!E"&amp;Q625)/100)</f>
        <v/>
      </c>
      <c r="H625" s="597">
        <v>2022</v>
      </c>
      <c r="I625" s="599" t="s">
        <v>2239</v>
      </c>
      <c r="J625" s="531" t="s">
        <v>2240</v>
      </c>
      <c r="K625" s="130">
        <f>IF(AND(EXACT(C625,C623),C623&lt;&gt;0),K623+1,0)</f>
        <v>2</v>
      </c>
      <c r="L625" s="130" t="str">
        <f t="shared" ref="L625" si="790">IF(C625&lt;&gt;"",C625&amp;"-"&amp;K625,"")</f>
        <v>KP-1a⁽ᴹ⁾ Percentage of men who have sex with men reached with HIV prevention programs - defined package of services-2</v>
      </c>
      <c r="M625" s="130" t="str">
        <f t="array" ref="M625">IFERROR(IF(INDEX('Disaggregation Records'!$E$152:$E$513,MATCH(RIGHT(L625,255),RIGHT('Disaggregation Records'!$D$152:$D$513,255),0))="","",INDEX('Disaggregation Records'!$E$152:$E$513,MATCH(RIGHT(L625,255),RIGHT('Disaggregation Records'!$D$152:$D$513,255),0))),"")</f>
        <v>Age</v>
      </c>
      <c r="N625" s="130" t="str">
        <f t="array" ref="N625">IFERROR(IF(INDEX('Disaggregation Records'!$F$152:$F$513,MATCH(RIGHT(L625,255),RIGHT('Disaggregation Records'!$D$152:$D$513,255),0))="","",INDEX('Disaggregation Records'!$F$152:$F$513,MATCH(RIGHT(L625,255),RIGHT('Disaggregation Records'!$D$152:$D$513,255),0))),"")</f>
        <v>15-19</v>
      </c>
      <c r="O625" s="130" t="str">
        <f t="array" ref="O625">IFERROR(IF(INDEX('Disaggregation Records'!$H$152:$H$513,MATCH(RIGHT(L625,255),RIGHT('Disaggregation Records'!$D$152:$D$513,255),0))="","",INDEX('Disaggregation Records'!$H$152:$H$513,MATCH(RIGHT(L625,255),RIGHT('Disaggregation Records'!$D$152:$D$513,255),0))),"")</f>
        <v>IDR-01163</v>
      </c>
      <c r="Q625" s="52">
        <f t="shared" ref="Q625" si="791">Q623+1</f>
        <v>1497</v>
      </c>
    </row>
    <row r="626" spans="1:17" ht="39" customHeight="1" x14ac:dyDescent="0.25">
      <c r="A626" s="130"/>
      <c r="B626" s="602"/>
      <c r="C626" s="604"/>
      <c r="D626" s="606"/>
      <c r="E626" s="606"/>
      <c r="F626" s="132"/>
      <c r="G626" s="616"/>
      <c r="H626" s="598"/>
      <c r="I626" s="600"/>
      <c r="J626" s="532"/>
      <c r="L626" s="130"/>
      <c r="N626" s="130"/>
      <c r="O626" s="130"/>
    </row>
    <row r="627" spans="1:17" ht="20.100000000000001" customHeight="1" x14ac:dyDescent="0.25">
      <c r="A627" s="130" t="str">
        <f t="shared" ref="A627:A687" ca="1" si="792">INDIRECT("'update Helper'!C"&amp;Q627)</f>
        <v>a16Dm000000LZZZIA4</v>
      </c>
      <c r="B627" s="601">
        <v>1</v>
      </c>
      <c r="C627" s="603" t="str">
        <f>IFERROR(VLOOKUP(B627,'Coverage Indicators - Section D'!$A$9:$AO$70,41,FALSE),"")</f>
        <v>KP-1a⁽ᴹ⁾ Percentage of men who have sex with men reached with HIV prevention programs - defined package of services</v>
      </c>
      <c r="D627" s="605" t="str">
        <f>M627</f>
        <v/>
      </c>
      <c r="E627" s="605" t="str">
        <f t="shared" ref="E627" si="793">N627</f>
        <v/>
      </c>
      <c r="F627" s="131"/>
      <c r="G627" s="607" t="str">
        <f ca="1">IF(OR(INDIRECT("'update Helper'!E"&amp;Q627)="",F627&lt;&gt;0,F628&lt;&gt;0),IF(IFERROR((F627/F628),"")="","",(F627/F628)),INDIRECT("'update Helper'!E"&amp;Q627)/100)</f>
        <v/>
      </c>
      <c r="H627" s="597"/>
      <c r="I627" s="599"/>
      <c r="J627" s="531"/>
      <c r="K627" s="130">
        <f>IF(AND(EXACT(C627,C625),C625&lt;&gt;0),K625+1,0)</f>
        <v>3</v>
      </c>
      <c r="L627" s="130" t="str">
        <f t="shared" ref="L627" si="794">IF(C627&lt;&gt;"",C627&amp;"-"&amp;K627,"")</f>
        <v>KP-1a⁽ᴹ⁾ Percentage of men who have sex with men reached with HIV prevention programs - defined package of services-3</v>
      </c>
      <c r="M627" s="130" t="str">
        <f t="array" ref="M627">IFERROR(IF(INDEX('Disaggregation Records'!$E$152:$E$513,MATCH(RIGHT(L627,255),RIGHT('Disaggregation Records'!$D$152:$D$513,255),0))="","",INDEX('Disaggregation Records'!$E$152:$E$513,MATCH(RIGHT(L627,255),RIGHT('Disaggregation Records'!$D$152:$D$513,255),0))),"")</f>
        <v/>
      </c>
      <c r="N627" s="130" t="str">
        <f t="array" ref="N627">IFERROR(IF(INDEX('Disaggregation Records'!$F$152:$F$513,MATCH(RIGHT(L627,255),RIGHT('Disaggregation Records'!$D$152:$D$513,255),0))="","",INDEX('Disaggregation Records'!$F$152:$F$513,MATCH(RIGHT(L627,255),RIGHT('Disaggregation Records'!$D$152:$D$513,255),0))),"")</f>
        <v/>
      </c>
      <c r="O627" s="130" t="str">
        <f t="array" ref="O627">IFERROR(IF(INDEX('Disaggregation Records'!$H$152:$H$513,MATCH(RIGHT(L627,255),RIGHT('Disaggregation Records'!$D$152:$D$513,255),0))="","",INDEX('Disaggregation Records'!$H$152:$H$513,MATCH(RIGHT(L627,255),RIGHT('Disaggregation Records'!$D$152:$D$513,255),0))),"")</f>
        <v/>
      </c>
      <c r="Q627" s="52">
        <f t="shared" ref="Q627" si="795">Q625+1</f>
        <v>1498</v>
      </c>
    </row>
    <row r="628" spans="1:17" ht="20.100000000000001" customHeight="1" x14ac:dyDescent="0.25">
      <c r="B628" s="602"/>
      <c r="C628" s="604"/>
      <c r="D628" s="606"/>
      <c r="E628" s="606"/>
      <c r="F628" s="132"/>
      <c r="G628" s="608"/>
      <c r="H628" s="598"/>
      <c r="I628" s="600"/>
      <c r="J628" s="532"/>
      <c r="L628" s="130"/>
      <c r="N628" s="130"/>
      <c r="O628" s="130"/>
    </row>
    <row r="629" spans="1:17" ht="20.100000000000001" customHeight="1" x14ac:dyDescent="0.25">
      <c r="A629" s="130" t="str">
        <f t="shared" ca="1" si="788"/>
        <v>a16Dm000000LZZaIAO</v>
      </c>
      <c r="B629" s="601">
        <v>1</v>
      </c>
      <c r="C629" s="603" t="str">
        <f>IFERROR(VLOOKUP(B629,'Coverage Indicators - Section D'!$A$9:$AO$70,41,FALSE),"")</f>
        <v>KP-1a⁽ᴹ⁾ Percentage of men who have sex with men reached with HIV prevention programs - defined package of services</v>
      </c>
      <c r="D629" s="605" t="str">
        <f>M629</f>
        <v/>
      </c>
      <c r="E629" s="605" t="str">
        <f t="shared" ref="E629" si="796">N629</f>
        <v/>
      </c>
      <c r="F629" s="131"/>
      <c r="G629" s="607" t="str">
        <f ca="1">IF(OR(INDIRECT("'update Helper'!E"&amp;Q629)="",F629&lt;&gt;0,F630&lt;&gt;0),IF(IFERROR((F629/F630),"")="","",(F629/F630)),INDIRECT("'update Helper'!E"&amp;Q629)/100)</f>
        <v/>
      </c>
      <c r="H629" s="597"/>
      <c r="I629" s="599"/>
      <c r="J629" s="531"/>
      <c r="K629" s="130">
        <f>IF(AND(EXACT(C629,C627),C627&lt;&gt;0),K627+1,0)</f>
        <v>4</v>
      </c>
      <c r="L629" s="130" t="str">
        <f t="shared" ref="L629" si="797">IF(C629&lt;&gt;"",C629&amp;"-"&amp;K629,"")</f>
        <v>KP-1a⁽ᴹ⁾ Percentage of men who have sex with men reached with HIV prevention programs - defined package of services-4</v>
      </c>
      <c r="M629" s="130" t="str">
        <f t="array" ref="M629">IFERROR(IF(INDEX('Disaggregation Records'!$E$152:$E$513,MATCH(RIGHT(L629,255),RIGHT('Disaggregation Records'!$D$152:$D$513,255),0))="","",INDEX('Disaggregation Records'!$E$152:$E$513,MATCH(RIGHT(L629,255),RIGHT('Disaggregation Records'!$D$152:$D$513,255),0))),"")</f>
        <v/>
      </c>
      <c r="N629" s="130" t="str">
        <f t="array" ref="N629">IFERROR(IF(INDEX('Disaggregation Records'!$F$152:$F$513,MATCH(RIGHT(L629,255),RIGHT('Disaggregation Records'!$D$152:$D$513,255),0))="","",INDEX('Disaggregation Records'!$F$152:$F$513,MATCH(RIGHT(L629,255),RIGHT('Disaggregation Records'!$D$152:$D$513,255),0))),"")</f>
        <v/>
      </c>
      <c r="O629" s="130" t="str">
        <f t="array" ref="O629">IFERROR(IF(INDEX('Disaggregation Records'!$H$152:$H$513,MATCH(RIGHT(L629,255),RIGHT('Disaggregation Records'!$D$152:$D$513,255),0))="","",INDEX('Disaggregation Records'!$H$152:$H$513,MATCH(RIGHT(L629,255),RIGHT('Disaggregation Records'!$D$152:$D$513,255),0))),"")</f>
        <v/>
      </c>
      <c r="Q629" s="52">
        <f t="shared" ref="Q629" si="798">Q627+1</f>
        <v>1499</v>
      </c>
    </row>
    <row r="630" spans="1:17" ht="20.100000000000001" customHeight="1" x14ac:dyDescent="0.25">
      <c r="A630" s="130"/>
      <c r="B630" s="602"/>
      <c r="C630" s="604"/>
      <c r="D630" s="606"/>
      <c r="E630" s="606"/>
      <c r="F630" s="132"/>
      <c r="G630" s="608"/>
      <c r="H630" s="598"/>
      <c r="I630" s="600"/>
      <c r="J630" s="532"/>
      <c r="L630" s="130"/>
      <c r="N630" s="130"/>
      <c r="O630" s="130"/>
    </row>
    <row r="631" spans="1:17" ht="20.100000000000001" customHeight="1" x14ac:dyDescent="0.25">
      <c r="A631" s="130" t="str">
        <f t="shared" ca="1" si="792"/>
        <v>a16Dm000000LZZbIAO</v>
      </c>
      <c r="B631" s="601">
        <v>1</v>
      </c>
      <c r="C631" s="603" t="str">
        <f>IFERROR(VLOOKUP(B631,'Coverage Indicators - Section D'!$A$9:$AO$70,41,FALSE),"")</f>
        <v>KP-1a⁽ᴹ⁾ Percentage of men who have sex with men reached with HIV prevention programs - defined package of services</v>
      </c>
      <c r="D631" s="605" t="str">
        <f>M631</f>
        <v/>
      </c>
      <c r="E631" s="605" t="str">
        <f>N631</f>
        <v/>
      </c>
      <c r="F631" s="131"/>
      <c r="G631" s="607" t="str">
        <f ca="1">IF(OR(INDIRECT("'update Helper'!E"&amp;Q631)="",F631&lt;&gt;0,F632&lt;&gt;0),IF(IFERROR((F631/F632),"")="","",(F631/F632)),INDIRECT("'update Helper'!E"&amp;Q631)/100)</f>
        <v/>
      </c>
      <c r="H631" s="597"/>
      <c r="I631" s="599"/>
      <c r="J631" s="531"/>
      <c r="K631" s="130">
        <f>IF(AND(EXACT(C631,C629),C629&lt;&gt;0),K629+1,0)</f>
        <v>5</v>
      </c>
      <c r="L631" s="130" t="str">
        <f t="shared" ref="L631" si="799">IF(C631&lt;&gt;"",C631&amp;"-"&amp;K631,"")</f>
        <v>KP-1a⁽ᴹ⁾ Percentage of men who have sex with men reached with HIV prevention programs - defined package of services-5</v>
      </c>
      <c r="M631" s="130" t="str">
        <f t="array" ref="M631">IFERROR(IF(INDEX('Disaggregation Records'!$E$152:$E$513,MATCH(RIGHT(L631,255),RIGHT('Disaggregation Records'!$D$152:$D$513,255),0))="","",INDEX('Disaggregation Records'!$E$152:$E$513,MATCH(RIGHT(L631,255),RIGHT('Disaggregation Records'!$D$152:$D$513,255),0))),"")</f>
        <v/>
      </c>
      <c r="N631" s="130" t="str">
        <f t="array" ref="N631">IFERROR(IF(INDEX('Disaggregation Records'!$F$152:$F$513,MATCH(RIGHT(L631,255),RIGHT('Disaggregation Records'!$D$152:$D$513,255),0))="","",INDEX('Disaggregation Records'!$F$152:$F$513,MATCH(RIGHT(L631,255),RIGHT('Disaggregation Records'!$D$152:$D$513,255),0))),"")</f>
        <v/>
      </c>
      <c r="O631" s="130" t="str">
        <f t="array" ref="O631">IFERROR(IF(INDEX('Disaggregation Records'!$H$152:$H$513,MATCH(RIGHT(L631,255),RIGHT('Disaggregation Records'!$D$152:$D$513,255),0))="","",INDEX('Disaggregation Records'!$H$152:$H$513,MATCH(RIGHT(L631,255),RIGHT('Disaggregation Records'!$D$152:$D$513,255),0))),"")</f>
        <v/>
      </c>
      <c r="P631" s="130"/>
      <c r="Q631" s="52">
        <f t="shared" ref="Q631" si="800">Q629+1</f>
        <v>1500</v>
      </c>
    </row>
    <row r="632" spans="1:17" ht="20.100000000000001" customHeight="1" x14ac:dyDescent="0.25">
      <c r="B632" s="602"/>
      <c r="C632" s="604"/>
      <c r="D632" s="606"/>
      <c r="E632" s="606"/>
      <c r="F632" s="132"/>
      <c r="G632" s="608"/>
      <c r="H632" s="598"/>
      <c r="I632" s="600"/>
      <c r="J632" s="532"/>
      <c r="K632" s="130"/>
      <c r="L632" s="130"/>
      <c r="M632" s="130"/>
      <c r="N632" s="130"/>
      <c r="O632" s="130"/>
      <c r="P632" s="130"/>
    </row>
    <row r="633" spans="1:17" ht="20.100000000000001" customHeight="1" x14ac:dyDescent="0.25">
      <c r="A633" s="130" t="str">
        <f t="shared" ca="1" si="788"/>
        <v>a16Dm000000LZZcIAO</v>
      </c>
      <c r="B633" s="601">
        <v>1</v>
      </c>
      <c r="C633" s="603" t="str">
        <f>IFERROR(VLOOKUP(B633,'Coverage Indicators - Section D'!$A$9:$AO$70,41,FALSE),"")</f>
        <v>KP-1a⁽ᴹ⁾ Percentage of men who have sex with men reached with HIV prevention programs - defined package of services</v>
      </c>
      <c r="D633" s="605" t="str">
        <f>M633</f>
        <v/>
      </c>
      <c r="E633" s="605" t="str">
        <f>N633</f>
        <v/>
      </c>
      <c r="F633" s="131"/>
      <c r="G633" s="607" t="str">
        <f ca="1">IF(OR(INDIRECT("'update Helper'!E"&amp;Q633)="",F633&lt;&gt;0,F634&lt;&gt;0),IF(IFERROR((F633/F634),"")="","",(F633/F634)),INDIRECT("'update Helper'!E"&amp;Q633)/100)</f>
        <v/>
      </c>
      <c r="H633" s="597"/>
      <c r="I633" s="599"/>
      <c r="J633" s="531"/>
      <c r="K633" s="130">
        <f>IF(AND(EXACT(C633,C631),C631&lt;&gt;0),K631+1,0)</f>
        <v>6</v>
      </c>
      <c r="L633" s="130" t="str">
        <f t="shared" ref="L633" si="801">IF(C633&lt;&gt;"",C633&amp;"-"&amp;K633,"")</f>
        <v>KP-1a⁽ᴹ⁾ Percentage of men who have sex with men reached with HIV prevention programs - defined package of services-6</v>
      </c>
      <c r="M633" s="130" t="str">
        <f t="array" ref="M633">IFERROR(IF(INDEX('Disaggregation Records'!$E$152:$E$513,MATCH(RIGHT(L633,255),RIGHT('Disaggregation Records'!$D$152:$D$513,255),0))="","",INDEX('Disaggregation Records'!$E$152:$E$513,MATCH(RIGHT(L633,255),RIGHT('Disaggregation Records'!$D$152:$D$513,255),0))),"")</f>
        <v/>
      </c>
      <c r="N633" s="130" t="str">
        <f t="array" ref="N633">IFERROR(IF(INDEX('Disaggregation Records'!$F$152:$F$513,MATCH(RIGHT(L633,255),RIGHT('Disaggregation Records'!$D$152:$D$513,255),0))="","",INDEX('Disaggregation Records'!$F$152:$F$513,MATCH(RIGHT(L633,255),RIGHT('Disaggregation Records'!$D$152:$D$513,255),0))),"")</f>
        <v/>
      </c>
      <c r="O633" s="130" t="str">
        <f t="array" ref="O633">IFERROR(IF(INDEX('Disaggregation Records'!$H$152:$H$513,MATCH(RIGHT(L633,255),RIGHT('Disaggregation Records'!$D$152:$D$513,255),0))="","",INDEX('Disaggregation Records'!$H$152:$H$513,MATCH(RIGHT(L633,255),RIGHT('Disaggregation Records'!$D$152:$D$513,255),0))),"")</f>
        <v/>
      </c>
      <c r="P633" s="130"/>
      <c r="Q633" s="52">
        <f t="shared" ref="Q633" si="802">Q631+1</f>
        <v>1501</v>
      </c>
    </row>
    <row r="634" spans="1:17" ht="20.100000000000001" customHeight="1" x14ac:dyDescent="0.25">
      <c r="A634" s="130"/>
      <c r="B634" s="602"/>
      <c r="C634" s="604"/>
      <c r="D634" s="606"/>
      <c r="E634" s="606"/>
      <c r="F634" s="132"/>
      <c r="G634" s="608"/>
      <c r="H634" s="598"/>
      <c r="I634" s="600"/>
      <c r="J634" s="532"/>
      <c r="K634" s="130"/>
      <c r="L634" s="130"/>
      <c r="M634" s="130"/>
      <c r="N634" s="130"/>
      <c r="O634" s="130"/>
      <c r="P634" s="130"/>
    </row>
    <row r="635" spans="1:17" ht="20.100000000000001" customHeight="1" x14ac:dyDescent="0.25">
      <c r="A635" s="130" t="str">
        <f t="shared" ca="1" si="792"/>
        <v>a16Dm000000LZZdIAO</v>
      </c>
      <c r="B635" s="601">
        <v>1</v>
      </c>
      <c r="C635" s="603" t="str">
        <f>IFERROR(VLOOKUP(B635,'Coverage Indicators - Section D'!$A$9:$AO$70,41,FALSE),"")</f>
        <v>KP-1a⁽ᴹ⁾ Percentage of men who have sex with men reached with HIV prevention programs - defined package of services</v>
      </c>
      <c r="D635" s="605" t="str">
        <f>M635</f>
        <v/>
      </c>
      <c r="E635" s="605" t="str">
        <f>N635</f>
        <v/>
      </c>
      <c r="F635" s="131"/>
      <c r="G635" s="607" t="str">
        <f ca="1">IF(OR(INDIRECT("'update Helper'!E"&amp;Q635)="",F635&lt;&gt;0,F636&lt;&gt;0),IF(IFERROR((F635/F636),"")="","",(F635/F636)),INDIRECT("'update Helper'!E"&amp;Q635)/100)</f>
        <v/>
      </c>
      <c r="H635" s="597"/>
      <c r="I635" s="599"/>
      <c r="J635" s="531"/>
      <c r="K635" s="130">
        <f>IF(AND(EXACT(C635,C633),C633&lt;&gt;0),K633+1,0)</f>
        <v>7</v>
      </c>
      <c r="L635" s="130" t="str">
        <f t="shared" ref="L635" si="803">IF(C635&lt;&gt;"",C635&amp;"-"&amp;K635,"")</f>
        <v>KP-1a⁽ᴹ⁾ Percentage of men who have sex with men reached with HIV prevention programs - defined package of services-7</v>
      </c>
      <c r="M635" s="130" t="str">
        <f t="array" ref="M635">IFERROR(IF(INDEX('Disaggregation Records'!$E$152:$E$513,MATCH(RIGHT(L635,255),RIGHT('Disaggregation Records'!$D$152:$D$513,255),0))="","",INDEX('Disaggregation Records'!$E$152:$E$513,MATCH(RIGHT(L635,255),RIGHT('Disaggregation Records'!$D$152:$D$513,255),0))),"")</f>
        <v/>
      </c>
      <c r="N635" s="130" t="str">
        <f t="array" ref="N635">IFERROR(IF(INDEX('Disaggregation Records'!$F$152:$F$513,MATCH(RIGHT(L635,255),RIGHT('Disaggregation Records'!$D$152:$D$513,255),0))="","",INDEX('Disaggregation Records'!$F$152:$F$513,MATCH(RIGHT(L635,255),RIGHT('Disaggregation Records'!$D$152:$D$513,255),0))),"")</f>
        <v/>
      </c>
      <c r="O635" s="130" t="str">
        <f t="array" ref="O635">IFERROR(IF(INDEX('Disaggregation Records'!$H$152:$H$513,MATCH(RIGHT(L635,255),RIGHT('Disaggregation Records'!$D$152:$D$513,255),0))="","",INDEX('Disaggregation Records'!$H$152:$H$513,MATCH(RIGHT(L635,255),RIGHT('Disaggregation Records'!$D$152:$D$513,255),0))),"")</f>
        <v/>
      </c>
      <c r="Q635" s="52">
        <f t="shared" ref="Q635" si="804">Q633+1</f>
        <v>1502</v>
      </c>
    </row>
    <row r="636" spans="1:17" ht="20.100000000000001" customHeight="1" x14ac:dyDescent="0.25">
      <c r="B636" s="602"/>
      <c r="C636" s="604"/>
      <c r="D636" s="606"/>
      <c r="E636" s="606"/>
      <c r="F636" s="132"/>
      <c r="G636" s="608"/>
      <c r="H636" s="598"/>
      <c r="I636" s="600"/>
      <c r="J636" s="532"/>
      <c r="L636" s="130"/>
      <c r="N636" s="130"/>
      <c r="O636" s="130"/>
    </row>
    <row r="637" spans="1:17" ht="20.100000000000001" customHeight="1" x14ac:dyDescent="0.25">
      <c r="A637" s="130" t="str">
        <f t="shared" ca="1" si="788"/>
        <v>a16Dm000000LZZeIAO</v>
      </c>
      <c r="B637" s="601">
        <v>1</v>
      </c>
      <c r="C637" s="603" t="str">
        <f>IFERROR(VLOOKUP(B637,'Coverage Indicators - Section D'!$A$9:$AO$70,41,FALSE),"")</f>
        <v>KP-1a⁽ᴹ⁾ Percentage of men who have sex with men reached with HIV prevention programs - defined package of services</v>
      </c>
      <c r="D637" s="605" t="str">
        <f>M637</f>
        <v/>
      </c>
      <c r="E637" s="605" t="str">
        <f>N637</f>
        <v/>
      </c>
      <c r="F637" s="131"/>
      <c r="G637" s="607" t="str">
        <f ca="1">IF(OR(INDIRECT("'update Helper'!E"&amp;Q637)="",F637&lt;&gt;0,F638&lt;&gt;0),IF(IFERROR((F637/F638),"")="","",(F637/F638)),INDIRECT("'update Helper'!E"&amp;Q637)/100)</f>
        <v/>
      </c>
      <c r="H637" s="597"/>
      <c r="I637" s="599"/>
      <c r="J637" s="531"/>
      <c r="K637" s="130">
        <f>IF(AND(EXACT(C637,C635),C635&lt;&gt;0),K635+1,0)</f>
        <v>8</v>
      </c>
      <c r="L637" s="130" t="str">
        <f t="shared" ref="L637" si="805">IF(C637&lt;&gt;"",C637&amp;"-"&amp;K637,"")</f>
        <v>KP-1a⁽ᴹ⁾ Percentage of men who have sex with men reached with HIV prevention programs - defined package of services-8</v>
      </c>
      <c r="M637" s="130" t="str">
        <f t="array" ref="M637">IFERROR(IF(INDEX('Disaggregation Records'!$E$152:$E$513,MATCH(RIGHT(L637,255),RIGHT('Disaggregation Records'!$D$152:$D$513,255),0))="","",INDEX('Disaggregation Records'!$E$152:$E$513,MATCH(RIGHT(L637,255),RIGHT('Disaggregation Records'!$D$152:$D$513,255),0))),"")</f>
        <v/>
      </c>
      <c r="N637" s="130" t="str">
        <f t="array" ref="N637">IFERROR(IF(INDEX('Disaggregation Records'!$F$152:$F$513,MATCH(RIGHT(L637,255),RIGHT('Disaggregation Records'!$D$152:$D$513,255),0))="","",INDEX('Disaggregation Records'!$F$152:$F$513,MATCH(RIGHT(L637,255),RIGHT('Disaggregation Records'!$D$152:$D$513,255),0))),"")</f>
        <v/>
      </c>
      <c r="O637" s="130" t="str">
        <f t="array" ref="O637">IFERROR(IF(INDEX('Disaggregation Records'!$H$152:$H$513,MATCH(RIGHT(L637,255),RIGHT('Disaggregation Records'!$D$152:$D$513,255),0))="","",INDEX('Disaggregation Records'!$H$152:$H$513,MATCH(RIGHT(L637,255),RIGHT('Disaggregation Records'!$D$152:$D$513,255),0))),"")</f>
        <v/>
      </c>
      <c r="Q637" s="52">
        <f t="shared" ref="Q637" si="806">Q635+1</f>
        <v>1503</v>
      </c>
    </row>
    <row r="638" spans="1:17" ht="20.100000000000001" customHeight="1" x14ac:dyDescent="0.25">
      <c r="A638" s="130"/>
      <c r="B638" s="602"/>
      <c r="C638" s="604"/>
      <c r="D638" s="606"/>
      <c r="E638" s="606"/>
      <c r="F638" s="132"/>
      <c r="G638" s="608"/>
      <c r="H638" s="598"/>
      <c r="I638" s="600"/>
      <c r="J638" s="532"/>
      <c r="L638" s="130"/>
      <c r="N638" s="130"/>
      <c r="O638" s="130"/>
    </row>
    <row r="639" spans="1:17" ht="20.100000000000001" customHeight="1" x14ac:dyDescent="0.25">
      <c r="A639" s="130" t="str">
        <f t="shared" ca="1" si="792"/>
        <v>a16Dm000000LZZfIAO</v>
      </c>
      <c r="B639" s="601">
        <v>1</v>
      </c>
      <c r="C639" s="603" t="str">
        <f>IFERROR(VLOOKUP(B639,'Coverage Indicators - Section D'!$A$9:$AO$70,41,FALSE),"")</f>
        <v>KP-1a⁽ᴹ⁾ Percentage of men who have sex with men reached with HIV prevention programs - defined package of services</v>
      </c>
      <c r="D639" s="605" t="str">
        <f>M639</f>
        <v/>
      </c>
      <c r="E639" s="605" t="str">
        <f>N639</f>
        <v/>
      </c>
      <c r="F639" s="131"/>
      <c r="G639" s="607" t="str">
        <f ca="1">IF(OR(INDIRECT("'update Helper'!E"&amp;Q639)="",F639&lt;&gt;0,F640&lt;&gt;0),IF(IFERROR((F639/F640),"")="","",(F639/F640)),INDIRECT("'update Helper'!E"&amp;Q639)/100)</f>
        <v/>
      </c>
      <c r="H639" s="597"/>
      <c r="I639" s="599"/>
      <c r="J639" s="531"/>
      <c r="K639" s="130">
        <f>IF(AND(EXACT(C639,C637),C637&lt;&gt;0),K637+1,0)</f>
        <v>9</v>
      </c>
      <c r="L639" s="130" t="str">
        <f t="shared" ref="L639" si="807">IF(C639&lt;&gt;"",C639&amp;"-"&amp;K639,"")</f>
        <v>KP-1a⁽ᴹ⁾ Percentage of men who have sex with men reached with HIV prevention programs - defined package of services-9</v>
      </c>
      <c r="M639" s="130" t="str">
        <f t="array" ref="M639">IFERROR(IF(INDEX('Disaggregation Records'!$E$152:$E$513,MATCH(RIGHT(L639,255),RIGHT('Disaggregation Records'!$D$152:$D$513,255),0))="","",INDEX('Disaggregation Records'!$E$152:$E$513,MATCH(RIGHT(L639,255),RIGHT('Disaggregation Records'!$D$152:$D$513,255),0))),"")</f>
        <v/>
      </c>
      <c r="N639" s="130" t="str">
        <f t="array" ref="N639">IFERROR(IF(INDEX('Disaggregation Records'!$F$152:$F$513,MATCH(RIGHT(L639,255),RIGHT('Disaggregation Records'!$D$152:$D$513,255),0))="","",INDEX('Disaggregation Records'!$F$152:$F$513,MATCH(RIGHT(L639,255),RIGHT('Disaggregation Records'!$D$152:$D$513,255),0))),"")</f>
        <v/>
      </c>
      <c r="O639" s="130" t="str">
        <f t="array" ref="O639">IFERROR(IF(INDEX('Disaggregation Records'!$H$152:$H$513,MATCH(RIGHT(L639,255),RIGHT('Disaggregation Records'!$D$152:$D$513,255),0))="","",INDEX('Disaggregation Records'!$H$152:$H$513,MATCH(RIGHT(L639,255),RIGHT('Disaggregation Records'!$D$152:$D$513,255),0))),"")</f>
        <v/>
      </c>
      <c r="Q639" s="52">
        <f t="shared" ref="Q639" si="808">Q637+1</f>
        <v>1504</v>
      </c>
    </row>
    <row r="640" spans="1:17" ht="20.100000000000001" customHeight="1" x14ac:dyDescent="0.25">
      <c r="B640" s="602"/>
      <c r="C640" s="604"/>
      <c r="D640" s="606"/>
      <c r="E640" s="606"/>
      <c r="F640" s="132"/>
      <c r="G640" s="608"/>
      <c r="H640" s="598"/>
      <c r="I640" s="600"/>
      <c r="J640" s="532"/>
      <c r="L640" s="130"/>
      <c r="N640" s="130"/>
      <c r="O640" s="130"/>
    </row>
    <row r="641" spans="1:17" ht="20.100000000000001" customHeight="1" x14ac:dyDescent="0.25">
      <c r="A641" s="130" t="str">
        <f t="shared" ca="1" si="788"/>
        <v>a16Dm000000LZZgIAO</v>
      </c>
      <c r="B641" s="601">
        <v>1</v>
      </c>
      <c r="C641" s="603" t="str">
        <f>IFERROR(VLOOKUP(B641,'Coverage Indicators - Section D'!$A$9:$AO$70,41,FALSE),"")</f>
        <v>KP-1a⁽ᴹ⁾ Percentage of men who have sex with men reached with HIV prevention programs - defined package of services</v>
      </c>
      <c r="D641" s="605" t="str">
        <f>M641</f>
        <v/>
      </c>
      <c r="E641" s="605" t="str">
        <f>N641</f>
        <v/>
      </c>
      <c r="F641" s="131"/>
      <c r="G641" s="607" t="str">
        <f ca="1">IF(OR(INDIRECT("'update Helper'!E"&amp;Q641)="",F641&lt;&gt;0,F642&lt;&gt;0),IF(IFERROR((F641/F642),"")="","",(F641/F642)),INDIRECT("'update Helper'!E"&amp;Q641)/100)</f>
        <v/>
      </c>
      <c r="H641" s="597"/>
      <c r="I641" s="599"/>
      <c r="J641" s="531"/>
      <c r="K641" s="130">
        <f>IF(AND(EXACT(C641,C639),C639&lt;&gt;0),K639+1,0)</f>
        <v>10</v>
      </c>
      <c r="L641" s="130" t="str">
        <f t="shared" ref="L641" si="809">IF(C641&lt;&gt;"",C641&amp;"-"&amp;K641,"")</f>
        <v>KP-1a⁽ᴹ⁾ Percentage of men who have sex with men reached with HIV prevention programs - defined package of services-10</v>
      </c>
      <c r="M641" s="130" t="str">
        <f t="array" ref="M641">IFERROR(IF(INDEX('Disaggregation Records'!$E$152:$E$513,MATCH(RIGHT(L641,255),RIGHT('Disaggregation Records'!$D$152:$D$513,255),0))="","",INDEX('Disaggregation Records'!$E$152:$E$513,MATCH(RIGHT(L641,255),RIGHT('Disaggregation Records'!$D$152:$D$513,255),0))),"")</f>
        <v/>
      </c>
      <c r="N641" s="130" t="str">
        <f t="array" ref="N641">IFERROR(IF(INDEX('Disaggregation Records'!$F$152:$F$513,MATCH(RIGHT(L641,255),RIGHT('Disaggregation Records'!$D$152:$D$513,255),0))="","",INDEX('Disaggregation Records'!$F$152:$F$513,MATCH(RIGHT(L641,255),RIGHT('Disaggregation Records'!$D$152:$D$513,255),0))),"")</f>
        <v/>
      </c>
      <c r="O641" s="130" t="str">
        <f t="array" ref="O641">IFERROR(IF(INDEX('Disaggregation Records'!$H$152:$H$513,MATCH(RIGHT(L641,255),RIGHT('Disaggregation Records'!$D$152:$D$513,255),0))="","",INDEX('Disaggregation Records'!$H$152:$H$513,MATCH(RIGHT(L641,255),RIGHT('Disaggregation Records'!$D$152:$D$513,255),0))),"")</f>
        <v/>
      </c>
      <c r="P641" s="130"/>
      <c r="Q641" s="52">
        <f t="shared" ref="Q641" si="810">Q639+1</f>
        <v>1505</v>
      </c>
    </row>
    <row r="642" spans="1:17" ht="20.100000000000001" customHeight="1" x14ac:dyDescent="0.25">
      <c r="A642" s="130"/>
      <c r="B642" s="602"/>
      <c r="C642" s="604"/>
      <c r="D642" s="606"/>
      <c r="E642" s="606"/>
      <c r="F642" s="132"/>
      <c r="G642" s="608"/>
      <c r="H642" s="598"/>
      <c r="I642" s="600"/>
      <c r="J642" s="532"/>
      <c r="K642" s="130"/>
      <c r="L642" s="130"/>
      <c r="M642" s="130"/>
      <c r="N642" s="130"/>
      <c r="O642" s="130"/>
      <c r="P642" s="130"/>
    </row>
    <row r="643" spans="1:17" ht="20.100000000000001" customHeight="1" x14ac:dyDescent="0.25">
      <c r="A643" s="130" t="str">
        <f t="shared" ca="1" si="792"/>
        <v>a16Dm000000LZZhIAO</v>
      </c>
      <c r="B643" s="601">
        <v>1</v>
      </c>
      <c r="C643" s="603" t="str">
        <f>IFERROR(VLOOKUP(B643,'Coverage Indicators - Section D'!$A$9:$AO$70,41,FALSE),"")</f>
        <v>KP-1a⁽ᴹ⁾ Percentage of men who have sex with men reached with HIV prevention programs - defined package of services</v>
      </c>
      <c r="D643" s="605" t="str">
        <f>M643</f>
        <v/>
      </c>
      <c r="E643" s="605" t="str">
        <f>N643</f>
        <v/>
      </c>
      <c r="F643" s="131"/>
      <c r="G643" s="607" t="str">
        <f ca="1">IF(OR(INDIRECT("'update Helper'!E"&amp;Q643)="",F643&lt;&gt;0,F644&lt;&gt;0),IF(IFERROR((F643/F644),"")="","",(F643/F644)),INDIRECT("'update Helper'!E"&amp;Q643)/100)</f>
        <v/>
      </c>
      <c r="H643" s="597"/>
      <c r="I643" s="599"/>
      <c r="J643" s="531"/>
      <c r="K643" s="130">
        <f>IF(AND(EXACT(C643,C641),C641&lt;&gt;0),K641+1,0)</f>
        <v>11</v>
      </c>
      <c r="L643" s="130" t="str">
        <f t="shared" ref="L643" si="811">IF(C643&lt;&gt;"",C643&amp;"-"&amp;K643,"")</f>
        <v>KP-1a⁽ᴹ⁾ Percentage of men who have sex with men reached with HIV prevention programs - defined package of services-11</v>
      </c>
      <c r="M643" s="130" t="str">
        <f t="array" ref="M643">IFERROR(IF(INDEX('Disaggregation Records'!$E$152:$E$513,MATCH(RIGHT(L643,255),RIGHT('Disaggregation Records'!$D$152:$D$513,255),0))="","",INDEX('Disaggregation Records'!$E$152:$E$513,MATCH(RIGHT(L643,255),RIGHT('Disaggregation Records'!$D$152:$D$513,255),0))),"")</f>
        <v/>
      </c>
      <c r="N643" s="130" t="str">
        <f t="array" ref="N643">IFERROR(IF(INDEX('Disaggregation Records'!$F$152:$F$513,MATCH(RIGHT(L643,255),RIGHT('Disaggregation Records'!$D$152:$D$513,255),0))="","",INDEX('Disaggregation Records'!$F$152:$F$513,MATCH(RIGHT(L643,255),RIGHT('Disaggregation Records'!$D$152:$D$513,255),0))),"")</f>
        <v/>
      </c>
      <c r="O643" s="130" t="str">
        <f t="array" ref="O643">IFERROR(IF(INDEX('Disaggregation Records'!$H$152:$H$513,MATCH(RIGHT(L643,255),RIGHT('Disaggregation Records'!$D$152:$D$513,255),0))="","",INDEX('Disaggregation Records'!$H$152:$H$513,MATCH(RIGHT(L643,255),RIGHT('Disaggregation Records'!$D$152:$D$513,255),0))),"")</f>
        <v/>
      </c>
      <c r="P643" s="130"/>
      <c r="Q643" s="52">
        <f t="shared" ref="Q643" si="812">Q641+1</f>
        <v>1506</v>
      </c>
    </row>
    <row r="644" spans="1:17" ht="20.100000000000001" customHeight="1" x14ac:dyDescent="0.25">
      <c r="B644" s="602"/>
      <c r="C644" s="604"/>
      <c r="D644" s="606"/>
      <c r="E644" s="606"/>
      <c r="F644" s="132"/>
      <c r="G644" s="608"/>
      <c r="H644" s="598"/>
      <c r="I644" s="600"/>
      <c r="J644" s="532"/>
      <c r="K644" s="130"/>
      <c r="L644" s="130"/>
      <c r="M644" s="130"/>
      <c r="N644" s="130"/>
      <c r="O644" s="130"/>
      <c r="P644" s="130"/>
    </row>
    <row r="645" spans="1:17" ht="20.100000000000001" customHeight="1" x14ac:dyDescent="0.25">
      <c r="A645" s="130" t="str">
        <f t="shared" ca="1" si="788"/>
        <v>a16Dm000000LZZiIAO</v>
      </c>
      <c r="B645" s="601">
        <v>1</v>
      </c>
      <c r="C645" s="603" t="str">
        <f>IFERROR(VLOOKUP(B645,'Coverage Indicators - Section D'!$A$9:$AO$70,41,FALSE),"")</f>
        <v>KP-1a⁽ᴹ⁾ Percentage of men who have sex with men reached with HIV prevention programs - defined package of services</v>
      </c>
      <c r="D645" s="605" t="str">
        <f>M645</f>
        <v/>
      </c>
      <c r="E645" s="605" t="str">
        <f>N645</f>
        <v/>
      </c>
      <c r="F645" s="131"/>
      <c r="G645" s="607" t="str">
        <f ca="1">IF(OR(INDIRECT("'update Helper'!E"&amp;Q645)="",F645&lt;&gt;0,F646&lt;&gt;0),IF(IFERROR((F645/F646),"")="","",(F645/F646)),INDIRECT("'update Helper'!E"&amp;Q645)/100)</f>
        <v/>
      </c>
      <c r="H645" s="597"/>
      <c r="I645" s="599"/>
      <c r="J645" s="531"/>
      <c r="K645" s="130">
        <f>IF(AND(EXACT(C645,C643),C643&lt;&gt;0),K643+1,0)</f>
        <v>12</v>
      </c>
      <c r="L645" s="130" t="str">
        <f t="shared" ref="L645" si="813">IF(C645&lt;&gt;"",C645&amp;"-"&amp;K645,"")</f>
        <v>KP-1a⁽ᴹ⁾ Percentage of men who have sex with men reached with HIV prevention programs - defined package of services-12</v>
      </c>
      <c r="M645" s="130" t="str">
        <f t="array" ref="M645">IFERROR(IF(INDEX('Disaggregation Records'!$E$152:$E$513,MATCH(RIGHT(L645,255),RIGHT('Disaggregation Records'!$D$152:$D$513,255),0))="","",INDEX('Disaggregation Records'!$E$152:$E$513,MATCH(RIGHT(L645,255),RIGHT('Disaggregation Records'!$D$152:$D$513,255),0))),"")</f>
        <v/>
      </c>
      <c r="N645" s="130" t="str">
        <f t="array" ref="N645">IFERROR(IF(INDEX('Disaggregation Records'!$F$152:$F$513,MATCH(RIGHT(L645,255),RIGHT('Disaggregation Records'!$D$152:$D$513,255),0))="","",INDEX('Disaggregation Records'!$F$152:$F$513,MATCH(RIGHT(L645,255),RIGHT('Disaggregation Records'!$D$152:$D$513,255),0))),"")</f>
        <v/>
      </c>
      <c r="O645" s="130" t="str">
        <f t="array" ref="O645">IFERROR(IF(INDEX('Disaggregation Records'!$H$152:$H$513,MATCH(RIGHT(L645,255),RIGHT('Disaggregation Records'!$D$152:$D$513,255),0))="","",INDEX('Disaggregation Records'!$H$152:$H$513,MATCH(RIGHT(L645,255),RIGHT('Disaggregation Records'!$D$152:$D$513,255),0))),"")</f>
        <v/>
      </c>
      <c r="Q645" s="52">
        <f t="shared" ref="Q645" si="814">Q643+1</f>
        <v>1507</v>
      </c>
    </row>
    <row r="646" spans="1:17" ht="20.100000000000001" customHeight="1" x14ac:dyDescent="0.25">
      <c r="A646" s="130"/>
      <c r="B646" s="602"/>
      <c r="C646" s="604"/>
      <c r="D646" s="606"/>
      <c r="E646" s="606"/>
      <c r="F646" s="132"/>
      <c r="G646" s="608"/>
      <c r="H646" s="598"/>
      <c r="I646" s="600"/>
      <c r="J646" s="532"/>
      <c r="L646" s="130"/>
      <c r="N646" s="130"/>
      <c r="O646" s="130"/>
    </row>
    <row r="647" spans="1:17" ht="20.100000000000001" customHeight="1" x14ac:dyDescent="0.25">
      <c r="A647" s="130" t="str">
        <f t="shared" ca="1" si="792"/>
        <v>a16Dm000000LZZjIAO</v>
      </c>
      <c r="B647" s="601">
        <v>1</v>
      </c>
      <c r="C647" s="603" t="str">
        <f>IFERROR(VLOOKUP(B647,'Coverage Indicators - Section D'!$A$9:$AO$70,41,FALSE),"")</f>
        <v>KP-1a⁽ᴹ⁾ Percentage of men who have sex with men reached with HIV prevention programs - defined package of services</v>
      </c>
      <c r="D647" s="605" t="str">
        <f>M647</f>
        <v/>
      </c>
      <c r="E647" s="605" t="str">
        <f>N647</f>
        <v/>
      </c>
      <c r="F647" s="131"/>
      <c r="G647" s="607" t="str">
        <f ca="1">IF(OR(INDIRECT("'update Helper'!E"&amp;Q647)="",F647&lt;&gt;0,F648&lt;&gt;0),IF(IFERROR((F647/F648),"")="","",(F647/F648)),INDIRECT("'update Helper'!E"&amp;Q647)/100)</f>
        <v/>
      </c>
      <c r="H647" s="597"/>
      <c r="I647" s="599"/>
      <c r="J647" s="531"/>
      <c r="K647" s="130">
        <f>IF(AND(EXACT(C647,C645),C645&lt;&gt;0),K645+1,0)</f>
        <v>13</v>
      </c>
      <c r="L647" s="130" t="str">
        <f t="shared" ref="L647" si="815">IF(C647&lt;&gt;"",C647&amp;"-"&amp;K647,"")</f>
        <v>KP-1a⁽ᴹ⁾ Percentage of men who have sex with men reached with HIV prevention programs - defined package of services-13</v>
      </c>
      <c r="M647" s="130" t="str">
        <f t="array" ref="M647">IFERROR(IF(INDEX('Disaggregation Records'!$E$152:$E$513,MATCH(RIGHT(L647,255),RIGHT('Disaggregation Records'!$D$152:$D$513,255),0))="","",INDEX('Disaggregation Records'!$E$152:$E$513,MATCH(RIGHT(L647,255),RIGHT('Disaggregation Records'!$D$152:$D$513,255),0))),"")</f>
        <v/>
      </c>
      <c r="N647" s="130" t="str">
        <f t="array" ref="N647">IFERROR(IF(INDEX('Disaggregation Records'!$F$152:$F$513,MATCH(RIGHT(L647,255),RIGHT('Disaggregation Records'!$D$152:$D$513,255),0))="","",INDEX('Disaggregation Records'!$F$152:$F$513,MATCH(RIGHT(L647,255),RIGHT('Disaggregation Records'!$D$152:$D$513,255),0))),"")</f>
        <v/>
      </c>
      <c r="O647" s="130" t="str">
        <f t="array" ref="O647">IFERROR(IF(INDEX('Disaggregation Records'!$H$152:$H$513,MATCH(RIGHT(L647,255),RIGHT('Disaggregation Records'!$D$152:$D$513,255),0))="","",INDEX('Disaggregation Records'!$H$152:$H$513,MATCH(RIGHT(L647,255),RIGHT('Disaggregation Records'!$D$152:$D$513,255),0))),"")</f>
        <v/>
      </c>
      <c r="Q647" s="52">
        <f t="shared" ref="Q647" si="816">Q645+1</f>
        <v>1508</v>
      </c>
    </row>
    <row r="648" spans="1:17" ht="20.100000000000001" customHeight="1" x14ac:dyDescent="0.25">
      <c r="B648" s="602"/>
      <c r="C648" s="604"/>
      <c r="D648" s="606"/>
      <c r="E648" s="606"/>
      <c r="F648" s="132"/>
      <c r="G648" s="608"/>
      <c r="H648" s="598"/>
      <c r="I648" s="600"/>
      <c r="J648" s="532"/>
      <c r="L648" s="130"/>
      <c r="N648" s="130"/>
      <c r="O648" s="130"/>
    </row>
    <row r="649" spans="1:17" ht="20.100000000000001" customHeight="1" x14ac:dyDescent="0.25">
      <c r="A649" s="130" t="str">
        <f t="shared" ca="1" si="788"/>
        <v>a16Dm000000LZZkIAO</v>
      </c>
      <c r="B649" s="601">
        <v>1</v>
      </c>
      <c r="C649" s="603" t="str">
        <f>IFERROR(VLOOKUP(B649,'Coverage Indicators - Section D'!$A$9:$AO$70,41,FALSE),"")</f>
        <v>KP-1a⁽ᴹ⁾ Percentage of men who have sex with men reached with HIV prevention programs - defined package of services</v>
      </c>
      <c r="D649" s="605" t="str">
        <f>M649</f>
        <v/>
      </c>
      <c r="E649" s="605" t="str">
        <f>N649</f>
        <v/>
      </c>
      <c r="F649" s="131"/>
      <c r="G649" s="607" t="str">
        <f ca="1">IF(OR(INDIRECT("'update Helper'!E"&amp;Q649)="",F649&lt;&gt;0,F650&lt;&gt;0),IF(IFERROR((F649/F650),"")="","",(F649/F650)),INDIRECT("'update Helper'!E"&amp;Q649)/100)</f>
        <v/>
      </c>
      <c r="H649" s="597"/>
      <c r="I649" s="599"/>
      <c r="J649" s="531"/>
      <c r="K649" s="130">
        <f>IF(AND(EXACT(C649,C647),C647&lt;&gt;0),K647+1,0)</f>
        <v>14</v>
      </c>
      <c r="L649" s="130" t="str">
        <f t="shared" ref="L649" si="817">IF(C649&lt;&gt;"",C649&amp;"-"&amp;K649,"")</f>
        <v>KP-1a⁽ᴹ⁾ Percentage of men who have sex with men reached with HIV prevention programs - defined package of services-14</v>
      </c>
      <c r="M649" s="130" t="str">
        <f t="array" ref="M649">IFERROR(IF(INDEX('Disaggregation Records'!$E$152:$E$513,MATCH(RIGHT(L649,255),RIGHT('Disaggregation Records'!$D$152:$D$513,255),0))="","",INDEX('Disaggregation Records'!$E$152:$E$513,MATCH(RIGHT(L649,255),RIGHT('Disaggregation Records'!$D$152:$D$513,255),0))),"")</f>
        <v/>
      </c>
      <c r="N649" s="130" t="str">
        <f t="array" ref="N649">IFERROR(IF(INDEX('Disaggregation Records'!$F$152:$F$513,MATCH(RIGHT(L649,255),RIGHT('Disaggregation Records'!$D$152:$D$513,255),0))="","",INDEX('Disaggregation Records'!$F$152:$F$513,MATCH(RIGHT(L649,255),RIGHT('Disaggregation Records'!$D$152:$D$513,255),0))),"")</f>
        <v/>
      </c>
      <c r="O649" s="130" t="str">
        <f t="array" ref="O649">IFERROR(IF(INDEX('Disaggregation Records'!$H$152:$H$513,MATCH(RIGHT(L649,255),RIGHT('Disaggregation Records'!$D$152:$D$513,255),0))="","",INDEX('Disaggregation Records'!$H$152:$H$513,MATCH(RIGHT(L649,255),RIGHT('Disaggregation Records'!$D$152:$D$513,255),0))),"")</f>
        <v/>
      </c>
      <c r="Q649" s="52">
        <f t="shared" ref="Q649" si="818">Q647+1</f>
        <v>1509</v>
      </c>
    </row>
    <row r="650" spans="1:17" ht="20.100000000000001" customHeight="1" x14ac:dyDescent="0.25">
      <c r="A650" s="130"/>
      <c r="B650" s="602"/>
      <c r="C650" s="604"/>
      <c r="D650" s="606"/>
      <c r="E650" s="606"/>
      <c r="F650" s="132"/>
      <c r="G650" s="608"/>
      <c r="H650" s="598"/>
      <c r="I650" s="600"/>
      <c r="J650" s="532"/>
      <c r="L650" s="130"/>
      <c r="N650" s="130"/>
      <c r="O650" s="130"/>
    </row>
    <row r="651" spans="1:17" ht="20.100000000000001" customHeight="1" x14ac:dyDescent="0.25">
      <c r="A651" s="130" t="str">
        <f t="shared" ca="1" si="792"/>
        <v>a16Dm000000LZZlIAO</v>
      </c>
      <c r="B651" s="601">
        <v>1</v>
      </c>
      <c r="C651" s="603" t="str">
        <f>IFERROR(VLOOKUP(B651,'Coverage Indicators - Section D'!$A$9:$AO$70,41,FALSE),"")</f>
        <v>KP-1a⁽ᴹ⁾ Percentage of men who have sex with men reached with HIV prevention programs - defined package of services</v>
      </c>
      <c r="D651" s="605" t="str">
        <f>M651</f>
        <v/>
      </c>
      <c r="E651" s="605" t="str">
        <f>N651</f>
        <v/>
      </c>
      <c r="F651" s="131"/>
      <c r="G651" s="607" t="str">
        <f ca="1">IF(OR(INDIRECT("'update Helper'!E"&amp;Q651)="",F651&lt;&gt;0,F652&lt;&gt;0),IF(IFERROR((F651/F652),"")="","",(F651/F652)),INDIRECT("'update Helper'!E"&amp;Q651)/100)</f>
        <v/>
      </c>
      <c r="H651" s="597"/>
      <c r="I651" s="599"/>
      <c r="J651" s="531"/>
      <c r="K651" s="130">
        <f>IF(AND(EXACT(C651,C649),C649&lt;&gt;0),K649+1,0)</f>
        <v>15</v>
      </c>
      <c r="L651" s="130" t="str">
        <f t="shared" ref="L651" si="819">IF(C651&lt;&gt;"",C651&amp;"-"&amp;K651,"")</f>
        <v>KP-1a⁽ᴹ⁾ Percentage of men who have sex with men reached with HIV prevention programs - defined package of services-15</v>
      </c>
      <c r="M651" s="130" t="str">
        <f t="array" ref="M651">IFERROR(IF(INDEX('Disaggregation Records'!$E$152:$E$513,MATCH(RIGHT(L651,255),RIGHT('Disaggregation Records'!$D$152:$D$513,255),0))="","",INDEX('Disaggregation Records'!$E$152:$E$513,MATCH(RIGHT(L651,255),RIGHT('Disaggregation Records'!$D$152:$D$513,255),0))),"")</f>
        <v/>
      </c>
      <c r="N651" s="130" t="str">
        <f t="array" ref="N651">IFERROR(IF(INDEX('Disaggregation Records'!$F$152:$F$513,MATCH(RIGHT(L651,255),RIGHT('Disaggregation Records'!$D$152:$D$513,255),0))="","",INDEX('Disaggregation Records'!$F$152:$F$513,MATCH(RIGHT(L651,255),RIGHT('Disaggregation Records'!$D$152:$D$513,255),0))),"")</f>
        <v/>
      </c>
      <c r="O651" s="130" t="str">
        <f t="array" ref="O651">IFERROR(IF(INDEX('Disaggregation Records'!$H$152:$H$513,MATCH(RIGHT(L651,255),RIGHT('Disaggregation Records'!$D$152:$D$513,255),0))="","",INDEX('Disaggregation Records'!$H$152:$H$513,MATCH(RIGHT(L651,255),RIGHT('Disaggregation Records'!$D$152:$D$513,255),0))),"")</f>
        <v/>
      </c>
      <c r="P651" s="130"/>
      <c r="Q651" s="52">
        <f t="shared" ref="Q651" si="820">Q649+1</f>
        <v>1510</v>
      </c>
    </row>
    <row r="652" spans="1:17" ht="20.100000000000001" customHeight="1" x14ac:dyDescent="0.25">
      <c r="B652" s="602"/>
      <c r="C652" s="604"/>
      <c r="D652" s="606"/>
      <c r="E652" s="606"/>
      <c r="F652" s="132"/>
      <c r="G652" s="608"/>
      <c r="H652" s="598"/>
      <c r="I652" s="600"/>
      <c r="J652" s="532"/>
      <c r="K652" s="130"/>
      <c r="L652" s="130"/>
      <c r="M652" s="130"/>
      <c r="N652" s="130"/>
      <c r="O652" s="130"/>
      <c r="P652" s="130"/>
    </row>
    <row r="653" spans="1:17" ht="20.100000000000001" customHeight="1" x14ac:dyDescent="0.25">
      <c r="A653" s="130" t="str">
        <f t="shared" ca="1" si="788"/>
        <v>a16Dm000000LZZmIAO</v>
      </c>
      <c r="B653" s="601">
        <v>1</v>
      </c>
      <c r="C653" s="603" t="str">
        <f>IFERROR(VLOOKUP(B653,'Coverage Indicators - Section D'!$A$9:$AO$70,41,FALSE),"")</f>
        <v>KP-1a⁽ᴹ⁾ Percentage of men who have sex with men reached with HIV prevention programs - defined package of services</v>
      </c>
      <c r="D653" s="605" t="str">
        <f>M653</f>
        <v/>
      </c>
      <c r="E653" s="605" t="str">
        <f>N653</f>
        <v/>
      </c>
      <c r="F653" s="131"/>
      <c r="G653" s="607" t="str">
        <f ca="1">IF(OR(INDIRECT("'update Helper'!E"&amp;Q653)="",F653&lt;&gt;0,F654&lt;&gt;0),IF(IFERROR((F653/F654),"")="","",(F653/F654)),INDIRECT("'update Helper'!E"&amp;Q653)/100)</f>
        <v/>
      </c>
      <c r="H653" s="597"/>
      <c r="I653" s="599"/>
      <c r="J653" s="531"/>
      <c r="K653" s="130">
        <f>IF(AND(EXACT(C653,C651),C651&lt;&gt;0),K651+1,0)</f>
        <v>16</v>
      </c>
      <c r="L653" s="130" t="str">
        <f t="shared" ref="L653" si="821">IF(C653&lt;&gt;"",C653&amp;"-"&amp;K653,"")</f>
        <v>KP-1a⁽ᴹ⁾ Percentage of men who have sex with men reached with HIV prevention programs - defined package of services-16</v>
      </c>
      <c r="M653" s="130" t="str">
        <f t="array" ref="M653">IFERROR(IF(INDEX('Disaggregation Records'!$E$152:$E$513,MATCH(RIGHT(L653,255),RIGHT('Disaggregation Records'!$D$152:$D$513,255),0))="","",INDEX('Disaggregation Records'!$E$152:$E$513,MATCH(RIGHT(L653,255),RIGHT('Disaggregation Records'!$D$152:$D$513,255),0))),"")</f>
        <v/>
      </c>
      <c r="N653" s="130" t="str">
        <f t="array" ref="N653">IFERROR(IF(INDEX('Disaggregation Records'!$F$152:$F$513,MATCH(RIGHT(L653,255),RIGHT('Disaggregation Records'!$D$152:$D$513,255),0))="","",INDEX('Disaggregation Records'!$F$152:$F$513,MATCH(RIGHT(L653,255),RIGHT('Disaggregation Records'!$D$152:$D$513,255),0))),"")</f>
        <v/>
      </c>
      <c r="O653" s="130" t="str">
        <f t="array" ref="O653">IFERROR(IF(INDEX('Disaggregation Records'!$H$152:$H$513,MATCH(RIGHT(L653,255),RIGHT('Disaggregation Records'!$D$152:$D$513,255),0))="","",INDEX('Disaggregation Records'!$H$152:$H$513,MATCH(RIGHT(L653,255),RIGHT('Disaggregation Records'!$D$152:$D$513,255),0))),"")</f>
        <v/>
      </c>
      <c r="P653" s="130"/>
      <c r="Q653" s="52">
        <f t="shared" ref="Q653" si="822">Q651+1</f>
        <v>1511</v>
      </c>
    </row>
    <row r="654" spans="1:17" ht="20.100000000000001" customHeight="1" x14ac:dyDescent="0.25">
      <c r="A654" s="130"/>
      <c r="B654" s="602"/>
      <c r="C654" s="604"/>
      <c r="D654" s="606"/>
      <c r="E654" s="606"/>
      <c r="F654" s="132"/>
      <c r="G654" s="608"/>
      <c r="H654" s="598"/>
      <c r="I654" s="600"/>
      <c r="J654" s="532"/>
      <c r="K654" s="130"/>
      <c r="L654" s="130"/>
      <c r="M654" s="130"/>
      <c r="N654" s="130"/>
      <c r="O654" s="130"/>
      <c r="P654" s="130"/>
    </row>
    <row r="655" spans="1:17" ht="20.100000000000001" customHeight="1" x14ac:dyDescent="0.25">
      <c r="A655" s="130" t="str">
        <f t="shared" ca="1" si="792"/>
        <v>a16Dm000000LZZnIAO</v>
      </c>
      <c r="B655" s="601">
        <v>1</v>
      </c>
      <c r="C655" s="603" t="str">
        <f>IFERROR(VLOOKUP(B655,'Coverage Indicators - Section D'!$A$9:$AO$70,41,FALSE),"")</f>
        <v>KP-1a⁽ᴹ⁾ Percentage of men who have sex with men reached with HIV prevention programs - defined package of services</v>
      </c>
      <c r="D655" s="605" t="str">
        <f>M655</f>
        <v/>
      </c>
      <c r="E655" s="605" t="str">
        <f>N655</f>
        <v/>
      </c>
      <c r="F655" s="131"/>
      <c r="G655" s="607" t="str">
        <f ca="1">IF(OR(INDIRECT("'update Helper'!E"&amp;Q655)="",F655&lt;&gt;0,F656&lt;&gt;0),IF(IFERROR((F655/F656),"")="","",(F655/F656)),INDIRECT("'update Helper'!E"&amp;Q655)/100)</f>
        <v/>
      </c>
      <c r="H655" s="597"/>
      <c r="I655" s="599"/>
      <c r="J655" s="531"/>
      <c r="K655" s="130">
        <f>IF(AND(EXACT(C655,C653),C653&lt;&gt;0),K653+1,0)</f>
        <v>17</v>
      </c>
      <c r="L655" s="130" t="str">
        <f t="shared" ref="L655" si="823">IF(C655&lt;&gt;"",C655&amp;"-"&amp;K655,"")</f>
        <v>KP-1a⁽ᴹ⁾ Percentage of men who have sex with men reached with HIV prevention programs - defined package of services-17</v>
      </c>
      <c r="M655" s="130" t="str">
        <f t="array" ref="M655">IFERROR(IF(INDEX('Disaggregation Records'!$E$152:$E$513,MATCH(RIGHT(L655,255),RIGHT('Disaggregation Records'!$D$152:$D$513,255),0))="","",INDEX('Disaggregation Records'!$E$152:$E$513,MATCH(RIGHT(L655,255),RIGHT('Disaggregation Records'!$D$152:$D$513,255),0))),"")</f>
        <v/>
      </c>
      <c r="N655" s="130" t="str">
        <f t="array" ref="N655">IFERROR(IF(INDEX('Disaggregation Records'!$F$152:$F$513,MATCH(RIGHT(L655,255),RIGHT('Disaggregation Records'!$D$152:$D$513,255),0))="","",INDEX('Disaggregation Records'!$F$152:$F$513,MATCH(RIGHT(L655,255),RIGHT('Disaggregation Records'!$D$152:$D$513,255),0))),"")</f>
        <v/>
      </c>
      <c r="O655" s="130" t="str">
        <f t="array" ref="O655">IFERROR(IF(INDEX('Disaggregation Records'!$H$152:$H$513,MATCH(RIGHT(L655,255),RIGHT('Disaggregation Records'!$D$152:$D$513,255),0))="","",INDEX('Disaggregation Records'!$H$152:$H$513,MATCH(RIGHT(L655,255),RIGHT('Disaggregation Records'!$D$152:$D$513,255),0))),"")</f>
        <v/>
      </c>
      <c r="Q655" s="52">
        <f t="shared" ref="Q655" si="824">Q653+1</f>
        <v>1512</v>
      </c>
    </row>
    <row r="656" spans="1:17" ht="20.100000000000001" customHeight="1" x14ac:dyDescent="0.25">
      <c r="B656" s="602"/>
      <c r="C656" s="604"/>
      <c r="D656" s="606"/>
      <c r="E656" s="606"/>
      <c r="F656" s="132"/>
      <c r="G656" s="608"/>
      <c r="H656" s="598"/>
      <c r="I656" s="600"/>
      <c r="J656" s="532"/>
      <c r="L656" s="130"/>
      <c r="N656" s="130"/>
      <c r="O656" s="130"/>
    </row>
    <row r="657" spans="1:17" ht="20.100000000000001" customHeight="1" x14ac:dyDescent="0.25">
      <c r="A657" s="130" t="str">
        <f t="shared" ca="1" si="788"/>
        <v>a16Dm000000LZZoIAO</v>
      </c>
      <c r="B657" s="601">
        <v>1</v>
      </c>
      <c r="C657" s="603" t="str">
        <f>IFERROR(VLOOKUP(B657,'Coverage Indicators - Section D'!$A$9:$AO$70,41,FALSE),"")</f>
        <v>KP-1a⁽ᴹ⁾ Percentage of men who have sex with men reached with HIV prevention programs - defined package of services</v>
      </c>
      <c r="D657" s="605" t="str">
        <f>M657</f>
        <v/>
      </c>
      <c r="E657" s="605" t="str">
        <f>N657</f>
        <v/>
      </c>
      <c r="F657" s="131"/>
      <c r="G657" s="607" t="str">
        <f ca="1">IF(OR(INDIRECT("'update Helper'!E"&amp;Q657)="",F657&lt;&gt;0,F658&lt;&gt;0),IF(IFERROR((F657/F658),"")="","",(F657/F658)),INDIRECT("'update Helper'!E"&amp;Q657)/100)</f>
        <v/>
      </c>
      <c r="H657" s="597"/>
      <c r="I657" s="599"/>
      <c r="J657" s="531"/>
      <c r="K657" s="130">
        <f>IF(AND(EXACT(C657,C655),C655&lt;&gt;0),K655+1,0)</f>
        <v>18</v>
      </c>
      <c r="L657" s="130" t="str">
        <f t="shared" ref="L657" si="825">IF(C657&lt;&gt;"",C657&amp;"-"&amp;K657,"")</f>
        <v>KP-1a⁽ᴹ⁾ Percentage of men who have sex with men reached with HIV prevention programs - defined package of services-18</v>
      </c>
      <c r="M657" s="130" t="str">
        <f t="array" ref="M657">IFERROR(IF(INDEX('Disaggregation Records'!$E$152:$E$513,MATCH(RIGHT(L657,255),RIGHT('Disaggregation Records'!$D$152:$D$513,255),0))="","",INDEX('Disaggregation Records'!$E$152:$E$513,MATCH(RIGHT(L657,255),RIGHT('Disaggregation Records'!$D$152:$D$513,255),0))),"")</f>
        <v/>
      </c>
      <c r="N657" s="130" t="str">
        <f t="array" ref="N657">IFERROR(IF(INDEX('Disaggregation Records'!$F$152:$F$513,MATCH(RIGHT(L657,255),RIGHT('Disaggregation Records'!$D$152:$D$513,255),0))="","",INDEX('Disaggregation Records'!$F$152:$F$513,MATCH(RIGHT(L657,255),RIGHT('Disaggregation Records'!$D$152:$D$513,255),0))),"")</f>
        <v/>
      </c>
      <c r="O657" s="130" t="str">
        <f t="array" ref="O657">IFERROR(IF(INDEX('Disaggregation Records'!$H$152:$H$513,MATCH(RIGHT(L657,255),RIGHT('Disaggregation Records'!$D$152:$D$513,255),0))="","",INDEX('Disaggregation Records'!$H$152:$H$513,MATCH(RIGHT(L657,255),RIGHT('Disaggregation Records'!$D$152:$D$513,255),0))),"")</f>
        <v/>
      </c>
      <c r="Q657" s="52">
        <f t="shared" ref="Q657" si="826">Q655+1</f>
        <v>1513</v>
      </c>
    </row>
    <row r="658" spans="1:17" ht="20.100000000000001" customHeight="1" x14ac:dyDescent="0.25">
      <c r="A658" s="130"/>
      <c r="B658" s="602"/>
      <c r="C658" s="604"/>
      <c r="D658" s="606"/>
      <c r="E658" s="606"/>
      <c r="F658" s="132"/>
      <c r="G658" s="608"/>
      <c r="H658" s="598"/>
      <c r="I658" s="600"/>
      <c r="J658" s="532"/>
      <c r="L658" s="130"/>
      <c r="N658" s="130"/>
      <c r="O658" s="130"/>
    </row>
    <row r="659" spans="1:17" ht="20.100000000000001" customHeight="1" x14ac:dyDescent="0.25">
      <c r="A659" s="130" t="str">
        <f t="shared" ca="1" si="792"/>
        <v>a16Dm000000LZZpIAO</v>
      </c>
      <c r="B659" s="601">
        <v>1</v>
      </c>
      <c r="C659" s="603" t="str">
        <f>IFERROR(VLOOKUP(B659,'Coverage Indicators - Section D'!$A$9:$AO$70,41,FALSE),"")</f>
        <v>KP-1a⁽ᴹ⁾ Percentage of men who have sex with men reached with HIV prevention programs - defined package of services</v>
      </c>
      <c r="D659" s="605" t="str">
        <f>M659</f>
        <v/>
      </c>
      <c r="E659" s="605" t="str">
        <f>N659</f>
        <v/>
      </c>
      <c r="F659" s="131"/>
      <c r="G659" s="607" t="str">
        <f ca="1">IF(OR(INDIRECT("'update Helper'!E"&amp;Q659)="",F659&lt;&gt;0,F660&lt;&gt;0),IF(IFERROR((F659/F660),"")="","",(F659/F660)),INDIRECT("'update Helper'!E"&amp;Q659)/100)</f>
        <v/>
      </c>
      <c r="H659" s="597"/>
      <c r="I659" s="599"/>
      <c r="J659" s="531"/>
      <c r="K659" s="130">
        <f>IF(AND(EXACT(C659,C657),C657&lt;&gt;0),K657+1,0)</f>
        <v>19</v>
      </c>
      <c r="L659" s="130" t="str">
        <f t="shared" ref="L659" si="827">IF(C659&lt;&gt;"",C659&amp;"-"&amp;K659,"")</f>
        <v>KP-1a⁽ᴹ⁾ Percentage of men who have sex with men reached with HIV prevention programs - defined package of services-19</v>
      </c>
      <c r="M659" s="130" t="str">
        <f t="array" ref="M659">IFERROR(IF(INDEX('Disaggregation Records'!$E$152:$E$513,MATCH(RIGHT(L659,255),RIGHT('Disaggregation Records'!$D$152:$D$513,255),0))="","",INDEX('Disaggregation Records'!$E$152:$E$513,MATCH(RIGHT(L659,255),RIGHT('Disaggregation Records'!$D$152:$D$513,255),0))),"")</f>
        <v/>
      </c>
      <c r="N659" s="130" t="str">
        <f t="array" ref="N659">IFERROR(IF(INDEX('Disaggregation Records'!$F$152:$F$513,MATCH(RIGHT(L659,255),RIGHT('Disaggregation Records'!$D$152:$D$513,255),0))="","",INDEX('Disaggregation Records'!$F$152:$F$513,MATCH(RIGHT(L659,255),RIGHT('Disaggregation Records'!$D$152:$D$513,255),0))),"")</f>
        <v/>
      </c>
      <c r="O659" s="130" t="str">
        <f t="array" ref="O659">IFERROR(IF(INDEX('Disaggregation Records'!$H$152:$H$513,MATCH(RIGHT(L659,255),RIGHT('Disaggregation Records'!$D$152:$D$513,255),0))="","",INDEX('Disaggregation Records'!$H$152:$H$513,MATCH(RIGHT(L659,255),RIGHT('Disaggregation Records'!$D$152:$D$513,255),0))),"")</f>
        <v/>
      </c>
      <c r="Q659" s="52">
        <f t="shared" ref="Q659" si="828">Q657+1</f>
        <v>1514</v>
      </c>
    </row>
    <row r="660" spans="1:17" ht="20.100000000000001" customHeight="1" x14ac:dyDescent="0.25">
      <c r="B660" s="602"/>
      <c r="C660" s="604"/>
      <c r="D660" s="606"/>
      <c r="E660" s="606"/>
      <c r="F660" s="132"/>
      <c r="G660" s="608"/>
      <c r="H660" s="598"/>
      <c r="I660" s="600"/>
      <c r="J660" s="532"/>
      <c r="L660" s="130"/>
      <c r="N660" s="130"/>
      <c r="O660" s="130"/>
    </row>
    <row r="661" spans="1:17" ht="23.25" customHeight="1" x14ac:dyDescent="0.25">
      <c r="A661" s="130" t="str">
        <f t="shared" ca="1" si="788"/>
        <v>a16Dm000000LZZqIAO</v>
      </c>
      <c r="B661" s="601">
        <v>2</v>
      </c>
      <c r="C661" s="603" t="str">
        <f>IFERROR(VLOOKUP(B661,'Coverage Indicators - Section D'!$A$9:$AO$70,41,FALSE),"")</f>
        <v>KP-1c⁽ᴹ⁾ Percentage of sex workers reached with HIV prevention programs - defined package of services</v>
      </c>
      <c r="D661" s="605" t="str">
        <f>M661</f>
        <v>Age</v>
      </c>
      <c r="E661" s="605" t="str">
        <f>N661</f>
        <v>25+</v>
      </c>
      <c r="F661" s="131">
        <v>4014</v>
      </c>
      <c r="G661" s="615" t="str">
        <f ca="1">IF(OR(INDIRECT("'update Helper'!E"&amp;Q661)="",F661&lt;&gt;0,F662&lt;&gt;0),IF(IFERROR((F661/F662),"")="","",(F661/F662)),INDIRECT("'update Helper'!E"&amp;Q661)/100)</f>
        <v/>
      </c>
      <c r="H661" s="597">
        <v>2022</v>
      </c>
      <c r="I661" s="599" t="s">
        <v>2239</v>
      </c>
      <c r="J661" s="531" t="s">
        <v>2241</v>
      </c>
      <c r="K661" s="130">
        <f>IF(AND(EXACT(C661,C659),C659&lt;&gt;0),K659+1,0)</f>
        <v>0</v>
      </c>
      <c r="L661" s="130" t="str">
        <f t="shared" ref="L661" si="829">IF(C661&lt;&gt;"",C661&amp;"-"&amp;K661,"")</f>
        <v>KP-1c⁽ᴹ⁾ Percentage of sex workers reached with HIV prevention programs - defined package of services-0</v>
      </c>
      <c r="M661" s="130" t="str">
        <f t="array" ref="M661">IFERROR(IF(INDEX('Disaggregation Records'!$E$152:$E$513,MATCH(RIGHT(L661,255),RIGHT('Disaggregation Records'!$D$152:$D$513,255),0))="","",INDEX('Disaggregation Records'!$E$152:$E$513,MATCH(RIGHT(L661,255),RIGHT('Disaggregation Records'!$D$152:$D$513,255),0))),"")</f>
        <v>Age</v>
      </c>
      <c r="N661" s="130" t="str">
        <f t="array" ref="N661">IFERROR(IF(INDEX('Disaggregation Records'!$F$152:$F$513,MATCH(RIGHT(L661,255),RIGHT('Disaggregation Records'!$D$152:$D$513,255),0))="","",INDEX('Disaggregation Records'!$F$152:$F$513,MATCH(RIGHT(L661,255),RIGHT('Disaggregation Records'!$D$152:$D$513,255),0))),"")</f>
        <v>25+</v>
      </c>
      <c r="O661" s="130" t="str">
        <f t="array" ref="O661">IFERROR(IF(INDEX('Disaggregation Records'!$H$152:$H$513,MATCH(RIGHT(L661,255),RIGHT('Disaggregation Records'!$D$152:$D$513,255),0))="","",INDEX('Disaggregation Records'!$H$152:$H$513,MATCH(RIGHT(L661,255),RIGHT('Disaggregation Records'!$D$152:$D$513,255),0))),"")</f>
        <v>IDR-01202</v>
      </c>
      <c r="P661" s="130"/>
      <c r="Q661" s="52">
        <f t="shared" ref="Q661" si="830">Q659+1</f>
        <v>1515</v>
      </c>
    </row>
    <row r="662" spans="1:17" ht="30" customHeight="1" x14ac:dyDescent="0.25">
      <c r="A662" s="130"/>
      <c r="B662" s="602"/>
      <c r="C662" s="604"/>
      <c r="D662" s="606"/>
      <c r="E662" s="606"/>
      <c r="F662" s="132"/>
      <c r="G662" s="616"/>
      <c r="H662" s="598"/>
      <c r="I662" s="600"/>
      <c r="J662" s="532"/>
      <c r="K662" s="130"/>
      <c r="L662" s="130"/>
      <c r="M662" s="130"/>
      <c r="N662" s="130"/>
      <c r="O662" s="130"/>
      <c r="P662" s="130"/>
    </row>
    <row r="663" spans="1:17" ht="20.100000000000001" customHeight="1" x14ac:dyDescent="0.25">
      <c r="A663" s="130" t="str">
        <f t="shared" ca="1" si="792"/>
        <v>a16Dm000000LZZrIAO</v>
      </c>
      <c r="B663" s="601">
        <v>2</v>
      </c>
      <c r="C663" s="603" t="str">
        <f>IFERROR(VLOOKUP(B663,'Coverage Indicators - Section D'!$A$9:$AO$70,41,FALSE),"")</f>
        <v>KP-1c⁽ᴹ⁾ Percentage of sex workers reached with HIV prevention programs - defined package of services</v>
      </c>
      <c r="D663" s="605" t="str">
        <f>M663</f>
        <v>Age</v>
      </c>
      <c r="E663" s="605" t="str">
        <f>N663</f>
        <v>20-24</v>
      </c>
      <c r="F663" s="131">
        <v>558</v>
      </c>
      <c r="G663" s="615" t="str">
        <f ca="1">IF(OR(INDIRECT("'update Helper'!E"&amp;Q663)="",F663&lt;&gt;0,F664&lt;&gt;0),IF(IFERROR((F663/F664),"")="","",(F663/F664)),INDIRECT("'update Helper'!E"&amp;Q663)/100)</f>
        <v/>
      </c>
      <c r="H663" s="597">
        <v>2022</v>
      </c>
      <c r="I663" s="599" t="s">
        <v>2239</v>
      </c>
      <c r="J663" s="531" t="s">
        <v>2241</v>
      </c>
      <c r="K663" s="130">
        <f>IF(AND(EXACT(C663,C661),C661&lt;&gt;0),K661+1,0)</f>
        <v>1</v>
      </c>
      <c r="L663" s="130" t="str">
        <f t="shared" ref="L663" si="831">IF(C663&lt;&gt;"",C663&amp;"-"&amp;K663,"")</f>
        <v>KP-1c⁽ᴹ⁾ Percentage of sex workers reached with HIV prevention programs - defined package of services-1</v>
      </c>
      <c r="M663" s="130" t="str">
        <f t="array" ref="M663">IFERROR(IF(INDEX('Disaggregation Records'!$E$152:$E$513,MATCH(RIGHT(L663,255),RIGHT('Disaggregation Records'!$D$152:$D$513,255),0))="","",INDEX('Disaggregation Records'!$E$152:$E$513,MATCH(RIGHT(L663,255),RIGHT('Disaggregation Records'!$D$152:$D$513,255),0))),"")</f>
        <v>Age</v>
      </c>
      <c r="N663" s="130" t="str">
        <f t="array" ref="N663">IFERROR(IF(INDEX('Disaggregation Records'!$F$152:$F$513,MATCH(RIGHT(L663,255),RIGHT('Disaggregation Records'!$D$152:$D$513,255),0))="","",INDEX('Disaggregation Records'!$F$152:$F$513,MATCH(RIGHT(L663,255),RIGHT('Disaggregation Records'!$D$152:$D$513,255),0))),"")</f>
        <v>20-24</v>
      </c>
      <c r="O663" s="130" t="str">
        <f t="array" ref="O663">IFERROR(IF(INDEX('Disaggregation Records'!$H$152:$H$513,MATCH(RIGHT(L663,255),RIGHT('Disaggregation Records'!$D$152:$D$513,255),0))="","",INDEX('Disaggregation Records'!$H$152:$H$513,MATCH(RIGHT(L663,255),RIGHT('Disaggregation Records'!$D$152:$D$513,255),0))),"")</f>
        <v>IDR-01201</v>
      </c>
      <c r="P663" s="130"/>
      <c r="Q663" s="52">
        <f t="shared" ref="Q663" si="832">Q661+1</f>
        <v>1516</v>
      </c>
    </row>
    <row r="664" spans="1:17" ht="34.5" customHeight="1" x14ac:dyDescent="0.25">
      <c r="B664" s="602"/>
      <c r="C664" s="604"/>
      <c r="D664" s="606"/>
      <c r="E664" s="606"/>
      <c r="F664" s="132"/>
      <c r="G664" s="616"/>
      <c r="H664" s="598"/>
      <c r="I664" s="600"/>
      <c r="J664" s="532"/>
      <c r="K664" s="130"/>
      <c r="L664" s="130"/>
      <c r="M664" s="130"/>
      <c r="N664" s="130"/>
      <c r="O664" s="130"/>
      <c r="P664" s="130"/>
    </row>
    <row r="665" spans="1:17" ht="20.100000000000001" customHeight="1" x14ac:dyDescent="0.25">
      <c r="A665" s="130" t="str">
        <f t="shared" ca="1" si="788"/>
        <v>a16Dm000000LZZsIAO</v>
      </c>
      <c r="B665" s="601">
        <v>2</v>
      </c>
      <c r="C665" s="603" t="str">
        <f>IFERROR(VLOOKUP(B665,'Coverage Indicators - Section D'!$A$9:$AO$70,41,FALSE),"")</f>
        <v>KP-1c⁽ᴹ⁾ Percentage of sex workers reached with HIV prevention programs - defined package of services</v>
      </c>
      <c r="D665" s="605" t="str">
        <f>M665</f>
        <v>Age</v>
      </c>
      <c r="E665" s="605" t="str">
        <f>N665</f>
        <v>15-19</v>
      </c>
      <c r="F665" s="131">
        <v>53</v>
      </c>
      <c r="G665" s="615" t="str">
        <f ca="1">IF(OR(INDIRECT("'update Helper'!E"&amp;Q665)="",F665&lt;&gt;0,F666&lt;&gt;0),IF(IFERROR((F665/F666),"")="","",(F665/F666)),INDIRECT("'update Helper'!E"&amp;Q665)/100)</f>
        <v/>
      </c>
      <c r="H665" s="597">
        <v>2022</v>
      </c>
      <c r="I665" s="599" t="s">
        <v>2239</v>
      </c>
      <c r="J665" s="531" t="s">
        <v>2241</v>
      </c>
      <c r="K665" s="130">
        <f>IF(AND(EXACT(C665,C663),C663&lt;&gt;0),K663+1,0)</f>
        <v>2</v>
      </c>
      <c r="L665" s="130" t="str">
        <f t="shared" ref="L665" si="833">IF(C665&lt;&gt;"",C665&amp;"-"&amp;K665,"")</f>
        <v>KP-1c⁽ᴹ⁾ Percentage of sex workers reached with HIV prevention programs - defined package of services-2</v>
      </c>
      <c r="M665" s="130" t="str">
        <f t="array" ref="M665">IFERROR(IF(INDEX('Disaggregation Records'!$E$152:$E$513,MATCH(RIGHT(L665,255),RIGHT('Disaggregation Records'!$D$152:$D$513,255),0))="","",INDEX('Disaggregation Records'!$E$152:$E$513,MATCH(RIGHT(L665,255),RIGHT('Disaggregation Records'!$D$152:$D$513,255),0))),"")</f>
        <v>Age</v>
      </c>
      <c r="N665" s="130" t="str">
        <f t="array" ref="N665">IFERROR(IF(INDEX('Disaggregation Records'!$F$152:$F$513,MATCH(RIGHT(L665,255),RIGHT('Disaggregation Records'!$D$152:$D$513,255),0))="","",INDEX('Disaggregation Records'!$F$152:$F$513,MATCH(RIGHT(L665,255),RIGHT('Disaggregation Records'!$D$152:$D$513,255),0))),"")</f>
        <v>15-19</v>
      </c>
      <c r="O665" s="130" t="str">
        <f t="array" ref="O665">IFERROR(IF(INDEX('Disaggregation Records'!$H$152:$H$513,MATCH(RIGHT(L665,255),RIGHT('Disaggregation Records'!$D$152:$D$513,255),0))="","",INDEX('Disaggregation Records'!$H$152:$H$513,MATCH(RIGHT(L665,255),RIGHT('Disaggregation Records'!$D$152:$D$513,255),0))),"")</f>
        <v>IDR-01200</v>
      </c>
      <c r="Q665" s="52">
        <f t="shared" ref="Q665" si="834">Q663+1</f>
        <v>1517</v>
      </c>
    </row>
    <row r="666" spans="1:17" ht="30" customHeight="1" x14ac:dyDescent="0.25">
      <c r="A666" s="130"/>
      <c r="B666" s="602"/>
      <c r="C666" s="604"/>
      <c r="D666" s="606"/>
      <c r="E666" s="606"/>
      <c r="F666" s="132"/>
      <c r="G666" s="616"/>
      <c r="H666" s="598"/>
      <c r="I666" s="600"/>
      <c r="J666" s="532"/>
      <c r="L666" s="130"/>
      <c r="N666" s="130"/>
      <c r="O666" s="130"/>
    </row>
    <row r="667" spans="1:17" ht="20.100000000000001" customHeight="1" x14ac:dyDescent="0.25">
      <c r="A667" s="130" t="str">
        <f t="shared" ca="1" si="792"/>
        <v>a16Dm000000LZZtIAO</v>
      </c>
      <c r="B667" s="601">
        <v>2</v>
      </c>
      <c r="C667" s="603" t="str">
        <f>IFERROR(VLOOKUP(B667,'Coverage Indicators - Section D'!$A$9:$AO$70,41,FALSE),"")</f>
        <v>KP-1c⁽ᴹ⁾ Percentage of sex workers reached with HIV prevention programs - defined package of services</v>
      </c>
      <c r="D667" s="605" t="str">
        <f>M667</f>
        <v>Gender</v>
      </c>
      <c r="E667" s="605" t="str">
        <f>N667</f>
        <v>Transgender</v>
      </c>
      <c r="F667" s="131">
        <v>18</v>
      </c>
      <c r="G667" s="615" t="str">
        <f ca="1">IF(OR(INDIRECT("'update Helper'!E"&amp;Q667)="",F667&lt;&gt;0,F668&lt;&gt;0),IF(IFERROR((F667/F668),"")="","",(F667/F668)),INDIRECT("'update Helper'!E"&amp;Q667)/100)</f>
        <v/>
      </c>
      <c r="H667" s="597">
        <v>2022</v>
      </c>
      <c r="I667" s="599" t="s">
        <v>2239</v>
      </c>
      <c r="J667" s="531" t="s">
        <v>2241</v>
      </c>
      <c r="K667" s="130">
        <f>IF(AND(EXACT(C667,C665),C665&lt;&gt;0),K665+1,0)</f>
        <v>3</v>
      </c>
      <c r="L667" s="130" t="str">
        <f t="shared" ref="L667" si="835">IF(C667&lt;&gt;"",C667&amp;"-"&amp;K667,"")</f>
        <v>KP-1c⁽ᴹ⁾ Percentage of sex workers reached with HIV prevention programs - defined package of services-3</v>
      </c>
      <c r="M667" s="130" t="str">
        <f t="array" ref="M667">IFERROR(IF(INDEX('Disaggregation Records'!$E$152:$E$513,MATCH(RIGHT(L667,255),RIGHT('Disaggregation Records'!$D$152:$D$513,255),0))="","",INDEX('Disaggregation Records'!$E$152:$E$513,MATCH(RIGHT(L667,255),RIGHT('Disaggregation Records'!$D$152:$D$513,255),0))),"")</f>
        <v>Gender</v>
      </c>
      <c r="N667" s="130" t="str">
        <f t="array" ref="N667">IFERROR(IF(INDEX('Disaggregation Records'!$F$152:$F$513,MATCH(RIGHT(L667,255),RIGHT('Disaggregation Records'!$D$152:$D$513,255),0))="","",INDEX('Disaggregation Records'!$F$152:$F$513,MATCH(RIGHT(L667,255),RIGHT('Disaggregation Records'!$D$152:$D$513,255),0))),"")</f>
        <v>Transgender</v>
      </c>
      <c r="O667" s="130" t="str">
        <f t="array" ref="O667">IFERROR(IF(INDEX('Disaggregation Records'!$H$152:$H$513,MATCH(RIGHT(L667,255),RIGHT('Disaggregation Records'!$D$152:$D$513,255),0))="","",INDEX('Disaggregation Records'!$H$152:$H$513,MATCH(RIGHT(L667,255),RIGHT('Disaggregation Records'!$D$152:$D$513,255),0))),"")</f>
        <v>IDR-01199</v>
      </c>
      <c r="Q667" s="52">
        <f t="shared" ref="Q667" si="836">Q665+1</f>
        <v>1518</v>
      </c>
    </row>
    <row r="668" spans="1:17" ht="33.75" customHeight="1" x14ac:dyDescent="0.25">
      <c r="B668" s="602"/>
      <c r="C668" s="604"/>
      <c r="D668" s="606"/>
      <c r="E668" s="606"/>
      <c r="F668" s="132"/>
      <c r="G668" s="616"/>
      <c r="H668" s="598"/>
      <c r="I668" s="600"/>
      <c r="J668" s="532"/>
      <c r="L668" s="130"/>
      <c r="N668" s="130"/>
      <c r="O668" s="130"/>
    </row>
    <row r="669" spans="1:17" ht="20.100000000000001" customHeight="1" x14ac:dyDescent="0.25">
      <c r="A669" s="130" t="str">
        <f t="shared" ca="1" si="788"/>
        <v>a16Dm000000LZZuIAO</v>
      </c>
      <c r="B669" s="601">
        <v>2</v>
      </c>
      <c r="C669" s="603" t="str">
        <f>IFERROR(VLOOKUP(B669,'Coverage Indicators - Section D'!$A$9:$AO$70,41,FALSE),"")</f>
        <v>KP-1c⁽ᴹ⁾ Percentage of sex workers reached with HIV prevention programs - defined package of services</v>
      </c>
      <c r="D669" s="605" t="str">
        <f>M669</f>
        <v>Gender</v>
      </c>
      <c r="E669" s="605" t="str">
        <f>N669</f>
        <v>Male</v>
      </c>
      <c r="F669" s="131">
        <v>21</v>
      </c>
      <c r="G669" s="615" t="str">
        <f ca="1">IF(OR(INDIRECT("'update Helper'!E"&amp;Q669)="",F669&lt;&gt;0,F670&lt;&gt;0),IF(IFERROR((F669/F670),"")="","",(F669/F670)),INDIRECT("'update Helper'!E"&amp;Q669)/100)</f>
        <v/>
      </c>
      <c r="H669" s="597">
        <v>2022</v>
      </c>
      <c r="I669" s="599" t="s">
        <v>2239</v>
      </c>
      <c r="J669" s="531" t="s">
        <v>2241</v>
      </c>
      <c r="K669" s="130">
        <f>IF(AND(EXACT(C669,C667),C667&lt;&gt;0),K667+1,0)</f>
        <v>4</v>
      </c>
      <c r="L669" s="130" t="str">
        <f t="shared" ref="L669" si="837">IF(C669&lt;&gt;"",C669&amp;"-"&amp;K669,"")</f>
        <v>KP-1c⁽ᴹ⁾ Percentage of sex workers reached with HIV prevention programs - defined package of services-4</v>
      </c>
      <c r="M669" s="130" t="str">
        <f t="array" ref="M669">IFERROR(IF(INDEX('Disaggregation Records'!$E$152:$E$513,MATCH(RIGHT(L669,255),RIGHT('Disaggregation Records'!$D$152:$D$513,255),0))="","",INDEX('Disaggregation Records'!$E$152:$E$513,MATCH(RIGHT(L669,255),RIGHT('Disaggregation Records'!$D$152:$D$513,255),0))),"")</f>
        <v>Gender</v>
      </c>
      <c r="N669" s="130" t="str">
        <f t="array" ref="N669">IFERROR(IF(INDEX('Disaggregation Records'!$F$152:$F$513,MATCH(RIGHT(L669,255),RIGHT('Disaggregation Records'!$D$152:$D$513,255),0))="","",INDEX('Disaggregation Records'!$F$152:$F$513,MATCH(RIGHT(L669,255),RIGHT('Disaggregation Records'!$D$152:$D$513,255),0))),"")</f>
        <v>Male</v>
      </c>
      <c r="O669" s="130" t="str">
        <f t="array" ref="O669">IFERROR(IF(INDEX('Disaggregation Records'!$H$152:$H$513,MATCH(RIGHT(L669,255),RIGHT('Disaggregation Records'!$D$152:$D$513,255),0))="","",INDEX('Disaggregation Records'!$H$152:$H$513,MATCH(RIGHT(L669,255),RIGHT('Disaggregation Records'!$D$152:$D$513,255),0))),"")</f>
        <v>IDR-01198</v>
      </c>
      <c r="Q669" s="52">
        <f t="shared" ref="Q669" si="838">Q667+1</f>
        <v>1519</v>
      </c>
    </row>
    <row r="670" spans="1:17" ht="27.75" customHeight="1" x14ac:dyDescent="0.25">
      <c r="A670" s="130"/>
      <c r="B670" s="602"/>
      <c r="C670" s="604"/>
      <c r="D670" s="606"/>
      <c r="E670" s="606"/>
      <c r="F670" s="132"/>
      <c r="G670" s="616"/>
      <c r="H670" s="598"/>
      <c r="I670" s="600"/>
      <c r="J670" s="532"/>
      <c r="L670" s="130"/>
      <c r="N670" s="130"/>
      <c r="O670" s="130"/>
    </row>
    <row r="671" spans="1:17" ht="20.100000000000001" customHeight="1" x14ac:dyDescent="0.25">
      <c r="A671" s="130" t="str">
        <f t="shared" ca="1" si="792"/>
        <v>a16Dm000000LZZvIAO</v>
      </c>
      <c r="B671" s="601">
        <v>2</v>
      </c>
      <c r="C671" s="603" t="str">
        <f>IFERROR(VLOOKUP(B671,'Coverage Indicators - Section D'!$A$9:$AO$70,41,FALSE),"")</f>
        <v>KP-1c⁽ᴹ⁾ Percentage of sex workers reached with HIV prevention programs - defined package of services</v>
      </c>
      <c r="D671" s="605" t="str">
        <f>M671</f>
        <v>Gender</v>
      </c>
      <c r="E671" s="605" t="str">
        <f>N671</f>
        <v>Female</v>
      </c>
      <c r="F671" s="131">
        <v>4586</v>
      </c>
      <c r="G671" s="615" t="str">
        <f ca="1">IF(OR(INDIRECT("'update Helper'!E"&amp;Q671)="",F671&lt;&gt;0,F672&lt;&gt;0),IF(IFERROR((F671/F672),"")="","",(F671/F672)),INDIRECT("'update Helper'!E"&amp;Q671)/100)</f>
        <v/>
      </c>
      <c r="H671" s="597">
        <v>2022</v>
      </c>
      <c r="I671" s="599" t="s">
        <v>2239</v>
      </c>
      <c r="J671" s="531" t="s">
        <v>2241</v>
      </c>
      <c r="K671" s="130">
        <f>IF(AND(EXACT(C671,C669),C669&lt;&gt;0),K669+1,0)</f>
        <v>5</v>
      </c>
      <c r="L671" s="130" t="str">
        <f t="shared" ref="L671" si="839">IF(C671&lt;&gt;"",C671&amp;"-"&amp;K671,"")</f>
        <v>KP-1c⁽ᴹ⁾ Percentage of sex workers reached with HIV prevention programs - defined package of services-5</v>
      </c>
      <c r="M671" s="130" t="str">
        <f t="array" ref="M671">IFERROR(IF(INDEX('Disaggregation Records'!$E$152:$E$513,MATCH(RIGHT(L671,255),RIGHT('Disaggregation Records'!$D$152:$D$513,255),0))="","",INDEX('Disaggregation Records'!$E$152:$E$513,MATCH(RIGHT(L671,255),RIGHT('Disaggregation Records'!$D$152:$D$513,255),0))),"")</f>
        <v>Gender</v>
      </c>
      <c r="N671" s="130" t="str">
        <f t="array" ref="N671">IFERROR(IF(INDEX('Disaggregation Records'!$F$152:$F$513,MATCH(RIGHT(L671,255),RIGHT('Disaggregation Records'!$D$152:$D$513,255),0))="","",INDEX('Disaggregation Records'!$F$152:$F$513,MATCH(RIGHT(L671,255),RIGHT('Disaggregation Records'!$D$152:$D$513,255),0))),"")</f>
        <v>Female</v>
      </c>
      <c r="O671" s="130" t="str">
        <f t="array" ref="O671">IFERROR(IF(INDEX('Disaggregation Records'!$H$152:$H$513,MATCH(RIGHT(L671,255),RIGHT('Disaggregation Records'!$D$152:$D$513,255),0))="","",INDEX('Disaggregation Records'!$H$152:$H$513,MATCH(RIGHT(L671,255),RIGHT('Disaggregation Records'!$D$152:$D$513,255),0))),"")</f>
        <v>IDR-01197</v>
      </c>
      <c r="P671" s="130"/>
      <c r="Q671" s="52">
        <f t="shared" ref="Q671" si="840">Q669+1</f>
        <v>1520</v>
      </c>
    </row>
    <row r="672" spans="1:17" ht="33" customHeight="1" x14ac:dyDescent="0.25">
      <c r="B672" s="602"/>
      <c r="C672" s="604"/>
      <c r="D672" s="606"/>
      <c r="E672" s="606"/>
      <c r="F672" s="132"/>
      <c r="G672" s="616"/>
      <c r="H672" s="598"/>
      <c r="I672" s="600"/>
      <c r="J672" s="532"/>
      <c r="K672" s="130"/>
      <c r="L672" s="130"/>
      <c r="M672" s="130"/>
      <c r="N672" s="130"/>
      <c r="O672" s="130"/>
      <c r="P672" s="130"/>
    </row>
    <row r="673" spans="1:17" ht="20.100000000000001" customHeight="1" x14ac:dyDescent="0.25">
      <c r="A673" s="130" t="str">
        <f t="shared" ca="1" si="788"/>
        <v>a16Dm000000LZZwIAO</v>
      </c>
      <c r="B673" s="601">
        <v>2</v>
      </c>
      <c r="C673" s="603" t="str">
        <f>IFERROR(VLOOKUP(B673,'Coverage Indicators - Section D'!$A$9:$AO$70,41,FALSE),"")</f>
        <v>KP-1c⁽ᴹ⁾ Percentage of sex workers reached with HIV prevention programs - defined package of services</v>
      </c>
      <c r="D673" s="605" t="str">
        <f>M673</f>
        <v/>
      </c>
      <c r="E673" s="605" t="str">
        <f>N673</f>
        <v/>
      </c>
      <c r="F673" s="131"/>
      <c r="G673" s="607" t="str">
        <f ca="1">IF(OR(INDIRECT("'update Helper'!E"&amp;Q673)="",F673&lt;&gt;0,F674&lt;&gt;0),IF(IFERROR((F673/F674),"")="","",(F673/F674)),INDIRECT("'update Helper'!E"&amp;Q673)/100)</f>
        <v/>
      </c>
      <c r="H673" s="597"/>
      <c r="I673" s="599"/>
      <c r="J673" s="531"/>
      <c r="K673" s="130">
        <f>IF(AND(EXACT(C673,C671),C671&lt;&gt;0),K671+1,0)</f>
        <v>6</v>
      </c>
      <c r="L673" s="130" t="str">
        <f t="shared" ref="L673" si="841">IF(C673&lt;&gt;"",C673&amp;"-"&amp;K673,"")</f>
        <v>KP-1c⁽ᴹ⁾ Percentage of sex workers reached with HIV prevention programs - defined package of services-6</v>
      </c>
      <c r="M673" s="130" t="str">
        <f t="array" ref="M673">IFERROR(IF(INDEX('Disaggregation Records'!$E$152:$E$513,MATCH(RIGHT(L673,255),RIGHT('Disaggregation Records'!$D$152:$D$513,255),0))="","",INDEX('Disaggregation Records'!$E$152:$E$513,MATCH(RIGHT(L673,255),RIGHT('Disaggregation Records'!$D$152:$D$513,255),0))),"")</f>
        <v/>
      </c>
      <c r="N673" s="130" t="str">
        <f t="array" ref="N673">IFERROR(IF(INDEX('Disaggregation Records'!$F$152:$F$513,MATCH(RIGHT(L673,255),RIGHT('Disaggregation Records'!$D$152:$D$513,255),0))="","",INDEX('Disaggregation Records'!$F$152:$F$513,MATCH(RIGHT(L673,255),RIGHT('Disaggregation Records'!$D$152:$D$513,255),0))),"")</f>
        <v/>
      </c>
      <c r="O673" s="130" t="str">
        <f t="array" ref="O673">IFERROR(IF(INDEX('Disaggregation Records'!$H$152:$H$513,MATCH(RIGHT(L673,255),RIGHT('Disaggregation Records'!$D$152:$D$513,255),0))="","",INDEX('Disaggregation Records'!$H$152:$H$513,MATCH(RIGHT(L673,255),RIGHT('Disaggregation Records'!$D$152:$D$513,255),0))),"")</f>
        <v/>
      </c>
      <c r="P673" s="130"/>
      <c r="Q673" s="52">
        <f t="shared" ref="Q673" si="842">Q671+1</f>
        <v>1521</v>
      </c>
    </row>
    <row r="674" spans="1:17" ht="20.100000000000001" customHeight="1" x14ac:dyDescent="0.25">
      <c r="A674" s="130"/>
      <c r="B674" s="602"/>
      <c r="C674" s="604"/>
      <c r="D674" s="606"/>
      <c r="E674" s="606"/>
      <c r="F674" s="132"/>
      <c r="G674" s="608"/>
      <c r="H674" s="598"/>
      <c r="I674" s="600"/>
      <c r="J674" s="532"/>
      <c r="K674" s="130"/>
      <c r="L674" s="130"/>
      <c r="M674" s="130"/>
      <c r="N674" s="130"/>
      <c r="O674" s="130"/>
      <c r="P674" s="130"/>
    </row>
    <row r="675" spans="1:17" ht="20.100000000000001" customHeight="1" x14ac:dyDescent="0.25">
      <c r="A675" s="130" t="str">
        <f t="shared" ca="1" si="792"/>
        <v>a16Dm000000LZZxIAO</v>
      </c>
      <c r="B675" s="601">
        <v>2</v>
      </c>
      <c r="C675" s="603" t="str">
        <f>IFERROR(VLOOKUP(B675,'Coverage Indicators - Section D'!$A$9:$AO$70,41,FALSE),"")</f>
        <v>KP-1c⁽ᴹ⁾ Percentage of sex workers reached with HIV prevention programs - defined package of services</v>
      </c>
      <c r="D675" s="605" t="str">
        <f>M675</f>
        <v/>
      </c>
      <c r="E675" s="605" t="str">
        <f>N675</f>
        <v/>
      </c>
      <c r="F675" s="131"/>
      <c r="G675" s="607" t="str">
        <f ca="1">IF(OR(INDIRECT("'update Helper'!E"&amp;Q675)="",F675&lt;&gt;0,F676&lt;&gt;0),IF(IFERROR((F675/F676),"")="","",(F675/F676)),INDIRECT("'update Helper'!E"&amp;Q675)/100)</f>
        <v/>
      </c>
      <c r="H675" s="597"/>
      <c r="I675" s="599"/>
      <c r="J675" s="531"/>
      <c r="K675" s="130">
        <f>IF(AND(EXACT(C675,C673),C673&lt;&gt;0),K673+1,0)</f>
        <v>7</v>
      </c>
      <c r="L675" s="130" t="str">
        <f t="shared" ref="L675" si="843">IF(C675&lt;&gt;"",C675&amp;"-"&amp;K675,"")</f>
        <v>KP-1c⁽ᴹ⁾ Percentage of sex workers reached with HIV prevention programs - defined package of services-7</v>
      </c>
      <c r="M675" s="130" t="str">
        <f t="array" ref="M675">IFERROR(IF(INDEX('Disaggregation Records'!$E$152:$E$513,MATCH(RIGHT(L675,255),RIGHT('Disaggregation Records'!$D$152:$D$513,255),0))="","",INDEX('Disaggregation Records'!$E$152:$E$513,MATCH(RIGHT(L675,255),RIGHT('Disaggregation Records'!$D$152:$D$513,255),0))),"")</f>
        <v/>
      </c>
      <c r="N675" s="130" t="str">
        <f t="array" ref="N675">IFERROR(IF(INDEX('Disaggregation Records'!$F$152:$F$513,MATCH(RIGHT(L675,255),RIGHT('Disaggregation Records'!$D$152:$D$513,255),0))="","",INDEX('Disaggregation Records'!$F$152:$F$513,MATCH(RIGHT(L675,255),RIGHT('Disaggregation Records'!$D$152:$D$513,255),0))),"")</f>
        <v/>
      </c>
      <c r="O675" s="130" t="str">
        <f t="array" ref="O675">IFERROR(IF(INDEX('Disaggregation Records'!$H$152:$H$513,MATCH(RIGHT(L675,255),RIGHT('Disaggregation Records'!$D$152:$D$513,255),0))="","",INDEX('Disaggregation Records'!$H$152:$H$513,MATCH(RIGHT(L675,255),RIGHT('Disaggregation Records'!$D$152:$D$513,255),0))),"")</f>
        <v/>
      </c>
      <c r="Q675" s="52">
        <f t="shared" ref="Q675" si="844">Q673+1</f>
        <v>1522</v>
      </c>
    </row>
    <row r="676" spans="1:17" ht="20.100000000000001" customHeight="1" x14ac:dyDescent="0.25">
      <c r="B676" s="602"/>
      <c r="C676" s="604"/>
      <c r="D676" s="606"/>
      <c r="E676" s="606"/>
      <c r="F676" s="132"/>
      <c r="G676" s="608"/>
      <c r="H676" s="598"/>
      <c r="I676" s="600"/>
      <c r="J676" s="532"/>
      <c r="L676" s="130"/>
      <c r="N676" s="130"/>
      <c r="O676" s="130"/>
    </row>
    <row r="677" spans="1:17" ht="20.100000000000001" customHeight="1" x14ac:dyDescent="0.25">
      <c r="A677" s="130" t="str">
        <f t="shared" ca="1" si="788"/>
        <v>a16Dm000000LZZyIAO</v>
      </c>
      <c r="B677" s="601">
        <v>2</v>
      </c>
      <c r="C677" s="603" t="str">
        <f>IFERROR(VLOOKUP(B677,'Coverage Indicators - Section D'!$A$9:$AO$70,41,FALSE),"")</f>
        <v>KP-1c⁽ᴹ⁾ Percentage of sex workers reached with HIV prevention programs - defined package of services</v>
      </c>
      <c r="D677" s="605" t="str">
        <f>M677</f>
        <v/>
      </c>
      <c r="E677" s="605" t="str">
        <f>N677</f>
        <v/>
      </c>
      <c r="F677" s="131"/>
      <c r="G677" s="607" t="str">
        <f ca="1">IF(OR(INDIRECT("'update Helper'!E"&amp;Q677)="",F677&lt;&gt;0,F678&lt;&gt;0),IF(IFERROR((F677/F678),"")="","",(F677/F678)),INDIRECT("'update Helper'!E"&amp;Q677)/100)</f>
        <v/>
      </c>
      <c r="H677" s="597"/>
      <c r="I677" s="599"/>
      <c r="J677" s="531"/>
      <c r="K677" s="130">
        <f>IF(AND(EXACT(C677,C675),C675&lt;&gt;0),K675+1,0)</f>
        <v>8</v>
      </c>
      <c r="L677" s="130" t="str">
        <f t="shared" ref="L677" si="845">IF(C677&lt;&gt;"",C677&amp;"-"&amp;K677,"")</f>
        <v>KP-1c⁽ᴹ⁾ Percentage of sex workers reached with HIV prevention programs - defined package of services-8</v>
      </c>
      <c r="M677" s="130" t="str">
        <f t="array" ref="M677">IFERROR(IF(INDEX('Disaggregation Records'!$E$152:$E$513,MATCH(RIGHT(L677,255),RIGHT('Disaggregation Records'!$D$152:$D$513,255),0))="","",INDEX('Disaggregation Records'!$E$152:$E$513,MATCH(RIGHT(L677,255),RIGHT('Disaggregation Records'!$D$152:$D$513,255),0))),"")</f>
        <v/>
      </c>
      <c r="N677" s="130" t="str">
        <f t="array" ref="N677">IFERROR(IF(INDEX('Disaggregation Records'!$F$152:$F$513,MATCH(RIGHT(L677,255),RIGHT('Disaggregation Records'!$D$152:$D$513,255),0))="","",INDEX('Disaggregation Records'!$F$152:$F$513,MATCH(RIGHT(L677,255),RIGHT('Disaggregation Records'!$D$152:$D$513,255),0))),"")</f>
        <v/>
      </c>
      <c r="O677" s="130" t="str">
        <f t="array" ref="O677">IFERROR(IF(INDEX('Disaggregation Records'!$H$152:$H$513,MATCH(RIGHT(L677,255),RIGHT('Disaggregation Records'!$D$152:$D$513,255),0))="","",INDEX('Disaggregation Records'!$H$152:$H$513,MATCH(RIGHT(L677,255),RIGHT('Disaggregation Records'!$D$152:$D$513,255),0))),"")</f>
        <v/>
      </c>
      <c r="Q677" s="52">
        <f t="shared" ref="Q677" si="846">Q675+1</f>
        <v>1523</v>
      </c>
    </row>
    <row r="678" spans="1:17" ht="20.100000000000001" customHeight="1" x14ac:dyDescent="0.25">
      <c r="A678" s="130"/>
      <c r="B678" s="602"/>
      <c r="C678" s="604"/>
      <c r="D678" s="606"/>
      <c r="E678" s="606"/>
      <c r="F678" s="132"/>
      <c r="G678" s="608"/>
      <c r="H678" s="598"/>
      <c r="I678" s="600"/>
      <c r="J678" s="532"/>
      <c r="L678" s="130"/>
      <c r="N678" s="130"/>
      <c r="O678" s="130"/>
    </row>
    <row r="679" spans="1:17" ht="20.100000000000001" customHeight="1" x14ac:dyDescent="0.25">
      <c r="A679" s="130" t="str">
        <f t="shared" ca="1" si="792"/>
        <v>a16Dm000000LZZzIAO</v>
      </c>
      <c r="B679" s="601">
        <v>2</v>
      </c>
      <c r="C679" s="603" t="str">
        <f>IFERROR(VLOOKUP(B679,'Coverage Indicators - Section D'!$A$9:$AO$70,41,FALSE),"")</f>
        <v>KP-1c⁽ᴹ⁾ Percentage of sex workers reached with HIV prevention programs - defined package of services</v>
      </c>
      <c r="D679" s="605" t="str">
        <f>M679</f>
        <v/>
      </c>
      <c r="E679" s="605" t="str">
        <f>N679</f>
        <v/>
      </c>
      <c r="F679" s="131"/>
      <c r="G679" s="607" t="str">
        <f ca="1">IF(OR(INDIRECT("'update Helper'!E"&amp;Q679)="",F679&lt;&gt;0,F680&lt;&gt;0),IF(IFERROR((F679/F680),"")="","",(F679/F680)),INDIRECT("'update Helper'!E"&amp;Q679)/100)</f>
        <v/>
      </c>
      <c r="H679" s="597"/>
      <c r="I679" s="599"/>
      <c r="J679" s="531"/>
      <c r="K679" s="130">
        <f>IF(AND(EXACT(C679,C677),C677&lt;&gt;0),K677+1,0)</f>
        <v>9</v>
      </c>
      <c r="L679" s="130" t="str">
        <f t="shared" ref="L679" si="847">IF(C679&lt;&gt;"",C679&amp;"-"&amp;K679,"")</f>
        <v>KP-1c⁽ᴹ⁾ Percentage of sex workers reached with HIV prevention programs - defined package of services-9</v>
      </c>
      <c r="M679" s="130" t="str">
        <f t="array" ref="M679">IFERROR(IF(INDEX('Disaggregation Records'!$E$152:$E$513,MATCH(RIGHT(L679,255),RIGHT('Disaggregation Records'!$D$152:$D$513,255),0))="","",INDEX('Disaggregation Records'!$E$152:$E$513,MATCH(RIGHT(L679,255),RIGHT('Disaggregation Records'!$D$152:$D$513,255),0))),"")</f>
        <v/>
      </c>
      <c r="N679" s="130" t="str">
        <f t="array" ref="N679">IFERROR(IF(INDEX('Disaggregation Records'!$F$152:$F$513,MATCH(RIGHT(L679,255),RIGHT('Disaggregation Records'!$D$152:$D$513,255),0))="","",INDEX('Disaggregation Records'!$F$152:$F$513,MATCH(RIGHT(L679,255),RIGHT('Disaggregation Records'!$D$152:$D$513,255),0))),"")</f>
        <v/>
      </c>
      <c r="O679" s="130" t="str">
        <f t="array" ref="O679">IFERROR(IF(INDEX('Disaggregation Records'!$H$152:$H$513,MATCH(RIGHT(L679,255),RIGHT('Disaggregation Records'!$D$152:$D$513,255),0))="","",INDEX('Disaggregation Records'!$H$152:$H$513,MATCH(RIGHT(L679,255),RIGHT('Disaggregation Records'!$D$152:$D$513,255),0))),"")</f>
        <v/>
      </c>
      <c r="Q679" s="52">
        <f t="shared" ref="Q679" si="848">Q677+1</f>
        <v>1524</v>
      </c>
    </row>
    <row r="680" spans="1:17" ht="20.100000000000001" customHeight="1" x14ac:dyDescent="0.25">
      <c r="B680" s="602"/>
      <c r="C680" s="604"/>
      <c r="D680" s="606"/>
      <c r="E680" s="606"/>
      <c r="F680" s="132"/>
      <c r="G680" s="608"/>
      <c r="H680" s="598"/>
      <c r="I680" s="600"/>
      <c r="J680" s="532"/>
      <c r="L680" s="130"/>
      <c r="N680" s="130"/>
      <c r="O680" s="130"/>
    </row>
    <row r="681" spans="1:17" ht="20.100000000000001" customHeight="1" x14ac:dyDescent="0.25">
      <c r="A681" s="130" t="str">
        <f t="shared" ca="1" si="788"/>
        <v>a16Dm000000LZa0IAG</v>
      </c>
      <c r="B681" s="601">
        <v>2</v>
      </c>
      <c r="C681" s="603" t="str">
        <f>IFERROR(VLOOKUP(B681,'Coverage Indicators - Section D'!$A$9:$AO$70,41,FALSE),"")</f>
        <v>KP-1c⁽ᴹ⁾ Percentage of sex workers reached with HIV prevention programs - defined package of services</v>
      </c>
      <c r="D681" s="605" t="str">
        <f>M681</f>
        <v/>
      </c>
      <c r="E681" s="605" t="str">
        <f>N681</f>
        <v/>
      </c>
      <c r="F681" s="131"/>
      <c r="G681" s="607" t="str">
        <f ca="1">IF(OR(INDIRECT("'update Helper'!E"&amp;Q681)="",F681&lt;&gt;0,F682&lt;&gt;0),IF(IFERROR((F681/F682),"")="","",(F681/F682)),INDIRECT("'update Helper'!E"&amp;Q681)/100)</f>
        <v/>
      </c>
      <c r="H681" s="597"/>
      <c r="I681" s="599"/>
      <c r="J681" s="531"/>
      <c r="K681" s="130">
        <f>IF(AND(EXACT(C681,C679),C679&lt;&gt;0),K679+1,0)</f>
        <v>10</v>
      </c>
      <c r="L681" s="130" t="str">
        <f t="shared" ref="L681" si="849">IF(C681&lt;&gt;"",C681&amp;"-"&amp;K681,"")</f>
        <v>KP-1c⁽ᴹ⁾ Percentage of sex workers reached with HIV prevention programs - defined package of services-10</v>
      </c>
      <c r="M681" s="130" t="str">
        <f t="array" ref="M681">IFERROR(IF(INDEX('Disaggregation Records'!$E$152:$E$513,MATCH(RIGHT(L681,255),RIGHT('Disaggregation Records'!$D$152:$D$513,255),0))="","",INDEX('Disaggregation Records'!$E$152:$E$513,MATCH(RIGHT(L681,255),RIGHT('Disaggregation Records'!$D$152:$D$513,255),0))),"")</f>
        <v/>
      </c>
      <c r="N681" s="130" t="str">
        <f t="array" ref="N681">IFERROR(IF(INDEX('Disaggregation Records'!$F$152:$F$513,MATCH(RIGHT(L681,255),RIGHT('Disaggregation Records'!$D$152:$D$513,255),0))="","",INDEX('Disaggregation Records'!$F$152:$F$513,MATCH(RIGHT(L681,255),RIGHT('Disaggregation Records'!$D$152:$D$513,255),0))),"")</f>
        <v/>
      </c>
      <c r="O681" s="130" t="str">
        <f t="array" ref="O681">IFERROR(IF(INDEX('Disaggregation Records'!$H$152:$H$513,MATCH(RIGHT(L681,255),RIGHT('Disaggregation Records'!$D$152:$D$513,255),0))="","",INDEX('Disaggregation Records'!$H$152:$H$513,MATCH(RIGHT(L681,255),RIGHT('Disaggregation Records'!$D$152:$D$513,255),0))),"")</f>
        <v/>
      </c>
      <c r="P681" s="130"/>
      <c r="Q681" s="52">
        <f t="shared" ref="Q681" si="850">Q679+1</f>
        <v>1525</v>
      </c>
    </row>
    <row r="682" spans="1:17" ht="20.100000000000001" customHeight="1" x14ac:dyDescent="0.25">
      <c r="A682" s="130"/>
      <c r="B682" s="602"/>
      <c r="C682" s="604"/>
      <c r="D682" s="606"/>
      <c r="E682" s="606"/>
      <c r="F682" s="132"/>
      <c r="G682" s="608"/>
      <c r="H682" s="598"/>
      <c r="I682" s="600"/>
      <c r="J682" s="532"/>
      <c r="K682" s="130"/>
      <c r="L682" s="130"/>
      <c r="M682" s="130"/>
      <c r="N682" s="130"/>
      <c r="O682" s="130"/>
      <c r="P682" s="130"/>
    </row>
    <row r="683" spans="1:17" ht="20.100000000000001" customHeight="1" x14ac:dyDescent="0.25">
      <c r="A683" s="130" t="str">
        <f t="shared" ca="1" si="792"/>
        <v>a16Dm000000LZa1IAG</v>
      </c>
      <c r="B683" s="601">
        <v>2</v>
      </c>
      <c r="C683" s="603" t="str">
        <f>IFERROR(VLOOKUP(B683,'Coverage Indicators - Section D'!$A$9:$AO$70,41,FALSE),"")</f>
        <v>KP-1c⁽ᴹ⁾ Percentage of sex workers reached with HIV prevention programs - defined package of services</v>
      </c>
      <c r="D683" s="605" t="str">
        <f>M683</f>
        <v/>
      </c>
      <c r="E683" s="605" t="str">
        <f>N683</f>
        <v/>
      </c>
      <c r="F683" s="131"/>
      <c r="G683" s="607" t="str">
        <f ca="1">IF(OR(INDIRECT("'update Helper'!E"&amp;Q683)="",F683&lt;&gt;0,F684&lt;&gt;0),IF(IFERROR((F683/F684),"")="","",(F683/F684)),INDIRECT("'update Helper'!E"&amp;Q683)/100)</f>
        <v/>
      </c>
      <c r="H683" s="597"/>
      <c r="I683" s="599"/>
      <c r="J683" s="531"/>
      <c r="K683" s="130">
        <f>IF(AND(EXACT(C683,C681),C681&lt;&gt;0),K681+1,0)</f>
        <v>11</v>
      </c>
      <c r="L683" s="130" t="str">
        <f t="shared" ref="L683" si="851">IF(C683&lt;&gt;"",C683&amp;"-"&amp;K683,"")</f>
        <v>KP-1c⁽ᴹ⁾ Percentage of sex workers reached with HIV prevention programs - defined package of services-11</v>
      </c>
      <c r="M683" s="130" t="str">
        <f t="array" ref="M683">IFERROR(IF(INDEX('Disaggregation Records'!$E$152:$E$513,MATCH(RIGHT(L683,255),RIGHT('Disaggregation Records'!$D$152:$D$513,255),0))="","",INDEX('Disaggregation Records'!$E$152:$E$513,MATCH(RIGHT(L683,255),RIGHT('Disaggregation Records'!$D$152:$D$513,255),0))),"")</f>
        <v/>
      </c>
      <c r="N683" s="130" t="str">
        <f t="array" ref="N683">IFERROR(IF(INDEX('Disaggregation Records'!$F$152:$F$513,MATCH(RIGHT(L683,255),RIGHT('Disaggregation Records'!$D$152:$D$513,255),0))="","",INDEX('Disaggregation Records'!$F$152:$F$513,MATCH(RIGHT(L683,255),RIGHT('Disaggregation Records'!$D$152:$D$513,255),0))),"")</f>
        <v/>
      </c>
      <c r="O683" s="130" t="str">
        <f t="array" ref="O683">IFERROR(IF(INDEX('Disaggregation Records'!$H$152:$H$513,MATCH(RIGHT(L683,255),RIGHT('Disaggregation Records'!$D$152:$D$513,255),0))="","",INDEX('Disaggregation Records'!$H$152:$H$513,MATCH(RIGHT(L683,255),RIGHT('Disaggregation Records'!$D$152:$D$513,255),0))),"")</f>
        <v/>
      </c>
      <c r="P683" s="130"/>
      <c r="Q683" s="52">
        <f t="shared" ref="Q683" si="852">Q681+1</f>
        <v>1526</v>
      </c>
    </row>
    <row r="684" spans="1:17" ht="20.100000000000001" customHeight="1" x14ac:dyDescent="0.25">
      <c r="B684" s="602"/>
      <c r="C684" s="604"/>
      <c r="D684" s="606"/>
      <c r="E684" s="606"/>
      <c r="F684" s="132"/>
      <c r="G684" s="608"/>
      <c r="H684" s="598"/>
      <c r="I684" s="600"/>
      <c r="J684" s="532"/>
      <c r="K684" s="130"/>
      <c r="L684" s="130"/>
      <c r="M684" s="130"/>
      <c r="N684" s="130"/>
      <c r="O684" s="130"/>
      <c r="P684" s="130"/>
    </row>
    <row r="685" spans="1:17" ht="20.100000000000001" customHeight="1" x14ac:dyDescent="0.25">
      <c r="A685" s="130" t="str">
        <f t="shared" ca="1" si="788"/>
        <v>a16Dm000000LZa2IAG</v>
      </c>
      <c r="B685" s="601">
        <v>2</v>
      </c>
      <c r="C685" s="603" t="str">
        <f>IFERROR(VLOOKUP(B685,'Coverage Indicators - Section D'!$A$9:$AO$70,41,FALSE),"")</f>
        <v>KP-1c⁽ᴹ⁾ Percentage of sex workers reached with HIV prevention programs - defined package of services</v>
      </c>
      <c r="D685" s="605" t="str">
        <f>M685</f>
        <v/>
      </c>
      <c r="E685" s="605" t="str">
        <f>N685</f>
        <v/>
      </c>
      <c r="F685" s="131"/>
      <c r="G685" s="607" t="str">
        <f ca="1">IF(OR(INDIRECT("'update Helper'!E"&amp;Q685)="",F685&lt;&gt;0,F686&lt;&gt;0),IF(IFERROR((F685/F686),"")="","",(F685/F686)),INDIRECT("'update Helper'!E"&amp;Q685)/100)</f>
        <v/>
      </c>
      <c r="H685" s="597"/>
      <c r="I685" s="599"/>
      <c r="J685" s="531"/>
      <c r="K685" s="130">
        <f>IF(AND(EXACT(C685,C683),C683&lt;&gt;0),K683+1,0)</f>
        <v>12</v>
      </c>
      <c r="L685" s="130" t="str">
        <f t="shared" ref="L685" si="853">IF(C685&lt;&gt;"",C685&amp;"-"&amp;K685,"")</f>
        <v>KP-1c⁽ᴹ⁾ Percentage of sex workers reached with HIV prevention programs - defined package of services-12</v>
      </c>
      <c r="M685" s="130" t="str">
        <f t="array" ref="M685">IFERROR(IF(INDEX('Disaggregation Records'!$E$152:$E$513,MATCH(RIGHT(L685,255),RIGHT('Disaggregation Records'!$D$152:$D$513,255),0))="","",INDEX('Disaggregation Records'!$E$152:$E$513,MATCH(RIGHT(L685,255),RIGHT('Disaggregation Records'!$D$152:$D$513,255),0))),"")</f>
        <v/>
      </c>
      <c r="N685" s="130" t="str">
        <f t="array" ref="N685">IFERROR(IF(INDEX('Disaggregation Records'!$F$152:$F$513,MATCH(RIGHT(L685,255),RIGHT('Disaggregation Records'!$D$152:$D$513,255),0))="","",INDEX('Disaggregation Records'!$F$152:$F$513,MATCH(RIGHT(L685,255),RIGHT('Disaggregation Records'!$D$152:$D$513,255),0))),"")</f>
        <v/>
      </c>
      <c r="O685" s="130" t="str">
        <f t="array" ref="O685">IFERROR(IF(INDEX('Disaggregation Records'!$H$152:$H$513,MATCH(RIGHT(L685,255),RIGHT('Disaggregation Records'!$D$152:$D$513,255),0))="","",INDEX('Disaggregation Records'!$H$152:$H$513,MATCH(RIGHT(L685,255),RIGHT('Disaggregation Records'!$D$152:$D$513,255),0))),"")</f>
        <v/>
      </c>
      <c r="Q685" s="52">
        <f t="shared" ref="Q685" si="854">Q683+1</f>
        <v>1527</v>
      </c>
    </row>
    <row r="686" spans="1:17" ht="20.100000000000001" customHeight="1" x14ac:dyDescent="0.25">
      <c r="A686" s="130"/>
      <c r="B686" s="602"/>
      <c r="C686" s="604"/>
      <c r="D686" s="606"/>
      <c r="E686" s="606"/>
      <c r="F686" s="132"/>
      <c r="G686" s="608"/>
      <c r="H686" s="598"/>
      <c r="I686" s="600"/>
      <c r="J686" s="532"/>
      <c r="L686" s="130"/>
      <c r="N686" s="130"/>
      <c r="O686" s="130"/>
    </row>
    <row r="687" spans="1:17" ht="20.100000000000001" customHeight="1" x14ac:dyDescent="0.25">
      <c r="A687" s="130" t="str">
        <f t="shared" ca="1" si="792"/>
        <v>a16Dm000000LZa3IAG</v>
      </c>
      <c r="B687" s="601">
        <v>2</v>
      </c>
      <c r="C687" s="603" t="str">
        <f>IFERROR(VLOOKUP(B687,'Coverage Indicators - Section D'!$A$9:$AO$70,41,FALSE),"")</f>
        <v>KP-1c⁽ᴹ⁾ Percentage of sex workers reached with HIV prevention programs - defined package of services</v>
      </c>
      <c r="D687" s="605" t="str">
        <f>M687</f>
        <v/>
      </c>
      <c r="E687" s="605" t="str">
        <f>N687</f>
        <v/>
      </c>
      <c r="F687" s="131"/>
      <c r="G687" s="607" t="str">
        <f ca="1">IF(OR(INDIRECT("'update Helper'!E"&amp;Q687)="",F687&lt;&gt;0,F688&lt;&gt;0),IF(IFERROR((F687/F688),"")="","",(F687/F688)),INDIRECT("'update Helper'!E"&amp;Q687)/100)</f>
        <v/>
      </c>
      <c r="H687" s="597"/>
      <c r="I687" s="599"/>
      <c r="J687" s="531"/>
      <c r="K687" s="130">
        <f>IF(AND(EXACT(C687,C685),C685&lt;&gt;0),K685+1,0)</f>
        <v>13</v>
      </c>
      <c r="L687" s="130" t="str">
        <f t="shared" ref="L687" si="855">IF(C687&lt;&gt;"",C687&amp;"-"&amp;K687,"")</f>
        <v>KP-1c⁽ᴹ⁾ Percentage of sex workers reached with HIV prevention programs - defined package of services-13</v>
      </c>
      <c r="M687" s="130" t="str">
        <f t="array" ref="M687">IFERROR(IF(INDEX('Disaggregation Records'!$E$152:$E$513,MATCH(RIGHT(L687,255),RIGHT('Disaggregation Records'!$D$152:$D$513,255),0))="","",INDEX('Disaggregation Records'!$E$152:$E$513,MATCH(RIGHT(L687,255),RIGHT('Disaggregation Records'!$D$152:$D$513,255),0))),"")</f>
        <v/>
      </c>
      <c r="N687" s="130" t="str">
        <f t="array" ref="N687">IFERROR(IF(INDEX('Disaggregation Records'!$F$152:$F$513,MATCH(RIGHT(L687,255),RIGHT('Disaggregation Records'!$D$152:$D$513,255),0))="","",INDEX('Disaggregation Records'!$F$152:$F$513,MATCH(RIGHT(L687,255),RIGHT('Disaggregation Records'!$D$152:$D$513,255),0))),"")</f>
        <v/>
      </c>
      <c r="O687" s="130" t="str">
        <f t="array" ref="O687">IFERROR(IF(INDEX('Disaggregation Records'!$H$152:$H$513,MATCH(RIGHT(L687,255),RIGHT('Disaggregation Records'!$D$152:$D$513,255),0))="","",INDEX('Disaggregation Records'!$H$152:$H$513,MATCH(RIGHT(L687,255),RIGHT('Disaggregation Records'!$D$152:$D$513,255),0))),"")</f>
        <v/>
      </c>
      <c r="Q687" s="52">
        <f t="shared" ref="Q687" si="856">Q685+1</f>
        <v>1528</v>
      </c>
    </row>
    <row r="688" spans="1:17" ht="20.100000000000001" customHeight="1" x14ac:dyDescent="0.25">
      <c r="B688" s="602"/>
      <c r="C688" s="604"/>
      <c r="D688" s="606"/>
      <c r="E688" s="606"/>
      <c r="F688" s="132"/>
      <c r="G688" s="608"/>
      <c r="H688" s="598"/>
      <c r="I688" s="600"/>
      <c r="J688" s="532"/>
      <c r="L688" s="130"/>
      <c r="N688" s="130"/>
      <c r="O688" s="130"/>
    </row>
    <row r="689" spans="1:17" ht="20.100000000000001" customHeight="1" x14ac:dyDescent="0.25">
      <c r="A689" s="130" t="str">
        <f t="shared" ref="A689:A749" ca="1" si="857">INDIRECT("'update Helper'!C"&amp;Q689)</f>
        <v>a16Dm000000LZa4IAG</v>
      </c>
      <c r="B689" s="601">
        <v>2</v>
      </c>
      <c r="C689" s="603" t="str">
        <f>IFERROR(VLOOKUP(B689,'Coverage Indicators - Section D'!$A$9:$AO$70,41,FALSE),"")</f>
        <v>KP-1c⁽ᴹ⁾ Percentage of sex workers reached with HIV prevention programs - defined package of services</v>
      </c>
      <c r="D689" s="605" t="str">
        <f>M689</f>
        <v/>
      </c>
      <c r="E689" s="605" t="str">
        <f>N689</f>
        <v/>
      </c>
      <c r="F689" s="131"/>
      <c r="G689" s="607" t="str">
        <f ca="1">IF(OR(INDIRECT("'update Helper'!E"&amp;Q689)="",F689&lt;&gt;0,F690&lt;&gt;0),IF(IFERROR((F689/F690),"")="","",(F689/F690)),INDIRECT("'update Helper'!E"&amp;Q689)/100)</f>
        <v/>
      </c>
      <c r="H689" s="597"/>
      <c r="I689" s="599"/>
      <c r="J689" s="531"/>
      <c r="K689" s="130">
        <f>IF(AND(EXACT(C689,C687),C687&lt;&gt;0),K687+1,0)</f>
        <v>14</v>
      </c>
      <c r="L689" s="130" t="str">
        <f t="shared" ref="L689" si="858">IF(C689&lt;&gt;"",C689&amp;"-"&amp;K689,"")</f>
        <v>KP-1c⁽ᴹ⁾ Percentage of sex workers reached with HIV prevention programs - defined package of services-14</v>
      </c>
      <c r="M689" s="130" t="str">
        <f t="array" ref="M689">IFERROR(IF(INDEX('Disaggregation Records'!$E$152:$E$513,MATCH(RIGHT(L689,255),RIGHT('Disaggregation Records'!$D$152:$D$513,255),0))="","",INDEX('Disaggregation Records'!$E$152:$E$513,MATCH(RIGHT(L689,255),RIGHT('Disaggregation Records'!$D$152:$D$513,255),0))),"")</f>
        <v/>
      </c>
      <c r="N689" s="130" t="str">
        <f t="array" ref="N689">IFERROR(IF(INDEX('Disaggregation Records'!$F$152:$F$513,MATCH(RIGHT(L689,255),RIGHT('Disaggregation Records'!$D$152:$D$513,255),0))="","",INDEX('Disaggregation Records'!$F$152:$F$513,MATCH(RIGHT(L689,255),RIGHT('Disaggregation Records'!$D$152:$D$513,255),0))),"")</f>
        <v/>
      </c>
      <c r="O689" s="130" t="str">
        <f t="array" ref="O689">IFERROR(IF(INDEX('Disaggregation Records'!$H$152:$H$513,MATCH(RIGHT(L689,255),RIGHT('Disaggregation Records'!$D$152:$D$513,255),0))="","",INDEX('Disaggregation Records'!$H$152:$H$513,MATCH(RIGHT(L689,255),RIGHT('Disaggregation Records'!$D$152:$D$513,255),0))),"")</f>
        <v/>
      </c>
      <c r="Q689" s="52">
        <f t="shared" ref="Q689" si="859">Q687+1</f>
        <v>1529</v>
      </c>
    </row>
    <row r="690" spans="1:17" ht="20.100000000000001" customHeight="1" x14ac:dyDescent="0.25">
      <c r="A690" s="130"/>
      <c r="B690" s="602"/>
      <c r="C690" s="604"/>
      <c r="D690" s="606"/>
      <c r="E690" s="606"/>
      <c r="F690" s="132"/>
      <c r="G690" s="608"/>
      <c r="H690" s="598"/>
      <c r="I690" s="600"/>
      <c r="J690" s="532"/>
      <c r="L690" s="130"/>
      <c r="N690" s="130"/>
      <c r="O690" s="130"/>
    </row>
    <row r="691" spans="1:17" ht="20.100000000000001" customHeight="1" x14ac:dyDescent="0.25">
      <c r="A691" s="130" t="str">
        <f t="shared" ref="A691:A751" ca="1" si="860">INDIRECT("'update Helper'!C"&amp;Q691)</f>
        <v>a16Dm000000LZa5IAG</v>
      </c>
      <c r="B691" s="601">
        <v>2</v>
      </c>
      <c r="C691" s="603" t="str">
        <f>IFERROR(VLOOKUP(B691,'Coverage Indicators - Section D'!$A$9:$AO$70,41,FALSE),"")</f>
        <v>KP-1c⁽ᴹ⁾ Percentage of sex workers reached with HIV prevention programs - defined package of services</v>
      </c>
      <c r="D691" s="605" t="str">
        <f>M691</f>
        <v/>
      </c>
      <c r="E691" s="605" t="str">
        <f>N691</f>
        <v/>
      </c>
      <c r="F691" s="131"/>
      <c r="G691" s="607" t="str">
        <f ca="1">IF(OR(INDIRECT("'update Helper'!E"&amp;Q691)="",F691&lt;&gt;0,F692&lt;&gt;0),IF(IFERROR((F691/F692),"")="","",(F691/F692)),INDIRECT("'update Helper'!E"&amp;Q691)/100)</f>
        <v/>
      </c>
      <c r="H691" s="597"/>
      <c r="I691" s="599"/>
      <c r="J691" s="531"/>
      <c r="K691" s="130">
        <f>IF(AND(EXACT(C691,C689),C689&lt;&gt;0),K689+1,0)</f>
        <v>15</v>
      </c>
      <c r="L691" s="130" t="str">
        <f t="shared" ref="L691" si="861">IF(C691&lt;&gt;"",C691&amp;"-"&amp;K691,"")</f>
        <v>KP-1c⁽ᴹ⁾ Percentage of sex workers reached with HIV prevention programs - defined package of services-15</v>
      </c>
      <c r="M691" s="130" t="str">
        <f t="array" ref="M691">IFERROR(IF(INDEX('Disaggregation Records'!$E$152:$E$513,MATCH(RIGHT(L691,255),RIGHT('Disaggregation Records'!$D$152:$D$513,255),0))="","",INDEX('Disaggregation Records'!$E$152:$E$513,MATCH(RIGHT(L691,255),RIGHT('Disaggregation Records'!$D$152:$D$513,255),0))),"")</f>
        <v/>
      </c>
      <c r="N691" s="130" t="str">
        <f t="array" ref="N691">IFERROR(IF(INDEX('Disaggregation Records'!$F$152:$F$513,MATCH(RIGHT(L691,255),RIGHT('Disaggregation Records'!$D$152:$D$513,255),0))="","",INDEX('Disaggregation Records'!$F$152:$F$513,MATCH(RIGHT(L691,255),RIGHT('Disaggregation Records'!$D$152:$D$513,255),0))),"")</f>
        <v/>
      </c>
      <c r="O691" s="130" t="str">
        <f t="array" ref="O691">IFERROR(IF(INDEX('Disaggregation Records'!$H$152:$H$513,MATCH(RIGHT(L691,255),RIGHT('Disaggregation Records'!$D$152:$D$513,255),0))="","",INDEX('Disaggregation Records'!$H$152:$H$513,MATCH(RIGHT(L691,255),RIGHT('Disaggregation Records'!$D$152:$D$513,255),0))),"")</f>
        <v/>
      </c>
      <c r="P691" s="130"/>
      <c r="Q691" s="52">
        <f t="shared" ref="Q691" si="862">Q689+1</f>
        <v>1530</v>
      </c>
    </row>
    <row r="692" spans="1:17" ht="20.100000000000001" customHeight="1" x14ac:dyDescent="0.25">
      <c r="B692" s="602"/>
      <c r="C692" s="604"/>
      <c r="D692" s="606"/>
      <c r="E692" s="606"/>
      <c r="F692" s="132"/>
      <c r="G692" s="608"/>
      <c r="H692" s="598"/>
      <c r="I692" s="600"/>
      <c r="J692" s="532"/>
      <c r="K692" s="130"/>
      <c r="L692" s="130"/>
      <c r="M692" s="130"/>
      <c r="N692" s="130"/>
      <c r="O692" s="130"/>
      <c r="P692" s="130"/>
    </row>
    <row r="693" spans="1:17" ht="20.100000000000001" customHeight="1" x14ac:dyDescent="0.25">
      <c r="A693" s="130" t="str">
        <f t="shared" ca="1" si="857"/>
        <v>a16Dm000000LZa6IAG</v>
      </c>
      <c r="B693" s="601">
        <v>2</v>
      </c>
      <c r="C693" s="603" t="str">
        <f>IFERROR(VLOOKUP(B693,'Coverage Indicators - Section D'!$A$9:$AO$70,41,FALSE),"")</f>
        <v>KP-1c⁽ᴹ⁾ Percentage of sex workers reached with HIV prevention programs - defined package of services</v>
      </c>
      <c r="D693" s="605" t="str">
        <f>M693</f>
        <v/>
      </c>
      <c r="E693" s="605" t="str">
        <f>N693</f>
        <v/>
      </c>
      <c r="F693" s="131"/>
      <c r="G693" s="607" t="str">
        <f ca="1">IF(OR(INDIRECT("'update Helper'!E"&amp;Q693)="",F693&lt;&gt;0,F694&lt;&gt;0),IF(IFERROR((F693/F694),"")="","",(F693/F694)),INDIRECT("'update Helper'!E"&amp;Q693)/100)</f>
        <v/>
      </c>
      <c r="H693" s="597"/>
      <c r="I693" s="599"/>
      <c r="J693" s="531"/>
      <c r="K693" s="130">
        <f>IF(AND(EXACT(C693,C691),C691&lt;&gt;0),K691+1,0)</f>
        <v>16</v>
      </c>
      <c r="L693" s="130" t="str">
        <f t="shared" ref="L693" si="863">IF(C693&lt;&gt;"",C693&amp;"-"&amp;K693,"")</f>
        <v>KP-1c⁽ᴹ⁾ Percentage of sex workers reached with HIV prevention programs - defined package of services-16</v>
      </c>
      <c r="M693" s="130" t="str">
        <f t="array" ref="M693">IFERROR(IF(INDEX('Disaggregation Records'!$E$152:$E$513,MATCH(RIGHT(L693,255),RIGHT('Disaggregation Records'!$D$152:$D$513,255),0))="","",INDEX('Disaggregation Records'!$E$152:$E$513,MATCH(RIGHT(L693,255),RIGHT('Disaggregation Records'!$D$152:$D$513,255),0))),"")</f>
        <v/>
      </c>
      <c r="N693" s="130" t="str">
        <f t="array" ref="N693">IFERROR(IF(INDEX('Disaggregation Records'!$F$152:$F$513,MATCH(RIGHT(L693,255),RIGHT('Disaggregation Records'!$D$152:$D$513,255),0))="","",INDEX('Disaggregation Records'!$F$152:$F$513,MATCH(RIGHT(L693,255),RIGHT('Disaggregation Records'!$D$152:$D$513,255),0))),"")</f>
        <v/>
      </c>
      <c r="O693" s="130" t="str">
        <f t="array" ref="O693">IFERROR(IF(INDEX('Disaggregation Records'!$H$152:$H$513,MATCH(RIGHT(L693,255),RIGHT('Disaggregation Records'!$D$152:$D$513,255),0))="","",INDEX('Disaggregation Records'!$H$152:$H$513,MATCH(RIGHT(L693,255),RIGHT('Disaggregation Records'!$D$152:$D$513,255),0))),"")</f>
        <v/>
      </c>
      <c r="P693" s="130"/>
      <c r="Q693" s="52">
        <f t="shared" ref="Q693" si="864">Q691+1</f>
        <v>1531</v>
      </c>
    </row>
    <row r="694" spans="1:17" ht="20.100000000000001" customHeight="1" x14ac:dyDescent="0.25">
      <c r="A694" s="130"/>
      <c r="B694" s="602"/>
      <c r="C694" s="604"/>
      <c r="D694" s="606"/>
      <c r="E694" s="606"/>
      <c r="F694" s="132"/>
      <c r="G694" s="608"/>
      <c r="H694" s="598"/>
      <c r="I694" s="600"/>
      <c r="J694" s="532"/>
      <c r="K694" s="130"/>
      <c r="L694" s="130"/>
      <c r="M694" s="130"/>
      <c r="N694" s="130"/>
      <c r="O694" s="130"/>
      <c r="P694" s="130"/>
    </row>
    <row r="695" spans="1:17" ht="20.100000000000001" customHeight="1" x14ac:dyDescent="0.25">
      <c r="A695" s="130" t="str">
        <f t="shared" ca="1" si="860"/>
        <v>a16Dm000000LZa7IAG</v>
      </c>
      <c r="B695" s="601">
        <v>2</v>
      </c>
      <c r="C695" s="603" t="str">
        <f>IFERROR(VLOOKUP(B695,'Coverage Indicators - Section D'!$A$9:$AO$70,41,FALSE),"")</f>
        <v>KP-1c⁽ᴹ⁾ Percentage of sex workers reached with HIV prevention programs - defined package of services</v>
      </c>
      <c r="D695" s="605" t="str">
        <f>M695</f>
        <v/>
      </c>
      <c r="E695" s="605" t="str">
        <f>N695</f>
        <v/>
      </c>
      <c r="F695" s="131"/>
      <c r="G695" s="607" t="str">
        <f ca="1">IF(OR(INDIRECT("'update Helper'!E"&amp;Q695)="",F695&lt;&gt;0,F696&lt;&gt;0),IF(IFERROR((F695/F696),"")="","",(F695/F696)),INDIRECT("'update Helper'!E"&amp;Q695)/100)</f>
        <v/>
      </c>
      <c r="H695" s="597"/>
      <c r="I695" s="599"/>
      <c r="J695" s="531"/>
      <c r="K695" s="130">
        <f>IF(AND(EXACT(C695,C693),C693&lt;&gt;0),K693+1,0)</f>
        <v>17</v>
      </c>
      <c r="L695" s="130" t="str">
        <f t="shared" ref="L695" si="865">IF(C695&lt;&gt;"",C695&amp;"-"&amp;K695,"")</f>
        <v>KP-1c⁽ᴹ⁾ Percentage of sex workers reached with HIV prevention programs - defined package of services-17</v>
      </c>
      <c r="M695" s="130" t="str">
        <f t="array" ref="M695">IFERROR(IF(INDEX('Disaggregation Records'!$E$152:$E$513,MATCH(RIGHT(L695,255),RIGHT('Disaggregation Records'!$D$152:$D$513,255),0))="","",INDEX('Disaggregation Records'!$E$152:$E$513,MATCH(RIGHT(L695,255),RIGHT('Disaggregation Records'!$D$152:$D$513,255),0))),"")</f>
        <v/>
      </c>
      <c r="N695" s="130" t="str">
        <f t="array" ref="N695">IFERROR(IF(INDEX('Disaggregation Records'!$F$152:$F$513,MATCH(RIGHT(L695,255),RIGHT('Disaggregation Records'!$D$152:$D$513,255),0))="","",INDEX('Disaggregation Records'!$F$152:$F$513,MATCH(RIGHT(L695,255),RIGHT('Disaggregation Records'!$D$152:$D$513,255),0))),"")</f>
        <v/>
      </c>
      <c r="O695" s="130" t="str">
        <f t="array" ref="O695">IFERROR(IF(INDEX('Disaggregation Records'!$H$152:$H$513,MATCH(RIGHT(L695,255),RIGHT('Disaggregation Records'!$D$152:$D$513,255),0))="","",INDEX('Disaggregation Records'!$H$152:$H$513,MATCH(RIGHT(L695,255),RIGHT('Disaggregation Records'!$D$152:$D$513,255),0))),"")</f>
        <v/>
      </c>
      <c r="Q695" s="52">
        <f t="shared" ref="Q695" si="866">Q693+1</f>
        <v>1532</v>
      </c>
    </row>
    <row r="696" spans="1:17" ht="20.100000000000001" customHeight="1" x14ac:dyDescent="0.25">
      <c r="B696" s="602"/>
      <c r="C696" s="604"/>
      <c r="D696" s="606"/>
      <c r="E696" s="606"/>
      <c r="F696" s="132"/>
      <c r="G696" s="608"/>
      <c r="H696" s="598"/>
      <c r="I696" s="600"/>
      <c r="J696" s="532"/>
      <c r="L696" s="130"/>
      <c r="N696" s="130"/>
      <c r="O696" s="130"/>
    </row>
    <row r="697" spans="1:17" ht="20.100000000000001" customHeight="1" x14ac:dyDescent="0.25">
      <c r="A697" s="130" t="str">
        <f t="shared" ca="1" si="857"/>
        <v>a16Dm000000LZa8IAG</v>
      </c>
      <c r="B697" s="601">
        <v>2</v>
      </c>
      <c r="C697" s="603" t="str">
        <f>IFERROR(VLOOKUP(B697,'Coverage Indicators - Section D'!$A$9:$AO$70,41,FALSE),"")</f>
        <v>KP-1c⁽ᴹ⁾ Percentage of sex workers reached with HIV prevention programs - defined package of services</v>
      </c>
      <c r="D697" s="605" t="str">
        <f>M697</f>
        <v/>
      </c>
      <c r="E697" s="605" t="str">
        <f>N697</f>
        <v/>
      </c>
      <c r="F697" s="131"/>
      <c r="G697" s="607" t="str">
        <f ca="1">IF(OR(INDIRECT("'update Helper'!E"&amp;Q697)="",F697&lt;&gt;0,F698&lt;&gt;0),IF(IFERROR((F697/F698),"")="","",(F697/F698)),INDIRECT("'update Helper'!E"&amp;Q697)/100)</f>
        <v/>
      </c>
      <c r="H697" s="597"/>
      <c r="I697" s="599"/>
      <c r="J697" s="531"/>
      <c r="K697" s="130">
        <f>IF(AND(EXACT(C697,C695),C695&lt;&gt;0),K695+1,0)</f>
        <v>18</v>
      </c>
      <c r="L697" s="130" t="str">
        <f t="shared" ref="L697" si="867">IF(C697&lt;&gt;"",C697&amp;"-"&amp;K697,"")</f>
        <v>KP-1c⁽ᴹ⁾ Percentage of sex workers reached with HIV prevention programs - defined package of services-18</v>
      </c>
      <c r="M697" s="130" t="str">
        <f t="array" ref="M697">IFERROR(IF(INDEX('Disaggregation Records'!$E$152:$E$513,MATCH(RIGHT(L697,255),RIGHT('Disaggregation Records'!$D$152:$D$513,255),0))="","",INDEX('Disaggregation Records'!$E$152:$E$513,MATCH(RIGHT(L697,255),RIGHT('Disaggregation Records'!$D$152:$D$513,255),0))),"")</f>
        <v/>
      </c>
      <c r="N697" s="130" t="str">
        <f t="array" ref="N697">IFERROR(IF(INDEX('Disaggregation Records'!$F$152:$F$513,MATCH(RIGHT(L697,255),RIGHT('Disaggregation Records'!$D$152:$D$513,255),0))="","",INDEX('Disaggregation Records'!$F$152:$F$513,MATCH(RIGHT(L697,255),RIGHT('Disaggregation Records'!$D$152:$D$513,255),0))),"")</f>
        <v/>
      </c>
      <c r="O697" s="130" t="str">
        <f t="array" ref="O697">IFERROR(IF(INDEX('Disaggregation Records'!$H$152:$H$513,MATCH(RIGHT(L697,255),RIGHT('Disaggregation Records'!$D$152:$D$513,255),0))="","",INDEX('Disaggregation Records'!$H$152:$H$513,MATCH(RIGHT(L697,255),RIGHT('Disaggregation Records'!$D$152:$D$513,255),0))),"")</f>
        <v/>
      </c>
      <c r="Q697" s="52">
        <f t="shared" ref="Q697" si="868">Q695+1</f>
        <v>1533</v>
      </c>
    </row>
    <row r="698" spans="1:17" ht="20.100000000000001" customHeight="1" x14ac:dyDescent="0.25">
      <c r="A698" s="130"/>
      <c r="B698" s="602"/>
      <c r="C698" s="604"/>
      <c r="D698" s="606"/>
      <c r="E698" s="606"/>
      <c r="F698" s="132"/>
      <c r="G698" s="608"/>
      <c r="H698" s="598"/>
      <c r="I698" s="600"/>
      <c r="J698" s="532"/>
      <c r="L698" s="130"/>
      <c r="N698" s="130"/>
      <c r="O698" s="130"/>
    </row>
    <row r="699" spans="1:17" ht="20.100000000000001" customHeight="1" x14ac:dyDescent="0.25">
      <c r="A699" s="130" t="str">
        <f t="shared" ca="1" si="860"/>
        <v>a16Dm000000LZa9IAG</v>
      </c>
      <c r="B699" s="601">
        <v>2</v>
      </c>
      <c r="C699" s="603" t="str">
        <f>IFERROR(VLOOKUP(B699,'Coverage Indicators - Section D'!$A$9:$AO$70,41,FALSE),"")</f>
        <v>KP-1c⁽ᴹ⁾ Percentage of sex workers reached with HIV prevention programs - defined package of services</v>
      </c>
      <c r="D699" s="605" t="str">
        <f>M699</f>
        <v/>
      </c>
      <c r="E699" s="605" t="str">
        <f>N699</f>
        <v/>
      </c>
      <c r="F699" s="131"/>
      <c r="G699" s="607" t="str">
        <f ca="1">IF(OR(INDIRECT("'update Helper'!E"&amp;Q699)="",F699&lt;&gt;0,F700&lt;&gt;0),IF(IFERROR((F699/F700),"")="","",(F699/F700)),INDIRECT("'update Helper'!E"&amp;Q699)/100)</f>
        <v/>
      </c>
      <c r="H699" s="597"/>
      <c r="I699" s="599"/>
      <c r="J699" s="531"/>
      <c r="K699" s="130">
        <f>IF(AND(EXACT(C699,C697),C697&lt;&gt;0),K697+1,0)</f>
        <v>19</v>
      </c>
      <c r="L699" s="130" t="str">
        <f t="shared" ref="L699" si="869">IF(C699&lt;&gt;"",C699&amp;"-"&amp;K699,"")</f>
        <v>KP-1c⁽ᴹ⁾ Percentage of sex workers reached with HIV prevention programs - defined package of services-19</v>
      </c>
      <c r="M699" s="130" t="str">
        <f t="array" ref="M699">IFERROR(IF(INDEX('Disaggregation Records'!$E$152:$E$513,MATCH(RIGHT(L699,255),RIGHT('Disaggregation Records'!$D$152:$D$513,255),0))="","",INDEX('Disaggregation Records'!$E$152:$E$513,MATCH(RIGHT(L699,255),RIGHT('Disaggregation Records'!$D$152:$D$513,255),0))),"")</f>
        <v/>
      </c>
      <c r="N699" s="130" t="str">
        <f t="array" ref="N699">IFERROR(IF(INDEX('Disaggregation Records'!$F$152:$F$513,MATCH(RIGHT(L699,255),RIGHT('Disaggregation Records'!$D$152:$D$513,255),0))="","",INDEX('Disaggregation Records'!$F$152:$F$513,MATCH(RIGHT(L699,255),RIGHT('Disaggregation Records'!$D$152:$D$513,255),0))),"")</f>
        <v/>
      </c>
      <c r="O699" s="130" t="str">
        <f t="array" ref="O699">IFERROR(IF(INDEX('Disaggregation Records'!$H$152:$H$513,MATCH(RIGHT(L699,255),RIGHT('Disaggregation Records'!$D$152:$D$513,255),0))="","",INDEX('Disaggregation Records'!$H$152:$H$513,MATCH(RIGHT(L699,255),RIGHT('Disaggregation Records'!$D$152:$D$513,255),0))),"")</f>
        <v/>
      </c>
      <c r="Q699" s="52">
        <f t="shared" ref="Q699" si="870">Q697+1</f>
        <v>1534</v>
      </c>
    </row>
    <row r="700" spans="1:17" ht="20.100000000000001" customHeight="1" x14ac:dyDescent="0.25">
      <c r="B700" s="602"/>
      <c r="C700" s="604"/>
      <c r="D700" s="606"/>
      <c r="E700" s="606"/>
      <c r="F700" s="132"/>
      <c r="G700" s="608"/>
      <c r="H700" s="598"/>
      <c r="I700" s="600"/>
      <c r="J700" s="532"/>
      <c r="L700" s="130"/>
      <c r="N700" s="130"/>
      <c r="O700" s="130"/>
    </row>
    <row r="701" spans="1:17" ht="63" customHeight="1" x14ac:dyDescent="0.25">
      <c r="A701" s="130" t="str">
        <f t="shared" ca="1" si="857"/>
        <v>a16Dm000000LZaAIAW</v>
      </c>
      <c r="B701" s="601">
        <v>3</v>
      </c>
      <c r="C701" s="603" t="str">
        <f>IFERROR(VLOOKUP(B701,'Coverage Indicators - Section D'!$A$9:$AO$70,41,FALSE),"")</f>
        <v>KP-1b⁽ᴹ⁾ Percentage of transgender people reached with HIV prevention programs - defined package of services</v>
      </c>
      <c r="D701" s="605" t="str">
        <f>M701</f>
        <v>Age</v>
      </c>
      <c r="E701" s="605" t="str">
        <f>N701</f>
        <v>25+</v>
      </c>
      <c r="F701" s="131">
        <v>163</v>
      </c>
      <c r="G701" s="607" t="str">
        <f ca="1">IF(OR(INDIRECT("'update Helper'!E"&amp;Q701)="",F701&lt;&gt;0,F702&lt;&gt;0),IF(IFERROR((F701/F702),"")="","",(F701/F702)),INDIRECT("'update Helper'!E"&amp;Q701)/100)</f>
        <v/>
      </c>
      <c r="H701" s="597">
        <v>2022</v>
      </c>
      <c r="I701" s="599" t="s">
        <v>2239</v>
      </c>
      <c r="J701" s="531" t="s">
        <v>2242</v>
      </c>
      <c r="K701" s="130">
        <f>IF(AND(EXACT(C701,C699),C699&lt;&gt;0),K699+1,0)</f>
        <v>0</v>
      </c>
      <c r="L701" s="130" t="str">
        <f t="shared" ref="L701" si="871">IF(C701&lt;&gt;"",C701&amp;"-"&amp;K701,"")</f>
        <v>KP-1b⁽ᴹ⁾ Percentage of transgender people reached with HIV prevention programs - defined package of services-0</v>
      </c>
      <c r="M701" s="130" t="str">
        <f t="array" ref="M701">IFERROR(IF(INDEX('Disaggregation Records'!$E$152:$E$513,MATCH(RIGHT(L701,255),RIGHT('Disaggregation Records'!$D$152:$D$513,255),0))="","",INDEX('Disaggregation Records'!$E$152:$E$513,MATCH(RIGHT(L701,255),RIGHT('Disaggregation Records'!$D$152:$D$513,255),0))),"")</f>
        <v>Age</v>
      </c>
      <c r="N701" s="130" t="str">
        <f t="array" ref="N701">IFERROR(IF(INDEX('Disaggregation Records'!$F$152:$F$513,MATCH(RIGHT(L701,255),RIGHT('Disaggregation Records'!$D$152:$D$513,255),0))="","",INDEX('Disaggregation Records'!$F$152:$F$513,MATCH(RIGHT(L701,255),RIGHT('Disaggregation Records'!$D$152:$D$513,255),0))),"")</f>
        <v>25+</v>
      </c>
      <c r="O701" s="130" t="str">
        <f t="array" ref="O701">IFERROR(IF(INDEX('Disaggregation Records'!$H$152:$H$513,MATCH(RIGHT(L701,255),RIGHT('Disaggregation Records'!$D$152:$D$513,255),0))="","",INDEX('Disaggregation Records'!$H$152:$H$513,MATCH(RIGHT(L701,255),RIGHT('Disaggregation Records'!$D$152:$D$513,255),0))),"")</f>
        <v>IDR-01181</v>
      </c>
      <c r="P701" s="130"/>
      <c r="Q701" s="52">
        <f t="shared" ref="Q701" si="872">Q699+1</f>
        <v>1535</v>
      </c>
    </row>
    <row r="702" spans="1:17" ht="17.25" customHeight="1" x14ac:dyDescent="0.25">
      <c r="A702" s="130"/>
      <c r="B702" s="602"/>
      <c r="C702" s="604"/>
      <c r="D702" s="606"/>
      <c r="E702" s="606"/>
      <c r="F702" s="132"/>
      <c r="G702" s="608"/>
      <c r="H702" s="598"/>
      <c r="I702" s="600"/>
      <c r="J702" s="532"/>
      <c r="K702" s="130"/>
      <c r="L702" s="130"/>
      <c r="M702" s="130"/>
      <c r="N702" s="130"/>
      <c r="O702" s="130"/>
      <c r="P702" s="130"/>
    </row>
    <row r="703" spans="1:17" ht="41.1" customHeight="1" x14ac:dyDescent="0.25">
      <c r="A703" s="130" t="str">
        <f t="shared" ca="1" si="860"/>
        <v>a16Dm000000LZaBIAW</v>
      </c>
      <c r="B703" s="601">
        <v>3</v>
      </c>
      <c r="C703" s="603" t="str">
        <f>IFERROR(VLOOKUP(B703,'Coverage Indicators - Section D'!$A$9:$AO$70,41,FALSE),"")</f>
        <v>KP-1b⁽ᴹ⁾ Percentage of transgender people reached with HIV prevention programs - defined package of services</v>
      </c>
      <c r="D703" s="605" t="str">
        <f>M703</f>
        <v>Age</v>
      </c>
      <c r="E703" s="605" t="str">
        <f>N703</f>
        <v>20-24</v>
      </c>
      <c r="F703" s="131">
        <v>127</v>
      </c>
      <c r="G703" s="607" t="str">
        <f ca="1">IF(OR(INDIRECT("'update Helper'!E"&amp;Q703)="",F703&lt;&gt;0,F704&lt;&gt;0),IF(IFERROR((F703/F704),"")="","",(F703/F704)),INDIRECT("'update Helper'!E"&amp;Q703)/100)</f>
        <v/>
      </c>
      <c r="H703" s="597">
        <v>2022</v>
      </c>
      <c r="I703" s="599" t="s">
        <v>2239</v>
      </c>
      <c r="J703" s="531" t="s">
        <v>2242</v>
      </c>
      <c r="K703" s="130">
        <f>IF(AND(EXACT(C703,C701),C701&lt;&gt;0),K701+1,0)</f>
        <v>1</v>
      </c>
      <c r="L703" s="130" t="str">
        <f t="shared" ref="L703" si="873">IF(C703&lt;&gt;"",C703&amp;"-"&amp;K703,"")</f>
        <v>KP-1b⁽ᴹ⁾ Percentage of transgender people reached with HIV prevention programs - defined package of services-1</v>
      </c>
      <c r="M703" s="130" t="str">
        <f t="array" ref="M703">IFERROR(IF(INDEX('Disaggregation Records'!$E$152:$E$513,MATCH(RIGHT(L703,255),RIGHT('Disaggregation Records'!$D$152:$D$513,255),0))="","",INDEX('Disaggregation Records'!$E$152:$E$513,MATCH(RIGHT(L703,255),RIGHT('Disaggregation Records'!$D$152:$D$513,255),0))),"")</f>
        <v>Age</v>
      </c>
      <c r="N703" s="130" t="str">
        <f t="array" ref="N703">IFERROR(IF(INDEX('Disaggregation Records'!$F$152:$F$513,MATCH(RIGHT(L703,255),RIGHT('Disaggregation Records'!$D$152:$D$513,255),0))="","",INDEX('Disaggregation Records'!$F$152:$F$513,MATCH(RIGHT(L703,255),RIGHT('Disaggregation Records'!$D$152:$D$513,255),0))),"")</f>
        <v>20-24</v>
      </c>
      <c r="O703" s="130" t="str">
        <f t="array" ref="O703">IFERROR(IF(INDEX('Disaggregation Records'!$H$152:$H$513,MATCH(RIGHT(L703,255),RIGHT('Disaggregation Records'!$D$152:$D$513,255),0))="","",INDEX('Disaggregation Records'!$H$152:$H$513,MATCH(RIGHT(L703,255),RIGHT('Disaggregation Records'!$D$152:$D$513,255),0))),"")</f>
        <v>IDR-01180</v>
      </c>
      <c r="P703" s="130"/>
      <c r="Q703" s="52">
        <f t="shared" ref="Q703" si="874">Q701+1</f>
        <v>1536</v>
      </c>
    </row>
    <row r="704" spans="1:17" ht="43.5" customHeight="1" x14ac:dyDescent="0.25">
      <c r="B704" s="602"/>
      <c r="C704" s="604"/>
      <c r="D704" s="606"/>
      <c r="E704" s="606"/>
      <c r="F704" s="132"/>
      <c r="G704" s="608"/>
      <c r="H704" s="598"/>
      <c r="I704" s="600"/>
      <c r="J704" s="532"/>
      <c r="K704" s="130"/>
      <c r="L704" s="130"/>
      <c r="M704" s="130"/>
      <c r="N704" s="130"/>
      <c r="O704" s="130"/>
      <c r="P704" s="130"/>
    </row>
    <row r="705" spans="1:17" ht="40.5" customHeight="1" x14ac:dyDescent="0.25">
      <c r="A705" s="130" t="str">
        <f t="shared" ca="1" si="857"/>
        <v>a16Dm000000LZaCIAW</v>
      </c>
      <c r="B705" s="601">
        <v>3</v>
      </c>
      <c r="C705" s="603" t="str">
        <f>IFERROR(VLOOKUP(B705,'Coverage Indicators - Section D'!$A$9:$AO$70,41,FALSE),"")</f>
        <v>KP-1b⁽ᴹ⁾ Percentage of transgender people reached with HIV prevention programs - defined package of services</v>
      </c>
      <c r="D705" s="605" t="str">
        <f>M705</f>
        <v>Gender</v>
      </c>
      <c r="E705" s="605" t="str">
        <f>N705</f>
        <v>Transwomen</v>
      </c>
      <c r="F705" s="131">
        <v>175</v>
      </c>
      <c r="G705" s="607" t="str">
        <f ca="1">IF(OR(INDIRECT("'update Helper'!E"&amp;Q705)="",F705&lt;&gt;0,F706&lt;&gt;0),IF(IFERROR((F705/F706),"")="","",(F705/F706)),INDIRECT("'update Helper'!E"&amp;Q705)/100)</f>
        <v/>
      </c>
      <c r="H705" s="597">
        <v>2022</v>
      </c>
      <c r="I705" s="599" t="s">
        <v>2239</v>
      </c>
      <c r="J705" s="531" t="s">
        <v>2242</v>
      </c>
      <c r="K705" s="130">
        <f>IF(AND(EXACT(C705,C703),C703&lt;&gt;0),K703+1,0)</f>
        <v>2</v>
      </c>
      <c r="L705" s="130" t="str">
        <f t="shared" ref="L705" si="875">IF(C705&lt;&gt;"",C705&amp;"-"&amp;K705,"")</f>
        <v>KP-1b⁽ᴹ⁾ Percentage of transgender people reached with HIV prevention programs - defined package of services-2</v>
      </c>
      <c r="M705" s="130" t="str">
        <f t="array" ref="M705">IFERROR(IF(INDEX('Disaggregation Records'!$E$152:$E$513,MATCH(RIGHT(L705,255),RIGHT('Disaggregation Records'!$D$152:$D$513,255),0))="","",INDEX('Disaggregation Records'!$E$152:$E$513,MATCH(RIGHT(L705,255),RIGHT('Disaggregation Records'!$D$152:$D$513,255),0))),"")</f>
        <v>Gender</v>
      </c>
      <c r="N705" s="130" t="str">
        <f t="array" ref="N705">IFERROR(IF(INDEX('Disaggregation Records'!$F$152:$F$513,MATCH(RIGHT(L705,255),RIGHT('Disaggregation Records'!$D$152:$D$513,255),0))="","",INDEX('Disaggregation Records'!$F$152:$F$513,MATCH(RIGHT(L705,255),RIGHT('Disaggregation Records'!$D$152:$D$513,255),0))),"")</f>
        <v>Transwomen</v>
      </c>
      <c r="O705" s="130" t="str">
        <f t="array" ref="O705">IFERROR(IF(INDEX('Disaggregation Records'!$H$152:$H$513,MATCH(RIGHT(L705,255),RIGHT('Disaggregation Records'!$D$152:$D$513,255),0))="","",INDEX('Disaggregation Records'!$H$152:$H$513,MATCH(RIGHT(L705,255),RIGHT('Disaggregation Records'!$D$152:$D$513,255),0))),"")</f>
        <v>IDR-01179</v>
      </c>
      <c r="Q705" s="52">
        <f t="shared" ref="Q705" si="876">Q703+1</f>
        <v>1537</v>
      </c>
    </row>
    <row r="706" spans="1:17" ht="41.25" customHeight="1" x14ac:dyDescent="0.25">
      <c r="A706" s="130"/>
      <c r="B706" s="602"/>
      <c r="C706" s="604"/>
      <c r="D706" s="606"/>
      <c r="E706" s="606"/>
      <c r="F706" s="132"/>
      <c r="G706" s="608"/>
      <c r="H706" s="598"/>
      <c r="I706" s="600"/>
      <c r="J706" s="532"/>
      <c r="L706" s="130"/>
      <c r="N706" s="130"/>
      <c r="O706" s="130"/>
    </row>
    <row r="707" spans="1:17" ht="39" customHeight="1" x14ac:dyDescent="0.25">
      <c r="A707" s="130" t="str">
        <f t="shared" ca="1" si="860"/>
        <v>a16Dm000000LZaDIAW</v>
      </c>
      <c r="B707" s="601">
        <v>3</v>
      </c>
      <c r="C707" s="603" t="str">
        <f>IFERROR(VLOOKUP(B707,'Coverage Indicators - Section D'!$A$9:$AO$70,41,FALSE),"")</f>
        <v>KP-1b⁽ᴹ⁾ Percentage of transgender people reached with HIV prevention programs - defined package of services</v>
      </c>
      <c r="D707" s="605" t="str">
        <f>M707</f>
        <v>Gender</v>
      </c>
      <c r="E707" s="605" t="str">
        <f>N707</f>
        <v>Transmen</v>
      </c>
      <c r="F707" s="131">
        <v>122</v>
      </c>
      <c r="G707" s="607" t="str">
        <f ca="1">IF(OR(INDIRECT("'update Helper'!E"&amp;Q707)="",F707&lt;&gt;0,F708&lt;&gt;0),IF(IFERROR((F707/F708),"")="","",(F707/F708)),INDIRECT("'update Helper'!E"&amp;Q707)/100)</f>
        <v/>
      </c>
      <c r="H707" s="597">
        <v>2022</v>
      </c>
      <c r="I707" s="599" t="s">
        <v>2239</v>
      </c>
      <c r="J707" s="531" t="s">
        <v>2242</v>
      </c>
      <c r="K707" s="130">
        <f>IF(AND(EXACT(C707,C705),C705&lt;&gt;0),K705+1,0)</f>
        <v>3</v>
      </c>
      <c r="L707" s="130" t="str">
        <f t="shared" ref="L707" si="877">IF(C707&lt;&gt;"",C707&amp;"-"&amp;K707,"")</f>
        <v>KP-1b⁽ᴹ⁾ Percentage of transgender people reached with HIV prevention programs - defined package of services-3</v>
      </c>
      <c r="M707" s="130" t="str">
        <f t="array" ref="M707">IFERROR(IF(INDEX('Disaggregation Records'!$E$152:$E$513,MATCH(RIGHT(L707,255),RIGHT('Disaggregation Records'!$D$152:$D$513,255),0))="","",INDEX('Disaggregation Records'!$E$152:$E$513,MATCH(RIGHT(L707,255),RIGHT('Disaggregation Records'!$D$152:$D$513,255),0))),"")</f>
        <v>Gender</v>
      </c>
      <c r="N707" s="130" t="str">
        <f t="array" ref="N707">IFERROR(IF(INDEX('Disaggregation Records'!$F$152:$F$513,MATCH(RIGHT(L707,255),RIGHT('Disaggregation Records'!$D$152:$D$513,255),0))="","",INDEX('Disaggregation Records'!$F$152:$F$513,MATCH(RIGHT(L707,255),RIGHT('Disaggregation Records'!$D$152:$D$513,255),0))),"")</f>
        <v>Transmen</v>
      </c>
      <c r="O707" s="130" t="str">
        <f t="array" ref="O707">IFERROR(IF(INDEX('Disaggregation Records'!$H$152:$H$513,MATCH(RIGHT(L707,255),RIGHT('Disaggregation Records'!$D$152:$D$513,255),0))="","",INDEX('Disaggregation Records'!$H$152:$H$513,MATCH(RIGHT(L707,255),RIGHT('Disaggregation Records'!$D$152:$D$513,255),0))),"")</f>
        <v>IDR-01178</v>
      </c>
      <c r="Q707" s="52">
        <f t="shared" ref="Q707" si="878">Q705+1</f>
        <v>1538</v>
      </c>
    </row>
    <row r="708" spans="1:17" ht="45" customHeight="1" x14ac:dyDescent="0.25">
      <c r="B708" s="602"/>
      <c r="C708" s="604"/>
      <c r="D708" s="606"/>
      <c r="E708" s="606"/>
      <c r="F708" s="132"/>
      <c r="G708" s="608"/>
      <c r="H708" s="598"/>
      <c r="I708" s="600"/>
      <c r="J708" s="532"/>
      <c r="L708" s="130"/>
      <c r="N708" s="130"/>
      <c r="O708" s="130"/>
    </row>
    <row r="709" spans="1:17" ht="52.05" customHeight="1" x14ac:dyDescent="0.25">
      <c r="A709" s="130" t="str">
        <f t="shared" ca="1" si="857"/>
        <v>a16Dm000000LZaEIAW</v>
      </c>
      <c r="B709" s="601">
        <v>3</v>
      </c>
      <c r="C709" s="603" t="str">
        <f>IFERROR(VLOOKUP(B709,'Coverage Indicators - Section D'!$A$9:$AO$70,41,FALSE),"")</f>
        <v>KP-1b⁽ᴹ⁾ Percentage of transgender people reached with HIV prevention programs - defined package of services</v>
      </c>
      <c r="D709" s="605" t="str">
        <f>M709</f>
        <v>Age</v>
      </c>
      <c r="E709" s="605" t="str">
        <f>N709</f>
        <v>15-19</v>
      </c>
      <c r="F709" s="131">
        <v>7</v>
      </c>
      <c r="G709" s="607" t="str">
        <f ca="1">IF(OR(INDIRECT("'update Helper'!E"&amp;Q709)="",F709&lt;&gt;0,F710&lt;&gt;0),IF(IFERROR((F709/F710),"")="","",(F709/F710)),INDIRECT("'update Helper'!E"&amp;Q709)/100)</f>
        <v/>
      </c>
      <c r="H709" s="597">
        <v>2022</v>
      </c>
      <c r="I709" s="599" t="s">
        <v>2239</v>
      </c>
      <c r="J709" s="531" t="s">
        <v>2242</v>
      </c>
      <c r="K709" s="130">
        <f>IF(AND(EXACT(C709,C707),C707&lt;&gt;0),K707+1,0)</f>
        <v>4</v>
      </c>
      <c r="L709" s="130" t="str">
        <f t="shared" ref="L709" si="879">IF(C709&lt;&gt;"",C709&amp;"-"&amp;K709,"")</f>
        <v>KP-1b⁽ᴹ⁾ Percentage of transgender people reached with HIV prevention programs - defined package of services-4</v>
      </c>
      <c r="M709" s="130" t="str">
        <f t="array" ref="M709">IFERROR(IF(INDEX('Disaggregation Records'!$E$152:$E$513,MATCH(RIGHT(L709,255),RIGHT('Disaggregation Records'!$D$152:$D$513,255),0))="","",INDEX('Disaggregation Records'!$E$152:$E$513,MATCH(RIGHT(L709,255),RIGHT('Disaggregation Records'!$D$152:$D$513,255),0))),"")</f>
        <v>Age</v>
      </c>
      <c r="N709" s="130" t="str">
        <f t="array" ref="N709">IFERROR(IF(INDEX('Disaggregation Records'!$F$152:$F$513,MATCH(RIGHT(L709,255),RIGHT('Disaggregation Records'!$D$152:$D$513,255),0))="","",INDEX('Disaggregation Records'!$F$152:$F$513,MATCH(RIGHT(L709,255),RIGHT('Disaggregation Records'!$D$152:$D$513,255),0))),"")</f>
        <v>15-19</v>
      </c>
      <c r="O709" s="130" t="str">
        <f t="array" ref="O709">IFERROR(IF(INDEX('Disaggregation Records'!$H$152:$H$513,MATCH(RIGHT(L709,255),RIGHT('Disaggregation Records'!$D$152:$D$513,255),0))="","",INDEX('Disaggregation Records'!$H$152:$H$513,MATCH(RIGHT(L709,255),RIGHT('Disaggregation Records'!$D$152:$D$513,255),0))),"")</f>
        <v>IDR-01177</v>
      </c>
      <c r="Q709" s="52">
        <f t="shared" ref="Q709" si="880">Q707+1</f>
        <v>1539</v>
      </c>
    </row>
    <row r="710" spans="1:17" ht="27.75" customHeight="1" x14ac:dyDescent="0.25">
      <c r="A710" s="130"/>
      <c r="B710" s="602"/>
      <c r="C710" s="604"/>
      <c r="D710" s="606"/>
      <c r="E710" s="606"/>
      <c r="F710" s="132"/>
      <c r="G710" s="608"/>
      <c r="H710" s="598"/>
      <c r="I710" s="600"/>
      <c r="J710" s="532"/>
      <c r="L710" s="130"/>
      <c r="N710" s="130"/>
      <c r="O710" s="130"/>
    </row>
    <row r="711" spans="1:17" ht="20.100000000000001" customHeight="1" x14ac:dyDescent="0.25">
      <c r="A711" s="130" t="str">
        <f t="shared" ca="1" si="860"/>
        <v>a16Dm000000LZaFIAW</v>
      </c>
      <c r="B711" s="601">
        <v>3</v>
      </c>
      <c r="C711" s="603" t="str">
        <f>IFERROR(VLOOKUP(B711,'Coverage Indicators - Section D'!$A$9:$AO$70,41,FALSE),"")</f>
        <v>KP-1b⁽ᴹ⁾ Percentage of transgender people reached with HIV prevention programs - defined package of services</v>
      </c>
      <c r="D711" s="605" t="str">
        <f>M711</f>
        <v/>
      </c>
      <c r="E711" s="605" t="str">
        <f>N711</f>
        <v/>
      </c>
      <c r="F711" s="131"/>
      <c r="G711" s="607" t="str">
        <f ca="1">IF(OR(INDIRECT("'update Helper'!E"&amp;Q711)="",F711&lt;&gt;0,F712&lt;&gt;0),IF(IFERROR((F711/F712),"")="","",(F711/F712)),INDIRECT("'update Helper'!E"&amp;Q711)/100)</f>
        <v/>
      </c>
      <c r="H711" s="597"/>
      <c r="I711" s="599"/>
      <c r="J711" s="531"/>
      <c r="K711" s="130">
        <f>IF(AND(EXACT(C711,C709),C709&lt;&gt;0),K709+1,0)</f>
        <v>5</v>
      </c>
      <c r="L711" s="130" t="str">
        <f t="shared" ref="L711" si="881">IF(C711&lt;&gt;"",C711&amp;"-"&amp;K711,"")</f>
        <v>KP-1b⁽ᴹ⁾ Percentage of transgender people reached with HIV prevention programs - defined package of services-5</v>
      </c>
      <c r="M711" s="130" t="str">
        <f t="array" ref="M711">IFERROR(IF(INDEX('Disaggregation Records'!$E$152:$E$513,MATCH(RIGHT(L711,255),RIGHT('Disaggregation Records'!$D$152:$D$513,255),0))="","",INDEX('Disaggregation Records'!$E$152:$E$513,MATCH(RIGHT(L711,255),RIGHT('Disaggregation Records'!$D$152:$D$513,255),0))),"")</f>
        <v/>
      </c>
      <c r="N711" s="130" t="str">
        <f t="array" ref="N711">IFERROR(IF(INDEX('Disaggregation Records'!$F$152:$F$513,MATCH(RIGHT(L711,255),RIGHT('Disaggregation Records'!$D$152:$D$513,255),0))="","",INDEX('Disaggregation Records'!$F$152:$F$513,MATCH(RIGHT(L711,255),RIGHT('Disaggregation Records'!$D$152:$D$513,255),0))),"")</f>
        <v/>
      </c>
      <c r="O711" s="130" t="str">
        <f t="array" ref="O711">IFERROR(IF(INDEX('Disaggregation Records'!$H$152:$H$513,MATCH(RIGHT(L711,255),RIGHT('Disaggregation Records'!$D$152:$D$513,255),0))="","",INDEX('Disaggregation Records'!$H$152:$H$513,MATCH(RIGHT(L711,255),RIGHT('Disaggregation Records'!$D$152:$D$513,255),0))),"")</f>
        <v/>
      </c>
      <c r="P711" s="130"/>
      <c r="Q711" s="52">
        <f t="shared" ref="Q711" si="882">Q709+1</f>
        <v>1540</v>
      </c>
    </row>
    <row r="712" spans="1:17" ht="20.100000000000001" customHeight="1" x14ac:dyDescent="0.25">
      <c r="B712" s="602"/>
      <c r="C712" s="604"/>
      <c r="D712" s="606"/>
      <c r="E712" s="606"/>
      <c r="F712" s="132"/>
      <c r="G712" s="608"/>
      <c r="H712" s="598"/>
      <c r="I712" s="600"/>
      <c r="J712" s="532"/>
      <c r="K712" s="130"/>
      <c r="L712" s="130"/>
      <c r="M712" s="130"/>
      <c r="N712" s="130"/>
      <c r="O712" s="130"/>
      <c r="P712" s="130"/>
    </row>
    <row r="713" spans="1:17" ht="20.100000000000001" customHeight="1" x14ac:dyDescent="0.25">
      <c r="A713" s="130" t="str">
        <f t="shared" ca="1" si="857"/>
        <v>a16Dm000000LZaGIAW</v>
      </c>
      <c r="B713" s="601">
        <v>3</v>
      </c>
      <c r="C713" s="603" t="str">
        <f>IFERROR(VLOOKUP(B713,'Coverage Indicators - Section D'!$A$9:$AO$70,41,FALSE),"")</f>
        <v>KP-1b⁽ᴹ⁾ Percentage of transgender people reached with HIV prevention programs - defined package of services</v>
      </c>
      <c r="D713" s="605" t="str">
        <f>M713</f>
        <v/>
      </c>
      <c r="E713" s="605" t="str">
        <f>N713</f>
        <v/>
      </c>
      <c r="F713" s="131"/>
      <c r="G713" s="607" t="str">
        <f ca="1">IF(OR(INDIRECT("'update Helper'!E"&amp;Q713)="",F713&lt;&gt;0,F714&lt;&gt;0),IF(IFERROR((F713/F714),"")="","",(F713/F714)),INDIRECT("'update Helper'!E"&amp;Q713)/100)</f>
        <v/>
      </c>
      <c r="H713" s="597"/>
      <c r="I713" s="599"/>
      <c r="J713" s="531"/>
      <c r="K713" s="130">
        <f>IF(AND(EXACT(C713,C711),C711&lt;&gt;0),K711+1,0)</f>
        <v>6</v>
      </c>
      <c r="L713" s="130" t="str">
        <f t="shared" ref="L713" si="883">IF(C713&lt;&gt;"",C713&amp;"-"&amp;K713,"")</f>
        <v>KP-1b⁽ᴹ⁾ Percentage of transgender people reached with HIV prevention programs - defined package of services-6</v>
      </c>
      <c r="M713" s="130" t="str">
        <f t="array" ref="M713">IFERROR(IF(INDEX('Disaggregation Records'!$E$152:$E$513,MATCH(RIGHT(L713,255),RIGHT('Disaggregation Records'!$D$152:$D$513,255),0))="","",INDEX('Disaggregation Records'!$E$152:$E$513,MATCH(RIGHT(L713,255),RIGHT('Disaggregation Records'!$D$152:$D$513,255),0))),"")</f>
        <v/>
      </c>
      <c r="N713" s="130" t="str">
        <f t="array" ref="N713">IFERROR(IF(INDEX('Disaggregation Records'!$F$152:$F$513,MATCH(RIGHT(L713,255),RIGHT('Disaggregation Records'!$D$152:$D$513,255),0))="","",INDEX('Disaggregation Records'!$F$152:$F$513,MATCH(RIGHT(L713,255),RIGHT('Disaggregation Records'!$D$152:$D$513,255),0))),"")</f>
        <v/>
      </c>
      <c r="O713" s="130" t="str">
        <f t="array" ref="O713">IFERROR(IF(INDEX('Disaggregation Records'!$H$152:$H$513,MATCH(RIGHT(L713,255),RIGHT('Disaggregation Records'!$D$152:$D$513,255),0))="","",INDEX('Disaggregation Records'!$H$152:$H$513,MATCH(RIGHT(L713,255),RIGHT('Disaggregation Records'!$D$152:$D$513,255),0))),"")</f>
        <v/>
      </c>
      <c r="P713" s="130"/>
      <c r="Q713" s="52">
        <f t="shared" ref="Q713" si="884">Q711+1</f>
        <v>1541</v>
      </c>
    </row>
    <row r="714" spans="1:17" ht="20.100000000000001" customHeight="1" x14ac:dyDescent="0.25">
      <c r="A714" s="130"/>
      <c r="B714" s="602"/>
      <c r="C714" s="604"/>
      <c r="D714" s="606"/>
      <c r="E714" s="606"/>
      <c r="F714" s="132"/>
      <c r="G714" s="608"/>
      <c r="H714" s="598"/>
      <c r="I714" s="600"/>
      <c r="J714" s="532"/>
      <c r="K714" s="130"/>
      <c r="L714" s="130"/>
      <c r="M714" s="130"/>
      <c r="N714" s="130"/>
      <c r="O714" s="130"/>
      <c r="P714" s="130"/>
    </row>
    <row r="715" spans="1:17" ht="20.100000000000001" customHeight="1" x14ac:dyDescent="0.25">
      <c r="A715" s="130" t="str">
        <f t="shared" ca="1" si="860"/>
        <v>a16Dm000000LZaHIAW</v>
      </c>
      <c r="B715" s="601">
        <v>3</v>
      </c>
      <c r="C715" s="603" t="str">
        <f>IFERROR(VLOOKUP(B715,'Coverage Indicators - Section D'!$A$9:$AO$70,41,FALSE),"")</f>
        <v>KP-1b⁽ᴹ⁾ Percentage of transgender people reached with HIV prevention programs - defined package of services</v>
      </c>
      <c r="D715" s="605" t="str">
        <f>M715</f>
        <v/>
      </c>
      <c r="E715" s="605" t="str">
        <f>N715</f>
        <v/>
      </c>
      <c r="F715" s="131"/>
      <c r="G715" s="607" t="str">
        <f ca="1">IF(OR(INDIRECT("'update Helper'!E"&amp;Q715)="",F715&lt;&gt;0,F716&lt;&gt;0),IF(IFERROR((F715/F716),"")="","",(F715/F716)),INDIRECT("'update Helper'!E"&amp;Q715)/100)</f>
        <v/>
      </c>
      <c r="H715" s="597"/>
      <c r="I715" s="599"/>
      <c r="J715" s="531"/>
      <c r="K715" s="130">
        <f>IF(AND(EXACT(C715,C713),C713&lt;&gt;0),K713+1,0)</f>
        <v>7</v>
      </c>
      <c r="L715" s="130" t="str">
        <f t="shared" ref="L715" si="885">IF(C715&lt;&gt;"",C715&amp;"-"&amp;K715,"")</f>
        <v>KP-1b⁽ᴹ⁾ Percentage of transgender people reached with HIV prevention programs - defined package of services-7</v>
      </c>
      <c r="M715" s="130" t="str">
        <f t="array" ref="M715">IFERROR(IF(INDEX('Disaggregation Records'!$E$152:$E$513,MATCH(RIGHT(L715,255),RIGHT('Disaggregation Records'!$D$152:$D$513,255),0))="","",INDEX('Disaggregation Records'!$E$152:$E$513,MATCH(RIGHT(L715,255),RIGHT('Disaggregation Records'!$D$152:$D$513,255),0))),"")</f>
        <v/>
      </c>
      <c r="N715" s="130" t="str">
        <f t="array" ref="N715">IFERROR(IF(INDEX('Disaggregation Records'!$F$152:$F$513,MATCH(RIGHT(L715,255),RIGHT('Disaggregation Records'!$D$152:$D$513,255),0))="","",INDEX('Disaggregation Records'!$F$152:$F$513,MATCH(RIGHT(L715,255),RIGHT('Disaggregation Records'!$D$152:$D$513,255),0))),"")</f>
        <v/>
      </c>
      <c r="O715" s="130" t="str">
        <f t="array" ref="O715">IFERROR(IF(INDEX('Disaggregation Records'!$H$152:$H$513,MATCH(RIGHT(L715,255),RIGHT('Disaggregation Records'!$D$152:$D$513,255),0))="","",INDEX('Disaggregation Records'!$H$152:$H$513,MATCH(RIGHT(L715,255),RIGHT('Disaggregation Records'!$D$152:$D$513,255),0))),"")</f>
        <v/>
      </c>
      <c r="Q715" s="52">
        <f t="shared" ref="Q715" si="886">Q713+1</f>
        <v>1542</v>
      </c>
    </row>
    <row r="716" spans="1:17" ht="20.100000000000001" customHeight="1" x14ac:dyDescent="0.25">
      <c r="B716" s="602"/>
      <c r="C716" s="604"/>
      <c r="D716" s="606"/>
      <c r="E716" s="606"/>
      <c r="F716" s="132"/>
      <c r="G716" s="608"/>
      <c r="H716" s="598"/>
      <c r="I716" s="600"/>
      <c r="J716" s="532"/>
      <c r="L716" s="130"/>
      <c r="N716" s="130"/>
      <c r="O716" s="130"/>
    </row>
    <row r="717" spans="1:17" ht="20.100000000000001" customHeight="1" x14ac:dyDescent="0.25">
      <c r="A717" s="130" t="str">
        <f t="shared" ca="1" si="857"/>
        <v>a16Dm000000LZaIIAW</v>
      </c>
      <c r="B717" s="601">
        <v>3</v>
      </c>
      <c r="C717" s="603" t="str">
        <f>IFERROR(VLOOKUP(B717,'Coverage Indicators - Section D'!$A$9:$AO$70,41,FALSE),"")</f>
        <v>KP-1b⁽ᴹ⁾ Percentage of transgender people reached with HIV prevention programs - defined package of services</v>
      </c>
      <c r="D717" s="605" t="str">
        <f>M717</f>
        <v/>
      </c>
      <c r="E717" s="605" t="str">
        <f>N717</f>
        <v/>
      </c>
      <c r="F717" s="131"/>
      <c r="G717" s="607" t="str">
        <f ca="1">IF(OR(INDIRECT("'update Helper'!E"&amp;Q717)="",F717&lt;&gt;0,F718&lt;&gt;0),IF(IFERROR((F717/F718),"")="","",(F717/F718)),INDIRECT("'update Helper'!E"&amp;Q717)/100)</f>
        <v/>
      </c>
      <c r="H717" s="597"/>
      <c r="I717" s="599"/>
      <c r="J717" s="531"/>
      <c r="K717" s="130">
        <f>IF(AND(EXACT(C717,C715),C715&lt;&gt;0),K715+1,0)</f>
        <v>8</v>
      </c>
      <c r="L717" s="130" t="str">
        <f t="shared" ref="L717" si="887">IF(C717&lt;&gt;"",C717&amp;"-"&amp;K717,"")</f>
        <v>KP-1b⁽ᴹ⁾ Percentage of transgender people reached with HIV prevention programs - defined package of services-8</v>
      </c>
      <c r="M717" s="130" t="str">
        <f t="array" ref="M717">IFERROR(IF(INDEX('Disaggregation Records'!$E$152:$E$513,MATCH(RIGHT(L717,255),RIGHT('Disaggregation Records'!$D$152:$D$513,255),0))="","",INDEX('Disaggregation Records'!$E$152:$E$513,MATCH(RIGHT(L717,255),RIGHT('Disaggregation Records'!$D$152:$D$513,255),0))),"")</f>
        <v/>
      </c>
      <c r="N717" s="130" t="str">
        <f t="array" ref="N717">IFERROR(IF(INDEX('Disaggregation Records'!$F$152:$F$513,MATCH(RIGHT(L717,255),RIGHT('Disaggregation Records'!$D$152:$D$513,255),0))="","",INDEX('Disaggregation Records'!$F$152:$F$513,MATCH(RIGHT(L717,255),RIGHT('Disaggregation Records'!$D$152:$D$513,255),0))),"")</f>
        <v/>
      </c>
      <c r="O717" s="130" t="str">
        <f t="array" ref="O717">IFERROR(IF(INDEX('Disaggregation Records'!$H$152:$H$513,MATCH(RIGHT(L717,255),RIGHT('Disaggregation Records'!$D$152:$D$513,255),0))="","",INDEX('Disaggregation Records'!$H$152:$H$513,MATCH(RIGHT(L717,255),RIGHT('Disaggregation Records'!$D$152:$D$513,255),0))),"")</f>
        <v/>
      </c>
      <c r="Q717" s="52">
        <f t="shared" ref="Q717" si="888">Q715+1</f>
        <v>1543</v>
      </c>
    </row>
    <row r="718" spans="1:17" ht="20.100000000000001" customHeight="1" x14ac:dyDescent="0.25">
      <c r="A718" s="130"/>
      <c r="B718" s="602"/>
      <c r="C718" s="604"/>
      <c r="D718" s="606"/>
      <c r="E718" s="606"/>
      <c r="F718" s="132"/>
      <c r="G718" s="608"/>
      <c r="H718" s="598"/>
      <c r="I718" s="600"/>
      <c r="J718" s="532"/>
      <c r="L718" s="130"/>
      <c r="N718" s="130"/>
      <c r="O718" s="130"/>
    </row>
    <row r="719" spans="1:17" ht="20.100000000000001" customHeight="1" x14ac:dyDescent="0.25">
      <c r="A719" s="130" t="str">
        <f t="shared" ca="1" si="860"/>
        <v>a16Dm000000LZaJIAW</v>
      </c>
      <c r="B719" s="601">
        <v>3</v>
      </c>
      <c r="C719" s="603" t="str">
        <f>IFERROR(VLOOKUP(B719,'Coverage Indicators - Section D'!$A$9:$AO$70,41,FALSE),"")</f>
        <v>KP-1b⁽ᴹ⁾ Percentage of transgender people reached with HIV prevention programs - defined package of services</v>
      </c>
      <c r="D719" s="605" t="str">
        <f>M719</f>
        <v/>
      </c>
      <c r="E719" s="605" t="str">
        <f>N719</f>
        <v/>
      </c>
      <c r="F719" s="131"/>
      <c r="G719" s="607" t="str">
        <f ca="1">IF(OR(INDIRECT("'update Helper'!E"&amp;Q719)="",F719&lt;&gt;0,F720&lt;&gt;0),IF(IFERROR((F719/F720),"")="","",(F719/F720)),INDIRECT("'update Helper'!E"&amp;Q719)/100)</f>
        <v/>
      </c>
      <c r="H719" s="597"/>
      <c r="I719" s="599"/>
      <c r="J719" s="531"/>
      <c r="K719" s="130">
        <f>IF(AND(EXACT(C719,C717),C717&lt;&gt;0),K717+1,0)</f>
        <v>9</v>
      </c>
      <c r="L719" s="130" t="str">
        <f t="shared" ref="L719" si="889">IF(C719&lt;&gt;"",C719&amp;"-"&amp;K719,"")</f>
        <v>KP-1b⁽ᴹ⁾ Percentage of transgender people reached with HIV prevention programs - defined package of services-9</v>
      </c>
      <c r="M719" s="130" t="str">
        <f t="array" ref="M719">IFERROR(IF(INDEX('Disaggregation Records'!$E$152:$E$513,MATCH(RIGHT(L719,255),RIGHT('Disaggregation Records'!$D$152:$D$513,255),0))="","",INDEX('Disaggregation Records'!$E$152:$E$513,MATCH(RIGHT(L719,255),RIGHT('Disaggregation Records'!$D$152:$D$513,255),0))),"")</f>
        <v/>
      </c>
      <c r="N719" s="130" t="str">
        <f t="array" ref="N719">IFERROR(IF(INDEX('Disaggregation Records'!$F$152:$F$513,MATCH(RIGHT(L719,255),RIGHT('Disaggregation Records'!$D$152:$D$513,255),0))="","",INDEX('Disaggregation Records'!$F$152:$F$513,MATCH(RIGHT(L719,255),RIGHT('Disaggregation Records'!$D$152:$D$513,255),0))),"")</f>
        <v/>
      </c>
      <c r="O719" s="130" t="str">
        <f t="array" ref="O719">IFERROR(IF(INDEX('Disaggregation Records'!$H$152:$H$513,MATCH(RIGHT(L719,255),RIGHT('Disaggregation Records'!$D$152:$D$513,255),0))="","",INDEX('Disaggregation Records'!$H$152:$H$513,MATCH(RIGHT(L719,255),RIGHT('Disaggregation Records'!$D$152:$D$513,255),0))),"")</f>
        <v/>
      </c>
      <c r="Q719" s="52">
        <f t="shared" ref="Q719" si="890">Q717+1</f>
        <v>1544</v>
      </c>
    </row>
    <row r="720" spans="1:17" ht="20.100000000000001" customHeight="1" x14ac:dyDescent="0.25">
      <c r="B720" s="602"/>
      <c r="C720" s="604"/>
      <c r="D720" s="606"/>
      <c r="E720" s="606"/>
      <c r="F720" s="132"/>
      <c r="G720" s="608"/>
      <c r="H720" s="598"/>
      <c r="I720" s="600"/>
      <c r="J720" s="532"/>
      <c r="L720" s="130"/>
      <c r="N720" s="130"/>
      <c r="O720" s="130"/>
    </row>
    <row r="721" spans="1:17" ht="20.100000000000001" customHeight="1" x14ac:dyDescent="0.25">
      <c r="A721" s="130" t="str">
        <f t="shared" ca="1" si="857"/>
        <v>a16Dm000000LZaKIAW</v>
      </c>
      <c r="B721" s="601">
        <v>3</v>
      </c>
      <c r="C721" s="603" t="str">
        <f>IFERROR(VLOOKUP(B721,'Coverage Indicators - Section D'!$A$9:$AO$70,41,FALSE),"")</f>
        <v>KP-1b⁽ᴹ⁾ Percentage of transgender people reached with HIV prevention programs - defined package of services</v>
      </c>
      <c r="D721" s="605" t="str">
        <f>M721</f>
        <v/>
      </c>
      <c r="E721" s="605" t="str">
        <f>N721</f>
        <v/>
      </c>
      <c r="F721" s="131"/>
      <c r="G721" s="607" t="str">
        <f ca="1">IF(OR(INDIRECT("'update Helper'!E"&amp;Q721)="",F721&lt;&gt;0,F722&lt;&gt;0),IF(IFERROR((F721/F722),"")="","",(F721/F722)),INDIRECT("'update Helper'!E"&amp;Q721)/100)</f>
        <v/>
      </c>
      <c r="H721" s="597"/>
      <c r="I721" s="599"/>
      <c r="J721" s="531"/>
      <c r="K721" s="130">
        <f>IF(AND(EXACT(C721,C719),C719&lt;&gt;0),K719+1,0)</f>
        <v>10</v>
      </c>
      <c r="L721" s="130" t="str">
        <f t="shared" ref="L721" si="891">IF(C721&lt;&gt;"",C721&amp;"-"&amp;K721,"")</f>
        <v>KP-1b⁽ᴹ⁾ Percentage of transgender people reached with HIV prevention programs - defined package of services-10</v>
      </c>
      <c r="M721" s="130" t="str">
        <f t="array" ref="M721">IFERROR(IF(INDEX('Disaggregation Records'!$E$152:$E$513,MATCH(RIGHT(L721,255),RIGHT('Disaggregation Records'!$D$152:$D$513,255),0))="","",INDEX('Disaggregation Records'!$E$152:$E$513,MATCH(RIGHT(L721,255),RIGHT('Disaggregation Records'!$D$152:$D$513,255),0))),"")</f>
        <v/>
      </c>
      <c r="N721" s="130" t="str">
        <f t="array" ref="N721">IFERROR(IF(INDEX('Disaggregation Records'!$F$152:$F$513,MATCH(RIGHT(L721,255),RIGHT('Disaggregation Records'!$D$152:$D$513,255),0))="","",INDEX('Disaggregation Records'!$F$152:$F$513,MATCH(RIGHT(L721,255),RIGHT('Disaggregation Records'!$D$152:$D$513,255),0))),"")</f>
        <v/>
      </c>
      <c r="O721" s="130" t="str">
        <f t="array" ref="O721">IFERROR(IF(INDEX('Disaggregation Records'!$H$152:$H$513,MATCH(RIGHT(L721,255),RIGHT('Disaggregation Records'!$D$152:$D$513,255),0))="","",INDEX('Disaggregation Records'!$H$152:$H$513,MATCH(RIGHT(L721,255),RIGHT('Disaggregation Records'!$D$152:$D$513,255),0))),"")</f>
        <v/>
      </c>
      <c r="P721" s="130"/>
      <c r="Q721" s="52">
        <f t="shared" ref="Q721" si="892">Q719+1</f>
        <v>1545</v>
      </c>
    </row>
    <row r="722" spans="1:17" ht="20.100000000000001" customHeight="1" x14ac:dyDescent="0.25">
      <c r="A722" s="130"/>
      <c r="B722" s="602"/>
      <c r="C722" s="604"/>
      <c r="D722" s="606"/>
      <c r="E722" s="606"/>
      <c r="F722" s="132"/>
      <c r="G722" s="608"/>
      <c r="H722" s="598"/>
      <c r="I722" s="600"/>
      <c r="J722" s="532"/>
      <c r="K722" s="130"/>
      <c r="L722" s="130"/>
      <c r="M722" s="130"/>
      <c r="N722" s="130"/>
      <c r="O722" s="130"/>
      <c r="P722" s="130"/>
    </row>
    <row r="723" spans="1:17" ht="20.100000000000001" customHeight="1" x14ac:dyDescent="0.25">
      <c r="A723" s="130" t="str">
        <f t="shared" ca="1" si="860"/>
        <v>a16Dm000000LZaLIAW</v>
      </c>
      <c r="B723" s="601">
        <v>3</v>
      </c>
      <c r="C723" s="603" t="str">
        <f>IFERROR(VLOOKUP(B723,'Coverage Indicators - Section D'!$A$9:$AO$70,41,FALSE),"")</f>
        <v>KP-1b⁽ᴹ⁾ Percentage of transgender people reached with HIV prevention programs - defined package of services</v>
      </c>
      <c r="D723" s="605" t="str">
        <f>M723</f>
        <v/>
      </c>
      <c r="E723" s="605" t="str">
        <f>N723</f>
        <v/>
      </c>
      <c r="F723" s="131"/>
      <c r="G723" s="607" t="str">
        <f ca="1">IF(OR(INDIRECT("'update Helper'!E"&amp;Q723)="",F723&lt;&gt;0,F724&lt;&gt;0),IF(IFERROR((F723/F724),"")="","",(F723/F724)),INDIRECT("'update Helper'!E"&amp;Q723)/100)</f>
        <v/>
      </c>
      <c r="H723" s="597"/>
      <c r="I723" s="599"/>
      <c r="J723" s="531"/>
      <c r="K723" s="130">
        <f>IF(AND(EXACT(C723,C721),C721&lt;&gt;0),K721+1,0)</f>
        <v>11</v>
      </c>
      <c r="L723" s="130" t="str">
        <f t="shared" ref="L723" si="893">IF(C723&lt;&gt;"",C723&amp;"-"&amp;K723,"")</f>
        <v>KP-1b⁽ᴹ⁾ Percentage of transgender people reached with HIV prevention programs - defined package of services-11</v>
      </c>
      <c r="M723" s="130" t="str">
        <f t="array" ref="M723">IFERROR(IF(INDEX('Disaggregation Records'!$E$152:$E$513,MATCH(RIGHT(L723,255),RIGHT('Disaggregation Records'!$D$152:$D$513,255),0))="","",INDEX('Disaggregation Records'!$E$152:$E$513,MATCH(RIGHT(L723,255),RIGHT('Disaggregation Records'!$D$152:$D$513,255),0))),"")</f>
        <v/>
      </c>
      <c r="N723" s="130" t="str">
        <f t="array" ref="N723">IFERROR(IF(INDEX('Disaggregation Records'!$F$152:$F$513,MATCH(RIGHT(L723,255),RIGHT('Disaggregation Records'!$D$152:$D$513,255),0))="","",INDEX('Disaggregation Records'!$F$152:$F$513,MATCH(RIGHT(L723,255),RIGHT('Disaggregation Records'!$D$152:$D$513,255),0))),"")</f>
        <v/>
      </c>
      <c r="O723" s="130" t="str">
        <f t="array" ref="O723">IFERROR(IF(INDEX('Disaggregation Records'!$H$152:$H$513,MATCH(RIGHT(L723,255),RIGHT('Disaggregation Records'!$D$152:$D$513,255),0))="","",INDEX('Disaggregation Records'!$H$152:$H$513,MATCH(RIGHT(L723,255),RIGHT('Disaggregation Records'!$D$152:$D$513,255),0))),"")</f>
        <v/>
      </c>
      <c r="P723" s="130"/>
      <c r="Q723" s="52">
        <f t="shared" ref="Q723" si="894">Q721+1</f>
        <v>1546</v>
      </c>
    </row>
    <row r="724" spans="1:17" ht="20.100000000000001" customHeight="1" x14ac:dyDescent="0.25">
      <c r="B724" s="602"/>
      <c r="C724" s="604"/>
      <c r="D724" s="606"/>
      <c r="E724" s="606"/>
      <c r="F724" s="132"/>
      <c r="G724" s="608"/>
      <c r="H724" s="598"/>
      <c r="I724" s="600"/>
      <c r="J724" s="532"/>
      <c r="K724" s="130"/>
      <c r="L724" s="130"/>
      <c r="M724" s="130"/>
      <c r="N724" s="130"/>
      <c r="O724" s="130"/>
      <c r="P724" s="130"/>
    </row>
    <row r="725" spans="1:17" ht="20.100000000000001" customHeight="1" x14ac:dyDescent="0.25">
      <c r="A725" s="130" t="str">
        <f t="shared" ca="1" si="857"/>
        <v>a16Dm000000LZaMIAW</v>
      </c>
      <c r="B725" s="601">
        <v>3</v>
      </c>
      <c r="C725" s="603" t="str">
        <f>IFERROR(VLOOKUP(B725,'Coverage Indicators - Section D'!$A$9:$AO$70,41,FALSE),"")</f>
        <v>KP-1b⁽ᴹ⁾ Percentage of transgender people reached with HIV prevention programs - defined package of services</v>
      </c>
      <c r="D725" s="605" t="str">
        <f>M725</f>
        <v/>
      </c>
      <c r="E725" s="605" t="str">
        <f>N725</f>
        <v/>
      </c>
      <c r="F725" s="131"/>
      <c r="G725" s="607" t="str">
        <f ca="1">IF(OR(INDIRECT("'update Helper'!E"&amp;Q725)="",F725&lt;&gt;0,F726&lt;&gt;0),IF(IFERROR((F725/F726),"")="","",(F725/F726)),INDIRECT("'update Helper'!E"&amp;Q725)/100)</f>
        <v/>
      </c>
      <c r="H725" s="597"/>
      <c r="I725" s="599"/>
      <c r="J725" s="531"/>
      <c r="K725" s="130">
        <f>IF(AND(EXACT(C725,C723),C723&lt;&gt;0),K723+1,0)</f>
        <v>12</v>
      </c>
      <c r="L725" s="130" t="str">
        <f t="shared" ref="L725" si="895">IF(C725&lt;&gt;"",C725&amp;"-"&amp;K725,"")</f>
        <v>KP-1b⁽ᴹ⁾ Percentage of transgender people reached with HIV prevention programs - defined package of services-12</v>
      </c>
      <c r="M725" s="130" t="str">
        <f t="array" ref="M725">IFERROR(IF(INDEX('Disaggregation Records'!$E$152:$E$513,MATCH(RIGHT(L725,255),RIGHT('Disaggregation Records'!$D$152:$D$513,255),0))="","",INDEX('Disaggregation Records'!$E$152:$E$513,MATCH(RIGHT(L725,255),RIGHT('Disaggregation Records'!$D$152:$D$513,255),0))),"")</f>
        <v/>
      </c>
      <c r="N725" s="130" t="str">
        <f t="array" ref="N725">IFERROR(IF(INDEX('Disaggregation Records'!$F$152:$F$513,MATCH(RIGHT(L725,255),RIGHT('Disaggregation Records'!$D$152:$D$513,255),0))="","",INDEX('Disaggregation Records'!$F$152:$F$513,MATCH(RIGHT(L725,255),RIGHT('Disaggregation Records'!$D$152:$D$513,255),0))),"")</f>
        <v/>
      </c>
      <c r="O725" s="130" t="str">
        <f t="array" ref="O725">IFERROR(IF(INDEX('Disaggregation Records'!$H$152:$H$513,MATCH(RIGHT(L725,255),RIGHT('Disaggregation Records'!$D$152:$D$513,255),0))="","",INDEX('Disaggregation Records'!$H$152:$H$513,MATCH(RIGHT(L725,255),RIGHT('Disaggregation Records'!$D$152:$D$513,255),0))),"")</f>
        <v/>
      </c>
      <c r="Q725" s="52">
        <f t="shared" ref="Q725" si="896">Q723+1</f>
        <v>1547</v>
      </c>
    </row>
    <row r="726" spans="1:17" ht="20.100000000000001" customHeight="1" x14ac:dyDescent="0.25">
      <c r="A726" s="130"/>
      <c r="B726" s="602"/>
      <c r="C726" s="604"/>
      <c r="D726" s="606"/>
      <c r="E726" s="606"/>
      <c r="F726" s="132"/>
      <c r="G726" s="608"/>
      <c r="H726" s="598"/>
      <c r="I726" s="600"/>
      <c r="J726" s="532"/>
      <c r="L726" s="130"/>
      <c r="N726" s="130"/>
      <c r="O726" s="130"/>
    </row>
    <row r="727" spans="1:17" ht="20.100000000000001" customHeight="1" x14ac:dyDescent="0.25">
      <c r="A727" s="130" t="str">
        <f t="shared" ca="1" si="860"/>
        <v>a16Dm000000LZaNIAW</v>
      </c>
      <c r="B727" s="601">
        <v>3</v>
      </c>
      <c r="C727" s="603" t="str">
        <f>IFERROR(VLOOKUP(B727,'Coverage Indicators - Section D'!$A$9:$AO$70,41,FALSE),"")</f>
        <v>KP-1b⁽ᴹ⁾ Percentage of transgender people reached with HIV prevention programs - defined package of services</v>
      </c>
      <c r="D727" s="605" t="str">
        <f>M727</f>
        <v/>
      </c>
      <c r="E727" s="605" t="str">
        <f>N727</f>
        <v/>
      </c>
      <c r="F727" s="131"/>
      <c r="G727" s="607" t="str">
        <f ca="1">IF(OR(INDIRECT("'update Helper'!E"&amp;Q727)="",F727&lt;&gt;0,F728&lt;&gt;0),IF(IFERROR((F727/F728),"")="","",(F727/F728)),INDIRECT("'update Helper'!E"&amp;Q727)/100)</f>
        <v/>
      </c>
      <c r="H727" s="597"/>
      <c r="I727" s="599"/>
      <c r="J727" s="531"/>
      <c r="K727" s="130">
        <f>IF(AND(EXACT(C727,C725),C725&lt;&gt;0),K725+1,0)</f>
        <v>13</v>
      </c>
      <c r="L727" s="130" t="str">
        <f t="shared" ref="L727" si="897">IF(C727&lt;&gt;"",C727&amp;"-"&amp;K727,"")</f>
        <v>KP-1b⁽ᴹ⁾ Percentage of transgender people reached with HIV prevention programs - defined package of services-13</v>
      </c>
      <c r="M727" s="130" t="str">
        <f t="array" ref="M727">IFERROR(IF(INDEX('Disaggregation Records'!$E$152:$E$513,MATCH(RIGHT(L727,255),RIGHT('Disaggregation Records'!$D$152:$D$513,255),0))="","",INDEX('Disaggregation Records'!$E$152:$E$513,MATCH(RIGHT(L727,255),RIGHT('Disaggregation Records'!$D$152:$D$513,255),0))),"")</f>
        <v/>
      </c>
      <c r="N727" s="130" t="str">
        <f t="array" ref="N727">IFERROR(IF(INDEX('Disaggregation Records'!$F$152:$F$513,MATCH(RIGHT(L727,255),RIGHT('Disaggregation Records'!$D$152:$D$513,255),0))="","",INDEX('Disaggregation Records'!$F$152:$F$513,MATCH(RIGHT(L727,255),RIGHT('Disaggregation Records'!$D$152:$D$513,255),0))),"")</f>
        <v/>
      </c>
      <c r="O727" s="130" t="str">
        <f t="array" ref="O727">IFERROR(IF(INDEX('Disaggregation Records'!$H$152:$H$513,MATCH(RIGHT(L727,255),RIGHT('Disaggregation Records'!$D$152:$D$513,255),0))="","",INDEX('Disaggregation Records'!$H$152:$H$513,MATCH(RIGHT(L727,255),RIGHT('Disaggregation Records'!$D$152:$D$513,255),0))),"")</f>
        <v/>
      </c>
      <c r="Q727" s="52">
        <f t="shared" ref="Q727" si="898">Q725+1</f>
        <v>1548</v>
      </c>
    </row>
    <row r="728" spans="1:17" ht="20.100000000000001" customHeight="1" x14ac:dyDescent="0.25">
      <c r="B728" s="602"/>
      <c r="C728" s="604"/>
      <c r="D728" s="606"/>
      <c r="E728" s="606"/>
      <c r="F728" s="132"/>
      <c r="G728" s="608"/>
      <c r="H728" s="598"/>
      <c r="I728" s="600"/>
      <c r="J728" s="532"/>
      <c r="L728" s="130"/>
      <c r="N728" s="130"/>
      <c r="O728" s="130"/>
    </row>
    <row r="729" spans="1:17" ht="20.100000000000001" customHeight="1" x14ac:dyDescent="0.25">
      <c r="A729" s="130" t="str">
        <f t="shared" ca="1" si="857"/>
        <v>a16Dm000000LZaOIAW</v>
      </c>
      <c r="B729" s="601">
        <v>3</v>
      </c>
      <c r="C729" s="603" t="str">
        <f>IFERROR(VLOOKUP(B729,'Coverage Indicators - Section D'!$A$9:$AO$70,41,FALSE),"")</f>
        <v>KP-1b⁽ᴹ⁾ Percentage of transgender people reached with HIV prevention programs - defined package of services</v>
      </c>
      <c r="D729" s="605" t="str">
        <f>M729</f>
        <v/>
      </c>
      <c r="E729" s="605" t="str">
        <f>N729</f>
        <v/>
      </c>
      <c r="F729" s="131"/>
      <c r="G729" s="607" t="str">
        <f ca="1">IF(OR(INDIRECT("'update Helper'!E"&amp;Q729)="",F729&lt;&gt;0,F730&lt;&gt;0),IF(IFERROR((F729/F730),"")="","",(F729/F730)),INDIRECT("'update Helper'!E"&amp;Q729)/100)</f>
        <v/>
      </c>
      <c r="H729" s="597"/>
      <c r="I729" s="599"/>
      <c r="J729" s="531"/>
      <c r="K729" s="130">
        <f>IF(AND(EXACT(C729,C727),C727&lt;&gt;0),K727+1,0)</f>
        <v>14</v>
      </c>
      <c r="L729" s="130" t="str">
        <f t="shared" ref="L729" si="899">IF(C729&lt;&gt;"",C729&amp;"-"&amp;K729,"")</f>
        <v>KP-1b⁽ᴹ⁾ Percentage of transgender people reached with HIV prevention programs - defined package of services-14</v>
      </c>
      <c r="M729" s="130" t="str">
        <f t="array" ref="M729">IFERROR(IF(INDEX('Disaggregation Records'!$E$152:$E$513,MATCH(RIGHT(L729,255),RIGHT('Disaggregation Records'!$D$152:$D$513,255),0))="","",INDEX('Disaggregation Records'!$E$152:$E$513,MATCH(RIGHT(L729,255),RIGHT('Disaggregation Records'!$D$152:$D$513,255),0))),"")</f>
        <v/>
      </c>
      <c r="N729" s="130" t="str">
        <f t="array" ref="N729">IFERROR(IF(INDEX('Disaggregation Records'!$F$152:$F$513,MATCH(RIGHT(L729,255),RIGHT('Disaggregation Records'!$D$152:$D$513,255),0))="","",INDEX('Disaggregation Records'!$F$152:$F$513,MATCH(RIGHT(L729,255),RIGHT('Disaggregation Records'!$D$152:$D$513,255),0))),"")</f>
        <v/>
      </c>
      <c r="O729" s="130" t="str">
        <f t="array" ref="O729">IFERROR(IF(INDEX('Disaggregation Records'!$H$152:$H$513,MATCH(RIGHT(L729,255),RIGHT('Disaggregation Records'!$D$152:$D$513,255),0))="","",INDEX('Disaggregation Records'!$H$152:$H$513,MATCH(RIGHT(L729,255),RIGHT('Disaggregation Records'!$D$152:$D$513,255),0))),"")</f>
        <v/>
      </c>
      <c r="Q729" s="52">
        <f t="shared" ref="Q729" si="900">Q727+1</f>
        <v>1549</v>
      </c>
    </row>
    <row r="730" spans="1:17" ht="20.100000000000001" customHeight="1" x14ac:dyDescent="0.25">
      <c r="A730" s="130"/>
      <c r="B730" s="602"/>
      <c r="C730" s="604"/>
      <c r="D730" s="606"/>
      <c r="E730" s="606"/>
      <c r="F730" s="132"/>
      <c r="G730" s="608"/>
      <c r="H730" s="598"/>
      <c r="I730" s="600"/>
      <c r="J730" s="532"/>
      <c r="L730" s="130"/>
      <c r="N730" s="130"/>
      <c r="O730" s="130"/>
    </row>
    <row r="731" spans="1:17" ht="20.100000000000001" customHeight="1" x14ac:dyDescent="0.25">
      <c r="A731" s="130" t="str">
        <f t="shared" ca="1" si="860"/>
        <v>a16Dm000000LZaPIAW</v>
      </c>
      <c r="B731" s="601">
        <v>3</v>
      </c>
      <c r="C731" s="603" t="str">
        <f>IFERROR(VLOOKUP(B731,'Coverage Indicators - Section D'!$A$9:$AO$70,41,FALSE),"")</f>
        <v>KP-1b⁽ᴹ⁾ Percentage of transgender people reached with HIV prevention programs - defined package of services</v>
      </c>
      <c r="D731" s="605" t="str">
        <f>M731</f>
        <v/>
      </c>
      <c r="E731" s="605" t="str">
        <f>N731</f>
        <v/>
      </c>
      <c r="F731" s="131"/>
      <c r="G731" s="607" t="str">
        <f ca="1">IF(OR(INDIRECT("'update Helper'!E"&amp;Q731)="",F731&lt;&gt;0,F732&lt;&gt;0),IF(IFERROR((F731/F732),"")="","",(F731/F732)),INDIRECT("'update Helper'!E"&amp;Q731)/100)</f>
        <v/>
      </c>
      <c r="H731" s="597"/>
      <c r="I731" s="599"/>
      <c r="J731" s="531"/>
      <c r="K731" s="130">
        <f>IF(AND(EXACT(C731,C729),C729&lt;&gt;0),K729+1,0)</f>
        <v>15</v>
      </c>
      <c r="L731" s="130" t="str">
        <f t="shared" ref="L731" si="901">IF(C731&lt;&gt;"",C731&amp;"-"&amp;K731,"")</f>
        <v>KP-1b⁽ᴹ⁾ Percentage of transgender people reached with HIV prevention programs - defined package of services-15</v>
      </c>
      <c r="M731" s="130" t="str">
        <f t="array" ref="M731">IFERROR(IF(INDEX('Disaggregation Records'!$E$152:$E$513,MATCH(RIGHT(L731,255),RIGHT('Disaggregation Records'!$D$152:$D$513,255),0))="","",INDEX('Disaggregation Records'!$E$152:$E$513,MATCH(RIGHT(L731,255),RIGHT('Disaggregation Records'!$D$152:$D$513,255),0))),"")</f>
        <v/>
      </c>
      <c r="N731" s="130" t="str">
        <f t="array" ref="N731">IFERROR(IF(INDEX('Disaggregation Records'!$F$152:$F$513,MATCH(RIGHT(L731,255),RIGHT('Disaggregation Records'!$D$152:$D$513,255),0))="","",INDEX('Disaggregation Records'!$F$152:$F$513,MATCH(RIGHT(L731,255),RIGHT('Disaggregation Records'!$D$152:$D$513,255),0))),"")</f>
        <v/>
      </c>
      <c r="O731" s="130" t="str">
        <f t="array" ref="O731">IFERROR(IF(INDEX('Disaggregation Records'!$H$152:$H$513,MATCH(RIGHT(L731,255),RIGHT('Disaggregation Records'!$D$152:$D$513,255),0))="","",INDEX('Disaggregation Records'!$H$152:$H$513,MATCH(RIGHT(L731,255),RIGHT('Disaggregation Records'!$D$152:$D$513,255),0))),"")</f>
        <v/>
      </c>
      <c r="P731" s="130"/>
      <c r="Q731" s="52">
        <f t="shared" ref="Q731" si="902">Q729+1</f>
        <v>1550</v>
      </c>
    </row>
    <row r="732" spans="1:17" ht="20.100000000000001" customHeight="1" x14ac:dyDescent="0.25">
      <c r="B732" s="602"/>
      <c r="C732" s="604"/>
      <c r="D732" s="606"/>
      <c r="E732" s="606"/>
      <c r="F732" s="132"/>
      <c r="G732" s="608"/>
      <c r="H732" s="598"/>
      <c r="I732" s="600"/>
      <c r="J732" s="532"/>
      <c r="K732" s="130"/>
      <c r="L732" s="130"/>
      <c r="M732" s="130"/>
      <c r="N732" s="130"/>
      <c r="O732" s="130"/>
      <c r="P732" s="130"/>
    </row>
    <row r="733" spans="1:17" ht="20.100000000000001" customHeight="1" x14ac:dyDescent="0.25">
      <c r="A733" s="130" t="str">
        <f t="shared" ca="1" si="857"/>
        <v>a16Dm000000LZaQIAW</v>
      </c>
      <c r="B733" s="601">
        <v>3</v>
      </c>
      <c r="C733" s="603" t="str">
        <f>IFERROR(VLOOKUP(B733,'Coverage Indicators - Section D'!$A$9:$AO$70,41,FALSE),"")</f>
        <v>KP-1b⁽ᴹ⁾ Percentage of transgender people reached with HIV prevention programs - defined package of services</v>
      </c>
      <c r="D733" s="605" t="str">
        <f>M733</f>
        <v/>
      </c>
      <c r="E733" s="605" t="str">
        <f>N733</f>
        <v/>
      </c>
      <c r="F733" s="131"/>
      <c r="G733" s="607" t="str">
        <f ca="1">IF(OR(INDIRECT("'update Helper'!E"&amp;Q733)="",F733&lt;&gt;0,F734&lt;&gt;0),IF(IFERROR((F733/F734),"")="","",(F733/F734)),INDIRECT("'update Helper'!E"&amp;Q733)/100)</f>
        <v/>
      </c>
      <c r="H733" s="597"/>
      <c r="I733" s="599"/>
      <c r="J733" s="531"/>
      <c r="K733" s="130">
        <f>IF(AND(EXACT(C733,C731),C731&lt;&gt;0),K731+1,0)</f>
        <v>16</v>
      </c>
      <c r="L733" s="130" t="str">
        <f t="shared" ref="L733" si="903">IF(C733&lt;&gt;"",C733&amp;"-"&amp;K733,"")</f>
        <v>KP-1b⁽ᴹ⁾ Percentage of transgender people reached with HIV prevention programs - defined package of services-16</v>
      </c>
      <c r="M733" s="130" t="str">
        <f t="array" ref="M733">IFERROR(IF(INDEX('Disaggregation Records'!$E$152:$E$513,MATCH(RIGHT(L733,255),RIGHT('Disaggregation Records'!$D$152:$D$513,255),0))="","",INDEX('Disaggregation Records'!$E$152:$E$513,MATCH(RIGHT(L733,255),RIGHT('Disaggregation Records'!$D$152:$D$513,255),0))),"")</f>
        <v/>
      </c>
      <c r="N733" s="130" t="str">
        <f t="array" ref="N733">IFERROR(IF(INDEX('Disaggregation Records'!$F$152:$F$513,MATCH(RIGHT(L733,255),RIGHT('Disaggregation Records'!$D$152:$D$513,255),0))="","",INDEX('Disaggregation Records'!$F$152:$F$513,MATCH(RIGHT(L733,255),RIGHT('Disaggregation Records'!$D$152:$D$513,255),0))),"")</f>
        <v/>
      </c>
      <c r="O733" s="130" t="str">
        <f t="array" ref="O733">IFERROR(IF(INDEX('Disaggregation Records'!$H$152:$H$513,MATCH(RIGHT(L733,255),RIGHT('Disaggregation Records'!$D$152:$D$513,255),0))="","",INDEX('Disaggregation Records'!$H$152:$H$513,MATCH(RIGHT(L733,255),RIGHT('Disaggregation Records'!$D$152:$D$513,255),0))),"")</f>
        <v/>
      </c>
      <c r="P733" s="130"/>
      <c r="Q733" s="52">
        <f t="shared" ref="Q733" si="904">Q731+1</f>
        <v>1551</v>
      </c>
    </row>
    <row r="734" spans="1:17" ht="20.100000000000001" customHeight="1" x14ac:dyDescent="0.25">
      <c r="A734" s="130"/>
      <c r="B734" s="602"/>
      <c r="C734" s="604"/>
      <c r="D734" s="606"/>
      <c r="E734" s="606"/>
      <c r="F734" s="132"/>
      <c r="G734" s="608"/>
      <c r="H734" s="598"/>
      <c r="I734" s="600"/>
      <c r="J734" s="532"/>
      <c r="K734" s="130"/>
      <c r="L734" s="130"/>
      <c r="M734" s="130"/>
      <c r="N734" s="130"/>
      <c r="O734" s="130"/>
      <c r="P734" s="130"/>
    </row>
    <row r="735" spans="1:17" ht="20.100000000000001" customHeight="1" x14ac:dyDescent="0.25">
      <c r="A735" s="130" t="str">
        <f t="shared" ca="1" si="860"/>
        <v>a16Dm000000LZaRIAW</v>
      </c>
      <c r="B735" s="601">
        <v>3</v>
      </c>
      <c r="C735" s="603" t="str">
        <f>IFERROR(VLOOKUP(B735,'Coverage Indicators - Section D'!$A$9:$AO$70,41,FALSE),"")</f>
        <v>KP-1b⁽ᴹ⁾ Percentage of transgender people reached with HIV prevention programs - defined package of services</v>
      </c>
      <c r="D735" s="605" t="str">
        <f>M735</f>
        <v/>
      </c>
      <c r="E735" s="605" t="str">
        <f>N735</f>
        <v/>
      </c>
      <c r="F735" s="131"/>
      <c r="G735" s="607" t="str">
        <f ca="1">IF(OR(INDIRECT("'update Helper'!E"&amp;Q735)="",F735&lt;&gt;0,F736&lt;&gt;0),IF(IFERROR((F735/F736),"")="","",(F735/F736)),INDIRECT("'update Helper'!E"&amp;Q735)/100)</f>
        <v/>
      </c>
      <c r="H735" s="597"/>
      <c r="I735" s="599"/>
      <c r="J735" s="531"/>
      <c r="K735" s="130">
        <f>IF(AND(EXACT(C735,C733),C733&lt;&gt;0),K733+1,0)</f>
        <v>17</v>
      </c>
      <c r="L735" s="130" t="str">
        <f t="shared" ref="L735" si="905">IF(C735&lt;&gt;"",C735&amp;"-"&amp;K735,"")</f>
        <v>KP-1b⁽ᴹ⁾ Percentage of transgender people reached with HIV prevention programs - defined package of services-17</v>
      </c>
      <c r="M735" s="130" t="str">
        <f t="array" ref="M735">IFERROR(IF(INDEX('Disaggregation Records'!$E$152:$E$513,MATCH(RIGHT(L735,255),RIGHT('Disaggregation Records'!$D$152:$D$513,255),0))="","",INDEX('Disaggregation Records'!$E$152:$E$513,MATCH(RIGHT(L735,255),RIGHT('Disaggregation Records'!$D$152:$D$513,255),0))),"")</f>
        <v/>
      </c>
      <c r="N735" s="130" t="str">
        <f t="array" ref="N735">IFERROR(IF(INDEX('Disaggregation Records'!$F$152:$F$513,MATCH(RIGHT(L735,255),RIGHT('Disaggregation Records'!$D$152:$D$513,255),0))="","",INDEX('Disaggregation Records'!$F$152:$F$513,MATCH(RIGHT(L735,255),RIGHT('Disaggregation Records'!$D$152:$D$513,255),0))),"")</f>
        <v/>
      </c>
      <c r="O735" s="130" t="str">
        <f t="array" ref="O735">IFERROR(IF(INDEX('Disaggregation Records'!$H$152:$H$513,MATCH(RIGHT(L735,255),RIGHT('Disaggregation Records'!$D$152:$D$513,255),0))="","",INDEX('Disaggregation Records'!$H$152:$H$513,MATCH(RIGHT(L735,255),RIGHT('Disaggregation Records'!$D$152:$D$513,255),0))),"")</f>
        <v/>
      </c>
      <c r="Q735" s="52">
        <f t="shared" ref="Q735" si="906">Q733+1</f>
        <v>1552</v>
      </c>
    </row>
    <row r="736" spans="1:17" ht="20.100000000000001" customHeight="1" x14ac:dyDescent="0.25">
      <c r="B736" s="602"/>
      <c r="C736" s="604"/>
      <c r="D736" s="606"/>
      <c r="E736" s="606"/>
      <c r="F736" s="132"/>
      <c r="G736" s="608"/>
      <c r="H736" s="598"/>
      <c r="I736" s="600"/>
      <c r="J736" s="532"/>
      <c r="L736" s="130"/>
      <c r="N736" s="130"/>
      <c r="O736" s="130"/>
    </row>
    <row r="737" spans="1:17" ht="20.100000000000001" customHeight="1" x14ac:dyDescent="0.25">
      <c r="A737" s="130" t="str">
        <f t="shared" ca="1" si="857"/>
        <v>a16Dm000000LZaSIAW</v>
      </c>
      <c r="B737" s="601">
        <v>3</v>
      </c>
      <c r="C737" s="603" t="str">
        <f>IFERROR(VLOOKUP(B737,'Coverage Indicators - Section D'!$A$9:$AO$70,41,FALSE),"")</f>
        <v>KP-1b⁽ᴹ⁾ Percentage of transgender people reached with HIV prevention programs - defined package of services</v>
      </c>
      <c r="D737" s="605" t="str">
        <f>M737</f>
        <v/>
      </c>
      <c r="E737" s="605" t="str">
        <f>N737</f>
        <v/>
      </c>
      <c r="F737" s="131"/>
      <c r="G737" s="607" t="str">
        <f ca="1">IF(OR(INDIRECT("'update Helper'!E"&amp;Q737)="",F737&lt;&gt;0,F738&lt;&gt;0),IF(IFERROR((F737/F738),"")="","",(F737/F738)),INDIRECT("'update Helper'!E"&amp;Q737)/100)</f>
        <v/>
      </c>
      <c r="H737" s="597"/>
      <c r="I737" s="599"/>
      <c r="J737" s="531"/>
      <c r="K737" s="130">
        <f>IF(AND(EXACT(C737,C735),C735&lt;&gt;0),K735+1,0)</f>
        <v>18</v>
      </c>
      <c r="L737" s="130" t="str">
        <f t="shared" ref="L737" si="907">IF(C737&lt;&gt;"",C737&amp;"-"&amp;K737,"")</f>
        <v>KP-1b⁽ᴹ⁾ Percentage of transgender people reached with HIV prevention programs - defined package of services-18</v>
      </c>
      <c r="M737" s="130" t="str">
        <f t="array" ref="M737">IFERROR(IF(INDEX('Disaggregation Records'!$E$152:$E$513,MATCH(RIGHT(L737,255),RIGHT('Disaggregation Records'!$D$152:$D$513,255),0))="","",INDEX('Disaggregation Records'!$E$152:$E$513,MATCH(RIGHT(L737,255),RIGHT('Disaggregation Records'!$D$152:$D$513,255),0))),"")</f>
        <v/>
      </c>
      <c r="N737" s="130" t="str">
        <f t="array" ref="N737">IFERROR(IF(INDEX('Disaggregation Records'!$F$152:$F$513,MATCH(RIGHT(L737,255),RIGHT('Disaggregation Records'!$D$152:$D$513,255),0))="","",INDEX('Disaggregation Records'!$F$152:$F$513,MATCH(RIGHT(L737,255),RIGHT('Disaggregation Records'!$D$152:$D$513,255),0))),"")</f>
        <v/>
      </c>
      <c r="O737" s="130" t="str">
        <f t="array" ref="O737">IFERROR(IF(INDEX('Disaggregation Records'!$H$152:$H$513,MATCH(RIGHT(L737,255),RIGHT('Disaggregation Records'!$D$152:$D$513,255),0))="","",INDEX('Disaggregation Records'!$H$152:$H$513,MATCH(RIGHT(L737,255),RIGHT('Disaggregation Records'!$D$152:$D$513,255),0))),"")</f>
        <v/>
      </c>
      <c r="Q737" s="52">
        <f t="shared" ref="Q737" si="908">Q735+1</f>
        <v>1553</v>
      </c>
    </row>
    <row r="738" spans="1:17" ht="20.100000000000001" customHeight="1" x14ac:dyDescent="0.25">
      <c r="A738" s="130"/>
      <c r="B738" s="602"/>
      <c r="C738" s="604"/>
      <c r="D738" s="606"/>
      <c r="E738" s="606"/>
      <c r="F738" s="132"/>
      <c r="G738" s="608"/>
      <c r="H738" s="598"/>
      <c r="I738" s="600"/>
      <c r="J738" s="532"/>
      <c r="L738" s="130"/>
      <c r="N738" s="130"/>
      <c r="O738" s="130"/>
    </row>
    <row r="739" spans="1:17" ht="20.100000000000001" customHeight="1" x14ac:dyDescent="0.25">
      <c r="A739" s="130" t="str">
        <f t="shared" ca="1" si="860"/>
        <v>a16Dm000000LZaTIAW</v>
      </c>
      <c r="B739" s="601">
        <v>3</v>
      </c>
      <c r="C739" s="603" t="str">
        <f>IFERROR(VLOOKUP(B739,'Coverage Indicators - Section D'!$A$9:$AO$70,41,FALSE),"")</f>
        <v>KP-1b⁽ᴹ⁾ Percentage of transgender people reached with HIV prevention programs - defined package of services</v>
      </c>
      <c r="D739" s="605" t="str">
        <f>M739</f>
        <v/>
      </c>
      <c r="E739" s="605" t="str">
        <f>N739</f>
        <v/>
      </c>
      <c r="F739" s="131"/>
      <c r="G739" s="607" t="str">
        <f ca="1">IF(OR(INDIRECT("'update Helper'!E"&amp;Q739)="",F739&lt;&gt;0,F740&lt;&gt;0),IF(IFERROR((F739/F740),"")="","",(F739/F740)),INDIRECT("'update Helper'!E"&amp;Q739)/100)</f>
        <v/>
      </c>
      <c r="H739" s="597"/>
      <c r="I739" s="599"/>
      <c r="J739" s="531"/>
      <c r="K739" s="130">
        <f>IF(AND(EXACT(C739,C737),C737&lt;&gt;0),K737+1,0)</f>
        <v>19</v>
      </c>
      <c r="L739" s="130" t="str">
        <f t="shared" ref="L739" si="909">IF(C739&lt;&gt;"",C739&amp;"-"&amp;K739,"")</f>
        <v>KP-1b⁽ᴹ⁾ Percentage of transgender people reached with HIV prevention programs - defined package of services-19</v>
      </c>
      <c r="M739" s="130" t="str">
        <f t="array" ref="M739">IFERROR(IF(INDEX('Disaggregation Records'!$E$152:$E$513,MATCH(RIGHT(L739,255),RIGHT('Disaggregation Records'!$D$152:$D$513,255),0))="","",INDEX('Disaggregation Records'!$E$152:$E$513,MATCH(RIGHT(L739,255),RIGHT('Disaggregation Records'!$D$152:$D$513,255),0))),"")</f>
        <v/>
      </c>
      <c r="N739" s="130" t="str">
        <f t="array" ref="N739">IFERROR(IF(INDEX('Disaggregation Records'!$F$152:$F$513,MATCH(RIGHT(L739,255),RIGHT('Disaggregation Records'!$D$152:$D$513,255),0))="","",INDEX('Disaggregation Records'!$F$152:$F$513,MATCH(RIGHT(L739,255),RIGHT('Disaggregation Records'!$D$152:$D$513,255),0))),"")</f>
        <v/>
      </c>
      <c r="O739" s="130" t="str">
        <f t="array" ref="O739">IFERROR(IF(INDEX('Disaggregation Records'!$H$152:$H$513,MATCH(RIGHT(L739,255),RIGHT('Disaggregation Records'!$D$152:$D$513,255),0))="","",INDEX('Disaggregation Records'!$H$152:$H$513,MATCH(RIGHT(L739,255),RIGHT('Disaggregation Records'!$D$152:$D$513,255),0))),"")</f>
        <v/>
      </c>
      <c r="Q739" s="52">
        <f t="shared" ref="Q739" si="910">Q737+1</f>
        <v>1554</v>
      </c>
    </row>
    <row r="740" spans="1:17" ht="20.100000000000001" customHeight="1" x14ac:dyDescent="0.25">
      <c r="B740" s="602"/>
      <c r="C740" s="604"/>
      <c r="D740" s="606"/>
      <c r="E740" s="606"/>
      <c r="F740" s="132"/>
      <c r="G740" s="608"/>
      <c r="H740" s="598"/>
      <c r="I740" s="600"/>
      <c r="J740" s="532"/>
      <c r="L740" s="130"/>
      <c r="N740" s="130"/>
      <c r="O740" s="130"/>
    </row>
    <row r="741" spans="1:17" ht="54" customHeight="1" x14ac:dyDescent="0.25">
      <c r="A741" s="130" t="str">
        <f t="shared" ca="1" si="857"/>
        <v>a16Dm000000LZaUIAW</v>
      </c>
      <c r="B741" s="601">
        <v>4</v>
      </c>
      <c r="C741" s="603" t="str">
        <f>IFERROR(VLOOKUP(B741,'Coverage Indicators - Section D'!$A$9:$AO$70,41,FALSE),"")</f>
        <v>KP-1d⁽ᴹ⁾ Percentage of people who inject drugs reached with HIV prevention programs - defined package of services</v>
      </c>
      <c r="D741" s="605" t="str">
        <f>M741</f>
        <v>Age</v>
      </c>
      <c r="E741" s="605" t="str">
        <f>N741</f>
        <v>25+</v>
      </c>
      <c r="F741" s="131">
        <v>17010</v>
      </c>
      <c r="G741" s="607" t="str">
        <f ca="1">IF(OR(INDIRECT("'update Helper'!E"&amp;Q741)="",F741&lt;&gt;0,F742&lt;&gt;0),IF(IFERROR((F741/F742),"")="","",(F741/F742)),INDIRECT("'update Helper'!E"&amp;Q741)/100)</f>
        <v/>
      </c>
      <c r="H741" s="597">
        <v>2022</v>
      </c>
      <c r="I741" s="599" t="s">
        <v>2239</v>
      </c>
      <c r="J741" s="531" t="s">
        <v>2243</v>
      </c>
      <c r="K741" s="130">
        <f>IF(AND(EXACT(C741,C739),C739&lt;&gt;0),K739+1,0)</f>
        <v>0</v>
      </c>
      <c r="L741" s="130" t="str">
        <f t="shared" ref="L741" si="911">IF(C741&lt;&gt;"",C741&amp;"-"&amp;K741,"")</f>
        <v>KP-1d⁽ᴹ⁾ Percentage of people who inject drugs reached with HIV prevention programs - defined package of services-0</v>
      </c>
      <c r="M741" s="130" t="str">
        <f t="array" ref="M741">IFERROR(IF(INDEX('Disaggregation Records'!$E$152:$E$513,MATCH(RIGHT(L741,255),RIGHT('Disaggregation Records'!$D$152:$D$513,255),0))="","",INDEX('Disaggregation Records'!$E$152:$E$513,MATCH(RIGHT(L741,255),RIGHT('Disaggregation Records'!$D$152:$D$513,255),0))),"")</f>
        <v>Age</v>
      </c>
      <c r="N741" s="130" t="str">
        <f t="array" ref="N741">IFERROR(IF(INDEX('Disaggregation Records'!$F$152:$F$513,MATCH(RIGHT(L741,255),RIGHT('Disaggregation Records'!$D$152:$D$513,255),0))="","",INDEX('Disaggregation Records'!$F$152:$F$513,MATCH(RIGHT(L741,255),RIGHT('Disaggregation Records'!$D$152:$D$513,255),0))),"")</f>
        <v>25+</v>
      </c>
      <c r="O741" s="130" t="str">
        <f t="array" ref="O741">IFERROR(IF(INDEX('Disaggregation Records'!$H$152:$H$513,MATCH(RIGHT(L741,255),RIGHT('Disaggregation Records'!$D$152:$D$513,255),0))="","",INDEX('Disaggregation Records'!$H$152:$H$513,MATCH(RIGHT(L741,255),RIGHT('Disaggregation Records'!$D$152:$D$513,255),0))),"")</f>
        <v>IDR-01224</v>
      </c>
      <c r="P741" s="130"/>
      <c r="Q741" s="52">
        <f t="shared" ref="Q741" si="912">Q739+1</f>
        <v>1555</v>
      </c>
    </row>
    <row r="742" spans="1:17" ht="42.75" customHeight="1" x14ac:dyDescent="0.25">
      <c r="A742" s="130"/>
      <c r="B742" s="602"/>
      <c r="C742" s="604"/>
      <c r="D742" s="606"/>
      <c r="E742" s="606"/>
      <c r="F742" s="132"/>
      <c r="G742" s="608"/>
      <c r="H742" s="598"/>
      <c r="I742" s="600"/>
      <c r="J742" s="532"/>
      <c r="K742" s="130"/>
      <c r="L742" s="130"/>
      <c r="M742" s="130"/>
      <c r="N742" s="130"/>
      <c r="O742" s="130"/>
      <c r="P742" s="130"/>
    </row>
    <row r="743" spans="1:17" ht="46.5" customHeight="1" x14ac:dyDescent="0.25">
      <c r="A743" s="130" t="str">
        <f t="shared" ca="1" si="860"/>
        <v>a16Dm000000LZaVIAW</v>
      </c>
      <c r="B743" s="601">
        <v>4</v>
      </c>
      <c r="C743" s="603" t="str">
        <f>IFERROR(VLOOKUP(B743,'Coverage Indicators - Section D'!$A$9:$AO$70,41,FALSE),"")</f>
        <v>KP-1d⁽ᴹ⁾ Percentage of people who inject drugs reached with HIV prevention programs - defined package of services</v>
      </c>
      <c r="D743" s="605" t="str">
        <f>M743</f>
        <v>Age</v>
      </c>
      <c r="E743" s="605" t="str">
        <f>N743</f>
        <v>20-24</v>
      </c>
      <c r="F743" s="131">
        <v>369</v>
      </c>
      <c r="G743" s="607" t="str">
        <f ca="1">IF(OR(INDIRECT("'update Helper'!E"&amp;Q743)="",F743&lt;&gt;0,F744&lt;&gt;0),IF(IFERROR((F743/F744),"")="","",(F743/F744)),INDIRECT("'update Helper'!E"&amp;Q743)/100)</f>
        <v/>
      </c>
      <c r="H743" s="597">
        <v>2022</v>
      </c>
      <c r="I743" s="599" t="s">
        <v>2239</v>
      </c>
      <c r="J743" s="531" t="s">
        <v>2243</v>
      </c>
      <c r="K743" s="130">
        <f>IF(AND(EXACT(C743,C741),C741&lt;&gt;0),K741+1,0)</f>
        <v>1</v>
      </c>
      <c r="L743" s="130" t="str">
        <f t="shared" ref="L743" si="913">IF(C743&lt;&gt;"",C743&amp;"-"&amp;K743,"")</f>
        <v>KP-1d⁽ᴹ⁾ Percentage of people who inject drugs reached with HIV prevention programs - defined package of services-1</v>
      </c>
      <c r="M743" s="130" t="str">
        <f t="array" ref="M743">IFERROR(IF(INDEX('Disaggregation Records'!$E$152:$E$513,MATCH(RIGHT(L743,255),RIGHT('Disaggregation Records'!$D$152:$D$513,255),0))="","",INDEX('Disaggregation Records'!$E$152:$E$513,MATCH(RIGHT(L743,255),RIGHT('Disaggregation Records'!$D$152:$D$513,255),0))),"")</f>
        <v>Age</v>
      </c>
      <c r="N743" s="130" t="str">
        <f t="array" ref="N743">IFERROR(IF(INDEX('Disaggregation Records'!$F$152:$F$513,MATCH(RIGHT(L743,255),RIGHT('Disaggregation Records'!$D$152:$D$513,255),0))="","",INDEX('Disaggregation Records'!$F$152:$F$513,MATCH(RIGHT(L743,255),RIGHT('Disaggregation Records'!$D$152:$D$513,255),0))),"")</f>
        <v>20-24</v>
      </c>
      <c r="O743" s="130" t="str">
        <f t="array" ref="O743">IFERROR(IF(INDEX('Disaggregation Records'!$H$152:$H$513,MATCH(RIGHT(L743,255),RIGHT('Disaggregation Records'!$D$152:$D$513,255),0))="","",INDEX('Disaggregation Records'!$H$152:$H$513,MATCH(RIGHT(L743,255),RIGHT('Disaggregation Records'!$D$152:$D$513,255),0))),"")</f>
        <v>IDR-01223</v>
      </c>
      <c r="P743" s="130"/>
      <c r="Q743" s="52">
        <f t="shared" ref="Q743" si="914">Q741+1</f>
        <v>1556</v>
      </c>
    </row>
    <row r="744" spans="1:17" ht="46.5" customHeight="1" x14ac:dyDescent="0.25">
      <c r="B744" s="602"/>
      <c r="C744" s="604"/>
      <c r="D744" s="606"/>
      <c r="E744" s="606"/>
      <c r="F744" s="132"/>
      <c r="G744" s="608"/>
      <c r="H744" s="598"/>
      <c r="I744" s="600"/>
      <c r="J744" s="532"/>
      <c r="K744" s="130"/>
      <c r="L744" s="130"/>
      <c r="M744" s="130"/>
      <c r="N744" s="130"/>
      <c r="O744" s="130"/>
      <c r="P744" s="130"/>
    </row>
    <row r="745" spans="1:17" ht="63" customHeight="1" x14ac:dyDescent="0.25">
      <c r="A745" s="130" t="str">
        <f t="shared" ca="1" si="857"/>
        <v>a16Dm000000LZaWIAW</v>
      </c>
      <c r="B745" s="601">
        <v>4</v>
      </c>
      <c r="C745" s="603" t="str">
        <f>IFERROR(VLOOKUP(B745,'Coverage Indicators - Section D'!$A$9:$AO$70,41,FALSE),"")</f>
        <v>KP-1d⁽ᴹ⁾ Percentage of people who inject drugs reached with HIV prevention programs - defined package of services</v>
      </c>
      <c r="D745" s="605" t="str">
        <f>M745</f>
        <v>Age</v>
      </c>
      <c r="E745" s="605" t="str">
        <f>N745</f>
        <v>15-19</v>
      </c>
      <c r="F745" s="131">
        <v>19</v>
      </c>
      <c r="G745" s="607" t="str">
        <f ca="1">IF(OR(INDIRECT("'update Helper'!E"&amp;Q745)="",F745&lt;&gt;0,F746&lt;&gt;0),IF(IFERROR((F745/F746),"")="","",(F745/F746)),INDIRECT("'update Helper'!E"&amp;Q745)/100)</f>
        <v/>
      </c>
      <c r="H745" s="597">
        <v>2022</v>
      </c>
      <c r="I745" s="599" t="s">
        <v>2239</v>
      </c>
      <c r="J745" s="531" t="s">
        <v>2243</v>
      </c>
      <c r="K745" s="130">
        <f>IF(AND(EXACT(C745,C743),C743&lt;&gt;0),K743+1,0)</f>
        <v>2</v>
      </c>
      <c r="L745" s="130" t="str">
        <f t="shared" ref="L745" si="915">IF(C745&lt;&gt;"",C745&amp;"-"&amp;K745,"")</f>
        <v>KP-1d⁽ᴹ⁾ Percentage of people who inject drugs reached with HIV prevention programs - defined package of services-2</v>
      </c>
      <c r="M745" s="130" t="str">
        <f t="array" ref="M745">IFERROR(IF(INDEX('Disaggregation Records'!$E$152:$E$513,MATCH(RIGHT(L745,255),RIGHT('Disaggregation Records'!$D$152:$D$513,255),0))="","",INDEX('Disaggregation Records'!$E$152:$E$513,MATCH(RIGHT(L745,255),RIGHT('Disaggregation Records'!$D$152:$D$513,255),0))),"")</f>
        <v>Age</v>
      </c>
      <c r="N745" s="130" t="str">
        <f t="array" ref="N745">IFERROR(IF(INDEX('Disaggregation Records'!$F$152:$F$513,MATCH(RIGHT(L745,255),RIGHT('Disaggregation Records'!$D$152:$D$513,255),0))="","",INDEX('Disaggregation Records'!$F$152:$F$513,MATCH(RIGHT(L745,255),RIGHT('Disaggregation Records'!$D$152:$D$513,255),0))),"")</f>
        <v>15-19</v>
      </c>
      <c r="O745" s="130" t="str">
        <f t="array" ref="O745">IFERROR(IF(INDEX('Disaggregation Records'!$H$152:$H$513,MATCH(RIGHT(L745,255),RIGHT('Disaggregation Records'!$D$152:$D$513,255),0))="","",INDEX('Disaggregation Records'!$H$152:$H$513,MATCH(RIGHT(L745,255),RIGHT('Disaggregation Records'!$D$152:$D$513,255),0))),"")</f>
        <v>IDR-01222</v>
      </c>
      <c r="Q745" s="52">
        <f t="shared" ref="Q745" si="916">Q743+1</f>
        <v>1557</v>
      </c>
    </row>
    <row r="746" spans="1:17" ht="29.25" customHeight="1" x14ac:dyDescent="0.25">
      <c r="A746" s="130"/>
      <c r="B746" s="602"/>
      <c r="C746" s="604"/>
      <c r="D746" s="606"/>
      <c r="E746" s="606"/>
      <c r="F746" s="132"/>
      <c r="G746" s="608"/>
      <c r="H746" s="598"/>
      <c r="I746" s="600"/>
      <c r="J746" s="532"/>
      <c r="L746" s="130"/>
      <c r="N746" s="130"/>
      <c r="O746" s="130"/>
    </row>
    <row r="747" spans="1:17" ht="69.75" customHeight="1" x14ac:dyDescent="0.25">
      <c r="A747" s="130" t="str">
        <f t="shared" ca="1" si="860"/>
        <v>a16Dm000000LZaXIAW</v>
      </c>
      <c r="B747" s="601">
        <v>4</v>
      </c>
      <c r="C747" s="603" t="str">
        <f>IFERROR(VLOOKUP(B747,'Coverage Indicators - Section D'!$A$9:$AO$70,41,FALSE),"")</f>
        <v>KP-1d⁽ᴹ⁾ Percentage of people who inject drugs reached with HIV prevention programs - defined package of services</v>
      </c>
      <c r="D747" s="605" t="str">
        <f>M747</f>
        <v>Gender</v>
      </c>
      <c r="E747" s="605" t="str">
        <f>N747</f>
        <v>Male</v>
      </c>
      <c r="F747" s="131">
        <v>14840</v>
      </c>
      <c r="G747" s="607" t="str">
        <f ca="1">IF(OR(INDIRECT("'update Helper'!E"&amp;Q747)="",F747&lt;&gt;0,F748&lt;&gt;0),IF(IFERROR((F747/F748),"")="","",(F747/F748)),INDIRECT("'update Helper'!E"&amp;Q747)/100)</f>
        <v/>
      </c>
      <c r="H747" s="597">
        <v>2022</v>
      </c>
      <c r="I747" s="599" t="s">
        <v>2239</v>
      </c>
      <c r="J747" s="531" t="s">
        <v>2243</v>
      </c>
      <c r="K747" s="130">
        <f>IF(AND(EXACT(C747,C745),C745&lt;&gt;0),K745+1,0)</f>
        <v>3</v>
      </c>
      <c r="L747" s="130" t="str">
        <f t="shared" ref="L747" si="917">IF(C747&lt;&gt;"",C747&amp;"-"&amp;K747,"")</f>
        <v>KP-1d⁽ᴹ⁾ Percentage of people who inject drugs reached with HIV prevention programs - defined package of services-3</v>
      </c>
      <c r="M747" s="130" t="str">
        <f t="array" ref="M747">IFERROR(IF(INDEX('Disaggregation Records'!$E$152:$E$513,MATCH(RIGHT(L747,255),RIGHT('Disaggregation Records'!$D$152:$D$513,255),0))="","",INDEX('Disaggregation Records'!$E$152:$E$513,MATCH(RIGHT(L747,255),RIGHT('Disaggregation Records'!$D$152:$D$513,255),0))),"")</f>
        <v>Gender</v>
      </c>
      <c r="N747" s="130" t="str">
        <f t="array" ref="N747">IFERROR(IF(INDEX('Disaggregation Records'!$F$152:$F$513,MATCH(RIGHT(L747,255),RIGHT('Disaggregation Records'!$D$152:$D$513,255),0))="","",INDEX('Disaggregation Records'!$F$152:$F$513,MATCH(RIGHT(L747,255),RIGHT('Disaggregation Records'!$D$152:$D$513,255),0))),"")</f>
        <v>Male</v>
      </c>
      <c r="O747" s="130" t="str">
        <f t="array" ref="O747">IFERROR(IF(INDEX('Disaggregation Records'!$H$152:$H$513,MATCH(RIGHT(L747,255),RIGHT('Disaggregation Records'!$D$152:$D$513,255),0))="","",INDEX('Disaggregation Records'!$H$152:$H$513,MATCH(RIGHT(L747,255),RIGHT('Disaggregation Records'!$D$152:$D$513,255),0))),"")</f>
        <v>IDR-01221</v>
      </c>
      <c r="Q747" s="52">
        <f t="shared" ref="Q747" si="918">Q745+1</f>
        <v>1558</v>
      </c>
    </row>
    <row r="748" spans="1:17" ht="21" customHeight="1" x14ac:dyDescent="0.25">
      <c r="B748" s="602"/>
      <c r="C748" s="604"/>
      <c r="D748" s="606"/>
      <c r="E748" s="606"/>
      <c r="F748" s="132"/>
      <c r="G748" s="608"/>
      <c r="H748" s="598"/>
      <c r="I748" s="600"/>
      <c r="J748" s="532"/>
      <c r="L748" s="130"/>
      <c r="N748" s="130"/>
      <c r="O748" s="130"/>
    </row>
    <row r="749" spans="1:17" ht="71.25" customHeight="1" x14ac:dyDescent="0.25">
      <c r="A749" s="130" t="str">
        <f t="shared" ca="1" si="857"/>
        <v>a16Dm000000LZaYIAW</v>
      </c>
      <c r="B749" s="601">
        <v>4</v>
      </c>
      <c r="C749" s="603" t="str">
        <f>IFERROR(VLOOKUP(B749,'Coverage Indicators - Section D'!$A$9:$AO$70,41,FALSE),"")</f>
        <v>KP-1d⁽ᴹ⁾ Percentage of people who inject drugs reached with HIV prevention programs - defined package of services</v>
      </c>
      <c r="D749" s="605" t="str">
        <f>M749</f>
        <v>Gender</v>
      </c>
      <c r="E749" s="605" t="str">
        <f>N749</f>
        <v>Female</v>
      </c>
      <c r="F749" s="131">
        <v>2539</v>
      </c>
      <c r="G749" s="607" t="str">
        <f ca="1">IF(OR(INDIRECT("'update Helper'!E"&amp;Q749)="",F749&lt;&gt;0,F750&lt;&gt;0),IF(IFERROR((F749/F750),"")="","",(F749/F750)),INDIRECT("'update Helper'!E"&amp;Q749)/100)</f>
        <v/>
      </c>
      <c r="H749" s="597">
        <v>2022</v>
      </c>
      <c r="I749" s="599" t="s">
        <v>2239</v>
      </c>
      <c r="J749" s="531" t="s">
        <v>2243</v>
      </c>
      <c r="K749" s="130">
        <f>IF(AND(EXACT(C749,C747),C747&lt;&gt;0),K747+1,0)</f>
        <v>4</v>
      </c>
      <c r="L749" s="130" t="str">
        <f t="shared" ref="L749" si="919">IF(C749&lt;&gt;"",C749&amp;"-"&amp;K749,"")</f>
        <v>KP-1d⁽ᴹ⁾ Percentage of people who inject drugs reached with HIV prevention programs - defined package of services-4</v>
      </c>
      <c r="M749" s="130" t="str">
        <f t="array" ref="M749">IFERROR(IF(INDEX('Disaggregation Records'!$E$152:$E$513,MATCH(RIGHT(L749,255),RIGHT('Disaggregation Records'!$D$152:$D$513,255),0))="","",INDEX('Disaggregation Records'!$E$152:$E$513,MATCH(RIGHT(L749,255),RIGHT('Disaggregation Records'!$D$152:$D$513,255),0))),"")</f>
        <v>Gender</v>
      </c>
      <c r="N749" s="130" t="str">
        <f t="array" ref="N749">IFERROR(IF(INDEX('Disaggregation Records'!$F$152:$F$513,MATCH(RIGHT(L749,255),RIGHT('Disaggregation Records'!$D$152:$D$513,255),0))="","",INDEX('Disaggregation Records'!$F$152:$F$513,MATCH(RIGHT(L749,255),RIGHT('Disaggregation Records'!$D$152:$D$513,255),0))),"")</f>
        <v>Female</v>
      </c>
      <c r="O749" s="130" t="str">
        <f t="array" ref="O749">IFERROR(IF(INDEX('Disaggregation Records'!$H$152:$H$513,MATCH(RIGHT(L749,255),RIGHT('Disaggregation Records'!$D$152:$D$513,255),0))="","",INDEX('Disaggregation Records'!$H$152:$H$513,MATCH(RIGHT(L749,255),RIGHT('Disaggregation Records'!$D$152:$D$513,255),0))),"")</f>
        <v>IDR-01220</v>
      </c>
      <c r="Q749" s="52">
        <f t="shared" ref="Q749" si="920">Q747+1</f>
        <v>1559</v>
      </c>
    </row>
    <row r="750" spans="1:17" ht="18" customHeight="1" x14ac:dyDescent="0.25">
      <c r="A750" s="130"/>
      <c r="B750" s="602"/>
      <c r="C750" s="604"/>
      <c r="D750" s="606"/>
      <c r="E750" s="606"/>
      <c r="F750" s="132"/>
      <c r="G750" s="608"/>
      <c r="H750" s="598"/>
      <c r="I750" s="600"/>
      <c r="J750" s="532"/>
      <c r="L750" s="130"/>
      <c r="N750" s="130"/>
      <c r="O750" s="130"/>
    </row>
    <row r="751" spans="1:17" ht="20.100000000000001" customHeight="1" x14ac:dyDescent="0.25">
      <c r="A751" s="130" t="str">
        <f t="shared" ca="1" si="860"/>
        <v>a16Dm000000LZaZIAW</v>
      </c>
      <c r="B751" s="601">
        <v>4</v>
      </c>
      <c r="C751" s="603" t="str">
        <f>IFERROR(VLOOKUP(B751,'Coverage Indicators - Section D'!$A$9:$AO$70,41,FALSE),"")</f>
        <v>KP-1d⁽ᴹ⁾ Percentage of people who inject drugs reached with HIV prevention programs - defined package of services</v>
      </c>
      <c r="D751" s="605" t="str">
        <f>M751</f>
        <v/>
      </c>
      <c r="E751" s="605" t="str">
        <f>N751</f>
        <v/>
      </c>
      <c r="F751" s="131"/>
      <c r="G751" s="607" t="str">
        <f ca="1">IF(OR(INDIRECT("'update Helper'!E"&amp;Q751)="",F751&lt;&gt;0,F752&lt;&gt;0),IF(IFERROR((F751/F752),"")="","",(F751/F752)),INDIRECT("'update Helper'!E"&amp;Q751)/100)</f>
        <v/>
      </c>
      <c r="H751" s="597"/>
      <c r="I751" s="599"/>
      <c r="J751" s="531"/>
      <c r="K751" s="130">
        <f>IF(AND(EXACT(C751,C749),C749&lt;&gt;0),K749+1,0)</f>
        <v>5</v>
      </c>
      <c r="L751" s="130" t="str">
        <f t="shared" ref="L751" si="921">IF(C751&lt;&gt;"",C751&amp;"-"&amp;K751,"")</f>
        <v>KP-1d⁽ᴹ⁾ Percentage of people who inject drugs reached with HIV prevention programs - defined package of services-5</v>
      </c>
      <c r="M751" s="130" t="str">
        <f t="array" ref="M751">IFERROR(IF(INDEX('Disaggregation Records'!$E$152:$E$513,MATCH(RIGHT(L751,255),RIGHT('Disaggregation Records'!$D$152:$D$513,255),0))="","",INDEX('Disaggregation Records'!$E$152:$E$513,MATCH(RIGHT(L751,255),RIGHT('Disaggregation Records'!$D$152:$D$513,255),0))),"")</f>
        <v/>
      </c>
      <c r="N751" s="130" t="str">
        <f t="array" ref="N751">IFERROR(IF(INDEX('Disaggregation Records'!$F$152:$F$513,MATCH(RIGHT(L751,255),RIGHT('Disaggregation Records'!$D$152:$D$513,255),0))="","",INDEX('Disaggregation Records'!$F$152:$F$513,MATCH(RIGHT(L751,255),RIGHT('Disaggregation Records'!$D$152:$D$513,255),0))),"")</f>
        <v/>
      </c>
      <c r="O751" s="130" t="str">
        <f t="array" ref="O751">IFERROR(IF(INDEX('Disaggregation Records'!$H$152:$H$513,MATCH(RIGHT(L751,255),RIGHT('Disaggregation Records'!$D$152:$D$513,255),0))="","",INDEX('Disaggregation Records'!$H$152:$H$513,MATCH(RIGHT(L751,255),RIGHT('Disaggregation Records'!$D$152:$D$513,255),0))),"")</f>
        <v/>
      </c>
      <c r="P751" s="130"/>
      <c r="Q751" s="52">
        <f t="shared" ref="Q751" si="922">Q749+1</f>
        <v>1560</v>
      </c>
    </row>
    <row r="752" spans="1:17" ht="20.100000000000001" customHeight="1" x14ac:dyDescent="0.25">
      <c r="B752" s="602"/>
      <c r="C752" s="604"/>
      <c r="D752" s="606"/>
      <c r="E752" s="606"/>
      <c r="F752" s="132"/>
      <c r="G752" s="608"/>
      <c r="H752" s="598"/>
      <c r="I752" s="600"/>
      <c r="J752" s="532"/>
      <c r="K752" s="130"/>
      <c r="L752" s="130"/>
      <c r="M752" s="130"/>
      <c r="N752" s="130"/>
      <c r="O752" s="130"/>
      <c r="P752" s="130"/>
    </row>
    <row r="753" spans="1:17" ht="20.100000000000001" customHeight="1" x14ac:dyDescent="0.25">
      <c r="A753" s="130" t="str">
        <f t="shared" ref="A753:A813" ca="1" si="923">INDIRECT("'update Helper'!C"&amp;Q753)</f>
        <v>a16Dm000000LZaaIAG</v>
      </c>
      <c r="B753" s="601">
        <v>4</v>
      </c>
      <c r="C753" s="603" t="str">
        <f>IFERROR(VLOOKUP(B753,'Coverage Indicators - Section D'!$A$9:$AO$70,41,FALSE),"")</f>
        <v>KP-1d⁽ᴹ⁾ Percentage of people who inject drugs reached with HIV prevention programs - defined package of services</v>
      </c>
      <c r="D753" s="605" t="str">
        <f>M753</f>
        <v/>
      </c>
      <c r="E753" s="605" t="str">
        <f>N753</f>
        <v/>
      </c>
      <c r="F753" s="131"/>
      <c r="G753" s="607" t="str">
        <f ca="1">IF(OR(INDIRECT("'update Helper'!E"&amp;Q753)="",F753&lt;&gt;0,F754&lt;&gt;0),IF(IFERROR((F753/F754),"")="","",(F753/F754)),INDIRECT("'update Helper'!E"&amp;Q753)/100)</f>
        <v/>
      </c>
      <c r="H753" s="597"/>
      <c r="I753" s="599"/>
      <c r="J753" s="531"/>
      <c r="K753" s="130">
        <f>IF(AND(EXACT(C753,C751),C751&lt;&gt;0),K751+1,0)</f>
        <v>6</v>
      </c>
      <c r="L753" s="130" t="str">
        <f t="shared" ref="L753" si="924">IF(C753&lt;&gt;"",C753&amp;"-"&amp;K753,"")</f>
        <v>KP-1d⁽ᴹ⁾ Percentage of people who inject drugs reached with HIV prevention programs - defined package of services-6</v>
      </c>
      <c r="M753" s="130" t="str">
        <f t="array" ref="M753">IFERROR(IF(INDEX('Disaggregation Records'!$E$152:$E$513,MATCH(RIGHT(L753,255),RIGHT('Disaggregation Records'!$D$152:$D$513,255),0))="","",INDEX('Disaggregation Records'!$E$152:$E$513,MATCH(RIGHT(L753,255),RIGHT('Disaggregation Records'!$D$152:$D$513,255),0))),"")</f>
        <v/>
      </c>
      <c r="N753" s="130" t="str">
        <f t="array" ref="N753">IFERROR(IF(INDEX('Disaggregation Records'!$F$152:$F$513,MATCH(RIGHT(L753,255),RIGHT('Disaggregation Records'!$D$152:$D$513,255),0))="","",INDEX('Disaggregation Records'!$F$152:$F$513,MATCH(RIGHT(L753,255),RIGHT('Disaggregation Records'!$D$152:$D$513,255),0))),"")</f>
        <v/>
      </c>
      <c r="O753" s="130" t="str">
        <f t="array" ref="O753">IFERROR(IF(INDEX('Disaggregation Records'!$H$152:$H$513,MATCH(RIGHT(L753,255),RIGHT('Disaggregation Records'!$D$152:$D$513,255),0))="","",INDEX('Disaggregation Records'!$H$152:$H$513,MATCH(RIGHT(L753,255),RIGHT('Disaggregation Records'!$D$152:$D$513,255),0))),"")</f>
        <v/>
      </c>
      <c r="P753" s="130"/>
      <c r="Q753" s="52">
        <f t="shared" ref="Q753" si="925">Q751+1</f>
        <v>1561</v>
      </c>
    </row>
    <row r="754" spans="1:17" ht="20.100000000000001" customHeight="1" x14ac:dyDescent="0.25">
      <c r="A754" s="130"/>
      <c r="B754" s="602"/>
      <c r="C754" s="604"/>
      <c r="D754" s="606"/>
      <c r="E754" s="606"/>
      <c r="F754" s="132"/>
      <c r="G754" s="608"/>
      <c r="H754" s="598"/>
      <c r="I754" s="600"/>
      <c r="J754" s="532"/>
      <c r="K754" s="130"/>
      <c r="L754" s="130"/>
      <c r="M754" s="130"/>
      <c r="N754" s="130"/>
      <c r="O754" s="130"/>
      <c r="P754" s="130"/>
    </row>
    <row r="755" spans="1:17" ht="20.100000000000001" customHeight="1" x14ac:dyDescent="0.25">
      <c r="A755" s="130" t="str">
        <f t="shared" ref="A755:A815" ca="1" si="926">INDIRECT("'update Helper'!C"&amp;Q755)</f>
        <v>a16Dm000000LZabIAG</v>
      </c>
      <c r="B755" s="601">
        <v>4</v>
      </c>
      <c r="C755" s="603" t="str">
        <f>IFERROR(VLOOKUP(B755,'Coverage Indicators - Section D'!$A$9:$AO$70,41,FALSE),"")</f>
        <v>KP-1d⁽ᴹ⁾ Percentage of people who inject drugs reached with HIV prevention programs - defined package of services</v>
      </c>
      <c r="D755" s="605" t="str">
        <f>M755</f>
        <v/>
      </c>
      <c r="E755" s="605" t="str">
        <f>N755</f>
        <v/>
      </c>
      <c r="F755" s="131"/>
      <c r="G755" s="607" t="str">
        <f ca="1">IF(OR(INDIRECT("'update Helper'!E"&amp;Q755)="",F755&lt;&gt;0,F756&lt;&gt;0),IF(IFERROR((F755/F756),"")="","",(F755/F756)),INDIRECT("'update Helper'!E"&amp;Q755)/100)</f>
        <v/>
      </c>
      <c r="H755" s="597"/>
      <c r="I755" s="599"/>
      <c r="J755" s="531"/>
      <c r="K755" s="130">
        <f>IF(AND(EXACT(C755,C753),C753&lt;&gt;0),K753+1,0)</f>
        <v>7</v>
      </c>
      <c r="L755" s="130" t="str">
        <f t="shared" ref="L755" si="927">IF(C755&lt;&gt;"",C755&amp;"-"&amp;K755,"")</f>
        <v>KP-1d⁽ᴹ⁾ Percentage of people who inject drugs reached with HIV prevention programs - defined package of services-7</v>
      </c>
      <c r="M755" s="130" t="str">
        <f t="array" ref="M755">IFERROR(IF(INDEX('Disaggregation Records'!$E$152:$E$513,MATCH(RIGHT(L755,255),RIGHT('Disaggregation Records'!$D$152:$D$513,255),0))="","",INDEX('Disaggregation Records'!$E$152:$E$513,MATCH(RIGHT(L755,255),RIGHT('Disaggregation Records'!$D$152:$D$513,255),0))),"")</f>
        <v/>
      </c>
      <c r="N755" s="130" t="str">
        <f t="array" ref="N755">IFERROR(IF(INDEX('Disaggregation Records'!$F$152:$F$513,MATCH(RIGHT(L755,255),RIGHT('Disaggregation Records'!$D$152:$D$513,255),0))="","",INDEX('Disaggregation Records'!$F$152:$F$513,MATCH(RIGHT(L755,255),RIGHT('Disaggregation Records'!$D$152:$D$513,255),0))),"")</f>
        <v/>
      </c>
      <c r="O755" s="130" t="str">
        <f t="array" ref="O755">IFERROR(IF(INDEX('Disaggregation Records'!$H$152:$H$513,MATCH(RIGHT(L755,255),RIGHT('Disaggregation Records'!$D$152:$D$513,255),0))="","",INDEX('Disaggregation Records'!$H$152:$H$513,MATCH(RIGHT(L755,255),RIGHT('Disaggregation Records'!$D$152:$D$513,255),0))),"")</f>
        <v/>
      </c>
      <c r="Q755" s="52">
        <f t="shared" ref="Q755" si="928">Q753+1</f>
        <v>1562</v>
      </c>
    </row>
    <row r="756" spans="1:17" ht="20.100000000000001" customHeight="1" x14ac:dyDescent="0.25">
      <c r="B756" s="602"/>
      <c r="C756" s="604"/>
      <c r="D756" s="606"/>
      <c r="E756" s="606"/>
      <c r="F756" s="132"/>
      <c r="G756" s="608"/>
      <c r="H756" s="598"/>
      <c r="I756" s="600"/>
      <c r="J756" s="532"/>
      <c r="L756" s="130"/>
      <c r="N756" s="130"/>
      <c r="O756" s="130"/>
    </row>
    <row r="757" spans="1:17" ht="20.100000000000001" customHeight="1" x14ac:dyDescent="0.25">
      <c r="A757" s="130" t="str">
        <f t="shared" ca="1" si="923"/>
        <v>a16Dm000000LZacIAG</v>
      </c>
      <c r="B757" s="601">
        <v>4</v>
      </c>
      <c r="C757" s="603" t="str">
        <f>IFERROR(VLOOKUP(B757,'Coverage Indicators - Section D'!$A$9:$AO$70,41,FALSE),"")</f>
        <v>KP-1d⁽ᴹ⁾ Percentage of people who inject drugs reached with HIV prevention programs - defined package of services</v>
      </c>
      <c r="D757" s="605" t="str">
        <f>M757</f>
        <v/>
      </c>
      <c r="E757" s="605" t="str">
        <f>N757</f>
        <v/>
      </c>
      <c r="F757" s="131"/>
      <c r="G757" s="607" t="str">
        <f ca="1">IF(OR(INDIRECT("'update Helper'!E"&amp;Q757)="",F757&lt;&gt;0,F758&lt;&gt;0),IF(IFERROR((F757/F758),"")="","",(F757/F758)),INDIRECT("'update Helper'!E"&amp;Q757)/100)</f>
        <v/>
      </c>
      <c r="H757" s="597"/>
      <c r="I757" s="599"/>
      <c r="J757" s="531"/>
      <c r="K757" s="130">
        <f>IF(AND(EXACT(C757,C755),C755&lt;&gt;0),K755+1,0)</f>
        <v>8</v>
      </c>
      <c r="L757" s="130" t="str">
        <f t="shared" ref="L757" si="929">IF(C757&lt;&gt;"",C757&amp;"-"&amp;K757,"")</f>
        <v>KP-1d⁽ᴹ⁾ Percentage of people who inject drugs reached with HIV prevention programs - defined package of services-8</v>
      </c>
      <c r="M757" s="130" t="str">
        <f t="array" ref="M757">IFERROR(IF(INDEX('Disaggregation Records'!$E$152:$E$513,MATCH(RIGHT(L757,255),RIGHT('Disaggregation Records'!$D$152:$D$513,255),0))="","",INDEX('Disaggregation Records'!$E$152:$E$513,MATCH(RIGHT(L757,255),RIGHT('Disaggregation Records'!$D$152:$D$513,255),0))),"")</f>
        <v/>
      </c>
      <c r="N757" s="130" t="str">
        <f t="array" ref="N757">IFERROR(IF(INDEX('Disaggregation Records'!$F$152:$F$513,MATCH(RIGHT(L757,255),RIGHT('Disaggregation Records'!$D$152:$D$513,255),0))="","",INDEX('Disaggregation Records'!$F$152:$F$513,MATCH(RIGHT(L757,255),RIGHT('Disaggregation Records'!$D$152:$D$513,255),0))),"")</f>
        <v/>
      </c>
      <c r="O757" s="130" t="str">
        <f t="array" ref="O757">IFERROR(IF(INDEX('Disaggregation Records'!$H$152:$H$513,MATCH(RIGHT(L757,255),RIGHT('Disaggregation Records'!$D$152:$D$513,255),0))="","",INDEX('Disaggregation Records'!$H$152:$H$513,MATCH(RIGHT(L757,255),RIGHT('Disaggregation Records'!$D$152:$D$513,255),0))),"")</f>
        <v/>
      </c>
      <c r="Q757" s="52">
        <f t="shared" ref="Q757" si="930">Q755+1</f>
        <v>1563</v>
      </c>
    </row>
    <row r="758" spans="1:17" ht="20.100000000000001" customHeight="1" x14ac:dyDescent="0.25">
      <c r="A758" s="130"/>
      <c r="B758" s="602"/>
      <c r="C758" s="604"/>
      <c r="D758" s="606"/>
      <c r="E758" s="606"/>
      <c r="F758" s="132"/>
      <c r="G758" s="608"/>
      <c r="H758" s="598"/>
      <c r="I758" s="600"/>
      <c r="J758" s="532"/>
      <c r="L758" s="130"/>
      <c r="N758" s="130"/>
      <c r="O758" s="130"/>
    </row>
    <row r="759" spans="1:17" ht="20.100000000000001" customHeight="1" x14ac:dyDescent="0.25">
      <c r="A759" s="130" t="str">
        <f t="shared" ca="1" si="926"/>
        <v>a16Dm000000LZadIAG</v>
      </c>
      <c r="B759" s="601">
        <v>4</v>
      </c>
      <c r="C759" s="603" t="str">
        <f>IFERROR(VLOOKUP(B759,'Coverage Indicators - Section D'!$A$9:$AO$70,41,FALSE),"")</f>
        <v>KP-1d⁽ᴹ⁾ Percentage of people who inject drugs reached with HIV prevention programs - defined package of services</v>
      </c>
      <c r="D759" s="605" t="str">
        <f>M759</f>
        <v/>
      </c>
      <c r="E759" s="605" t="str">
        <f>N759</f>
        <v/>
      </c>
      <c r="F759" s="131"/>
      <c r="G759" s="607" t="str">
        <f ca="1">IF(OR(INDIRECT("'update Helper'!E"&amp;Q759)="",F759&lt;&gt;0,F760&lt;&gt;0),IF(IFERROR((F759/F760),"")="","",(F759/F760)),INDIRECT("'update Helper'!E"&amp;Q759)/100)</f>
        <v/>
      </c>
      <c r="H759" s="597"/>
      <c r="I759" s="599"/>
      <c r="J759" s="531"/>
      <c r="K759" s="130">
        <f>IF(AND(EXACT(C759,C757),C757&lt;&gt;0),K757+1,0)</f>
        <v>9</v>
      </c>
      <c r="L759" s="130" t="str">
        <f t="shared" ref="L759" si="931">IF(C759&lt;&gt;"",C759&amp;"-"&amp;K759,"")</f>
        <v>KP-1d⁽ᴹ⁾ Percentage of people who inject drugs reached with HIV prevention programs - defined package of services-9</v>
      </c>
      <c r="M759" s="130" t="str">
        <f t="array" ref="M759">IFERROR(IF(INDEX('Disaggregation Records'!$E$152:$E$513,MATCH(RIGHT(L759,255),RIGHT('Disaggregation Records'!$D$152:$D$513,255),0))="","",INDEX('Disaggregation Records'!$E$152:$E$513,MATCH(RIGHT(L759,255),RIGHT('Disaggregation Records'!$D$152:$D$513,255),0))),"")</f>
        <v/>
      </c>
      <c r="N759" s="130" t="str">
        <f t="array" ref="N759">IFERROR(IF(INDEX('Disaggregation Records'!$F$152:$F$513,MATCH(RIGHT(L759,255),RIGHT('Disaggregation Records'!$D$152:$D$513,255),0))="","",INDEX('Disaggregation Records'!$F$152:$F$513,MATCH(RIGHT(L759,255),RIGHT('Disaggregation Records'!$D$152:$D$513,255),0))),"")</f>
        <v/>
      </c>
      <c r="O759" s="130" t="str">
        <f t="array" ref="O759">IFERROR(IF(INDEX('Disaggregation Records'!$H$152:$H$513,MATCH(RIGHT(L759,255),RIGHT('Disaggregation Records'!$D$152:$D$513,255),0))="","",INDEX('Disaggregation Records'!$H$152:$H$513,MATCH(RIGHT(L759,255),RIGHT('Disaggregation Records'!$D$152:$D$513,255),0))),"")</f>
        <v/>
      </c>
      <c r="Q759" s="52">
        <f t="shared" ref="Q759" si="932">Q757+1</f>
        <v>1564</v>
      </c>
    </row>
    <row r="760" spans="1:17" ht="20.100000000000001" customHeight="1" x14ac:dyDescent="0.25">
      <c r="B760" s="602"/>
      <c r="C760" s="604"/>
      <c r="D760" s="606"/>
      <c r="E760" s="606"/>
      <c r="F760" s="132"/>
      <c r="G760" s="608"/>
      <c r="H760" s="598"/>
      <c r="I760" s="600"/>
      <c r="J760" s="532"/>
      <c r="L760" s="130"/>
      <c r="N760" s="130"/>
      <c r="O760" s="130"/>
    </row>
    <row r="761" spans="1:17" ht="20.100000000000001" customHeight="1" x14ac:dyDescent="0.25">
      <c r="A761" s="130" t="str">
        <f t="shared" ca="1" si="923"/>
        <v>a16Dm000000LZaeIAG</v>
      </c>
      <c r="B761" s="601">
        <v>4</v>
      </c>
      <c r="C761" s="603" t="str">
        <f>IFERROR(VLOOKUP(B761,'Coverage Indicators - Section D'!$A$9:$AO$70,41,FALSE),"")</f>
        <v>KP-1d⁽ᴹ⁾ Percentage of people who inject drugs reached with HIV prevention programs - defined package of services</v>
      </c>
      <c r="D761" s="605" t="str">
        <f>M761</f>
        <v/>
      </c>
      <c r="E761" s="605" t="str">
        <f>N761</f>
        <v/>
      </c>
      <c r="F761" s="131"/>
      <c r="G761" s="607" t="str">
        <f ca="1">IF(OR(INDIRECT("'update Helper'!E"&amp;Q761)="",F761&lt;&gt;0,F762&lt;&gt;0),IF(IFERROR((F761/F762),"")="","",(F761/F762)),INDIRECT("'update Helper'!E"&amp;Q761)/100)</f>
        <v/>
      </c>
      <c r="H761" s="597"/>
      <c r="I761" s="599"/>
      <c r="J761" s="531"/>
      <c r="K761" s="130">
        <f>IF(AND(EXACT(C761,C759),C759&lt;&gt;0),K759+1,0)</f>
        <v>10</v>
      </c>
      <c r="L761" s="130" t="str">
        <f t="shared" ref="L761" si="933">IF(C761&lt;&gt;"",C761&amp;"-"&amp;K761,"")</f>
        <v>KP-1d⁽ᴹ⁾ Percentage of people who inject drugs reached with HIV prevention programs - defined package of services-10</v>
      </c>
      <c r="M761" s="130" t="str">
        <f t="array" ref="M761">IFERROR(IF(INDEX('Disaggregation Records'!$E$152:$E$513,MATCH(RIGHT(L761,255),RIGHT('Disaggregation Records'!$D$152:$D$513,255),0))="","",INDEX('Disaggregation Records'!$E$152:$E$513,MATCH(RIGHT(L761,255),RIGHT('Disaggregation Records'!$D$152:$D$513,255),0))),"")</f>
        <v/>
      </c>
      <c r="N761" s="130" t="str">
        <f t="array" ref="N761">IFERROR(IF(INDEX('Disaggregation Records'!$F$152:$F$513,MATCH(RIGHT(L761,255),RIGHT('Disaggregation Records'!$D$152:$D$513,255),0))="","",INDEX('Disaggregation Records'!$F$152:$F$513,MATCH(RIGHT(L761,255),RIGHT('Disaggregation Records'!$D$152:$D$513,255),0))),"")</f>
        <v/>
      </c>
      <c r="O761" s="130" t="str">
        <f t="array" ref="O761">IFERROR(IF(INDEX('Disaggregation Records'!$H$152:$H$513,MATCH(RIGHT(L761,255),RIGHT('Disaggregation Records'!$D$152:$D$513,255),0))="","",INDEX('Disaggregation Records'!$H$152:$H$513,MATCH(RIGHT(L761,255),RIGHT('Disaggregation Records'!$D$152:$D$513,255),0))),"")</f>
        <v/>
      </c>
      <c r="P761" s="130"/>
      <c r="Q761" s="52">
        <f t="shared" ref="Q761" si="934">Q759+1</f>
        <v>1565</v>
      </c>
    </row>
    <row r="762" spans="1:17" ht="20.100000000000001" customHeight="1" x14ac:dyDescent="0.25">
      <c r="A762" s="130"/>
      <c r="B762" s="602"/>
      <c r="C762" s="604"/>
      <c r="D762" s="606"/>
      <c r="E762" s="606"/>
      <c r="F762" s="132"/>
      <c r="G762" s="608"/>
      <c r="H762" s="598"/>
      <c r="I762" s="600"/>
      <c r="J762" s="532"/>
      <c r="K762" s="130"/>
      <c r="L762" s="130"/>
      <c r="M762" s="130"/>
      <c r="N762" s="130"/>
      <c r="O762" s="130"/>
      <c r="P762" s="130"/>
    </row>
    <row r="763" spans="1:17" ht="20.100000000000001" customHeight="1" x14ac:dyDescent="0.25">
      <c r="A763" s="130" t="str">
        <f t="shared" ca="1" si="926"/>
        <v>a16Dm000000LZafIAG</v>
      </c>
      <c r="B763" s="601">
        <v>4</v>
      </c>
      <c r="C763" s="603" t="str">
        <f>IFERROR(VLOOKUP(B763,'Coverage Indicators - Section D'!$A$9:$AO$70,41,FALSE),"")</f>
        <v>KP-1d⁽ᴹ⁾ Percentage of people who inject drugs reached with HIV prevention programs - defined package of services</v>
      </c>
      <c r="D763" s="605" t="str">
        <f>M763</f>
        <v/>
      </c>
      <c r="E763" s="605" t="str">
        <f>N763</f>
        <v/>
      </c>
      <c r="F763" s="131"/>
      <c r="G763" s="607" t="str">
        <f ca="1">IF(OR(INDIRECT("'update Helper'!E"&amp;Q763)="",F763&lt;&gt;0,F764&lt;&gt;0),IF(IFERROR((F763/F764),"")="","",(F763/F764)),INDIRECT("'update Helper'!E"&amp;Q763)/100)</f>
        <v/>
      </c>
      <c r="H763" s="597"/>
      <c r="I763" s="599"/>
      <c r="J763" s="531"/>
      <c r="K763" s="130">
        <f>IF(AND(EXACT(C763,C761),C761&lt;&gt;0),K761+1,0)</f>
        <v>11</v>
      </c>
      <c r="L763" s="130" t="str">
        <f t="shared" ref="L763" si="935">IF(C763&lt;&gt;"",C763&amp;"-"&amp;K763,"")</f>
        <v>KP-1d⁽ᴹ⁾ Percentage of people who inject drugs reached with HIV prevention programs - defined package of services-11</v>
      </c>
      <c r="M763" s="130" t="str">
        <f t="array" ref="M763">IFERROR(IF(INDEX('Disaggregation Records'!$E$152:$E$513,MATCH(RIGHT(L763,255),RIGHT('Disaggregation Records'!$D$152:$D$513,255),0))="","",INDEX('Disaggregation Records'!$E$152:$E$513,MATCH(RIGHT(L763,255),RIGHT('Disaggregation Records'!$D$152:$D$513,255),0))),"")</f>
        <v/>
      </c>
      <c r="N763" s="130" t="str">
        <f t="array" ref="N763">IFERROR(IF(INDEX('Disaggregation Records'!$F$152:$F$513,MATCH(RIGHT(L763,255),RIGHT('Disaggregation Records'!$D$152:$D$513,255),0))="","",INDEX('Disaggregation Records'!$F$152:$F$513,MATCH(RIGHT(L763,255),RIGHT('Disaggregation Records'!$D$152:$D$513,255),0))),"")</f>
        <v/>
      </c>
      <c r="O763" s="130" t="str">
        <f t="array" ref="O763">IFERROR(IF(INDEX('Disaggregation Records'!$H$152:$H$513,MATCH(RIGHT(L763,255),RIGHT('Disaggregation Records'!$D$152:$D$513,255),0))="","",INDEX('Disaggregation Records'!$H$152:$H$513,MATCH(RIGHT(L763,255),RIGHT('Disaggregation Records'!$D$152:$D$513,255),0))),"")</f>
        <v/>
      </c>
      <c r="P763" s="130"/>
      <c r="Q763" s="52">
        <f t="shared" ref="Q763" si="936">Q761+1</f>
        <v>1566</v>
      </c>
    </row>
    <row r="764" spans="1:17" ht="20.100000000000001" customHeight="1" x14ac:dyDescent="0.25">
      <c r="B764" s="602"/>
      <c r="C764" s="604"/>
      <c r="D764" s="606"/>
      <c r="E764" s="606"/>
      <c r="F764" s="132"/>
      <c r="G764" s="608"/>
      <c r="H764" s="598"/>
      <c r="I764" s="600"/>
      <c r="J764" s="532"/>
      <c r="K764" s="130"/>
      <c r="L764" s="130"/>
      <c r="M764" s="130"/>
      <c r="N764" s="130"/>
      <c r="O764" s="130"/>
      <c r="P764" s="130"/>
    </row>
    <row r="765" spans="1:17" ht="20.100000000000001" customHeight="1" x14ac:dyDescent="0.25">
      <c r="A765" s="130" t="str">
        <f t="shared" ca="1" si="923"/>
        <v>a16Dm000000LZagIAG</v>
      </c>
      <c r="B765" s="601">
        <v>4</v>
      </c>
      <c r="C765" s="603" t="str">
        <f>IFERROR(VLOOKUP(B765,'Coverage Indicators - Section D'!$A$9:$AO$70,41,FALSE),"")</f>
        <v>KP-1d⁽ᴹ⁾ Percentage of people who inject drugs reached with HIV prevention programs - defined package of services</v>
      </c>
      <c r="D765" s="605" t="str">
        <f>M765</f>
        <v/>
      </c>
      <c r="E765" s="605" t="str">
        <f>N765</f>
        <v/>
      </c>
      <c r="F765" s="131"/>
      <c r="G765" s="607" t="str">
        <f ca="1">IF(OR(INDIRECT("'update Helper'!E"&amp;Q765)="",F765&lt;&gt;0,F766&lt;&gt;0),IF(IFERROR((F765/F766),"")="","",(F765/F766)),INDIRECT("'update Helper'!E"&amp;Q765)/100)</f>
        <v/>
      </c>
      <c r="H765" s="597"/>
      <c r="I765" s="599"/>
      <c r="J765" s="531"/>
      <c r="K765" s="130">
        <f>IF(AND(EXACT(C765,C763),C763&lt;&gt;0),K763+1,0)</f>
        <v>12</v>
      </c>
      <c r="L765" s="130" t="str">
        <f t="shared" ref="L765" si="937">IF(C765&lt;&gt;"",C765&amp;"-"&amp;K765,"")</f>
        <v>KP-1d⁽ᴹ⁾ Percentage of people who inject drugs reached with HIV prevention programs - defined package of services-12</v>
      </c>
      <c r="M765" s="130" t="str">
        <f t="array" ref="M765">IFERROR(IF(INDEX('Disaggregation Records'!$E$152:$E$513,MATCH(RIGHT(L765,255),RIGHT('Disaggregation Records'!$D$152:$D$513,255),0))="","",INDEX('Disaggregation Records'!$E$152:$E$513,MATCH(RIGHT(L765,255),RIGHT('Disaggregation Records'!$D$152:$D$513,255),0))),"")</f>
        <v/>
      </c>
      <c r="N765" s="130" t="str">
        <f t="array" ref="N765">IFERROR(IF(INDEX('Disaggregation Records'!$F$152:$F$513,MATCH(RIGHT(L765,255),RIGHT('Disaggregation Records'!$D$152:$D$513,255),0))="","",INDEX('Disaggregation Records'!$F$152:$F$513,MATCH(RIGHT(L765,255),RIGHT('Disaggregation Records'!$D$152:$D$513,255),0))),"")</f>
        <v/>
      </c>
      <c r="O765" s="130" t="str">
        <f t="array" ref="O765">IFERROR(IF(INDEX('Disaggregation Records'!$H$152:$H$513,MATCH(RIGHT(L765,255),RIGHT('Disaggregation Records'!$D$152:$D$513,255),0))="","",INDEX('Disaggregation Records'!$H$152:$H$513,MATCH(RIGHT(L765,255),RIGHT('Disaggregation Records'!$D$152:$D$513,255),0))),"")</f>
        <v/>
      </c>
      <c r="Q765" s="52">
        <f t="shared" ref="Q765" si="938">Q763+1</f>
        <v>1567</v>
      </c>
    </row>
    <row r="766" spans="1:17" ht="20.100000000000001" customHeight="1" x14ac:dyDescent="0.25">
      <c r="A766" s="130"/>
      <c r="B766" s="602"/>
      <c r="C766" s="604"/>
      <c r="D766" s="606"/>
      <c r="E766" s="606"/>
      <c r="F766" s="132"/>
      <c r="G766" s="608"/>
      <c r="H766" s="598"/>
      <c r="I766" s="600"/>
      <c r="J766" s="532"/>
      <c r="L766" s="130"/>
      <c r="N766" s="130"/>
      <c r="O766" s="130"/>
    </row>
    <row r="767" spans="1:17" ht="20.100000000000001" customHeight="1" x14ac:dyDescent="0.25">
      <c r="A767" s="130" t="str">
        <f t="shared" ca="1" si="926"/>
        <v>a16Dm000000LZahIAG</v>
      </c>
      <c r="B767" s="601">
        <v>4</v>
      </c>
      <c r="C767" s="603" t="str">
        <f>IFERROR(VLOOKUP(B767,'Coverage Indicators - Section D'!$A$9:$AO$70,41,FALSE),"")</f>
        <v>KP-1d⁽ᴹ⁾ Percentage of people who inject drugs reached with HIV prevention programs - defined package of services</v>
      </c>
      <c r="D767" s="605" t="str">
        <f>M767</f>
        <v/>
      </c>
      <c r="E767" s="605" t="str">
        <f>N767</f>
        <v/>
      </c>
      <c r="F767" s="131"/>
      <c r="G767" s="607" t="str">
        <f ca="1">IF(OR(INDIRECT("'update Helper'!E"&amp;Q767)="",F767&lt;&gt;0,F768&lt;&gt;0),IF(IFERROR((F767/F768),"")="","",(F767/F768)),INDIRECT("'update Helper'!E"&amp;Q767)/100)</f>
        <v/>
      </c>
      <c r="H767" s="597"/>
      <c r="I767" s="599"/>
      <c r="J767" s="531"/>
      <c r="K767" s="130">
        <f>IF(AND(EXACT(C767,C765),C765&lt;&gt;0),K765+1,0)</f>
        <v>13</v>
      </c>
      <c r="L767" s="130" t="str">
        <f t="shared" ref="L767" si="939">IF(C767&lt;&gt;"",C767&amp;"-"&amp;K767,"")</f>
        <v>KP-1d⁽ᴹ⁾ Percentage of people who inject drugs reached with HIV prevention programs - defined package of services-13</v>
      </c>
      <c r="M767" s="130" t="str">
        <f t="array" ref="M767">IFERROR(IF(INDEX('Disaggregation Records'!$E$152:$E$513,MATCH(RIGHT(L767,255),RIGHT('Disaggregation Records'!$D$152:$D$513,255),0))="","",INDEX('Disaggregation Records'!$E$152:$E$513,MATCH(RIGHT(L767,255),RIGHT('Disaggregation Records'!$D$152:$D$513,255),0))),"")</f>
        <v/>
      </c>
      <c r="N767" s="130" t="str">
        <f t="array" ref="N767">IFERROR(IF(INDEX('Disaggregation Records'!$F$152:$F$513,MATCH(RIGHT(L767,255),RIGHT('Disaggregation Records'!$D$152:$D$513,255),0))="","",INDEX('Disaggregation Records'!$F$152:$F$513,MATCH(RIGHT(L767,255),RIGHT('Disaggregation Records'!$D$152:$D$513,255),0))),"")</f>
        <v/>
      </c>
      <c r="O767" s="130" t="str">
        <f t="array" ref="O767">IFERROR(IF(INDEX('Disaggregation Records'!$H$152:$H$513,MATCH(RIGHT(L767,255),RIGHT('Disaggregation Records'!$D$152:$D$513,255),0))="","",INDEX('Disaggregation Records'!$H$152:$H$513,MATCH(RIGHT(L767,255),RIGHT('Disaggregation Records'!$D$152:$D$513,255),0))),"")</f>
        <v/>
      </c>
      <c r="Q767" s="52">
        <f t="shared" ref="Q767" si="940">Q765+1</f>
        <v>1568</v>
      </c>
    </row>
    <row r="768" spans="1:17" ht="20.100000000000001" customHeight="1" x14ac:dyDescent="0.25">
      <c r="B768" s="602"/>
      <c r="C768" s="604"/>
      <c r="D768" s="606"/>
      <c r="E768" s="606"/>
      <c r="F768" s="132"/>
      <c r="G768" s="608"/>
      <c r="H768" s="598"/>
      <c r="I768" s="600"/>
      <c r="J768" s="532"/>
      <c r="L768" s="130"/>
      <c r="N768" s="130"/>
      <c r="O768" s="130"/>
    </row>
    <row r="769" spans="1:17" ht="20.100000000000001" customHeight="1" x14ac:dyDescent="0.25">
      <c r="A769" s="130" t="str">
        <f t="shared" ca="1" si="923"/>
        <v>a16Dm000000LZaiIAG</v>
      </c>
      <c r="B769" s="601">
        <v>4</v>
      </c>
      <c r="C769" s="603" t="str">
        <f>IFERROR(VLOOKUP(B769,'Coverage Indicators - Section D'!$A$9:$AO$70,41,FALSE),"")</f>
        <v>KP-1d⁽ᴹ⁾ Percentage of people who inject drugs reached with HIV prevention programs - defined package of services</v>
      </c>
      <c r="D769" s="605" t="str">
        <f>M769</f>
        <v/>
      </c>
      <c r="E769" s="605" t="str">
        <f>N769</f>
        <v/>
      </c>
      <c r="F769" s="131"/>
      <c r="G769" s="607" t="str">
        <f ca="1">IF(OR(INDIRECT("'update Helper'!E"&amp;Q769)="",F769&lt;&gt;0,F770&lt;&gt;0),IF(IFERROR((F769/F770),"")="","",(F769/F770)),INDIRECT("'update Helper'!E"&amp;Q769)/100)</f>
        <v/>
      </c>
      <c r="H769" s="597"/>
      <c r="I769" s="599"/>
      <c r="J769" s="531"/>
      <c r="K769" s="130">
        <f>IF(AND(EXACT(C769,C767),C767&lt;&gt;0),K767+1,0)</f>
        <v>14</v>
      </c>
      <c r="L769" s="130" t="str">
        <f t="shared" ref="L769" si="941">IF(C769&lt;&gt;"",C769&amp;"-"&amp;K769,"")</f>
        <v>KP-1d⁽ᴹ⁾ Percentage of people who inject drugs reached with HIV prevention programs - defined package of services-14</v>
      </c>
      <c r="M769" s="130" t="str">
        <f t="array" ref="M769">IFERROR(IF(INDEX('Disaggregation Records'!$E$152:$E$513,MATCH(RIGHT(L769,255),RIGHT('Disaggregation Records'!$D$152:$D$513,255),0))="","",INDEX('Disaggregation Records'!$E$152:$E$513,MATCH(RIGHT(L769,255),RIGHT('Disaggregation Records'!$D$152:$D$513,255),0))),"")</f>
        <v/>
      </c>
      <c r="N769" s="130" t="str">
        <f t="array" ref="N769">IFERROR(IF(INDEX('Disaggregation Records'!$F$152:$F$513,MATCH(RIGHT(L769,255),RIGHT('Disaggregation Records'!$D$152:$D$513,255),0))="","",INDEX('Disaggregation Records'!$F$152:$F$513,MATCH(RIGHT(L769,255),RIGHT('Disaggregation Records'!$D$152:$D$513,255),0))),"")</f>
        <v/>
      </c>
      <c r="O769" s="130" t="str">
        <f t="array" ref="O769">IFERROR(IF(INDEX('Disaggregation Records'!$H$152:$H$513,MATCH(RIGHT(L769,255),RIGHT('Disaggregation Records'!$D$152:$D$513,255),0))="","",INDEX('Disaggregation Records'!$H$152:$H$513,MATCH(RIGHT(L769,255),RIGHT('Disaggregation Records'!$D$152:$D$513,255),0))),"")</f>
        <v/>
      </c>
      <c r="Q769" s="52">
        <f t="shared" ref="Q769" si="942">Q767+1</f>
        <v>1569</v>
      </c>
    </row>
    <row r="770" spans="1:17" ht="20.100000000000001" customHeight="1" x14ac:dyDescent="0.25">
      <c r="A770" s="130"/>
      <c r="B770" s="602"/>
      <c r="C770" s="604"/>
      <c r="D770" s="606"/>
      <c r="E770" s="606"/>
      <c r="F770" s="132"/>
      <c r="G770" s="608"/>
      <c r="H770" s="598"/>
      <c r="I770" s="600"/>
      <c r="J770" s="532"/>
      <c r="L770" s="130"/>
      <c r="N770" s="130"/>
      <c r="O770" s="130"/>
    </row>
    <row r="771" spans="1:17" ht="20.100000000000001" customHeight="1" x14ac:dyDescent="0.25">
      <c r="A771" s="130" t="str">
        <f t="shared" ca="1" si="926"/>
        <v>a16Dm000000LZajIAG</v>
      </c>
      <c r="B771" s="601">
        <v>4</v>
      </c>
      <c r="C771" s="603" t="str">
        <f>IFERROR(VLOOKUP(B771,'Coverage Indicators - Section D'!$A$9:$AO$70,41,FALSE),"")</f>
        <v>KP-1d⁽ᴹ⁾ Percentage of people who inject drugs reached with HIV prevention programs - defined package of services</v>
      </c>
      <c r="D771" s="605" t="str">
        <f>M771</f>
        <v/>
      </c>
      <c r="E771" s="605" t="str">
        <f>N771</f>
        <v/>
      </c>
      <c r="F771" s="131"/>
      <c r="G771" s="607" t="str">
        <f ca="1">IF(OR(INDIRECT("'update Helper'!E"&amp;Q771)="",F771&lt;&gt;0,F772&lt;&gt;0),IF(IFERROR((F771/F772),"")="","",(F771/F772)),INDIRECT("'update Helper'!E"&amp;Q771)/100)</f>
        <v/>
      </c>
      <c r="H771" s="597"/>
      <c r="I771" s="599"/>
      <c r="J771" s="531"/>
      <c r="K771" s="130">
        <f>IF(AND(EXACT(C771,C769),C769&lt;&gt;0),K769+1,0)</f>
        <v>15</v>
      </c>
      <c r="L771" s="130" t="str">
        <f t="shared" ref="L771" si="943">IF(C771&lt;&gt;"",C771&amp;"-"&amp;K771,"")</f>
        <v>KP-1d⁽ᴹ⁾ Percentage of people who inject drugs reached with HIV prevention programs - defined package of services-15</v>
      </c>
      <c r="M771" s="130" t="str">
        <f t="array" ref="M771">IFERROR(IF(INDEX('Disaggregation Records'!$E$152:$E$513,MATCH(RIGHT(L771,255),RIGHT('Disaggregation Records'!$D$152:$D$513,255),0))="","",INDEX('Disaggregation Records'!$E$152:$E$513,MATCH(RIGHT(L771,255),RIGHT('Disaggregation Records'!$D$152:$D$513,255),0))),"")</f>
        <v/>
      </c>
      <c r="N771" s="130" t="str">
        <f t="array" ref="N771">IFERROR(IF(INDEX('Disaggregation Records'!$F$152:$F$513,MATCH(RIGHT(L771,255),RIGHT('Disaggregation Records'!$D$152:$D$513,255),0))="","",INDEX('Disaggregation Records'!$F$152:$F$513,MATCH(RIGHT(L771,255),RIGHT('Disaggregation Records'!$D$152:$D$513,255),0))),"")</f>
        <v/>
      </c>
      <c r="O771" s="130" t="str">
        <f t="array" ref="O771">IFERROR(IF(INDEX('Disaggregation Records'!$H$152:$H$513,MATCH(RIGHT(L771,255),RIGHT('Disaggregation Records'!$D$152:$D$513,255),0))="","",INDEX('Disaggregation Records'!$H$152:$H$513,MATCH(RIGHT(L771,255),RIGHT('Disaggregation Records'!$D$152:$D$513,255),0))),"")</f>
        <v/>
      </c>
      <c r="P771" s="130"/>
      <c r="Q771" s="52">
        <f t="shared" ref="Q771" si="944">Q769+1</f>
        <v>1570</v>
      </c>
    </row>
    <row r="772" spans="1:17" ht="20.100000000000001" customHeight="1" x14ac:dyDescent="0.25">
      <c r="B772" s="602"/>
      <c r="C772" s="604"/>
      <c r="D772" s="606"/>
      <c r="E772" s="606"/>
      <c r="F772" s="132"/>
      <c r="G772" s="608"/>
      <c r="H772" s="598"/>
      <c r="I772" s="600"/>
      <c r="J772" s="532"/>
      <c r="K772" s="130"/>
      <c r="L772" s="130"/>
      <c r="M772" s="130"/>
      <c r="N772" s="130"/>
      <c r="O772" s="130"/>
      <c r="P772" s="130"/>
    </row>
    <row r="773" spans="1:17" ht="20.100000000000001" customHeight="1" x14ac:dyDescent="0.25">
      <c r="A773" s="130" t="str">
        <f t="shared" ca="1" si="923"/>
        <v>a16Dm000000LZakIAG</v>
      </c>
      <c r="B773" s="601">
        <v>4</v>
      </c>
      <c r="C773" s="603" t="str">
        <f>IFERROR(VLOOKUP(B773,'Coverage Indicators - Section D'!$A$9:$AO$70,41,FALSE),"")</f>
        <v>KP-1d⁽ᴹ⁾ Percentage of people who inject drugs reached with HIV prevention programs - defined package of services</v>
      </c>
      <c r="D773" s="605" t="str">
        <f>M773</f>
        <v/>
      </c>
      <c r="E773" s="605" t="str">
        <f>N773</f>
        <v/>
      </c>
      <c r="F773" s="131"/>
      <c r="G773" s="607" t="str">
        <f ca="1">IF(OR(INDIRECT("'update Helper'!E"&amp;Q773)="",F773&lt;&gt;0,F774&lt;&gt;0),IF(IFERROR((F773/F774),"")="","",(F773/F774)),INDIRECT("'update Helper'!E"&amp;Q773)/100)</f>
        <v/>
      </c>
      <c r="H773" s="597"/>
      <c r="I773" s="599"/>
      <c r="J773" s="531"/>
      <c r="K773" s="130">
        <f>IF(AND(EXACT(C773,C771),C771&lt;&gt;0),K771+1,0)</f>
        <v>16</v>
      </c>
      <c r="L773" s="130" t="str">
        <f t="shared" ref="L773" si="945">IF(C773&lt;&gt;"",C773&amp;"-"&amp;K773,"")</f>
        <v>KP-1d⁽ᴹ⁾ Percentage of people who inject drugs reached with HIV prevention programs - defined package of services-16</v>
      </c>
      <c r="M773" s="130" t="str">
        <f t="array" ref="M773">IFERROR(IF(INDEX('Disaggregation Records'!$E$152:$E$513,MATCH(RIGHT(L773,255),RIGHT('Disaggregation Records'!$D$152:$D$513,255),0))="","",INDEX('Disaggregation Records'!$E$152:$E$513,MATCH(RIGHT(L773,255),RIGHT('Disaggregation Records'!$D$152:$D$513,255),0))),"")</f>
        <v/>
      </c>
      <c r="N773" s="130" t="str">
        <f t="array" ref="N773">IFERROR(IF(INDEX('Disaggregation Records'!$F$152:$F$513,MATCH(RIGHT(L773,255),RIGHT('Disaggregation Records'!$D$152:$D$513,255),0))="","",INDEX('Disaggregation Records'!$F$152:$F$513,MATCH(RIGHT(L773,255),RIGHT('Disaggregation Records'!$D$152:$D$513,255),0))),"")</f>
        <v/>
      </c>
      <c r="O773" s="130" t="str">
        <f t="array" ref="O773">IFERROR(IF(INDEX('Disaggregation Records'!$H$152:$H$513,MATCH(RIGHT(L773,255),RIGHT('Disaggregation Records'!$D$152:$D$513,255),0))="","",INDEX('Disaggregation Records'!$H$152:$H$513,MATCH(RIGHT(L773,255),RIGHT('Disaggregation Records'!$D$152:$D$513,255),0))),"")</f>
        <v/>
      </c>
      <c r="P773" s="130"/>
      <c r="Q773" s="52">
        <f t="shared" ref="Q773" si="946">Q771+1</f>
        <v>1571</v>
      </c>
    </row>
    <row r="774" spans="1:17" ht="20.100000000000001" customHeight="1" x14ac:dyDescent="0.25">
      <c r="A774" s="130"/>
      <c r="B774" s="602"/>
      <c r="C774" s="604"/>
      <c r="D774" s="606"/>
      <c r="E774" s="606"/>
      <c r="F774" s="132"/>
      <c r="G774" s="608"/>
      <c r="H774" s="598"/>
      <c r="I774" s="600"/>
      <c r="J774" s="532"/>
      <c r="K774" s="130"/>
      <c r="L774" s="130"/>
      <c r="M774" s="130"/>
      <c r="N774" s="130"/>
      <c r="O774" s="130"/>
      <c r="P774" s="130"/>
    </row>
    <row r="775" spans="1:17" ht="20.100000000000001" customHeight="1" x14ac:dyDescent="0.25">
      <c r="A775" s="130" t="str">
        <f t="shared" ca="1" si="926"/>
        <v>a16Dm000000LZalIAG</v>
      </c>
      <c r="B775" s="601">
        <v>4</v>
      </c>
      <c r="C775" s="603" t="str">
        <f>IFERROR(VLOOKUP(B775,'Coverage Indicators - Section D'!$A$9:$AO$70,41,FALSE),"")</f>
        <v>KP-1d⁽ᴹ⁾ Percentage of people who inject drugs reached with HIV prevention programs - defined package of services</v>
      </c>
      <c r="D775" s="605" t="str">
        <f>M775</f>
        <v/>
      </c>
      <c r="E775" s="605" t="str">
        <f>N775</f>
        <v/>
      </c>
      <c r="F775" s="131"/>
      <c r="G775" s="607" t="str">
        <f ca="1">IF(OR(INDIRECT("'update Helper'!E"&amp;Q775)="",F775&lt;&gt;0,F776&lt;&gt;0),IF(IFERROR((F775/F776),"")="","",(F775/F776)),INDIRECT("'update Helper'!E"&amp;Q775)/100)</f>
        <v/>
      </c>
      <c r="H775" s="597"/>
      <c r="I775" s="599"/>
      <c r="J775" s="531"/>
      <c r="K775" s="130">
        <f>IF(AND(EXACT(C775,C773),C773&lt;&gt;0),K773+1,0)</f>
        <v>17</v>
      </c>
      <c r="L775" s="130" t="str">
        <f t="shared" ref="L775" si="947">IF(C775&lt;&gt;"",C775&amp;"-"&amp;K775,"")</f>
        <v>KP-1d⁽ᴹ⁾ Percentage of people who inject drugs reached with HIV prevention programs - defined package of services-17</v>
      </c>
      <c r="M775" s="130" t="str">
        <f t="array" ref="M775">IFERROR(IF(INDEX('Disaggregation Records'!$E$152:$E$513,MATCH(RIGHT(L775,255),RIGHT('Disaggregation Records'!$D$152:$D$513,255),0))="","",INDEX('Disaggregation Records'!$E$152:$E$513,MATCH(RIGHT(L775,255),RIGHT('Disaggregation Records'!$D$152:$D$513,255),0))),"")</f>
        <v/>
      </c>
      <c r="N775" s="130" t="str">
        <f t="array" ref="N775">IFERROR(IF(INDEX('Disaggregation Records'!$F$152:$F$513,MATCH(RIGHT(L775,255),RIGHT('Disaggregation Records'!$D$152:$D$513,255),0))="","",INDEX('Disaggregation Records'!$F$152:$F$513,MATCH(RIGHT(L775,255),RIGHT('Disaggregation Records'!$D$152:$D$513,255),0))),"")</f>
        <v/>
      </c>
      <c r="O775" s="130" t="str">
        <f t="array" ref="O775">IFERROR(IF(INDEX('Disaggregation Records'!$H$152:$H$513,MATCH(RIGHT(L775,255),RIGHT('Disaggregation Records'!$D$152:$D$513,255),0))="","",INDEX('Disaggregation Records'!$H$152:$H$513,MATCH(RIGHT(L775,255),RIGHT('Disaggregation Records'!$D$152:$D$513,255),0))),"")</f>
        <v/>
      </c>
      <c r="Q775" s="52">
        <f t="shared" ref="Q775" si="948">Q773+1</f>
        <v>1572</v>
      </c>
    </row>
    <row r="776" spans="1:17" ht="20.100000000000001" customHeight="1" x14ac:dyDescent="0.25">
      <c r="B776" s="602"/>
      <c r="C776" s="604"/>
      <c r="D776" s="606"/>
      <c r="E776" s="606"/>
      <c r="F776" s="132"/>
      <c r="G776" s="608"/>
      <c r="H776" s="598"/>
      <c r="I776" s="600"/>
      <c r="J776" s="532"/>
      <c r="L776" s="130"/>
      <c r="N776" s="130"/>
      <c r="O776" s="130"/>
    </row>
    <row r="777" spans="1:17" ht="20.100000000000001" customHeight="1" x14ac:dyDescent="0.25">
      <c r="A777" s="130" t="str">
        <f t="shared" ca="1" si="923"/>
        <v>a16Dm000000LZamIAG</v>
      </c>
      <c r="B777" s="601">
        <v>4</v>
      </c>
      <c r="C777" s="603" t="str">
        <f>IFERROR(VLOOKUP(B777,'Coverage Indicators - Section D'!$A$9:$AO$70,41,FALSE),"")</f>
        <v>KP-1d⁽ᴹ⁾ Percentage of people who inject drugs reached with HIV prevention programs - defined package of services</v>
      </c>
      <c r="D777" s="605" t="str">
        <f>M777</f>
        <v/>
      </c>
      <c r="E777" s="605" t="str">
        <f>N777</f>
        <v/>
      </c>
      <c r="F777" s="131"/>
      <c r="G777" s="607" t="str">
        <f ca="1">IF(OR(INDIRECT("'update Helper'!E"&amp;Q777)="",F777&lt;&gt;0,F778&lt;&gt;0),IF(IFERROR((F777/F778),"")="","",(F777/F778)),INDIRECT("'update Helper'!E"&amp;Q777)/100)</f>
        <v/>
      </c>
      <c r="H777" s="597"/>
      <c r="I777" s="599"/>
      <c r="J777" s="531"/>
      <c r="K777" s="130">
        <f>IF(AND(EXACT(C777,C775),C775&lt;&gt;0),K775+1,0)</f>
        <v>18</v>
      </c>
      <c r="L777" s="130" t="str">
        <f t="shared" ref="L777" si="949">IF(C777&lt;&gt;"",C777&amp;"-"&amp;K777,"")</f>
        <v>KP-1d⁽ᴹ⁾ Percentage of people who inject drugs reached with HIV prevention programs - defined package of services-18</v>
      </c>
      <c r="M777" s="130" t="str">
        <f t="array" ref="M777">IFERROR(IF(INDEX('Disaggregation Records'!$E$152:$E$513,MATCH(RIGHT(L777,255),RIGHT('Disaggregation Records'!$D$152:$D$513,255),0))="","",INDEX('Disaggregation Records'!$E$152:$E$513,MATCH(RIGHT(L777,255),RIGHT('Disaggregation Records'!$D$152:$D$513,255),0))),"")</f>
        <v/>
      </c>
      <c r="N777" s="130" t="str">
        <f t="array" ref="N777">IFERROR(IF(INDEX('Disaggregation Records'!$F$152:$F$513,MATCH(RIGHT(L777,255),RIGHT('Disaggregation Records'!$D$152:$D$513,255),0))="","",INDEX('Disaggregation Records'!$F$152:$F$513,MATCH(RIGHT(L777,255),RIGHT('Disaggregation Records'!$D$152:$D$513,255),0))),"")</f>
        <v/>
      </c>
      <c r="O777" s="130" t="str">
        <f t="array" ref="O777">IFERROR(IF(INDEX('Disaggregation Records'!$H$152:$H$513,MATCH(RIGHT(L777,255),RIGHT('Disaggregation Records'!$D$152:$D$513,255),0))="","",INDEX('Disaggregation Records'!$H$152:$H$513,MATCH(RIGHT(L777,255),RIGHT('Disaggregation Records'!$D$152:$D$513,255),0))),"")</f>
        <v/>
      </c>
      <c r="Q777" s="52">
        <f t="shared" ref="Q777" si="950">Q775+1</f>
        <v>1573</v>
      </c>
    </row>
    <row r="778" spans="1:17" ht="20.100000000000001" customHeight="1" x14ac:dyDescent="0.25">
      <c r="A778" s="130"/>
      <c r="B778" s="602"/>
      <c r="C778" s="604"/>
      <c r="D778" s="606"/>
      <c r="E778" s="606"/>
      <c r="F778" s="132"/>
      <c r="G778" s="608"/>
      <c r="H778" s="598"/>
      <c r="I778" s="600"/>
      <c r="J778" s="532"/>
      <c r="L778" s="130"/>
      <c r="N778" s="130"/>
      <c r="O778" s="130"/>
    </row>
    <row r="779" spans="1:17" ht="20.100000000000001" customHeight="1" x14ac:dyDescent="0.25">
      <c r="A779" s="130" t="str">
        <f t="shared" ca="1" si="926"/>
        <v>a16Dm000000LZanIAG</v>
      </c>
      <c r="B779" s="601">
        <v>4</v>
      </c>
      <c r="C779" s="603" t="str">
        <f>IFERROR(VLOOKUP(B779,'Coverage Indicators - Section D'!$A$9:$AO$70,41,FALSE),"")</f>
        <v>KP-1d⁽ᴹ⁾ Percentage of people who inject drugs reached with HIV prevention programs - defined package of services</v>
      </c>
      <c r="D779" s="605" t="str">
        <f>M779</f>
        <v/>
      </c>
      <c r="E779" s="605" t="str">
        <f>N779</f>
        <v/>
      </c>
      <c r="F779" s="131"/>
      <c r="G779" s="607" t="str">
        <f ca="1">IF(OR(INDIRECT("'update Helper'!E"&amp;Q779)="",F779&lt;&gt;0,F780&lt;&gt;0),IF(IFERROR((F779/F780),"")="","",(F779/F780)),INDIRECT("'update Helper'!E"&amp;Q779)/100)</f>
        <v/>
      </c>
      <c r="H779" s="597"/>
      <c r="I779" s="599"/>
      <c r="J779" s="531"/>
      <c r="K779" s="130">
        <f>IF(AND(EXACT(C779,C777),C777&lt;&gt;0),K777+1,0)</f>
        <v>19</v>
      </c>
      <c r="L779" s="130" t="str">
        <f t="shared" ref="L779" si="951">IF(C779&lt;&gt;"",C779&amp;"-"&amp;K779,"")</f>
        <v>KP-1d⁽ᴹ⁾ Percentage of people who inject drugs reached with HIV prevention programs - defined package of services-19</v>
      </c>
      <c r="M779" s="130" t="str">
        <f t="array" ref="M779">IFERROR(IF(INDEX('Disaggregation Records'!$E$152:$E$513,MATCH(RIGHT(L779,255),RIGHT('Disaggregation Records'!$D$152:$D$513,255),0))="","",INDEX('Disaggregation Records'!$E$152:$E$513,MATCH(RIGHT(L779,255),RIGHT('Disaggregation Records'!$D$152:$D$513,255),0))),"")</f>
        <v/>
      </c>
      <c r="N779" s="130" t="str">
        <f t="array" ref="N779">IFERROR(IF(INDEX('Disaggregation Records'!$F$152:$F$513,MATCH(RIGHT(L779,255),RIGHT('Disaggregation Records'!$D$152:$D$513,255),0))="","",INDEX('Disaggregation Records'!$F$152:$F$513,MATCH(RIGHT(L779,255),RIGHT('Disaggregation Records'!$D$152:$D$513,255),0))),"")</f>
        <v/>
      </c>
      <c r="O779" s="130" t="str">
        <f t="array" ref="O779">IFERROR(IF(INDEX('Disaggregation Records'!$H$152:$H$513,MATCH(RIGHT(L779,255),RIGHT('Disaggregation Records'!$D$152:$D$513,255),0))="","",INDEX('Disaggregation Records'!$H$152:$H$513,MATCH(RIGHT(L779,255),RIGHT('Disaggregation Records'!$D$152:$D$513,255),0))),"")</f>
        <v/>
      </c>
      <c r="Q779" s="52">
        <f t="shared" ref="Q779" si="952">Q777+1</f>
        <v>1574</v>
      </c>
    </row>
    <row r="780" spans="1:17" ht="20.100000000000001" customHeight="1" x14ac:dyDescent="0.25">
      <c r="B780" s="602"/>
      <c r="C780" s="604"/>
      <c r="D780" s="606"/>
      <c r="E780" s="606"/>
      <c r="F780" s="132"/>
      <c r="G780" s="608"/>
      <c r="H780" s="598"/>
      <c r="I780" s="600"/>
      <c r="J780" s="532"/>
      <c r="L780" s="130"/>
      <c r="N780" s="130"/>
      <c r="O780" s="130"/>
    </row>
    <row r="781" spans="1:17" ht="20.100000000000001" customHeight="1" x14ac:dyDescent="0.25">
      <c r="A781" s="130" t="str">
        <f t="shared" ca="1" si="923"/>
        <v>a16Dm000000LZaoIAG</v>
      </c>
      <c r="B781" s="601">
        <v>5</v>
      </c>
      <c r="C781" s="603" t="str">
        <f>IFERROR(VLOOKUP(B781,'Coverage Indicators - Section D'!$A$9:$AO$70,41,FALSE),"")</f>
        <v>KP-6a Number of MSM who received any PrEP product at least once during the reporting period</v>
      </c>
      <c r="D781" s="605" t="str">
        <f>M781</f>
        <v>Age</v>
      </c>
      <c r="E781" s="605" t="str">
        <f>N781</f>
        <v>25+</v>
      </c>
      <c r="F781" s="131">
        <v>72</v>
      </c>
      <c r="G781" s="615">
        <f ca="1">IF(OR(INDIRECT("'update Helper'!E"&amp;Q781)="",F781&lt;&gt;0,F782&lt;&gt;0),IF(IFERROR((F781/F782),"")="","",(F781/F782)),INDIRECT("'update Helper'!E"&amp;Q781)/100)</f>
        <v>0.48979591836734693</v>
      </c>
      <c r="H781" s="597">
        <v>2022</v>
      </c>
      <c r="I781" s="599" t="s">
        <v>2201</v>
      </c>
      <c r="J781" s="531" t="s">
        <v>2244</v>
      </c>
      <c r="K781" s="130">
        <f>IF(AND(EXACT(C781,C779),C779&lt;&gt;0),K779+1,0)</f>
        <v>0</v>
      </c>
      <c r="L781" s="130" t="str">
        <f t="shared" ref="L781" si="953">IF(C781&lt;&gt;"",C781&amp;"-"&amp;K781,"")</f>
        <v>KP-6a Number of MSM who received any PrEP product at least once during the reporting period-0</v>
      </c>
      <c r="M781" s="130" t="str">
        <f t="array" ref="M781">IFERROR(IF(INDEX('Disaggregation Records'!$E$152:$E$513,MATCH(RIGHT(L781,255),RIGHT('Disaggregation Records'!$D$152:$D$513,255),0))="","",INDEX('Disaggregation Records'!$E$152:$E$513,MATCH(RIGHT(L781,255),RIGHT('Disaggregation Records'!$D$152:$D$513,255),0))),"")</f>
        <v>Age</v>
      </c>
      <c r="N781" s="130" t="str">
        <f t="array" ref="N781">IFERROR(IF(INDEX('Disaggregation Records'!$F$152:$F$513,MATCH(RIGHT(L781,255),RIGHT('Disaggregation Records'!$D$152:$D$513,255),0))="","",INDEX('Disaggregation Records'!$F$152:$F$513,MATCH(RIGHT(L781,255),RIGHT('Disaggregation Records'!$D$152:$D$513,255),0))),"")</f>
        <v>25+</v>
      </c>
      <c r="O781" s="130" t="str">
        <f t="array" ref="O781">IFERROR(IF(INDEX('Disaggregation Records'!$H$152:$H$513,MATCH(RIGHT(L781,255),RIGHT('Disaggregation Records'!$D$152:$D$513,255),0))="","",INDEX('Disaggregation Records'!$H$152:$H$513,MATCH(RIGHT(L781,255),RIGHT('Disaggregation Records'!$D$152:$D$513,255),0))),"")</f>
        <v>IDR-01171</v>
      </c>
      <c r="P781" s="130"/>
      <c r="Q781" s="52">
        <f t="shared" ref="Q781" si="954">Q779+1</f>
        <v>1575</v>
      </c>
    </row>
    <row r="782" spans="1:17" ht="20.100000000000001" customHeight="1" x14ac:dyDescent="0.25">
      <c r="A782" s="130"/>
      <c r="B782" s="602"/>
      <c r="C782" s="604"/>
      <c r="D782" s="606"/>
      <c r="E782" s="606"/>
      <c r="F782" s="132">
        <v>147</v>
      </c>
      <c r="G782" s="616"/>
      <c r="H782" s="598"/>
      <c r="I782" s="600"/>
      <c r="J782" s="532"/>
      <c r="K782" s="130"/>
      <c r="L782" s="130"/>
      <c r="M782" s="130"/>
      <c r="N782" s="130"/>
      <c r="O782" s="130"/>
      <c r="P782" s="130"/>
    </row>
    <row r="783" spans="1:17" ht="20.100000000000001" customHeight="1" x14ac:dyDescent="0.25">
      <c r="A783" s="130" t="str">
        <f t="shared" ca="1" si="926"/>
        <v>a16Dm000000LZapIAG</v>
      </c>
      <c r="B783" s="601">
        <v>5</v>
      </c>
      <c r="C783" s="603" t="str">
        <f>IFERROR(VLOOKUP(B783,'Coverage Indicators - Section D'!$A$9:$AO$70,41,FALSE),"")</f>
        <v>KP-6a Number of MSM who received any PrEP product at least once during the reporting period</v>
      </c>
      <c r="D783" s="605" t="str">
        <f>M783</f>
        <v>Age</v>
      </c>
      <c r="E783" s="605" t="str">
        <f>N783</f>
        <v>20-24</v>
      </c>
      <c r="F783" s="131">
        <v>60</v>
      </c>
      <c r="G783" s="615">
        <f ca="1">IF(OR(INDIRECT("'update Helper'!E"&amp;Q783)="",F783&lt;&gt;0,F784&lt;&gt;0),IF(IFERROR((F783/F784),"")="","",(F783/F784)),INDIRECT("'update Helper'!E"&amp;Q783)/100)</f>
        <v>0.40816326530612246</v>
      </c>
      <c r="H783" s="597">
        <v>2022</v>
      </c>
      <c r="I783" s="599" t="s">
        <v>2201</v>
      </c>
      <c r="J783" s="531" t="s">
        <v>2244</v>
      </c>
      <c r="K783" s="130">
        <f>IF(AND(EXACT(C783,C781),C781&lt;&gt;0),K781+1,0)</f>
        <v>1</v>
      </c>
      <c r="L783" s="130" t="str">
        <f t="shared" ref="L783" si="955">IF(C783&lt;&gt;"",C783&amp;"-"&amp;K783,"")</f>
        <v>KP-6a Number of MSM who received any PrEP product at least once during the reporting period-1</v>
      </c>
      <c r="M783" s="130" t="str">
        <f t="array" ref="M783">IFERROR(IF(INDEX('Disaggregation Records'!$E$152:$E$513,MATCH(RIGHT(L783,255),RIGHT('Disaggregation Records'!$D$152:$D$513,255),0))="","",INDEX('Disaggregation Records'!$E$152:$E$513,MATCH(RIGHT(L783,255),RIGHT('Disaggregation Records'!$D$152:$D$513,255),0))),"")</f>
        <v>Age</v>
      </c>
      <c r="N783" s="130" t="str">
        <f t="array" ref="N783">IFERROR(IF(INDEX('Disaggregation Records'!$F$152:$F$513,MATCH(RIGHT(L783,255),RIGHT('Disaggregation Records'!$D$152:$D$513,255),0))="","",INDEX('Disaggregation Records'!$F$152:$F$513,MATCH(RIGHT(L783,255),RIGHT('Disaggregation Records'!$D$152:$D$513,255),0))),"")</f>
        <v>20-24</v>
      </c>
      <c r="O783" s="130" t="str">
        <f t="array" ref="O783">IFERROR(IF(INDEX('Disaggregation Records'!$H$152:$H$513,MATCH(RIGHT(L783,255),RIGHT('Disaggregation Records'!$D$152:$D$513,255),0))="","",INDEX('Disaggregation Records'!$H$152:$H$513,MATCH(RIGHT(L783,255),RIGHT('Disaggregation Records'!$D$152:$D$513,255),0))),"")</f>
        <v>IDR-01170</v>
      </c>
      <c r="P783" s="130"/>
      <c r="Q783" s="52">
        <f t="shared" ref="Q783" si="956">Q781+1</f>
        <v>1576</v>
      </c>
    </row>
    <row r="784" spans="1:17" ht="20.100000000000001" customHeight="1" x14ac:dyDescent="0.25">
      <c r="B784" s="602"/>
      <c r="C784" s="604"/>
      <c r="D784" s="606"/>
      <c r="E784" s="606"/>
      <c r="F784" s="132">
        <v>147</v>
      </c>
      <c r="G784" s="616"/>
      <c r="H784" s="598"/>
      <c r="I784" s="600"/>
      <c r="J784" s="532"/>
      <c r="K784" s="130"/>
      <c r="L784" s="130"/>
      <c r="M784" s="130"/>
      <c r="N784" s="130"/>
      <c r="O784" s="130"/>
      <c r="P784" s="130"/>
    </row>
    <row r="785" spans="1:17" ht="20.100000000000001" customHeight="1" x14ac:dyDescent="0.25">
      <c r="A785" s="130" t="str">
        <f t="shared" ca="1" si="923"/>
        <v>a16Dm000000LZaqIAG</v>
      </c>
      <c r="B785" s="601">
        <v>5</v>
      </c>
      <c r="C785" s="603" t="str">
        <f>IFERROR(VLOOKUP(B785,'Coverage Indicators - Section D'!$A$9:$AO$70,41,FALSE),"")</f>
        <v>KP-6a Number of MSM who received any PrEP product at least once during the reporting period</v>
      </c>
      <c r="D785" s="605" t="str">
        <f>M785</f>
        <v>Age</v>
      </c>
      <c r="E785" s="605" t="str">
        <f>N785</f>
        <v>15-19</v>
      </c>
      <c r="F785" s="131">
        <v>15</v>
      </c>
      <c r="G785" s="615">
        <f ca="1">IF(OR(INDIRECT("'update Helper'!E"&amp;Q785)="",F785&lt;&gt;0,F786&lt;&gt;0),IF(IFERROR((F785/F786),"")="","",(F785/F786)),INDIRECT("'update Helper'!E"&amp;Q785)/100)</f>
        <v>0.10204081632653061</v>
      </c>
      <c r="H785" s="597">
        <v>2022</v>
      </c>
      <c r="I785" s="599" t="s">
        <v>2201</v>
      </c>
      <c r="J785" s="531" t="s">
        <v>2244</v>
      </c>
      <c r="K785" s="130">
        <f>IF(AND(EXACT(C785,C783),C783&lt;&gt;0),K783+1,0)</f>
        <v>2</v>
      </c>
      <c r="L785" s="130" t="str">
        <f t="shared" ref="L785" si="957">IF(C785&lt;&gt;"",C785&amp;"-"&amp;K785,"")</f>
        <v>KP-6a Number of MSM who received any PrEP product at least once during the reporting period-2</v>
      </c>
      <c r="M785" s="130" t="str">
        <f t="array" ref="M785">IFERROR(IF(INDEX('Disaggregation Records'!$E$152:$E$513,MATCH(RIGHT(L785,255),RIGHT('Disaggregation Records'!$D$152:$D$513,255),0))="","",INDEX('Disaggregation Records'!$E$152:$E$513,MATCH(RIGHT(L785,255),RIGHT('Disaggregation Records'!$D$152:$D$513,255),0))),"")</f>
        <v>Age</v>
      </c>
      <c r="N785" s="130" t="str">
        <f t="array" ref="N785">IFERROR(IF(INDEX('Disaggregation Records'!$F$152:$F$513,MATCH(RIGHT(L785,255),RIGHT('Disaggregation Records'!$D$152:$D$513,255),0))="","",INDEX('Disaggregation Records'!$F$152:$F$513,MATCH(RIGHT(L785,255),RIGHT('Disaggregation Records'!$D$152:$D$513,255),0))),"")</f>
        <v>15-19</v>
      </c>
      <c r="O785" s="130" t="str">
        <f t="array" ref="O785">IFERROR(IF(INDEX('Disaggregation Records'!$H$152:$H$513,MATCH(RIGHT(L785,255),RIGHT('Disaggregation Records'!$D$152:$D$513,255),0))="","",INDEX('Disaggregation Records'!$H$152:$H$513,MATCH(RIGHT(L785,255),RIGHT('Disaggregation Records'!$D$152:$D$513,255),0))),"")</f>
        <v>IDR-01169</v>
      </c>
      <c r="Q785" s="52">
        <f t="shared" ref="Q785" si="958">Q783+1</f>
        <v>1577</v>
      </c>
    </row>
    <row r="786" spans="1:17" ht="20.100000000000001" customHeight="1" x14ac:dyDescent="0.25">
      <c r="A786" s="130"/>
      <c r="B786" s="602"/>
      <c r="C786" s="604"/>
      <c r="D786" s="606"/>
      <c r="E786" s="606"/>
      <c r="F786" s="132">
        <v>147</v>
      </c>
      <c r="G786" s="616"/>
      <c r="H786" s="598"/>
      <c r="I786" s="600"/>
      <c r="J786" s="532"/>
      <c r="L786" s="130"/>
      <c r="N786" s="130"/>
      <c r="O786" s="130"/>
    </row>
    <row r="787" spans="1:17" ht="20.100000000000001" customHeight="1" x14ac:dyDescent="0.25">
      <c r="A787" s="130" t="str">
        <f t="shared" ca="1" si="926"/>
        <v>a16Dm000000LZarIAG</v>
      </c>
      <c r="B787" s="601">
        <v>5</v>
      </c>
      <c r="C787" s="603" t="str">
        <f>IFERROR(VLOOKUP(B787,'Coverage Indicators - Section D'!$A$9:$AO$70,41,FALSE),"")</f>
        <v>KP-6a Number of MSM who received any PrEP product at least once during the reporting period</v>
      </c>
      <c r="D787" s="605" t="str">
        <f>M787</f>
        <v>PrEP product</v>
      </c>
      <c r="E787" s="605" t="str">
        <f>N787</f>
        <v>DPV-VR</v>
      </c>
      <c r="F787" s="131">
        <v>0</v>
      </c>
      <c r="G787" s="615" t="str">
        <f ca="1">IF(OR(INDIRECT("'update Helper'!E"&amp;Q787)="",F787&lt;&gt;0,F788&lt;&gt;0),IF(IFERROR((F787/F788),"")="","",(F787/F788)),INDIRECT("'update Helper'!E"&amp;Q787)/100)</f>
        <v/>
      </c>
      <c r="H787" s="597">
        <v>2022</v>
      </c>
      <c r="I787" s="599" t="s">
        <v>2201</v>
      </c>
      <c r="J787" s="531"/>
      <c r="K787" s="130">
        <f>IF(AND(EXACT(C787,C785),C785&lt;&gt;0),K785+1,0)</f>
        <v>3</v>
      </c>
      <c r="L787" s="130" t="str">
        <f t="shared" ref="L787" si="959">IF(C787&lt;&gt;"",C787&amp;"-"&amp;K787,"")</f>
        <v>KP-6a Number of MSM who received any PrEP product at least once during the reporting period-3</v>
      </c>
      <c r="M787" s="130" t="str">
        <f t="array" ref="M787">IFERROR(IF(INDEX('Disaggregation Records'!$E$152:$E$513,MATCH(RIGHT(L787,255),RIGHT('Disaggregation Records'!$D$152:$D$513,255),0))="","",INDEX('Disaggregation Records'!$E$152:$E$513,MATCH(RIGHT(L787,255),RIGHT('Disaggregation Records'!$D$152:$D$513,255),0))),"")</f>
        <v>PrEP product</v>
      </c>
      <c r="N787" s="130" t="str">
        <f t="array" ref="N787">IFERROR(IF(INDEX('Disaggregation Records'!$F$152:$F$513,MATCH(RIGHT(L787,255),RIGHT('Disaggregation Records'!$D$152:$D$513,255),0))="","",INDEX('Disaggregation Records'!$F$152:$F$513,MATCH(RIGHT(L787,255),RIGHT('Disaggregation Records'!$D$152:$D$513,255),0))),"")</f>
        <v>DPV-VR</v>
      </c>
      <c r="O787" s="130" t="str">
        <f t="array" ref="O787">IFERROR(IF(INDEX('Disaggregation Records'!$H$152:$H$513,MATCH(RIGHT(L787,255),RIGHT('Disaggregation Records'!$D$152:$D$513,255),0))="","",INDEX('Disaggregation Records'!$H$152:$H$513,MATCH(RIGHT(L787,255),RIGHT('Disaggregation Records'!$D$152:$D$513,255),0))),"")</f>
        <v>IDR-01168</v>
      </c>
      <c r="Q787" s="52">
        <f t="shared" ref="Q787" si="960">Q785+1</f>
        <v>1578</v>
      </c>
    </row>
    <row r="788" spans="1:17" ht="20.100000000000001" customHeight="1" x14ac:dyDescent="0.25">
      <c r="B788" s="602"/>
      <c r="C788" s="604"/>
      <c r="D788" s="606"/>
      <c r="E788" s="606"/>
      <c r="F788" s="132"/>
      <c r="G788" s="616"/>
      <c r="H788" s="598"/>
      <c r="I788" s="600"/>
      <c r="J788" s="532"/>
      <c r="L788" s="130"/>
      <c r="N788" s="130"/>
      <c r="O788" s="130"/>
    </row>
    <row r="789" spans="1:17" ht="20.100000000000001" customHeight="1" x14ac:dyDescent="0.25">
      <c r="A789" s="130" t="str">
        <f t="shared" ca="1" si="923"/>
        <v>a16Dm000000LZasIAG</v>
      </c>
      <c r="B789" s="601">
        <v>5</v>
      </c>
      <c r="C789" s="603" t="str">
        <f>IFERROR(VLOOKUP(B789,'Coverage Indicators - Section D'!$A$9:$AO$70,41,FALSE),"")</f>
        <v>KP-6a Number of MSM who received any PrEP product at least once during the reporting period</v>
      </c>
      <c r="D789" s="605" t="str">
        <f>M789</f>
        <v>PrEP product</v>
      </c>
      <c r="E789" s="605" t="str">
        <f>N789</f>
        <v>Injectable PrEP</v>
      </c>
      <c r="F789" s="131">
        <v>0</v>
      </c>
      <c r="G789" s="615" t="str">
        <f ca="1">IF(OR(INDIRECT("'update Helper'!E"&amp;Q789)="",F789&lt;&gt;0,F790&lt;&gt;0),IF(IFERROR((F789/F790),"")="","",(F789/F790)),INDIRECT("'update Helper'!E"&amp;Q789)/100)</f>
        <v/>
      </c>
      <c r="H789" s="597">
        <v>2022</v>
      </c>
      <c r="I789" s="599" t="s">
        <v>2201</v>
      </c>
      <c r="J789" s="531"/>
      <c r="K789" s="130">
        <f>IF(AND(EXACT(C789,C787),C787&lt;&gt;0),K787+1,0)</f>
        <v>4</v>
      </c>
      <c r="L789" s="130" t="str">
        <f t="shared" ref="L789" si="961">IF(C789&lt;&gt;"",C789&amp;"-"&amp;K789,"")</f>
        <v>KP-6a Number of MSM who received any PrEP product at least once during the reporting period-4</v>
      </c>
      <c r="M789" s="130" t="str">
        <f t="array" ref="M789">IFERROR(IF(INDEX('Disaggregation Records'!$E$152:$E$513,MATCH(RIGHT(L789,255),RIGHT('Disaggregation Records'!$D$152:$D$513,255),0))="","",INDEX('Disaggregation Records'!$E$152:$E$513,MATCH(RIGHT(L789,255),RIGHT('Disaggregation Records'!$D$152:$D$513,255),0))),"")</f>
        <v>PrEP product</v>
      </c>
      <c r="N789" s="130" t="str">
        <f t="array" ref="N789">IFERROR(IF(INDEX('Disaggregation Records'!$F$152:$F$513,MATCH(RIGHT(L789,255),RIGHT('Disaggregation Records'!$D$152:$D$513,255),0))="","",INDEX('Disaggregation Records'!$F$152:$F$513,MATCH(RIGHT(L789,255),RIGHT('Disaggregation Records'!$D$152:$D$513,255),0))),"")</f>
        <v>Injectable PrEP</v>
      </c>
      <c r="O789" s="130" t="str">
        <f t="array" ref="O789">IFERROR(IF(INDEX('Disaggregation Records'!$H$152:$H$513,MATCH(RIGHT(L789,255),RIGHT('Disaggregation Records'!$D$152:$D$513,255),0))="","",INDEX('Disaggregation Records'!$H$152:$H$513,MATCH(RIGHT(L789,255),RIGHT('Disaggregation Records'!$D$152:$D$513,255),0))),"")</f>
        <v>IDR-01167</v>
      </c>
      <c r="Q789" s="52">
        <f t="shared" ref="Q789" si="962">Q787+1</f>
        <v>1579</v>
      </c>
    </row>
    <row r="790" spans="1:17" ht="20.100000000000001" customHeight="1" x14ac:dyDescent="0.25">
      <c r="A790" s="130"/>
      <c r="B790" s="602"/>
      <c r="C790" s="604"/>
      <c r="D790" s="606"/>
      <c r="E790" s="606"/>
      <c r="F790" s="132"/>
      <c r="G790" s="616"/>
      <c r="H790" s="598"/>
      <c r="I790" s="600"/>
      <c r="J790" s="532"/>
      <c r="L790" s="130"/>
      <c r="N790" s="130"/>
      <c r="O790" s="130"/>
    </row>
    <row r="791" spans="1:17" ht="20.100000000000001" customHeight="1" x14ac:dyDescent="0.25">
      <c r="A791" s="130" t="str">
        <f t="shared" ca="1" si="926"/>
        <v>a16Dm000000LZatIAG</v>
      </c>
      <c r="B791" s="601">
        <v>5</v>
      </c>
      <c r="C791" s="603" t="str">
        <f>IFERROR(VLOOKUP(B791,'Coverage Indicators - Section D'!$A$9:$AO$70,41,FALSE),"")</f>
        <v>KP-6a Number of MSM who received any PrEP product at least once during the reporting period</v>
      </c>
      <c r="D791" s="605" t="str">
        <f>M791</f>
        <v>PrEP product</v>
      </c>
      <c r="E791" s="605" t="str">
        <f>N791</f>
        <v>Oral PrEP</v>
      </c>
      <c r="F791" s="131">
        <v>147</v>
      </c>
      <c r="G791" s="615">
        <f ca="1">IF(OR(INDIRECT("'update Helper'!E"&amp;Q791)="",F791&lt;&gt;0,F792&lt;&gt;0),IF(IFERROR((F791/F792),"")="","",(F791/F792)),INDIRECT("'update Helper'!E"&amp;Q791)/100)</f>
        <v>1</v>
      </c>
      <c r="H791" s="597">
        <v>2022</v>
      </c>
      <c r="I791" s="599" t="s">
        <v>2201</v>
      </c>
      <c r="J791" s="531" t="s">
        <v>2244</v>
      </c>
      <c r="K791" s="130">
        <f>IF(AND(EXACT(C791,C789),C789&lt;&gt;0),K789+1,0)</f>
        <v>5</v>
      </c>
      <c r="L791" s="130" t="str">
        <f t="shared" ref="L791" si="963">IF(C791&lt;&gt;"",C791&amp;"-"&amp;K791,"")</f>
        <v>KP-6a Number of MSM who received any PrEP product at least once during the reporting period-5</v>
      </c>
      <c r="M791" s="130" t="str">
        <f t="array" ref="M791">IFERROR(IF(INDEX('Disaggregation Records'!$E$152:$E$513,MATCH(RIGHT(L791,255),RIGHT('Disaggregation Records'!$D$152:$D$513,255),0))="","",INDEX('Disaggregation Records'!$E$152:$E$513,MATCH(RIGHT(L791,255),RIGHT('Disaggregation Records'!$D$152:$D$513,255),0))),"")</f>
        <v>PrEP product</v>
      </c>
      <c r="N791" s="130" t="str">
        <f t="array" ref="N791">IFERROR(IF(INDEX('Disaggregation Records'!$F$152:$F$513,MATCH(RIGHT(L791,255),RIGHT('Disaggregation Records'!$D$152:$D$513,255),0))="","",INDEX('Disaggregation Records'!$F$152:$F$513,MATCH(RIGHT(L791,255),RIGHT('Disaggregation Records'!$D$152:$D$513,255),0))),"")</f>
        <v>Oral PrEP</v>
      </c>
      <c r="O791" s="130" t="str">
        <f t="array" ref="O791">IFERROR(IF(INDEX('Disaggregation Records'!$H$152:$H$513,MATCH(RIGHT(L791,255),RIGHT('Disaggregation Records'!$D$152:$D$513,255),0))="","",INDEX('Disaggregation Records'!$H$152:$H$513,MATCH(RIGHT(L791,255),RIGHT('Disaggregation Records'!$D$152:$D$513,255),0))),"")</f>
        <v>IDR-01166</v>
      </c>
      <c r="P791" s="130"/>
      <c r="Q791" s="52">
        <f t="shared" ref="Q791" si="964">Q789+1</f>
        <v>1580</v>
      </c>
    </row>
    <row r="792" spans="1:17" ht="39" customHeight="1" x14ac:dyDescent="0.25">
      <c r="B792" s="602"/>
      <c r="C792" s="604"/>
      <c r="D792" s="606"/>
      <c r="E792" s="606"/>
      <c r="F792" s="132">
        <v>147</v>
      </c>
      <c r="G792" s="616"/>
      <c r="H792" s="598"/>
      <c r="I792" s="600"/>
      <c r="J792" s="532"/>
      <c r="K792" s="130"/>
      <c r="L792" s="130"/>
      <c r="M792" s="130"/>
      <c r="N792" s="130"/>
      <c r="O792" s="130"/>
      <c r="P792" s="130"/>
    </row>
    <row r="793" spans="1:17" ht="20.100000000000001" customHeight="1" x14ac:dyDescent="0.25">
      <c r="A793" s="130" t="str">
        <f t="shared" ca="1" si="923"/>
        <v>a16Dm000000LZauIAG</v>
      </c>
      <c r="B793" s="601">
        <v>5</v>
      </c>
      <c r="C793" s="603" t="str">
        <f>IFERROR(VLOOKUP(B793,'Coverage Indicators - Section D'!$A$9:$AO$70,41,FALSE),"")</f>
        <v>KP-6a Number of MSM who received any PrEP product at least once during the reporting period</v>
      </c>
      <c r="D793" s="605" t="str">
        <f>M793</f>
        <v/>
      </c>
      <c r="E793" s="605" t="str">
        <f>N793</f>
        <v/>
      </c>
      <c r="F793" s="131"/>
      <c r="G793" s="607" t="str">
        <f ca="1">IF(OR(INDIRECT("'update Helper'!E"&amp;Q793)="",F793&lt;&gt;0,F794&lt;&gt;0),IF(IFERROR((F793/F794),"")="","",(F793/F794)),INDIRECT("'update Helper'!E"&amp;Q793)/100)</f>
        <v/>
      </c>
      <c r="H793" s="597"/>
      <c r="I793" s="599"/>
      <c r="J793" s="531"/>
      <c r="K793" s="130">
        <f>IF(AND(EXACT(C793,C791),C791&lt;&gt;0),K791+1,0)</f>
        <v>6</v>
      </c>
      <c r="L793" s="130" t="str">
        <f t="shared" ref="L793" si="965">IF(C793&lt;&gt;"",C793&amp;"-"&amp;K793,"")</f>
        <v>KP-6a Number of MSM who received any PrEP product at least once during the reporting period-6</v>
      </c>
      <c r="M793" s="130" t="str">
        <f t="array" ref="M793">IFERROR(IF(INDEX('Disaggregation Records'!$E$152:$E$513,MATCH(RIGHT(L793,255),RIGHT('Disaggregation Records'!$D$152:$D$513,255),0))="","",INDEX('Disaggregation Records'!$E$152:$E$513,MATCH(RIGHT(L793,255),RIGHT('Disaggregation Records'!$D$152:$D$513,255),0))),"")</f>
        <v/>
      </c>
      <c r="N793" s="130" t="str">
        <f t="array" ref="N793">IFERROR(IF(INDEX('Disaggregation Records'!$F$152:$F$513,MATCH(RIGHT(L793,255),RIGHT('Disaggregation Records'!$D$152:$D$513,255),0))="","",INDEX('Disaggregation Records'!$F$152:$F$513,MATCH(RIGHT(L793,255),RIGHT('Disaggregation Records'!$D$152:$D$513,255),0))),"")</f>
        <v/>
      </c>
      <c r="O793" s="130" t="str">
        <f t="array" ref="O793">IFERROR(IF(INDEX('Disaggregation Records'!$H$152:$H$513,MATCH(RIGHT(L793,255),RIGHT('Disaggregation Records'!$D$152:$D$513,255),0))="","",INDEX('Disaggregation Records'!$H$152:$H$513,MATCH(RIGHT(L793,255),RIGHT('Disaggregation Records'!$D$152:$D$513,255),0))),"")</f>
        <v/>
      </c>
      <c r="P793" s="130"/>
      <c r="Q793" s="52">
        <f t="shared" ref="Q793" si="966">Q791+1</f>
        <v>1581</v>
      </c>
    </row>
    <row r="794" spans="1:17" ht="20.100000000000001" customHeight="1" x14ac:dyDescent="0.25">
      <c r="A794" s="130"/>
      <c r="B794" s="602"/>
      <c r="C794" s="604"/>
      <c r="D794" s="606"/>
      <c r="E794" s="606"/>
      <c r="F794" s="132"/>
      <c r="G794" s="608"/>
      <c r="H794" s="598"/>
      <c r="I794" s="600"/>
      <c r="J794" s="532"/>
      <c r="K794" s="130"/>
      <c r="L794" s="130"/>
      <c r="M794" s="130"/>
      <c r="N794" s="130"/>
      <c r="O794" s="130"/>
      <c r="P794" s="130"/>
    </row>
    <row r="795" spans="1:17" ht="20.100000000000001" customHeight="1" x14ac:dyDescent="0.25">
      <c r="A795" s="130" t="str">
        <f t="shared" ca="1" si="926"/>
        <v>a16Dm000000LZavIAG</v>
      </c>
      <c r="B795" s="601">
        <v>5</v>
      </c>
      <c r="C795" s="603" t="str">
        <f>IFERROR(VLOOKUP(B795,'Coverage Indicators - Section D'!$A$9:$AO$70,41,FALSE),"")</f>
        <v>KP-6a Number of MSM who received any PrEP product at least once during the reporting period</v>
      </c>
      <c r="D795" s="605" t="str">
        <f>M795</f>
        <v/>
      </c>
      <c r="E795" s="605" t="str">
        <f>N795</f>
        <v/>
      </c>
      <c r="F795" s="131"/>
      <c r="G795" s="607" t="str">
        <f ca="1">IF(OR(INDIRECT("'update Helper'!E"&amp;Q795)="",F795&lt;&gt;0,F796&lt;&gt;0),IF(IFERROR((F795/F796),"")="","",(F795/F796)),INDIRECT("'update Helper'!E"&amp;Q795)/100)</f>
        <v/>
      </c>
      <c r="H795" s="597"/>
      <c r="I795" s="599"/>
      <c r="J795" s="531"/>
      <c r="K795" s="130">
        <f>IF(AND(EXACT(C795,C793),C793&lt;&gt;0),K793+1,0)</f>
        <v>7</v>
      </c>
      <c r="L795" s="130" t="str">
        <f t="shared" ref="L795" si="967">IF(C795&lt;&gt;"",C795&amp;"-"&amp;K795,"")</f>
        <v>KP-6a Number of MSM who received any PrEP product at least once during the reporting period-7</v>
      </c>
      <c r="M795" s="130" t="str">
        <f t="array" ref="M795">IFERROR(IF(INDEX('Disaggregation Records'!$E$152:$E$513,MATCH(RIGHT(L795,255),RIGHT('Disaggregation Records'!$D$152:$D$513,255),0))="","",INDEX('Disaggregation Records'!$E$152:$E$513,MATCH(RIGHT(L795,255),RIGHT('Disaggregation Records'!$D$152:$D$513,255),0))),"")</f>
        <v/>
      </c>
      <c r="N795" s="130" t="str">
        <f t="array" ref="N795">IFERROR(IF(INDEX('Disaggregation Records'!$F$152:$F$513,MATCH(RIGHT(L795,255),RIGHT('Disaggregation Records'!$D$152:$D$513,255),0))="","",INDEX('Disaggregation Records'!$F$152:$F$513,MATCH(RIGHT(L795,255),RIGHT('Disaggregation Records'!$D$152:$D$513,255),0))),"")</f>
        <v/>
      </c>
      <c r="O795" s="130" t="str">
        <f t="array" ref="O795">IFERROR(IF(INDEX('Disaggregation Records'!$H$152:$H$513,MATCH(RIGHT(L795,255),RIGHT('Disaggregation Records'!$D$152:$D$513,255),0))="","",INDEX('Disaggregation Records'!$H$152:$H$513,MATCH(RIGHT(L795,255),RIGHT('Disaggregation Records'!$D$152:$D$513,255),0))),"")</f>
        <v/>
      </c>
      <c r="Q795" s="52">
        <f t="shared" ref="Q795" si="968">Q793+1</f>
        <v>1582</v>
      </c>
    </row>
    <row r="796" spans="1:17" ht="20.100000000000001" customHeight="1" x14ac:dyDescent="0.25">
      <c r="B796" s="602"/>
      <c r="C796" s="604"/>
      <c r="D796" s="606"/>
      <c r="E796" s="606"/>
      <c r="F796" s="132"/>
      <c r="G796" s="608"/>
      <c r="H796" s="598"/>
      <c r="I796" s="600"/>
      <c r="J796" s="532"/>
      <c r="L796" s="130"/>
      <c r="N796" s="130"/>
      <c r="O796" s="130"/>
    </row>
    <row r="797" spans="1:17" ht="20.100000000000001" customHeight="1" x14ac:dyDescent="0.25">
      <c r="A797" s="130" t="str">
        <f t="shared" ca="1" si="923"/>
        <v>a16Dm000000LZawIAG</v>
      </c>
      <c r="B797" s="601">
        <v>5</v>
      </c>
      <c r="C797" s="603" t="str">
        <f>IFERROR(VLOOKUP(B797,'Coverage Indicators - Section D'!$A$9:$AO$70,41,FALSE),"")</f>
        <v>KP-6a Number of MSM who received any PrEP product at least once during the reporting period</v>
      </c>
      <c r="D797" s="605" t="str">
        <f>M797</f>
        <v/>
      </c>
      <c r="E797" s="605" t="str">
        <f>N797</f>
        <v/>
      </c>
      <c r="F797" s="131"/>
      <c r="G797" s="607" t="str">
        <f ca="1">IF(OR(INDIRECT("'update Helper'!E"&amp;Q797)="",F797&lt;&gt;0,F798&lt;&gt;0),IF(IFERROR((F797/F798),"")="","",(F797/F798)),INDIRECT("'update Helper'!E"&amp;Q797)/100)</f>
        <v/>
      </c>
      <c r="H797" s="597"/>
      <c r="I797" s="599"/>
      <c r="J797" s="531"/>
      <c r="K797" s="130">
        <f>IF(AND(EXACT(C797,C795),C795&lt;&gt;0),K795+1,0)</f>
        <v>8</v>
      </c>
      <c r="L797" s="130" t="str">
        <f t="shared" ref="L797" si="969">IF(C797&lt;&gt;"",C797&amp;"-"&amp;K797,"")</f>
        <v>KP-6a Number of MSM who received any PrEP product at least once during the reporting period-8</v>
      </c>
      <c r="M797" s="130" t="str">
        <f t="array" ref="M797">IFERROR(IF(INDEX('Disaggregation Records'!$E$152:$E$513,MATCH(RIGHT(L797,255),RIGHT('Disaggregation Records'!$D$152:$D$513,255),0))="","",INDEX('Disaggregation Records'!$E$152:$E$513,MATCH(RIGHT(L797,255),RIGHT('Disaggregation Records'!$D$152:$D$513,255),0))),"")</f>
        <v/>
      </c>
      <c r="N797" s="130" t="str">
        <f t="array" ref="N797">IFERROR(IF(INDEX('Disaggregation Records'!$F$152:$F$513,MATCH(RIGHT(L797,255),RIGHT('Disaggregation Records'!$D$152:$D$513,255),0))="","",INDEX('Disaggregation Records'!$F$152:$F$513,MATCH(RIGHT(L797,255),RIGHT('Disaggregation Records'!$D$152:$D$513,255),0))),"")</f>
        <v/>
      </c>
      <c r="O797" s="130" t="str">
        <f t="array" ref="O797">IFERROR(IF(INDEX('Disaggregation Records'!$H$152:$H$513,MATCH(RIGHT(L797,255),RIGHT('Disaggregation Records'!$D$152:$D$513,255),0))="","",INDEX('Disaggregation Records'!$H$152:$H$513,MATCH(RIGHT(L797,255),RIGHT('Disaggregation Records'!$D$152:$D$513,255),0))),"")</f>
        <v/>
      </c>
      <c r="Q797" s="52">
        <f t="shared" ref="Q797" si="970">Q795+1</f>
        <v>1583</v>
      </c>
    </row>
    <row r="798" spans="1:17" ht="20.100000000000001" customHeight="1" x14ac:dyDescent="0.25">
      <c r="A798" s="130"/>
      <c r="B798" s="602"/>
      <c r="C798" s="604"/>
      <c r="D798" s="606"/>
      <c r="E798" s="606"/>
      <c r="F798" s="132"/>
      <c r="G798" s="608"/>
      <c r="H798" s="598"/>
      <c r="I798" s="600"/>
      <c r="J798" s="532"/>
      <c r="L798" s="130"/>
      <c r="N798" s="130"/>
      <c r="O798" s="130"/>
    </row>
    <row r="799" spans="1:17" ht="20.100000000000001" customHeight="1" x14ac:dyDescent="0.25">
      <c r="A799" s="130" t="str">
        <f t="shared" ca="1" si="926"/>
        <v>a16Dm000000LZaxIAG</v>
      </c>
      <c r="B799" s="601">
        <v>5</v>
      </c>
      <c r="C799" s="603" t="str">
        <f>IFERROR(VLOOKUP(B799,'Coverage Indicators - Section D'!$A$9:$AO$70,41,FALSE),"")</f>
        <v>KP-6a Number of MSM who received any PrEP product at least once during the reporting period</v>
      </c>
      <c r="D799" s="605" t="str">
        <f>M799</f>
        <v/>
      </c>
      <c r="E799" s="605" t="str">
        <f>N799</f>
        <v/>
      </c>
      <c r="F799" s="131"/>
      <c r="G799" s="607" t="str">
        <f ca="1">IF(OR(INDIRECT("'update Helper'!E"&amp;Q799)="",F799&lt;&gt;0,F800&lt;&gt;0),IF(IFERROR((F799/F800),"")="","",(F799/F800)),INDIRECT("'update Helper'!E"&amp;Q799)/100)</f>
        <v/>
      </c>
      <c r="H799" s="597"/>
      <c r="I799" s="599"/>
      <c r="J799" s="531"/>
      <c r="K799" s="130">
        <f>IF(AND(EXACT(C799,C797),C797&lt;&gt;0),K797+1,0)</f>
        <v>9</v>
      </c>
      <c r="L799" s="130" t="str">
        <f t="shared" ref="L799" si="971">IF(C799&lt;&gt;"",C799&amp;"-"&amp;K799,"")</f>
        <v>KP-6a Number of MSM who received any PrEP product at least once during the reporting period-9</v>
      </c>
      <c r="M799" s="130" t="str">
        <f t="array" ref="M799">IFERROR(IF(INDEX('Disaggregation Records'!$E$152:$E$513,MATCH(RIGHT(L799,255),RIGHT('Disaggregation Records'!$D$152:$D$513,255),0))="","",INDEX('Disaggregation Records'!$E$152:$E$513,MATCH(RIGHT(L799,255),RIGHT('Disaggregation Records'!$D$152:$D$513,255),0))),"")</f>
        <v/>
      </c>
      <c r="N799" s="130" t="str">
        <f t="array" ref="N799">IFERROR(IF(INDEX('Disaggregation Records'!$F$152:$F$513,MATCH(RIGHT(L799,255),RIGHT('Disaggregation Records'!$D$152:$D$513,255),0))="","",INDEX('Disaggregation Records'!$F$152:$F$513,MATCH(RIGHT(L799,255),RIGHT('Disaggregation Records'!$D$152:$D$513,255),0))),"")</f>
        <v/>
      </c>
      <c r="O799" s="130" t="str">
        <f t="array" ref="O799">IFERROR(IF(INDEX('Disaggregation Records'!$H$152:$H$513,MATCH(RIGHT(L799,255),RIGHT('Disaggregation Records'!$D$152:$D$513,255),0))="","",INDEX('Disaggregation Records'!$H$152:$H$513,MATCH(RIGHT(L799,255),RIGHT('Disaggregation Records'!$D$152:$D$513,255),0))),"")</f>
        <v/>
      </c>
      <c r="Q799" s="52">
        <f t="shared" ref="Q799" si="972">Q797+1</f>
        <v>1584</v>
      </c>
    </row>
    <row r="800" spans="1:17" ht="20.100000000000001" customHeight="1" x14ac:dyDescent="0.25">
      <c r="B800" s="602"/>
      <c r="C800" s="604"/>
      <c r="D800" s="606"/>
      <c r="E800" s="606"/>
      <c r="F800" s="132"/>
      <c r="G800" s="608"/>
      <c r="H800" s="598"/>
      <c r="I800" s="600"/>
      <c r="J800" s="532"/>
      <c r="L800" s="130"/>
      <c r="N800" s="130"/>
      <c r="O800" s="130"/>
    </row>
    <row r="801" spans="1:17" ht="20.100000000000001" customHeight="1" x14ac:dyDescent="0.25">
      <c r="A801" s="130" t="str">
        <f t="shared" ca="1" si="923"/>
        <v>a16Dm000000LZayIAG</v>
      </c>
      <c r="B801" s="601">
        <v>5</v>
      </c>
      <c r="C801" s="603" t="str">
        <f>IFERROR(VLOOKUP(B801,'Coverage Indicators - Section D'!$A$9:$AO$70,41,FALSE),"")</f>
        <v>KP-6a Number of MSM who received any PrEP product at least once during the reporting period</v>
      </c>
      <c r="D801" s="605" t="str">
        <f>M801</f>
        <v/>
      </c>
      <c r="E801" s="605" t="str">
        <f>N801</f>
        <v/>
      </c>
      <c r="F801" s="131"/>
      <c r="G801" s="607" t="str">
        <f ca="1">IF(OR(INDIRECT("'update Helper'!E"&amp;Q801)="",F801&lt;&gt;0,F802&lt;&gt;0),IF(IFERROR((F801/F802),"")="","",(F801/F802)),INDIRECT("'update Helper'!E"&amp;Q801)/100)</f>
        <v/>
      </c>
      <c r="H801" s="597"/>
      <c r="I801" s="599"/>
      <c r="J801" s="531"/>
      <c r="K801" s="130">
        <f>IF(AND(EXACT(C801,C799),C799&lt;&gt;0),K799+1,0)</f>
        <v>10</v>
      </c>
      <c r="L801" s="130" t="str">
        <f t="shared" ref="L801" si="973">IF(C801&lt;&gt;"",C801&amp;"-"&amp;K801,"")</f>
        <v>KP-6a Number of MSM who received any PrEP product at least once during the reporting period-10</v>
      </c>
      <c r="M801" s="130" t="str">
        <f t="array" ref="M801">IFERROR(IF(INDEX('Disaggregation Records'!$E$152:$E$513,MATCH(RIGHT(L801,255),RIGHT('Disaggregation Records'!$D$152:$D$513,255),0))="","",INDEX('Disaggregation Records'!$E$152:$E$513,MATCH(RIGHT(L801,255),RIGHT('Disaggregation Records'!$D$152:$D$513,255),0))),"")</f>
        <v/>
      </c>
      <c r="N801" s="130" t="str">
        <f t="array" ref="N801">IFERROR(IF(INDEX('Disaggregation Records'!$F$152:$F$513,MATCH(RIGHT(L801,255),RIGHT('Disaggregation Records'!$D$152:$D$513,255),0))="","",INDEX('Disaggregation Records'!$F$152:$F$513,MATCH(RIGHT(L801,255),RIGHT('Disaggregation Records'!$D$152:$D$513,255),0))),"")</f>
        <v/>
      </c>
      <c r="O801" s="130" t="str">
        <f t="array" ref="O801">IFERROR(IF(INDEX('Disaggregation Records'!$H$152:$H$513,MATCH(RIGHT(L801,255),RIGHT('Disaggregation Records'!$D$152:$D$513,255),0))="","",INDEX('Disaggregation Records'!$H$152:$H$513,MATCH(RIGHT(L801,255),RIGHT('Disaggregation Records'!$D$152:$D$513,255),0))),"")</f>
        <v/>
      </c>
      <c r="P801" s="130"/>
      <c r="Q801" s="52">
        <f t="shared" ref="Q801" si="974">Q799+1</f>
        <v>1585</v>
      </c>
    </row>
    <row r="802" spans="1:17" ht="20.100000000000001" customHeight="1" x14ac:dyDescent="0.25">
      <c r="A802" s="130"/>
      <c r="B802" s="602"/>
      <c r="C802" s="604"/>
      <c r="D802" s="606"/>
      <c r="E802" s="606"/>
      <c r="F802" s="132"/>
      <c r="G802" s="608"/>
      <c r="H802" s="598"/>
      <c r="I802" s="600"/>
      <c r="J802" s="532"/>
      <c r="K802" s="130"/>
      <c r="L802" s="130"/>
      <c r="M802" s="130"/>
      <c r="N802" s="130"/>
      <c r="O802" s="130"/>
      <c r="P802" s="130"/>
    </row>
    <row r="803" spans="1:17" ht="20.100000000000001" customHeight="1" x14ac:dyDescent="0.25">
      <c r="A803" s="130" t="str">
        <f t="shared" ca="1" si="926"/>
        <v>a16Dm000000LZazIAG</v>
      </c>
      <c r="B803" s="601">
        <v>5</v>
      </c>
      <c r="C803" s="603" t="str">
        <f>IFERROR(VLOOKUP(B803,'Coverage Indicators - Section D'!$A$9:$AO$70,41,FALSE),"")</f>
        <v>KP-6a Number of MSM who received any PrEP product at least once during the reporting period</v>
      </c>
      <c r="D803" s="605" t="str">
        <f>M803</f>
        <v/>
      </c>
      <c r="E803" s="605" t="str">
        <f>N803</f>
        <v/>
      </c>
      <c r="F803" s="131"/>
      <c r="G803" s="607" t="str">
        <f ca="1">IF(OR(INDIRECT("'update Helper'!E"&amp;Q803)="",F803&lt;&gt;0,F804&lt;&gt;0),IF(IFERROR((F803/F804),"")="","",(F803/F804)),INDIRECT("'update Helper'!E"&amp;Q803)/100)</f>
        <v/>
      </c>
      <c r="H803" s="597"/>
      <c r="I803" s="599"/>
      <c r="J803" s="531"/>
      <c r="K803" s="130">
        <f>IF(AND(EXACT(C803,C801),C801&lt;&gt;0),K801+1,0)</f>
        <v>11</v>
      </c>
      <c r="L803" s="130" t="str">
        <f t="shared" ref="L803" si="975">IF(C803&lt;&gt;"",C803&amp;"-"&amp;K803,"")</f>
        <v>KP-6a Number of MSM who received any PrEP product at least once during the reporting period-11</v>
      </c>
      <c r="M803" s="130" t="str">
        <f t="array" ref="M803">IFERROR(IF(INDEX('Disaggregation Records'!$E$152:$E$513,MATCH(RIGHT(L803,255),RIGHT('Disaggregation Records'!$D$152:$D$513,255),0))="","",INDEX('Disaggregation Records'!$E$152:$E$513,MATCH(RIGHT(L803,255),RIGHT('Disaggregation Records'!$D$152:$D$513,255),0))),"")</f>
        <v/>
      </c>
      <c r="N803" s="130" t="str">
        <f t="array" ref="N803">IFERROR(IF(INDEX('Disaggregation Records'!$F$152:$F$513,MATCH(RIGHT(L803,255),RIGHT('Disaggregation Records'!$D$152:$D$513,255),0))="","",INDEX('Disaggregation Records'!$F$152:$F$513,MATCH(RIGHT(L803,255),RIGHT('Disaggregation Records'!$D$152:$D$513,255),0))),"")</f>
        <v/>
      </c>
      <c r="O803" s="130" t="str">
        <f t="array" ref="O803">IFERROR(IF(INDEX('Disaggregation Records'!$H$152:$H$513,MATCH(RIGHT(L803,255),RIGHT('Disaggregation Records'!$D$152:$D$513,255),0))="","",INDEX('Disaggregation Records'!$H$152:$H$513,MATCH(RIGHT(L803,255),RIGHT('Disaggregation Records'!$D$152:$D$513,255),0))),"")</f>
        <v/>
      </c>
      <c r="P803" s="130"/>
      <c r="Q803" s="52">
        <f t="shared" ref="Q803" si="976">Q801+1</f>
        <v>1586</v>
      </c>
    </row>
    <row r="804" spans="1:17" ht="20.100000000000001" customHeight="1" x14ac:dyDescent="0.25">
      <c r="B804" s="602"/>
      <c r="C804" s="604"/>
      <c r="D804" s="606"/>
      <c r="E804" s="606"/>
      <c r="F804" s="132"/>
      <c r="G804" s="608"/>
      <c r="H804" s="598"/>
      <c r="I804" s="600"/>
      <c r="J804" s="532"/>
      <c r="K804" s="130"/>
      <c r="L804" s="130"/>
      <c r="M804" s="130"/>
      <c r="N804" s="130"/>
      <c r="O804" s="130"/>
      <c r="P804" s="130"/>
    </row>
    <row r="805" spans="1:17" ht="20.100000000000001" customHeight="1" x14ac:dyDescent="0.25">
      <c r="A805" s="130" t="str">
        <f t="shared" ca="1" si="923"/>
        <v>a16Dm000000LZb0IAG</v>
      </c>
      <c r="B805" s="601">
        <v>5</v>
      </c>
      <c r="C805" s="603" t="str">
        <f>IFERROR(VLOOKUP(B805,'Coverage Indicators - Section D'!$A$9:$AO$70,41,FALSE),"")</f>
        <v>KP-6a Number of MSM who received any PrEP product at least once during the reporting period</v>
      </c>
      <c r="D805" s="605" t="str">
        <f>M805</f>
        <v/>
      </c>
      <c r="E805" s="605" t="str">
        <f>N805</f>
        <v/>
      </c>
      <c r="F805" s="131"/>
      <c r="G805" s="607" t="str">
        <f ca="1">IF(OR(INDIRECT("'update Helper'!E"&amp;Q805)="",F805&lt;&gt;0,F806&lt;&gt;0),IF(IFERROR((F805/F806),"")="","",(F805/F806)),INDIRECT("'update Helper'!E"&amp;Q805)/100)</f>
        <v/>
      </c>
      <c r="H805" s="597"/>
      <c r="I805" s="599"/>
      <c r="J805" s="531"/>
      <c r="K805" s="130">
        <f>IF(AND(EXACT(C805,C803),C803&lt;&gt;0),K803+1,0)</f>
        <v>12</v>
      </c>
      <c r="L805" s="130" t="str">
        <f t="shared" ref="L805" si="977">IF(C805&lt;&gt;"",C805&amp;"-"&amp;K805,"")</f>
        <v>KP-6a Number of MSM who received any PrEP product at least once during the reporting period-12</v>
      </c>
      <c r="M805" s="130" t="str">
        <f t="array" ref="M805">IFERROR(IF(INDEX('Disaggregation Records'!$E$152:$E$513,MATCH(RIGHT(L805,255),RIGHT('Disaggregation Records'!$D$152:$D$513,255),0))="","",INDEX('Disaggregation Records'!$E$152:$E$513,MATCH(RIGHT(L805,255),RIGHT('Disaggregation Records'!$D$152:$D$513,255),0))),"")</f>
        <v/>
      </c>
      <c r="N805" s="130" t="str">
        <f t="array" ref="N805">IFERROR(IF(INDEX('Disaggregation Records'!$F$152:$F$513,MATCH(RIGHT(L805,255),RIGHT('Disaggregation Records'!$D$152:$D$513,255),0))="","",INDEX('Disaggregation Records'!$F$152:$F$513,MATCH(RIGHT(L805,255),RIGHT('Disaggregation Records'!$D$152:$D$513,255),0))),"")</f>
        <v/>
      </c>
      <c r="O805" s="130" t="str">
        <f t="array" ref="O805">IFERROR(IF(INDEX('Disaggregation Records'!$H$152:$H$513,MATCH(RIGHT(L805,255),RIGHT('Disaggregation Records'!$D$152:$D$513,255),0))="","",INDEX('Disaggregation Records'!$H$152:$H$513,MATCH(RIGHT(L805,255),RIGHT('Disaggregation Records'!$D$152:$D$513,255),0))),"")</f>
        <v/>
      </c>
      <c r="Q805" s="52">
        <f t="shared" ref="Q805" si="978">Q803+1</f>
        <v>1587</v>
      </c>
    </row>
    <row r="806" spans="1:17" ht="20.100000000000001" customHeight="1" x14ac:dyDescent="0.25">
      <c r="A806" s="130"/>
      <c r="B806" s="602"/>
      <c r="C806" s="604"/>
      <c r="D806" s="606"/>
      <c r="E806" s="606"/>
      <c r="F806" s="132"/>
      <c r="G806" s="608"/>
      <c r="H806" s="598"/>
      <c r="I806" s="600"/>
      <c r="J806" s="532"/>
      <c r="L806" s="130"/>
      <c r="N806" s="130"/>
      <c r="O806" s="130"/>
    </row>
    <row r="807" spans="1:17" ht="20.100000000000001" customHeight="1" x14ac:dyDescent="0.25">
      <c r="A807" s="130" t="str">
        <f t="shared" ca="1" si="926"/>
        <v>a16Dm000000LZb1IAG</v>
      </c>
      <c r="B807" s="601">
        <v>5</v>
      </c>
      <c r="C807" s="603" t="str">
        <f>IFERROR(VLOOKUP(B807,'Coverage Indicators - Section D'!$A$9:$AO$70,41,FALSE),"")</f>
        <v>KP-6a Number of MSM who received any PrEP product at least once during the reporting period</v>
      </c>
      <c r="D807" s="605" t="str">
        <f>M807</f>
        <v/>
      </c>
      <c r="E807" s="605" t="str">
        <f>N807</f>
        <v/>
      </c>
      <c r="F807" s="131"/>
      <c r="G807" s="607" t="str">
        <f ca="1">IF(OR(INDIRECT("'update Helper'!E"&amp;Q807)="",F807&lt;&gt;0,F808&lt;&gt;0),IF(IFERROR((F807/F808),"")="","",(F807/F808)),INDIRECT("'update Helper'!E"&amp;Q807)/100)</f>
        <v/>
      </c>
      <c r="H807" s="597"/>
      <c r="I807" s="599"/>
      <c r="J807" s="531"/>
      <c r="K807" s="130">
        <f>IF(AND(EXACT(C807,C805),C805&lt;&gt;0),K805+1,0)</f>
        <v>13</v>
      </c>
      <c r="L807" s="130" t="str">
        <f t="shared" ref="L807" si="979">IF(C807&lt;&gt;"",C807&amp;"-"&amp;K807,"")</f>
        <v>KP-6a Number of MSM who received any PrEP product at least once during the reporting period-13</v>
      </c>
      <c r="M807" s="130" t="str">
        <f t="array" ref="M807">IFERROR(IF(INDEX('Disaggregation Records'!$E$152:$E$513,MATCH(RIGHT(L807,255),RIGHT('Disaggregation Records'!$D$152:$D$513,255),0))="","",INDEX('Disaggregation Records'!$E$152:$E$513,MATCH(RIGHT(L807,255),RIGHT('Disaggregation Records'!$D$152:$D$513,255),0))),"")</f>
        <v/>
      </c>
      <c r="N807" s="130" t="str">
        <f t="array" ref="N807">IFERROR(IF(INDEX('Disaggregation Records'!$F$152:$F$513,MATCH(RIGHT(L807,255),RIGHT('Disaggregation Records'!$D$152:$D$513,255),0))="","",INDEX('Disaggregation Records'!$F$152:$F$513,MATCH(RIGHT(L807,255),RIGHT('Disaggregation Records'!$D$152:$D$513,255),0))),"")</f>
        <v/>
      </c>
      <c r="O807" s="130" t="str">
        <f t="array" ref="O807">IFERROR(IF(INDEX('Disaggregation Records'!$H$152:$H$513,MATCH(RIGHT(L807,255),RIGHT('Disaggregation Records'!$D$152:$D$513,255),0))="","",INDEX('Disaggregation Records'!$H$152:$H$513,MATCH(RIGHT(L807,255),RIGHT('Disaggregation Records'!$D$152:$D$513,255),0))),"")</f>
        <v/>
      </c>
      <c r="Q807" s="52">
        <f t="shared" ref="Q807" si="980">Q805+1</f>
        <v>1588</v>
      </c>
    </row>
    <row r="808" spans="1:17" ht="20.100000000000001" customHeight="1" x14ac:dyDescent="0.25">
      <c r="B808" s="602"/>
      <c r="C808" s="604"/>
      <c r="D808" s="606"/>
      <c r="E808" s="606"/>
      <c r="F808" s="132"/>
      <c r="G808" s="608"/>
      <c r="H808" s="598"/>
      <c r="I808" s="600"/>
      <c r="J808" s="532"/>
      <c r="L808" s="130"/>
      <c r="N808" s="130"/>
      <c r="O808" s="130"/>
    </row>
    <row r="809" spans="1:17" ht="20.100000000000001" customHeight="1" x14ac:dyDescent="0.25">
      <c r="A809" s="130" t="str">
        <f t="shared" ca="1" si="923"/>
        <v>a16Dm000000LZb2IAG</v>
      </c>
      <c r="B809" s="601">
        <v>5</v>
      </c>
      <c r="C809" s="603" t="str">
        <f>IFERROR(VLOOKUP(B809,'Coverage Indicators - Section D'!$A$9:$AO$70,41,FALSE),"")</f>
        <v>KP-6a Number of MSM who received any PrEP product at least once during the reporting period</v>
      </c>
      <c r="D809" s="605" t="str">
        <f>M809</f>
        <v/>
      </c>
      <c r="E809" s="605" t="str">
        <f>N809</f>
        <v/>
      </c>
      <c r="F809" s="131"/>
      <c r="G809" s="607" t="str">
        <f ca="1">IF(OR(INDIRECT("'update Helper'!E"&amp;Q809)="",F809&lt;&gt;0,F810&lt;&gt;0),IF(IFERROR((F809/F810),"")="","",(F809/F810)),INDIRECT("'update Helper'!E"&amp;Q809)/100)</f>
        <v/>
      </c>
      <c r="H809" s="597"/>
      <c r="I809" s="599"/>
      <c r="J809" s="531"/>
      <c r="K809" s="130">
        <f>IF(AND(EXACT(C809,C807),C807&lt;&gt;0),K807+1,0)</f>
        <v>14</v>
      </c>
      <c r="L809" s="130" t="str">
        <f t="shared" ref="L809" si="981">IF(C809&lt;&gt;"",C809&amp;"-"&amp;K809,"")</f>
        <v>KP-6a Number of MSM who received any PrEP product at least once during the reporting period-14</v>
      </c>
      <c r="M809" s="130" t="str">
        <f t="array" ref="M809">IFERROR(IF(INDEX('Disaggregation Records'!$E$152:$E$513,MATCH(RIGHT(L809,255),RIGHT('Disaggregation Records'!$D$152:$D$513,255),0))="","",INDEX('Disaggregation Records'!$E$152:$E$513,MATCH(RIGHT(L809,255),RIGHT('Disaggregation Records'!$D$152:$D$513,255),0))),"")</f>
        <v/>
      </c>
      <c r="N809" s="130" t="str">
        <f t="array" ref="N809">IFERROR(IF(INDEX('Disaggregation Records'!$F$152:$F$513,MATCH(RIGHT(L809,255),RIGHT('Disaggregation Records'!$D$152:$D$513,255),0))="","",INDEX('Disaggregation Records'!$F$152:$F$513,MATCH(RIGHT(L809,255),RIGHT('Disaggregation Records'!$D$152:$D$513,255),0))),"")</f>
        <v/>
      </c>
      <c r="O809" s="130" t="str">
        <f t="array" ref="O809">IFERROR(IF(INDEX('Disaggregation Records'!$H$152:$H$513,MATCH(RIGHT(L809,255),RIGHT('Disaggregation Records'!$D$152:$D$513,255),0))="","",INDEX('Disaggregation Records'!$H$152:$H$513,MATCH(RIGHT(L809,255),RIGHT('Disaggregation Records'!$D$152:$D$513,255),0))),"")</f>
        <v/>
      </c>
      <c r="Q809" s="52">
        <f t="shared" ref="Q809" si="982">Q807+1</f>
        <v>1589</v>
      </c>
    </row>
    <row r="810" spans="1:17" ht="20.100000000000001" customHeight="1" x14ac:dyDescent="0.25">
      <c r="A810" s="130"/>
      <c r="B810" s="602"/>
      <c r="C810" s="604"/>
      <c r="D810" s="606"/>
      <c r="E810" s="606"/>
      <c r="F810" s="132"/>
      <c r="G810" s="608"/>
      <c r="H810" s="598"/>
      <c r="I810" s="600"/>
      <c r="J810" s="532"/>
      <c r="L810" s="130"/>
      <c r="N810" s="130"/>
      <c r="O810" s="130"/>
    </row>
    <row r="811" spans="1:17" ht="20.100000000000001" customHeight="1" x14ac:dyDescent="0.25">
      <c r="A811" s="130" t="str">
        <f t="shared" ca="1" si="926"/>
        <v>a16Dm000000LZb3IAG</v>
      </c>
      <c r="B811" s="601">
        <v>5</v>
      </c>
      <c r="C811" s="603" t="str">
        <f>IFERROR(VLOOKUP(B811,'Coverage Indicators - Section D'!$A$9:$AO$70,41,FALSE),"")</f>
        <v>KP-6a Number of MSM who received any PrEP product at least once during the reporting period</v>
      </c>
      <c r="D811" s="605" t="str">
        <f>M811</f>
        <v/>
      </c>
      <c r="E811" s="605" t="str">
        <f>N811</f>
        <v/>
      </c>
      <c r="F811" s="131"/>
      <c r="G811" s="607" t="str">
        <f ca="1">IF(OR(INDIRECT("'update Helper'!E"&amp;Q811)="",F811&lt;&gt;0,F812&lt;&gt;0),IF(IFERROR((F811/F812),"")="","",(F811/F812)),INDIRECT("'update Helper'!E"&amp;Q811)/100)</f>
        <v/>
      </c>
      <c r="H811" s="597"/>
      <c r="I811" s="599"/>
      <c r="J811" s="531"/>
      <c r="K811" s="130">
        <f>IF(AND(EXACT(C811,C809),C809&lt;&gt;0),K809+1,0)</f>
        <v>15</v>
      </c>
      <c r="L811" s="130" t="str">
        <f t="shared" ref="L811" si="983">IF(C811&lt;&gt;"",C811&amp;"-"&amp;K811,"")</f>
        <v>KP-6a Number of MSM who received any PrEP product at least once during the reporting period-15</v>
      </c>
      <c r="M811" s="130" t="str">
        <f t="array" ref="M811">IFERROR(IF(INDEX('Disaggregation Records'!$E$152:$E$513,MATCH(RIGHT(L811,255),RIGHT('Disaggregation Records'!$D$152:$D$513,255),0))="","",INDEX('Disaggregation Records'!$E$152:$E$513,MATCH(RIGHT(L811,255),RIGHT('Disaggregation Records'!$D$152:$D$513,255),0))),"")</f>
        <v/>
      </c>
      <c r="N811" s="130" t="str">
        <f t="array" ref="N811">IFERROR(IF(INDEX('Disaggregation Records'!$F$152:$F$513,MATCH(RIGHT(L811,255),RIGHT('Disaggregation Records'!$D$152:$D$513,255),0))="","",INDEX('Disaggregation Records'!$F$152:$F$513,MATCH(RIGHT(L811,255),RIGHT('Disaggregation Records'!$D$152:$D$513,255),0))),"")</f>
        <v/>
      </c>
      <c r="O811" s="130" t="str">
        <f t="array" ref="O811">IFERROR(IF(INDEX('Disaggregation Records'!$H$152:$H$513,MATCH(RIGHT(L811,255),RIGHT('Disaggregation Records'!$D$152:$D$513,255),0))="","",INDEX('Disaggregation Records'!$H$152:$H$513,MATCH(RIGHT(L811,255),RIGHT('Disaggregation Records'!$D$152:$D$513,255),0))),"")</f>
        <v/>
      </c>
      <c r="P811" s="130"/>
      <c r="Q811" s="52">
        <f t="shared" ref="Q811" si="984">Q809+1</f>
        <v>1590</v>
      </c>
    </row>
    <row r="812" spans="1:17" ht="20.100000000000001" customHeight="1" x14ac:dyDescent="0.25">
      <c r="B812" s="602"/>
      <c r="C812" s="604"/>
      <c r="D812" s="606"/>
      <c r="E812" s="606"/>
      <c r="F812" s="132"/>
      <c r="G812" s="608"/>
      <c r="H812" s="598"/>
      <c r="I812" s="600"/>
      <c r="J812" s="532"/>
      <c r="K812" s="130"/>
      <c r="L812" s="130"/>
      <c r="M812" s="130"/>
      <c r="N812" s="130"/>
      <c r="O812" s="130"/>
      <c r="P812" s="130"/>
    </row>
    <row r="813" spans="1:17" ht="20.100000000000001" customHeight="1" x14ac:dyDescent="0.25">
      <c r="A813" s="130" t="str">
        <f t="shared" ca="1" si="923"/>
        <v>a16Dm000000LZb4IAG</v>
      </c>
      <c r="B813" s="601">
        <v>5</v>
      </c>
      <c r="C813" s="603" t="str">
        <f>IFERROR(VLOOKUP(B813,'Coverage Indicators - Section D'!$A$9:$AO$70,41,FALSE),"")</f>
        <v>KP-6a Number of MSM who received any PrEP product at least once during the reporting period</v>
      </c>
      <c r="D813" s="605" t="str">
        <f>M813</f>
        <v/>
      </c>
      <c r="E813" s="605" t="str">
        <f>N813</f>
        <v/>
      </c>
      <c r="F813" s="131"/>
      <c r="G813" s="607" t="str">
        <f ca="1">IF(OR(INDIRECT("'update Helper'!E"&amp;Q813)="",F813&lt;&gt;0,F814&lt;&gt;0),IF(IFERROR((F813/F814),"")="","",(F813/F814)),INDIRECT("'update Helper'!E"&amp;Q813)/100)</f>
        <v/>
      </c>
      <c r="H813" s="597"/>
      <c r="I813" s="599"/>
      <c r="J813" s="531"/>
      <c r="K813" s="130">
        <f>IF(AND(EXACT(C813,C811),C811&lt;&gt;0),K811+1,0)</f>
        <v>16</v>
      </c>
      <c r="L813" s="130" t="str">
        <f t="shared" ref="L813" si="985">IF(C813&lt;&gt;"",C813&amp;"-"&amp;K813,"")</f>
        <v>KP-6a Number of MSM who received any PrEP product at least once during the reporting period-16</v>
      </c>
      <c r="M813" s="130" t="str">
        <f t="array" ref="M813">IFERROR(IF(INDEX('Disaggregation Records'!$E$152:$E$513,MATCH(RIGHT(L813,255),RIGHT('Disaggregation Records'!$D$152:$D$513,255),0))="","",INDEX('Disaggregation Records'!$E$152:$E$513,MATCH(RIGHT(L813,255),RIGHT('Disaggregation Records'!$D$152:$D$513,255),0))),"")</f>
        <v/>
      </c>
      <c r="N813" s="130" t="str">
        <f t="array" ref="N813">IFERROR(IF(INDEX('Disaggregation Records'!$F$152:$F$513,MATCH(RIGHT(L813,255),RIGHT('Disaggregation Records'!$D$152:$D$513,255),0))="","",INDEX('Disaggregation Records'!$F$152:$F$513,MATCH(RIGHT(L813,255),RIGHT('Disaggregation Records'!$D$152:$D$513,255),0))),"")</f>
        <v/>
      </c>
      <c r="O813" s="130" t="str">
        <f t="array" ref="O813">IFERROR(IF(INDEX('Disaggregation Records'!$H$152:$H$513,MATCH(RIGHT(L813,255),RIGHT('Disaggregation Records'!$D$152:$D$513,255),0))="","",INDEX('Disaggregation Records'!$H$152:$H$513,MATCH(RIGHT(L813,255),RIGHT('Disaggregation Records'!$D$152:$D$513,255),0))),"")</f>
        <v/>
      </c>
      <c r="P813" s="130"/>
      <c r="Q813" s="52">
        <f t="shared" ref="Q813" si="986">Q811+1</f>
        <v>1591</v>
      </c>
    </row>
    <row r="814" spans="1:17" ht="20.100000000000001" customHeight="1" x14ac:dyDescent="0.25">
      <c r="A814" s="130"/>
      <c r="B814" s="602"/>
      <c r="C814" s="604"/>
      <c r="D814" s="606"/>
      <c r="E814" s="606"/>
      <c r="F814" s="132"/>
      <c r="G814" s="608"/>
      <c r="H814" s="598"/>
      <c r="I814" s="600"/>
      <c r="J814" s="532"/>
      <c r="K814" s="130"/>
      <c r="L814" s="130"/>
      <c r="M814" s="130"/>
      <c r="N814" s="130"/>
      <c r="O814" s="130"/>
      <c r="P814" s="130"/>
    </row>
    <row r="815" spans="1:17" ht="20.100000000000001" customHeight="1" x14ac:dyDescent="0.25">
      <c r="A815" s="130" t="str">
        <f t="shared" ca="1" si="926"/>
        <v>a16Dm000000LZb5IAG</v>
      </c>
      <c r="B815" s="601">
        <v>5</v>
      </c>
      <c r="C815" s="603" t="str">
        <f>IFERROR(VLOOKUP(B815,'Coverage Indicators - Section D'!$A$9:$AO$70,41,FALSE),"")</f>
        <v>KP-6a Number of MSM who received any PrEP product at least once during the reporting period</v>
      </c>
      <c r="D815" s="605" t="str">
        <f>M815</f>
        <v/>
      </c>
      <c r="E815" s="605" t="str">
        <f>N815</f>
        <v/>
      </c>
      <c r="F815" s="131"/>
      <c r="G815" s="607" t="str">
        <f ca="1">IF(OR(INDIRECT("'update Helper'!E"&amp;Q815)="",F815&lt;&gt;0,F816&lt;&gt;0),IF(IFERROR((F815/F816),"")="","",(F815/F816)),INDIRECT("'update Helper'!E"&amp;Q815)/100)</f>
        <v/>
      </c>
      <c r="H815" s="597"/>
      <c r="I815" s="599"/>
      <c r="J815" s="531"/>
      <c r="K815" s="130">
        <f>IF(AND(EXACT(C815,C813),C813&lt;&gt;0),K813+1,0)</f>
        <v>17</v>
      </c>
      <c r="L815" s="130" t="str">
        <f t="shared" ref="L815" si="987">IF(C815&lt;&gt;"",C815&amp;"-"&amp;K815,"")</f>
        <v>KP-6a Number of MSM who received any PrEP product at least once during the reporting period-17</v>
      </c>
      <c r="M815" s="130" t="str">
        <f t="array" ref="M815">IFERROR(IF(INDEX('Disaggregation Records'!$E$152:$E$513,MATCH(RIGHT(L815,255),RIGHT('Disaggregation Records'!$D$152:$D$513,255),0))="","",INDEX('Disaggregation Records'!$E$152:$E$513,MATCH(RIGHT(L815,255),RIGHT('Disaggregation Records'!$D$152:$D$513,255),0))),"")</f>
        <v/>
      </c>
      <c r="N815" s="130" t="str">
        <f t="array" ref="N815">IFERROR(IF(INDEX('Disaggregation Records'!$F$152:$F$513,MATCH(RIGHT(L815,255),RIGHT('Disaggregation Records'!$D$152:$D$513,255),0))="","",INDEX('Disaggregation Records'!$F$152:$F$513,MATCH(RIGHT(L815,255),RIGHT('Disaggregation Records'!$D$152:$D$513,255),0))),"")</f>
        <v/>
      </c>
      <c r="O815" s="130" t="str">
        <f t="array" ref="O815">IFERROR(IF(INDEX('Disaggregation Records'!$H$152:$H$513,MATCH(RIGHT(L815,255),RIGHT('Disaggregation Records'!$D$152:$D$513,255),0))="","",INDEX('Disaggregation Records'!$H$152:$H$513,MATCH(RIGHT(L815,255),RIGHT('Disaggregation Records'!$D$152:$D$513,255),0))),"")</f>
        <v/>
      </c>
      <c r="Q815" s="52">
        <f t="shared" ref="Q815" si="988">Q813+1</f>
        <v>1592</v>
      </c>
    </row>
    <row r="816" spans="1:17" ht="20.100000000000001" customHeight="1" x14ac:dyDescent="0.25">
      <c r="B816" s="602"/>
      <c r="C816" s="604"/>
      <c r="D816" s="606"/>
      <c r="E816" s="606"/>
      <c r="F816" s="132"/>
      <c r="G816" s="608"/>
      <c r="H816" s="598"/>
      <c r="I816" s="600"/>
      <c r="J816" s="532"/>
      <c r="L816" s="130"/>
      <c r="N816" s="130"/>
      <c r="O816" s="130"/>
    </row>
    <row r="817" spans="1:17" ht="20.100000000000001" customHeight="1" x14ac:dyDescent="0.25">
      <c r="A817" s="130" t="str">
        <f t="shared" ref="A817:A877" ca="1" si="989">INDIRECT("'update Helper'!C"&amp;Q817)</f>
        <v>a16Dm000000LZb6IAG</v>
      </c>
      <c r="B817" s="601">
        <v>5</v>
      </c>
      <c r="C817" s="603" t="str">
        <f>IFERROR(VLOOKUP(B817,'Coverage Indicators - Section D'!$A$9:$AO$70,41,FALSE),"")</f>
        <v>KP-6a Number of MSM who received any PrEP product at least once during the reporting period</v>
      </c>
      <c r="D817" s="605" t="str">
        <f>M817</f>
        <v/>
      </c>
      <c r="E817" s="605" t="str">
        <f>N817</f>
        <v/>
      </c>
      <c r="F817" s="131"/>
      <c r="G817" s="607" t="str">
        <f ca="1">IF(OR(INDIRECT("'update Helper'!E"&amp;Q817)="",F817&lt;&gt;0,F818&lt;&gt;0),IF(IFERROR((F817/F818),"")="","",(F817/F818)),INDIRECT("'update Helper'!E"&amp;Q817)/100)</f>
        <v/>
      </c>
      <c r="H817" s="597"/>
      <c r="I817" s="599"/>
      <c r="J817" s="531"/>
      <c r="K817" s="130">
        <f>IF(AND(EXACT(C817,C815),C815&lt;&gt;0),K815+1,0)</f>
        <v>18</v>
      </c>
      <c r="L817" s="130" t="str">
        <f t="shared" ref="L817" si="990">IF(C817&lt;&gt;"",C817&amp;"-"&amp;K817,"")</f>
        <v>KP-6a Number of MSM who received any PrEP product at least once during the reporting period-18</v>
      </c>
      <c r="M817" s="130" t="str">
        <f t="array" ref="M817">IFERROR(IF(INDEX('Disaggregation Records'!$E$152:$E$513,MATCH(RIGHT(L817,255),RIGHT('Disaggregation Records'!$D$152:$D$513,255),0))="","",INDEX('Disaggregation Records'!$E$152:$E$513,MATCH(RIGHT(L817,255),RIGHT('Disaggregation Records'!$D$152:$D$513,255),0))),"")</f>
        <v/>
      </c>
      <c r="N817" s="130" t="str">
        <f t="array" ref="N817">IFERROR(IF(INDEX('Disaggregation Records'!$F$152:$F$513,MATCH(RIGHT(L817,255),RIGHT('Disaggregation Records'!$D$152:$D$513,255),0))="","",INDEX('Disaggregation Records'!$F$152:$F$513,MATCH(RIGHT(L817,255),RIGHT('Disaggregation Records'!$D$152:$D$513,255),0))),"")</f>
        <v/>
      </c>
      <c r="O817" s="130" t="str">
        <f t="array" ref="O817">IFERROR(IF(INDEX('Disaggregation Records'!$H$152:$H$513,MATCH(RIGHT(L817,255),RIGHT('Disaggregation Records'!$D$152:$D$513,255),0))="","",INDEX('Disaggregation Records'!$H$152:$H$513,MATCH(RIGHT(L817,255),RIGHT('Disaggregation Records'!$D$152:$D$513,255),0))),"")</f>
        <v/>
      </c>
      <c r="Q817" s="52">
        <f t="shared" ref="Q817" si="991">Q815+1</f>
        <v>1593</v>
      </c>
    </row>
    <row r="818" spans="1:17" ht="20.100000000000001" customHeight="1" x14ac:dyDescent="0.25">
      <c r="A818" s="130"/>
      <c r="B818" s="602"/>
      <c r="C818" s="604"/>
      <c r="D818" s="606"/>
      <c r="E818" s="606"/>
      <c r="F818" s="132"/>
      <c r="G818" s="608"/>
      <c r="H818" s="598"/>
      <c r="I818" s="600"/>
      <c r="J818" s="532"/>
      <c r="L818" s="130"/>
      <c r="N818" s="130"/>
      <c r="O818" s="130"/>
    </row>
    <row r="819" spans="1:17" ht="20.100000000000001" customHeight="1" x14ac:dyDescent="0.25">
      <c r="A819" s="130" t="str">
        <f t="shared" ref="A819:A879" ca="1" si="992">INDIRECT("'update Helper'!C"&amp;Q819)</f>
        <v>a16Dm000000LZb7IAG</v>
      </c>
      <c r="B819" s="601">
        <v>5</v>
      </c>
      <c r="C819" s="603" t="str">
        <f>IFERROR(VLOOKUP(B819,'Coverage Indicators - Section D'!$A$9:$AO$70,41,FALSE),"")</f>
        <v>KP-6a Number of MSM who received any PrEP product at least once during the reporting period</v>
      </c>
      <c r="D819" s="605" t="str">
        <f>M819</f>
        <v/>
      </c>
      <c r="E819" s="605" t="str">
        <f>N819</f>
        <v/>
      </c>
      <c r="F819" s="131"/>
      <c r="G819" s="607" t="str">
        <f ca="1">IF(OR(INDIRECT("'update Helper'!E"&amp;Q819)="",F819&lt;&gt;0,F820&lt;&gt;0),IF(IFERROR((F819/F820),"")="","",(F819/F820)),INDIRECT("'update Helper'!E"&amp;Q819)/100)</f>
        <v/>
      </c>
      <c r="H819" s="597"/>
      <c r="I819" s="599"/>
      <c r="J819" s="531"/>
      <c r="K819" s="130">
        <f>IF(AND(EXACT(C819,C817),C817&lt;&gt;0),K817+1,0)</f>
        <v>19</v>
      </c>
      <c r="L819" s="130" t="str">
        <f t="shared" ref="L819" si="993">IF(C819&lt;&gt;"",C819&amp;"-"&amp;K819,"")</f>
        <v>KP-6a Number of MSM who received any PrEP product at least once during the reporting period-19</v>
      </c>
      <c r="M819" s="130" t="str">
        <f t="array" ref="M819">IFERROR(IF(INDEX('Disaggregation Records'!$E$152:$E$513,MATCH(RIGHT(L819,255),RIGHT('Disaggregation Records'!$D$152:$D$513,255),0))="","",INDEX('Disaggregation Records'!$E$152:$E$513,MATCH(RIGHT(L819,255),RIGHT('Disaggregation Records'!$D$152:$D$513,255),0))),"")</f>
        <v/>
      </c>
      <c r="N819" s="130" t="str">
        <f t="array" ref="N819">IFERROR(IF(INDEX('Disaggregation Records'!$F$152:$F$513,MATCH(RIGHT(L819,255),RIGHT('Disaggregation Records'!$D$152:$D$513,255),0))="","",INDEX('Disaggregation Records'!$F$152:$F$513,MATCH(RIGHT(L819,255),RIGHT('Disaggregation Records'!$D$152:$D$513,255),0))),"")</f>
        <v/>
      </c>
      <c r="O819" s="130" t="str">
        <f t="array" ref="O819">IFERROR(IF(INDEX('Disaggregation Records'!$H$152:$H$513,MATCH(RIGHT(L819,255),RIGHT('Disaggregation Records'!$D$152:$D$513,255),0))="","",INDEX('Disaggregation Records'!$H$152:$H$513,MATCH(RIGHT(L819,255),RIGHT('Disaggregation Records'!$D$152:$D$513,255),0))),"")</f>
        <v/>
      </c>
      <c r="Q819" s="52">
        <f t="shared" ref="Q819" si="994">Q817+1</f>
        <v>1594</v>
      </c>
    </row>
    <row r="820" spans="1:17" ht="20.100000000000001" customHeight="1" x14ac:dyDescent="0.25">
      <c r="B820" s="602"/>
      <c r="C820" s="604"/>
      <c r="D820" s="606"/>
      <c r="E820" s="606"/>
      <c r="F820" s="132"/>
      <c r="G820" s="608"/>
      <c r="H820" s="598"/>
      <c r="I820" s="600"/>
      <c r="J820" s="532"/>
      <c r="L820" s="130"/>
      <c r="N820" s="130"/>
      <c r="O820" s="130"/>
    </row>
    <row r="821" spans="1:17" ht="20.100000000000001" customHeight="1" x14ac:dyDescent="0.25">
      <c r="A821" s="130" t="str">
        <f t="shared" ca="1" si="989"/>
        <v>a16Dm000000LZb8IAG</v>
      </c>
      <c r="B821" s="601">
        <v>6</v>
      </c>
      <c r="C821" s="603" t="str">
        <f>IFERROR(VLOOKUP(B821,'Coverage Indicators - Section D'!$A$9:$AO$70,41,FALSE),"")</f>
        <v>HTS-3a⁽ᴹ⁾ Percentage of MSM that have received an HIV test during the reporting period in KP-specific programs and know their results</v>
      </c>
      <c r="D821" s="605" t="str">
        <f>M821</f>
        <v>Age</v>
      </c>
      <c r="E821" s="605" t="str">
        <f>N821</f>
        <v>25+</v>
      </c>
      <c r="F821" s="131">
        <v>7569</v>
      </c>
      <c r="G821" s="607" t="str">
        <f ca="1">IF(OR(INDIRECT("'update Helper'!E"&amp;Q821)="",F821&lt;&gt;0,F822&lt;&gt;0),IF(IFERROR((F821/F822),"")="","",(F821/F822)),INDIRECT("'update Helper'!E"&amp;Q821)/100)</f>
        <v/>
      </c>
      <c r="H821" s="597">
        <v>2022</v>
      </c>
      <c r="I821" s="599" t="s">
        <v>2239</v>
      </c>
      <c r="J821" s="531" t="s">
        <v>2240</v>
      </c>
      <c r="K821" s="130">
        <f>IF(AND(EXACT(C821,C819),C819&lt;&gt;0),K819+1,0)</f>
        <v>0</v>
      </c>
      <c r="L821" s="130" t="str">
        <f t="shared" ref="L821" si="995">IF(C821&lt;&gt;"",C821&amp;"-"&amp;K821,"")</f>
        <v>HTS-3a⁽ᴹ⁾ Percentage of MSM that have received an HIV test during the reporting period in KP-specific programs and know their results-0</v>
      </c>
      <c r="M821" s="130" t="str">
        <f t="array" ref="M821">IFERROR(IF(INDEX('Disaggregation Records'!$E$152:$E$513,MATCH(RIGHT(L821,255),RIGHT('Disaggregation Records'!$D$152:$D$513,255),0))="","",INDEX('Disaggregation Records'!$E$152:$E$513,MATCH(RIGHT(L821,255),RIGHT('Disaggregation Records'!$D$152:$D$513,255),0))),"")</f>
        <v>Age</v>
      </c>
      <c r="N821" s="130" t="str">
        <f t="array" ref="N821">IFERROR(IF(INDEX('Disaggregation Records'!$F$152:$F$513,MATCH(RIGHT(L821,255),RIGHT('Disaggregation Records'!$D$152:$D$513,255),0))="","",INDEX('Disaggregation Records'!$F$152:$F$513,MATCH(RIGHT(L821,255),RIGHT('Disaggregation Records'!$D$152:$D$513,255),0))),"")</f>
        <v>25+</v>
      </c>
      <c r="O821" s="130" t="str">
        <f t="array" ref="O821">IFERROR(IF(INDEX('Disaggregation Records'!$H$152:$H$513,MATCH(RIGHT(L821,255),RIGHT('Disaggregation Records'!$D$152:$D$513,255),0))="","",INDEX('Disaggregation Records'!$H$152:$H$513,MATCH(RIGHT(L821,255),RIGHT('Disaggregation Records'!$D$152:$D$513,255),0))),"")</f>
        <v>IDR-01270</v>
      </c>
      <c r="P821" s="130"/>
      <c r="Q821" s="52">
        <f t="shared" ref="Q821" si="996">Q819+1</f>
        <v>1595</v>
      </c>
    </row>
    <row r="822" spans="1:17" ht="35.25" customHeight="1" x14ac:dyDescent="0.25">
      <c r="A822" s="130"/>
      <c r="B822" s="602"/>
      <c r="C822" s="604"/>
      <c r="D822" s="606"/>
      <c r="E822" s="606"/>
      <c r="F822" s="132"/>
      <c r="G822" s="608"/>
      <c r="H822" s="598"/>
      <c r="I822" s="600"/>
      <c r="J822" s="532"/>
      <c r="K822" s="130"/>
      <c r="L822" s="130"/>
      <c r="M822" s="130"/>
      <c r="N822" s="130"/>
      <c r="O822" s="130"/>
      <c r="P822" s="130"/>
    </row>
    <row r="823" spans="1:17" ht="28.5" customHeight="1" x14ac:dyDescent="0.25">
      <c r="A823" s="130" t="str">
        <f t="shared" ca="1" si="992"/>
        <v>a16Dm000000LZb9IAG</v>
      </c>
      <c r="B823" s="601">
        <v>6</v>
      </c>
      <c r="C823" s="603" t="str">
        <f>IFERROR(VLOOKUP(B823,'Coverage Indicators - Section D'!$A$9:$AO$70,41,FALSE),"")</f>
        <v>HTS-3a⁽ᴹ⁾ Percentage of MSM that have received an HIV test during the reporting period in KP-specific programs and know their results</v>
      </c>
      <c r="D823" s="605" t="str">
        <f>M823</f>
        <v>Age</v>
      </c>
      <c r="E823" s="605" t="str">
        <f>N823</f>
        <v>20-24</v>
      </c>
      <c r="F823" s="131">
        <v>2482</v>
      </c>
      <c r="G823" s="607" t="str">
        <f ca="1">IF(OR(INDIRECT("'update Helper'!E"&amp;Q823)="",F823&lt;&gt;0,F824&lt;&gt;0),IF(IFERROR((F823/F824),"")="","",(F823/F824)),INDIRECT("'update Helper'!E"&amp;Q823)/100)</f>
        <v/>
      </c>
      <c r="H823" s="597">
        <v>2022</v>
      </c>
      <c r="I823" s="599" t="s">
        <v>2239</v>
      </c>
      <c r="J823" s="531" t="s">
        <v>2240</v>
      </c>
      <c r="K823" s="130">
        <f>IF(AND(EXACT(C823,C821),C821&lt;&gt;0),K821+1,0)</f>
        <v>1</v>
      </c>
      <c r="L823" s="130" t="str">
        <f t="shared" ref="L823" si="997">IF(C823&lt;&gt;"",C823&amp;"-"&amp;K823,"")</f>
        <v>HTS-3a⁽ᴹ⁾ Percentage of MSM that have received an HIV test during the reporting period in KP-specific programs and know their results-1</v>
      </c>
      <c r="M823" s="130" t="str">
        <f t="array" ref="M823">IFERROR(IF(INDEX('Disaggregation Records'!$E$152:$E$513,MATCH(RIGHT(L823,255),RIGHT('Disaggregation Records'!$D$152:$D$513,255),0))="","",INDEX('Disaggregation Records'!$E$152:$E$513,MATCH(RIGHT(L823,255),RIGHT('Disaggregation Records'!$D$152:$D$513,255),0))),"")</f>
        <v>Age</v>
      </c>
      <c r="N823" s="130" t="str">
        <f t="array" ref="N823">IFERROR(IF(INDEX('Disaggregation Records'!$F$152:$F$513,MATCH(RIGHT(L823,255),RIGHT('Disaggregation Records'!$D$152:$D$513,255),0))="","",INDEX('Disaggregation Records'!$F$152:$F$513,MATCH(RIGHT(L823,255),RIGHT('Disaggregation Records'!$D$152:$D$513,255),0))),"")</f>
        <v>20-24</v>
      </c>
      <c r="O823" s="130" t="str">
        <f t="array" ref="O823">IFERROR(IF(INDEX('Disaggregation Records'!$H$152:$H$513,MATCH(RIGHT(L823,255),RIGHT('Disaggregation Records'!$D$152:$D$513,255),0))="","",INDEX('Disaggregation Records'!$H$152:$H$513,MATCH(RIGHT(L823,255),RIGHT('Disaggregation Records'!$D$152:$D$513,255),0))),"")</f>
        <v>IDR-01269</v>
      </c>
      <c r="P823" s="130"/>
      <c r="Q823" s="52">
        <f t="shared" ref="Q823" si="998">Q821+1</f>
        <v>1596</v>
      </c>
    </row>
    <row r="824" spans="1:17" ht="27.75" customHeight="1" x14ac:dyDescent="0.25">
      <c r="B824" s="602"/>
      <c r="C824" s="604"/>
      <c r="D824" s="606"/>
      <c r="E824" s="606"/>
      <c r="F824" s="132"/>
      <c r="G824" s="608"/>
      <c r="H824" s="598"/>
      <c r="I824" s="600"/>
      <c r="J824" s="532"/>
      <c r="K824" s="130"/>
      <c r="L824" s="130"/>
      <c r="M824" s="130"/>
      <c r="N824" s="130"/>
      <c r="O824" s="130"/>
      <c r="P824" s="130"/>
    </row>
    <row r="825" spans="1:17" ht="20.100000000000001" customHeight="1" x14ac:dyDescent="0.25">
      <c r="A825" s="130" t="str">
        <f t="shared" ca="1" si="989"/>
        <v>a16Dm000000LZbAIAW</v>
      </c>
      <c r="B825" s="601">
        <v>6</v>
      </c>
      <c r="C825" s="603" t="str">
        <f>IFERROR(VLOOKUP(B825,'Coverage Indicators - Section D'!$A$9:$AO$70,41,FALSE),"")</f>
        <v>HTS-3a⁽ᴹ⁾ Percentage of MSM that have received an HIV test during the reporting period in KP-specific programs and know their results</v>
      </c>
      <c r="D825" s="605" t="str">
        <f>M825</f>
        <v>Age</v>
      </c>
      <c r="E825" s="605" t="str">
        <f>N825</f>
        <v>15-19</v>
      </c>
      <c r="F825" s="131">
        <v>257</v>
      </c>
      <c r="G825" s="607" t="str">
        <f ca="1">IF(OR(INDIRECT("'update Helper'!E"&amp;Q825)="",F825&lt;&gt;0,F826&lt;&gt;0),IF(IFERROR((F825/F826),"")="","",(F825/F826)),INDIRECT("'update Helper'!E"&amp;Q825)/100)</f>
        <v/>
      </c>
      <c r="H825" s="597">
        <v>2022</v>
      </c>
      <c r="I825" s="599" t="s">
        <v>2239</v>
      </c>
      <c r="J825" s="531" t="s">
        <v>2240</v>
      </c>
      <c r="K825" s="130">
        <f>IF(AND(EXACT(C825,C823),C823&lt;&gt;0),K823+1,0)</f>
        <v>2</v>
      </c>
      <c r="L825" s="130" t="str">
        <f t="shared" ref="L825" si="999">IF(C825&lt;&gt;"",C825&amp;"-"&amp;K825,"")</f>
        <v>HTS-3a⁽ᴹ⁾ Percentage of MSM that have received an HIV test during the reporting period in KP-specific programs and know their results-2</v>
      </c>
      <c r="M825" s="130" t="str">
        <f t="array" ref="M825">IFERROR(IF(INDEX('Disaggregation Records'!$E$152:$E$513,MATCH(RIGHT(L825,255),RIGHT('Disaggregation Records'!$D$152:$D$513,255),0))="","",INDEX('Disaggregation Records'!$E$152:$E$513,MATCH(RIGHT(L825,255),RIGHT('Disaggregation Records'!$D$152:$D$513,255),0))),"")</f>
        <v>Age</v>
      </c>
      <c r="N825" s="130" t="str">
        <f t="array" ref="N825">IFERROR(IF(INDEX('Disaggregation Records'!$F$152:$F$513,MATCH(RIGHT(L825,255),RIGHT('Disaggregation Records'!$D$152:$D$513,255),0))="","",INDEX('Disaggregation Records'!$F$152:$F$513,MATCH(RIGHT(L825,255),RIGHT('Disaggregation Records'!$D$152:$D$513,255),0))),"")</f>
        <v>15-19</v>
      </c>
      <c r="O825" s="130" t="str">
        <f t="array" ref="O825">IFERROR(IF(INDEX('Disaggregation Records'!$H$152:$H$513,MATCH(RIGHT(L825,255),RIGHT('Disaggregation Records'!$D$152:$D$513,255),0))="","",INDEX('Disaggregation Records'!$H$152:$H$513,MATCH(RIGHT(L825,255),RIGHT('Disaggregation Records'!$D$152:$D$513,255),0))),"")</f>
        <v>IDR-01268</v>
      </c>
      <c r="Q825" s="52">
        <f t="shared" ref="Q825" si="1000">Q823+1</f>
        <v>1597</v>
      </c>
    </row>
    <row r="826" spans="1:17" ht="30.75" customHeight="1" x14ac:dyDescent="0.25">
      <c r="A826" s="130"/>
      <c r="B826" s="602"/>
      <c r="C826" s="604"/>
      <c r="D826" s="606"/>
      <c r="E826" s="606"/>
      <c r="F826" s="132"/>
      <c r="G826" s="608"/>
      <c r="H826" s="598"/>
      <c r="I826" s="600"/>
      <c r="J826" s="532"/>
      <c r="L826" s="130"/>
      <c r="N826" s="130"/>
      <c r="O826" s="130"/>
    </row>
    <row r="827" spans="1:17" ht="20.100000000000001" customHeight="1" x14ac:dyDescent="0.25">
      <c r="A827" s="130" t="str">
        <f t="shared" ca="1" si="992"/>
        <v>a16Dm000000LZbBIAW</v>
      </c>
      <c r="B827" s="601">
        <v>6</v>
      </c>
      <c r="C827" s="603" t="str">
        <f>IFERROR(VLOOKUP(B827,'Coverage Indicators - Section D'!$A$9:$AO$70,41,FALSE),"")</f>
        <v>HTS-3a⁽ᴹ⁾ Percentage of MSM that have received an HIV test during the reporting period in KP-specific programs and know their results</v>
      </c>
      <c r="D827" s="605" t="str">
        <f>M827</f>
        <v/>
      </c>
      <c r="E827" s="605" t="str">
        <f>N827</f>
        <v/>
      </c>
      <c r="F827" s="131"/>
      <c r="G827" s="607" t="str">
        <f ca="1">IF(OR(INDIRECT("'update Helper'!E"&amp;Q827)="",F827&lt;&gt;0,F828&lt;&gt;0),IF(IFERROR((F827/F828),"")="","",(F827/F828)),INDIRECT("'update Helper'!E"&amp;Q827)/100)</f>
        <v/>
      </c>
      <c r="H827" s="597"/>
      <c r="I827" s="599"/>
      <c r="J827" s="531"/>
      <c r="K827" s="130">
        <f>IF(AND(EXACT(C827,C825),C825&lt;&gt;0),K825+1,0)</f>
        <v>3</v>
      </c>
      <c r="L827" s="130" t="str">
        <f t="shared" ref="L827" si="1001">IF(C827&lt;&gt;"",C827&amp;"-"&amp;K827,"")</f>
        <v>HTS-3a⁽ᴹ⁾ Percentage of MSM that have received an HIV test during the reporting period in KP-specific programs and know their results-3</v>
      </c>
      <c r="M827" s="130" t="str">
        <f t="array" ref="M827">IFERROR(IF(INDEX('Disaggregation Records'!$E$152:$E$513,MATCH(RIGHT(L827,255),RIGHT('Disaggregation Records'!$D$152:$D$513,255),0))="","",INDEX('Disaggregation Records'!$E$152:$E$513,MATCH(RIGHT(L827,255),RIGHT('Disaggregation Records'!$D$152:$D$513,255),0))),"")</f>
        <v/>
      </c>
      <c r="N827" s="130" t="str">
        <f t="array" ref="N827">IFERROR(IF(INDEX('Disaggregation Records'!$F$152:$F$513,MATCH(RIGHT(L827,255),RIGHT('Disaggregation Records'!$D$152:$D$513,255),0))="","",INDEX('Disaggregation Records'!$F$152:$F$513,MATCH(RIGHT(L827,255),RIGHT('Disaggregation Records'!$D$152:$D$513,255),0))),"")</f>
        <v/>
      </c>
      <c r="O827" s="130" t="str">
        <f t="array" ref="O827">IFERROR(IF(INDEX('Disaggregation Records'!$H$152:$H$513,MATCH(RIGHT(L827,255),RIGHT('Disaggregation Records'!$D$152:$D$513,255),0))="","",INDEX('Disaggregation Records'!$H$152:$H$513,MATCH(RIGHT(L827,255),RIGHT('Disaggregation Records'!$D$152:$D$513,255),0))),"")</f>
        <v/>
      </c>
      <c r="Q827" s="52">
        <f t="shared" ref="Q827" si="1002">Q825+1</f>
        <v>1598</v>
      </c>
    </row>
    <row r="828" spans="1:17" ht="20.100000000000001" customHeight="1" x14ac:dyDescent="0.25">
      <c r="B828" s="602"/>
      <c r="C828" s="604"/>
      <c r="D828" s="606"/>
      <c r="E828" s="606"/>
      <c r="F828" s="132"/>
      <c r="G828" s="608"/>
      <c r="H828" s="598"/>
      <c r="I828" s="600"/>
      <c r="J828" s="532"/>
      <c r="L828" s="130"/>
      <c r="N828" s="130"/>
      <c r="O828" s="130"/>
    </row>
    <row r="829" spans="1:17" ht="20.100000000000001" customHeight="1" x14ac:dyDescent="0.25">
      <c r="A829" s="130" t="str">
        <f t="shared" ca="1" si="989"/>
        <v>a16Dm000000LZbCIAW</v>
      </c>
      <c r="B829" s="601">
        <v>6</v>
      </c>
      <c r="C829" s="603" t="str">
        <f>IFERROR(VLOOKUP(B829,'Coverage Indicators - Section D'!$A$9:$AO$70,41,FALSE),"")</f>
        <v>HTS-3a⁽ᴹ⁾ Percentage of MSM that have received an HIV test during the reporting period in KP-specific programs and know their results</v>
      </c>
      <c r="D829" s="605" t="str">
        <f>M829</f>
        <v/>
      </c>
      <c r="E829" s="605" t="str">
        <f>N829</f>
        <v/>
      </c>
      <c r="F829" s="131"/>
      <c r="G829" s="607" t="str">
        <f ca="1">IF(OR(INDIRECT("'update Helper'!E"&amp;Q829)="",F829&lt;&gt;0,F830&lt;&gt;0),IF(IFERROR((F829/F830),"")="","",(F829/F830)),INDIRECT("'update Helper'!E"&amp;Q829)/100)</f>
        <v/>
      </c>
      <c r="H829" s="597"/>
      <c r="I829" s="599"/>
      <c r="J829" s="531"/>
      <c r="K829" s="130">
        <f>IF(AND(EXACT(C829,C827),C827&lt;&gt;0),K827+1,0)</f>
        <v>4</v>
      </c>
      <c r="L829" s="130" t="str">
        <f t="shared" ref="L829" si="1003">IF(C829&lt;&gt;"",C829&amp;"-"&amp;K829,"")</f>
        <v>HTS-3a⁽ᴹ⁾ Percentage of MSM that have received an HIV test during the reporting period in KP-specific programs and know their results-4</v>
      </c>
      <c r="M829" s="130" t="str">
        <f t="array" ref="M829">IFERROR(IF(INDEX('Disaggregation Records'!$E$152:$E$513,MATCH(RIGHT(L829,255),RIGHT('Disaggregation Records'!$D$152:$D$513,255),0))="","",INDEX('Disaggregation Records'!$E$152:$E$513,MATCH(RIGHT(L829,255),RIGHT('Disaggregation Records'!$D$152:$D$513,255),0))),"")</f>
        <v/>
      </c>
      <c r="N829" s="130" t="str">
        <f t="array" ref="N829">IFERROR(IF(INDEX('Disaggregation Records'!$F$152:$F$513,MATCH(RIGHT(L829,255),RIGHT('Disaggregation Records'!$D$152:$D$513,255),0))="","",INDEX('Disaggregation Records'!$F$152:$F$513,MATCH(RIGHT(L829,255),RIGHT('Disaggregation Records'!$D$152:$D$513,255),0))),"")</f>
        <v/>
      </c>
      <c r="O829" s="130" t="str">
        <f t="array" ref="O829">IFERROR(IF(INDEX('Disaggregation Records'!$H$152:$H$513,MATCH(RIGHT(L829,255),RIGHT('Disaggregation Records'!$D$152:$D$513,255),0))="","",INDEX('Disaggregation Records'!$H$152:$H$513,MATCH(RIGHT(L829,255),RIGHT('Disaggregation Records'!$D$152:$D$513,255),0))),"")</f>
        <v/>
      </c>
      <c r="Q829" s="52">
        <f t="shared" ref="Q829" si="1004">Q827+1</f>
        <v>1599</v>
      </c>
    </row>
    <row r="830" spans="1:17" ht="20.100000000000001" customHeight="1" x14ac:dyDescent="0.25">
      <c r="A830" s="130"/>
      <c r="B830" s="602"/>
      <c r="C830" s="604"/>
      <c r="D830" s="606"/>
      <c r="E830" s="606"/>
      <c r="F830" s="132"/>
      <c r="G830" s="608"/>
      <c r="H830" s="598"/>
      <c r="I830" s="600"/>
      <c r="J830" s="532"/>
      <c r="L830" s="130"/>
      <c r="N830" s="130"/>
      <c r="O830" s="130"/>
    </row>
    <row r="831" spans="1:17" ht="20.100000000000001" customHeight="1" x14ac:dyDescent="0.25">
      <c r="A831" s="130" t="str">
        <f t="shared" ca="1" si="992"/>
        <v>a16Dm000000LZbDIAW</v>
      </c>
      <c r="B831" s="601">
        <v>6</v>
      </c>
      <c r="C831" s="603" t="str">
        <f>IFERROR(VLOOKUP(B831,'Coverage Indicators - Section D'!$A$9:$AO$70,41,FALSE),"")</f>
        <v>HTS-3a⁽ᴹ⁾ Percentage of MSM that have received an HIV test during the reporting period in KP-specific programs and know their results</v>
      </c>
      <c r="D831" s="605" t="str">
        <f>M831</f>
        <v/>
      </c>
      <c r="E831" s="605" t="str">
        <f>N831</f>
        <v/>
      </c>
      <c r="F831" s="131"/>
      <c r="G831" s="607" t="str">
        <f ca="1">IF(OR(INDIRECT("'update Helper'!E"&amp;Q831)="",F831&lt;&gt;0,F832&lt;&gt;0),IF(IFERROR((F831/F832),"")="","",(F831/F832)),INDIRECT("'update Helper'!E"&amp;Q831)/100)</f>
        <v/>
      </c>
      <c r="H831" s="597"/>
      <c r="I831" s="599"/>
      <c r="J831" s="531"/>
      <c r="K831" s="130">
        <f>IF(AND(EXACT(C831,C829),C829&lt;&gt;0),K829+1,0)</f>
        <v>5</v>
      </c>
      <c r="L831" s="130" t="str">
        <f t="shared" ref="L831" si="1005">IF(C831&lt;&gt;"",C831&amp;"-"&amp;K831,"")</f>
        <v>HTS-3a⁽ᴹ⁾ Percentage of MSM that have received an HIV test during the reporting period in KP-specific programs and know their results-5</v>
      </c>
      <c r="M831" s="130" t="str">
        <f t="array" ref="M831">IFERROR(IF(INDEX('Disaggregation Records'!$E$152:$E$513,MATCH(RIGHT(L831,255),RIGHT('Disaggregation Records'!$D$152:$D$513,255),0))="","",INDEX('Disaggregation Records'!$E$152:$E$513,MATCH(RIGHT(L831,255),RIGHT('Disaggregation Records'!$D$152:$D$513,255),0))),"")</f>
        <v/>
      </c>
      <c r="N831" s="130" t="str">
        <f t="array" ref="N831">IFERROR(IF(INDEX('Disaggregation Records'!$F$152:$F$513,MATCH(RIGHT(L831,255),RIGHT('Disaggregation Records'!$D$152:$D$513,255),0))="","",INDEX('Disaggregation Records'!$F$152:$F$513,MATCH(RIGHT(L831,255),RIGHT('Disaggregation Records'!$D$152:$D$513,255),0))),"")</f>
        <v/>
      </c>
      <c r="O831" s="130" t="str">
        <f t="array" ref="O831">IFERROR(IF(INDEX('Disaggregation Records'!$H$152:$H$513,MATCH(RIGHT(L831,255),RIGHT('Disaggregation Records'!$D$152:$D$513,255),0))="","",INDEX('Disaggregation Records'!$H$152:$H$513,MATCH(RIGHT(L831,255),RIGHT('Disaggregation Records'!$D$152:$D$513,255),0))),"")</f>
        <v/>
      </c>
      <c r="P831" s="130"/>
      <c r="Q831" s="52">
        <f t="shared" ref="Q831" si="1006">Q829+1</f>
        <v>1600</v>
      </c>
    </row>
    <row r="832" spans="1:17" ht="20.100000000000001" customHeight="1" x14ac:dyDescent="0.25">
      <c r="B832" s="602"/>
      <c r="C832" s="604"/>
      <c r="D832" s="606"/>
      <c r="E832" s="606"/>
      <c r="F832" s="132"/>
      <c r="G832" s="608"/>
      <c r="H832" s="598"/>
      <c r="I832" s="600"/>
      <c r="J832" s="532"/>
      <c r="K832" s="130"/>
      <c r="L832" s="130"/>
      <c r="M832" s="130"/>
      <c r="N832" s="130"/>
      <c r="O832" s="130"/>
      <c r="P832" s="130"/>
    </row>
    <row r="833" spans="1:17" ht="20.100000000000001" customHeight="1" x14ac:dyDescent="0.25">
      <c r="A833" s="130" t="str">
        <f t="shared" ca="1" si="989"/>
        <v>a16Dm000000LZbEIAW</v>
      </c>
      <c r="B833" s="601">
        <v>6</v>
      </c>
      <c r="C833" s="603" t="str">
        <f>IFERROR(VLOOKUP(B833,'Coverage Indicators - Section D'!$A$9:$AO$70,41,FALSE),"")</f>
        <v>HTS-3a⁽ᴹ⁾ Percentage of MSM that have received an HIV test during the reporting period in KP-specific programs and know their results</v>
      </c>
      <c r="D833" s="605" t="str">
        <f>M833</f>
        <v/>
      </c>
      <c r="E833" s="605" t="str">
        <f>N833</f>
        <v/>
      </c>
      <c r="F833" s="131"/>
      <c r="G833" s="607" t="str">
        <f ca="1">IF(OR(INDIRECT("'update Helper'!E"&amp;Q833)="",F833&lt;&gt;0,F834&lt;&gt;0),IF(IFERROR((F833/F834),"")="","",(F833/F834)),INDIRECT("'update Helper'!E"&amp;Q833)/100)</f>
        <v/>
      </c>
      <c r="H833" s="597"/>
      <c r="I833" s="599"/>
      <c r="J833" s="531"/>
      <c r="K833" s="130">
        <f>IF(AND(EXACT(C833,C831),C831&lt;&gt;0),K831+1,0)</f>
        <v>6</v>
      </c>
      <c r="L833" s="130" t="str">
        <f t="shared" ref="L833" si="1007">IF(C833&lt;&gt;"",C833&amp;"-"&amp;K833,"")</f>
        <v>HTS-3a⁽ᴹ⁾ Percentage of MSM that have received an HIV test during the reporting period in KP-specific programs and know their results-6</v>
      </c>
      <c r="M833" s="130" t="str">
        <f t="array" ref="M833">IFERROR(IF(INDEX('Disaggregation Records'!$E$152:$E$513,MATCH(RIGHT(L833,255),RIGHT('Disaggregation Records'!$D$152:$D$513,255),0))="","",INDEX('Disaggregation Records'!$E$152:$E$513,MATCH(RIGHT(L833,255),RIGHT('Disaggregation Records'!$D$152:$D$513,255),0))),"")</f>
        <v/>
      </c>
      <c r="N833" s="130" t="str">
        <f t="array" ref="N833">IFERROR(IF(INDEX('Disaggregation Records'!$F$152:$F$513,MATCH(RIGHT(L833,255),RIGHT('Disaggregation Records'!$D$152:$D$513,255),0))="","",INDEX('Disaggregation Records'!$F$152:$F$513,MATCH(RIGHT(L833,255),RIGHT('Disaggregation Records'!$D$152:$D$513,255),0))),"")</f>
        <v/>
      </c>
      <c r="O833" s="130" t="str">
        <f t="array" ref="O833">IFERROR(IF(INDEX('Disaggregation Records'!$H$152:$H$513,MATCH(RIGHT(L833,255),RIGHT('Disaggregation Records'!$D$152:$D$513,255),0))="","",INDEX('Disaggregation Records'!$H$152:$H$513,MATCH(RIGHT(L833,255),RIGHT('Disaggregation Records'!$D$152:$D$513,255),0))),"")</f>
        <v/>
      </c>
      <c r="P833" s="130"/>
      <c r="Q833" s="52">
        <f t="shared" ref="Q833" si="1008">Q831+1</f>
        <v>1601</v>
      </c>
    </row>
    <row r="834" spans="1:17" ht="20.100000000000001" customHeight="1" x14ac:dyDescent="0.25">
      <c r="A834" s="130"/>
      <c r="B834" s="602"/>
      <c r="C834" s="604"/>
      <c r="D834" s="606"/>
      <c r="E834" s="606"/>
      <c r="F834" s="132"/>
      <c r="G834" s="608"/>
      <c r="H834" s="598"/>
      <c r="I834" s="600"/>
      <c r="J834" s="532"/>
      <c r="K834" s="130"/>
      <c r="L834" s="130"/>
      <c r="M834" s="130"/>
      <c r="N834" s="130"/>
      <c r="O834" s="130"/>
      <c r="P834" s="130"/>
    </row>
    <row r="835" spans="1:17" ht="20.100000000000001" customHeight="1" x14ac:dyDescent="0.25">
      <c r="A835" s="130" t="str">
        <f t="shared" ca="1" si="992"/>
        <v>a16Dm000000LZbFIAW</v>
      </c>
      <c r="B835" s="601">
        <v>6</v>
      </c>
      <c r="C835" s="603" t="str">
        <f>IFERROR(VLOOKUP(B835,'Coverage Indicators - Section D'!$A$9:$AO$70,41,FALSE),"")</f>
        <v>HTS-3a⁽ᴹ⁾ Percentage of MSM that have received an HIV test during the reporting period in KP-specific programs and know their results</v>
      </c>
      <c r="D835" s="605" t="str">
        <f>M835</f>
        <v/>
      </c>
      <c r="E835" s="605" t="str">
        <f>N835</f>
        <v/>
      </c>
      <c r="F835" s="131"/>
      <c r="G835" s="607" t="str">
        <f ca="1">IF(OR(INDIRECT("'update Helper'!E"&amp;Q835)="",F835&lt;&gt;0,F836&lt;&gt;0),IF(IFERROR((F835/F836),"")="","",(F835/F836)),INDIRECT("'update Helper'!E"&amp;Q835)/100)</f>
        <v/>
      </c>
      <c r="H835" s="597"/>
      <c r="I835" s="599"/>
      <c r="J835" s="531"/>
      <c r="K835" s="130">
        <f>IF(AND(EXACT(C835,C833),C833&lt;&gt;0),K833+1,0)</f>
        <v>7</v>
      </c>
      <c r="L835" s="130" t="str">
        <f t="shared" ref="L835" si="1009">IF(C835&lt;&gt;"",C835&amp;"-"&amp;K835,"")</f>
        <v>HTS-3a⁽ᴹ⁾ Percentage of MSM that have received an HIV test during the reporting period in KP-specific programs and know their results-7</v>
      </c>
      <c r="M835" s="130" t="str">
        <f t="array" ref="M835">IFERROR(IF(INDEX('Disaggregation Records'!$E$152:$E$513,MATCH(RIGHT(L835,255),RIGHT('Disaggregation Records'!$D$152:$D$513,255),0))="","",INDEX('Disaggregation Records'!$E$152:$E$513,MATCH(RIGHT(L835,255),RIGHT('Disaggregation Records'!$D$152:$D$513,255),0))),"")</f>
        <v/>
      </c>
      <c r="N835" s="130" t="str">
        <f t="array" ref="N835">IFERROR(IF(INDEX('Disaggregation Records'!$F$152:$F$513,MATCH(RIGHT(L835,255),RIGHT('Disaggregation Records'!$D$152:$D$513,255),0))="","",INDEX('Disaggregation Records'!$F$152:$F$513,MATCH(RIGHT(L835,255),RIGHT('Disaggregation Records'!$D$152:$D$513,255),0))),"")</f>
        <v/>
      </c>
      <c r="O835" s="130" t="str">
        <f t="array" ref="O835">IFERROR(IF(INDEX('Disaggregation Records'!$H$152:$H$513,MATCH(RIGHT(L835,255),RIGHT('Disaggregation Records'!$D$152:$D$513,255),0))="","",INDEX('Disaggregation Records'!$H$152:$H$513,MATCH(RIGHT(L835,255),RIGHT('Disaggregation Records'!$D$152:$D$513,255),0))),"")</f>
        <v/>
      </c>
      <c r="Q835" s="52">
        <f t="shared" ref="Q835" si="1010">Q833+1</f>
        <v>1602</v>
      </c>
    </row>
    <row r="836" spans="1:17" ht="20.100000000000001" customHeight="1" x14ac:dyDescent="0.25">
      <c r="B836" s="602"/>
      <c r="C836" s="604"/>
      <c r="D836" s="606"/>
      <c r="E836" s="606"/>
      <c r="F836" s="132"/>
      <c r="G836" s="608"/>
      <c r="H836" s="598"/>
      <c r="I836" s="600"/>
      <c r="J836" s="532"/>
      <c r="L836" s="130"/>
      <c r="N836" s="130"/>
      <c r="O836" s="130"/>
    </row>
    <row r="837" spans="1:17" ht="20.100000000000001" customHeight="1" x14ac:dyDescent="0.25">
      <c r="A837" s="130" t="str">
        <f t="shared" ca="1" si="989"/>
        <v>a16Dm000000LZbGIAW</v>
      </c>
      <c r="B837" s="601">
        <v>6</v>
      </c>
      <c r="C837" s="603" t="str">
        <f>IFERROR(VLOOKUP(B837,'Coverage Indicators - Section D'!$A$9:$AO$70,41,FALSE),"")</f>
        <v>HTS-3a⁽ᴹ⁾ Percentage of MSM that have received an HIV test during the reporting period in KP-specific programs and know their results</v>
      </c>
      <c r="D837" s="605" t="str">
        <f>M837</f>
        <v/>
      </c>
      <c r="E837" s="605" t="str">
        <f>N837</f>
        <v/>
      </c>
      <c r="F837" s="131"/>
      <c r="G837" s="607" t="str">
        <f ca="1">IF(OR(INDIRECT("'update Helper'!E"&amp;Q837)="",F837&lt;&gt;0,F838&lt;&gt;0),IF(IFERROR((F837/F838),"")="","",(F837/F838)),INDIRECT("'update Helper'!E"&amp;Q837)/100)</f>
        <v/>
      </c>
      <c r="H837" s="597"/>
      <c r="I837" s="599"/>
      <c r="J837" s="531"/>
      <c r="K837" s="130">
        <f>IF(AND(EXACT(C837,C835),C835&lt;&gt;0),K835+1,0)</f>
        <v>8</v>
      </c>
      <c r="L837" s="130" t="str">
        <f t="shared" ref="L837" si="1011">IF(C837&lt;&gt;"",C837&amp;"-"&amp;K837,"")</f>
        <v>HTS-3a⁽ᴹ⁾ Percentage of MSM that have received an HIV test during the reporting period in KP-specific programs and know their results-8</v>
      </c>
      <c r="M837" s="130" t="str">
        <f t="array" ref="M837">IFERROR(IF(INDEX('Disaggregation Records'!$E$152:$E$513,MATCH(RIGHT(L837,255),RIGHT('Disaggregation Records'!$D$152:$D$513,255),0))="","",INDEX('Disaggregation Records'!$E$152:$E$513,MATCH(RIGHT(L837,255),RIGHT('Disaggregation Records'!$D$152:$D$513,255),0))),"")</f>
        <v/>
      </c>
      <c r="N837" s="130" t="str">
        <f t="array" ref="N837">IFERROR(IF(INDEX('Disaggregation Records'!$F$152:$F$513,MATCH(RIGHT(L837,255),RIGHT('Disaggregation Records'!$D$152:$D$513,255),0))="","",INDEX('Disaggregation Records'!$F$152:$F$513,MATCH(RIGHT(L837,255),RIGHT('Disaggregation Records'!$D$152:$D$513,255),0))),"")</f>
        <v/>
      </c>
      <c r="O837" s="130" t="str">
        <f t="array" ref="O837">IFERROR(IF(INDEX('Disaggregation Records'!$H$152:$H$513,MATCH(RIGHT(L837,255),RIGHT('Disaggregation Records'!$D$152:$D$513,255),0))="","",INDEX('Disaggregation Records'!$H$152:$H$513,MATCH(RIGHT(L837,255),RIGHT('Disaggregation Records'!$D$152:$D$513,255),0))),"")</f>
        <v/>
      </c>
      <c r="Q837" s="52">
        <f t="shared" ref="Q837" si="1012">Q835+1</f>
        <v>1603</v>
      </c>
    </row>
    <row r="838" spans="1:17" ht="20.100000000000001" customHeight="1" x14ac:dyDescent="0.25">
      <c r="A838" s="130"/>
      <c r="B838" s="602"/>
      <c r="C838" s="604"/>
      <c r="D838" s="606"/>
      <c r="E838" s="606"/>
      <c r="F838" s="132"/>
      <c r="G838" s="608"/>
      <c r="H838" s="598"/>
      <c r="I838" s="600"/>
      <c r="J838" s="532"/>
      <c r="L838" s="130"/>
      <c r="N838" s="130"/>
      <c r="O838" s="130"/>
    </row>
    <row r="839" spans="1:17" ht="20.100000000000001" customHeight="1" x14ac:dyDescent="0.25">
      <c r="A839" s="130" t="str">
        <f t="shared" ca="1" si="992"/>
        <v>a16Dm000000LZbHIAW</v>
      </c>
      <c r="B839" s="601">
        <v>6</v>
      </c>
      <c r="C839" s="603" t="str">
        <f>IFERROR(VLOOKUP(B839,'Coverage Indicators - Section D'!$A$9:$AO$70,41,FALSE),"")</f>
        <v>HTS-3a⁽ᴹ⁾ Percentage of MSM that have received an HIV test during the reporting period in KP-specific programs and know their results</v>
      </c>
      <c r="D839" s="605" t="str">
        <f>M839</f>
        <v/>
      </c>
      <c r="E839" s="605" t="str">
        <f>N839</f>
        <v/>
      </c>
      <c r="F839" s="131"/>
      <c r="G839" s="607" t="str">
        <f ca="1">IF(OR(INDIRECT("'update Helper'!E"&amp;Q839)="",F839&lt;&gt;0,F840&lt;&gt;0),IF(IFERROR((F839/F840),"")="","",(F839/F840)),INDIRECT("'update Helper'!E"&amp;Q839)/100)</f>
        <v/>
      </c>
      <c r="H839" s="597"/>
      <c r="I839" s="599"/>
      <c r="J839" s="531"/>
      <c r="K839" s="130">
        <f>IF(AND(EXACT(C839,C837),C837&lt;&gt;0),K837+1,0)</f>
        <v>9</v>
      </c>
      <c r="L839" s="130" t="str">
        <f t="shared" ref="L839" si="1013">IF(C839&lt;&gt;"",C839&amp;"-"&amp;K839,"")</f>
        <v>HTS-3a⁽ᴹ⁾ Percentage of MSM that have received an HIV test during the reporting period in KP-specific programs and know their results-9</v>
      </c>
      <c r="M839" s="130" t="str">
        <f t="array" ref="M839">IFERROR(IF(INDEX('Disaggregation Records'!$E$152:$E$513,MATCH(RIGHT(L839,255),RIGHT('Disaggregation Records'!$D$152:$D$513,255),0))="","",INDEX('Disaggregation Records'!$E$152:$E$513,MATCH(RIGHT(L839,255),RIGHT('Disaggregation Records'!$D$152:$D$513,255),0))),"")</f>
        <v/>
      </c>
      <c r="N839" s="130" t="str">
        <f t="array" ref="N839">IFERROR(IF(INDEX('Disaggregation Records'!$F$152:$F$513,MATCH(RIGHT(L839,255),RIGHT('Disaggregation Records'!$D$152:$D$513,255),0))="","",INDEX('Disaggregation Records'!$F$152:$F$513,MATCH(RIGHT(L839,255),RIGHT('Disaggregation Records'!$D$152:$D$513,255),0))),"")</f>
        <v/>
      </c>
      <c r="O839" s="130" t="str">
        <f t="array" ref="O839">IFERROR(IF(INDEX('Disaggregation Records'!$H$152:$H$513,MATCH(RIGHT(L839,255),RIGHT('Disaggregation Records'!$D$152:$D$513,255),0))="","",INDEX('Disaggregation Records'!$H$152:$H$513,MATCH(RIGHT(L839,255),RIGHT('Disaggregation Records'!$D$152:$D$513,255),0))),"")</f>
        <v/>
      </c>
      <c r="Q839" s="52">
        <f t="shared" ref="Q839" si="1014">Q837+1</f>
        <v>1604</v>
      </c>
    </row>
    <row r="840" spans="1:17" ht="20.100000000000001" customHeight="1" x14ac:dyDescent="0.25">
      <c r="B840" s="602"/>
      <c r="C840" s="604"/>
      <c r="D840" s="606"/>
      <c r="E840" s="606"/>
      <c r="F840" s="132"/>
      <c r="G840" s="608"/>
      <c r="H840" s="598"/>
      <c r="I840" s="600"/>
      <c r="J840" s="532"/>
      <c r="L840" s="130"/>
      <c r="N840" s="130"/>
      <c r="O840" s="130"/>
    </row>
    <row r="841" spans="1:17" ht="20.100000000000001" customHeight="1" x14ac:dyDescent="0.25">
      <c r="A841" s="130" t="str">
        <f t="shared" ca="1" si="989"/>
        <v>a16Dm000000LZbIIAW</v>
      </c>
      <c r="B841" s="601">
        <v>6</v>
      </c>
      <c r="C841" s="603" t="str">
        <f>IFERROR(VLOOKUP(B841,'Coverage Indicators - Section D'!$A$9:$AO$70,41,FALSE),"")</f>
        <v>HTS-3a⁽ᴹ⁾ Percentage of MSM that have received an HIV test during the reporting period in KP-specific programs and know their results</v>
      </c>
      <c r="D841" s="605" t="str">
        <f>M841</f>
        <v/>
      </c>
      <c r="E841" s="605" t="str">
        <f>N841</f>
        <v/>
      </c>
      <c r="F841" s="131"/>
      <c r="G841" s="607" t="str">
        <f ca="1">IF(OR(INDIRECT("'update Helper'!E"&amp;Q841)="",F841&lt;&gt;0,F842&lt;&gt;0),IF(IFERROR((F841/F842),"")="","",(F841/F842)),INDIRECT("'update Helper'!E"&amp;Q841)/100)</f>
        <v/>
      </c>
      <c r="H841" s="597"/>
      <c r="I841" s="599"/>
      <c r="J841" s="531"/>
      <c r="K841" s="130">
        <f>IF(AND(EXACT(C841,C839),C839&lt;&gt;0),K839+1,0)</f>
        <v>10</v>
      </c>
      <c r="L841" s="130" t="str">
        <f t="shared" ref="L841" si="1015">IF(C841&lt;&gt;"",C841&amp;"-"&amp;K841,"")</f>
        <v>HTS-3a⁽ᴹ⁾ Percentage of MSM that have received an HIV test during the reporting period in KP-specific programs and know their results-10</v>
      </c>
      <c r="M841" s="130" t="str">
        <f t="array" ref="M841">IFERROR(IF(INDEX('Disaggregation Records'!$E$152:$E$513,MATCH(RIGHT(L841,255),RIGHT('Disaggregation Records'!$D$152:$D$513,255),0))="","",INDEX('Disaggregation Records'!$E$152:$E$513,MATCH(RIGHT(L841,255),RIGHT('Disaggregation Records'!$D$152:$D$513,255),0))),"")</f>
        <v/>
      </c>
      <c r="N841" s="130" t="str">
        <f t="array" ref="N841">IFERROR(IF(INDEX('Disaggregation Records'!$F$152:$F$513,MATCH(RIGHT(L841,255),RIGHT('Disaggregation Records'!$D$152:$D$513,255),0))="","",INDEX('Disaggregation Records'!$F$152:$F$513,MATCH(RIGHT(L841,255),RIGHT('Disaggregation Records'!$D$152:$D$513,255),0))),"")</f>
        <v/>
      </c>
      <c r="O841" s="130" t="str">
        <f t="array" ref="O841">IFERROR(IF(INDEX('Disaggregation Records'!$H$152:$H$513,MATCH(RIGHT(L841,255),RIGHT('Disaggregation Records'!$D$152:$D$513,255),0))="","",INDEX('Disaggregation Records'!$H$152:$H$513,MATCH(RIGHT(L841,255),RIGHT('Disaggregation Records'!$D$152:$D$513,255),0))),"")</f>
        <v/>
      </c>
      <c r="P841" s="130"/>
      <c r="Q841" s="52">
        <f t="shared" ref="Q841" si="1016">Q839+1</f>
        <v>1605</v>
      </c>
    </row>
    <row r="842" spans="1:17" ht="20.100000000000001" customHeight="1" x14ac:dyDescent="0.25">
      <c r="A842" s="130"/>
      <c r="B842" s="602"/>
      <c r="C842" s="604"/>
      <c r="D842" s="606"/>
      <c r="E842" s="606"/>
      <c r="F842" s="132"/>
      <c r="G842" s="608"/>
      <c r="H842" s="598"/>
      <c r="I842" s="600"/>
      <c r="J842" s="532"/>
      <c r="K842" s="130"/>
      <c r="L842" s="130"/>
      <c r="M842" s="130"/>
      <c r="N842" s="130"/>
      <c r="O842" s="130"/>
      <c r="P842" s="130"/>
    </row>
    <row r="843" spans="1:17" ht="20.100000000000001" customHeight="1" x14ac:dyDescent="0.25">
      <c r="A843" s="130" t="str">
        <f t="shared" ca="1" si="992"/>
        <v>a16Dm000000LZbJIAW</v>
      </c>
      <c r="B843" s="601">
        <v>6</v>
      </c>
      <c r="C843" s="603" t="str">
        <f>IFERROR(VLOOKUP(B843,'Coverage Indicators - Section D'!$A$9:$AO$70,41,FALSE),"")</f>
        <v>HTS-3a⁽ᴹ⁾ Percentage of MSM that have received an HIV test during the reporting period in KP-specific programs and know their results</v>
      </c>
      <c r="D843" s="605" t="str">
        <f>M843</f>
        <v/>
      </c>
      <c r="E843" s="605" t="str">
        <f>N843</f>
        <v/>
      </c>
      <c r="F843" s="131"/>
      <c r="G843" s="607" t="str">
        <f ca="1">IF(OR(INDIRECT("'update Helper'!E"&amp;Q843)="",F843&lt;&gt;0,F844&lt;&gt;0),IF(IFERROR((F843/F844),"")="","",(F843/F844)),INDIRECT("'update Helper'!E"&amp;Q843)/100)</f>
        <v/>
      </c>
      <c r="H843" s="597"/>
      <c r="I843" s="599"/>
      <c r="J843" s="531"/>
      <c r="K843" s="130">
        <f>IF(AND(EXACT(C843,C841),C841&lt;&gt;0),K841+1,0)</f>
        <v>11</v>
      </c>
      <c r="L843" s="130" t="str">
        <f t="shared" ref="L843" si="1017">IF(C843&lt;&gt;"",C843&amp;"-"&amp;K843,"")</f>
        <v>HTS-3a⁽ᴹ⁾ Percentage of MSM that have received an HIV test during the reporting period in KP-specific programs and know their results-11</v>
      </c>
      <c r="M843" s="130" t="str">
        <f t="array" ref="M843">IFERROR(IF(INDEX('Disaggregation Records'!$E$152:$E$513,MATCH(RIGHT(L843,255),RIGHT('Disaggregation Records'!$D$152:$D$513,255),0))="","",INDEX('Disaggregation Records'!$E$152:$E$513,MATCH(RIGHT(L843,255),RIGHT('Disaggregation Records'!$D$152:$D$513,255),0))),"")</f>
        <v/>
      </c>
      <c r="N843" s="130" t="str">
        <f t="array" ref="N843">IFERROR(IF(INDEX('Disaggregation Records'!$F$152:$F$513,MATCH(RIGHT(L843,255),RIGHT('Disaggregation Records'!$D$152:$D$513,255),0))="","",INDEX('Disaggregation Records'!$F$152:$F$513,MATCH(RIGHT(L843,255),RIGHT('Disaggregation Records'!$D$152:$D$513,255),0))),"")</f>
        <v/>
      </c>
      <c r="O843" s="130" t="str">
        <f t="array" ref="O843">IFERROR(IF(INDEX('Disaggregation Records'!$H$152:$H$513,MATCH(RIGHT(L843,255),RIGHT('Disaggregation Records'!$D$152:$D$513,255),0))="","",INDEX('Disaggregation Records'!$H$152:$H$513,MATCH(RIGHT(L843,255),RIGHT('Disaggregation Records'!$D$152:$D$513,255),0))),"")</f>
        <v/>
      </c>
      <c r="P843" s="130"/>
      <c r="Q843" s="52">
        <f t="shared" ref="Q843" si="1018">Q841+1</f>
        <v>1606</v>
      </c>
    </row>
    <row r="844" spans="1:17" ht="20.100000000000001" customHeight="1" x14ac:dyDescent="0.25">
      <c r="B844" s="602"/>
      <c r="C844" s="604"/>
      <c r="D844" s="606"/>
      <c r="E844" s="606"/>
      <c r="F844" s="132"/>
      <c r="G844" s="608"/>
      <c r="H844" s="598"/>
      <c r="I844" s="600"/>
      <c r="J844" s="532"/>
      <c r="K844" s="130"/>
      <c r="L844" s="130"/>
      <c r="M844" s="130"/>
      <c r="N844" s="130"/>
      <c r="O844" s="130"/>
      <c r="P844" s="130"/>
    </row>
    <row r="845" spans="1:17" ht="20.100000000000001" customHeight="1" x14ac:dyDescent="0.25">
      <c r="A845" s="130" t="str">
        <f t="shared" ca="1" si="989"/>
        <v>a16Dm000000LZbKIAW</v>
      </c>
      <c r="B845" s="601">
        <v>6</v>
      </c>
      <c r="C845" s="603" t="str">
        <f>IFERROR(VLOOKUP(B845,'Coverage Indicators - Section D'!$A$9:$AO$70,41,FALSE),"")</f>
        <v>HTS-3a⁽ᴹ⁾ Percentage of MSM that have received an HIV test during the reporting period in KP-specific programs and know their results</v>
      </c>
      <c r="D845" s="605" t="str">
        <f>M845</f>
        <v/>
      </c>
      <c r="E845" s="605" t="str">
        <f>N845</f>
        <v/>
      </c>
      <c r="F845" s="131"/>
      <c r="G845" s="607" t="str">
        <f ca="1">IF(OR(INDIRECT("'update Helper'!E"&amp;Q845)="",F845&lt;&gt;0,F846&lt;&gt;0),IF(IFERROR((F845/F846),"")="","",(F845/F846)),INDIRECT("'update Helper'!E"&amp;Q845)/100)</f>
        <v/>
      </c>
      <c r="H845" s="597"/>
      <c r="I845" s="599"/>
      <c r="J845" s="531"/>
      <c r="K845" s="130">
        <f>IF(AND(EXACT(C845,C843),C843&lt;&gt;0),K843+1,0)</f>
        <v>12</v>
      </c>
      <c r="L845" s="130" t="str">
        <f t="shared" ref="L845" si="1019">IF(C845&lt;&gt;"",C845&amp;"-"&amp;K845,"")</f>
        <v>HTS-3a⁽ᴹ⁾ Percentage of MSM that have received an HIV test during the reporting period in KP-specific programs and know their results-12</v>
      </c>
      <c r="M845" s="130" t="str">
        <f t="array" ref="M845">IFERROR(IF(INDEX('Disaggregation Records'!$E$152:$E$513,MATCH(RIGHT(L845,255),RIGHT('Disaggregation Records'!$D$152:$D$513,255),0))="","",INDEX('Disaggregation Records'!$E$152:$E$513,MATCH(RIGHT(L845,255),RIGHT('Disaggregation Records'!$D$152:$D$513,255),0))),"")</f>
        <v/>
      </c>
      <c r="N845" s="130" t="str">
        <f t="array" ref="N845">IFERROR(IF(INDEX('Disaggregation Records'!$F$152:$F$513,MATCH(RIGHT(L845,255),RIGHT('Disaggregation Records'!$D$152:$D$513,255),0))="","",INDEX('Disaggregation Records'!$F$152:$F$513,MATCH(RIGHT(L845,255),RIGHT('Disaggregation Records'!$D$152:$D$513,255),0))),"")</f>
        <v/>
      </c>
      <c r="O845" s="130" t="str">
        <f t="array" ref="O845">IFERROR(IF(INDEX('Disaggregation Records'!$H$152:$H$513,MATCH(RIGHT(L845,255),RIGHT('Disaggregation Records'!$D$152:$D$513,255),0))="","",INDEX('Disaggregation Records'!$H$152:$H$513,MATCH(RIGHT(L845,255),RIGHT('Disaggregation Records'!$D$152:$D$513,255),0))),"")</f>
        <v/>
      </c>
      <c r="Q845" s="52">
        <f t="shared" ref="Q845" si="1020">Q843+1</f>
        <v>1607</v>
      </c>
    </row>
    <row r="846" spans="1:17" ht="20.100000000000001" customHeight="1" x14ac:dyDescent="0.25">
      <c r="A846" s="130"/>
      <c r="B846" s="602"/>
      <c r="C846" s="604"/>
      <c r="D846" s="606"/>
      <c r="E846" s="606"/>
      <c r="F846" s="132"/>
      <c r="G846" s="608"/>
      <c r="H846" s="598"/>
      <c r="I846" s="600"/>
      <c r="J846" s="532"/>
      <c r="L846" s="130"/>
      <c r="N846" s="130"/>
      <c r="O846" s="130"/>
    </row>
    <row r="847" spans="1:17" ht="20.100000000000001" customHeight="1" x14ac:dyDescent="0.25">
      <c r="A847" s="130" t="str">
        <f t="shared" ca="1" si="992"/>
        <v>a16Dm000000LZbLIAW</v>
      </c>
      <c r="B847" s="601">
        <v>6</v>
      </c>
      <c r="C847" s="603" t="str">
        <f>IFERROR(VLOOKUP(B847,'Coverage Indicators - Section D'!$A$9:$AO$70,41,FALSE),"")</f>
        <v>HTS-3a⁽ᴹ⁾ Percentage of MSM that have received an HIV test during the reporting period in KP-specific programs and know their results</v>
      </c>
      <c r="D847" s="605" t="str">
        <f>M847</f>
        <v/>
      </c>
      <c r="E847" s="605" t="str">
        <f>N847</f>
        <v/>
      </c>
      <c r="F847" s="131"/>
      <c r="G847" s="607" t="str">
        <f ca="1">IF(OR(INDIRECT("'update Helper'!E"&amp;Q847)="",F847&lt;&gt;0,F848&lt;&gt;0),IF(IFERROR((F847/F848),"")="","",(F847/F848)),INDIRECT("'update Helper'!E"&amp;Q847)/100)</f>
        <v/>
      </c>
      <c r="H847" s="597"/>
      <c r="I847" s="599"/>
      <c r="J847" s="531"/>
      <c r="K847" s="130">
        <f>IF(AND(EXACT(C847,C845),C845&lt;&gt;0),K845+1,0)</f>
        <v>13</v>
      </c>
      <c r="L847" s="130" t="str">
        <f t="shared" ref="L847" si="1021">IF(C847&lt;&gt;"",C847&amp;"-"&amp;K847,"")</f>
        <v>HTS-3a⁽ᴹ⁾ Percentage of MSM that have received an HIV test during the reporting period in KP-specific programs and know their results-13</v>
      </c>
      <c r="M847" s="130" t="str">
        <f t="array" ref="M847">IFERROR(IF(INDEX('Disaggregation Records'!$E$152:$E$513,MATCH(RIGHT(L847,255),RIGHT('Disaggregation Records'!$D$152:$D$513,255),0))="","",INDEX('Disaggregation Records'!$E$152:$E$513,MATCH(RIGHT(L847,255),RIGHT('Disaggregation Records'!$D$152:$D$513,255),0))),"")</f>
        <v/>
      </c>
      <c r="N847" s="130" t="str">
        <f t="array" ref="N847">IFERROR(IF(INDEX('Disaggregation Records'!$F$152:$F$513,MATCH(RIGHT(L847,255),RIGHT('Disaggregation Records'!$D$152:$D$513,255),0))="","",INDEX('Disaggregation Records'!$F$152:$F$513,MATCH(RIGHT(L847,255),RIGHT('Disaggregation Records'!$D$152:$D$513,255),0))),"")</f>
        <v/>
      </c>
      <c r="O847" s="130" t="str">
        <f t="array" ref="O847">IFERROR(IF(INDEX('Disaggregation Records'!$H$152:$H$513,MATCH(RIGHT(L847,255),RIGHT('Disaggregation Records'!$D$152:$D$513,255),0))="","",INDEX('Disaggregation Records'!$H$152:$H$513,MATCH(RIGHT(L847,255),RIGHT('Disaggregation Records'!$D$152:$D$513,255),0))),"")</f>
        <v/>
      </c>
      <c r="Q847" s="52">
        <f t="shared" ref="Q847" si="1022">Q845+1</f>
        <v>1608</v>
      </c>
    </row>
    <row r="848" spans="1:17" ht="20.100000000000001" customHeight="1" x14ac:dyDescent="0.25">
      <c r="B848" s="602"/>
      <c r="C848" s="604"/>
      <c r="D848" s="606"/>
      <c r="E848" s="606"/>
      <c r="F848" s="132"/>
      <c r="G848" s="608"/>
      <c r="H848" s="598"/>
      <c r="I848" s="600"/>
      <c r="J848" s="532"/>
      <c r="L848" s="130"/>
      <c r="N848" s="130"/>
      <c r="O848" s="130"/>
    </row>
    <row r="849" spans="1:17" ht="20.100000000000001" customHeight="1" x14ac:dyDescent="0.25">
      <c r="A849" s="130" t="str">
        <f t="shared" ca="1" si="989"/>
        <v>a16Dm000000LZbMIAW</v>
      </c>
      <c r="B849" s="601">
        <v>6</v>
      </c>
      <c r="C849" s="603" t="str">
        <f>IFERROR(VLOOKUP(B849,'Coverage Indicators - Section D'!$A$9:$AO$70,41,FALSE),"")</f>
        <v>HTS-3a⁽ᴹ⁾ Percentage of MSM that have received an HIV test during the reporting period in KP-specific programs and know their results</v>
      </c>
      <c r="D849" s="605" t="str">
        <f>M849</f>
        <v/>
      </c>
      <c r="E849" s="605" t="str">
        <f>N849</f>
        <v/>
      </c>
      <c r="F849" s="131"/>
      <c r="G849" s="607" t="str">
        <f ca="1">IF(OR(INDIRECT("'update Helper'!E"&amp;Q849)="",F849&lt;&gt;0,F850&lt;&gt;0),IF(IFERROR((F849/F850),"")="","",(F849/F850)),INDIRECT("'update Helper'!E"&amp;Q849)/100)</f>
        <v/>
      </c>
      <c r="H849" s="597"/>
      <c r="I849" s="599"/>
      <c r="J849" s="531"/>
      <c r="K849" s="130">
        <f>IF(AND(EXACT(C849,C847),C847&lt;&gt;0),K847+1,0)</f>
        <v>14</v>
      </c>
      <c r="L849" s="130" t="str">
        <f t="shared" ref="L849" si="1023">IF(C849&lt;&gt;"",C849&amp;"-"&amp;K849,"")</f>
        <v>HTS-3a⁽ᴹ⁾ Percentage of MSM that have received an HIV test during the reporting period in KP-specific programs and know their results-14</v>
      </c>
      <c r="M849" s="130" t="str">
        <f t="array" ref="M849">IFERROR(IF(INDEX('Disaggregation Records'!$E$152:$E$513,MATCH(RIGHT(L849,255),RIGHT('Disaggregation Records'!$D$152:$D$513,255),0))="","",INDEX('Disaggregation Records'!$E$152:$E$513,MATCH(RIGHT(L849,255),RIGHT('Disaggregation Records'!$D$152:$D$513,255),0))),"")</f>
        <v/>
      </c>
      <c r="N849" s="130" t="str">
        <f t="array" ref="N849">IFERROR(IF(INDEX('Disaggregation Records'!$F$152:$F$513,MATCH(RIGHT(L849,255),RIGHT('Disaggregation Records'!$D$152:$D$513,255),0))="","",INDEX('Disaggregation Records'!$F$152:$F$513,MATCH(RIGHT(L849,255),RIGHT('Disaggregation Records'!$D$152:$D$513,255),0))),"")</f>
        <v/>
      </c>
      <c r="O849" s="130" t="str">
        <f t="array" ref="O849">IFERROR(IF(INDEX('Disaggregation Records'!$H$152:$H$513,MATCH(RIGHT(L849,255),RIGHT('Disaggregation Records'!$D$152:$D$513,255),0))="","",INDEX('Disaggregation Records'!$H$152:$H$513,MATCH(RIGHT(L849,255),RIGHT('Disaggregation Records'!$D$152:$D$513,255),0))),"")</f>
        <v/>
      </c>
      <c r="Q849" s="52">
        <f t="shared" ref="Q849" si="1024">Q847+1</f>
        <v>1609</v>
      </c>
    </row>
    <row r="850" spans="1:17" ht="20.100000000000001" customHeight="1" x14ac:dyDescent="0.25">
      <c r="A850" s="130"/>
      <c r="B850" s="602"/>
      <c r="C850" s="604"/>
      <c r="D850" s="606"/>
      <c r="E850" s="606"/>
      <c r="F850" s="132"/>
      <c r="G850" s="608"/>
      <c r="H850" s="598"/>
      <c r="I850" s="600"/>
      <c r="J850" s="532"/>
      <c r="L850" s="130"/>
      <c r="N850" s="130"/>
      <c r="O850" s="130"/>
    </row>
    <row r="851" spans="1:17" ht="20.100000000000001" customHeight="1" x14ac:dyDescent="0.25">
      <c r="A851" s="130" t="str">
        <f t="shared" ca="1" si="992"/>
        <v>a16Dm000000LZbNIAW</v>
      </c>
      <c r="B851" s="601">
        <v>6</v>
      </c>
      <c r="C851" s="603" t="str">
        <f>IFERROR(VLOOKUP(B851,'Coverage Indicators - Section D'!$A$9:$AO$70,41,FALSE),"")</f>
        <v>HTS-3a⁽ᴹ⁾ Percentage of MSM that have received an HIV test during the reporting period in KP-specific programs and know their results</v>
      </c>
      <c r="D851" s="605" t="str">
        <f>M851</f>
        <v/>
      </c>
      <c r="E851" s="605" t="str">
        <f>N851</f>
        <v/>
      </c>
      <c r="F851" s="131"/>
      <c r="G851" s="607" t="str">
        <f ca="1">IF(OR(INDIRECT("'update Helper'!E"&amp;Q851)="",F851&lt;&gt;0,F852&lt;&gt;0),IF(IFERROR((F851/F852),"")="","",(F851/F852)),INDIRECT("'update Helper'!E"&amp;Q851)/100)</f>
        <v/>
      </c>
      <c r="H851" s="597"/>
      <c r="I851" s="599"/>
      <c r="J851" s="531"/>
      <c r="K851" s="130">
        <f>IF(AND(EXACT(C851,C849),C849&lt;&gt;0),K849+1,0)</f>
        <v>15</v>
      </c>
      <c r="L851" s="130" t="str">
        <f t="shared" ref="L851" si="1025">IF(C851&lt;&gt;"",C851&amp;"-"&amp;K851,"")</f>
        <v>HTS-3a⁽ᴹ⁾ Percentage of MSM that have received an HIV test during the reporting period in KP-specific programs and know their results-15</v>
      </c>
      <c r="M851" s="130" t="str">
        <f t="array" ref="M851">IFERROR(IF(INDEX('Disaggregation Records'!$E$152:$E$513,MATCH(RIGHT(L851,255),RIGHT('Disaggregation Records'!$D$152:$D$513,255),0))="","",INDEX('Disaggregation Records'!$E$152:$E$513,MATCH(RIGHT(L851,255),RIGHT('Disaggregation Records'!$D$152:$D$513,255),0))),"")</f>
        <v/>
      </c>
      <c r="N851" s="130" t="str">
        <f t="array" ref="N851">IFERROR(IF(INDEX('Disaggregation Records'!$F$152:$F$513,MATCH(RIGHT(L851,255),RIGHT('Disaggregation Records'!$D$152:$D$513,255),0))="","",INDEX('Disaggregation Records'!$F$152:$F$513,MATCH(RIGHT(L851,255),RIGHT('Disaggregation Records'!$D$152:$D$513,255),0))),"")</f>
        <v/>
      </c>
      <c r="O851" s="130" t="str">
        <f t="array" ref="O851">IFERROR(IF(INDEX('Disaggregation Records'!$H$152:$H$513,MATCH(RIGHT(L851,255),RIGHT('Disaggregation Records'!$D$152:$D$513,255),0))="","",INDEX('Disaggregation Records'!$H$152:$H$513,MATCH(RIGHT(L851,255),RIGHT('Disaggregation Records'!$D$152:$D$513,255),0))),"")</f>
        <v/>
      </c>
      <c r="P851" s="130"/>
      <c r="Q851" s="52">
        <f t="shared" ref="Q851" si="1026">Q849+1</f>
        <v>1610</v>
      </c>
    </row>
    <row r="852" spans="1:17" ht="20.100000000000001" customHeight="1" x14ac:dyDescent="0.25">
      <c r="B852" s="602"/>
      <c r="C852" s="604"/>
      <c r="D852" s="606"/>
      <c r="E852" s="606"/>
      <c r="F852" s="132"/>
      <c r="G852" s="608"/>
      <c r="H852" s="598"/>
      <c r="I852" s="600"/>
      <c r="J852" s="532"/>
      <c r="K852" s="130"/>
      <c r="L852" s="130"/>
      <c r="M852" s="130"/>
      <c r="N852" s="130"/>
      <c r="O852" s="130"/>
      <c r="P852" s="130"/>
    </row>
    <row r="853" spans="1:17" ht="20.100000000000001" customHeight="1" x14ac:dyDescent="0.25">
      <c r="A853" s="130" t="str">
        <f t="shared" ca="1" si="989"/>
        <v>a16Dm000000LZbOIAW</v>
      </c>
      <c r="B853" s="601">
        <v>6</v>
      </c>
      <c r="C853" s="603" t="str">
        <f>IFERROR(VLOOKUP(B853,'Coverage Indicators - Section D'!$A$9:$AO$70,41,FALSE),"")</f>
        <v>HTS-3a⁽ᴹ⁾ Percentage of MSM that have received an HIV test during the reporting period in KP-specific programs and know their results</v>
      </c>
      <c r="D853" s="605" t="str">
        <f>M853</f>
        <v/>
      </c>
      <c r="E853" s="605" t="str">
        <f>N853</f>
        <v/>
      </c>
      <c r="F853" s="131"/>
      <c r="G853" s="607" t="str">
        <f ca="1">IF(OR(INDIRECT("'update Helper'!E"&amp;Q853)="",F853&lt;&gt;0,F854&lt;&gt;0),IF(IFERROR((F853/F854),"")="","",(F853/F854)),INDIRECT("'update Helper'!E"&amp;Q853)/100)</f>
        <v/>
      </c>
      <c r="H853" s="597"/>
      <c r="I853" s="599"/>
      <c r="J853" s="531"/>
      <c r="K853" s="130">
        <f>IF(AND(EXACT(C853,C851),C851&lt;&gt;0),K851+1,0)</f>
        <v>16</v>
      </c>
      <c r="L853" s="130" t="str">
        <f t="shared" ref="L853" si="1027">IF(C853&lt;&gt;"",C853&amp;"-"&amp;K853,"")</f>
        <v>HTS-3a⁽ᴹ⁾ Percentage of MSM that have received an HIV test during the reporting period in KP-specific programs and know their results-16</v>
      </c>
      <c r="M853" s="130" t="str">
        <f t="array" ref="M853">IFERROR(IF(INDEX('Disaggregation Records'!$E$152:$E$513,MATCH(RIGHT(L853,255),RIGHT('Disaggregation Records'!$D$152:$D$513,255),0))="","",INDEX('Disaggregation Records'!$E$152:$E$513,MATCH(RIGHT(L853,255),RIGHT('Disaggregation Records'!$D$152:$D$513,255),0))),"")</f>
        <v/>
      </c>
      <c r="N853" s="130" t="str">
        <f t="array" ref="N853">IFERROR(IF(INDEX('Disaggregation Records'!$F$152:$F$513,MATCH(RIGHT(L853,255),RIGHT('Disaggregation Records'!$D$152:$D$513,255),0))="","",INDEX('Disaggregation Records'!$F$152:$F$513,MATCH(RIGHT(L853,255),RIGHT('Disaggregation Records'!$D$152:$D$513,255),0))),"")</f>
        <v/>
      </c>
      <c r="O853" s="130" t="str">
        <f t="array" ref="O853">IFERROR(IF(INDEX('Disaggregation Records'!$H$152:$H$513,MATCH(RIGHT(L853,255),RIGHT('Disaggregation Records'!$D$152:$D$513,255),0))="","",INDEX('Disaggregation Records'!$H$152:$H$513,MATCH(RIGHT(L853,255),RIGHT('Disaggregation Records'!$D$152:$D$513,255),0))),"")</f>
        <v/>
      </c>
      <c r="P853" s="130"/>
      <c r="Q853" s="52">
        <f t="shared" ref="Q853" si="1028">Q851+1</f>
        <v>1611</v>
      </c>
    </row>
    <row r="854" spans="1:17" ht="20.100000000000001" customHeight="1" x14ac:dyDescent="0.25">
      <c r="A854" s="130"/>
      <c r="B854" s="602"/>
      <c r="C854" s="604"/>
      <c r="D854" s="606"/>
      <c r="E854" s="606"/>
      <c r="F854" s="132"/>
      <c r="G854" s="608"/>
      <c r="H854" s="598"/>
      <c r="I854" s="600"/>
      <c r="J854" s="532"/>
      <c r="K854" s="130"/>
      <c r="L854" s="130"/>
      <c r="M854" s="130"/>
      <c r="N854" s="130"/>
      <c r="O854" s="130"/>
      <c r="P854" s="130"/>
    </row>
    <row r="855" spans="1:17" ht="20.100000000000001" customHeight="1" x14ac:dyDescent="0.25">
      <c r="A855" s="130" t="str">
        <f t="shared" ca="1" si="992"/>
        <v>a16Dm000000LZbPIAW</v>
      </c>
      <c r="B855" s="601">
        <v>6</v>
      </c>
      <c r="C855" s="603" t="str">
        <f>IFERROR(VLOOKUP(B855,'Coverage Indicators - Section D'!$A$9:$AO$70,41,FALSE),"")</f>
        <v>HTS-3a⁽ᴹ⁾ Percentage of MSM that have received an HIV test during the reporting period in KP-specific programs and know their results</v>
      </c>
      <c r="D855" s="605" t="str">
        <f>M855</f>
        <v/>
      </c>
      <c r="E855" s="605" t="str">
        <f>N855</f>
        <v/>
      </c>
      <c r="F855" s="131"/>
      <c r="G855" s="607" t="str">
        <f ca="1">IF(OR(INDIRECT("'update Helper'!E"&amp;Q855)="",F855&lt;&gt;0,F856&lt;&gt;0),IF(IFERROR((F855/F856),"")="","",(F855/F856)),INDIRECT("'update Helper'!E"&amp;Q855)/100)</f>
        <v/>
      </c>
      <c r="H855" s="597"/>
      <c r="I855" s="599"/>
      <c r="J855" s="531"/>
      <c r="K855" s="130">
        <f>IF(AND(EXACT(C855,C853),C853&lt;&gt;0),K853+1,0)</f>
        <v>17</v>
      </c>
      <c r="L855" s="130" t="str">
        <f t="shared" ref="L855" si="1029">IF(C855&lt;&gt;"",C855&amp;"-"&amp;K855,"")</f>
        <v>HTS-3a⁽ᴹ⁾ Percentage of MSM that have received an HIV test during the reporting period in KP-specific programs and know their results-17</v>
      </c>
      <c r="M855" s="130" t="str">
        <f t="array" ref="M855">IFERROR(IF(INDEX('Disaggregation Records'!$E$152:$E$513,MATCH(RIGHT(L855,255),RIGHT('Disaggregation Records'!$D$152:$D$513,255),0))="","",INDEX('Disaggregation Records'!$E$152:$E$513,MATCH(RIGHT(L855,255),RIGHT('Disaggregation Records'!$D$152:$D$513,255),0))),"")</f>
        <v/>
      </c>
      <c r="N855" s="130" t="str">
        <f t="array" ref="N855">IFERROR(IF(INDEX('Disaggregation Records'!$F$152:$F$513,MATCH(RIGHT(L855,255),RIGHT('Disaggregation Records'!$D$152:$D$513,255),0))="","",INDEX('Disaggregation Records'!$F$152:$F$513,MATCH(RIGHT(L855,255),RIGHT('Disaggregation Records'!$D$152:$D$513,255),0))),"")</f>
        <v/>
      </c>
      <c r="O855" s="130" t="str">
        <f t="array" ref="O855">IFERROR(IF(INDEX('Disaggregation Records'!$H$152:$H$513,MATCH(RIGHT(L855,255),RIGHT('Disaggregation Records'!$D$152:$D$513,255),0))="","",INDEX('Disaggregation Records'!$H$152:$H$513,MATCH(RIGHT(L855,255),RIGHT('Disaggregation Records'!$D$152:$D$513,255),0))),"")</f>
        <v/>
      </c>
      <c r="Q855" s="52">
        <f t="shared" ref="Q855" si="1030">Q853+1</f>
        <v>1612</v>
      </c>
    </row>
    <row r="856" spans="1:17" ht="20.100000000000001" customHeight="1" x14ac:dyDescent="0.25">
      <c r="B856" s="602"/>
      <c r="C856" s="604"/>
      <c r="D856" s="606"/>
      <c r="E856" s="606"/>
      <c r="F856" s="132"/>
      <c r="G856" s="608"/>
      <c r="H856" s="598"/>
      <c r="I856" s="600"/>
      <c r="J856" s="532"/>
      <c r="L856" s="130"/>
      <c r="N856" s="130"/>
      <c r="O856" s="130"/>
    </row>
    <row r="857" spans="1:17" ht="20.100000000000001" customHeight="1" x14ac:dyDescent="0.25">
      <c r="A857" s="130" t="str">
        <f t="shared" ca="1" si="989"/>
        <v>a16Dm000000LZbQIAW</v>
      </c>
      <c r="B857" s="601">
        <v>6</v>
      </c>
      <c r="C857" s="603" t="str">
        <f>IFERROR(VLOOKUP(B857,'Coverage Indicators - Section D'!$A$9:$AO$70,41,FALSE),"")</f>
        <v>HTS-3a⁽ᴹ⁾ Percentage of MSM that have received an HIV test during the reporting period in KP-specific programs and know their results</v>
      </c>
      <c r="D857" s="605" t="str">
        <f>M857</f>
        <v/>
      </c>
      <c r="E857" s="605" t="str">
        <f>N857</f>
        <v/>
      </c>
      <c r="F857" s="131"/>
      <c r="G857" s="607" t="str">
        <f ca="1">IF(OR(INDIRECT("'update Helper'!E"&amp;Q857)="",F857&lt;&gt;0,F858&lt;&gt;0),IF(IFERROR((F857/F858),"")="","",(F857/F858)),INDIRECT("'update Helper'!E"&amp;Q857)/100)</f>
        <v/>
      </c>
      <c r="H857" s="597"/>
      <c r="I857" s="599"/>
      <c r="J857" s="531"/>
      <c r="K857" s="130">
        <f>IF(AND(EXACT(C857,C855),C855&lt;&gt;0),K855+1,0)</f>
        <v>18</v>
      </c>
      <c r="L857" s="130" t="str">
        <f t="shared" ref="L857" si="1031">IF(C857&lt;&gt;"",C857&amp;"-"&amp;K857,"")</f>
        <v>HTS-3a⁽ᴹ⁾ Percentage of MSM that have received an HIV test during the reporting period in KP-specific programs and know their results-18</v>
      </c>
      <c r="M857" s="130" t="str">
        <f t="array" ref="M857">IFERROR(IF(INDEX('Disaggregation Records'!$E$152:$E$513,MATCH(RIGHT(L857,255),RIGHT('Disaggregation Records'!$D$152:$D$513,255),0))="","",INDEX('Disaggregation Records'!$E$152:$E$513,MATCH(RIGHT(L857,255),RIGHT('Disaggregation Records'!$D$152:$D$513,255),0))),"")</f>
        <v/>
      </c>
      <c r="N857" s="130" t="str">
        <f t="array" ref="N857">IFERROR(IF(INDEX('Disaggregation Records'!$F$152:$F$513,MATCH(RIGHT(L857,255),RIGHT('Disaggregation Records'!$D$152:$D$513,255),0))="","",INDEX('Disaggregation Records'!$F$152:$F$513,MATCH(RIGHT(L857,255),RIGHT('Disaggregation Records'!$D$152:$D$513,255),0))),"")</f>
        <v/>
      </c>
      <c r="O857" s="130" t="str">
        <f t="array" ref="O857">IFERROR(IF(INDEX('Disaggregation Records'!$H$152:$H$513,MATCH(RIGHT(L857,255),RIGHT('Disaggregation Records'!$D$152:$D$513,255),0))="","",INDEX('Disaggregation Records'!$H$152:$H$513,MATCH(RIGHT(L857,255),RIGHT('Disaggregation Records'!$D$152:$D$513,255),0))),"")</f>
        <v/>
      </c>
      <c r="Q857" s="52">
        <f t="shared" ref="Q857" si="1032">Q855+1</f>
        <v>1613</v>
      </c>
    </row>
    <row r="858" spans="1:17" ht="20.100000000000001" customHeight="1" x14ac:dyDescent="0.25">
      <c r="A858" s="130"/>
      <c r="B858" s="602"/>
      <c r="C858" s="604"/>
      <c r="D858" s="606"/>
      <c r="E858" s="606"/>
      <c r="F858" s="132"/>
      <c r="G858" s="608"/>
      <c r="H858" s="598"/>
      <c r="I858" s="600"/>
      <c r="J858" s="532"/>
      <c r="L858" s="130"/>
      <c r="N858" s="130"/>
      <c r="O858" s="130"/>
    </row>
    <row r="859" spans="1:17" ht="20.100000000000001" customHeight="1" x14ac:dyDescent="0.25">
      <c r="A859" s="130" t="str">
        <f t="shared" ca="1" si="992"/>
        <v>a16Dm000000LZbRIAW</v>
      </c>
      <c r="B859" s="601">
        <v>6</v>
      </c>
      <c r="C859" s="603" t="str">
        <f>IFERROR(VLOOKUP(B859,'Coverage Indicators - Section D'!$A$9:$AO$70,41,FALSE),"")</f>
        <v>HTS-3a⁽ᴹ⁾ Percentage of MSM that have received an HIV test during the reporting period in KP-specific programs and know their results</v>
      </c>
      <c r="D859" s="605" t="str">
        <f>M859</f>
        <v/>
      </c>
      <c r="E859" s="605" t="str">
        <f>N859</f>
        <v/>
      </c>
      <c r="F859" s="131"/>
      <c r="G859" s="607" t="str">
        <f ca="1">IF(OR(INDIRECT("'update Helper'!E"&amp;Q859)="",F859&lt;&gt;0,F860&lt;&gt;0),IF(IFERROR((F859/F860),"")="","",(F859/F860)),INDIRECT("'update Helper'!E"&amp;Q859)/100)</f>
        <v/>
      </c>
      <c r="H859" s="597"/>
      <c r="I859" s="599"/>
      <c r="J859" s="531"/>
      <c r="K859" s="130">
        <f>IF(AND(EXACT(C859,C857),C857&lt;&gt;0),K857+1,0)</f>
        <v>19</v>
      </c>
      <c r="L859" s="130" t="str">
        <f t="shared" ref="L859" si="1033">IF(C859&lt;&gt;"",C859&amp;"-"&amp;K859,"")</f>
        <v>HTS-3a⁽ᴹ⁾ Percentage of MSM that have received an HIV test during the reporting period in KP-specific programs and know their results-19</v>
      </c>
      <c r="M859" s="130" t="str">
        <f t="array" ref="M859">IFERROR(IF(INDEX('Disaggregation Records'!$E$152:$E$513,MATCH(RIGHT(L859,255),RIGHT('Disaggregation Records'!$D$152:$D$513,255),0))="","",INDEX('Disaggregation Records'!$E$152:$E$513,MATCH(RIGHT(L859,255),RIGHT('Disaggregation Records'!$D$152:$D$513,255),0))),"")</f>
        <v/>
      </c>
      <c r="N859" s="130" t="str">
        <f t="array" ref="N859">IFERROR(IF(INDEX('Disaggregation Records'!$F$152:$F$513,MATCH(RIGHT(L859,255),RIGHT('Disaggregation Records'!$D$152:$D$513,255),0))="","",INDEX('Disaggregation Records'!$F$152:$F$513,MATCH(RIGHT(L859,255),RIGHT('Disaggregation Records'!$D$152:$D$513,255),0))),"")</f>
        <v/>
      </c>
      <c r="O859" s="130" t="str">
        <f t="array" ref="O859">IFERROR(IF(INDEX('Disaggregation Records'!$H$152:$H$513,MATCH(RIGHT(L859,255),RIGHT('Disaggregation Records'!$D$152:$D$513,255),0))="","",INDEX('Disaggregation Records'!$H$152:$H$513,MATCH(RIGHT(L859,255),RIGHT('Disaggregation Records'!$D$152:$D$513,255),0))),"")</f>
        <v/>
      </c>
      <c r="Q859" s="52">
        <f t="shared" ref="Q859" si="1034">Q857+1</f>
        <v>1614</v>
      </c>
    </row>
    <row r="860" spans="1:17" ht="20.100000000000001" customHeight="1" x14ac:dyDescent="0.25">
      <c r="B860" s="602"/>
      <c r="C860" s="604"/>
      <c r="D860" s="606"/>
      <c r="E860" s="606"/>
      <c r="F860" s="132"/>
      <c r="G860" s="608"/>
      <c r="H860" s="598"/>
      <c r="I860" s="600"/>
      <c r="J860" s="532"/>
      <c r="L860" s="130"/>
      <c r="N860" s="130"/>
      <c r="O860" s="130"/>
    </row>
    <row r="861" spans="1:17" ht="39.75" customHeight="1" x14ac:dyDescent="0.25">
      <c r="A861" s="130" t="str">
        <f t="shared" ca="1" si="989"/>
        <v>a16Dm000000LZbSIAW</v>
      </c>
      <c r="B861" s="601">
        <v>7</v>
      </c>
      <c r="C861" s="603" t="str">
        <f>IFERROR(VLOOKUP(B861,'Coverage Indicators - Section D'!$A$9:$AO$70,41,FALSE),"")</f>
        <v>HTS-3c⁽ᴹ⁾ Percentage of sex workers that have received an HIV test during the reporting period in KP-specific programs and know their results</v>
      </c>
      <c r="D861" s="605" t="str">
        <f>M861</f>
        <v>Age</v>
      </c>
      <c r="E861" s="605" t="str">
        <f>N861</f>
        <v>25+</v>
      </c>
      <c r="F861" s="131">
        <v>3304</v>
      </c>
      <c r="G861" s="607" t="str">
        <f ca="1">IF(OR(INDIRECT("'update Helper'!E"&amp;Q861)="",F861&lt;&gt;0,F862&lt;&gt;0),IF(IFERROR((F861/F862),"")="","",(F861/F862)),INDIRECT("'update Helper'!E"&amp;Q861)/100)</f>
        <v/>
      </c>
      <c r="H861" s="597">
        <v>2022</v>
      </c>
      <c r="I861" s="599" t="s">
        <v>2239</v>
      </c>
      <c r="J861" s="531" t="s">
        <v>2245</v>
      </c>
      <c r="K861" s="130">
        <f>IF(AND(EXACT(C861,C859),C859&lt;&gt;0),K859+1,0)</f>
        <v>0</v>
      </c>
      <c r="L861" s="130" t="str">
        <f t="shared" ref="L861" si="1035">IF(C861&lt;&gt;"",C861&amp;"-"&amp;K861,"")</f>
        <v>HTS-3c⁽ᴹ⁾ Percentage of sex workers that have received an HIV test during the reporting period in KP-specific programs and know their results-0</v>
      </c>
      <c r="M861" s="130" t="str">
        <f t="array" ref="M861">IFERROR(IF(INDEX('Disaggregation Records'!$E$152:$E$513,MATCH(RIGHT(L861,255),RIGHT('Disaggregation Records'!$D$152:$D$513,255),0))="","",INDEX('Disaggregation Records'!$E$152:$E$513,MATCH(RIGHT(L861,255),RIGHT('Disaggregation Records'!$D$152:$D$513,255),0))),"")</f>
        <v>Age</v>
      </c>
      <c r="N861" s="130" t="str">
        <f t="array" ref="N861">IFERROR(IF(INDEX('Disaggregation Records'!$F$152:$F$513,MATCH(RIGHT(L861,255),RIGHT('Disaggregation Records'!$D$152:$D$513,255),0))="","",INDEX('Disaggregation Records'!$F$152:$F$513,MATCH(RIGHT(L861,255),RIGHT('Disaggregation Records'!$D$152:$D$513,255),0))),"")</f>
        <v>25+</v>
      </c>
      <c r="O861" s="130" t="str">
        <f t="array" ref="O861">IFERROR(IF(INDEX('Disaggregation Records'!$H$152:$H$513,MATCH(RIGHT(L861,255),RIGHT('Disaggregation Records'!$D$152:$D$513,255),0))="","",INDEX('Disaggregation Records'!$H$152:$H$513,MATCH(RIGHT(L861,255),RIGHT('Disaggregation Records'!$D$152:$D$513,255),0))),"")</f>
        <v>IDR-01281</v>
      </c>
      <c r="P861" s="130"/>
      <c r="Q861" s="52">
        <f t="shared" ref="Q861" si="1036">Q859+1</f>
        <v>1615</v>
      </c>
    </row>
    <row r="862" spans="1:17" ht="25.5" customHeight="1" x14ac:dyDescent="0.25">
      <c r="A862" s="130"/>
      <c r="B862" s="602"/>
      <c r="C862" s="604"/>
      <c r="D862" s="606"/>
      <c r="E862" s="606"/>
      <c r="F862" s="132"/>
      <c r="G862" s="608"/>
      <c r="H862" s="598"/>
      <c r="I862" s="600"/>
      <c r="J862" s="532"/>
      <c r="K862" s="130"/>
      <c r="L862" s="130"/>
      <c r="M862" s="130"/>
      <c r="N862" s="130"/>
      <c r="O862" s="130"/>
      <c r="P862" s="130"/>
    </row>
    <row r="863" spans="1:17" ht="25.5" customHeight="1" x14ac:dyDescent="0.25">
      <c r="A863" s="130" t="str">
        <f t="shared" ca="1" si="992"/>
        <v>a16Dm000000LZbTIAW</v>
      </c>
      <c r="B863" s="601">
        <v>7</v>
      </c>
      <c r="C863" s="603" t="str">
        <f>IFERROR(VLOOKUP(B863,'Coverage Indicators - Section D'!$A$9:$AO$70,41,FALSE),"")</f>
        <v>HTS-3c⁽ᴹ⁾ Percentage of sex workers that have received an HIV test during the reporting period in KP-specific programs and know their results</v>
      </c>
      <c r="D863" s="605" t="str">
        <f>M863</f>
        <v>Age</v>
      </c>
      <c r="E863" s="605" t="str">
        <f>N863</f>
        <v>20-24</v>
      </c>
      <c r="F863" s="131">
        <v>491</v>
      </c>
      <c r="G863" s="607" t="str">
        <f ca="1">IF(OR(INDIRECT("'update Helper'!E"&amp;Q863)="",F863&lt;&gt;0,F864&lt;&gt;0),IF(IFERROR((F863/F864),"")="","",(F863/F864)),INDIRECT("'update Helper'!E"&amp;Q863)/100)</f>
        <v/>
      </c>
      <c r="H863" s="597">
        <v>2022</v>
      </c>
      <c r="I863" s="599" t="s">
        <v>2239</v>
      </c>
      <c r="J863" s="531" t="s">
        <v>2245</v>
      </c>
      <c r="K863" s="130">
        <f>IF(AND(EXACT(C863,C861),C861&lt;&gt;0),K861+1,0)</f>
        <v>1</v>
      </c>
      <c r="L863" s="130" t="str">
        <f t="shared" ref="L863" si="1037">IF(C863&lt;&gt;"",C863&amp;"-"&amp;K863,"")</f>
        <v>HTS-3c⁽ᴹ⁾ Percentage of sex workers that have received an HIV test during the reporting period in KP-specific programs and know their results-1</v>
      </c>
      <c r="M863" s="130" t="str">
        <f t="array" ref="M863">IFERROR(IF(INDEX('Disaggregation Records'!$E$152:$E$513,MATCH(RIGHT(L863,255),RIGHT('Disaggregation Records'!$D$152:$D$513,255),0))="","",INDEX('Disaggregation Records'!$E$152:$E$513,MATCH(RIGHT(L863,255),RIGHT('Disaggregation Records'!$D$152:$D$513,255),0))),"")</f>
        <v>Age</v>
      </c>
      <c r="N863" s="130" t="str">
        <f t="array" ref="N863">IFERROR(IF(INDEX('Disaggregation Records'!$F$152:$F$513,MATCH(RIGHT(L863,255),RIGHT('Disaggregation Records'!$D$152:$D$513,255),0))="","",INDEX('Disaggregation Records'!$F$152:$F$513,MATCH(RIGHT(L863,255),RIGHT('Disaggregation Records'!$D$152:$D$513,255),0))),"")</f>
        <v>20-24</v>
      </c>
      <c r="O863" s="130" t="str">
        <f t="array" ref="O863">IFERROR(IF(INDEX('Disaggregation Records'!$H$152:$H$513,MATCH(RIGHT(L863,255),RIGHT('Disaggregation Records'!$D$152:$D$513,255),0))="","",INDEX('Disaggregation Records'!$H$152:$H$513,MATCH(RIGHT(L863,255),RIGHT('Disaggregation Records'!$D$152:$D$513,255),0))),"")</f>
        <v>IDR-01280</v>
      </c>
      <c r="P863" s="130"/>
      <c r="Q863" s="52">
        <f t="shared" ref="Q863" si="1038">Q861+1</f>
        <v>1616</v>
      </c>
    </row>
    <row r="864" spans="1:17" ht="37.5" customHeight="1" x14ac:dyDescent="0.25">
      <c r="B864" s="602"/>
      <c r="C864" s="604"/>
      <c r="D864" s="606"/>
      <c r="E864" s="606"/>
      <c r="F864" s="132"/>
      <c r="G864" s="608"/>
      <c r="H864" s="598"/>
      <c r="I864" s="600"/>
      <c r="J864" s="532"/>
      <c r="K864" s="130"/>
      <c r="L864" s="130"/>
      <c r="M864" s="130"/>
      <c r="N864" s="130"/>
      <c r="O864" s="130"/>
      <c r="P864" s="130"/>
    </row>
    <row r="865" spans="1:17" ht="33" customHeight="1" x14ac:dyDescent="0.25">
      <c r="A865" s="130" t="str">
        <f t="shared" ca="1" si="989"/>
        <v>a16Dm000000LZbUIAW</v>
      </c>
      <c r="B865" s="601">
        <v>7</v>
      </c>
      <c r="C865" s="603" t="str">
        <f>IFERROR(VLOOKUP(B865,'Coverage Indicators - Section D'!$A$9:$AO$70,41,FALSE),"")</f>
        <v>HTS-3c⁽ᴹ⁾ Percentage of sex workers that have received an HIV test during the reporting period in KP-specific programs and know their results</v>
      </c>
      <c r="D865" s="605" t="str">
        <f>M865</f>
        <v>Age</v>
      </c>
      <c r="E865" s="605" t="str">
        <f>N865</f>
        <v>15-19</v>
      </c>
      <c r="F865" s="131">
        <v>48</v>
      </c>
      <c r="G865" s="607" t="str">
        <f ca="1">IF(OR(INDIRECT("'update Helper'!E"&amp;Q865)="",F865&lt;&gt;0,F866&lt;&gt;0),IF(IFERROR((F865/F866),"")="","",(F865/F866)),INDIRECT("'update Helper'!E"&amp;Q865)/100)</f>
        <v/>
      </c>
      <c r="H865" s="597">
        <v>2022</v>
      </c>
      <c r="I865" s="599" t="s">
        <v>2239</v>
      </c>
      <c r="J865" s="531" t="s">
        <v>2245</v>
      </c>
      <c r="K865" s="130">
        <f>IF(AND(EXACT(C865,C863),C863&lt;&gt;0),K863+1,0)</f>
        <v>2</v>
      </c>
      <c r="L865" s="130" t="str">
        <f t="shared" ref="L865" si="1039">IF(C865&lt;&gt;"",C865&amp;"-"&amp;K865,"")</f>
        <v>HTS-3c⁽ᴹ⁾ Percentage of sex workers that have received an HIV test during the reporting period in KP-specific programs and know their results-2</v>
      </c>
      <c r="M865" s="130" t="str">
        <f t="array" ref="M865">IFERROR(IF(INDEX('Disaggregation Records'!$E$152:$E$513,MATCH(RIGHT(L865,255),RIGHT('Disaggregation Records'!$D$152:$D$513,255),0))="","",INDEX('Disaggregation Records'!$E$152:$E$513,MATCH(RIGHT(L865,255),RIGHT('Disaggregation Records'!$D$152:$D$513,255),0))),"")</f>
        <v>Age</v>
      </c>
      <c r="N865" s="130" t="str">
        <f t="array" ref="N865">IFERROR(IF(INDEX('Disaggregation Records'!$F$152:$F$513,MATCH(RIGHT(L865,255),RIGHT('Disaggregation Records'!$D$152:$D$513,255),0))="","",INDEX('Disaggregation Records'!$F$152:$F$513,MATCH(RIGHT(L865,255),RIGHT('Disaggregation Records'!$D$152:$D$513,255),0))),"")</f>
        <v>15-19</v>
      </c>
      <c r="O865" s="130" t="str">
        <f t="array" ref="O865">IFERROR(IF(INDEX('Disaggregation Records'!$H$152:$H$513,MATCH(RIGHT(L865,255),RIGHT('Disaggregation Records'!$D$152:$D$513,255),0))="","",INDEX('Disaggregation Records'!$H$152:$H$513,MATCH(RIGHT(L865,255),RIGHT('Disaggregation Records'!$D$152:$D$513,255),0))),"")</f>
        <v>IDR-01279</v>
      </c>
      <c r="Q865" s="52">
        <f t="shared" ref="Q865" si="1040">Q863+1</f>
        <v>1617</v>
      </c>
    </row>
    <row r="866" spans="1:17" ht="29.25" customHeight="1" x14ac:dyDescent="0.25">
      <c r="A866" s="130"/>
      <c r="B866" s="602"/>
      <c r="C866" s="604"/>
      <c r="D866" s="606"/>
      <c r="E866" s="606"/>
      <c r="F866" s="132"/>
      <c r="G866" s="608"/>
      <c r="H866" s="598"/>
      <c r="I866" s="600"/>
      <c r="J866" s="532"/>
      <c r="L866" s="130"/>
      <c r="N866" s="130"/>
      <c r="O866" s="130"/>
    </row>
    <row r="867" spans="1:17" ht="33.75" customHeight="1" x14ac:dyDescent="0.25">
      <c r="A867" s="130" t="str">
        <f t="shared" ca="1" si="992"/>
        <v>a16Dm000000LZbVIAW</v>
      </c>
      <c r="B867" s="601">
        <v>7</v>
      </c>
      <c r="C867" s="603" t="str">
        <f>IFERROR(VLOOKUP(B867,'Coverage Indicators - Section D'!$A$9:$AO$70,41,FALSE),"")</f>
        <v>HTS-3c⁽ᴹ⁾ Percentage of sex workers that have received an HIV test during the reporting period in KP-specific programs and know their results</v>
      </c>
      <c r="D867" s="605" t="str">
        <f>M867</f>
        <v>Gender</v>
      </c>
      <c r="E867" s="605" t="str">
        <f>N867</f>
        <v>Transgender</v>
      </c>
      <c r="F867" s="131">
        <v>10</v>
      </c>
      <c r="G867" s="607" t="str">
        <f ca="1">IF(OR(INDIRECT("'update Helper'!E"&amp;Q867)="",F867&lt;&gt;0,F868&lt;&gt;0),IF(IFERROR((F867/F868),"")="","",(F867/F868)),INDIRECT("'update Helper'!E"&amp;Q867)/100)</f>
        <v/>
      </c>
      <c r="H867" s="597">
        <v>2022</v>
      </c>
      <c r="I867" s="599" t="s">
        <v>2239</v>
      </c>
      <c r="J867" s="531" t="s">
        <v>2245</v>
      </c>
      <c r="K867" s="130">
        <f>IF(AND(EXACT(C867,C865),C865&lt;&gt;0),K865+1,0)</f>
        <v>3</v>
      </c>
      <c r="L867" s="130" t="str">
        <f t="shared" ref="L867" si="1041">IF(C867&lt;&gt;"",C867&amp;"-"&amp;K867,"")</f>
        <v>HTS-3c⁽ᴹ⁾ Percentage of sex workers that have received an HIV test during the reporting period in KP-specific programs and know their results-3</v>
      </c>
      <c r="M867" s="130" t="str">
        <f t="array" ref="M867">IFERROR(IF(INDEX('Disaggregation Records'!$E$152:$E$513,MATCH(RIGHT(L867,255),RIGHT('Disaggregation Records'!$D$152:$D$513,255),0))="","",INDEX('Disaggregation Records'!$E$152:$E$513,MATCH(RIGHT(L867,255),RIGHT('Disaggregation Records'!$D$152:$D$513,255),0))),"")</f>
        <v>Gender</v>
      </c>
      <c r="N867" s="130" t="str">
        <f t="array" ref="N867">IFERROR(IF(INDEX('Disaggregation Records'!$F$152:$F$513,MATCH(RIGHT(L867,255),RIGHT('Disaggregation Records'!$D$152:$D$513,255),0))="","",INDEX('Disaggregation Records'!$F$152:$F$513,MATCH(RIGHT(L867,255),RIGHT('Disaggregation Records'!$D$152:$D$513,255),0))),"")</f>
        <v>Transgender</v>
      </c>
      <c r="O867" s="130" t="str">
        <f t="array" ref="O867">IFERROR(IF(INDEX('Disaggregation Records'!$H$152:$H$513,MATCH(RIGHT(L867,255),RIGHT('Disaggregation Records'!$D$152:$D$513,255),0))="","",INDEX('Disaggregation Records'!$H$152:$H$513,MATCH(RIGHT(L867,255),RIGHT('Disaggregation Records'!$D$152:$D$513,255),0))),"")</f>
        <v>IDR-01278</v>
      </c>
      <c r="Q867" s="52">
        <f t="shared" ref="Q867" si="1042">Q865+1</f>
        <v>1618</v>
      </c>
    </row>
    <row r="868" spans="1:17" ht="37.5" customHeight="1" x14ac:dyDescent="0.25">
      <c r="B868" s="602"/>
      <c r="C868" s="604"/>
      <c r="D868" s="606"/>
      <c r="E868" s="606"/>
      <c r="F868" s="132"/>
      <c r="G868" s="608"/>
      <c r="H868" s="598"/>
      <c r="I868" s="600"/>
      <c r="J868" s="532"/>
      <c r="L868" s="130"/>
      <c r="N868" s="130"/>
      <c r="O868" s="130"/>
    </row>
    <row r="869" spans="1:17" ht="20.100000000000001" customHeight="1" x14ac:dyDescent="0.25">
      <c r="A869" s="130" t="str">
        <f t="shared" ca="1" si="989"/>
        <v>a16Dm000000LZbWIAW</v>
      </c>
      <c r="B869" s="601">
        <v>7</v>
      </c>
      <c r="C869" s="603" t="str">
        <f>IFERROR(VLOOKUP(B869,'Coverage Indicators - Section D'!$A$9:$AO$70,41,FALSE),"")</f>
        <v>HTS-3c⁽ᴹ⁾ Percentage of sex workers that have received an HIV test during the reporting period in KP-specific programs and know their results</v>
      </c>
      <c r="D869" s="605" t="str">
        <f>M869</f>
        <v>Gender</v>
      </c>
      <c r="E869" s="605" t="str">
        <f>N869</f>
        <v>Male</v>
      </c>
      <c r="F869" s="131">
        <v>17</v>
      </c>
      <c r="G869" s="607" t="str">
        <f ca="1">IF(OR(INDIRECT("'update Helper'!E"&amp;Q869)="",F869&lt;&gt;0,F870&lt;&gt;0),IF(IFERROR((F869/F870),"")="","",(F869/F870)),INDIRECT("'update Helper'!E"&amp;Q869)/100)</f>
        <v/>
      </c>
      <c r="H869" s="597">
        <v>2022</v>
      </c>
      <c r="I869" s="599" t="s">
        <v>2239</v>
      </c>
      <c r="J869" s="531" t="s">
        <v>2245</v>
      </c>
      <c r="K869" s="130">
        <f>IF(AND(EXACT(C869,C867),C867&lt;&gt;0),K867+1,0)</f>
        <v>4</v>
      </c>
      <c r="L869" s="130" t="str">
        <f t="shared" ref="L869" si="1043">IF(C869&lt;&gt;"",C869&amp;"-"&amp;K869,"")</f>
        <v>HTS-3c⁽ᴹ⁾ Percentage of sex workers that have received an HIV test during the reporting period in KP-specific programs and know their results-4</v>
      </c>
      <c r="M869" s="130" t="str">
        <f t="array" ref="M869">IFERROR(IF(INDEX('Disaggregation Records'!$E$152:$E$513,MATCH(RIGHT(L869,255),RIGHT('Disaggregation Records'!$D$152:$D$513,255),0))="","",INDEX('Disaggregation Records'!$E$152:$E$513,MATCH(RIGHT(L869,255),RIGHT('Disaggregation Records'!$D$152:$D$513,255),0))),"")</f>
        <v>Gender</v>
      </c>
      <c r="N869" s="130" t="str">
        <f t="array" ref="N869">IFERROR(IF(INDEX('Disaggregation Records'!$F$152:$F$513,MATCH(RIGHT(L869,255),RIGHT('Disaggregation Records'!$D$152:$D$513,255),0))="","",INDEX('Disaggregation Records'!$F$152:$F$513,MATCH(RIGHT(L869,255),RIGHT('Disaggregation Records'!$D$152:$D$513,255),0))),"")</f>
        <v>Male</v>
      </c>
      <c r="O869" s="130" t="str">
        <f t="array" ref="O869">IFERROR(IF(INDEX('Disaggregation Records'!$H$152:$H$513,MATCH(RIGHT(L869,255),RIGHT('Disaggregation Records'!$D$152:$D$513,255),0))="","",INDEX('Disaggregation Records'!$H$152:$H$513,MATCH(RIGHT(L869,255),RIGHT('Disaggregation Records'!$D$152:$D$513,255),0))),"")</f>
        <v>IDR-01277</v>
      </c>
      <c r="Q869" s="52">
        <f t="shared" ref="Q869" si="1044">Q867+1</f>
        <v>1619</v>
      </c>
    </row>
    <row r="870" spans="1:17" ht="36.75" customHeight="1" x14ac:dyDescent="0.25">
      <c r="A870" s="130"/>
      <c r="B870" s="602"/>
      <c r="C870" s="604"/>
      <c r="D870" s="606"/>
      <c r="E870" s="606"/>
      <c r="F870" s="132"/>
      <c r="G870" s="608"/>
      <c r="H870" s="598"/>
      <c r="I870" s="600"/>
      <c r="J870" s="532"/>
      <c r="L870" s="130"/>
      <c r="N870" s="130"/>
      <c r="O870" s="130"/>
    </row>
    <row r="871" spans="1:17" ht="35.25" customHeight="1" x14ac:dyDescent="0.25">
      <c r="A871" s="130" t="str">
        <f t="shared" ca="1" si="992"/>
        <v>a16Dm000000LZbXIAW</v>
      </c>
      <c r="B871" s="601">
        <v>7</v>
      </c>
      <c r="C871" s="603" t="str">
        <f>IFERROR(VLOOKUP(B871,'Coverage Indicators - Section D'!$A$9:$AO$70,41,FALSE),"")</f>
        <v>HTS-3c⁽ᴹ⁾ Percentage of sex workers that have received an HIV test during the reporting period in KP-specific programs and know their results</v>
      </c>
      <c r="D871" s="605" t="str">
        <f>M871</f>
        <v>Gender</v>
      </c>
      <c r="E871" s="605" t="str">
        <f>N871</f>
        <v>Female</v>
      </c>
      <c r="F871" s="131">
        <v>3816</v>
      </c>
      <c r="G871" s="607" t="str">
        <f ca="1">IF(OR(INDIRECT("'update Helper'!E"&amp;Q871)="",F871&lt;&gt;0,F872&lt;&gt;0),IF(IFERROR((F871/F872),"")="","",(F871/F872)),INDIRECT("'update Helper'!E"&amp;Q871)/100)</f>
        <v/>
      </c>
      <c r="H871" s="597">
        <v>2022</v>
      </c>
      <c r="I871" s="599" t="s">
        <v>2239</v>
      </c>
      <c r="J871" s="531" t="s">
        <v>2245</v>
      </c>
      <c r="K871" s="130">
        <f>IF(AND(EXACT(C871,C869),C869&lt;&gt;0),K869+1,0)</f>
        <v>5</v>
      </c>
      <c r="L871" s="130" t="str">
        <f t="shared" ref="L871" si="1045">IF(C871&lt;&gt;"",C871&amp;"-"&amp;K871,"")</f>
        <v>HTS-3c⁽ᴹ⁾ Percentage of sex workers that have received an HIV test during the reporting period in KP-specific programs and know their results-5</v>
      </c>
      <c r="M871" s="130" t="str">
        <f t="array" ref="M871">IFERROR(IF(INDEX('Disaggregation Records'!$E$152:$E$513,MATCH(RIGHT(L871,255),RIGHT('Disaggregation Records'!$D$152:$D$513,255),0))="","",INDEX('Disaggregation Records'!$E$152:$E$513,MATCH(RIGHT(L871,255),RIGHT('Disaggregation Records'!$D$152:$D$513,255),0))),"")</f>
        <v>Gender</v>
      </c>
      <c r="N871" s="130" t="str">
        <f t="array" ref="N871">IFERROR(IF(INDEX('Disaggregation Records'!$F$152:$F$513,MATCH(RIGHT(L871,255),RIGHT('Disaggregation Records'!$D$152:$D$513,255),0))="","",INDEX('Disaggregation Records'!$F$152:$F$513,MATCH(RIGHT(L871,255),RIGHT('Disaggregation Records'!$D$152:$D$513,255),0))),"")</f>
        <v>Female</v>
      </c>
      <c r="O871" s="130" t="str">
        <f t="array" ref="O871">IFERROR(IF(INDEX('Disaggregation Records'!$H$152:$H$513,MATCH(RIGHT(L871,255),RIGHT('Disaggregation Records'!$D$152:$D$513,255),0))="","",INDEX('Disaggregation Records'!$H$152:$H$513,MATCH(RIGHT(L871,255),RIGHT('Disaggregation Records'!$D$152:$D$513,255),0))),"")</f>
        <v>IDR-01276</v>
      </c>
      <c r="P871" s="130"/>
      <c r="Q871" s="52">
        <f t="shared" ref="Q871" si="1046">Q869+1</f>
        <v>1620</v>
      </c>
    </row>
    <row r="872" spans="1:17" ht="30" customHeight="1" x14ac:dyDescent="0.25">
      <c r="B872" s="602"/>
      <c r="C872" s="604"/>
      <c r="D872" s="606"/>
      <c r="E872" s="606"/>
      <c r="F872" s="132"/>
      <c r="G872" s="608"/>
      <c r="H872" s="598"/>
      <c r="I872" s="600"/>
      <c r="J872" s="532"/>
      <c r="K872" s="130"/>
      <c r="L872" s="130"/>
      <c r="M872" s="130"/>
      <c r="N872" s="130"/>
      <c r="O872" s="130"/>
      <c r="P872" s="130"/>
    </row>
    <row r="873" spans="1:17" ht="36" customHeight="1" x14ac:dyDescent="0.25">
      <c r="A873" s="130" t="str">
        <f t="shared" ca="1" si="989"/>
        <v>a16Dm000000LZbYIAW</v>
      </c>
      <c r="B873" s="601">
        <v>7</v>
      </c>
      <c r="C873" s="603" t="str">
        <f>IFERROR(VLOOKUP(B873,'Coverage Indicators - Section D'!$A$9:$AO$70,41,FALSE),"")</f>
        <v>HTS-3c⁽ᴹ⁾ Percentage of sex workers that have received an HIV test during the reporting period in KP-specific programs and know their results</v>
      </c>
      <c r="D873" s="605" t="str">
        <f>M873</f>
        <v/>
      </c>
      <c r="E873" s="605" t="str">
        <f>N873</f>
        <v/>
      </c>
      <c r="F873" s="131"/>
      <c r="G873" s="607" t="str">
        <f ca="1">IF(OR(INDIRECT("'update Helper'!E"&amp;Q873)="",F873&lt;&gt;0,F874&lt;&gt;0),IF(IFERROR((F873/F874),"")="","",(F873/F874)),INDIRECT("'update Helper'!E"&amp;Q873)/100)</f>
        <v/>
      </c>
      <c r="H873" s="597"/>
      <c r="I873" s="599"/>
      <c r="J873" s="531"/>
      <c r="K873" s="130">
        <f>IF(AND(EXACT(C873,C871),C871&lt;&gt;0),K871+1,0)</f>
        <v>6</v>
      </c>
      <c r="L873" s="130" t="str">
        <f t="shared" ref="L873" si="1047">IF(C873&lt;&gt;"",C873&amp;"-"&amp;K873,"")</f>
        <v>HTS-3c⁽ᴹ⁾ Percentage of sex workers that have received an HIV test during the reporting period in KP-specific programs and know their results-6</v>
      </c>
      <c r="M873" s="130" t="str">
        <f t="array" ref="M873">IFERROR(IF(INDEX('Disaggregation Records'!$E$152:$E$513,MATCH(RIGHT(L873,255),RIGHT('Disaggregation Records'!$D$152:$D$513,255),0))="","",INDEX('Disaggregation Records'!$E$152:$E$513,MATCH(RIGHT(L873,255),RIGHT('Disaggregation Records'!$D$152:$D$513,255),0))),"")</f>
        <v/>
      </c>
      <c r="N873" s="130" t="str">
        <f t="array" ref="N873">IFERROR(IF(INDEX('Disaggregation Records'!$F$152:$F$513,MATCH(RIGHT(L873,255),RIGHT('Disaggregation Records'!$D$152:$D$513,255),0))="","",INDEX('Disaggregation Records'!$F$152:$F$513,MATCH(RIGHT(L873,255),RIGHT('Disaggregation Records'!$D$152:$D$513,255),0))),"")</f>
        <v/>
      </c>
      <c r="O873" s="130" t="str">
        <f t="array" ref="O873">IFERROR(IF(INDEX('Disaggregation Records'!$H$152:$H$513,MATCH(RIGHT(L873,255),RIGHT('Disaggregation Records'!$D$152:$D$513,255),0))="","",INDEX('Disaggregation Records'!$H$152:$H$513,MATCH(RIGHT(L873,255),RIGHT('Disaggregation Records'!$D$152:$D$513,255),0))),"")</f>
        <v/>
      </c>
      <c r="P873" s="130"/>
      <c r="Q873" s="52">
        <f t="shared" ref="Q873" si="1048">Q871+1</f>
        <v>1621</v>
      </c>
    </row>
    <row r="874" spans="1:17" ht="20.100000000000001" customHeight="1" x14ac:dyDescent="0.25">
      <c r="A874" s="130"/>
      <c r="B874" s="602"/>
      <c r="C874" s="604"/>
      <c r="D874" s="606"/>
      <c r="E874" s="606"/>
      <c r="F874" s="132"/>
      <c r="G874" s="608"/>
      <c r="H874" s="598"/>
      <c r="I874" s="600"/>
      <c r="J874" s="532"/>
      <c r="K874" s="130"/>
      <c r="L874" s="130"/>
      <c r="M874" s="130"/>
      <c r="N874" s="130"/>
      <c r="O874" s="130"/>
      <c r="P874" s="130"/>
    </row>
    <row r="875" spans="1:17" ht="20.100000000000001" customHeight="1" x14ac:dyDescent="0.25">
      <c r="A875" s="130" t="str">
        <f t="shared" ca="1" si="992"/>
        <v>a16Dm000000LZbZIAW</v>
      </c>
      <c r="B875" s="601">
        <v>7</v>
      </c>
      <c r="C875" s="603" t="str">
        <f>IFERROR(VLOOKUP(B875,'Coverage Indicators - Section D'!$A$9:$AO$70,41,FALSE),"")</f>
        <v>HTS-3c⁽ᴹ⁾ Percentage of sex workers that have received an HIV test during the reporting period in KP-specific programs and know their results</v>
      </c>
      <c r="D875" s="605" t="str">
        <f>M875</f>
        <v/>
      </c>
      <c r="E875" s="605" t="str">
        <f>N875</f>
        <v/>
      </c>
      <c r="F875" s="131"/>
      <c r="G875" s="607" t="str">
        <f ca="1">IF(OR(INDIRECT("'update Helper'!E"&amp;Q875)="",F875&lt;&gt;0,F876&lt;&gt;0),IF(IFERROR((F875/F876),"")="","",(F875/F876)),INDIRECT("'update Helper'!E"&amp;Q875)/100)</f>
        <v/>
      </c>
      <c r="H875" s="597"/>
      <c r="I875" s="599"/>
      <c r="J875" s="531"/>
      <c r="K875" s="130">
        <f>IF(AND(EXACT(C875,C873),C873&lt;&gt;0),K873+1,0)</f>
        <v>7</v>
      </c>
      <c r="L875" s="130" t="str">
        <f t="shared" ref="L875" si="1049">IF(C875&lt;&gt;"",C875&amp;"-"&amp;K875,"")</f>
        <v>HTS-3c⁽ᴹ⁾ Percentage of sex workers that have received an HIV test during the reporting period in KP-specific programs and know their results-7</v>
      </c>
      <c r="M875" s="130" t="str">
        <f t="array" ref="M875">IFERROR(IF(INDEX('Disaggregation Records'!$E$152:$E$513,MATCH(RIGHT(L875,255),RIGHT('Disaggregation Records'!$D$152:$D$513,255),0))="","",INDEX('Disaggregation Records'!$E$152:$E$513,MATCH(RIGHT(L875,255),RIGHT('Disaggregation Records'!$D$152:$D$513,255),0))),"")</f>
        <v/>
      </c>
      <c r="N875" s="130" t="str">
        <f t="array" ref="N875">IFERROR(IF(INDEX('Disaggregation Records'!$F$152:$F$513,MATCH(RIGHT(L875,255),RIGHT('Disaggregation Records'!$D$152:$D$513,255),0))="","",INDEX('Disaggregation Records'!$F$152:$F$513,MATCH(RIGHT(L875,255),RIGHT('Disaggregation Records'!$D$152:$D$513,255),0))),"")</f>
        <v/>
      </c>
      <c r="O875" s="130" t="str">
        <f t="array" ref="O875">IFERROR(IF(INDEX('Disaggregation Records'!$H$152:$H$513,MATCH(RIGHT(L875,255),RIGHT('Disaggregation Records'!$D$152:$D$513,255),0))="","",INDEX('Disaggregation Records'!$H$152:$H$513,MATCH(RIGHT(L875,255),RIGHT('Disaggregation Records'!$D$152:$D$513,255),0))),"")</f>
        <v/>
      </c>
      <c r="Q875" s="52">
        <f t="shared" ref="Q875" si="1050">Q873+1</f>
        <v>1622</v>
      </c>
    </row>
    <row r="876" spans="1:17" ht="20.100000000000001" customHeight="1" x14ac:dyDescent="0.25">
      <c r="B876" s="602"/>
      <c r="C876" s="604"/>
      <c r="D876" s="606"/>
      <c r="E876" s="606"/>
      <c r="F876" s="132"/>
      <c r="G876" s="608"/>
      <c r="H876" s="598"/>
      <c r="I876" s="600"/>
      <c r="J876" s="532"/>
      <c r="L876" s="130"/>
      <c r="N876" s="130"/>
      <c r="O876" s="130"/>
    </row>
    <row r="877" spans="1:17" ht="20.100000000000001" customHeight="1" x14ac:dyDescent="0.25">
      <c r="A877" s="130" t="str">
        <f t="shared" ca="1" si="989"/>
        <v>a16Dm000000LZbaIAG</v>
      </c>
      <c r="B877" s="601">
        <v>7</v>
      </c>
      <c r="C877" s="603" t="str">
        <f>IFERROR(VLOOKUP(B877,'Coverage Indicators - Section D'!$A$9:$AO$70,41,FALSE),"")</f>
        <v>HTS-3c⁽ᴹ⁾ Percentage of sex workers that have received an HIV test during the reporting period in KP-specific programs and know their results</v>
      </c>
      <c r="D877" s="605" t="str">
        <f>M877</f>
        <v/>
      </c>
      <c r="E877" s="605" t="str">
        <f>N877</f>
        <v/>
      </c>
      <c r="F877" s="131"/>
      <c r="G877" s="607" t="str">
        <f ca="1">IF(OR(INDIRECT("'update Helper'!E"&amp;Q877)="",F877&lt;&gt;0,F878&lt;&gt;0),IF(IFERROR((F877/F878),"")="","",(F877/F878)),INDIRECT("'update Helper'!E"&amp;Q877)/100)</f>
        <v/>
      </c>
      <c r="H877" s="597"/>
      <c r="I877" s="599"/>
      <c r="J877" s="531"/>
      <c r="K877" s="130">
        <f>IF(AND(EXACT(C877,C875),C875&lt;&gt;0),K875+1,0)</f>
        <v>8</v>
      </c>
      <c r="L877" s="130" t="str">
        <f t="shared" ref="L877" si="1051">IF(C877&lt;&gt;"",C877&amp;"-"&amp;K877,"")</f>
        <v>HTS-3c⁽ᴹ⁾ Percentage of sex workers that have received an HIV test during the reporting period in KP-specific programs and know their results-8</v>
      </c>
      <c r="M877" s="130" t="str">
        <f t="array" ref="M877">IFERROR(IF(INDEX('Disaggregation Records'!$E$152:$E$513,MATCH(RIGHT(L877,255),RIGHT('Disaggregation Records'!$D$152:$D$513,255),0))="","",INDEX('Disaggregation Records'!$E$152:$E$513,MATCH(RIGHT(L877,255),RIGHT('Disaggregation Records'!$D$152:$D$513,255),0))),"")</f>
        <v/>
      </c>
      <c r="N877" s="130" t="str">
        <f t="array" ref="N877">IFERROR(IF(INDEX('Disaggregation Records'!$F$152:$F$513,MATCH(RIGHT(L877,255),RIGHT('Disaggregation Records'!$D$152:$D$513,255),0))="","",INDEX('Disaggregation Records'!$F$152:$F$513,MATCH(RIGHT(L877,255),RIGHT('Disaggregation Records'!$D$152:$D$513,255),0))),"")</f>
        <v/>
      </c>
      <c r="O877" s="130" t="str">
        <f t="array" ref="O877">IFERROR(IF(INDEX('Disaggregation Records'!$H$152:$H$513,MATCH(RIGHT(L877,255),RIGHT('Disaggregation Records'!$D$152:$D$513,255),0))="","",INDEX('Disaggregation Records'!$H$152:$H$513,MATCH(RIGHT(L877,255),RIGHT('Disaggregation Records'!$D$152:$D$513,255),0))),"")</f>
        <v/>
      </c>
      <c r="Q877" s="52">
        <f t="shared" ref="Q877" si="1052">Q875+1</f>
        <v>1623</v>
      </c>
    </row>
    <row r="878" spans="1:17" ht="20.100000000000001" customHeight="1" x14ac:dyDescent="0.25">
      <c r="A878" s="130"/>
      <c r="B878" s="602"/>
      <c r="C878" s="604"/>
      <c r="D878" s="606"/>
      <c r="E878" s="606"/>
      <c r="F878" s="132"/>
      <c r="G878" s="608"/>
      <c r="H878" s="598"/>
      <c r="I878" s="600"/>
      <c r="J878" s="532"/>
      <c r="L878" s="130"/>
      <c r="N878" s="130"/>
      <c r="O878" s="130"/>
    </row>
    <row r="879" spans="1:17" ht="20.100000000000001" customHeight="1" x14ac:dyDescent="0.25">
      <c r="A879" s="130" t="str">
        <f t="shared" ca="1" si="992"/>
        <v>a16Dm000000LZbbIAG</v>
      </c>
      <c r="B879" s="601">
        <v>7</v>
      </c>
      <c r="C879" s="603" t="str">
        <f>IFERROR(VLOOKUP(B879,'Coverage Indicators - Section D'!$A$9:$AO$70,41,FALSE),"")</f>
        <v>HTS-3c⁽ᴹ⁾ Percentage of sex workers that have received an HIV test during the reporting period in KP-specific programs and know their results</v>
      </c>
      <c r="D879" s="605" t="str">
        <f>M879</f>
        <v/>
      </c>
      <c r="E879" s="605" t="str">
        <f>N879</f>
        <v/>
      </c>
      <c r="F879" s="131"/>
      <c r="G879" s="607" t="str">
        <f ca="1">IF(OR(INDIRECT("'update Helper'!E"&amp;Q879)="",F879&lt;&gt;0,F880&lt;&gt;0),IF(IFERROR((F879/F880),"")="","",(F879/F880)),INDIRECT("'update Helper'!E"&amp;Q879)/100)</f>
        <v/>
      </c>
      <c r="H879" s="597"/>
      <c r="I879" s="599"/>
      <c r="J879" s="531"/>
      <c r="K879" s="130">
        <f>IF(AND(EXACT(C879,C877),C877&lt;&gt;0),K877+1,0)</f>
        <v>9</v>
      </c>
      <c r="L879" s="130" t="str">
        <f t="shared" ref="L879" si="1053">IF(C879&lt;&gt;"",C879&amp;"-"&amp;K879,"")</f>
        <v>HTS-3c⁽ᴹ⁾ Percentage of sex workers that have received an HIV test during the reporting period in KP-specific programs and know their results-9</v>
      </c>
      <c r="M879" s="130" t="str">
        <f t="array" ref="M879">IFERROR(IF(INDEX('Disaggregation Records'!$E$152:$E$513,MATCH(RIGHT(L879,255),RIGHT('Disaggregation Records'!$D$152:$D$513,255),0))="","",INDEX('Disaggregation Records'!$E$152:$E$513,MATCH(RIGHT(L879,255),RIGHT('Disaggregation Records'!$D$152:$D$513,255),0))),"")</f>
        <v/>
      </c>
      <c r="N879" s="130" t="str">
        <f t="array" ref="N879">IFERROR(IF(INDEX('Disaggregation Records'!$F$152:$F$513,MATCH(RIGHT(L879,255),RIGHT('Disaggregation Records'!$D$152:$D$513,255),0))="","",INDEX('Disaggregation Records'!$F$152:$F$513,MATCH(RIGHT(L879,255),RIGHT('Disaggregation Records'!$D$152:$D$513,255),0))),"")</f>
        <v/>
      </c>
      <c r="O879" s="130" t="str">
        <f t="array" ref="O879">IFERROR(IF(INDEX('Disaggregation Records'!$H$152:$H$513,MATCH(RIGHT(L879,255),RIGHT('Disaggregation Records'!$D$152:$D$513,255),0))="","",INDEX('Disaggregation Records'!$H$152:$H$513,MATCH(RIGHT(L879,255),RIGHT('Disaggregation Records'!$D$152:$D$513,255),0))),"")</f>
        <v/>
      </c>
      <c r="Q879" s="52">
        <f t="shared" ref="Q879" si="1054">Q877+1</f>
        <v>1624</v>
      </c>
    </row>
    <row r="880" spans="1:17" ht="20.100000000000001" customHeight="1" x14ac:dyDescent="0.25">
      <c r="B880" s="602"/>
      <c r="C880" s="604"/>
      <c r="D880" s="606"/>
      <c r="E880" s="606"/>
      <c r="F880" s="132"/>
      <c r="G880" s="608"/>
      <c r="H880" s="598"/>
      <c r="I880" s="600"/>
      <c r="J880" s="532"/>
      <c r="L880" s="130"/>
      <c r="N880" s="130"/>
      <c r="O880" s="130"/>
    </row>
    <row r="881" spans="1:17" ht="20.100000000000001" customHeight="1" x14ac:dyDescent="0.25">
      <c r="A881" s="130" t="str">
        <f t="shared" ref="A881:A941" ca="1" si="1055">INDIRECT("'update Helper'!C"&amp;Q881)</f>
        <v>a16Dm000000LZbcIAG</v>
      </c>
      <c r="B881" s="601">
        <v>7</v>
      </c>
      <c r="C881" s="603" t="str">
        <f>IFERROR(VLOOKUP(B881,'Coverage Indicators - Section D'!$A$9:$AO$70,41,FALSE),"")</f>
        <v>HTS-3c⁽ᴹ⁾ Percentage of sex workers that have received an HIV test during the reporting period in KP-specific programs and know their results</v>
      </c>
      <c r="D881" s="605" t="str">
        <f>M881</f>
        <v/>
      </c>
      <c r="E881" s="605" t="str">
        <f>N881</f>
        <v/>
      </c>
      <c r="F881" s="131"/>
      <c r="G881" s="607" t="str">
        <f ca="1">IF(OR(INDIRECT("'update Helper'!E"&amp;Q881)="",F881&lt;&gt;0,F882&lt;&gt;0),IF(IFERROR((F881/F882),"")="","",(F881/F882)),INDIRECT("'update Helper'!E"&amp;Q881)/100)</f>
        <v/>
      </c>
      <c r="H881" s="597"/>
      <c r="I881" s="599"/>
      <c r="J881" s="531"/>
      <c r="K881" s="130">
        <f>IF(AND(EXACT(C881,C879),C879&lt;&gt;0),K879+1,0)</f>
        <v>10</v>
      </c>
      <c r="L881" s="130" t="str">
        <f t="shared" ref="L881" si="1056">IF(C881&lt;&gt;"",C881&amp;"-"&amp;K881,"")</f>
        <v>HTS-3c⁽ᴹ⁾ Percentage of sex workers that have received an HIV test during the reporting period in KP-specific programs and know their results-10</v>
      </c>
      <c r="M881" s="130" t="str">
        <f t="array" ref="M881">IFERROR(IF(INDEX('Disaggregation Records'!$E$152:$E$513,MATCH(RIGHT(L881,255),RIGHT('Disaggregation Records'!$D$152:$D$513,255),0))="","",INDEX('Disaggregation Records'!$E$152:$E$513,MATCH(RIGHT(L881,255),RIGHT('Disaggregation Records'!$D$152:$D$513,255),0))),"")</f>
        <v/>
      </c>
      <c r="N881" s="130" t="str">
        <f t="array" ref="N881">IFERROR(IF(INDEX('Disaggregation Records'!$F$152:$F$513,MATCH(RIGHT(L881,255),RIGHT('Disaggregation Records'!$D$152:$D$513,255),0))="","",INDEX('Disaggregation Records'!$F$152:$F$513,MATCH(RIGHT(L881,255),RIGHT('Disaggregation Records'!$D$152:$D$513,255),0))),"")</f>
        <v/>
      </c>
      <c r="O881" s="130" t="str">
        <f t="array" ref="O881">IFERROR(IF(INDEX('Disaggregation Records'!$H$152:$H$513,MATCH(RIGHT(L881,255),RIGHT('Disaggregation Records'!$D$152:$D$513,255),0))="","",INDEX('Disaggregation Records'!$H$152:$H$513,MATCH(RIGHT(L881,255),RIGHT('Disaggregation Records'!$D$152:$D$513,255),0))),"")</f>
        <v/>
      </c>
      <c r="P881" s="130"/>
      <c r="Q881" s="52">
        <f t="shared" ref="Q881" si="1057">Q879+1</f>
        <v>1625</v>
      </c>
    </row>
    <row r="882" spans="1:17" ht="20.100000000000001" customHeight="1" x14ac:dyDescent="0.25">
      <c r="A882" s="130"/>
      <c r="B882" s="602"/>
      <c r="C882" s="604"/>
      <c r="D882" s="606"/>
      <c r="E882" s="606"/>
      <c r="F882" s="132"/>
      <c r="G882" s="608"/>
      <c r="H882" s="598"/>
      <c r="I882" s="600"/>
      <c r="J882" s="532"/>
      <c r="K882" s="130"/>
      <c r="L882" s="130"/>
      <c r="M882" s="130"/>
      <c r="N882" s="130"/>
      <c r="O882" s="130"/>
      <c r="P882" s="130"/>
    </row>
    <row r="883" spans="1:17" ht="20.100000000000001" customHeight="1" x14ac:dyDescent="0.25">
      <c r="A883" s="130" t="str">
        <f t="shared" ref="A883:A943" ca="1" si="1058">INDIRECT("'update Helper'!C"&amp;Q883)</f>
        <v>a16Dm000000LZbdIAG</v>
      </c>
      <c r="B883" s="601">
        <v>7</v>
      </c>
      <c r="C883" s="603" t="str">
        <f>IFERROR(VLOOKUP(B883,'Coverage Indicators - Section D'!$A$9:$AO$70,41,FALSE),"")</f>
        <v>HTS-3c⁽ᴹ⁾ Percentage of sex workers that have received an HIV test during the reporting period in KP-specific programs and know their results</v>
      </c>
      <c r="D883" s="605" t="str">
        <f>M883</f>
        <v/>
      </c>
      <c r="E883" s="605" t="str">
        <f>N883</f>
        <v/>
      </c>
      <c r="F883" s="131"/>
      <c r="G883" s="607" t="str">
        <f ca="1">IF(OR(INDIRECT("'update Helper'!E"&amp;Q883)="",F883&lt;&gt;0,F884&lt;&gt;0),IF(IFERROR((F883/F884),"")="","",(F883/F884)),INDIRECT("'update Helper'!E"&amp;Q883)/100)</f>
        <v/>
      </c>
      <c r="H883" s="597"/>
      <c r="I883" s="599"/>
      <c r="J883" s="531"/>
      <c r="K883" s="130">
        <f>IF(AND(EXACT(C883,C881),C881&lt;&gt;0),K881+1,0)</f>
        <v>11</v>
      </c>
      <c r="L883" s="130" t="str">
        <f t="shared" ref="L883" si="1059">IF(C883&lt;&gt;"",C883&amp;"-"&amp;K883,"")</f>
        <v>HTS-3c⁽ᴹ⁾ Percentage of sex workers that have received an HIV test during the reporting period in KP-specific programs and know their results-11</v>
      </c>
      <c r="M883" s="130" t="str">
        <f t="array" ref="M883">IFERROR(IF(INDEX('Disaggregation Records'!$E$152:$E$513,MATCH(RIGHT(L883,255),RIGHT('Disaggregation Records'!$D$152:$D$513,255),0))="","",INDEX('Disaggregation Records'!$E$152:$E$513,MATCH(RIGHT(L883,255),RIGHT('Disaggregation Records'!$D$152:$D$513,255),0))),"")</f>
        <v/>
      </c>
      <c r="N883" s="130" t="str">
        <f t="array" ref="N883">IFERROR(IF(INDEX('Disaggregation Records'!$F$152:$F$513,MATCH(RIGHT(L883,255),RIGHT('Disaggregation Records'!$D$152:$D$513,255),0))="","",INDEX('Disaggregation Records'!$F$152:$F$513,MATCH(RIGHT(L883,255),RIGHT('Disaggregation Records'!$D$152:$D$513,255),0))),"")</f>
        <v/>
      </c>
      <c r="O883" s="130" t="str">
        <f t="array" ref="O883">IFERROR(IF(INDEX('Disaggregation Records'!$H$152:$H$513,MATCH(RIGHT(L883,255),RIGHT('Disaggregation Records'!$D$152:$D$513,255),0))="","",INDEX('Disaggregation Records'!$H$152:$H$513,MATCH(RIGHT(L883,255),RIGHT('Disaggregation Records'!$D$152:$D$513,255),0))),"")</f>
        <v/>
      </c>
      <c r="P883" s="130"/>
      <c r="Q883" s="52">
        <f t="shared" ref="Q883" si="1060">Q881+1</f>
        <v>1626</v>
      </c>
    </row>
    <row r="884" spans="1:17" ht="20.100000000000001" customHeight="1" x14ac:dyDescent="0.25">
      <c r="B884" s="602"/>
      <c r="C884" s="604"/>
      <c r="D884" s="606"/>
      <c r="E884" s="606"/>
      <c r="F884" s="132"/>
      <c r="G884" s="608"/>
      <c r="H884" s="598"/>
      <c r="I884" s="600"/>
      <c r="J884" s="532"/>
      <c r="K884" s="130"/>
      <c r="L884" s="130"/>
      <c r="M884" s="130"/>
      <c r="N884" s="130"/>
      <c r="O884" s="130"/>
      <c r="P884" s="130"/>
    </row>
    <row r="885" spans="1:17" ht="20.100000000000001" customHeight="1" x14ac:dyDescent="0.25">
      <c r="A885" s="130" t="str">
        <f t="shared" ca="1" si="1055"/>
        <v>a16Dm000000LZbeIAG</v>
      </c>
      <c r="B885" s="601">
        <v>7</v>
      </c>
      <c r="C885" s="603" t="str">
        <f>IFERROR(VLOOKUP(B885,'Coverage Indicators - Section D'!$A$9:$AO$70,41,FALSE),"")</f>
        <v>HTS-3c⁽ᴹ⁾ Percentage of sex workers that have received an HIV test during the reporting period in KP-specific programs and know their results</v>
      </c>
      <c r="D885" s="605" t="str">
        <f>M885</f>
        <v/>
      </c>
      <c r="E885" s="605" t="str">
        <f>N885</f>
        <v/>
      </c>
      <c r="F885" s="131"/>
      <c r="G885" s="607" t="str">
        <f ca="1">IF(OR(INDIRECT("'update Helper'!E"&amp;Q885)="",F885&lt;&gt;0,F886&lt;&gt;0),IF(IFERROR((F885/F886),"")="","",(F885/F886)),INDIRECT("'update Helper'!E"&amp;Q885)/100)</f>
        <v/>
      </c>
      <c r="H885" s="597"/>
      <c r="I885" s="599"/>
      <c r="J885" s="531"/>
      <c r="K885" s="130">
        <f>IF(AND(EXACT(C885,C883),C883&lt;&gt;0),K883+1,0)</f>
        <v>12</v>
      </c>
      <c r="L885" s="130" t="str">
        <f t="shared" ref="L885" si="1061">IF(C885&lt;&gt;"",C885&amp;"-"&amp;K885,"")</f>
        <v>HTS-3c⁽ᴹ⁾ Percentage of sex workers that have received an HIV test during the reporting period in KP-specific programs and know their results-12</v>
      </c>
      <c r="M885" s="130" t="str">
        <f t="array" ref="M885">IFERROR(IF(INDEX('Disaggregation Records'!$E$152:$E$513,MATCH(RIGHT(L885,255),RIGHT('Disaggregation Records'!$D$152:$D$513,255),0))="","",INDEX('Disaggregation Records'!$E$152:$E$513,MATCH(RIGHT(L885,255),RIGHT('Disaggregation Records'!$D$152:$D$513,255),0))),"")</f>
        <v/>
      </c>
      <c r="N885" s="130" t="str">
        <f t="array" ref="N885">IFERROR(IF(INDEX('Disaggregation Records'!$F$152:$F$513,MATCH(RIGHT(L885,255),RIGHT('Disaggregation Records'!$D$152:$D$513,255),0))="","",INDEX('Disaggregation Records'!$F$152:$F$513,MATCH(RIGHT(L885,255),RIGHT('Disaggregation Records'!$D$152:$D$513,255),0))),"")</f>
        <v/>
      </c>
      <c r="O885" s="130" t="str">
        <f t="array" ref="O885">IFERROR(IF(INDEX('Disaggregation Records'!$H$152:$H$513,MATCH(RIGHT(L885,255),RIGHT('Disaggregation Records'!$D$152:$D$513,255),0))="","",INDEX('Disaggregation Records'!$H$152:$H$513,MATCH(RIGHT(L885,255),RIGHT('Disaggregation Records'!$D$152:$D$513,255),0))),"")</f>
        <v/>
      </c>
      <c r="Q885" s="52">
        <f t="shared" ref="Q885" si="1062">Q883+1</f>
        <v>1627</v>
      </c>
    </row>
    <row r="886" spans="1:17" ht="20.100000000000001" customHeight="1" x14ac:dyDescent="0.25">
      <c r="A886" s="130"/>
      <c r="B886" s="602"/>
      <c r="C886" s="604"/>
      <c r="D886" s="606"/>
      <c r="E886" s="606"/>
      <c r="F886" s="132"/>
      <c r="G886" s="608"/>
      <c r="H886" s="598"/>
      <c r="I886" s="600"/>
      <c r="J886" s="532"/>
      <c r="L886" s="130"/>
      <c r="N886" s="130"/>
      <c r="O886" s="130"/>
    </row>
    <row r="887" spans="1:17" ht="20.100000000000001" customHeight="1" x14ac:dyDescent="0.25">
      <c r="A887" s="130" t="str">
        <f t="shared" ca="1" si="1058"/>
        <v>a16Dm000000LZbfIAG</v>
      </c>
      <c r="B887" s="601">
        <v>7</v>
      </c>
      <c r="C887" s="603" t="str">
        <f>IFERROR(VLOOKUP(B887,'Coverage Indicators - Section D'!$A$9:$AO$70,41,FALSE),"")</f>
        <v>HTS-3c⁽ᴹ⁾ Percentage of sex workers that have received an HIV test during the reporting period in KP-specific programs and know their results</v>
      </c>
      <c r="D887" s="605" t="str">
        <f>M887</f>
        <v/>
      </c>
      <c r="E887" s="605" t="str">
        <f>N887</f>
        <v/>
      </c>
      <c r="F887" s="131"/>
      <c r="G887" s="607" t="str">
        <f ca="1">IF(OR(INDIRECT("'update Helper'!E"&amp;Q887)="",F887&lt;&gt;0,F888&lt;&gt;0),IF(IFERROR((F887/F888),"")="","",(F887/F888)),INDIRECT("'update Helper'!E"&amp;Q887)/100)</f>
        <v/>
      </c>
      <c r="H887" s="597"/>
      <c r="I887" s="599"/>
      <c r="J887" s="531"/>
      <c r="K887" s="130">
        <f>IF(AND(EXACT(C887,C885),C885&lt;&gt;0),K885+1,0)</f>
        <v>13</v>
      </c>
      <c r="L887" s="130" t="str">
        <f t="shared" ref="L887" si="1063">IF(C887&lt;&gt;"",C887&amp;"-"&amp;K887,"")</f>
        <v>HTS-3c⁽ᴹ⁾ Percentage of sex workers that have received an HIV test during the reporting period in KP-specific programs and know their results-13</v>
      </c>
      <c r="M887" s="130" t="str">
        <f t="array" ref="M887">IFERROR(IF(INDEX('Disaggregation Records'!$E$152:$E$513,MATCH(RIGHT(L887,255),RIGHT('Disaggregation Records'!$D$152:$D$513,255),0))="","",INDEX('Disaggregation Records'!$E$152:$E$513,MATCH(RIGHT(L887,255),RIGHT('Disaggregation Records'!$D$152:$D$513,255),0))),"")</f>
        <v/>
      </c>
      <c r="N887" s="130" t="str">
        <f t="array" ref="N887">IFERROR(IF(INDEX('Disaggregation Records'!$F$152:$F$513,MATCH(RIGHT(L887,255),RIGHT('Disaggregation Records'!$D$152:$D$513,255),0))="","",INDEX('Disaggregation Records'!$F$152:$F$513,MATCH(RIGHT(L887,255),RIGHT('Disaggregation Records'!$D$152:$D$513,255),0))),"")</f>
        <v/>
      </c>
      <c r="O887" s="130" t="str">
        <f t="array" ref="O887">IFERROR(IF(INDEX('Disaggregation Records'!$H$152:$H$513,MATCH(RIGHT(L887,255),RIGHT('Disaggregation Records'!$D$152:$D$513,255),0))="","",INDEX('Disaggregation Records'!$H$152:$H$513,MATCH(RIGHT(L887,255),RIGHT('Disaggregation Records'!$D$152:$D$513,255),0))),"")</f>
        <v/>
      </c>
      <c r="Q887" s="52">
        <f t="shared" ref="Q887" si="1064">Q885+1</f>
        <v>1628</v>
      </c>
    </row>
    <row r="888" spans="1:17" ht="20.100000000000001" customHeight="1" x14ac:dyDescent="0.25">
      <c r="B888" s="602"/>
      <c r="C888" s="604"/>
      <c r="D888" s="606"/>
      <c r="E888" s="606"/>
      <c r="F888" s="132"/>
      <c r="G888" s="608"/>
      <c r="H888" s="598"/>
      <c r="I888" s="600"/>
      <c r="J888" s="532"/>
      <c r="L888" s="130"/>
      <c r="N888" s="130"/>
      <c r="O888" s="130"/>
    </row>
    <row r="889" spans="1:17" ht="20.100000000000001" customHeight="1" x14ac:dyDescent="0.25">
      <c r="A889" s="130" t="str">
        <f t="shared" ca="1" si="1055"/>
        <v>a16Dm000000LZbgIAG</v>
      </c>
      <c r="B889" s="601">
        <v>7</v>
      </c>
      <c r="C889" s="603" t="str">
        <f>IFERROR(VLOOKUP(B889,'Coverage Indicators - Section D'!$A$9:$AO$70,41,FALSE),"")</f>
        <v>HTS-3c⁽ᴹ⁾ Percentage of sex workers that have received an HIV test during the reporting period in KP-specific programs and know their results</v>
      </c>
      <c r="D889" s="605" t="str">
        <f>M889</f>
        <v/>
      </c>
      <c r="E889" s="605" t="str">
        <f>N889</f>
        <v/>
      </c>
      <c r="F889" s="131"/>
      <c r="G889" s="607" t="str">
        <f ca="1">IF(OR(INDIRECT("'update Helper'!E"&amp;Q889)="",F889&lt;&gt;0,F890&lt;&gt;0),IF(IFERROR((F889/F890),"")="","",(F889/F890)),INDIRECT("'update Helper'!E"&amp;Q889)/100)</f>
        <v/>
      </c>
      <c r="H889" s="597"/>
      <c r="I889" s="599"/>
      <c r="J889" s="531"/>
      <c r="K889" s="130">
        <f>IF(AND(EXACT(C889,C887),C887&lt;&gt;0),K887+1,0)</f>
        <v>14</v>
      </c>
      <c r="L889" s="130" t="str">
        <f t="shared" ref="L889" si="1065">IF(C889&lt;&gt;"",C889&amp;"-"&amp;K889,"")</f>
        <v>HTS-3c⁽ᴹ⁾ Percentage of sex workers that have received an HIV test during the reporting period in KP-specific programs and know their results-14</v>
      </c>
      <c r="M889" s="130" t="str">
        <f t="array" ref="M889">IFERROR(IF(INDEX('Disaggregation Records'!$E$152:$E$513,MATCH(RIGHT(L889,255),RIGHT('Disaggregation Records'!$D$152:$D$513,255),0))="","",INDEX('Disaggregation Records'!$E$152:$E$513,MATCH(RIGHT(L889,255),RIGHT('Disaggregation Records'!$D$152:$D$513,255),0))),"")</f>
        <v/>
      </c>
      <c r="N889" s="130" t="str">
        <f t="array" ref="N889">IFERROR(IF(INDEX('Disaggregation Records'!$F$152:$F$513,MATCH(RIGHT(L889,255),RIGHT('Disaggregation Records'!$D$152:$D$513,255),0))="","",INDEX('Disaggregation Records'!$F$152:$F$513,MATCH(RIGHT(L889,255),RIGHT('Disaggregation Records'!$D$152:$D$513,255),0))),"")</f>
        <v/>
      </c>
      <c r="O889" s="130" t="str">
        <f t="array" ref="O889">IFERROR(IF(INDEX('Disaggregation Records'!$H$152:$H$513,MATCH(RIGHT(L889,255),RIGHT('Disaggregation Records'!$D$152:$D$513,255),0))="","",INDEX('Disaggregation Records'!$H$152:$H$513,MATCH(RIGHT(L889,255),RIGHT('Disaggregation Records'!$D$152:$D$513,255),0))),"")</f>
        <v/>
      </c>
      <c r="Q889" s="52">
        <f t="shared" ref="Q889" si="1066">Q887+1</f>
        <v>1629</v>
      </c>
    </row>
    <row r="890" spans="1:17" ht="20.100000000000001" customHeight="1" x14ac:dyDescent="0.25">
      <c r="A890" s="130"/>
      <c r="B890" s="602"/>
      <c r="C890" s="604"/>
      <c r="D890" s="606"/>
      <c r="E890" s="606"/>
      <c r="F890" s="132"/>
      <c r="G890" s="608"/>
      <c r="H890" s="598"/>
      <c r="I890" s="600"/>
      <c r="J890" s="532"/>
      <c r="L890" s="130"/>
      <c r="N890" s="130"/>
      <c r="O890" s="130"/>
    </row>
    <row r="891" spans="1:17" ht="20.100000000000001" customHeight="1" x14ac:dyDescent="0.25">
      <c r="A891" s="130" t="str">
        <f t="shared" ca="1" si="1058"/>
        <v>a16Dm000000LZbhIAG</v>
      </c>
      <c r="B891" s="601">
        <v>7</v>
      </c>
      <c r="C891" s="603" t="str">
        <f>IFERROR(VLOOKUP(B891,'Coverage Indicators - Section D'!$A$9:$AO$70,41,FALSE),"")</f>
        <v>HTS-3c⁽ᴹ⁾ Percentage of sex workers that have received an HIV test during the reporting period in KP-specific programs and know their results</v>
      </c>
      <c r="D891" s="605" t="str">
        <f>M891</f>
        <v/>
      </c>
      <c r="E891" s="605" t="str">
        <f>N891</f>
        <v/>
      </c>
      <c r="F891" s="131"/>
      <c r="G891" s="607" t="str">
        <f ca="1">IF(OR(INDIRECT("'update Helper'!E"&amp;Q891)="",F891&lt;&gt;0,F892&lt;&gt;0),IF(IFERROR((F891/F892),"")="","",(F891/F892)),INDIRECT("'update Helper'!E"&amp;Q891)/100)</f>
        <v/>
      </c>
      <c r="H891" s="597"/>
      <c r="I891" s="599"/>
      <c r="J891" s="531"/>
      <c r="K891" s="130">
        <f>IF(AND(EXACT(C891,C889),C889&lt;&gt;0),K889+1,0)</f>
        <v>15</v>
      </c>
      <c r="L891" s="130" t="str">
        <f t="shared" ref="L891" si="1067">IF(C891&lt;&gt;"",C891&amp;"-"&amp;K891,"")</f>
        <v>HTS-3c⁽ᴹ⁾ Percentage of sex workers that have received an HIV test during the reporting period in KP-specific programs and know their results-15</v>
      </c>
      <c r="M891" s="130" t="str">
        <f t="array" ref="M891">IFERROR(IF(INDEX('Disaggregation Records'!$E$152:$E$513,MATCH(RIGHT(L891,255),RIGHT('Disaggregation Records'!$D$152:$D$513,255),0))="","",INDEX('Disaggregation Records'!$E$152:$E$513,MATCH(RIGHT(L891,255),RIGHT('Disaggregation Records'!$D$152:$D$513,255),0))),"")</f>
        <v/>
      </c>
      <c r="N891" s="130" t="str">
        <f t="array" ref="N891">IFERROR(IF(INDEX('Disaggregation Records'!$F$152:$F$513,MATCH(RIGHT(L891,255),RIGHT('Disaggregation Records'!$D$152:$D$513,255),0))="","",INDEX('Disaggregation Records'!$F$152:$F$513,MATCH(RIGHT(L891,255),RIGHT('Disaggregation Records'!$D$152:$D$513,255),0))),"")</f>
        <v/>
      </c>
      <c r="O891" s="130" t="str">
        <f t="array" ref="O891">IFERROR(IF(INDEX('Disaggregation Records'!$H$152:$H$513,MATCH(RIGHT(L891,255),RIGHT('Disaggregation Records'!$D$152:$D$513,255),0))="","",INDEX('Disaggregation Records'!$H$152:$H$513,MATCH(RIGHT(L891,255),RIGHT('Disaggregation Records'!$D$152:$D$513,255),0))),"")</f>
        <v/>
      </c>
      <c r="P891" s="130"/>
      <c r="Q891" s="52">
        <f t="shared" ref="Q891" si="1068">Q889+1</f>
        <v>1630</v>
      </c>
    </row>
    <row r="892" spans="1:17" ht="20.100000000000001" customHeight="1" x14ac:dyDescent="0.25">
      <c r="B892" s="602"/>
      <c r="C892" s="604"/>
      <c r="D892" s="606"/>
      <c r="E892" s="606"/>
      <c r="F892" s="132"/>
      <c r="G892" s="608"/>
      <c r="H892" s="598"/>
      <c r="I892" s="600"/>
      <c r="J892" s="532"/>
      <c r="K892" s="130"/>
      <c r="L892" s="130"/>
      <c r="M892" s="130"/>
      <c r="N892" s="130"/>
      <c r="O892" s="130"/>
      <c r="P892" s="130"/>
    </row>
    <row r="893" spans="1:17" ht="20.100000000000001" customHeight="1" x14ac:dyDescent="0.25">
      <c r="A893" s="130" t="str">
        <f t="shared" ca="1" si="1055"/>
        <v>a16Dm000000LZbiIAG</v>
      </c>
      <c r="B893" s="601">
        <v>7</v>
      </c>
      <c r="C893" s="603" t="str">
        <f>IFERROR(VLOOKUP(B893,'Coverage Indicators - Section D'!$A$9:$AO$70,41,FALSE),"")</f>
        <v>HTS-3c⁽ᴹ⁾ Percentage of sex workers that have received an HIV test during the reporting period in KP-specific programs and know their results</v>
      </c>
      <c r="D893" s="605" t="str">
        <f>M893</f>
        <v/>
      </c>
      <c r="E893" s="605" t="str">
        <f>N893</f>
        <v/>
      </c>
      <c r="F893" s="131"/>
      <c r="G893" s="607" t="str">
        <f ca="1">IF(OR(INDIRECT("'update Helper'!E"&amp;Q893)="",F893&lt;&gt;0,F894&lt;&gt;0),IF(IFERROR((F893/F894),"")="","",(F893/F894)),INDIRECT("'update Helper'!E"&amp;Q893)/100)</f>
        <v/>
      </c>
      <c r="H893" s="597"/>
      <c r="I893" s="599"/>
      <c r="J893" s="531"/>
      <c r="K893" s="130">
        <f>IF(AND(EXACT(C893,C891),C891&lt;&gt;0),K891+1,0)</f>
        <v>16</v>
      </c>
      <c r="L893" s="130" t="str">
        <f t="shared" ref="L893" si="1069">IF(C893&lt;&gt;"",C893&amp;"-"&amp;K893,"")</f>
        <v>HTS-3c⁽ᴹ⁾ Percentage of sex workers that have received an HIV test during the reporting period in KP-specific programs and know their results-16</v>
      </c>
      <c r="M893" s="130" t="str">
        <f t="array" ref="M893">IFERROR(IF(INDEX('Disaggregation Records'!$E$152:$E$513,MATCH(RIGHT(L893,255),RIGHT('Disaggregation Records'!$D$152:$D$513,255),0))="","",INDEX('Disaggregation Records'!$E$152:$E$513,MATCH(RIGHT(L893,255),RIGHT('Disaggregation Records'!$D$152:$D$513,255),0))),"")</f>
        <v/>
      </c>
      <c r="N893" s="130" t="str">
        <f t="array" ref="N893">IFERROR(IF(INDEX('Disaggregation Records'!$F$152:$F$513,MATCH(RIGHT(L893,255),RIGHT('Disaggregation Records'!$D$152:$D$513,255),0))="","",INDEX('Disaggregation Records'!$F$152:$F$513,MATCH(RIGHT(L893,255),RIGHT('Disaggregation Records'!$D$152:$D$513,255),0))),"")</f>
        <v/>
      </c>
      <c r="O893" s="130" t="str">
        <f t="array" ref="O893">IFERROR(IF(INDEX('Disaggregation Records'!$H$152:$H$513,MATCH(RIGHT(L893,255),RIGHT('Disaggregation Records'!$D$152:$D$513,255),0))="","",INDEX('Disaggregation Records'!$H$152:$H$513,MATCH(RIGHT(L893,255),RIGHT('Disaggregation Records'!$D$152:$D$513,255),0))),"")</f>
        <v/>
      </c>
      <c r="P893" s="130"/>
      <c r="Q893" s="52">
        <f t="shared" ref="Q893" si="1070">Q891+1</f>
        <v>1631</v>
      </c>
    </row>
    <row r="894" spans="1:17" ht="20.100000000000001" customHeight="1" x14ac:dyDescent="0.25">
      <c r="A894" s="130"/>
      <c r="B894" s="602"/>
      <c r="C894" s="604"/>
      <c r="D894" s="606"/>
      <c r="E894" s="606"/>
      <c r="F894" s="132"/>
      <c r="G894" s="608"/>
      <c r="H894" s="598"/>
      <c r="I894" s="600"/>
      <c r="J894" s="532"/>
      <c r="K894" s="130"/>
      <c r="L894" s="130"/>
      <c r="M894" s="130"/>
      <c r="N894" s="130"/>
      <c r="O894" s="130"/>
      <c r="P894" s="130"/>
    </row>
    <row r="895" spans="1:17" ht="20.100000000000001" customHeight="1" x14ac:dyDescent="0.25">
      <c r="A895" s="130" t="str">
        <f t="shared" ca="1" si="1058"/>
        <v>a16Dm000000LZbjIAG</v>
      </c>
      <c r="B895" s="601">
        <v>7</v>
      </c>
      <c r="C895" s="603" t="str">
        <f>IFERROR(VLOOKUP(B895,'Coverage Indicators - Section D'!$A$9:$AO$70,41,FALSE),"")</f>
        <v>HTS-3c⁽ᴹ⁾ Percentage of sex workers that have received an HIV test during the reporting period in KP-specific programs and know their results</v>
      </c>
      <c r="D895" s="605" t="str">
        <f>M895</f>
        <v/>
      </c>
      <c r="E895" s="605" t="str">
        <f>N895</f>
        <v/>
      </c>
      <c r="F895" s="131"/>
      <c r="G895" s="607" t="str">
        <f ca="1">IF(OR(INDIRECT("'update Helper'!E"&amp;Q895)="",F895&lt;&gt;0,F896&lt;&gt;0),IF(IFERROR((F895/F896),"")="","",(F895/F896)),INDIRECT("'update Helper'!E"&amp;Q895)/100)</f>
        <v/>
      </c>
      <c r="H895" s="597"/>
      <c r="I895" s="599"/>
      <c r="J895" s="531"/>
      <c r="K895" s="130">
        <f>IF(AND(EXACT(C895,C893),C893&lt;&gt;0),K893+1,0)</f>
        <v>17</v>
      </c>
      <c r="L895" s="130" t="str">
        <f t="shared" ref="L895" si="1071">IF(C895&lt;&gt;"",C895&amp;"-"&amp;K895,"")</f>
        <v>HTS-3c⁽ᴹ⁾ Percentage of sex workers that have received an HIV test during the reporting period in KP-specific programs and know their results-17</v>
      </c>
      <c r="M895" s="130" t="str">
        <f t="array" ref="M895">IFERROR(IF(INDEX('Disaggregation Records'!$E$152:$E$513,MATCH(RIGHT(L895,255),RIGHT('Disaggregation Records'!$D$152:$D$513,255),0))="","",INDEX('Disaggregation Records'!$E$152:$E$513,MATCH(RIGHT(L895,255),RIGHT('Disaggregation Records'!$D$152:$D$513,255),0))),"")</f>
        <v/>
      </c>
      <c r="N895" s="130" t="str">
        <f t="array" ref="N895">IFERROR(IF(INDEX('Disaggregation Records'!$F$152:$F$513,MATCH(RIGHT(L895,255),RIGHT('Disaggregation Records'!$D$152:$D$513,255),0))="","",INDEX('Disaggregation Records'!$F$152:$F$513,MATCH(RIGHT(L895,255),RIGHT('Disaggregation Records'!$D$152:$D$513,255),0))),"")</f>
        <v/>
      </c>
      <c r="O895" s="130" t="str">
        <f t="array" ref="O895">IFERROR(IF(INDEX('Disaggregation Records'!$H$152:$H$513,MATCH(RIGHT(L895,255),RIGHT('Disaggregation Records'!$D$152:$D$513,255),0))="","",INDEX('Disaggregation Records'!$H$152:$H$513,MATCH(RIGHT(L895,255),RIGHT('Disaggregation Records'!$D$152:$D$513,255),0))),"")</f>
        <v/>
      </c>
      <c r="Q895" s="52">
        <f t="shared" ref="Q895" si="1072">Q893+1</f>
        <v>1632</v>
      </c>
    </row>
    <row r="896" spans="1:17" ht="20.100000000000001" customHeight="1" x14ac:dyDescent="0.25">
      <c r="B896" s="602"/>
      <c r="C896" s="604"/>
      <c r="D896" s="606"/>
      <c r="E896" s="606"/>
      <c r="F896" s="132"/>
      <c r="G896" s="608"/>
      <c r="H896" s="598"/>
      <c r="I896" s="600"/>
      <c r="J896" s="532"/>
      <c r="L896" s="130"/>
      <c r="N896" s="130"/>
      <c r="O896" s="130"/>
    </row>
    <row r="897" spans="1:17" ht="20.100000000000001" customHeight="1" x14ac:dyDescent="0.25">
      <c r="A897" s="130" t="str">
        <f t="shared" ca="1" si="1055"/>
        <v>a16Dm000000LZbkIAG</v>
      </c>
      <c r="B897" s="601">
        <v>7</v>
      </c>
      <c r="C897" s="603" t="str">
        <f>IFERROR(VLOOKUP(B897,'Coverage Indicators - Section D'!$A$9:$AO$70,41,FALSE),"")</f>
        <v>HTS-3c⁽ᴹ⁾ Percentage of sex workers that have received an HIV test during the reporting period in KP-specific programs and know their results</v>
      </c>
      <c r="D897" s="605" t="str">
        <f>M897</f>
        <v/>
      </c>
      <c r="E897" s="605" t="str">
        <f>N897</f>
        <v/>
      </c>
      <c r="F897" s="131"/>
      <c r="G897" s="607" t="str">
        <f ca="1">IF(OR(INDIRECT("'update Helper'!E"&amp;Q897)="",F897&lt;&gt;0,F898&lt;&gt;0),IF(IFERROR((F897/F898),"")="","",(F897/F898)),INDIRECT("'update Helper'!E"&amp;Q897)/100)</f>
        <v/>
      </c>
      <c r="H897" s="597"/>
      <c r="I897" s="599"/>
      <c r="J897" s="531"/>
      <c r="K897" s="130">
        <f>IF(AND(EXACT(C897,C895),C895&lt;&gt;0),K895+1,0)</f>
        <v>18</v>
      </c>
      <c r="L897" s="130" t="str">
        <f t="shared" ref="L897" si="1073">IF(C897&lt;&gt;"",C897&amp;"-"&amp;K897,"")</f>
        <v>HTS-3c⁽ᴹ⁾ Percentage of sex workers that have received an HIV test during the reporting period in KP-specific programs and know their results-18</v>
      </c>
      <c r="M897" s="130" t="str">
        <f t="array" ref="M897">IFERROR(IF(INDEX('Disaggregation Records'!$E$152:$E$513,MATCH(RIGHT(L897,255),RIGHT('Disaggregation Records'!$D$152:$D$513,255),0))="","",INDEX('Disaggregation Records'!$E$152:$E$513,MATCH(RIGHT(L897,255),RIGHT('Disaggregation Records'!$D$152:$D$513,255),0))),"")</f>
        <v/>
      </c>
      <c r="N897" s="130" t="str">
        <f t="array" ref="N897">IFERROR(IF(INDEX('Disaggregation Records'!$F$152:$F$513,MATCH(RIGHT(L897,255),RIGHT('Disaggregation Records'!$D$152:$D$513,255),0))="","",INDEX('Disaggregation Records'!$F$152:$F$513,MATCH(RIGHT(L897,255),RIGHT('Disaggregation Records'!$D$152:$D$513,255),0))),"")</f>
        <v/>
      </c>
      <c r="O897" s="130" t="str">
        <f t="array" ref="O897">IFERROR(IF(INDEX('Disaggregation Records'!$H$152:$H$513,MATCH(RIGHT(L897,255),RIGHT('Disaggregation Records'!$D$152:$D$513,255),0))="","",INDEX('Disaggregation Records'!$H$152:$H$513,MATCH(RIGHT(L897,255),RIGHT('Disaggregation Records'!$D$152:$D$513,255),0))),"")</f>
        <v/>
      </c>
      <c r="Q897" s="52">
        <f t="shared" ref="Q897" si="1074">Q895+1</f>
        <v>1633</v>
      </c>
    </row>
    <row r="898" spans="1:17" ht="20.100000000000001" customHeight="1" x14ac:dyDescent="0.25">
      <c r="A898" s="130"/>
      <c r="B898" s="602"/>
      <c r="C898" s="604"/>
      <c r="D898" s="606"/>
      <c r="E898" s="606"/>
      <c r="F898" s="132"/>
      <c r="G898" s="608"/>
      <c r="H898" s="598"/>
      <c r="I898" s="600"/>
      <c r="J898" s="532"/>
      <c r="L898" s="130"/>
      <c r="N898" s="130"/>
      <c r="O898" s="130"/>
    </row>
    <row r="899" spans="1:17" ht="20.100000000000001" customHeight="1" x14ac:dyDescent="0.25">
      <c r="A899" s="130" t="str">
        <f t="shared" ca="1" si="1058"/>
        <v>a16Dm000000LZblIAG</v>
      </c>
      <c r="B899" s="601">
        <v>7</v>
      </c>
      <c r="C899" s="603" t="str">
        <f>IFERROR(VLOOKUP(B899,'Coverage Indicators - Section D'!$A$9:$AO$70,41,FALSE),"")</f>
        <v>HTS-3c⁽ᴹ⁾ Percentage of sex workers that have received an HIV test during the reporting period in KP-specific programs and know their results</v>
      </c>
      <c r="D899" s="605" t="str">
        <f>M899</f>
        <v/>
      </c>
      <c r="E899" s="605" t="str">
        <f>N899</f>
        <v/>
      </c>
      <c r="F899" s="131"/>
      <c r="G899" s="607" t="str">
        <f ca="1">IF(OR(INDIRECT("'update Helper'!E"&amp;Q899)="",F899&lt;&gt;0,F900&lt;&gt;0),IF(IFERROR((F899/F900),"")="","",(F899/F900)),INDIRECT("'update Helper'!E"&amp;Q899)/100)</f>
        <v/>
      </c>
      <c r="H899" s="597"/>
      <c r="I899" s="599"/>
      <c r="J899" s="531"/>
      <c r="K899" s="130">
        <f>IF(AND(EXACT(C899,C897),C897&lt;&gt;0),K897+1,0)</f>
        <v>19</v>
      </c>
      <c r="L899" s="130" t="str">
        <f t="shared" ref="L899" si="1075">IF(C899&lt;&gt;"",C899&amp;"-"&amp;K899,"")</f>
        <v>HTS-3c⁽ᴹ⁾ Percentage of sex workers that have received an HIV test during the reporting period in KP-specific programs and know their results-19</v>
      </c>
      <c r="M899" s="130" t="str">
        <f t="array" ref="M899">IFERROR(IF(INDEX('Disaggregation Records'!$E$152:$E$513,MATCH(RIGHT(L899,255),RIGHT('Disaggregation Records'!$D$152:$D$513,255),0))="","",INDEX('Disaggregation Records'!$E$152:$E$513,MATCH(RIGHT(L899,255),RIGHT('Disaggregation Records'!$D$152:$D$513,255),0))),"")</f>
        <v/>
      </c>
      <c r="N899" s="130" t="str">
        <f t="array" ref="N899">IFERROR(IF(INDEX('Disaggregation Records'!$F$152:$F$513,MATCH(RIGHT(L899,255),RIGHT('Disaggregation Records'!$D$152:$D$513,255),0))="","",INDEX('Disaggregation Records'!$F$152:$F$513,MATCH(RIGHT(L899,255),RIGHT('Disaggregation Records'!$D$152:$D$513,255),0))),"")</f>
        <v/>
      </c>
      <c r="O899" s="130" t="str">
        <f t="array" ref="O899">IFERROR(IF(INDEX('Disaggregation Records'!$H$152:$H$513,MATCH(RIGHT(L899,255),RIGHT('Disaggregation Records'!$D$152:$D$513,255),0))="","",INDEX('Disaggregation Records'!$H$152:$H$513,MATCH(RIGHT(L899,255),RIGHT('Disaggregation Records'!$D$152:$D$513,255),0))),"")</f>
        <v/>
      </c>
      <c r="Q899" s="52">
        <f t="shared" ref="Q899" si="1076">Q897+1</f>
        <v>1634</v>
      </c>
    </row>
    <row r="900" spans="1:17" ht="20.100000000000001" customHeight="1" x14ac:dyDescent="0.25">
      <c r="B900" s="602"/>
      <c r="C900" s="604"/>
      <c r="D900" s="606"/>
      <c r="E900" s="606"/>
      <c r="F900" s="132"/>
      <c r="G900" s="608"/>
      <c r="H900" s="598"/>
      <c r="I900" s="600"/>
      <c r="J900" s="532"/>
      <c r="L900" s="130"/>
      <c r="N900" s="130"/>
      <c r="O900" s="130"/>
    </row>
    <row r="901" spans="1:17" ht="45.75" customHeight="1" x14ac:dyDescent="0.25">
      <c r="A901" s="130" t="str">
        <f t="shared" ca="1" si="1055"/>
        <v>a16Dm000000LZbmIAG</v>
      </c>
      <c r="B901" s="601">
        <v>8</v>
      </c>
      <c r="C901" s="603" t="str">
        <f>IFERROR(VLOOKUP(B901,'Coverage Indicators - Section D'!$A$9:$AO$70,41,FALSE),"")</f>
        <v>HTS-3b⁽ᴹ⁾ Percentage of TG that have received an HIV test during the reporting period in KP-specific programs and know their results</v>
      </c>
      <c r="D901" s="605" t="str">
        <f>M901</f>
        <v>Age</v>
      </c>
      <c r="E901" s="605" t="str">
        <f>N901</f>
        <v>25+</v>
      </c>
      <c r="F901" s="416">
        <v>60</v>
      </c>
      <c r="G901" s="607" t="str">
        <f ca="1">IF(OR(INDIRECT("'update Helper'!E"&amp;Q901)="",F901&lt;&gt;0,F902&lt;&gt;0),IF(IFERROR((F901/F902),"")="","",(F901/F902)),INDIRECT("'update Helper'!E"&amp;Q901)/100)</f>
        <v/>
      </c>
      <c r="H901" s="597">
        <v>2022</v>
      </c>
      <c r="I901" s="599" t="s">
        <v>2239</v>
      </c>
      <c r="J901" s="531" t="s">
        <v>2242</v>
      </c>
      <c r="K901" s="130">
        <f>IF(AND(EXACT(C901,C899),C899&lt;&gt;0),K899+1,0)</f>
        <v>0</v>
      </c>
      <c r="L901" s="130" t="str">
        <f t="shared" ref="L901" si="1077">IF(C901&lt;&gt;"",C901&amp;"-"&amp;K901,"")</f>
        <v>HTS-3b⁽ᴹ⁾ Percentage of TG that have received an HIV test during the reporting period in KP-specific programs and know their results-0</v>
      </c>
      <c r="M901" s="130" t="str">
        <f t="array" ref="M901">IFERROR(IF(INDEX('Disaggregation Records'!$E$152:$E$513,MATCH(RIGHT(L901,255),RIGHT('Disaggregation Records'!$D$152:$D$513,255),0))="","",INDEX('Disaggregation Records'!$E$152:$E$513,MATCH(RIGHT(L901,255),RIGHT('Disaggregation Records'!$D$152:$D$513,255),0))),"")</f>
        <v>Age</v>
      </c>
      <c r="N901" s="130" t="str">
        <f t="array" ref="N901">IFERROR(IF(INDEX('Disaggregation Records'!$F$152:$F$513,MATCH(RIGHT(L901,255),RIGHT('Disaggregation Records'!$D$152:$D$513,255),0))="","",INDEX('Disaggregation Records'!$F$152:$F$513,MATCH(RIGHT(L901,255),RIGHT('Disaggregation Records'!$D$152:$D$513,255),0))),"")</f>
        <v>25+</v>
      </c>
      <c r="O901" s="130" t="str">
        <f t="array" ref="O901">IFERROR(IF(INDEX('Disaggregation Records'!$H$152:$H$513,MATCH(RIGHT(L901,255),RIGHT('Disaggregation Records'!$D$152:$D$513,255),0))="","",INDEX('Disaggregation Records'!$H$152:$H$513,MATCH(RIGHT(L901,255),RIGHT('Disaggregation Records'!$D$152:$D$513,255),0))),"")</f>
        <v>IDR-01275</v>
      </c>
      <c r="P901" s="130"/>
      <c r="Q901" s="52">
        <f t="shared" ref="Q901" si="1078">Q899+1</f>
        <v>1635</v>
      </c>
    </row>
    <row r="902" spans="1:17" ht="30" customHeight="1" x14ac:dyDescent="0.25">
      <c r="A902" s="130"/>
      <c r="B902" s="602"/>
      <c r="C902" s="604"/>
      <c r="D902" s="606"/>
      <c r="E902" s="606"/>
      <c r="F902" s="417"/>
      <c r="G902" s="608"/>
      <c r="H902" s="598"/>
      <c r="I902" s="600"/>
      <c r="J902" s="532"/>
      <c r="K902" s="130"/>
      <c r="L902" s="130"/>
      <c r="M902" s="130"/>
      <c r="N902" s="130"/>
      <c r="O902" s="130"/>
      <c r="P902" s="130"/>
    </row>
    <row r="903" spans="1:17" ht="55.5" customHeight="1" x14ac:dyDescent="0.25">
      <c r="A903" s="130" t="str">
        <f t="shared" ca="1" si="1058"/>
        <v>a16Dm000000LZbnIAG</v>
      </c>
      <c r="B903" s="601">
        <v>8</v>
      </c>
      <c r="C903" s="603" t="str">
        <f>IFERROR(VLOOKUP(B903,'Coverage Indicators - Section D'!$A$9:$AO$70,41,FALSE),"")</f>
        <v>HTS-3b⁽ᴹ⁾ Percentage of TG that have received an HIV test during the reporting period in KP-specific programs and know their results</v>
      </c>
      <c r="D903" s="605" t="str">
        <f>M903</f>
        <v>Age</v>
      </c>
      <c r="E903" s="605" t="str">
        <f>N903</f>
        <v>20-24</v>
      </c>
      <c r="F903" s="417">
        <v>61</v>
      </c>
      <c r="G903" s="607" t="str">
        <f ca="1">IF(OR(INDIRECT("'update Helper'!E"&amp;Q903)="",F903&lt;&gt;0,F904&lt;&gt;0),IF(IFERROR((F903/F904),"")="","",(F903/F904)),INDIRECT("'update Helper'!E"&amp;Q903)/100)</f>
        <v/>
      </c>
      <c r="H903" s="597">
        <v>2022</v>
      </c>
      <c r="I903" s="599" t="s">
        <v>2239</v>
      </c>
      <c r="J903" s="531" t="s">
        <v>2242</v>
      </c>
      <c r="K903" s="130">
        <f>IF(AND(EXACT(C903,C901),C901&lt;&gt;0),K901+1,0)</f>
        <v>1</v>
      </c>
      <c r="L903" s="130" t="str">
        <f t="shared" ref="L903" si="1079">IF(C903&lt;&gt;"",C903&amp;"-"&amp;K903,"")</f>
        <v>HTS-3b⁽ᴹ⁾ Percentage of TG that have received an HIV test during the reporting period in KP-specific programs and know their results-1</v>
      </c>
      <c r="M903" s="130" t="str">
        <f t="array" ref="M903">IFERROR(IF(INDEX('Disaggregation Records'!$E$152:$E$513,MATCH(RIGHT(L903,255),RIGHT('Disaggregation Records'!$D$152:$D$513,255),0))="","",INDEX('Disaggregation Records'!$E$152:$E$513,MATCH(RIGHT(L903,255),RIGHT('Disaggregation Records'!$D$152:$D$513,255),0))),"")</f>
        <v>Age</v>
      </c>
      <c r="N903" s="130" t="str">
        <f t="array" ref="N903">IFERROR(IF(INDEX('Disaggregation Records'!$F$152:$F$513,MATCH(RIGHT(L903,255),RIGHT('Disaggregation Records'!$D$152:$D$513,255),0))="","",INDEX('Disaggregation Records'!$F$152:$F$513,MATCH(RIGHT(L903,255),RIGHT('Disaggregation Records'!$D$152:$D$513,255),0))),"")</f>
        <v>20-24</v>
      </c>
      <c r="O903" s="130" t="str">
        <f t="array" ref="O903">IFERROR(IF(INDEX('Disaggregation Records'!$H$152:$H$513,MATCH(RIGHT(L903,255),RIGHT('Disaggregation Records'!$D$152:$D$513,255),0))="","",INDEX('Disaggregation Records'!$H$152:$H$513,MATCH(RIGHT(L903,255),RIGHT('Disaggregation Records'!$D$152:$D$513,255),0))),"")</f>
        <v>IDR-01274</v>
      </c>
      <c r="P903" s="130"/>
      <c r="Q903" s="52">
        <f t="shared" ref="Q903" si="1080">Q901+1</f>
        <v>1636</v>
      </c>
    </row>
    <row r="904" spans="1:17" ht="21" customHeight="1" x14ac:dyDescent="0.25">
      <c r="B904" s="602"/>
      <c r="C904" s="604"/>
      <c r="D904" s="606"/>
      <c r="E904" s="606"/>
      <c r="F904" s="417"/>
      <c r="G904" s="608"/>
      <c r="H904" s="598"/>
      <c r="I904" s="600"/>
      <c r="J904" s="532"/>
      <c r="K904" s="130"/>
      <c r="L904" s="130"/>
      <c r="M904" s="130"/>
      <c r="N904" s="130"/>
      <c r="O904" s="130"/>
      <c r="P904" s="130"/>
    </row>
    <row r="905" spans="1:17" ht="60.75" customHeight="1" x14ac:dyDescent="0.25">
      <c r="A905" s="130" t="str">
        <f t="shared" ca="1" si="1055"/>
        <v>a16Dm000000LZboIAG</v>
      </c>
      <c r="B905" s="601">
        <v>8</v>
      </c>
      <c r="C905" s="603" t="str">
        <f>IFERROR(VLOOKUP(B905,'Coverage Indicators - Section D'!$A$9:$AO$70,41,FALSE),"")</f>
        <v>HTS-3b⁽ᴹ⁾ Percentage of TG that have received an HIV test during the reporting period in KP-specific programs and know their results</v>
      </c>
      <c r="D905" s="605" t="str">
        <f>M905</f>
        <v>Gender</v>
      </c>
      <c r="E905" s="605" t="str">
        <f>N905</f>
        <v>Transwomen</v>
      </c>
      <c r="F905" s="417">
        <v>80</v>
      </c>
      <c r="G905" s="607" t="str">
        <f ca="1">IF(OR(INDIRECT("'update Helper'!E"&amp;Q905)="",F905&lt;&gt;0,F906&lt;&gt;0),IF(IFERROR((F905/F906),"")="","",(F905/F906)),INDIRECT("'update Helper'!E"&amp;Q905)/100)</f>
        <v/>
      </c>
      <c r="H905" s="597">
        <v>2022</v>
      </c>
      <c r="I905" s="599" t="s">
        <v>2239</v>
      </c>
      <c r="J905" s="531" t="s">
        <v>2242</v>
      </c>
      <c r="K905" s="130">
        <f>IF(AND(EXACT(C905,C903),C903&lt;&gt;0),K903+1,0)</f>
        <v>2</v>
      </c>
      <c r="L905" s="130" t="str">
        <f t="shared" ref="L905" si="1081">IF(C905&lt;&gt;"",C905&amp;"-"&amp;K905,"")</f>
        <v>HTS-3b⁽ᴹ⁾ Percentage of TG that have received an HIV test during the reporting period in KP-specific programs and know their results-2</v>
      </c>
      <c r="M905" s="130" t="str">
        <f t="array" ref="M905">IFERROR(IF(INDEX('Disaggregation Records'!$E$152:$E$513,MATCH(RIGHT(L905,255),RIGHT('Disaggregation Records'!$D$152:$D$513,255),0))="","",INDEX('Disaggregation Records'!$E$152:$E$513,MATCH(RIGHT(L905,255),RIGHT('Disaggregation Records'!$D$152:$D$513,255),0))),"")</f>
        <v>Gender</v>
      </c>
      <c r="N905" s="130" t="str">
        <f t="array" ref="N905">IFERROR(IF(INDEX('Disaggregation Records'!$F$152:$F$513,MATCH(RIGHT(L905,255),RIGHT('Disaggregation Records'!$D$152:$D$513,255),0))="","",INDEX('Disaggregation Records'!$F$152:$F$513,MATCH(RIGHT(L905,255),RIGHT('Disaggregation Records'!$D$152:$D$513,255),0))),"")</f>
        <v>Transwomen</v>
      </c>
      <c r="O905" s="130" t="str">
        <f t="array" ref="O905">IFERROR(IF(INDEX('Disaggregation Records'!$H$152:$H$513,MATCH(RIGHT(L905,255),RIGHT('Disaggregation Records'!$D$152:$D$513,255),0))="","",INDEX('Disaggregation Records'!$H$152:$H$513,MATCH(RIGHT(L905,255),RIGHT('Disaggregation Records'!$D$152:$D$513,255),0))),"")</f>
        <v>IDR-01273</v>
      </c>
      <c r="Q905" s="52">
        <f t="shared" ref="Q905" si="1082">Q903+1</f>
        <v>1637</v>
      </c>
    </row>
    <row r="906" spans="1:17" ht="18.75" customHeight="1" x14ac:dyDescent="0.25">
      <c r="A906" s="130"/>
      <c r="B906" s="602"/>
      <c r="C906" s="604"/>
      <c r="D906" s="606"/>
      <c r="E906" s="606"/>
      <c r="F906" s="417"/>
      <c r="G906" s="608"/>
      <c r="H906" s="598"/>
      <c r="I906" s="600"/>
      <c r="J906" s="532"/>
      <c r="L906" s="130"/>
      <c r="N906" s="130"/>
      <c r="O906" s="130"/>
    </row>
    <row r="907" spans="1:17" ht="57.75" customHeight="1" x14ac:dyDescent="0.25">
      <c r="A907" s="130" t="str">
        <f t="shared" ca="1" si="1058"/>
        <v>a16Dm000000LZbpIAG</v>
      </c>
      <c r="B907" s="601">
        <v>8</v>
      </c>
      <c r="C907" s="603" t="str">
        <f>IFERROR(VLOOKUP(B907,'Coverage Indicators - Section D'!$A$9:$AO$70,41,FALSE),"")</f>
        <v>HTS-3b⁽ᴹ⁾ Percentage of TG that have received an HIV test during the reporting period in KP-specific programs and know their results</v>
      </c>
      <c r="D907" s="605" t="str">
        <f>M907</f>
        <v>Gender</v>
      </c>
      <c r="E907" s="605" t="str">
        <f>N907</f>
        <v>Transmen</v>
      </c>
      <c r="F907" s="417">
        <v>46</v>
      </c>
      <c r="G907" s="607" t="str">
        <f ca="1">IF(OR(INDIRECT("'update Helper'!E"&amp;Q907)="",F907&lt;&gt;0,F908&lt;&gt;0),IF(IFERROR((F907/F908),"")="","",(F907/F908)),INDIRECT("'update Helper'!E"&amp;Q907)/100)</f>
        <v/>
      </c>
      <c r="H907" s="597">
        <v>2022</v>
      </c>
      <c r="I907" s="599" t="s">
        <v>2239</v>
      </c>
      <c r="J907" s="531" t="s">
        <v>2242</v>
      </c>
      <c r="K907" s="130">
        <f>IF(AND(EXACT(C907,C905),C905&lt;&gt;0),K905+1,0)</f>
        <v>3</v>
      </c>
      <c r="L907" s="130" t="str">
        <f t="shared" ref="L907" si="1083">IF(C907&lt;&gt;"",C907&amp;"-"&amp;K907,"")</f>
        <v>HTS-3b⁽ᴹ⁾ Percentage of TG that have received an HIV test during the reporting period in KP-specific programs and know their results-3</v>
      </c>
      <c r="M907" s="130" t="str">
        <f t="array" ref="M907">IFERROR(IF(INDEX('Disaggregation Records'!$E$152:$E$513,MATCH(RIGHT(L907,255),RIGHT('Disaggregation Records'!$D$152:$D$513,255),0))="","",INDEX('Disaggregation Records'!$E$152:$E$513,MATCH(RIGHT(L907,255),RIGHT('Disaggregation Records'!$D$152:$D$513,255),0))),"")</f>
        <v>Gender</v>
      </c>
      <c r="N907" s="130" t="str">
        <f t="array" ref="N907">IFERROR(IF(INDEX('Disaggregation Records'!$F$152:$F$513,MATCH(RIGHT(L907,255),RIGHT('Disaggregation Records'!$D$152:$D$513,255),0))="","",INDEX('Disaggregation Records'!$F$152:$F$513,MATCH(RIGHT(L907,255),RIGHT('Disaggregation Records'!$D$152:$D$513,255),0))),"")</f>
        <v>Transmen</v>
      </c>
      <c r="O907" s="130" t="str">
        <f t="array" ref="O907">IFERROR(IF(INDEX('Disaggregation Records'!$H$152:$H$513,MATCH(RIGHT(L907,255),RIGHT('Disaggregation Records'!$D$152:$D$513,255),0))="","",INDEX('Disaggregation Records'!$H$152:$H$513,MATCH(RIGHT(L907,255),RIGHT('Disaggregation Records'!$D$152:$D$513,255),0))),"")</f>
        <v>IDR-01272</v>
      </c>
      <c r="Q907" s="52">
        <f t="shared" ref="Q907" si="1084">Q905+1</f>
        <v>1638</v>
      </c>
    </row>
    <row r="908" spans="1:17" ht="21" customHeight="1" x14ac:dyDescent="0.25">
      <c r="B908" s="602"/>
      <c r="C908" s="604"/>
      <c r="D908" s="606"/>
      <c r="E908" s="606"/>
      <c r="F908" s="417"/>
      <c r="G908" s="608"/>
      <c r="H908" s="598"/>
      <c r="I908" s="600"/>
      <c r="J908" s="532"/>
      <c r="L908" s="130"/>
      <c r="N908" s="130"/>
      <c r="O908" s="130"/>
    </row>
    <row r="909" spans="1:17" ht="35.25" customHeight="1" x14ac:dyDescent="0.25">
      <c r="A909" s="130" t="str">
        <f t="shared" ca="1" si="1055"/>
        <v>a16Dm000000LZbqIAG</v>
      </c>
      <c r="B909" s="601">
        <v>8</v>
      </c>
      <c r="C909" s="603" t="str">
        <f>IFERROR(VLOOKUP(B909,'Coverage Indicators - Section D'!$A$9:$AO$70,41,FALSE),"")</f>
        <v>HTS-3b⁽ᴹ⁾ Percentage of TG that have received an HIV test during the reporting period in KP-specific programs and know their results</v>
      </c>
      <c r="D909" s="605" t="str">
        <f>M909</f>
        <v>Age</v>
      </c>
      <c r="E909" s="605" t="str">
        <f>N909</f>
        <v>15-19</v>
      </c>
      <c r="F909" s="417">
        <v>5</v>
      </c>
      <c r="G909" s="607" t="str">
        <f ca="1">IF(OR(INDIRECT("'update Helper'!E"&amp;Q909)="",F909&lt;&gt;0,F910&lt;&gt;0),IF(IFERROR((F909/F910),"")="","",(F909/F910)),INDIRECT("'update Helper'!E"&amp;Q909)/100)</f>
        <v/>
      </c>
      <c r="H909" s="597">
        <v>2022</v>
      </c>
      <c r="I909" s="599" t="s">
        <v>2239</v>
      </c>
      <c r="J909" s="531" t="s">
        <v>2242</v>
      </c>
      <c r="K909" s="130">
        <f>IF(AND(EXACT(C909,C907),C907&lt;&gt;0),K907+1,0)</f>
        <v>4</v>
      </c>
      <c r="L909" s="130" t="str">
        <f t="shared" ref="L909" si="1085">IF(C909&lt;&gt;"",C909&amp;"-"&amp;K909,"")</f>
        <v>HTS-3b⁽ᴹ⁾ Percentage of TG that have received an HIV test during the reporting period in KP-specific programs and know their results-4</v>
      </c>
      <c r="M909" s="130" t="str">
        <f t="array" ref="M909">IFERROR(IF(INDEX('Disaggregation Records'!$E$152:$E$513,MATCH(RIGHT(L909,255),RIGHT('Disaggregation Records'!$D$152:$D$513,255),0))="","",INDEX('Disaggregation Records'!$E$152:$E$513,MATCH(RIGHT(L909,255),RIGHT('Disaggregation Records'!$D$152:$D$513,255),0))),"")</f>
        <v>Age</v>
      </c>
      <c r="N909" s="130" t="str">
        <f t="array" ref="N909">IFERROR(IF(INDEX('Disaggregation Records'!$F$152:$F$513,MATCH(RIGHT(L909,255),RIGHT('Disaggregation Records'!$D$152:$D$513,255),0))="","",INDEX('Disaggregation Records'!$F$152:$F$513,MATCH(RIGHT(L909,255),RIGHT('Disaggregation Records'!$D$152:$D$513,255),0))),"")</f>
        <v>15-19</v>
      </c>
      <c r="O909" s="130" t="str">
        <f t="array" ref="O909">IFERROR(IF(INDEX('Disaggregation Records'!$H$152:$H$513,MATCH(RIGHT(L909,255),RIGHT('Disaggregation Records'!$D$152:$D$513,255),0))="","",INDEX('Disaggregation Records'!$H$152:$H$513,MATCH(RIGHT(L909,255),RIGHT('Disaggregation Records'!$D$152:$D$513,255),0))),"")</f>
        <v>IDR-01271</v>
      </c>
      <c r="Q909" s="52">
        <f t="shared" ref="Q909" si="1086">Q907+1</f>
        <v>1639</v>
      </c>
    </row>
    <row r="910" spans="1:17" ht="43.5" customHeight="1" x14ac:dyDescent="0.25">
      <c r="A910" s="130"/>
      <c r="B910" s="602"/>
      <c r="C910" s="604"/>
      <c r="D910" s="606"/>
      <c r="E910" s="606"/>
      <c r="F910" s="417"/>
      <c r="G910" s="608"/>
      <c r="H910" s="598"/>
      <c r="I910" s="600"/>
      <c r="J910" s="532"/>
      <c r="L910" s="130"/>
      <c r="N910" s="130"/>
      <c r="O910" s="130"/>
    </row>
    <row r="911" spans="1:17" ht="20.100000000000001" customHeight="1" x14ac:dyDescent="0.25">
      <c r="A911" s="130" t="str">
        <f t="shared" ca="1" si="1058"/>
        <v>a16Dm000000LZbrIAG</v>
      </c>
      <c r="B911" s="601">
        <v>8</v>
      </c>
      <c r="C911" s="603" t="str">
        <f>IFERROR(VLOOKUP(B911,'Coverage Indicators - Section D'!$A$9:$AO$70,41,FALSE),"")</f>
        <v>HTS-3b⁽ᴹ⁾ Percentage of TG that have received an HIV test during the reporting period in KP-specific programs and know their results</v>
      </c>
      <c r="D911" s="605" t="str">
        <f>M911</f>
        <v/>
      </c>
      <c r="E911" s="605" t="str">
        <f>N911</f>
        <v/>
      </c>
      <c r="F911" s="131"/>
      <c r="G911" s="607" t="str">
        <f ca="1">IF(OR(INDIRECT("'update Helper'!E"&amp;Q911)="",F911&lt;&gt;0,F912&lt;&gt;0),IF(IFERROR((F911/F912),"")="","",(F911/F912)),INDIRECT("'update Helper'!E"&amp;Q911)/100)</f>
        <v/>
      </c>
      <c r="H911" s="597"/>
      <c r="I911" s="599"/>
      <c r="J911" s="531"/>
      <c r="K911" s="130">
        <f>IF(AND(EXACT(C911,C909),C909&lt;&gt;0),K909+1,0)</f>
        <v>5</v>
      </c>
      <c r="L911" s="130" t="str">
        <f t="shared" ref="L911" si="1087">IF(C911&lt;&gt;"",C911&amp;"-"&amp;K911,"")</f>
        <v>HTS-3b⁽ᴹ⁾ Percentage of TG that have received an HIV test during the reporting period in KP-specific programs and know their results-5</v>
      </c>
      <c r="M911" s="130" t="str">
        <f t="array" ref="M911">IFERROR(IF(INDEX('Disaggregation Records'!$E$152:$E$513,MATCH(RIGHT(L911,255),RIGHT('Disaggregation Records'!$D$152:$D$513,255),0))="","",INDEX('Disaggregation Records'!$E$152:$E$513,MATCH(RIGHT(L911,255),RIGHT('Disaggregation Records'!$D$152:$D$513,255),0))),"")</f>
        <v/>
      </c>
      <c r="N911" s="130" t="str">
        <f t="array" ref="N911">IFERROR(IF(INDEX('Disaggregation Records'!$F$152:$F$513,MATCH(RIGHT(L911,255),RIGHT('Disaggregation Records'!$D$152:$D$513,255),0))="","",INDEX('Disaggregation Records'!$F$152:$F$513,MATCH(RIGHT(L911,255),RIGHT('Disaggregation Records'!$D$152:$D$513,255),0))),"")</f>
        <v/>
      </c>
      <c r="O911" s="130" t="str">
        <f t="array" ref="O911">IFERROR(IF(INDEX('Disaggregation Records'!$H$152:$H$513,MATCH(RIGHT(L911,255),RIGHT('Disaggregation Records'!$D$152:$D$513,255),0))="","",INDEX('Disaggregation Records'!$H$152:$H$513,MATCH(RIGHT(L911,255),RIGHT('Disaggregation Records'!$D$152:$D$513,255),0))),"")</f>
        <v/>
      </c>
      <c r="P911" s="130"/>
      <c r="Q911" s="52">
        <f t="shared" ref="Q911" si="1088">Q909+1</f>
        <v>1640</v>
      </c>
    </row>
    <row r="912" spans="1:17" ht="20.100000000000001" customHeight="1" x14ac:dyDescent="0.25">
      <c r="B912" s="602"/>
      <c r="C912" s="604"/>
      <c r="D912" s="606"/>
      <c r="E912" s="606"/>
      <c r="F912" s="132"/>
      <c r="G912" s="608"/>
      <c r="H912" s="598"/>
      <c r="I912" s="600"/>
      <c r="J912" s="532"/>
      <c r="K912" s="130"/>
      <c r="L912" s="130"/>
      <c r="M912" s="130"/>
      <c r="N912" s="130"/>
      <c r="O912" s="130"/>
      <c r="P912" s="130"/>
    </row>
    <row r="913" spans="1:17" ht="20.100000000000001" customHeight="1" x14ac:dyDescent="0.25">
      <c r="A913" s="130" t="str">
        <f t="shared" ca="1" si="1055"/>
        <v>a16Dm000000LZbsIAG</v>
      </c>
      <c r="B913" s="601">
        <v>8</v>
      </c>
      <c r="C913" s="603" t="str">
        <f>IFERROR(VLOOKUP(B913,'Coverage Indicators - Section D'!$A$9:$AO$70,41,FALSE),"")</f>
        <v>HTS-3b⁽ᴹ⁾ Percentage of TG that have received an HIV test during the reporting period in KP-specific programs and know their results</v>
      </c>
      <c r="D913" s="605" t="str">
        <f>M913</f>
        <v/>
      </c>
      <c r="E913" s="605" t="str">
        <f>N913</f>
        <v/>
      </c>
      <c r="F913" s="131"/>
      <c r="G913" s="607" t="str">
        <f ca="1">IF(OR(INDIRECT("'update Helper'!E"&amp;Q913)="",F913&lt;&gt;0,F914&lt;&gt;0),IF(IFERROR((F913/F914),"")="","",(F913/F914)),INDIRECT("'update Helper'!E"&amp;Q913)/100)</f>
        <v/>
      </c>
      <c r="H913" s="597"/>
      <c r="I913" s="599"/>
      <c r="J913" s="531"/>
      <c r="K913" s="130">
        <f>IF(AND(EXACT(C913,C911),C911&lt;&gt;0),K911+1,0)</f>
        <v>6</v>
      </c>
      <c r="L913" s="130" t="str">
        <f t="shared" ref="L913" si="1089">IF(C913&lt;&gt;"",C913&amp;"-"&amp;K913,"")</f>
        <v>HTS-3b⁽ᴹ⁾ Percentage of TG that have received an HIV test during the reporting period in KP-specific programs and know their results-6</v>
      </c>
      <c r="M913" s="130" t="str">
        <f t="array" ref="M913">IFERROR(IF(INDEX('Disaggregation Records'!$E$152:$E$513,MATCH(RIGHT(L913,255),RIGHT('Disaggregation Records'!$D$152:$D$513,255),0))="","",INDEX('Disaggregation Records'!$E$152:$E$513,MATCH(RIGHT(L913,255),RIGHT('Disaggregation Records'!$D$152:$D$513,255),0))),"")</f>
        <v/>
      </c>
      <c r="N913" s="130" t="str">
        <f t="array" ref="N913">IFERROR(IF(INDEX('Disaggregation Records'!$F$152:$F$513,MATCH(RIGHT(L913,255),RIGHT('Disaggregation Records'!$D$152:$D$513,255),0))="","",INDEX('Disaggregation Records'!$F$152:$F$513,MATCH(RIGHT(L913,255),RIGHT('Disaggregation Records'!$D$152:$D$513,255),0))),"")</f>
        <v/>
      </c>
      <c r="O913" s="130" t="str">
        <f t="array" ref="O913">IFERROR(IF(INDEX('Disaggregation Records'!$H$152:$H$513,MATCH(RIGHT(L913,255),RIGHT('Disaggregation Records'!$D$152:$D$513,255),0))="","",INDEX('Disaggregation Records'!$H$152:$H$513,MATCH(RIGHT(L913,255),RIGHT('Disaggregation Records'!$D$152:$D$513,255),0))),"")</f>
        <v/>
      </c>
      <c r="P913" s="130"/>
      <c r="Q913" s="52">
        <f t="shared" ref="Q913" si="1090">Q911+1</f>
        <v>1641</v>
      </c>
    </row>
    <row r="914" spans="1:17" ht="20.100000000000001" customHeight="1" x14ac:dyDescent="0.25">
      <c r="A914" s="130"/>
      <c r="B914" s="602"/>
      <c r="C914" s="604"/>
      <c r="D914" s="606"/>
      <c r="E914" s="606"/>
      <c r="F914" s="132"/>
      <c r="G914" s="608"/>
      <c r="H914" s="598"/>
      <c r="I914" s="600"/>
      <c r="J914" s="532"/>
      <c r="K914" s="130"/>
      <c r="L914" s="130"/>
      <c r="M914" s="130"/>
      <c r="N914" s="130"/>
      <c r="O914" s="130"/>
      <c r="P914" s="130"/>
    </row>
    <row r="915" spans="1:17" ht="20.100000000000001" customHeight="1" x14ac:dyDescent="0.25">
      <c r="A915" s="130" t="str">
        <f t="shared" ca="1" si="1058"/>
        <v>a16Dm000000LZbtIAG</v>
      </c>
      <c r="B915" s="601">
        <v>8</v>
      </c>
      <c r="C915" s="603" t="str">
        <f>IFERROR(VLOOKUP(B915,'Coverage Indicators - Section D'!$A$9:$AO$70,41,FALSE),"")</f>
        <v>HTS-3b⁽ᴹ⁾ Percentage of TG that have received an HIV test during the reporting period in KP-specific programs and know their results</v>
      </c>
      <c r="D915" s="605" t="str">
        <f>M915</f>
        <v/>
      </c>
      <c r="E915" s="605" t="str">
        <f>N915</f>
        <v/>
      </c>
      <c r="F915" s="131"/>
      <c r="G915" s="607" t="str">
        <f ca="1">IF(OR(INDIRECT("'update Helper'!E"&amp;Q915)="",F915&lt;&gt;0,F916&lt;&gt;0),IF(IFERROR((F915/F916),"")="","",(F915/F916)),INDIRECT("'update Helper'!E"&amp;Q915)/100)</f>
        <v/>
      </c>
      <c r="H915" s="597"/>
      <c r="I915" s="599"/>
      <c r="J915" s="531"/>
      <c r="K915" s="130">
        <f>IF(AND(EXACT(C915,C913),C913&lt;&gt;0),K913+1,0)</f>
        <v>7</v>
      </c>
      <c r="L915" s="130" t="str">
        <f t="shared" ref="L915" si="1091">IF(C915&lt;&gt;"",C915&amp;"-"&amp;K915,"")</f>
        <v>HTS-3b⁽ᴹ⁾ Percentage of TG that have received an HIV test during the reporting period in KP-specific programs and know their results-7</v>
      </c>
      <c r="M915" s="130" t="str">
        <f t="array" ref="M915">IFERROR(IF(INDEX('Disaggregation Records'!$E$152:$E$513,MATCH(RIGHT(L915,255),RIGHT('Disaggregation Records'!$D$152:$D$513,255),0))="","",INDEX('Disaggregation Records'!$E$152:$E$513,MATCH(RIGHT(L915,255),RIGHT('Disaggregation Records'!$D$152:$D$513,255),0))),"")</f>
        <v/>
      </c>
      <c r="N915" s="130" t="str">
        <f t="array" ref="N915">IFERROR(IF(INDEX('Disaggregation Records'!$F$152:$F$513,MATCH(RIGHT(L915,255),RIGHT('Disaggregation Records'!$D$152:$D$513,255),0))="","",INDEX('Disaggregation Records'!$F$152:$F$513,MATCH(RIGHT(L915,255),RIGHT('Disaggregation Records'!$D$152:$D$513,255),0))),"")</f>
        <v/>
      </c>
      <c r="O915" s="130" t="str">
        <f t="array" ref="O915">IFERROR(IF(INDEX('Disaggregation Records'!$H$152:$H$513,MATCH(RIGHT(L915,255),RIGHT('Disaggregation Records'!$D$152:$D$513,255),0))="","",INDEX('Disaggregation Records'!$H$152:$H$513,MATCH(RIGHT(L915,255),RIGHT('Disaggregation Records'!$D$152:$D$513,255),0))),"")</f>
        <v/>
      </c>
      <c r="Q915" s="52">
        <f t="shared" ref="Q915" si="1092">Q913+1</f>
        <v>1642</v>
      </c>
    </row>
    <row r="916" spans="1:17" ht="20.100000000000001" customHeight="1" x14ac:dyDescent="0.25">
      <c r="B916" s="602"/>
      <c r="C916" s="604"/>
      <c r="D916" s="606"/>
      <c r="E916" s="606"/>
      <c r="F916" s="132"/>
      <c r="G916" s="608"/>
      <c r="H916" s="598"/>
      <c r="I916" s="600"/>
      <c r="J916" s="532"/>
      <c r="L916" s="130"/>
      <c r="N916" s="130"/>
      <c r="O916" s="130"/>
    </row>
    <row r="917" spans="1:17" ht="20.100000000000001" customHeight="1" x14ac:dyDescent="0.25">
      <c r="A917" s="130" t="str">
        <f t="shared" ca="1" si="1055"/>
        <v>a16Dm000000LZbuIAG</v>
      </c>
      <c r="B917" s="601">
        <v>8</v>
      </c>
      <c r="C917" s="603" t="str">
        <f>IFERROR(VLOOKUP(B917,'Coverage Indicators - Section D'!$A$9:$AO$70,41,FALSE),"")</f>
        <v>HTS-3b⁽ᴹ⁾ Percentage of TG that have received an HIV test during the reporting period in KP-specific programs and know their results</v>
      </c>
      <c r="D917" s="605" t="str">
        <f>M917</f>
        <v/>
      </c>
      <c r="E917" s="605" t="str">
        <f>N917</f>
        <v/>
      </c>
      <c r="F917" s="131"/>
      <c r="G917" s="607" t="str">
        <f ca="1">IF(OR(INDIRECT("'update Helper'!E"&amp;Q917)="",F917&lt;&gt;0,F918&lt;&gt;0),IF(IFERROR((F917/F918),"")="","",(F917/F918)),INDIRECT("'update Helper'!E"&amp;Q917)/100)</f>
        <v/>
      </c>
      <c r="H917" s="597"/>
      <c r="I917" s="599"/>
      <c r="J917" s="531"/>
      <c r="K917" s="130">
        <f>IF(AND(EXACT(C917,C915),C915&lt;&gt;0),K915+1,0)</f>
        <v>8</v>
      </c>
      <c r="L917" s="130" t="str">
        <f t="shared" ref="L917" si="1093">IF(C917&lt;&gt;"",C917&amp;"-"&amp;K917,"")</f>
        <v>HTS-3b⁽ᴹ⁾ Percentage of TG that have received an HIV test during the reporting period in KP-specific programs and know their results-8</v>
      </c>
      <c r="M917" s="130" t="str">
        <f t="array" ref="M917">IFERROR(IF(INDEX('Disaggregation Records'!$E$152:$E$513,MATCH(RIGHT(L917,255),RIGHT('Disaggregation Records'!$D$152:$D$513,255),0))="","",INDEX('Disaggregation Records'!$E$152:$E$513,MATCH(RIGHT(L917,255),RIGHT('Disaggregation Records'!$D$152:$D$513,255),0))),"")</f>
        <v/>
      </c>
      <c r="N917" s="130" t="str">
        <f t="array" ref="N917">IFERROR(IF(INDEX('Disaggregation Records'!$F$152:$F$513,MATCH(RIGHT(L917,255),RIGHT('Disaggregation Records'!$D$152:$D$513,255),0))="","",INDEX('Disaggregation Records'!$F$152:$F$513,MATCH(RIGHT(L917,255),RIGHT('Disaggregation Records'!$D$152:$D$513,255),0))),"")</f>
        <v/>
      </c>
      <c r="O917" s="130" t="str">
        <f t="array" ref="O917">IFERROR(IF(INDEX('Disaggregation Records'!$H$152:$H$513,MATCH(RIGHT(L917,255),RIGHT('Disaggregation Records'!$D$152:$D$513,255),0))="","",INDEX('Disaggregation Records'!$H$152:$H$513,MATCH(RIGHT(L917,255),RIGHT('Disaggregation Records'!$D$152:$D$513,255),0))),"")</f>
        <v/>
      </c>
      <c r="Q917" s="52">
        <f t="shared" ref="Q917" si="1094">Q915+1</f>
        <v>1643</v>
      </c>
    </row>
    <row r="918" spans="1:17" ht="20.100000000000001" customHeight="1" x14ac:dyDescent="0.25">
      <c r="A918" s="130"/>
      <c r="B918" s="602"/>
      <c r="C918" s="604"/>
      <c r="D918" s="606"/>
      <c r="E918" s="606"/>
      <c r="F918" s="132"/>
      <c r="G918" s="608"/>
      <c r="H918" s="598"/>
      <c r="I918" s="600"/>
      <c r="J918" s="532"/>
      <c r="L918" s="130"/>
      <c r="N918" s="130"/>
      <c r="O918" s="130"/>
    </row>
    <row r="919" spans="1:17" ht="20.100000000000001" customHeight="1" x14ac:dyDescent="0.25">
      <c r="A919" s="130" t="str">
        <f t="shared" ca="1" si="1058"/>
        <v>a16Dm000000LZbvIAG</v>
      </c>
      <c r="B919" s="601">
        <v>8</v>
      </c>
      <c r="C919" s="603" t="str">
        <f>IFERROR(VLOOKUP(B919,'Coverage Indicators - Section D'!$A$9:$AO$70,41,FALSE),"")</f>
        <v>HTS-3b⁽ᴹ⁾ Percentage of TG that have received an HIV test during the reporting period in KP-specific programs and know their results</v>
      </c>
      <c r="D919" s="605" t="str">
        <f>M919</f>
        <v/>
      </c>
      <c r="E919" s="605" t="str">
        <f>N919</f>
        <v/>
      </c>
      <c r="F919" s="131"/>
      <c r="G919" s="607" t="str">
        <f ca="1">IF(OR(INDIRECT("'update Helper'!E"&amp;Q919)="",F919&lt;&gt;0,F920&lt;&gt;0),IF(IFERROR((F919/F920),"")="","",(F919/F920)),INDIRECT("'update Helper'!E"&amp;Q919)/100)</f>
        <v/>
      </c>
      <c r="H919" s="597"/>
      <c r="I919" s="599"/>
      <c r="J919" s="531"/>
      <c r="K919" s="130">
        <f>IF(AND(EXACT(C919,C917),C917&lt;&gt;0),K917+1,0)</f>
        <v>9</v>
      </c>
      <c r="L919" s="130" t="str">
        <f t="shared" ref="L919" si="1095">IF(C919&lt;&gt;"",C919&amp;"-"&amp;K919,"")</f>
        <v>HTS-3b⁽ᴹ⁾ Percentage of TG that have received an HIV test during the reporting period in KP-specific programs and know their results-9</v>
      </c>
      <c r="M919" s="130" t="str">
        <f t="array" ref="M919">IFERROR(IF(INDEX('Disaggregation Records'!$E$152:$E$513,MATCH(RIGHT(L919,255),RIGHT('Disaggregation Records'!$D$152:$D$513,255),0))="","",INDEX('Disaggregation Records'!$E$152:$E$513,MATCH(RIGHT(L919,255),RIGHT('Disaggregation Records'!$D$152:$D$513,255),0))),"")</f>
        <v/>
      </c>
      <c r="N919" s="130" t="str">
        <f t="array" ref="N919">IFERROR(IF(INDEX('Disaggregation Records'!$F$152:$F$513,MATCH(RIGHT(L919,255),RIGHT('Disaggregation Records'!$D$152:$D$513,255),0))="","",INDEX('Disaggregation Records'!$F$152:$F$513,MATCH(RIGHT(L919,255),RIGHT('Disaggregation Records'!$D$152:$D$513,255),0))),"")</f>
        <v/>
      </c>
      <c r="O919" s="130" t="str">
        <f t="array" ref="O919">IFERROR(IF(INDEX('Disaggregation Records'!$H$152:$H$513,MATCH(RIGHT(L919,255),RIGHT('Disaggregation Records'!$D$152:$D$513,255),0))="","",INDEX('Disaggregation Records'!$H$152:$H$513,MATCH(RIGHT(L919,255),RIGHT('Disaggregation Records'!$D$152:$D$513,255),0))),"")</f>
        <v/>
      </c>
      <c r="Q919" s="52">
        <f t="shared" ref="Q919" si="1096">Q917+1</f>
        <v>1644</v>
      </c>
    </row>
    <row r="920" spans="1:17" ht="20.100000000000001" customHeight="1" x14ac:dyDescent="0.25">
      <c r="B920" s="602"/>
      <c r="C920" s="604"/>
      <c r="D920" s="606"/>
      <c r="E920" s="606"/>
      <c r="F920" s="132"/>
      <c r="G920" s="608"/>
      <c r="H920" s="598"/>
      <c r="I920" s="600"/>
      <c r="J920" s="532"/>
      <c r="L920" s="130"/>
      <c r="N920" s="130"/>
      <c r="O920" s="130"/>
    </row>
    <row r="921" spans="1:17" ht="20.100000000000001" customHeight="1" x14ac:dyDescent="0.25">
      <c r="A921" s="130" t="str">
        <f t="shared" ca="1" si="1055"/>
        <v>a16Dm000000LZbwIAG</v>
      </c>
      <c r="B921" s="601">
        <v>8</v>
      </c>
      <c r="C921" s="603" t="str">
        <f>IFERROR(VLOOKUP(B921,'Coverage Indicators - Section D'!$A$9:$AO$70,41,FALSE),"")</f>
        <v>HTS-3b⁽ᴹ⁾ Percentage of TG that have received an HIV test during the reporting period in KP-specific programs and know their results</v>
      </c>
      <c r="D921" s="605" t="str">
        <f>M921</f>
        <v/>
      </c>
      <c r="E921" s="605" t="str">
        <f>N921</f>
        <v/>
      </c>
      <c r="F921" s="131"/>
      <c r="G921" s="607" t="str">
        <f ca="1">IF(OR(INDIRECT("'update Helper'!E"&amp;Q921)="",F921&lt;&gt;0,F922&lt;&gt;0),IF(IFERROR((F921/F922),"")="","",(F921/F922)),INDIRECT("'update Helper'!E"&amp;Q921)/100)</f>
        <v/>
      </c>
      <c r="H921" s="597"/>
      <c r="I921" s="599"/>
      <c r="J921" s="531"/>
      <c r="K921" s="130">
        <f>IF(AND(EXACT(C921,C919),C919&lt;&gt;0),K919+1,0)</f>
        <v>10</v>
      </c>
      <c r="L921" s="130" t="str">
        <f t="shared" ref="L921" si="1097">IF(C921&lt;&gt;"",C921&amp;"-"&amp;K921,"")</f>
        <v>HTS-3b⁽ᴹ⁾ Percentage of TG that have received an HIV test during the reporting period in KP-specific programs and know their results-10</v>
      </c>
      <c r="M921" s="130" t="str">
        <f t="array" ref="M921">IFERROR(IF(INDEX('Disaggregation Records'!$E$152:$E$513,MATCH(RIGHT(L921,255),RIGHT('Disaggregation Records'!$D$152:$D$513,255),0))="","",INDEX('Disaggregation Records'!$E$152:$E$513,MATCH(RIGHT(L921,255),RIGHT('Disaggregation Records'!$D$152:$D$513,255),0))),"")</f>
        <v/>
      </c>
      <c r="N921" s="130" t="str">
        <f t="array" ref="N921">IFERROR(IF(INDEX('Disaggregation Records'!$F$152:$F$513,MATCH(RIGHT(L921,255),RIGHT('Disaggregation Records'!$D$152:$D$513,255),0))="","",INDEX('Disaggregation Records'!$F$152:$F$513,MATCH(RIGHT(L921,255),RIGHT('Disaggregation Records'!$D$152:$D$513,255),0))),"")</f>
        <v/>
      </c>
      <c r="O921" s="130" t="str">
        <f t="array" ref="O921">IFERROR(IF(INDEX('Disaggregation Records'!$H$152:$H$513,MATCH(RIGHT(L921,255),RIGHT('Disaggregation Records'!$D$152:$D$513,255),0))="","",INDEX('Disaggregation Records'!$H$152:$H$513,MATCH(RIGHT(L921,255),RIGHT('Disaggregation Records'!$D$152:$D$513,255),0))),"")</f>
        <v/>
      </c>
      <c r="P921" s="130"/>
      <c r="Q921" s="52">
        <f t="shared" ref="Q921" si="1098">Q919+1</f>
        <v>1645</v>
      </c>
    </row>
    <row r="922" spans="1:17" ht="20.100000000000001" customHeight="1" x14ac:dyDescent="0.25">
      <c r="A922" s="130"/>
      <c r="B922" s="602"/>
      <c r="C922" s="604"/>
      <c r="D922" s="606"/>
      <c r="E922" s="606"/>
      <c r="F922" s="132"/>
      <c r="G922" s="608"/>
      <c r="H922" s="598"/>
      <c r="I922" s="600"/>
      <c r="J922" s="532"/>
      <c r="K922" s="130"/>
      <c r="L922" s="130"/>
      <c r="M922" s="130"/>
      <c r="N922" s="130"/>
      <c r="O922" s="130"/>
      <c r="P922" s="130"/>
    </row>
    <row r="923" spans="1:17" ht="20.100000000000001" customHeight="1" x14ac:dyDescent="0.25">
      <c r="A923" s="130" t="str">
        <f t="shared" ca="1" si="1058"/>
        <v>a16Dm000000LZbxIAG</v>
      </c>
      <c r="B923" s="601">
        <v>8</v>
      </c>
      <c r="C923" s="603" t="str">
        <f>IFERROR(VLOOKUP(B923,'Coverage Indicators - Section D'!$A$9:$AO$70,41,FALSE),"")</f>
        <v>HTS-3b⁽ᴹ⁾ Percentage of TG that have received an HIV test during the reporting period in KP-specific programs and know their results</v>
      </c>
      <c r="D923" s="605" t="str">
        <f>M923</f>
        <v/>
      </c>
      <c r="E923" s="605" t="str">
        <f>N923</f>
        <v/>
      </c>
      <c r="F923" s="131"/>
      <c r="G923" s="607" t="str">
        <f ca="1">IF(OR(INDIRECT("'update Helper'!E"&amp;Q923)="",F923&lt;&gt;0,F924&lt;&gt;0),IF(IFERROR((F923/F924),"")="","",(F923/F924)),INDIRECT("'update Helper'!E"&amp;Q923)/100)</f>
        <v/>
      </c>
      <c r="H923" s="597"/>
      <c r="I923" s="599"/>
      <c r="J923" s="531"/>
      <c r="K923" s="130">
        <f>IF(AND(EXACT(C923,C921),C921&lt;&gt;0),K921+1,0)</f>
        <v>11</v>
      </c>
      <c r="L923" s="130" t="str">
        <f t="shared" ref="L923" si="1099">IF(C923&lt;&gt;"",C923&amp;"-"&amp;K923,"")</f>
        <v>HTS-3b⁽ᴹ⁾ Percentage of TG that have received an HIV test during the reporting period in KP-specific programs and know their results-11</v>
      </c>
      <c r="M923" s="130" t="str">
        <f t="array" ref="M923">IFERROR(IF(INDEX('Disaggregation Records'!$E$152:$E$513,MATCH(RIGHT(L923,255),RIGHT('Disaggregation Records'!$D$152:$D$513,255),0))="","",INDEX('Disaggregation Records'!$E$152:$E$513,MATCH(RIGHT(L923,255),RIGHT('Disaggregation Records'!$D$152:$D$513,255),0))),"")</f>
        <v/>
      </c>
      <c r="N923" s="130" t="str">
        <f t="array" ref="N923">IFERROR(IF(INDEX('Disaggregation Records'!$F$152:$F$513,MATCH(RIGHT(L923,255),RIGHT('Disaggregation Records'!$D$152:$D$513,255),0))="","",INDEX('Disaggregation Records'!$F$152:$F$513,MATCH(RIGHT(L923,255),RIGHT('Disaggregation Records'!$D$152:$D$513,255),0))),"")</f>
        <v/>
      </c>
      <c r="O923" s="130" t="str">
        <f t="array" ref="O923">IFERROR(IF(INDEX('Disaggregation Records'!$H$152:$H$513,MATCH(RIGHT(L923,255),RIGHT('Disaggregation Records'!$D$152:$D$513,255),0))="","",INDEX('Disaggregation Records'!$H$152:$H$513,MATCH(RIGHT(L923,255),RIGHT('Disaggregation Records'!$D$152:$D$513,255),0))),"")</f>
        <v/>
      </c>
      <c r="P923" s="130"/>
      <c r="Q923" s="52">
        <f t="shared" ref="Q923" si="1100">Q921+1</f>
        <v>1646</v>
      </c>
    </row>
    <row r="924" spans="1:17" ht="20.100000000000001" customHeight="1" x14ac:dyDescent="0.25">
      <c r="B924" s="602"/>
      <c r="C924" s="604"/>
      <c r="D924" s="606"/>
      <c r="E924" s="606"/>
      <c r="F924" s="132"/>
      <c r="G924" s="608"/>
      <c r="H924" s="598"/>
      <c r="I924" s="600"/>
      <c r="J924" s="532"/>
      <c r="K924" s="130"/>
      <c r="L924" s="130"/>
      <c r="M924" s="130"/>
      <c r="N924" s="130"/>
      <c r="O924" s="130"/>
      <c r="P924" s="130"/>
    </row>
    <row r="925" spans="1:17" ht="20.100000000000001" customHeight="1" x14ac:dyDescent="0.25">
      <c r="A925" s="130" t="str">
        <f t="shared" ca="1" si="1055"/>
        <v>a16Dm000000LZbyIAG</v>
      </c>
      <c r="B925" s="601">
        <v>8</v>
      </c>
      <c r="C925" s="603" t="str">
        <f>IFERROR(VLOOKUP(B925,'Coverage Indicators - Section D'!$A$9:$AO$70,41,FALSE),"")</f>
        <v>HTS-3b⁽ᴹ⁾ Percentage of TG that have received an HIV test during the reporting period in KP-specific programs and know their results</v>
      </c>
      <c r="D925" s="605" t="str">
        <f>M925</f>
        <v/>
      </c>
      <c r="E925" s="605" t="str">
        <f>N925</f>
        <v/>
      </c>
      <c r="F925" s="131"/>
      <c r="G925" s="607" t="str">
        <f ca="1">IF(OR(INDIRECT("'update Helper'!E"&amp;Q925)="",F925&lt;&gt;0,F926&lt;&gt;0),IF(IFERROR((F925/F926),"")="","",(F925/F926)),INDIRECT("'update Helper'!E"&amp;Q925)/100)</f>
        <v/>
      </c>
      <c r="H925" s="597"/>
      <c r="I925" s="599"/>
      <c r="J925" s="531"/>
      <c r="K925" s="130">
        <f>IF(AND(EXACT(C925,C923),C923&lt;&gt;0),K923+1,0)</f>
        <v>12</v>
      </c>
      <c r="L925" s="130" t="str">
        <f t="shared" ref="L925" si="1101">IF(C925&lt;&gt;"",C925&amp;"-"&amp;K925,"")</f>
        <v>HTS-3b⁽ᴹ⁾ Percentage of TG that have received an HIV test during the reporting period in KP-specific programs and know their results-12</v>
      </c>
      <c r="M925" s="130" t="str">
        <f t="array" ref="M925">IFERROR(IF(INDEX('Disaggregation Records'!$E$152:$E$513,MATCH(RIGHT(L925,255),RIGHT('Disaggregation Records'!$D$152:$D$513,255),0))="","",INDEX('Disaggregation Records'!$E$152:$E$513,MATCH(RIGHT(L925,255),RIGHT('Disaggregation Records'!$D$152:$D$513,255),0))),"")</f>
        <v/>
      </c>
      <c r="N925" s="130" t="str">
        <f t="array" ref="N925">IFERROR(IF(INDEX('Disaggregation Records'!$F$152:$F$513,MATCH(RIGHT(L925,255),RIGHT('Disaggregation Records'!$D$152:$D$513,255),0))="","",INDEX('Disaggregation Records'!$F$152:$F$513,MATCH(RIGHT(L925,255),RIGHT('Disaggregation Records'!$D$152:$D$513,255),0))),"")</f>
        <v/>
      </c>
      <c r="O925" s="130" t="str">
        <f t="array" ref="O925">IFERROR(IF(INDEX('Disaggregation Records'!$H$152:$H$513,MATCH(RIGHT(L925,255),RIGHT('Disaggregation Records'!$D$152:$D$513,255),0))="","",INDEX('Disaggregation Records'!$H$152:$H$513,MATCH(RIGHT(L925,255),RIGHT('Disaggregation Records'!$D$152:$D$513,255),0))),"")</f>
        <v/>
      </c>
      <c r="Q925" s="52">
        <f t="shared" ref="Q925" si="1102">Q923+1</f>
        <v>1647</v>
      </c>
    </row>
    <row r="926" spans="1:17" ht="20.100000000000001" customHeight="1" x14ac:dyDescent="0.25">
      <c r="A926" s="130"/>
      <c r="B926" s="602"/>
      <c r="C926" s="604"/>
      <c r="D926" s="606"/>
      <c r="E926" s="606"/>
      <c r="F926" s="132"/>
      <c r="G926" s="608"/>
      <c r="H926" s="598"/>
      <c r="I926" s="600"/>
      <c r="J926" s="532"/>
      <c r="L926" s="130"/>
      <c r="N926" s="130"/>
      <c r="O926" s="130"/>
    </row>
    <row r="927" spans="1:17" ht="20.100000000000001" customHeight="1" x14ac:dyDescent="0.25">
      <c r="A927" s="130" t="str">
        <f t="shared" ca="1" si="1058"/>
        <v>a16Dm000000LZbzIAG</v>
      </c>
      <c r="B927" s="601">
        <v>8</v>
      </c>
      <c r="C927" s="603" t="str">
        <f>IFERROR(VLOOKUP(B927,'Coverage Indicators - Section D'!$A$9:$AO$70,41,FALSE),"")</f>
        <v>HTS-3b⁽ᴹ⁾ Percentage of TG that have received an HIV test during the reporting period in KP-specific programs and know their results</v>
      </c>
      <c r="D927" s="605" t="str">
        <f>M927</f>
        <v/>
      </c>
      <c r="E927" s="605" t="str">
        <f>N927</f>
        <v/>
      </c>
      <c r="F927" s="131"/>
      <c r="G927" s="607" t="str">
        <f ca="1">IF(OR(INDIRECT("'update Helper'!E"&amp;Q927)="",F927&lt;&gt;0,F928&lt;&gt;0),IF(IFERROR((F927/F928),"")="","",(F927/F928)),INDIRECT("'update Helper'!E"&amp;Q927)/100)</f>
        <v/>
      </c>
      <c r="H927" s="597"/>
      <c r="I927" s="599"/>
      <c r="J927" s="531"/>
      <c r="K927" s="130">
        <f>IF(AND(EXACT(C927,C925),C925&lt;&gt;0),K925+1,0)</f>
        <v>13</v>
      </c>
      <c r="L927" s="130" t="str">
        <f t="shared" ref="L927" si="1103">IF(C927&lt;&gt;"",C927&amp;"-"&amp;K927,"")</f>
        <v>HTS-3b⁽ᴹ⁾ Percentage of TG that have received an HIV test during the reporting period in KP-specific programs and know their results-13</v>
      </c>
      <c r="M927" s="130" t="str">
        <f t="array" ref="M927">IFERROR(IF(INDEX('Disaggregation Records'!$E$152:$E$513,MATCH(RIGHT(L927,255),RIGHT('Disaggregation Records'!$D$152:$D$513,255),0))="","",INDEX('Disaggregation Records'!$E$152:$E$513,MATCH(RIGHT(L927,255),RIGHT('Disaggregation Records'!$D$152:$D$513,255),0))),"")</f>
        <v/>
      </c>
      <c r="N927" s="130" t="str">
        <f t="array" ref="N927">IFERROR(IF(INDEX('Disaggregation Records'!$F$152:$F$513,MATCH(RIGHT(L927,255),RIGHT('Disaggregation Records'!$D$152:$D$513,255),0))="","",INDEX('Disaggregation Records'!$F$152:$F$513,MATCH(RIGHT(L927,255),RIGHT('Disaggregation Records'!$D$152:$D$513,255),0))),"")</f>
        <v/>
      </c>
      <c r="O927" s="130" t="str">
        <f t="array" ref="O927">IFERROR(IF(INDEX('Disaggregation Records'!$H$152:$H$513,MATCH(RIGHT(L927,255),RIGHT('Disaggregation Records'!$D$152:$D$513,255),0))="","",INDEX('Disaggregation Records'!$H$152:$H$513,MATCH(RIGHT(L927,255),RIGHT('Disaggregation Records'!$D$152:$D$513,255),0))),"")</f>
        <v/>
      </c>
      <c r="Q927" s="52">
        <f t="shared" ref="Q927" si="1104">Q925+1</f>
        <v>1648</v>
      </c>
    </row>
    <row r="928" spans="1:17" ht="20.100000000000001" customHeight="1" x14ac:dyDescent="0.25">
      <c r="B928" s="602"/>
      <c r="C928" s="604"/>
      <c r="D928" s="606"/>
      <c r="E928" s="606"/>
      <c r="F928" s="132"/>
      <c r="G928" s="608"/>
      <c r="H928" s="598"/>
      <c r="I928" s="600"/>
      <c r="J928" s="532"/>
      <c r="L928" s="130"/>
      <c r="N928" s="130"/>
      <c r="O928" s="130"/>
    </row>
    <row r="929" spans="1:17" ht="20.100000000000001" customHeight="1" x14ac:dyDescent="0.25">
      <c r="A929" s="130" t="str">
        <f t="shared" ca="1" si="1055"/>
        <v>a16Dm000000LZc0IAG</v>
      </c>
      <c r="B929" s="601">
        <v>8</v>
      </c>
      <c r="C929" s="603" t="str">
        <f>IFERROR(VLOOKUP(B929,'Coverage Indicators - Section D'!$A$9:$AO$70,41,FALSE),"")</f>
        <v>HTS-3b⁽ᴹ⁾ Percentage of TG that have received an HIV test during the reporting period in KP-specific programs and know their results</v>
      </c>
      <c r="D929" s="605" t="str">
        <f>M929</f>
        <v/>
      </c>
      <c r="E929" s="605" t="str">
        <f>N929</f>
        <v/>
      </c>
      <c r="F929" s="131"/>
      <c r="G929" s="607" t="str">
        <f ca="1">IF(OR(INDIRECT("'update Helper'!E"&amp;Q929)="",F929&lt;&gt;0,F930&lt;&gt;0),IF(IFERROR((F929/F930),"")="","",(F929/F930)),INDIRECT("'update Helper'!E"&amp;Q929)/100)</f>
        <v/>
      </c>
      <c r="H929" s="597"/>
      <c r="I929" s="599"/>
      <c r="J929" s="531"/>
      <c r="K929" s="130">
        <f>IF(AND(EXACT(C929,C927),C927&lt;&gt;0),K927+1,0)</f>
        <v>14</v>
      </c>
      <c r="L929" s="130" t="str">
        <f t="shared" ref="L929" si="1105">IF(C929&lt;&gt;"",C929&amp;"-"&amp;K929,"")</f>
        <v>HTS-3b⁽ᴹ⁾ Percentage of TG that have received an HIV test during the reporting period in KP-specific programs and know their results-14</v>
      </c>
      <c r="M929" s="130" t="str">
        <f t="array" ref="M929">IFERROR(IF(INDEX('Disaggregation Records'!$E$152:$E$513,MATCH(RIGHT(L929,255),RIGHT('Disaggregation Records'!$D$152:$D$513,255),0))="","",INDEX('Disaggregation Records'!$E$152:$E$513,MATCH(RIGHT(L929,255),RIGHT('Disaggregation Records'!$D$152:$D$513,255),0))),"")</f>
        <v/>
      </c>
      <c r="N929" s="130" t="str">
        <f t="array" ref="N929">IFERROR(IF(INDEX('Disaggregation Records'!$F$152:$F$513,MATCH(RIGHT(L929,255),RIGHT('Disaggregation Records'!$D$152:$D$513,255),0))="","",INDEX('Disaggregation Records'!$F$152:$F$513,MATCH(RIGHT(L929,255),RIGHT('Disaggregation Records'!$D$152:$D$513,255),0))),"")</f>
        <v/>
      </c>
      <c r="O929" s="130" t="str">
        <f t="array" ref="O929">IFERROR(IF(INDEX('Disaggregation Records'!$H$152:$H$513,MATCH(RIGHT(L929,255),RIGHT('Disaggregation Records'!$D$152:$D$513,255),0))="","",INDEX('Disaggregation Records'!$H$152:$H$513,MATCH(RIGHT(L929,255),RIGHT('Disaggregation Records'!$D$152:$D$513,255),0))),"")</f>
        <v/>
      </c>
      <c r="Q929" s="52">
        <f t="shared" ref="Q929" si="1106">Q927+1</f>
        <v>1649</v>
      </c>
    </row>
    <row r="930" spans="1:17" ht="20.100000000000001" customHeight="1" x14ac:dyDescent="0.25">
      <c r="A930" s="130"/>
      <c r="B930" s="602"/>
      <c r="C930" s="604"/>
      <c r="D930" s="606"/>
      <c r="E930" s="606"/>
      <c r="F930" s="132"/>
      <c r="G930" s="608"/>
      <c r="H930" s="598"/>
      <c r="I930" s="600"/>
      <c r="J930" s="532"/>
      <c r="L930" s="130"/>
      <c r="N930" s="130"/>
      <c r="O930" s="130"/>
    </row>
    <row r="931" spans="1:17" ht="20.100000000000001" customHeight="1" x14ac:dyDescent="0.25">
      <c r="A931" s="130" t="str">
        <f t="shared" ca="1" si="1058"/>
        <v>a16Dm000000LZc1IAG</v>
      </c>
      <c r="B931" s="601">
        <v>8</v>
      </c>
      <c r="C931" s="603" t="str">
        <f>IFERROR(VLOOKUP(B931,'Coverage Indicators - Section D'!$A$9:$AO$70,41,FALSE),"")</f>
        <v>HTS-3b⁽ᴹ⁾ Percentage of TG that have received an HIV test during the reporting period in KP-specific programs and know their results</v>
      </c>
      <c r="D931" s="605" t="str">
        <f>M931</f>
        <v/>
      </c>
      <c r="E931" s="605" t="str">
        <f>N931</f>
        <v/>
      </c>
      <c r="F931" s="131"/>
      <c r="G931" s="607" t="str">
        <f ca="1">IF(OR(INDIRECT("'update Helper'!E"&amp;Q931)="",F931&lt;&gt;0,F932&lt;&gt;0),IF(IFERROR((F931/F932),"")="","",(F931/F932)),INDIRECT("'update Helper'!E"&amp;Q931)/100)</f>
        <v/>
      </c>
      <c r="H931" s="597"/>
      <c r="I931" s="599"/>
      <c r="J931" s="531"/>
      <c r="K931" s="130">
        <f>IF(AND(EXACT(C931,C929),C929&lt;&gt;0),K929+1,0)</f>
        <v>15</v>
      </c>
      <c r="L931" s="130" t="str">
        <f t="shared" ref="L931" si="1107">IF(C931&lt;&gt;"",C931&amp;"-"&amp;K931,"")</f>
        <v>HTS-3b⁽ᴹ⁾ Percentage of TG that have received an HIV test during the reporting period in KP-specific programs and know their results-15</v>
      </c>
      <c r="M931" s="130" t="str">
        <f t="array" ref="M931">IFERROR(IF(INDEX('Disaggregation Records'!$E$152:$E$513,MATCH(RIGHT(L931,255),RIGHT('Disaggregation Records'!$D$152:$D$513,255),0))="","",INDEX('Disaggregation Records'!$E$152:$E$513,MATCH(RIGHT(L931,255),RIGHT('Disaggregation Records'!$D$152:$D$513,255),0))),"")</f>
        <v/>
      </c>
      <c r="N931" s="130" t="str">
        <f t="array" ref="N931">IFERROR(IF(INDEX('Disaggregation Records'!$F$152:$F$513,MATCH(RIGHT(L931,255),RIGHT('Disaggregation Records'!$D$152:$D$513,255),0))="","",INDEX('Disaggregation Records'!$F$152:$F$513,MATCH(RIGHT(L931,255),RIGHT('Disaggregation Records'!$D$152:$D$513,255),0))),"")</f>
        <v/>
      </c>
      <c r="O931" s="130" t="str">
        <f t="array" ref="O931">IFERROR(IF(INDEX('Disaggregation Records'!$H$152:$H$513,MATCH(RIGHT(L931,255),RIGHT('Disaggregation Records'!$D$152:$D$513,255),0))="","",INDEX('Disaggregation Records'!$H$152:$H$513,MATCH(RIGHT(L931,255),RIGHT('Disaggregation Records'!$D$152:$D$513,255),0))),"")</f>
        <v/>
      </c>
      <c r="P931" s="130"/>
      <c r="Q931" s="52">
        <f t="shared" ref="Q931" si="1108">Q929+1</f>
        <v>1650</v>
      </c>
    </row>
    <row r="932" spans="1:17" ht="20.100000000000001" customHeight="1" x14ac:dyDescent="0.25">
      <c r="B932" s="602"/>
      <c r="C932" s="604"/>
      <c r="D932" s="606"/>
      <c r="E932" s="606"/>
      <c r="F932" s="132"/>
      <c r="G932" s="608"/>
      <c r="H932" s="598"/>
      <c r="I932" s="600"/>
      <c r="J932" s="532"/>
      <c r="K932" s="130"/>
      <c r="L932" s="130"/>
      <c r="M932" s="130"/>
      <c r="N932" s="130"/>
      <c r="O932" s="130"/>
      <c r="P932" s="130"/>
    </row>
    <row r="933" spans="1:17" ht="20.100000000000001" customHeight="1" x14ac:dyDescent="0.25">
      <c r="A933" s="130" t="str">
        <f t="shared" ca="1" si="1055"/>
        <v>a16Dm000000LZc2IAG</v>
      </c>
      <c r="B933" s="601">
        <v>8</v>
      </c>
      <c r="C933" s="603" t="str">
        <f>IFERROR(VLOOKUP(B933,'Coverage Indicators - Section D'!$A$9:$AO$70,41,FALSE),"")</f>
        <v>HTS-3b⁽ᴹ⁾ Percentage of TG that have received an HIV test during the reporting period in KP-specific programs and know their results</v>
      </c>
      <c r="D933" s="605" t="str">
        <f>M933</f>
        <v/>
      </c>
      <c r="E933" s="605" t="str">
        <f>N933</f>
        <v/>
      </c>
      <c r="F933" s="131"/>
      <c r="G933" s="607" t="str">
        <f ca="1">IF(OR(INDIRECT("'update Helper'!E"&amp;Q933)="",F933&lt;&gt;0,F934&lt;&gt;0),IF(IFERROR((F933/F934),"")="","",(F933/F934)),INDIRECT("'update Helper'!E"&amp;Q933)/100)</f>
        <v/>
      </c>
      <c r="H933" s="597"/>
      <c r="I933" s="599"/>
      <c r="J933" s="531"/>
      <c r="K933" s="130">
        <f>IF(AND(EXACT(C933,C931),C931&lt;&gt;0),K931+1,0)</f>
        <v>16</v>
      </c>
      <c r="L933" s="130" t="str">
        <f t="shared" ref="L933" si="1109">IF(C933&lt;&gt;"",C933&amp;"-"&amp;K933,"")</f>
        <v>HTS-3b⁽ᴹ⁾ Percentage of TG that have received an HIV test during the reporting period in KP-specific programs and know their results-16</v>
      </c>
      <c r="M933" s="130" t="str">
        <f t="array" ref="M933">IFERROR(IF(INDEX('Disaggregation Records'!$E$152:$E$513,MATCH(RIGHT(L933,255),RIGHT('Disaggregation Records'!$D$152:$D$513,255),0))="","",INDEX('Disaggregation Records'!$E$152:$E$513,MATCH(RIGHT(L933,255),RIGHT('Disaggregation Records'!$D$152:$D$513,255),0))),"")</f>
        <v/>
      </c>
      <c r="N933" s="130" t="str">
        <f t="array" ref="N933">IFERROR(IF(INDEX('Disaggregation Records'!$F$152:$F$513,MATCH(RIGHT(L933,255),RIGHT('Disaggregation Records'!$D$152:$D$513,255),0))="","",INDEX('Disaggregation Records'!$F$152:$F$513,MATCH(RIGHT(L933,255),RIGHT('Disaggregation Records'!$D$152:$D$513,255),0))),"")</f>
        <v/>
      </c>
      <c r="O933" s="130" t="str">
        <f t="array" ref="O933">IFERROR(IF(INDEX('Disaggregation Records'!$H$152:$H$513,MATCH(RIGHT(L933,255),RIGHT('Disaggregation Records'!$D$152:$D$513,255),0))="","",INDEX('Disaggregation Records'!$H$152:$H$513,MATCH(RIGHT(L933,255),RIGHT('Disaggregation Records'!$D$152:$D$513,255),0))),"")</f>
        <v/>
      </c>
      <c r="P933" s="130"/>
      <c r="Q933" s="52">
        <f t="shared" ref="Q933" si="1110">Q931+1</f>
        <v>1651</v>
      </c>
    </row>
    <row r="934" spans="1:17" ht="20.100000000000001" customHeight="1" x14ac:dyDescent="0.25">
      <c r="A934" s="130"/>
      <c r="B934" s="602"/>
      <c r="C934" s="604"/>
      <c r="D934" s="606"/>
      <c r="E934" s="606"/>
      <c r="F934" s="132"/>
      <c r="G934" s="608"/>
      <c r="H934" s="598"/>
      <c r="I934" s="600"/>
      <c r="J934" s="532"/>
      <c r="K934" s="130"/>
      <c r="L934" s="130"/>
      <c r="M934" s="130"/>
      <c r="N934" s="130"/>
      <c r="O934" s="130"/>
      <c r="P934" s="130"/>
    </row>
    <row r="935" spans="1:17" ht="20.100000000000001" customHeight="1" x14ac:dyDescent="0.25">
      <c r="A935" s="130" t="str">
        <f t="shared" ca="1" si="1058"/>
        <v>a16Dm000000LZc3IAG</v>
      </c>
      <c r="B935" s="601">
        <v>8</v>
      </c>
      <c r="C935" s="603" t="str">
        <f>IFERROR(VLOOKUP(B935,'Coverage Indicators - Section D'!$A$9:$AO$70,41,FALSE),"")</f>
        <v>HTS-3b⁽ᴹ⁾ Percentage of TG that have received an HIV test during the reporting period in KP-specific programs and know their results</v>
      </c>
      <c r="D935" s="605" t="str">
        <f>M935</f>
        <v/>
      </c>
      <c r="E935" s="605" t="str">
        <f>N935</f>
        <v/>
      </c>
      <c r="F935" s="131"/>
      <c r="G935" s="607" t="str">
        <f ca="1">IF(OR(INDIRECT("'update Helper'!E"&amp;Q935)="",F935&lt;&gt;0,F936&lt;&gt;0),IF(IFERROR((F935/F936),"")="","",(F935/F936)),INDIRECT("'update Helper'!E"&amp;Q935)/100)</f>
        <v/>
      </c>
      <c r="H935" s="597"/>
      <c r="I935" s="599"/>
      <c r="J935" s="531"/>
      <c r="K935" s="130">
        <f>IF(AND(EXACT(C935,C933),C933&lt;&gt;0),K933+1,0)</f>
        <v>17</v>
      </c>
      <c r="L935" s="130" t="str">
        <f t="shared" ref="L935" si="1111">IF(C935&lt;&gt;"",C935&amp;"-"&amp;K935,"")</f>
        <v>HTS-3b⁽ᴹ⁾ Percentage of TG that have received an HIV test during the reporting period in KP-specific programs and know their results-17</v>
      </c>
      <c r="M935" s="130" t="str">
        <f t="array" ref="M935">IFERROR(IF(INDEX('Disaggregation Records'!$E$152:$E$513,MATCH(RIGHT(L935,255),RIGHT('Disaggregation Records'!$D$152:$D$513,255),0))="","",INDEX('Disaggregation Records'!$E$152:$E$513,MATCH(RIGHT(L935,255),RIGHT('Disaggregation Records'!$D$152:$D$513,255),0))),"")</f>
        <v/>
      </c>
      <c r="N935" s="130" t="str">
        <f t="array" ref="N935">IFERROR(IF(INDEX('Disaggregation Records'!$F$152:$F$513,MATCH(RIGHT(L935,255),RIGHT('Disaggregation Records'!$D$152:$D$513,255),0))="","",INDEX('Disaggregation Records'!$F$152:$F$513,MATCH(RIGHT(L935,255),RIGHT('Disaggregation Records'!$D$152:$D$513,255),0))),"")</f>
        <v/>
      </c>
      <c r="O935" s="130" t="str">
        <f t="array" ref="O935">IFERROR(IF(INDEX('Disaggregation Records'!$H$152:$H$513,MATCH(RIGHT(L935,255),RIGHT('Disaggregation Records'!$D$152:$D$513,255),0))="","",INDEX('Disaggregation Records'!$H$152:$H$513,MATCH(RIGHT(L935,255),RIGHT('Disaggregation Records'!$D$152:$D$513,255),0))),"")</f>
        <v/>
      </c>
      <c r="Q935" s="52">
        <f t="shared" ref="Q935" si="1112">Q933+1</f>
        <v>1652</v>
      </c>
    </row>
    <row r="936" spans="1:17" ht="20.100000000000001" customHeight="1" x14ac:dyDescent="0.25">
      <c r="B936" s="602"/>
      <c r="C936" s="604"/>
      <c r="D936" s="606"/>
      <c r="E936" s="606"/>
      <c r="F936" s="132"/>
      <c r="G936" s="608"/>
      <c r="H936" s="598"/>
      <c r="I936" s="600"/>
      <c r="J936" s="532"/>
      <c r="L936" s="130"/>
      <c r="N936" s="130"/>
      <c r="O936" s="130"/>
    </row>
    <row r="937" spans="1:17" ht="20.100000000000001" customHeight="1" x14ac:dyDescent="0.25">
      <c r="A937" s="130" t="str">
        <f t="shared" ca="1" si="1055"/>
        <v>a16Dm000000LZc4IAG</v>
      </c>
      <c r="B937" s="601">
        <v>8</v>
      </c>
      <c r="C937" s="603" t="str">
        <f>IFERROR(VLOOKUP(B937,'Coverage Indicators - Section D'!$A$9:$AO$70,41,FALSE),"")</f>
        <v>HTS-3b⁽ᴹ⁾ Percentage of TG that have received an HIV test during the reporting period in KP-specific programs and know their results</v>
      </c>
      <c r="D937" s="605" t="str">
        <f>M937</f>
        <v/>
      </c>
      <c r="E937" s="605" t="str">
        <f>N937</f>
        <v/>
      </c>
      <c r="F937" s="131"/>
      <c r="G937" s="607" t="str">
        <f ca="1">IF(OR(INDIRECT("'update Helper'!E"&amp;Q937)="",F937&lt;&gt;0,F938&lt;&gt;0),IF(IFERROR((F937/F938),"")="","",(F937/F938)),INDIRECT("'update Helper'!E"&amp;Q937)/100)</f>
        <v/>
      </c>
      <c r="H937" s="597"/>
      <c r="I937" s="599"/>
      <c r="J937" s="531"/>
      <c r="K937" s="130">
        <f>IF(AND(EXACT(C937,C935),C935&lt;&gt;0),K935+1,0)</f>
        <v>18</v>
      </c>
      <c r="L937" s="130" t="str">
        <f t="shared" ref="L937" si="1113">IF(C937&lt;&gt;"",C937&amp;"-"&amp;K937,"")</f>
        <v>HTS-3b⁽ᴹ⁾ Percentage of TG that have received an HIV test during the reporting period in KP-specific programs and know their results-18</v>
      </c>
      <c r="M937" s="130" t="str">
        <f t="array" ref="M937">IFERROR(IF(INDEX('Disaggregation Records'!$E$152:$E$513,MATCH(RIGHT(L937,255),RIGHT('Disaggregation Records'!$D$152:$D$513,255),0))="","",INDEX('Disaggregation Records'!$E$152:$E$513,MATCH(RIGHT(L937,255),RIGHT('Disaggregation Records'!$D$152:$D$513,255),0))),"")</f>
        <v/>
      </c>
      <c r="N937" s="130" t="str">
        <f t="array" ref="N937">IFERROR(IF(INDEX('Disaggregation Records'!$F$152:$F$513,MATCH(RIGHT(L937,255),RIGHT('Disaggregation Records'!$D$152:$D$513,255),0))="","",INDEX('Disaggregation Records'!$F$152:$F$513,MATCH(RIGHT(L937,255),RIGHT('Disaggregation Records'!$D$152:$D$513,255),0))),"")</f>
        <v/>
      </c>
      <c r="O937" s="130" t="str">
        <f t="array" ref="O937">IFERROR(IF(INDEX('Disaggregation Records'!$H$152:$H$513,MATCH(RIGHT(L937,255),RIGHT('Disaggregation Records'!$D$152:$D$513,255),0))="","",INDEX('Disaggregation Records'!$H$152:$H$513,MATCH(RIGHT(L937,255),RIGHT('Disaggregation Records'!$D$152:$D$513,255),0))),"")</f>
        <v/>
      </c>
      <c r="Q937" s="52">
        <f t="shared" ref="Q937" si="1114">Q935+1</f>
        <v>1653</v>
      </c>
    </row>
    <row r="938" spans="1:17" ht="20.100000000000001" customHeight="1" x14ac:dyDescent="0.25">
      <c r="A938" s="130"/>
      <c r="B938" s="602"/>
      <c r="C938" s="604"/>
      <c r="D938" s="606"/>
      <c r="E938" s="606"/>
      <c r="F938" s="132"/>
      <c r="G938" s="608"/>
      <c r="H938" s="598"/>
      <c r="I938" s="600"/>
      <c r="J938" s="532"/>
      <c r="L938" s="130"/>
      <c r="N938" s="130"/>
      <c r="O938" s="130"/>
    </row>
    <row r="939" spans="1:17" ht="20.100000000000001" customHeight="1" x14ac:dyDescent="0.25">
      <c r="A939" s="130" t="str">
        <f t="shared" ca="1" si="1058"/>
        <v>a16Dm000000LZc5IAG</v>
      </c>
      <c r="B939" s="601">
        <v>8</v>
      </c>
      <c r="C939" s="603" t="str">
        <f>IFERROR(VLOOKUP(B939,'Coverage Indicators - Section D'!$A$9:$AO$70,41,FALSE),"")</f>
        <v>HTS-3b⁽ᴹ⁾ Percentage of TG that have received an HIV test during the reporting period in KP-specific programs and know their results</v>
      </c>
      <c r="D939" s="605" t="str">
        <f>M939</f>
        <v/>
      </c>
      <c r="E939" s="605" t="str">
        <f>N939</f>
        <v/>
      </c>
      <c r="F939" s="131"/>
      <c r="G939" s="607" t="str">
        <f ca="1">IF(OR(INDIRECT("'update Helper'!E"&amp;Q939)="",F939&lt;&gt;0,F940&lt;&gt;0),IF(IFERROR((F939/F940),"")="","",(F939/F940)),INDIRECT("'update Helper'!E"&amp;Q939)/100)</f>
        <v/>
      </c>
      <c r="H939" s="597"/>
      <c r="I939" s="599"/>
      <c r="J939" s="531"/>
      <c r="K939" s="130">
        <f>IF(AND(EXACT(C939,C937),C937&lt;&gt;0),K937+1,0)</f>
        <v>19</v>
      </c>
      <c r="L939" s="130" t="str">
        <f t="shared" ref="L939" si="1115">IF(C939&lt;&gt;"",C939&amp;"-"&amp;K939,"")</f>
        <v>HTS-3b⁽ᴹ⁾ Percentage of TG that have received an HIV test during the reporting period in KP-specific programs and know their results-19</v>
      </c>
      <c r="M939" s="130" t="str">
        <f t="array" ref="M939">IFERROR(IF(INDEX('Disaggregation Records'!$E$152:$E$513,MATCH(RIGHT(L939,255),RIGHT('Disaggregation Records'!$D$152:$D$513,255),0))="","",INDEX('Disaggregation Records'!$E$152:$E$513,MATCH(RIGHT(L939,255),RIGHT('Disaggregation Records'!$D$152:$D$513,255),0))),"")</f>
        <v/>
      </c>
      <c r="N939" s="130" t="str">
        <f t="array" ref="N939">IFERROR(IF(INDEX('Disaggregation Records'!$F$152:$F$513,MATCH(RIGHT(L939,255),RIGHT('Disaggregation Records'!$D$152:$D$513,255),0))="","",INDEX('Disaggregation Records'!$F$152:$F$513,MATCH(RIGHT(L939,255),RIGHT('Disaggregation Records'!$D$152:$D$513,255),0))),"")</f>
        <v/>
      </c>
      <c r="O939" s="130" t="str">
        <f t="array" ref="O939">IFERROR(IF(INDEX('Disaggregation Records'!$H$152:$H$513,MATCH(RIGHT(L939,255),RIGHT('Disaggregation Records'!$D$152:$D$513,255),0))="","",INDEX('Disaggregation Records'!$H$152:$H$513,MATCH(RIGHT(L939,255),RIGHT('Disaggregation Records'!$D$152:$D$513,255),0))),"")</f>
        <v/>
      </c>
      <c r="Q939" s="52">
        <f t="shared" ref="Q939" si="1116">Q937+1</f>
        <v>1654</v>
      </c>
    </row>
    <row r="940" spans="1:17" ht="20.100000000000001" customHeight="1" x14ac:dyDescent="0.25">
      <c r="B940" s="602"/>
      <c r="C940" s="604"/>
      <c r="D940" s="606"/>
      <c r="E940" s="606"/>
      <c r="F940" s="132"/>
      <c r="G940" s="608"/>
      <c r="H940" s="598"/>
      <c r="I940" s="600"/>
      <c r="J940" s="532"/>
      <c r="L940" s="130"/>
      <c r="N940" s="130"/>
      <c r="O940" s="130"/>
    </row>
    <row r="941" spans="1:17" ht="68.25" customHeight="1" x14ac:dyDescent="0.25">
      <c r="A941" s="130" t="str">
        <f t="shared" ca="1" si="1055"/>
        <v>a16Dm000000LZc6IAG</v>
      </c>
      <c r="B941" s="601">
        <v>9</v>
      </c>
      <c r="C941" s="603" t="str">
        <f>IFERROR(VLOOKUP(B941,'Coverage Indicators - Section D'!$A$9:$AO$70,41,FALSE),"")</f>
        <v>HTS-3d⁽ᴹ⁾ Percentage of people who inject drugs that have received an HIV test during the reporting period in KP-specific programs and know their results</v>
      </c>
      <c r="D941" s="605" t="str">
        <f>M941</f>
        <v>Age</v>
      </c>
      <c r="E941" s="605" t="str">
        <f>N941</f>
        <v>25+</v>
      </c>
      <c r="F941" s="131">
        <v>15769</v>
      </c>
      <c r="G941" s="607" t="str">
        <f ca="1">IF(OR(INDIRECT("'update Helper'!E"&amp;Q941)="",F941&lt;&gt;0,F942&lt;&gt;0),IF(IFERROR((F941/F942),"")="","",(F941/F942)),INDIRECT("'update Helper'!E"&amp;Q941)/100)</f>
        <v/>
      </c>
      <c r="H941" s="597">
        <v>2022</v>
      </c>
      <c r="I941" s="599" t="s">
        <v>2239</v>
      </c>
      <c r="J941" s="531" t="s">
        <v>2243</v>
      </c>
      <c r="K941" s="130">
        <f>IF(AND(EXACT(C941,C939),C939&lt;&gt;0),K939+1,0)</f>
        <v>0</v>
      </c>
      <c r="L941" s="130" t="str">
        <f t="shared" ref="L941" si="1117">IF(C941&lt;&gt;"",C941&amp;"-"&amp;K941,"")</f>
        <v>HTS-3d⁽ᴹ⁾ Percentage of people who inject drugs that have received an HIV test during the reporting period in KP-specific programs and know their results-0</v>
      </c>
      <c r="M941" s="130" t="str">
        <f t="array" ref="M941">IFERROR(IF(INDEX('Disaggregation Records'!$E$152:$E$513,MATCH(RIGHT(L941,255),RIGHT('Disaggregation Records'!$D$152:$D$513,255),0))="","",INDEX('Disaggregation Records'!$E$152:$E$513,MATCH(RIGHT(L941,255),RIGHT('Disaggregation Records'!$D$152:$D$513,255),0))),"")</f>
        <v>Age</v>
      </c>
      <c r="N941" s="130" t="str">
        <f t="array" ref="N941">IFERROR(IF(INDEX('Disaggregation Records'!$F$152:$F$513,MATCH(RIGHT(L941,255),RIGHT('Disaggregation Records'!$D$152:$D$513,255),0))="","",INDEX('Disaggregation Records'!$F$152:$F$513,MATCH(RIGHT(L941,255),RIGHT('Disaggregation Records'!$D$152:$D$513,255),0))),"")</f>
        <v>25+</v>
      </c>
      <c r="O941" s="130" t="str">
        <f t="array" ref="O941">IFERROR(IF(INDEX('Disaggregation Records'!$H$152:$H$513,MATCH(RIGHT(L941,255),RIGHT('Disaggregation Records'!$D$152:$D$513,255),0))="","",INDEX('Disaggregation Records'!$H$152:$H$513,MATCH(RIGHT(L941,255),RIGHT('Disaggregation Records'!$D$152:$D$513,255),0))),"")</f>
        <v>IDR-01286</v>
      </c>
      <c r="P941" s="130"/>
      <c r="Q941" s="52">
        <f t="shared" ref="Q941" si="1118">Q939+1</f>
        <v>1655</v>
      </c>
    </row>
    <row r="942" spans="1:17" ht="33" customHeight="1" x14ac:dyDescent="0.25">
      <c r="A942" s="130"/>
      <c r="B942" s="602"/>
      <c r="C942" s="604"/>
      <c r="D942" s="606"/>
      <c r="E942" s="606"/>
      <c r="F942" s="132"/>
      <c r="G942" s="608"/>
      <c r="H942" s="598"/>
      <c r="I942" s="600"/>
      <c r="J942" s="532"/>
      <c r="K942" s="130"/>
      <c r="L942" s="130"/>
      <c r="M942" s="130"/>
      <c r="N942" s="130"/>
      <c r="O942" s="130"/>
      <c r="P942" s="130"/>
    </row>
    <row r="943" spans="1:17" ht="61.5" customHeight="1" x14ac:dyDescent="0.25">
      <c r="A943" s="130" t="str">
        <f t="shared" ca="1" si="1058"/>
        <v>a16Dm000000LZc7IAG</v>
      </c>
      <c r="B943" s="601">
        <v>9</v>
      </c>
      <c r="C943" s="603" t="str">
        <f>IFERROR(VLOOKUP(B943,'Coverage Indicators - Section D'!$A$9:$AO$70,41,FALSE),"")</f>
        <v>HTS-3d⁽ᴹ⁾ Percentage of people who inject drugs that have received an HIV test during the reporting period in KP-specific programs and know their results</v>
      </c>
      <c r="D943" s="605" t="str">
        <f>M943</f>
        <v>Age</v>
      </c>
      <c r="E943" s="605" t="str">
        <f>N943</f>
        <v>20-24</v>
      </c>
      <c r="F943" s="131">
        <v>318</v>
      </c>
      <c r="G943" s="607" t="str">
        <f ca="1">IF(OR(INDIRECT("'update Helper'!E"&amp;Q943)="",F943&lt;&gt;0,F944&lt;&gt;0),IF(IFERROR((F943/F944),"")="","",(F943/F944)),INDIRECT("'update Helper'!E"&amp;Q943)/100)</f>
        <v/>
      </c>
      <c r="H943" s="597">
        <v>2022</v>
      </c>
      <c r="I943" s="599" t="s">
        <v>2239</v>
      </c>
      <c r="J943" s="531" t="s">
        <v>2243</v>
      </c>
      <c r="K943" s="130">
        <f>IF(AND(EXACT(C943,C941),C941&lt;&gt;0),K941+1,0)</f>
        <v>1</v>
      </c>
      <c r="L943" s="130" t="str">
        <f t="shared" ref="L943" si="1119">IF(C943&lt;&gt;"",C943&amp;"-"&amp;K943,"")</f>
        <v>HTS-3d⁽ᴹ⁾ Percentage of people who inject drugs that have received an HIV test during the reporting period in KP-specific programs and know their results-1</v>
      </c>
      <c r="M943" s="130" t="str">
        <f t="array" ref="M943">IFERROR(IF(INDEX('Disaggregation Records'!$E$152:$E$513,MATCH(RIGHT(L943,255),RIGHT('Disaggregation Records'!$D$152:$D$513,255),0))="","",INDEX('Disaggregation Records'!$E$152:$E$513,MATCH(RIGHT(L943,255),RIGHT('Disaggregation Records'!$D$152:$D$513,255),0))),"")</f>
        <v>Age</v>
      </c>
      <c r="N943" s="130" t="str">
        <f t="array" ref="N943">IFERROR(IF(INDEX('Disaggregation Records'!$F$152:$F$513,MATCH(RIGHT(L943,255),RIGHT('Disaggregation Records'!$D$152:$D$513,255),0))="","",INDEX('Disaggregation Records'!$F$152:$F$513,MATCH(RIGHT(L943,255),RIGHT('Disaggregation Records'!$D$152:$D$513,255),0))),"")</f>
        <v>20-24</v>
      </c>
      <c r="O943" s="130" t="str">
        <f t="array" ref="O943">IFERROR(IF(INDEX('Disaggregation Records'!$H$152:$H$513,MATCH(RIGHT(L943,255),RIGHT('Disaggregation Records'!$D$152:$D$513,255),0))="","",INDEX('Disaggregation Records'!$H$152:$H$513,MATCH(RIGHT(L943,255),RIGHT('Disaggregation Records'!$D$152:$D$513,255),0))),"")</f>
        <v>IDR-01285</v>
      </c>
      <c r="P943" s="130"/>
      <c r="Q943" s="52">
        <f t="shared" ref="Q943" si="1120">Q941+1</f>
        <v>1656</v>
      </c>
    </row>
    <row r="944" spans="1:17" ht="33.75" customHeight="1" x14ac:dyDescent="0.25">
      <c r="B944" s="602"/>
      <c r="C944" s="604"/>
      <c r="D944" s="606"/>
      <c r="E944" s="606"/>
      <c r="F944" s="132"/>
      <c r="G944" s="608"/>
      <c r="H944" s="598"/>
      <c r="I944" s="600"/>
      <c r="J944" s="532"/>
      <c r="K944" s="130"/>
      <c r="L944" s="130"/>
      <c r="M944" s="130"/>
      <c r="N944" s="130"/>
      <c r="O944" s="130"/>
      <c r="P944" s="130"/>
    </row>
    <row r="945" spans="1:17" ht="66.75" customHeight="1" x14ac:dyDescent="0.25">
      <c r="A945" s="130" t="str">
        <f t="shared" ref="A945:A1005" ca="1" si="1121">INDIRECT("'update Helper'!C"&amp;Q945)</f>
        <v>a16Dm000000LZc8IAG</v>
      </c>
      <c r="B945" s="601">
        <v>9</v>
      </c>
      <c r="C945" s="603" t="str">
        <f>IFERROR(VLOOKUP(B945,'Coverage Indicators - Section D'!$A$9:$AO$70,41,FALSE),"")</f>
        <v>HTS-3d⁽ᴹ⁾ Percentage of people who inject drugs that have received an HIV test during the reporting period in KP-specific programs and know their results</v>
      </c>
      <c r="D945" s="605" t="str">
        <f>M945</f>
        <v>Age</v>
      </c>
      <c r="E945" s="605" t="str">
        <f>N945</f>
        <v>15-19</v>
      </c>
      <c r="F945" s="131">
        <v>15</v>
      </c>
      <c r="G945" s="607" t="str">
        <f ca="1">IF(OR(INDIRECT("'update Helper'!E"&amp;Q945)="",F945&lt;&gt;0,F946&lt;&gt;0),IF(IFERROR((F945/F946),"")="","",(F945/F946)),INDIRECT("'update Helper'!E"&amp;Q945)/100)</f>
        <v/>
      </c>
      <c r="H945" s="597">
        <v>2022</v>
      </c>
      <c r="I945" s="599" t="s">
        <v>2239</v>
      </c>
      <c r="J945" s="531" t="s">
        <v>2243</v>
      </c>
      <c r="K945" s="130">
        <f>IF(AND(EXACT(C945,C943),C943&lt;&gt;0),K943+1,0)</f>
        <v>2</v>
      </c>
      <c r="L945" s="130" t="str">
        <f t="shared" ref="L945" si="1122">IF(C945&lt;&gt;"",C945&amp;"-"&amp;K945,"")</f>
        <v>HTS-3d⁽ᴹ⁾ Percentage of people who inject drugs that have received an HIV test during the reporting period in KP-specific programs and know their results-2</v>
      </c>
      <c r="M945" s="130" t="str">
        <f t="array" ref="M945">IFERROR(IF(INDEX('Disaggregation Records'!$E$152:$E$513,MATCH(RIGHT(L945,255),RIGHT('Disaggregation Records'!$D$152:$D$513,255),0))="","",INDEX('Disaggregation Records'!$E$152:$E$513,MATCH(RIGHT(L945,255),RIGHT('Disaggregation Records'!$D$152:$D$513,255),0))),"")</f>
        <v>Age</v>
      </c>
      <c r="N945" s="130" t="str">
        <f t="array" ref="N945">IFERROR(IF(INDEX('Disaggregation Records'!$F$152:$F$513,MATCH(RIGHT(L945,255),RIGHT('Disaggregation Records'!$D$152:$D$513,255),0))="","",INDEX('Disaggregation Records'!$F$152:$F$513,MATCH(RIGHT(L945,255),RIGHT('Disaggregation Records'!$D$152:$D$513,255),0))),"")</f>
        <v>15-19</v>
      </c>
      <c r="O945" s="130" t="str">
        <f t="array" ref="O945">IFERROR(IF(INDEX('Disaggregation Records'!$H$152:$H$513,MATCH(RIGHT(L945,255),RIGHT('Disaggregation Records'!$D$152:$D$513,255),0))="","",INDEX('Disaggregation Records'!$H$152:$H$513,MATCH(RIGHT(L945,255),RIGHT('Disaggregation Records'!$D$152:$D$513,255),0))),"")</f>
        <v>IDR-01284</v>
      </c>
      <c r="Q945" s="52">
        <f t="shared" ref="Q945" si="1123">Q943+1</f>
        <v>1657</v>
      </c>
    </row>
    <row r="946" spans="1:17" ht="24" customHeight="1" x14ac:dyDescent="0.25">
      <c r="A946" s="130"/>
      <c r="B946" s="602"/>
      <c r="C946" s="604"/>
      <c r="D946" s="606"/>
      <c r="E946" s="606"/>
      <c r="F946" s="132"/>
      <c r="G946" s="608"/>
      <c r="H946" s="598"/>
      <c r="I946" s="600"/>
      <c r="J946" s="532"/>
      <c r="L946" s="130"/>
      <c r="N946" s="130"/>
      <c r="O946" s="130"/>
    </row>
    <row r="947" spans="1:17" ht="75" customHeight="1" x14ac:dyDescent="0.25">
      <c r="A947" s="130" t="str">
        <f t="shared" ref="A947:A1007" ca="1" si="1124">INDIRECT("'update Helper'!C"&amp;Q947)</f>
        <v>a16Dm000000LZc9IAG</v>
      </c>
      <c r="B947" s="601">
        <v>9</v>
      </c>
      <c r="C947" s="603" t="str">
        <f>IFERROR(VLOOKUP(B947,'Coverage Indicators - Section D'!$A$9:$AO$70,41,FALSE),"")</f>
        <v>HTS-3d⁽ᴹ⁾ Percentage of people who inject drugs that have received an HIV test during the reporting period in KP-specific programs and know their results</v>
      </c>
      <c r="D947" s="605" t="str">
        <f>M947</f>
        <v>Gender</v>
      </c>
      <c r="E947" s="605" t="str">
        <f>N947</f>
        <v>Male</v>
      </c>
      <c r="F947" s="131">
        <v>13774</v>
      </c>
      <c r="G947" s="607" t="str">
        <f ca="1">IF(OR(INDIRECT("'update Helper'!E"&amp;Q947)="",F947&lt;&gt;0,F948&lt;&gt;0),IF(IFERROR((F947/F948),"")="","",(F947/F948)),INDIRECT("'update Helper'!E"&amp;Q947)/100)</f>
        <v/>
      </c>
      <c r="H947" s="597">
        <v>2022</v>
      </c>
      <c r="I947" s="599" t="s">
        <v>2239</v>
      </c>
      <c r="J947" s="531" t="s">
        <v>2243</v>
      </c>
      <c r="K947" s="130">
        <f>IF(AND(EXACT(C947,C945),C945&lt;&gt;0),K945+1,0)</f>
        <v>3</v>
      </c>
      <c r="L947" s="130" t="str">
        <f t="shared" ref="L947" si="1125">IF(C947&lt;&gt;"",C947&amp;"-"&amp;K947,"")</f>
        <v>HTS-3d⁽ᴹ⁾ Percentage of people who inject drugs that have received an HIV test during the reporting period in KP-specific programs and know their results-3</v>
      </c>
      <c r="M947" s="130" t="str">
        <f t="array" ref="M947">IFERROR(IF(INDEX('Disaggregation Records'!$E$152:$E$513,MATCH(RIGHT(L947,255),RIGHT('Disaggregation Records'!$D$152:$D$513,255),0))="","",INDEX('Disaggregation Records'!$E$152:$E$513,MATCH(RIGHT(L947,255),RIGHT('Disaggregation Records'!$D$152:$D$513,255),0))),"")</f>
        <v>Gender</v>
      </c>
      <c r="N947" s="130" t="str">
        <f t="array" ref="N947">IFERROR(IF(INDEX('Disaggregation Records'!$F$152:$F$513,MATCH(RIGHT(L947,255),RIGHT('Disaggregation Records'!$D$152:$D$513,255),0))="","",INDEX('Disaggregation Records'!$F$152:$F$513,MATCH(RIGHT(L947,255),RIGHT('Disaggregation Records'!$D$152:$D$513,255),0))),"")</f>
        <v>Male</v>
      </c>
      <c r="O947" s="130" t="str">
        <f t="array" ref="O947">IFERROR(IF(INDEX('Disaggregation Records'!$H$152:$H$513,MATCH(RIGHT(L947,255),RIGHT('Disaggregation Records'!$D$152:$D$513,255),0))="","",INDEX('Disaggregation Records'!$H$152:$H$513,MATCH(RIGHT(L947,255),RIGHT('Disaggregation Records'!$D$152:$D$513,255),0))),"")</f>
        <v>IDR-01283</v>
      </c>
      <c r="Q947" s="52">
        <f t="shared" ref="Q947" si="1126">Q945+1</f>
        <v>1658</v>
      </c>
    </row>
    <row r="948" spans="1:17" ht="21" customHeight="1" x14ac:dyDescent="0.25">
      <c r="B948" s="602"/>
      <c r="C948" s="604"/>
      <c r="D948" s="606"/>
      <c r="E948" s="606"/>
      <c r="F948" s="132"/>
      <c r="G948" s="608"/>
      <c r="H948" s="598"/>
      <c r="I948" s="600"/>
      <c r="J948" s="532"/>
      <c r="L948" s="130"/>
      <c r="N948" s="130"/>
      <c r="O948" s="130"/>
    </row>
    <row r="949" spans="1:17" ht="55.5" customHeight="1" x14ac:dyDescent="0.25">
      <c r="A949" s="130" t="str">
        <f t="shared" ca="1" si="1121"/>
        <v>a16Dm000000LZcAIAW</v>
      </c>
      <c r="B949" s="601">
        <v>9</v>
      </c>
      <c r="C949" s="603" t="str">
        <f>IFERROR(VLOOKUP(B949,'Coverage Indicators - Section D'!$A$9:$AO$70,41,FALSE),"")</f>
        <v>HTS-3d⁽ᴹ⁾ Percentage of people who inject drugs that have received an HIV test during the reporting period in KP-specific programs and know their results</v>
      </c>
      <c r="D949" s="605" t="str">
        <f>M949</f>
        <v>Gender</v>
      </c>
      <c r="E949" s="605" t="str">
        <f>N949</f>
        <v>Female</v>
      </c>
      <c r="F949" s="131">
        <v>2328</v>
      </c>
      <c r="G949" s="607" t="str">
        <f ca="1">IF(OR(INDIRECT("'update Helper'!E"&amp;Q949)="",F949&lt;&gt;0,F950&lt;&gt;0),IF(IFERROR((F949/F950),"")="","",(F949/F950)),INDIRECT("'update Helper'!E"&amp;Q949)/100)</f>
        <v/>
      </c>
      <c r="H949" s="597">
        <v>2022</v>
      </c>
      <c r="I949" s="599" t="s">
        <v>2239</v>
      </c>
      <c r="J949" s="531" t="s">
        <v>2243</v>
      </c>
      <c r="K949" s="130">
        <f>IF(AND(EXACT(C949,C947),C947&lt;&gt;0),K947+1,0)</f>
        <v>4</v>
      </c>
      <c r="L949" s="130" t="str">
        <f t="shared" ref="L949" si="1127">IF(C949&lt;&gt;"",C949&amp;"-"&amp;K949,"")</f>
        <v>HTS-3d⁽ᴹ⁾ Percentage of people who inject drugs that have received an HIV test during the reporting period in KP-specific programs and know their results-4</v>
      </c>
      <c r="M949" s="130" t="str">
        <f t="array" ref="M949">IFERROR(IF(INDEX('Disaggregation Records'!$E$152:$E$513,MATCH(RIGHT(L949,255),RIGHT('Disaggregation Records'!$D$152:$D$513,255),0))="","",INDEX('Disaggregation Records'!$E$152:$E$513,MATCH(RIGHT(L949,255),RIGHT('Disaggregation Records'!$D$152:$D$513,255),0))),"")</f>
        <v>Gender</v>
      </c>
      <c r="N949" s="130" t="str">
        <f t="array" ref="N949">IFERROR(IF(INDEX('Disaggregation Records'!$F$152:$F$513,MATCH(RIGHT(L949,255),RIGHT('Disaggregation Records'!$D$152:$D$513,255),0))="","",INDEX('Disaggregation Records'!$F$152:$F$513,MATCH(RIGHT(L949,255),RIGHT('Disaggregation Records'!$D$152:$D$513,255),0))),"")</f>
        <v>Female</v>
      </c>
      <c r="O949" s="130" t="str">
        <f t="array" ref="O949">IFERROR(IF(INDEX('Disaggregation Records'!$H$152:$H$513,MATCH(RIGHT(L949,255),RIGHT('Disaggregation Records'!$D$152:$D$513,255),0))="","",INDEX('Disaggregation Records'!$H$152:$H$513,MATCH(RIGHT(L949,255),RIGHT('Disaggregation Records'!$D$152:$D$513,255),0))),"")</f>
        <v>IDR-01282</v>
      </c>
      <c r="Q949" s="52">
        <f t="shared" ref="Q949" si="1128">Q947+1</f>
        <v>1659</v>
      </c>
    </row>
    <row r="950" spans="1:17" ht="36" customHeight="1" x14ac:dyDescent="0.25">
      <c r="A950" s="130"/>
      <c r="B950" s="602"/>
      <c r="C950" s="604"/>
      <c r="D950" s="606"/>
      <c r="E950" s="606"/>
      <c r="F950" s="132"/>
      <c r="G950" s="608"/>
      <c r="H950" s="598"/>
      <c r="I950" s="600"/>
      <c r="J950" s="532"/>
      <c r="L950" s="130"/>
      <c r="N950" s="130"/>
      <c r="O950" s="130"/>
    </row>
    <row r="951" spans="1:17" ht="20.100000000000001" customHeight="1" x14ac:dyDescent="0.25">
      <c r="A951" s="130" t="str">
        <f t="shared" ca="1" si="1124"/>
        <v>a16Dm000000LZcBIAW</v>
      </c>
      <c r="B951" s="601">
        <v>9</v>
      </c>
      <c r="C951" s="603" t="str">
        <f>IFERROR(VLOOKUP(B951,'Coverage Indicators - Section D'!$A$9:$AO$70,41,FALSE),"")</f>
        <v>HTS-3d⁽ᴹ⁾ Percentage of people who inject drugs that have received an HIV test during the reporting period in KP-specific programs and know their results</v>
      </c>
      <c r="D951" s="605" t="str">
        <f>M951</f>
        <v/>
      </c>
      <c r="E951" s="605" t="str">
        <f>N951</f>
        <v/>
      </c>
      <c r="F951" s="131"/>
      <c r="G951" s="607" t="str">
        <f ca="1">IF(OR(INDIRECT("'update Helper'!E"&amp;Q951)="",F951&lt;&gt;0,F952&lt;&gt;0),IF(IFERROR((F951/F952),"")="","",(F951/F952)),INDIRECT("'update Helper'!E"&amp;Q951)/100)</f>
        <v/>
      </c>
      <c r="H951" s="597"/>
      <c r="I951" s="599"/>
      <c r="J951" s="531"/>
      <c r="K951" s="130">
        <f>IF(AND(EXACT(C951,C949),C949&lt;&gt;0),K949+1,0)</f>
        <v>5</v>
      </c>
      <c r="L951" s="130" t="str">
        <f t="shared" ref="L951" si="1129">IF(C951&lt;&gt;"",C951&amp;"-"&amp;K951,"")</f>
        <v>HTS-3d⁽ᴹ⁾ Percentage of people who inject drugs that have received an HIV test during the reporting period in KP-specific programs and know their results-5</v>
      </c>
      <c r="M951" s="130" t="str">
        <f t="array" ref="M951">IFERROR(IF(INDEX('Disaggregation Records'!$E$152:$E$513,MATCH(RIGHT(L951,255),RIGHT('Disaggregation Records'!$D$152:$D$513,255),0))="","",INDEX('Disaggregation Records'!$E$152:$E$513,MATCH(RIGHT(L951,255),RIGHT('Disaggregation Records'!$D$152:$D$513,255),0))),"")</f>
        <v/>
      </c>
      <c r="N951" s="130" t="str">
        <f t="array" ref="N951">IFERROR(IF(INDEX('Disaggregation Records'!$F$152:$F$513,MATCH(RIGHT(L951,255),RIGHT('Disaggregation Records'!$D$152:$D$513,255),0))="","",INDEX('Disaggregation Records'!$F$152:$F$513,MATCH(RIGHT(L951,255),RIGHT('Disaggregation Records'!$D$152:$D$513,255),0))),"")</f>
        <v/>
      </c>
      <c r="O951" s="130" t="str">
        <f t="array" ref="O951">IFERROR(IF(INDEX('Disaggregation Records'!$H$152:$H$513,MATCH(RIGHT(L951,255),RIGHT('Disaggregation Records'!$D$152:$D$513,255),0))="","",INDEX('Disaggregation Records'!$H$152:$H$513,MATCH(RIGHT(L951,255),RIGHT('Disaggregation Records'!$D$152:$D$513,255),0))),"")</f>
        <v/>
      </c>
      <c r="P951" s="130"/>
      <c r="Q951" s="52">
        <f t="shared" ref="Q951" si="1130">Q949+1</f>
        <v>1660</v>
      </c>
    </row>
    <row r="952" spans="1:17" ht="20.100000000000001" customHeight="1" x14ac:dyDescent="0.25">
      <c r="B952" s="602"/>
      <c r="C952" s="604"/>
      <c r="D952" s="606"/>
      <c r="E952" s="606"/>
      <c r="F952" s="132"/>
      <c r="G952" s="608"/>
      <c r="H952" s="598"/>
      <c r="I952" s="600"/>
      <c r="J952" s="532"/>
      <c r="K952" s="130"/>
      <c r="L952" s="130"/>
      <c r="M952" s="130"/>
      <c r="N952" s="130"/>
      <c r="O952" s="130"/>
      <c r="P952" s="130"/>
    </row>
    <row r="953" spans="1:17" ht="20.100000000000001" customHeight="1" x14ac:dyDescent="0.25">
      <c r="A953" s="130" t="str">
        <f t="shared" ca="1" si="1121"/>
        <v>a16Dm000000LZcCIAW</v>
      </c>
      <c r="B953" s="601">
        <v>9</v>
      </c>
      <c r="C953" s="603" t="str">
        <f>IFERROR(VLOOKUP(B953,'Coverage Indicators - Section D'!$A$9:$AO$70,41,FALSE),"")</f>
        <v>HTS-3d⁽ᴹ⁾ Percentage of people who inject drugs that have received an HIV test during the reporting period in KP-specific programs and know their results</v>
      </c>
      <c r="D953" s="605" t="str">
        <f>M953</f>
        <v/>
      </c>
      <c r="E953" s="605" t="str">
        <f>N953</f>
        <v/>
      </c>
      <c r="F953" s="131"/>
      <c r="G953" s="607" t="str">
        <f ca="1">IF(OR(INDIRECT("'update Helper'!E"&amp;Q953)="",F953&lt;&gt;0,F954&lt;&gt;0),IF(IFERROR((F953/F954),"")="","",(F953/F954)),INDIRECT("'update Helper'!E"&amp;Q953)/100)</f>
        <v/>
      </c>
      <c r="H953" s="597"/>
      <c r="I953" s="599"/>
      <c r="J953" s="531"/>
      <c r="K953" s="130">
        <f>IF(AND(EXACT(C953,C951),C951&lt;&gt;0),K951+1,0)</f>
        <v>6</v>
      </c>
      <c r="L953" s="130" t="str">
        <f t="shared" ref="L953" si="1131">IF(C953&lt;&gt;"",C953&amp;"-"&amp;K953,"")</f>
        <v>HTS-3d⁽ᴹ⁾ Percentage of people who inject drugs that have received an HIV test during the reporting period in KP-specific programs and know their results-6</v>
      </c>
      <c r="M953" s="130" t="str">
        <f t="array" ref="M953">IFERROR(IF(INDEX('Disaggregation Records'!$E$152:$E$513,MATCH(RIGHT(L953,255),RIGHT('Disaggregation Records'!$D$152:$D$513,255),0))="","",INDEX('Disaggregation Records'!$E$152:$E$513,MATCH(RIGHT(L953,255),RIGHT('Disaggregation Records'!$D$152:$D$513,255),0))),"")</f>
        <v/>
      </c>
      <c r="N953" s="130" t="str">
        <f t="array" ref="N953">IFERROR(IF(INDEX('Disaggregation Records'!$F$152:$F$513,MATCH(RIGHT(L953,255),RIGHT('Disaggregation Records'!$D$152:$D$513,255),0))="","",INDEX('Disaggregation Records'!$F$152:$F$513,MATCH(RIGHT(L953,255),RIGHT('Disaggregation Records'!$D$152:$D$513,255),0))),"")</f>
        <v/>
      </c>
      <c r="O953" s="130" t="str">
        <f t="array" ref="O953">IFERROR(IF(INDEX('Disaggregation Records'!$H$152:$H$513,MATCH(RIGHT(L953,255),RIGHT('Disaggregation Records'!$D$152:$D$513,255),0))="","",INDEX('Disaggregation Records'!$H$152:$H$513,MATCH(RIGHT(L953,255),RIGHT('Disaggregation Records'!$D$152:$D$513,255),0))),"")</f>
        <v/>
      </c>
      <c r="P953" s="130"/>
      <c r="Q953" s="52">
        <f t="shared" ref="Q953" si="1132">Q951+1</f>
        <v>1661</v>
      </c>
    </row>
    <row r="954" spans="1:17" ht="20.100000000000001" customHeight="1" x14ac:dyDescent="0.25">
      <c r="A954" s="130"/>
      <c r="B954" s="602"/>
      <c r="C954" s="604"/>
      <c r="D954" s="606"/>
      <c r="E954" s="606"/>
      <c r="F954" s="132"/>
      <c r="G954" s="608"/>
      <c r="H954" s="598"/>
      <c r="I954" s="600"/>
      <c r="J954" s="532"/>
      <c r="K954" s="130"/>
      <c r="L954" s="130"/>
      <c r="M954" s="130"/>
      <c r="N954" s="130"/>
      <c r="O954" s="130"/>
      <c r="P954" s="130"/>
    </row>
    <row r="955" spans="1:17" ht="20.100000000000001" customHeight="1" x14ac:dyDescent="0.25">
      <c r="A955" s="130" t="str">
        <f t="shared" ca="1" si="1124"/>
        <v>a16Dm000000LZcDIAW</v>
      </c>
      <c r="B955" s="601">
        <v>9</v>
      </c>
      <c r="C955" s="603" t="str">
        <f>IFERROR(VLOOKUP(B955,'Coverage Indicators - Section D'!$A$9:$AO$70,41,FALSE),"")</f>
        <v>HTS-3d⁽ᴹ⁾ Percentage of people who inject drugs that have received an HIV test during the reporting period in KP-specific programs and know their results</v>
      </c>
      <c r="D955" s="605" t="str">
        <f>M955</f>
        <v/>
      </c>
      <c r="E955" s="605" t="str">
        <f>N955</f>
        <v/>
      </c>
      <c r="F955" s="131"/>
      <c r="G955" s="607" t="str">
        <f ca="1">IF(OR(INDIRECT("'update Helper'!E"&amp;Q955)="",F955&lt;&gt;0,F956&lt;&gt;0),IF(IFERROR((F955/F956),"")="","",(F955/F956)),INDIRECT("'update Helper'!E"&amp;Q955)/100)</f>
        <v/>
      </c>
      <c r="H955" s="597"/>
      <c r="I955" s="599"/>
      <c r="J955" s="531"/>
      <c r="K955" s="130">
        <f>IF(AND(EXACT(C955,C953),C953&lt;&gt;0),K953+1,0)</f>
        <v>7</v>
      </c>
      <c r="L955" s="130" t="str">
        <f t="shared" ref="L955" si="1133">IF(C955&lt;&gt;"",C955&amp;"-"&amp;K955,"")</f>
        <v>HTS-3d⁽ᴹ⁾ Percentage of people who inject drugs that have received an HIV test during the reporting period in KP-specific programs and know their results-7</v>
      </c>
      <c r="M955" s="130" t="str">
        <f t="array" ref="M955">IFERROR(IF(INDEX('Disaggregation Records'!$E$152:$E$513,MATCH(RIGHT(L955,255),RIGHT('Disaggregation Records'!$D$152:$D$513,255),0))="","",INDEX('Disaggregation Records'!$E$152:$E$513,MATCH(RIGHT(L955,255),RIGHT('Disaggregation Records'!$D$152:$D$513,255),0))),"")</f>
        <v/>
      </c>
      <c r="N955" s="130" t="str">
        <f t="array" ref="N955">IFERROR(IF(INDEX('Disaggregation Records'!$F$152:$F$513,MATCH(RIGHT(L955,255),RIGHT('Disaggregation Records'!$D$152:$D$513,255),0))="","",INDEX('Disaggregation Records'!$F$152:$F$513,MATCH(RIGHT(L955,255),RIGHT('Disaggregation Records'!$D$152:$D$513,255),0))),"")</f>
        <v/>
      </c>
      <c r="O955" s="130" t="str">
        <f t="array" ref="O955">IFERROR(IF(INDEX('Disaggregation Records'!$H$152:$H$513,MATCH(RIGHT(L955,255),RIGHT('Disaggregation Records'!$D$152:$D$513,255),0))="","",INDEX('Disaggregation Records'!$H$152:$H$513,MATCH(RIGHT(L955,255),RIGHT('Disaggregation Records'!$D$152:$D$513,255),0))),"")</f>
        <v/>
      </c>
      <c r="Q955" s="52">
        <f t="shared" ref="Q955" si="1134">Q953+1</f>
        <v>1662</v>
      </c>
    </row>
    <row r="956" spans="1:17" ht="20.100000000000001" customHeight="1" x14ac:dyDescent="0.25">
      <c r="B956" s="602"/>
      <c r="C956" s="604"/>
      <c r="D956" s="606"/>
      <c r="E956" s="606"/>
      <c r="F956" s="132"/>
      <c r="G956" s="608"/>
      <c r="H956" s="598"/>
      <c r="I956" s="600"/>
      <c r="J956" s="532"/>
      <c r="L956" s="130"/>
      <c r="N956" s="130"/>
      <c r="O956" s="130"/>
    </row>
    <row r="957" spans="1:17" ht="20.100000000000001" customHeight="1" x14ac:dyDescent="0.25">
      <c r="A957" s="130" t="str">
        <f t="shared" ca="1" si="1121"/>
        <v>a16Dm000000LZcEIAW</v>
      </c>
      <c r="B957" s="601">
        <v>9</v>
      </c>
      <c r="C957" s="603" t="str">
        <f>IFERROR(VLOOKUP(B957,'Coverage Indicators - Section D'!$A$9:$AO$70,41,FALSE),"")</f>
        <v>HTS-3d⁽ᴹ⁾ Percentage of people who inject drugs that have received an HIV test during the reporting period in KP-specific programs and know their results</v>
      </c>
      <c r="D957" s="605" t="str">
        <f>M957</f>
        <v/>
      </c>
      <c r="E957" s="605" t="str">
        <f>N957</f>
        <v/>
      </c>
      <c r="F957" s="131"/>
      <c r="G957" s="607" t="str">
        <f ca="1">IF(OR(INDIRECT("'update Helper'!E"&amp;Q957)="",F957&lt;&gt;0,F958&lt;&gt;0),IF(IFERROR((F957/F958),"")="","",(F957/F958)),INDIRECT("'update Helper'!E"&amp;Q957)/100)</f>
        <v/>
      </c>
      <c r="H957" s="597"/>
      <c r="I957" s="599"/>
      <c r="J957" s="531"/>
      <c r="K957" s="130">
        <f>IF(AND(EXACT(C957,C955),C955&lt;&gt;0),K955+1,0)</f>
        <v>8</v>
      </c>
      <c r="L957" s="130" t="str">
        <f t="shared" ref="L957" si="1135">IF(C957&lt;&gt;"",C957&amp;"-"&amp;K957,"")</f>
        <v>HTS-3d⁽ᴹ⁾ Percentage of people who inject drugs that have received an HIV test during the reporting period in KP-specific programs and know their results-8</v>
      </c>
      <c r="M957" s="130" t="str">
        <f t="array" ref="M957">IFERROR(IF(INDEX('Disaggregation Records'!$E$152:$E$513,MATCH(RIGHT(L957,255),RIGHT('Disaggregation Records'!$D$152:$D$513,255),0))="","",INDEX('Disaggregation Records'!$E$152:$E$513,MATCH(RIGHT(L957,255),RIGHT('Disaggregation Records'!$D$152:$D$513,255),0))),"")</f>
        <v/>
      </c>
      <c r="N957" s="130" t="str">
        <f t="array" ref="N957">IFERROR(IF(INDEX('Disaggregation Records'!$F$152:$F$513,MATCH(RIGHT(L957,255),RIGHT('Disaggregation Records'!$D$152:$D$513,255),0))="","",INDEX('Disaggregation Records'!$F$152:$F$513,MATCH(RIGHT(L957,255),RIGHT('Disaggregation Records'!$D$152:$D$513,255),0))),"")</f>
        <v/>
      </c>
      <c r="O957" s="130" t="str">
        <f t="array" ref="O957">IFERROR(IF(INDEX('Disaggregation Records'!$H$152:$H$513,MATCH(RIGHT(L957,255),RIGHT('Disaggregation Records'!$D$152:$D$513,255),0))="","",INDEX('Disaggregation Records'!$H$152:$H$513,MATCH(RIGHT(L957,255),RIGHT('Disaggregation Records'!$D$152:$D$513,255),0))),"")</f>
        <v/>
      </c>
      <c r="Q957" s="52">
        <f t="shared" ref="Q957" si="1136">Q955+1</f>
        <v>1663</v>
      </c>
    </row>
    <row r="958" spans="1:17" ht="20.100000000000001" customHeight="1" x14ac:dyDescent="0.25">
      <c r="A958" s="130"/>
      <c r="B958" s="602"/>
      <c r="C958" s="604"/>
      <c r="D958" s="606"/>
      <c r="E958" s="606"/>
      <c r="F958" s="132"/>
      <c r="G958" s="608"/>
      <c r="H958" s="598"/>
      <c r="I958" s="600"/>
      <c r="J958" s="532"/>
      <c r="L958" s="130"/>
      <c r="N958" s="130"/>
      <c r="O958" s="130"/>
    </row>
    <row r="959" spans="1:17" ht="20.100000000000001" customHeight="1" x14ac:dyDescent="0.25">
      <c r="A959" s="130" t="str">
        <f t="shared" ca="1" si="1124"/>
        <v>a16Dm000000LZcFIAW</v>
      </c>
      <c r="B959" s="601">
        <v>9</v>
      </c>
      <c r="C959" s="603" t="str">
        <f>IFERROR(VLOOKUP(B959,'Coverage Indicators - Section D'!$A$9:$AO$70,41,FALSE),"")</f>
        <v>HTS-3d⁽ᴹ⁾ Percentage of people who inject drugs that have received an HIV test during the reporting period in KP-specific programs and know their results</v>
      </c>
      <c r="D959" s="605" t="str">
        <f>M959</f>
        <v/>
      </c>
      <c r="E959" s="605" t="str">
        <f>N959</f>
        <v/>
      </c>
      <c r="F959" s="131"/>
      <c r="G959" s="607" t="str">
        <f ca="1">IF(OR(INDIRECT("'update Helper'!E"&amp;Q959)="",F959&lt;&gt;0,F960&lt;&gt;0),IF(IFERROR((F959/F960),"")="","",(F959/F960)),INDIRECT("'update Helper'!E"&amp;Q959)/100)</f>
        <v/>
      </c>
      <c r="H959" s="597"/>
      <c r="I959" s="599"/>
      <c r="J959" s="531"/>
      <c r="K959" s="130">
        <f>IF(AND(EXACT(C959,C957),C957&lt;&gt;0),K957+1,0)</f>
        <v>9</v>
      </c>
      <c r="L959" s="130" t="str">
        <f t="shared" ref="L959" si="1137">IF(C959&lt;&gt;"",C959&amp;"-"&amp;K959,"")</f>
        <v>HTS-3d⁽ᴹ⁾ Percentage of people who inject drugs that have received an HIV test during the reporting period in KP-specific programs and know their results-9</v>
      </c>
      <c r="M959" s="130" t="str">
        <f t="array" ref="M959">IFERROR(IF(INDEX('Disaggregation Records'!$E$152:$E$513,MATCH(RIGHT(L959,255),RIGHT('Disaggregation Records'!$D$152:$D$513,255),0))="","",INDEX('Disaggregation Records'!$E$152:$E$513,MATCH(RIGHT(L959,255),RIGHT('Disaggregation Records'!$D$152:$D$513,255),0))),"")</f>
        <v/>
      </c>
      <c r="N959" s="130" t="str">
        <f t="array" ref="N959">IFERROR(IF(INDEX('Disaggregation Records'!$F$152:$F$513,MATCH(RIGHT(L959,255),RIGHT('Disaggregation Records'!$D$152:$D$513,255),0))="","",INDEX('Disaggregation Records'!$F$152:$F$513,MATCH(RIGHT(L959,255),RIGHT('Disaggregation Records'!$D$152:$D$513,255),0))),"")</f>
        <v/>
      </c>
      <c r="O959" s="130" t="str">
        <f t="array" ref="O959">IFERROR(IF(INDEX('Disaggregation Records'!$H$152:$H$513,MATCH(RIGHT(L959,255),RIGHT('Disaggregation Records'!$D$152:$D$513,255),0))="","",INDEX('Disaggregation Records'!$H$152:$H$513,MATCH(RIGHT(L959,255),RIGHT('Disaggregation Records'!$D$152:$D$513,255),0))),"")</f>
        <v/>
      </c>
      <c r="Q959" s="52">
        <f t="shared" ref="Q959" si="1138">Q957+1</f>
        <v>1664</v>
      </c>
    </row>
    <row r="960" spans="1:17" ht="20.100000000000001" customHeight="1" x14ac:dyDescent="0.25">
      <c r="B960" s="602"/>
      <c r="C960" s="604"/>
      <c r="D960" s="606"/>
      <c r="E960" s="606"/>
      <c r="F960" s="132"/>
      <c r="G960" s="608"/>
      <c r="H960" s="598"/>
      <c r="I960" s="600"/>
      <c r="J960" s="532"/>
      <c r="L960" s="130"/>
      <c r="N960" s="130"/>
      <c r="O960" s="130"/>
    </row>
    <row r="961" spans="1:17" ht="20.100000000000001" customHeight="1" x14ac:dyDescent="0.25">
      <c r="A961" s="130" t="str">
        <f t="shared" ca="1" si="1121"/>
        <v>a16Dm000000LZcGIAW</v>
      </c>
      <c r="B961" s="601">
        <v>9</v>
      </c>
      <c r="C961" s="603" t="str">
        <f>IFERROR(VLOOKUP(B961,'Coverage Indicators - Section D'!$A$9:$AO$70,41,FALSE),"")</f>
        <v>HTS-3d⁽ᴹ⁾ Percentage of people who inject drugs that have received an HIV test during the reporting period in KP-specific programs and know their results</v>
      </c>
      <c r="D961" s="605" t="str">
        <f>M961</f>
        <v/>
      </c>
      <c r="E961" s="605" t="str">
        <f>N961</f>
        <v/>
      </c>
      <c r="F961" s="131"/>
      <c r="G961" s="607" t="str">
        <f ca="1">IF(OR(INDIRECT("'update Helper'!E"&amp;Q961)="",F961&lt;&gt;0,F962&lt;&gt;0),IF(IFERROR((F961/F962),"")="","",(F961/F962)),INDIRECT("'update Helper'!E"&amp;Q961)/100)</f>
        <v/>
      </c>
      <c r="H961" s="597"/>
      <c r="I961" s="599"/>
      <c r="J961" s="531"/>
      <c r="K961" s="130">
        <f>IF(AND(EXACT(C961,C959),C959&lt;&gt;0),K959+1,0)</f>
        <v>10</v>
      </c>
      <c r="L961" s="130" t="str">
        <f t="shared" ref="L961" si="1139">IF(C961&lt;&gt;"",C961&amp;"-"&amp;K961,"")</f>
        <v>HTS-3d⁽ᴹ⁾ Percentage of people who inject drugs that have received an HIV test during the reporting period in KP-specific programs and know their results-10</v>
      </c>
      <c r="M961" s="130" t="str">
        <f t="array" ref="M961">IFERROR(IF(INDEX('Disaggregation Records'!$E$152:$E$513,MATCH(RIGHT(L961,255),RIGHT('Disaggregation Records'!$D$152:$D$513,255),0))="","",INDEX('Disaggregation Records'!$E$152:$E$513,MATCH(RIGHT(L961,255),RIGHT('Disaggregation Records'!$D$152:$D$513,255),0))),"")</f>
        <v/>
      </c>
      <c r="N961" s="130" t="str">
        <f t="array" ref="N961">IFERROR(IF(INDEX('Disaggregation Records'!$F$152:$F$513,MATCH(RIGHT(L961,255),RIGHT('Disaggregation Records'!$D$152:$D$513,255),0))="","",INDEX('Disaggregation Records'!$F$152:$F$513,MATCH(RIGHT(L961,255),RIGHT('Disaggregation Records'!$D$152:$D$513,255),0))),"")</f>
        <v/>
      </c>
      <c r="O961" s="130" t="str">
        <f t="array" ref="O961">IFERROR(IF(INDEX('Disaggregation Records'!$H$152:$H$513,MATCH(RIGHT(L961,255),RIGHT('Disaggregation Records'!$D$152:$D$513,255),0))="","",INDEX('Disaggregation Records'!$H$152:$H$513,MATCH(RIGHT(L961,255),RIGHT('Disaggregation Records'!$D$152:$D$513,255),0))),"")</f>
        <v/>
      </c>
      <c r="P961" s="130"/>
      <c r="Q961" s="52">
        <f t="shared" ref="Q961" si="1140">Q959+1</f>
        <v>1665</v>
      </c>
    </row>
    <row r="962" spans="1:17" ht="20.100000000000001" customHeight="1" x14ac:dyDescent="0.25">
      <c r="A962" s="130"/>
      <c r="B962" s="602"/>
      <c r="C962" s="604"/>
      <c r="D962" s="606"/>
      <c r="E962" s="606"/>
      <c r="F962" s="132"/>
      <c r="G962" s="608"/>
      <c r="H962" s="598"/>
      <c r="I962" s="600"/>
      <c r="J962" s="532"/>
      <c r="K962" s="130"/>
      <c r="L962" s="130"/>
      <c r="M962" s="130"/>
      <c r="N962" s="130"/>
      <c r="O962" s="130"/>
      <c r="P962" s="130"/>
    </row>
    <row r="963" spans="1:17" ht="20.100000000000001" customHeight="1" x14ac:dyDescent="0.25">
      <c r="A963" s="130" t="str">
        <f t="shared" ca="1" si="1124"/>
        <v>a16Dm000000LZcHIAW</v>
      </c>
      <c r="B963" s="601">
        <v>9</v>
      </c>
      <c r="C963" s="603" t="str">
        <f>IFERROR(VLOOKUP(B963,'Coverage Indicators - Section D'!$A$9:$AO$70,41,FALSE),"")</f>
        <v>HTS-3d⁽ᴹ⁾ Percentage of people who inject drugs that have received an HIV test during the reporting period in KP-specific programs and know their results</v>
      </c>
      <c r="D963" s="605" t="str">
        <f>M963</f>
        <v/>
      </c>
      <c r="E963" s="605" t="str">
        <f>N963</f>
        <v/>
      </c>
      <c r="F963" s="131"/>
      <c r="G963" s="607" t="str">
        <f ca="1">IF(OR(INDIRECT("'update Helper'!E"&amp;Q963)="",F963&lt;&gt;0,F964&lt;&gt;0),IF(IFERROR((F963/F964),"")="","",(F963/F964)),INDIRECT("'update Helper'!E"&amp;Q963)/100)</f>
        <v/>
      </c>
      <c r="H963" s="597"/>
      <c r="I963" s="599"/>
      <c r="J963" s="531"/>
      <c r="K963" s="130">
        <f>IF(AND(EXACT(C963,C961),C961&lt;&gt;0),K961+1,0)</f>
        <v>11</v>
      </c>
      <c r="L963" s="130" t="str">
        <f t="shared" ref="L963" si="1141">IF(C963&lt;&gt;"",C963&amp;"-"&amp;K963,"")</f>
        <v>HTS-3d⁽ᴹ⁾ Percentage of people who inject drugs that have received an HIV test during the reporting period in KP-specific programs and know their results-11</v>
      </c>
      <c r="M963" s="130" t="str">
        <f t="array" ref="M963">IFERROR(IF(INDEX('Disaggregation Records'!$E$152:$E$513,MATCH(RIGHT(L963,255),RIGHT('Disaggregation Records'!$D$152:$D$513,255),0))="","",INDEX('Disaggregation Records'!$E$152:$E$513,MATCH(RIGHT(L963,255),RIGHT('Disaggregation Records'!$D$152:$D$513,255),0))),"")</f>
        <v/>
      </c>
      <c r="N963" s="130" t="str">
        <f t="array" ref="N963">IFERROR(IF(INDEX('Disaggregation Records'!$F$152:$F$513,MATCH(RIGHT(L963,255),RIGHT('Disaggregation Records'!$D$152:$D$513,255),0))="","",INDEX('Disaggregation Records'!$F$152:$F$513,MATCH(RIGHT(L963,255),RIGHT('Disaggregation Records'!$D$152:$D$513,255),0))),"")</f>
        <v/>
      </c>
      <c r="O963" s="130" t="str">
        <f t="array" ref="O963">IFERROR(IF(INDEX('Disaggregation Records'!$H$152:$H$513,MATCH(RIGHT(L963,255),RIGHT('Disaggregation Records'!$D$152:$D$513,255),0))="","",INDEX('Disaggregation Records'!$H$152:$H$513,MATCH(RIGHT(L963,255),RIGHT('Disaggregation Records'!$D$152:$D$513,255),0))),"")</f>
        <v/>
      </c>
      <c r="P963" s="130"/>
      <c r="Q963" s="52">
        <f t="shared" ref="Q963" si="1142">Q961+1</f>
        <v>1666</v>
      </c>
    </row>
    <row r="964" spans="1:17" ht="20.100000000000001" customHeight="1" x14ac:dyDescent="0.25">
      <c r="B964" s="602"/>
      <c r="C964" s="604"/>
      <c r="D964" s="606"/>
      <c r="E964" s="606"/>
      <c r="F964" s="132"/>
      <c r="G964" s="608"/>
      <c r="H964" s="598"/>
      <c r="I964" s="600"/>
      <c r="J964" s="532"/>
      <c r="K964" s="130"/>
      <c r="L964" s="130"/>
      <c r="M964" s="130"/>
      <c r="N964" s="130"/>
      <c r="O964" s="130"/>
      <c r="P964" s="130"/>
    </row>
    <row r="965" spans="1:17" ht="20.100000000000001" customHeight="1" x14ac:dyDescent="0.25">
      <c r="A965" s="130" t="str">
        <f t="shared" ca="1" si="1121"/>
        <v>a16Dm000000LZcIIAW</v>
      </c>
      <c r="B965" s="601">
        <v>9</v>
      </c>
      <c r="C965" s="603" t="str">
        <f>IFERROR(VLOOKUP(B965,'Coverage Indicators - Section D'!$A$9:$AO$70,41,FALSE),"")</f>
        <v>HTS-3d⁽ᴹ⁾ Percentage of people who inject drugs that have received an HIV test during the reporting period in KP-specific programs and know their results</v>
      </c>
      <c r="D965" s="605" t="str">
        <f>M965</f>
        <v/>
      </c>
      <c r="E965" s="605" t="str">
        <f>N965</f>
        <v/>
      </c>
      <c r="F965" s="131"/>
      <c r="G965" s="607" t="str">
        <f ca="1">IF(OR(INDIRECT("'update Helper'!E"&amp;Q965)="",F965&lt;&gt;0,F966&lt;&gt;0),IF(IFERROR((F965/F966),"")="","",(F965/F966)),INDIRECT("'update Helper'!E"&amp;Q965)/100)</f>
        <v/>
      </c>
      <c r="H965" s="597"/>
      <c r="I965" s="599"/>
      <c r="J965" s="531"/>
      <c r="K965" s="130">
        <f>IF(AND(EXACT(C965,C963),C963&lt;&gt;0),K963+1,0)</f>
        <v>12</v>
      </c>
      <c r="L965" s="130" t="str">
        <f t="shared" ref="L965" si="1143">IF(C965&lt;&gt;"",C965&amp;"-"&amp;K965,"")</f>
        <v>HTS-3d⁽ᴹ⁾ Percentage of people who inject drugs that have received an HIV test during the reporting period in KP-specific programs and know their results-12</v>
      </c>
      <c r="M965" s="130" t="str">
        <f t="array" ref="M965">IFERROR(IF(INDEX('Disaggregation Records'!$E$152:$E$513,MATCH(RIGHT(L965,255),RIGHT('Disaggregation Records'!$D$152:$D$513,255),0))="","",INDEX('Disaggregation Records'!$E$152:$E$513,MATCH(RIGHT(L965,255),RIGHT('Disaggregation Records'!$D$152:$D$513,255),0))),"")</f>
        <v/>
      </c>
      <c r="N965" s="130" t="str">
        <f t="array" ref="N965">IFERROR(IF(INDEX('Disaggregation Records'!$F$152:$F$513,MATCH(RIGHT(L965,255),RIGHT('Disaggregation Records'!$D$152:$D$513,255),0))="","",INDEX('Disaggregation Records'!$F$152:$F$513,MATCH(RIGHT(L965,255),RIGHT('Disaggregation Records'!$D$152:$D$513,255),0))),"")</f>
        <v/>
      </c>
      <c r="O965" s="130" t="str">
        <f t="array" ref="O965">IFERROR(IF(INDEX('Disaggregation Records'!$H$152:$H$513,MATCH(RIGHT(L965,255),RIGHT('Disaggregation Records'!$D$152:$D$513,255),0))="","",INDEX('Disaggregation Records'!$H$152:$H$513,MATCH(RIGHT(L965,255),RIGHT('Disaggregation Records'!$D$152:$D$513,255),0))),"")</f>
        <v/>
      </c>
      <c r="Q965" s="52">
        <f t="shared" ref="Q965" si="1144">Q963+1</f>
        <v>1667</v>
      </c>
    </row>
    <row r="966" spans="1:17" ht="20.100000000000001" customHeight="1" x14ac:dyDescent="0.25">
      <c r="A966" s="130"/>
      <c r="B966" s="602"/>
      <c r="C966" s="604"/>
      <c r="D966" s="606"/>
      <c r="E966" s="606"/>
      <c r="F966" s="132"/>
      <c r="G966" s="608"/>
      <c r="H966" s="598"/>
      <c r="I966" s="600"/>
      <c r="J966" s="532"/>
      <c r="L966" s="130"/>
      <c r="N966" s="130"/>
      <c r="O966" s="130"/>
    </row>
    <row r="967" spans="1:17" ht="20.100000000000001" customHeight="1" x14ac:dyDescent="0.25">
      <c r="A967" s="130" t="str">
        <f t="shared" ca="1" si="1124"/>
        <v>a16Dm000000LZcJIAW</v>
      </c>
      <c r="B967" s="601">
        <v>9</v>
      </c>
      <c r="C967" s="603" t="str">
        <f>IFERROR(VLOOKUP(B967,'Coverage Indicators - Section D'!$A$9:$AO$70,41,FALSE),"")</f>
        <v>HTS-3d⁽ᴹ⁾ Percentage of people who inject drugs that have received an HIV test during the reporting period in KP-specific programs and know their results</v>
      </c>
      <c r="D967" s="605" t="str">
        <f>M967</f>
        <v/>
      </c>
      <c r="E967" s="605" t="str">
        <f>N967</f>
        <v/>
      </c>
      <c r="F967" s="131"/>
      <c r="G967" s="607" t="str">
        <f ca="1">IF(OR(INDIRECT("'update Helper'!E"&amp;Q967)="",F967&lt;&gt;0,F968&lt;&gt;0),IF(IFERROR((F967/F968),"")="","",(F967/F968)),INDIRECT("'update Helper'!E"&amp;Q967)/100)</f>
        <v/>
      </c>
      <c r="H967" s="597"/>
      <c r="I967" s="599"/>
      <c r="J967" s="531"/>
      <c r="K967" s="130">
        <f>IF(AND(EXACT(C967,C965),C965&lt;&gt;0),K965+1,0)</f>
        <v>13</v>
      </c>
      <c r="L967" s="130" t="str">
        <f t="shared" ref="L967" si="1145">IF(C967&lt;&gt;"",C967&amp;"-"&amp;K967,"")</f>
        <v>HTS-3d⁽ᴹ⁾ Percentage of people who inject drugs that have received an HIV test during the reporting period in KP-specific programs and know their results-13</v>
      </c>
      <c r="M967" s="130" t="str">
        <f t="array" ref="M967">IFERROR(IF(INDEX('Disaggregation Records'!$E$152:$E$513,MATCH(RIGHT(L967,255),RIGHT('Disaggregation Records'!$D$152:$D$513,255),0))="","",INDEX('Disaggregation Records'!$E$152:$E$513,MATCH(RIGHT(L967,255),RIGHT('Disaggregation Records'!$D$152:$D$513,255),0))),"")</f>
        <v/>
      </c>
      <c r="N967" s="130" t="str">
        <f t="array" ref="N967">IFERROR(IF(INDEX('Disaggregation Records'!$F$152:$F$513,MATCH(RIGHT(L967,255),RIGHT('Disaggregation Records'!$D$152:$D$513,255),0))="","",INDEX('Disaggregation Records'!$F$152:$F$513,MATCH(RIGHT(L967,255),RIGHT('Disaggregation Records'!$D$152:$D$513,255),0))),"")</f>
        <v/>
      </c>
      <c r="O967" s="130" t="str">
        <f t="array" ref="O967">IFERROR(IF(INDEX('Disaggregation Records'!$H$152:$H$513,MATCH(RIGHT(L967,255),RIGHT('Disaggregation Records'!$D$152:$D$513,255),0))="","",INDEX('Disaggregation Records'!$H$152:$H$513,MATCH(RIGHT(L967,255),RIGHT('Disaggregation Records'!$D$152:$D$513,255),0))),"")</f>
        <v/>
      </c>
      <c r="Q967" s="52">
        <f t="shared" ref="Q967" si="1146">Q965+1</f>
        <v>1668</v>
      </c>
    </row>
    <row r="968" spans="1:17" ht="20.100000000000001" customHeight="1" x14ac:dyDescent="0.25">
      <c r="B968" s="602"/>
      <c r="C968" s="604"/>
      <c r="D968" s="606"/>
      <c r="E968" s="606"/>
      <c r="F968" s="132"/>
      <c r="G968" s="608"/>
      <c r="H968" s="598"/>
      <c r="I968" s="600"/>
      <c r="J968" s="532"/>
      <c r="L968" s="130"/>
      <c r="N968" s="130"/>
      <c r="O968" s="130"/>
    </row>
    <row r="969" spans="1:17" ht="20.100000000000001" customHeight="1" x14ac:dyDescent="0.25">
      <c r="A969" s="130" t="str">
        <f t="shared" ca="1" si="1121"/>
        <v>a16Dm000000LZcKIAW</v>
      </c>
      <c r="B969" s="601">
        <v>9</v>
      </c>
      <c r="C969" s="603" t="str">
        <f>IFERROR(VLOOKUP(B969,'Coverage Indicators - Section D'!$A$9:$AO$70,41,FALSE),"")</f>
        <v>HTS-3d⁽ᴹ⁾ Percentage of people who inject drugs that have received an HIV test during the reporting period in KP-specific programs and know their results</v>
      </c>
      <c r="D969" s="605" t="str">
        <f>M969</f>
        <v/>
      </c>
      <c r="E969" s="605" t="str">
        <f>N969</f>
        <v/>
      </c>
      <c r="F969" s="131"/>
      <c r="G969" s="607" t="str">
        <f ca="1">IF(OR(INDIRECT("'update Helper'!E"&amp;Q969)="",F969&lt;&gt;0,F970&lt;&gt;0),IF(IFERROR((F969/F970),"")="","",(F969/F970)),INDIRECT("'update Helper'!E"&amp;Q969)/100)</f>
        <v/>
      </c>
      <c r="H969" s="597"/>
      <c r="I969" s="599"/>
      <c r="J969" s="531"/>
      <c r="K969" s="130">
        <f>IF(AND(EXACT(C969,C967),C967&lt;&gt;0),K967+1,0)</f>
        <v>14</v>
      </c>
      <c r="L969" s="130" t="str">
        <f t="shared" ref="L969" si="1147">IF(C969&lt;&gt;"",C969&amp;"-"&amp;K969,"")</f>
        <v>HTS-3d⁽ᴹ⁾ Percentage of people who inject drugs that have received an HIV test during the reporting period in KP-specific programs and know their results-14</v>
      </c>
      <c r="M969" s="130" t="str">
        <f t="array" ref="M969">IFERROR(IF(INDEX('Disaggregation Records'!$E$152:$E$513,MATCH(RIGHT(L969,255),RIGHT('Disaggregation Records'!$D$152:$D$513,255),0))="","",INDEX('Disaggregation Records'!$E$152:$E$513,MATCH(RIGHT(L969,255),RIGHT('Disaggregation Records'!$D$152:$D$513,255),0))),"")</f>
        <v/>
      </c>
      <c r="N969" s="130" t="str">
        <f t="array" ref="N969">IFERROR(IF(INDEX('Disaggregation Records'!$F$152:$F$513,MATCH(RIGHT(L969,255),RIGHT('Disaggregation Records'!$D$152:$D$513,255),0))="","",INDEX('Disaggregation Records'!$F$152:$F$513,MATCH(RIGHT(L969,255),RIGHT('Disaggregation Records'!$D$152:$D$513,255),0))),"")</f>
        <v/>
      </c>
      <c r="O969" s="130" t="str">
        <f t="array" ref="O969">IFERROR(IF(INDEX('Disaggregation Records'!$H$152:$H$513,MATCH(RIGHT(L969,255),RIGHT('Disaggregation Records'!$D$152:$D$513,255),0))="","",INDEX('Disaggregation Records'!$H$152:$H$513,MATCH(RIGHT(L969,255),RIGHT('Disaggregation Records'!$D$152:$D$513,255),0))),"")</f>
        <v/>
      </c>
      <c r="Q969" s="52">
        <f t="shared" ref="Q969" si="1148">Q967+1</f>
        <v>1669</v>
      </c>
    </row>
    <row r="970" spans="1:17" ht="20.100000000000001" customHeight="1" x14ac:dyDescent="0.25">
      <c r="A970" s="130"/>
      <c r="B970" s="602"/>
      <c r="C970" s="604"/>
      <c r="D970" s="606"/>
      <c r="E970" s="606"/>
      <c r="F970" s="132"/>
      <c r="G970" s="608"/>
      <c r="H970" s="598"/>
      <c r="I970" s="600"/>
      <c r="J970" s="532"/>
      <c r="L970" s="130"/>
      <c r="N970" s="130"/>
      <c r="O970" s="130"/>
    </row>
    <row r="971" spans="1:17" ht="20.100000000000001" customHeight="1" x14ac:dyDescent="0.25">
      <c r="A971" s="130" t="str">
        <f t="shared" ca="1" si="1124"/>
        <v>a16Dm000000LZcLIAW</v>
      </c>
      <c r="B971" s="601">
        <v>9</v>
      </c>
      <c r="C971" s="603" t="str">
        <f>IFERROR(VLOOKUP(B971,'Coverage Indicators - Section D'!$A$9:$AO$70,41,FALSE),"")</f>
        <v>HTS-3d⁽ᴹ⁾ Percentage of people who inject drugs that have received an HIV test during the reporting period in KP-specific programs and know their results</v>
      </c>
      <c r="D971" s="605" t="str">
        <f>M971</f>
        <v/>
      </c>
      <c r="E971" s="605" t="str">
        <f>N971</f>
        <v/>
      </c>
      <c r="F971" s="131"/>
      <c r="G971" s="607" t="str">
        <f ca="1">IF(OR(INDIRECT("'update Helper'!E"&amp;Q971)="",F971&lt;&gt;0,F972&lt;&gt;0),IF(IFERROR((F971/F972),"")="","",(F971/F972)),INDIRECT("'update Helper'!E"&amp;Q971)/100)</f>
        <v/>
      </c>
      <c r="H971" s="597"/>
      <c r="I971" s="599"/>
      <c r="J971" s="531"/>
      <c r="K971" s="130">
        <f>IF(AND(EXACT(C971,C969),C969&lt;&gt;0),K969+1,0)</f>
        <v>15</v>
      </c>
      <c r="L971" s="130" t="str">
        <f t="shared" ref="L971" si="1149">IF(C971&lt;&gt;"",C971&amp;"-"&amp;K971,"")</f>
        <v>HTS-3d⁽ᴹ⁾ Percentage of people who inject drugs that have received an HIV test during the reporting period in KP-specific programs and know their results-15</v>
      </c>
      <c r="M971" s="130" t="str">
        <f t="array" ref="M971">IFERROR(IF(INDEX('Disaggregation Records'!$E$152:$E$513,MATCH(RIGHT(L971,255),RIGHT('Disaggregation Records'!$D$152:$D$513,255),0))="","",INDEX('Disaggregation Records'!$E$152:$E$513,MATCH(RIGHT(L971,255),RIGHT('Disaggregation Records'!$D$152:$D$513,255),0))),"")</f>
        <v/>
      </c>
      <c r="N971" s="130" t="str">
        <f t="array" ref="N971">IFERROR(IF(INDEX('Disaggregation Records'!$F$152:$F$513,MATCH(RIGHT(L971,255),RIGHT('Disaggregation Records'!$D$152:$D$513,255),0))="","",INDEX('Disaggregation Records'!$F$152:$F$513,MATCH(RIGHT(L971,255),RIGHT('Disaggregation Records'!$D$152:$D$513,255),0))),"")</f>
        <v/>
      </c>
      <c r="O971" s="130" t="str">
        <f t="array" ref="O971">IFERROR(IF(INDEX('Disaggregation Records'!$H$152:$H$513,MATCH(RIGHT(L971,255),RIGHT('Disaggregation Records'!$D$152:$D$513,255),0))="","",INDEX('Disaggregation Records'!$H$152:$H$513,MATCH(RIGHT(L971,255),RIGHT('Disaggregation Records'!$D$152:$D$513,255),0))),"")</f>
        <v/>
      </c>
      <c r="P971" s="130"/>
      <c r="Q971" s="52">
        <f t="shared" ref="Q971" si="1150">Q969+1</f>
        <v>1670</v>
      </c>
    </row>
    <row r="972" spans="1:17" ht="20.100000000000001" customHeight="1" x14ac:dyDescent="0.25">
      <c r="B972" s="602"/>
      <c r="C972" s="604"/>
      <c r="D972" s="606"/>
      <c r="E972" s="606"/>
      <c r="F972" s="132"/>
      <c r="G972" s="608"/>
      <c r="H972" s="598"/>
      <c r="I972" s="600"/>
      <c r="J972" s="532"/>
      <c r="K972" s="130"/>
      <c r="L972" s="130"/>
      <c r="M972" s="130"/>
      <c r="N972" s="130"/>
      <c r="O972" s="130"/>
      <c r="P972" s="130"/>
    </row>
    <row r="973" spans="1:17" ht="20.100000000000001" customHeight="1" x14ac:dyDescent="0.25">
      <c r="A973" s="130" t="str">
        <f t="shared" ca="1" si="1121"/>
        <v>a16Dm000000LZcMIAW</v>
      </c>
      <c r="B973" s="601">
        <v>9</v>
      </c>
      <c r="C973" s="603" t="str">
        <f>IFERROR(VLOOKUP(B973,'Coverage Indicators - Section D'!$A$9:$AO$70,41,FALSE),"")</f>
        <v>HTS-3d⁽ᴹ⁾ Percentage of people who inject drugs that have received an HIV test during the reporting period in KP-specific programs and know their results</v>
      </c>
      <c r="D973" s="605" t="str">
        <f>M973</f>
        <v/>
      </c>
      <c r="E973" s="605" t="str">
        <f>N973</f>
        <v/>
      </c>
      <c r="F973" s="131"/>
      <c r="G973" s="607" t="str">
        <f ca="1">IF(OR(INDIRECT("'update Helper'!E"&amp;Q973)="",F973&lt;&gt;0,F974&lt;&gt;0),IF(IFERROR((F973/F974),"")="","",(F973/F974)),INDIRECT("'update Helper'!E"&amp;Q973)/100)</f>
        <v/>
      </c>
      <c r="H973" s="597"/>
      <c r="I973" s="599"/>
      <c r="J973" s="531"/>
      <c r="K973" s="130">
        <f>IF(AND(EXACT(C973,C971),C971&lt;&gt;0),K971+1,0)</f>
        <v>16</v>
      </c>
      <c r="L973" s="130" t="str">
        <f t="shared" ref="L973" si="1151">IF(C973&lt;&gt;"",C973&amp;"-"&amp;K973,"")</f>
        <v>HTS-3d⁽ᴹ⁾ Percentage of people who inject drugs that have received an HIV test during the reporting period in KP-specific programs and know their results-16</v>
      </c>
      <c r="M973" s="130" t="str">
        <f t="array" ref="M973">IFERROR(IF(INDEX('Disaggregation Records'!$E$152:$E$513,MATCH(RIGHT(L973,255),RIGHT('Disaggregation Records'!$D$152:$D$513,255),0))="","",INDEX('Disaggregation Records'!$E$152:$E$513,MATCH(RIGHT(L973,255),RIGHT('Disaggregation Records'!$D$152:$D$513,255),0))),"")</f>
        <v/>
      </c>
      <c r="N973" s="130" t="str">
        <f t="array" ref="N973">IFERROR(IF(INDEX('Disaggregation Records'!$F$152:$F$513,MATCH(RIGHT(L973,255),RIGHT('Disaggregation Records'!$D$152:$D$513,255),0))="","",INDEX('Disaggregation Records'!$F$152:$F$513,MATCH(RIGHT(L973,255),RIGHT('Disaggregation Records'!$D$152:$D$513,255),0))),"")</f>
        <v/>
      </c>
      <c r="O973" s="130" t="str">
        <f t="array" ref="O973">IFERROR(IF(INDEX('Disaggregation Records'!$H$152:$H$513,MATCH(RIGHT(L973,255),RIGHT('Disaggregation Records'!$D$152:$D$513,255),0))="","",INDEX('Disaggregation Records'!$H$152:$H$513,MATCH(RIGHT(L973,255),RIGHT('Disaggregation Records'!$D$152:$D$513,255),0))),"")</f>
        <v/>
      </c>
      <c r="P973" s="130"/>
      <c r="Q973" s="52">
        <f t="shared" ref="Q973" si="1152">Q971+1</f>
        <v>1671</v>
      </c>
    </row>
    <row r="974" spans="1:17" ht="20.100000000000001" customHeight="1" x14ac:dyDescent="0.25">
      <c r="A974" s="130"/>
      <c r="B974" s="602"/>
      <c r="C974" s="604"/>
      <c r="D974" s="606"/>
      <c r="E974" s="606"/>
      <c r="F974" s="132"/>
      <c r="G974" s="608"/>
      <c r="H974" s="598"/>
      <c r="I974" s="600"/>
      <c r="J974" s="532"/>
      <c r="K974" s="130"/>
      <c r="L974" s="130"/>
      <c r="M974" s="130"/>
      <c r="N974" s="130"/>
      <c r="O974" s="130"/>
      <c r="P974" s="130"/>
    </row>
    <row r="975" spans="1:17" ht="20.100000000000001" customHeight="1" x14ac:dyDescent="0.25">
      <c r="A975" s="130" t="str">
        <f t="shared" ca="1" si="1124"/>
        <v>a16Dm000000LZcNIAW</v>
      </c>
      <c r="B975" s="601">
        <v>9</v>
      </c>
      <c r="C975" s="603" t="str">
        <f>IFERROR(VLOOKUP(B975,'Coverage Indicators - Section D'!$A$9:$AO$70,41,FALSE),"")</f>
        <v>HTS-3d⁽ᴹ⁾ Percentage of people who inject drugs that have received an HIV test during the reporting period in KP-specific programs and know their results</v>
      </c>
      <c r="D975" s="605" t="str">
        <f>M975</f>
        <v/>
      </c>
      <c r="E975" s="605" t="str">
        <f>N975</f>
        <v/>
      </c>
      <c r="F975" s="131"/>
      <c r="G975" s="607" t="str">
        <f ca="1">IF(OR(INDIRECT("'update Helper'!E"&amp;Q975)="",F975&lt;&gt;0,F976&lt;&gt;0),IF(IFERROR((F975/F976),"")="","",(F975/F976)),INDIRECT("'update Helper'!E"&amp;Q975)/100)</f>
        <v/>
      </c>
      <c r="H975" s="597"/>
      <c r="I975" s="599"/>
      <c r="J975" s="531"/>
      <c r="K975" s="130">
        <f>IF(AND(EXACT(C975,C973),C973&lt;&gt;0),K973+1,0)</f>
        <v>17</v>
      </c>
      <c r="L975" s="130" t="str">
        <f t="shared" ref="L975" si="1153">IF(C975&lt;&gt;"",C975&amp;"-"&amp;K975,"")</f>
        <v>HTS-3d⁽ᴹ⁾ Percentage of people who inject drugs that have received an HIV test during the reporting period in KP-specific programs and know their results-17</v>
      </c>
      <c r="M975" s="130" t="str">
        <f t="array" ref="M975">IFERROR(IF(INDEX('Disaggregation Records'!$E$152:$E$513,MATCH(RIGHT(L975,255),RIGHT('Disaggregation Records'!$D$152:$D$513,255),0))="","",INDEX('Disaggregation Records'!$E$152:$E$513,MATCH(RIGHT(L975,255),RIGHT('Disaggregation Records'!$D$152:$D$513,255),0))),"")</f>
        <v/>
      </c>
      <c r="N975" s="130" t="str">
        <f t="array" ref="N975">IFERROR(IF(INDEX('Disaggregation Records'!$F$152:$F$513,MATCH(RIGHT(L975,255),RIGHT('Disaggregation Records'!$D$152:$D$513,255),0))="","",INDEX('Disaggregation Records'!$F$152:$F$513,MATCH(RIGHT(L975,255),RIGHT('Disaggregation Records'!$D$152:$D$513,255),0))),"")</f>
        <v/>
      </c>
      <c r="O975" s="130" t="str">
        <f t="array" ref="O975">IFERROR(IF(INDEX('Disaggregation Records'!$H$152:$H$513,MATCH(RIGHT(L975,255),RIGHT('Disaggregation Records'!$D$152:$D$513,255),0))="","",INDEX('Disaggregation Records'!$H$152:$H$513,MATCH(RIGHT(L975,255),RIGHT('Disaggregation Records'!$D$152:$D$513,255),0))),"")</f>
        <v/>
      </c>
      <c r="Q975" s="52">
        <f t="shared" ref="Q975" si="1154">Q973+1</f>
        <v>1672</v>
      </c>
    </row>
    <row r="976" spans="1:17" ht="20.100000000000001" customHeight="1" x14ac:dyDescent="0.25">
      <c r="B976" s="602"/>
      <c r="C976" s="604"/>
      <c r="D976" s="606"/>
      <c r="E976" s="606"/>
      <c r="F976" s="132"/>
      <c r="G976" s="608"/>
      <c r="H976" s="598"/>
      <c r="I976" s="600"/>
      <c r="J976" s="532"/>
      <c r="L976" s="130"/>
      <c r="N976" s="130"/>
      <c r="O976" s="130"/>
    </row>
    <row r="977" spans="1:17" ht="20.100000000000001" customHeight="1" x14ac:dyDescent="0.25">
      <c r="A977" s="130" t="str">
        <f t="shared" ca="1" si="1121"/>
        <v>a16Dm000000LZcOIAW</v>
      </c>
      <c r="B977" s="601">
        <v>9</v>
      </c>
      <c r="C977" s="603" t="str">
        <f>IFERROR(VLOOKUP(B977,'Coverage Indicators - Section D'!$A$9:$AO$70,41,FALSE),"")</f>
        <v>HTS-3d⁽ᴹ⁾ Percentage of people who inject drugs that have received an HIV test during the reporting period in KP-specific programs and know their results</v>
      </c>
      <c r="D977" s="605" t="str">
        <f>M977</f>
        <v/>
      </c>
      <c r="E977" s="605" t="str">
        <f>N977</f>
        <v/>
      </c>
      <c r="F977" s="131"/>
      <c r="G977" s="607" t="str">
        <f ca="1">IF(OR(INDIRECT("'update Helper'!E"&amp;Q977)="",F977&lt;&gt;0,F978&lt;&gt;0),IF(IFERROR((F977/F978),"")="","",(F977/F978)),INDIRECT("'update Helper'!E"&amp;Q977)/100)</f>
        <v/>
      </c>
      <c r="H977" s="597"/>
      <c r="I977" s="599"/>
      <c r="J977" s="531"/>
      <c r="K977" s="130">
        <f>IF(AND(EXACT(C977,C975),C975&lt;&gt;0),K975+1,0)</f>
        <v>18</v>
      </c>
      <c r="L977" s="130" t="str">
        <f t="shared" ref="L977" si="1155">IF(C977&lt;&gt;"",C977&amp;"-"&amp;K977,"")</f>
        <v>HTS-3d⁽ᴹ⁾ Percentage of people who inject drugs that have received an HIV test during the reporting period in KP-specific programs and know their results-18</v>
      </c>
      <c r="M977" s="130" t="str">
        <f t="array" ref="M977">IFERROR(IF(INDEX('Disaggregation Records'!$E$152:$E$513,MATCH(RIGHT(L977,255),RIGHT('Disaggregation Records'!$D$152:$D$513,255),0))="","",INDEX('Disaggregation Records'!$E$152:$E$513,MATCH(RIGHT(L977,255),RIGHT('Disaggregation Records'!$D$152:$D$513,255),0))),"")</f>
        <v/>
      </c>
      <c r="N977" s="130" t="str">
        <f t="array" ref="N977">IFERROR(IF(INDEX('Disaggregation Records'!$F$152:$F$513,MATCH(RIGHT(L977,255),RIGHT('Disaggregation Records'!$D$152:$D$513,255),0))="","",INDEX('Disaggregation Records'!$F$152:$F$513,MATCH(RIGHT(L977,255),RIGHT('Disaggregation Records'!$D$152:$D$513,255),0))),"")</f>
        <v/>
      </c>
      <c r="O977" s="130" t="str">
        <f t="array" ref="O977">IFERROR(IF(INDEX('Disaggregation Records'!$H$152:$H$513,MATCH(RIGHT(L977,255),RIGHT('Disaggregation Records'!$D$152:$D$513,255),0))="","",INDEX('Disaggregation Records'!$H$152:$H$513,MATCH(RIGHT(L977,255),RIGHT('Disaggregation Records'!$D$152:$D$513,255),0))),"")</f>
        <v/>
      </c>
      <c r="Q977" s="52">
        <f t="shared" ref="Q977" si="1156">Q975+1</f>
        <v>1673</v>
      </c>
    </row>
    <row r="978" spans="1:17" ht="20.100000000000001" customHeight="1" x14ac:dyDescent="0.25">
      <c r="A978" s="130"/>
      <c r="B978" s="602"/>
      <c r="C978" s="604"/>
      <c r="D978" s="606"/>
      <c r="E978" s="606"/>
      <c r="F978" s="132"/>
      <c r="G978" s="608"/>
      <c r="H978" s="598"/>
      <c r="I978" s="600"/>
      <c r="J978" s="532"/>
      <c r="L978" s="130"/>
      <c r="N978" s="130"/>
      <c r="O978" s="130"/>
    </row>
    <row r="979" spans="1:17" ht="20.100000000000001" customHeight="1" x14ac:dyDescent="0.25">
      <c r="A979" s="130" t="str">
        <f t="shared" ca="1" si="1124"/>
        <v>a16Dm000000LZcPIAW</v>
      </c>
      <c r="B979" s="601">
        <v>9</v>
      </c>
      <c r="C979" s="603" t="str">
        <f>IFERROR(VLOOKUP(B979,'Coverage Indicators - Section D'!$A$9:$AO$70,41,FALSE),"")</f>
        <v>HTS-3d⁽ᴹ⁾ Percentage of people who inject drugs that have received an HIV test during the reporting period in KP-specific programs and know their results</v>
      </c>
      <c r="D979" s="605" t="str">
        <f>M979</f>
        <v/>
      </c>
      <c r="E979" s="605" t="str">
        <f>N979</f>
        <v/>
      </c>
      <c r="F979" s="131"/>
      <c r="G979" s="607" t="str">
        <f ca="1">IF(OR(INDIRECT("'update Helper'!E"&amp;Q979)="",F979&lt;&gt;0,F980&lt;&gt;0),IF(IFERROR((F979/F980),"")="","",(F979/F980)),INDIRECT("'update Helper'!E"&amp;Q979)/100)</f>
        <v/>
      </c>
      <c r="H979" s="597"/>
      <c r="I979" s="599"/>
      <c r="J979" s="531"/>
      <c r="K979" s="130">
        <f>IF(AND(EXACT(C979,C977),C977&lt;&gt;0),K977+1,0)</f>
        <v>19</v>
      </c>
      <c r="L979" s="130" t="str">
        <f t="shared" ref="L979" si="1157">IF(C979&lt;&gt;"",C979&amp;"-"&amp;K979,"")</f>
        <v>HTS-3d⁽ᴹ⁾ Percentage of people who inject drugs that have received an HIV test during the reporting period in KP-specific programs and know their results-19</v>
      </c>
      <c r="M979" s="130" t="str">
        <f t="array" ref="M979">IFERROR(IF(INDEX('Disaggregation Records'!$E$152:$E$513,MATCH(RIGHT(L979,255),RIGHT('Disaggregation Records'!$D$152:$D$513,255),0))="","",INDEX('Disaggregation Records'!$E$152:$E$513,MATCH(RIGHT(L979,255),RIGHT('Disaggregation Records'!$D$152:$D$513,255),0))),"")</f>
        <v/>
      </c>
      <c r="N979" s="130" t="str">
        <f t="array" ref="N979">IFERROR(IF(INDEX('Disaggregation Records'!$F$152:$F$513,MATCH(RIGHT(L979,255),RIGHT('Disaggregation Records'!$D$152:$D$513,255),0))="","",INDEX('Disaggregation Records'!$F$152:$F$513,MATCH(RIGHT(L979,255),RIGHT('Disaggregation Records'!$D$152:$D$513,255),0))),"")</f>
        <v/>
      </c>
      <c r="O979" s="130" t="str">
        <f t="array" ref="O979">IFERROR(IF(INDEX('Disaggregation Records'!$H$152:$H$513,MATCH(RIGHT(L979,255),RIGHT('Disaggregation Records'!$D$152:$D$513,255),0))="","",INDEX('Disaggregation Records'!$H$152:$H$513,MATCH(RIGHT(L979,255),RIGHT('Disaggregation Records'!$D$152:$D$513,255),0))),"")</f>
        <v/>
      </c>
      <c r="Q979" s="52">
        <f t="shared" ref="Q979" si="1158">Q977+1</f>
        <v>1674</v>
      </c>
    </row>
    <row r="980" spans="1:17" ht="20.100000000000001" customHeight="1" x14ac:dyDescent="0.25">
      <c r="B980" s="602"/>
      <c r="C980" s="604"/>
      <c r="D980" s="606"/>
      <c r="E980" s="606"/>
      <c r="F980" s="132"/>
      <c r="G980" s="608"/>
      <c r="H980" s="598"/>
      <c r="I980" s="600"/>
      <c r="J980" s="532"/>
      <c r="L980" s="130"/>
      <c r="N980" s="130"/>
      <c r="O980" s="130"/>
    </row>
    <row r="981" spans="1:17" ht="33.75" customHeight="1" x14ac:dyDescent="0.25">
      <c r="A981" s="130" t="str">
        <f t="shared" ca="1" si="1121"/>
        <v>a16Dm000000LZcQIAW</v>
      </c>
      <c r="B981" s="601">
        <v>10</v>
      </c>
      <c r="C981" s="603" t="str">
        <f>IFERROR(VLOOKUP(B981,'Coverage Indicators - Section D'!$A$9:$AO$70,41,FALSE),"")</f>
        <v>HTS-3f⁽ᴹ⁾ Number of people in prisons and other closed settings that have received an HIV test during the reporting period and know their results</v>
      </c>
      <c r="D981" s="605" t="str">
        <f>M981</f>
        <v>Gender</v>
      </c>
      <c r="E981" s="605" t="str">
        <f>N981</f>
        <v>Male</v>
      </c>
      <c r="F981" s="131">
        <v>4252</v>
      </c>
      <c r="G981" s="607">
        <f ca="1">IF(OR(INDIRECT("'update Helper'!E"&amp;Q981)="",F981&lt;&gt;0,F982&lt;&gt;0),IF(IFERROR((F981/F982),"")="","",(F981/F982)),INDIRECT("'update Helper'!E"&amp;Q981)/100)</f>
        <v>0.68658162441466175</v>
      </c>
      <c r="H981" s="597">
        <v>2022</v>
      </c>
      <c r="I981" s="599" t="s">
        <v>2239</v>
      </c>
      <c r="J981" s="531" t="s">
        <v>2246</v>
      </c>
      <c r="K981" s="130">
        <f>IF(AND(EXACT(C981,C979),C979&lt;&gt;0),K979+1,0)</f>
        <v>0</v>
      </c>
      <c r="L981" s="130" t="str">
        <f t="shared" ref="L981" si="1159">IF(C981&lt;&gt;"",C981&amp;"-"&amp;K981,"")</f>
        <v>HTS-3f⁽ᴹ⁾ Number of people in prisons and other closed settings that have received an HIV test during the reporting period and know their results-0</v>
      </c>
      <c r="M981" s="130" t="str">
        <f t="array" ref="M981">IFERROR(IF(INDEX('Disaggregation Records'!$E$152:$E$513,MATCH(RIGHT(L981,255),RIGHT('Disaggregation Records'!$D$152:$D$513,255),0))="","",INDEX('Disaggregation Records'!$E$152:$E$513,MATCH(RIGHT(L981,255),RIGHT('Disaggregation Records'!$D$152:$D$513,255),0))),"")</f>
        <v>Gender</v>
      </c>
      <c r="N981" s="130" t="str">
        <f t="array" ref="N981">IFERROR(IF(INDEX('Disaggregation Records'!$F$152:$F$513,MATCH(RIGHT(L981,255),RIGHT('Disaggregation Records'!$D$152:$D$513,255),0))="","",INDEX('Disaggregation Records'!$F$152:$F$513,MATCH(RIGHT(L981,255),RIGHT('Disaggregation Records'!$D$152:$D$513,255),0))),"")</f>
        <v>Male</v>
      </c>
      <c r="O981" s="130" t="str">
        <f t="array" ref="O981">IFERROR(IF(INDEX('Disaggregation Records'!$H$152:$H$513,MATCH(RIGHT(L981,255),RIGHT('Disaggregation Records'!$D$152:$D$513,255),0))="","",INDEX('Disaggregation Records'!$H$152:$H$513,MATCH(RIGHT(L981,255),RIGHT('Disaggregation Records'!$D$152:$D$513,255),0))),"")</f>
        <v>IDR-01288</v>
      </c>
      <c r="P981" s="130"/>
      <c r="Q981" s="52">
        <f t="shared" ref="Q981" si="1160">Q979+1</f>
        <v>1675</v>
      </c>
    </row>
    <row r="982" spans="1:17" ht="31.5" customHeight="1" x14ac:dyDescent="0.25">
      <c r="A982" s="130"/>
      <c r="B982" s="602"/>
      <c r="C982" s="604"/>
      <c r="D982" s="606"/>
      <c r="E982" s="606"/>
      <c r="F982" s="132">
        <v>6193</v>
      </c>
      <c r="G982" s="608"/>
      <c r="H982" s="598"/>
      <c r="I982" s="600"/>
      <c r="J982" s="532"/>
      <c r="K982" s="130"/>
      <c r="L982" s="130"/>
      <c r="M982" s="130"/>
      <c r="N982" s="130"/>
      <c r="O982" s="130"/>
      <c r="P982" s="130"/>
    </row>
    <row r="983" spans="1:17" ht="30.75" customHeight="1" x14ac:dyDescent="0.25">
      <c r="A983" s="130" t="str">
        <f t="shared" ca="1" si="1124"/>
        <v>a16Dm000000LZcRIAW</v>
      </c>
      <c r="B983" s="601">
        <v>10</v>
      </c>
      <c r="C983" s="603" t="str">
        <f>IFERROR(VLOOKUP(B983,'Coverage Indicators - Section D'!$A$9:$AO$70,41,FALSE),"")</f>
        <v>HTS-3f⁽ᴹ⁾ Number of people in prisons and other closed settings that have received an HIV test during the reporting period and know their results</v>
      </c>
      <c r="D983" s="605" t="str">
        <f>M983</f>
        <v>Gender</v>
      </c>
      <c r="E983" s="605" t="str">
        <f>N983</f>
        <v>Female</v>
      </c>
      <c r="F983" s="131">
        <v>373</v>
      </c>
      <c r="G983" s="607">
        <f ca="1">IF(OR(INDIRECT("'update Helper'!E"&amp;Q983)="",F983&lt;&gt;0,F984&lt;&gt;0),IF(IFERROR((F983/F984),"")="","",(F983/F984)),INDIRECT("'update Helper'!E"&amp;Q983)/100)</f>
        <v>6.0229291135152595E-2</v>
      </c>
      <c r="H983" s="597">
        <v>2022</v>
      </c>
      <c r="I983" s="599" t="s">
        <v>2239</v>
      </c>
      <c r="J983" s="531" t="s">
        <v>2246</v>
      </c>
      <c r="K983" s="130">
        <f>IF(AND(EXACT(C983,C981),C981&lt;&gt;0),K981+1,0)</f>
        <v>1</v>
      </c>
      <c r="L983" s="130" t="str">
        <f t="shared" ref="L983" si="1161">IF(C983&lt;&gt;"",C983&amp;"-"&amp;K983,"")</f>
        <v>HTS-3f⁽ᴹ⁾ Number of people in prisons and other closed settings that have received an HIV test during the reporting period and know their results-1</v>
      </c>
      <c r="M983" s="130" t="str">
        <f t="array" ref="M983">IFERROR(IF(INDEX('Disaggregation Records'!$E$152:$E$513,MATCH(RIGHT(L983,255),RIGHT('Disaggregation Records'!$D$152:$D$513,255),0))="","",INDEX('Disaggregation Records'!$E$152:$E$513,MATCH(RIGHT(L983,255),RIGHT('Disaggregation Records'!$D$152:$D$513,255),0))),"")</f>
        <v>Gender</v>
      </c>
      <c r="N983" s="130" t="str">
        <f t="array" ref="N983">IFERROR(IF(INDEX('Disaggregation Records'!$F$152:$F$513,MATCH(RIGHT(L983,255),RIGHT('Disaggregation Records'!$D$152:$D$513,255),0))="","",INDEX('Disaggregation Records'!$F$152:$F$513,MATCH(RIGHT(L983,255),RIGHT('Disaggregation Records'!$D$152:$D$513,255),0))),"")</f>
        <v>Female</v>
      </c>
      <c r="O983" s="130" t="str">
        <f t="array" ref="O983">IFERROR(IF(INDEX('Disaggregation Records'!$H$152:$H$513,MATCH(RIGHT(L983,255),RIGHT('Disaggregation Records'!$D$152:$D$513,255),0))="","",INDEX('Disaggregation Records'!$H$152:$H$513,MATCH(RIGHT(L983,255),RIGHT('Disaggregation Records'!$D$152:$D$513,255),0))),"")</f>
        <v>IDR-01287</v>
      </c>
      <c r="P983" s="130"/>
      <c r="Q983" s="52">
        <f t="shared" ref="Q983" si="1162">Q981+1</f>
        <v>1676</v>
      </c>
    </row>
    <row r="984" spans="1:17" ht="41.25" customHeight="1" x14ac:dyDescent="0.25">
      <c r="B984" s="602"/>
      <c r="C984" s="604"/>
      <c r="D984" s="606"/>
      <c r="E984" s="606"/>
      <c r="F984" s="132">
        <v>6193</v>
      </c>
      <c r="G984" s="608"/>
      <c r="H984" s="598"/>
      <c r="I984" s="600"/>
      <c r="J984" s="532"/>
      <c r="K984" s="130"/>
      <c r="L984" s="130"/>
      <c r="M984" s="130"/>
      <c r="N984" s="130"/>
      <c r="O984" s="130"/>
      <c r="P984" s="130"/>
    </row>
    <row r="985" spans="1:17" ht="20.100000000000001" customHeight="1" x14ac:dyDescent="0.25">
      <c r="A985" s="130" t="str">
        <f t="shared" ca="1" si="1121"/>
        <v>a16Dm000000LZcSIAW</v>
      </c>
      <c r="B985" s="601">
        <v>10</v>
      </c>
      <c r="C985" s="603" t="str">
        <f>IFERROR(VLOOKUP(B985,'Coverage Indicators - Section D'!$A$9:$AO$70,41,FALSE),"")</f>
        <v>HTS-3f⁽ᴹ⁾ Number of people in prisons and other closed settings that have received an HIV test during the reporting period and know their results</v>
      </c>
      <c r="D985" s="605" t="str">
        <f>M985</f>
        <v/>
      </c>
      <c r="E985" s="605" t="str">
        <f>N985</f>
        <v/>
      </c>
      <c r="F985" s="131"/>
      <c r="G985" s="607" t="str">
        <f ca="1">IF(OR(INDIRECT("'update Helper'!E"&amp;Q985)="",F985&lt;&gt;0,F986&lt;&gt;0),IF(IFERROR((F985/F986),"")="","",(F985/F986)),INDIRECT("'update Helper'!E"&amp;Q985)/100)</f>
        <v/>
      </c>
      <c r="H985" s="597"/>
      <c r="I985" s="599"/>
      <c r="J985" s="531"/>
      <c r="K985" s="130">
        <f>IF(AND(EXACT(C985,C983),C983&lt;&gt;0),K983+1,0)</f>
        <v>2</v>
      </c>
      <c r="L985" s="130" t="str">
        <f t="shared" ref="L985" si="1163">IF(C985&lt;&gt;"",C985&amp;"-"&amp;K985,"")</f>
        <v>HTS-3f⁽ᴹ⁾ Number of people in prisons and other closed settings that have received an HIV test during the reporting period and know their results-2</v>
      </c>
      <c r="M985" s="130" t="str">
        <f t="array" ref="M985">IFERROR(IF(INDEX('Disaggregation Records'!$E$152:$E$513,MATCH(RIGHT(L985,255),RIGHT('Disaggregation Records'!$D$152:$D$513,255),0))="","",INDEX('Disaggregation Records'!$E$152:$E$513,MATCH(RIGHT(L985,255),RIGHT('Disaggregation Records'!$D$152:$D$513,255),0))),"")</f>
        <v/>
      </c>
      <c r="N985" s="130" t="str">
        <f t="array" ref="N985">IFERROR(IF(INDEX('Disaggregation Records'!$F$152:$F$513,MATCH(RIGHT(L985,255),RIGHT('Disaggregation Records'!$D$152:$D$513,255),0))="","",INDEX('Disaggregation Records'!$F$152:$F$513,MATCH(RIGHT(L985,255),RIGHT('Disaggregation Records'!$D$152:$D$513,255),0))),"")</f>
        <v/>
      </c>
      <c r="O985" s="130" t="str">
        <f t="array" ref="O985">IFERROR(IF(INDEX('Disaggregation Records'!$H$152:$H$513,MATCH(RIGHT(L985,255),RIGHT('Disaggregation Records'!$D$152:$D$513,255),0))="","",INDEX('Disaggregation Records'!$H$152:$H$513,MATCH(RIGHT(L985,255),RIGHT('Disaggregation Records'!$D$152:$D$513,255),0))),"")</f>
        <v/>
      </c>
      <c r="Q985" s="52">
        <f t="shared" ref="Q985" si="1164">Q983+1</f>
        <v>1677</v>
      </c>
    </row>
    <row r="986" spans="1:17" ht="20.100000000000001" customHeight="1" x14ac:dyDescent="0.25">
      <c r="A986" s="130"/>
      <c r="B986" s="602"/>
      <c r="C986" s="604"/>
      <c r="D986" s="606"/>
      <c r="E986" s="606"/>
      <c r="F986" s="132"/>
      <c r="G986" s="608"/>
      <c r="H986" s="598"/>
      <c r="I986" s="600"/>
      <c r="J986" s="532"/>
      <c r="L986" s="130"/>
      <c r="N986" s="130"/>
      <c r="O986" s="130"/>
    </row>
    <row r="987" spans="1:17" ht="20.100000000000001" customHeight="1" x14ac:dyDescent="0.25">
      <c r="A987" s="130" t="str">
        <f t="shared" ca="1" si="1124"/>
        <v>a16Dm000000LZcTIAW</v>
      </c>
      <c r="B987" s="601">
        <v>10</v>
      </c>
      <c r="C987" s="603" t="str">
        <f>IFERROR(VLOOKUP(B987,'Coverage Indicators - Section D'!$A$9:$AO$70,41,FALSE),"")</f>
        <v>HTS-3f⁽ᴹ⁾ Number of people in prisons and other closed settings that have received an HIV test during the reporting period and know their results</v>
      </c>
      <c r="D987" s="605" t="str">
        <f>M987</f>
        <v/>
      </c>
      <c r="E987" s="605" t="str">
        <f>N987</f>
        <v/>
      </c>
      <c r="F987" s="131"/>
      <c r="G987" s="607" t="str">
        <f ca="1">IF(OR(INDIRECT("'update Helper'!E"&amp;Q987)="",F987&lt;&gt;0,F988&lt;&gt;0),IF(IFERROR((F987/F988),"")="","",(F987/F988)),INDIRECT("'update Helper'!E"&amp;Q987)/100)</f>
        <v/>
      </c>
      <c r="H987" s="597"/>
      <c r="I987" s="599"/>
      <c r="J987" s="531"/>
      <c r="K987" s="130">
        <f>IF(AND(EXACT(C987,C985),C985&lt;&gt;0),K985+1,0)</f>
        <v>3</v>
      </c>
      <c r="L987" s="130" t="str">
        <f t="shared" ref="L987" si="1165">IF(C987&lt;&gt;"",C987&amp;"-"&amp;K987,"")</f>
        <v>HTS-3f⁽ᴹ⁾ Number of people in prisons and other closed settings that have received an HIV test during the reporting period and know their results-3</v>
      </c>
      <c r="M987" s="130" t="str">
        <f t="array" ref="M987">IFERROR(IF(INDEX('Disaggregation Records'!$E$152:$E$513,MATCH(RIGHT(L987,255),RIGHT('Disaggregation Records'!$D$152:$D$513,255),0))="","",INDEX('Disaggregation Records'!$E$152:$E$513,MATCH(RIGHT(L987,255),RIGHT('Disaggregation Records'!$D$152:$D$513,255),0))),"")</f>
        <v/>
      </c>
      <c r="N987" s="130" t="str">
        <f t="array" ref="N987">IFERROR(IF(INDEX('Disaggregation Records'!$F$152:$F$513,MATCH(RIGHT(L987,255),RIGHT('Disaggregation Records'!$D$152:$D$513,255),0))="","",INDEX('Disaggregation Records'!$F$152:$F$513,MATCH(RIGHT(L987,255),RIGHT('Disaggregation Records'!$D$152:$D$513,255),0))),"")</f>
        <v/>
      </c>
      <c r="O987" s="130" t="str">
        <f t="array" ref="O987">IFERROR(IF(INDEX('Disaggregation Records'!$H$152:$H$513,MATCH(RIGHT(L987,255),RIGHT('Disaggregation Records'!$D$152:$D$513,255),0))="","",INDEX('Disaggregation Records'!$H$152:$H$513,MATCH(RIGHT(L987,255),RIGHT('Disaggregation Records'!$D$152:$D$513,255),0))),"")</f>
        <v/>
      </c>
      <c r="Q987" s="52">
        <f t="shared" ref="Q987" si="1166">Q985+1</f>
        <v>1678</v>
      </c>
    </row>
    <row r="988" spans="1:17" ht="20.100000000000001" customHeight="1" x14ac:dyDescent="0.25">
      <c r="B988" s="602"/>
      <c r="C988" s="604"/>
      <c r="D988" s="606"/>
      <c r="E988" s="606"/>
      <c r="F988" s="132"/>
      <c r="G988" s="608"/>
      <c r="H988" s="598"/>
      <c r="I988" s="600"/>
      <c r="J988" s="532"/>
      <c r="L988" s="130"/>
      <c r="N988" s="130"/>
      <c r="O988" s="130"/>
    </row>
    <row r="989" spans="1:17" ht="20.100000000000001" customHeight="1" x14ac:dyDescent="0.25">
      <c r="A989" s="130" t="str">
        <f t="shared" ca="1" si="1121"/>
        <v>a16Dm000000LZcUIAW</v>
      </c>
      <c r="B989" s="601">
        <v>10</v>
      </c>
      <c r="C989" s="603" t="str">
        <f>IFERROR(VLOOKUP(B989,'Coverage Indicators - Section D'!$A$9:$AO$70,41,FALSE),"")</f>
        <v>HTS-3f⁽ᴹ⁾ Number of people in prisons and other closed settings that have received an HIV test during the reporting period and know their results</v>
      </c>
      <c r="D989" s="605" t="str">
        <f>M989</f>
        <v/>
      </c>
      <c r="E989" s="605" t="str">
        <f>N989</f>
        <v/>
      </c>
      <c r="F989" s="131"/>
      <c r="G989" s="607" t="str">
        <f ca="1">IF(OR(INDIRECT("'update Helper'!E"&amp;Q989)="",F989&lt;&gt;0,F990&lt;&gt;0),IF(IFERROR((F989/F990),"")="","",(F989/F990)),INDIRECT("'update Helper'!E"&amp;Q989)/100)</f>
        <v/>
      </c>
      <c r="H989" s="597"/>
      <c r="I989" s="599"/>
      <c r="J989" s="531"/>
      <c r="K989" s="130">
        <f>IF(AND(EXACT(C989,C987),C987&lt;&gt;0),K987+1,0)</f>
        <v>4</v>
      </c>
      <c r="L989" s="130" t="str">
        <f t="shared" ref="L989" si="1167">IF(C989&lt;&gt;"",C989&amp;"-"&amp;K989,"")</f>
        <v>HTS-3f⁽ᴹ⁾ Number of people in prisons and other closed settings that have received an HIV test during the reporting period and know their results-4</v>
      </c>
      <c r="M989" s="130" t="str">
        <f t="array" ref="M989">IFERROR(IF(INDEX('Disaggregation Records'!$E$152:$E$513,MATCH(RIGHT(L989,255),RIGHT('Disaggregation Records'!$D$152:$D$513,255),0))="","",INDEX('Disaggregation Records'!$E$152:$E$513,MATCH(RIGHT(L989,255),RIGHT('Disaggregation Records'!$D$152:$D$513,255),0))),"")</f>
        <v/>
      </c>
      <c r="N989" s="130" t="str">
        <f t="array" ref="N989">IFERROR(IF(INDEX('Disaggregation Records'!$F$152:$F$513,MATCH(RIGHT(L989,255),RIGHT('Disaggregation Records'!$D$152:$D$513,255),0))="","",INDEX('Disaggregation Records'!$F$152:$F$513,MATCH(RIGHT(L989,255),RIGHT('Disaggregation Records'!$D$152:$D$513,255),0))),"")</f>
        <v/>
      </c>
      <c r="O989" s="130" t="str">
        <f t="array" ref="O989">IFERROR(IF(INDEX('Disaggregation Records'!$H$152:$H$513,MATCH(RIGHT(L989,255),RIGHT('Disaggregation Records'!$D$152:$D$513,255),0))="","",INDEX('Disaggregation Records'!$H$152:$H$513,MATCH(RIGHT(L989,255),RIGHT('Disaggregation Records'!$D$152:$D$513,255),0))),"")</f>
        <v/>
      </c>
      <c r="Q989" s="52">
        <f t="shared" ref="Q989" si="1168">Q987+1</f>
        <v>1679</v>
      </c>
    </row>
    <row r="990" spans="1:17" ht="20.100000000000001" customHeight="1" x14ac:dyDescent="0.25">
      <c r="A990" s="130"/>
      <c r="B990" s="602"/>
      <c r="C990" s="604"/>
      <c r="D990" s="606"/>
      <c r="E990" s="606"/>
      <c r="F990" s="132"/>
      <c r="G990" s="608"/>
      <c r="H990" s="598"/>
      <c r="I990" s="600"/>
      <c r="J990" s="532"/>
      <c r="L990" s="130"/>
      <c r="N990" s="130"/>
      <c r="O990" s="130"/>
    </row>
    <row r="991" spans="1:17" ht="20.100000000000001" customHeight="1" x14ac:dyDescent="0.25">
      <c r="A991" s="130" t="str">
        <f t="shared" ca="1" si="1124"/>
        <v>a16Dm000000LZcVIAW</v>
      </c>
      <c r="B991" s="601">
        <v>10</v>
      </c>
      <c r="C991" s="603" t="str">
        <f>IFERROR(VLOOKUP(B991,'Coverage Indicators - Section D'!$A$9:$AO$70,41,FALSE),"")</f>
        <v>HTS-3f⁽ᴹ⁾ Number of people in prisons and other closed settings that have received an HIV test during the reporting period and know their results</v>
      </c>
      <c r="D991" s="605" t="str">
        <f>M991</f>
        <v/>
      </c>
      <c r="E991" s="605" t="str">
        <f>N991</f>
        <v/>
      </c>
      <c r="F991" s="131"/>
      <c r="G991" s="607" t="str">
        <f ca="1">IF(OR(INDIRECT("'update Helper'!E"&amp;Q991)="",F991&lt;&gt;0,F992&lt;&gt;0),IF(IFERROR((F991/F992),"")="","",(F991/F992)),INDIRECT("'update Helper'!E"&amp;Q991)/100)</f>
        <v/>
      </c>
      <c r="H991" s="597"/>
      <c r="I991" s="599"/>
      <c r="J991" s="531"/>
      <c r="K991" s="130">
        <f>IF(AND(EXACT(C991,C989),C989&lt;&gt;0),K989+1,0)</f>
        <v>5</v>
      </c>
      <c r="L991" s="130" t="str">
        <f t="shared" ref="L991" si="1169">IF(C991&lt;&gt;"",C991&amp;"-"&amp;K991,"")</f>
        <v>HTS-3f⁽ᴹ⁾ Number of people in prisons and other closed settings that have received an HIV test during the reporting period and know their results-5</v>
      </c>
      <c r="M991" s="130" t="str">
        <f t="array" ref="M991">IFERROR(IF(INDEX('Disaggregation Records'!$E$152:$E$513,MATCH(RIGHT(L991,255),RIGHT('Disaggregation Records'!$D$152:$D$513,255),0))="","",INDEX('Disaggregation Records'!$E$152:$E$513,MATCH(RIGHT(L991,255),RIGHT('Disaggregation Records'!$D$152:$D$513,255),0))),"")</f>
        <v/>
      </c>
      <c r="N991" s="130" t="str">
        <f t="array" ref="N991">IFERROR(IF(INDEX('Disaggregation Records'!$F$152:$F$513,MATCH(RIGHT(L991,255),RIGHT('Disaggregation Records'!$D$152:$D$513,255),0))="","",INDEX('Disaggregation Records'!$F$152:$F$513,MATCH(RIGHT(L991,255),RIGHT('Disaggregation Records'!$D$152:$D$513,255),0))),"")</f>
        <v/>
      </c>
      <c r="O991" s="130" t="str">
        <f t="array" ref="O991">IFERROR(IF(INDEX('Disaggregation Records'!$H$152:$H$513,MATCH(RIGHT(L991,255),RIGHT('Disaggregation Records'!$D$152:$D$513,255),0))="","",INDEX('Disaggregation Records'!$H$152:$H$513,MATCH(RIGHT(L991,255),RIGHT('Disaggregation Records'!$D$152:$D$513,255),0))),"")</f>
        <v/>
      </c>
      <c r="P991" s="130"/>
      <c r="Q991" s="52">
        <f t="shared" ref="Q991" si="1170">Q989+1</f>
        <v>1680</v>
      </c>
    </row>
    <row r="992" spans="1:17" ht="20.100000000000001" customHeight="1" x14ac:dyDescent="0.25">
      <c r="B992" s="602"/>
      <c r="C992" s="604"/>
      <c r="D992" s="606"/>
      <c r="E992" s="606"/>
      <c r="F992" s="132"/>
      <c r="G992" s="608"/>
      <c r="H992" s="598"/>
      <c r="I992" s="600"/>
      <c r="J992" s="532"/>
      <c r="K992" s="130"/>
      <c r="L992" s="130"/>
      <c r="M992" s="130"/>
      <c r="N992" s="130"/>
      <c r="O992" s="130"/>
      <c r="P992" s="130"/>
    </row>
    <row r="993" spans="1:17" ht="20.100000000000001" customHeight="1" x14ac:dyDescent="0.25">
      <c r="A993" s="130" t="str">
        <f t="shared" ca="1" si="1121"/>
        <v>a16Dm000000LZcWIAW</v>
      </c>
      <c r="B993" s="601">
        <v>10</v>
      </c>
      <c r="C993" s="603" t="str">
        <f>IFERROR(VLOOKUP(B993,'Coverage Indicators - Section D'!$A$9:$AO$70,41,FALSE),"")</f>
        <v>HTS-3f⁽ᴹ⁾ Number of people in prisons and other closed settings that have received an HIV test during the reporting period and know their results</v>
      </c>
      <c r="D993" s="605" t="str">
        <f>M993</f>
        <v/>
      </c>
      <c r="E993" s="605" t="str">
        <f>N993</f>
        <v/>
      </c>
      <c r="F993" s="131"/>
      <c r="G993" s="607" t="str">
        <f ca="1">IF(OR(INDIRECT("'update Helper'!E"&amp;Q993)="",F993&lt;&gt;0,F994&lt;&gt;0),IF(IFERROR((F993/F994),"")="","",(F993/F994)),INDIRECT("'update Helper'!E"&amp;Q993)/100)</f>
        <v/>
      </c>
      <c r="H993" s="597"/>
      <c r="I993" s="599"/>
      <c r="J993" s="531"/>
      <c r="K993" s="130">
        <f>IF(AND(EXACT(C993,C991),C991&lt;&gt;0),K991+1,0)</f>
        <v>6</v>
      </c>
      <c r="L993" s="130" t="str">
        <f t="shared" ref="L993" si="1171">IF(C993&lt;&gt;"",C993&amp;"-"&amp;K993,"")</f>
        <v>HTS-3f⁽ᴹ⁾ Number of people in prisons and other closed settings that have received an HIV test during the reporting period and know their results-6</v>
      </c>
      <c r="M993" s="130" t="str">
        <f t="array" ref="M993">IFERROR(IF(INDEX('Disaggregation Records'!$E$152:$E$513,MATCH(RIGHT(L993,255),RIGHT('Disaggregation Records'!$D$152:$D$513,255),0))="","",INDEX('Disaggregation Records'!$E$152:$E$513,MATCH(RIGHT(L993,255),RIGHT('Disaggregation Records'!$D$152:$D$513,255),0))),"")</f>
        <v/>
      </c>
      <c r="N993" s="130" t="str">
        <f t="array" ref="N993">IFERROR(IF(INDEX('Disaggregation Records'!$F$152:$F$513,MATCH(RIGHT(L993,255),RIGHT('Disaggregation Records'!$D$152:$D$513,255),0))="","",INDEX('Disaggregation Records'!$F$152:$F$513,MATCH(RIGHT(L993,255),RIGHT('Disaggregation Records'!$D$152:$D$513,255),0))),"")</f>
        <v/>
      </c>
      <c r="O993" s="130" t="str">
        <f t="array" ref="O993">IFERROR(IF(INDEX('Disaggregation Records'!$H$152:$H$513,MATCH(RIGHT(L993,255),RIGHT('Disaggregation Records'!$D$152:$D$513,255),0))="","",INDEX('Disaggregation Records'!$H$152:$H$513,MATCH(RIGHT(L993,255),RIGHT('Disaggregation Records'!$D$152:$D$513,255),0))),"")</f>
        <v/>
      </c>
      <c r="P993" s="130"/>
      <c r="Q993" s="52">
        <f t="shared" ref="Q993" si="1172">Q991+1</f>
        <v>1681</v>
      </c>
    </row>
    <row r="994" spans="1:17" ht="20.100000000000001" customHeight="1" x14ac:dyDescent="0.25">
      <c r="A994" s="130"/>
      <c r="B994" s="602"/>
      <c r="C994" s="604"/>
      <c r="D994" s="606"/>
      <c r="E994" s="606"/>
      <c r="F994" s="132"/>
      <c r="G994" s="608"/>
      <c r="H994" s="598"/>
      <c r="I994" s="600"/>
      <c r="J994" s="532"/>
      <c r="K994" s="130"/>
      <c r="L994" s="130"/>
      <c r="M994" s="130"/>
      <c r="N994" s="130"/>
      <c r="O994" s="130"/>
      <c r="P994" s="130"/>
    </row>
    <row r="995" spans="1:17" ht="20.100000000000001" customHeight="1" x14ac:dyDescent="0.25">
      <c r="A995" s="130" t="str">
        <f t="shared" ca="1" si="1124"/>
        <v>a16Dm000000LZcXIAW</v>
      </c>
      <c r="B995" s="601">
        <v>10</v>
      </c>
      <c r="C995" s="603" t="str">
        <f>IFERROR(VLOOKUP(B995,'Coverage Indicators - Section D'!$A$9:$AO$70,41,FALSE),"")</f>
        <v>HTS-3f⁽ᴹ⁾ Number of people in prisons and other closed settings that have received an HIV test during the reporting period and know their results</v>
      </c>
      <c r="D995" s="605" t="str">
        <f>M995</f>
        <v/>
      </c>
      <c r="E995" s="605" t="str">
        <f>N995</f>
        <v/>
      </c>
      <c r="F995" s="131"/>
      <c r="G995" s="607" t="str">
        <f ca="1">IF(OR(INDIRECT("'update Helper'!E"&amp;Q995)="",F995&lt;&gt;0,F996&lt;&gt;0),IF(IFERROR((F995/F996),"")="","",(F995/F996)),INDIRECT("'update Helper'!E"&amp;Q995)/100)</f>
        <v/>
      </c>
      <c r="H995" s="597"/>
      <c r="I995" s="599"/>
      <c r="J995" s="531"/>
      <c r="K995" s="130">
        <f>IF(AND(EXACT(C995,C993),C993&lt;&gt;0),K993+1,0)</f>
        <v>7</v>
      </c>
      <c r="L995" s="130" t="str">
        <f t="shared" ref="L995" si="1173">IF(C995&lt;&gt;"",C995&amp;"-"&amp;K995,"")</f>
        <v>HTS-3f⁽ᴹ⁾ Number of people in prisons and other closed settings that have received an HIV test during the reporting period and know their results-7</v>
      </c>
      <c r="M995" s="130" t="str">
        <f t="array" ref="M995">IFERROR(IF(INDEX('Disaggregation Records'!$E$152:$E$513,MATCH(RIGHT(L995,255),RIGHT('Disaggregation Records'!$D$152:$D$513,255),0))="","",INDEX('Disaggregation Records'!$E$152:$E$513,MATCH(RIGHT(L995,255),RIGHT('Disaggregation Records'!$D$152:$D$513,255),0))),"")</f>
        <v/>
      </c>
      <c r="N995" s="130" t="str">
        <f t="array" ref="N995">IFERROR(IF(INDEX('Disaggregation Records'!$F$152:$F$513,MATCH(RIGHT(L995,255),RIGHT('Disaggregation Records'!$D$152:$D$513,255),0))="","",INDEX('Disaggregation Records'!$F$152:$F$513,MATCH(RIGHT(L995,255),RIGHT('Disaggregation Records'!$D$152:$D$513,255),0))),"")</f>
        <v/>
      </c>
      <c r="O995" s="130" t="str">
        <f t="array" ref="O995">IFERROR(IF(INDEX('Disaggregation Records'!$H$152:$H$513,MATCH(RIGHT(L995,255),RIGHT('Disaggregation Records'!$D$152:$D$513,255),0))="","",INDEX('Disaggregation Records'!$H$152:$H$513,MATCH(RIGHT(L995,255),RIGHT('Disaggregation Records'!$D$152:$D$513,255),0))),"")</f>
        <v/>
      </c>
      <c r="Q995" s="52">
        <f t="shared" ref="Q995" si="1174">Q993+1</f>
        <v>1682</v>
      </c>
    </row>
    <row r="996" spans="1:17" ht="20.100000000000001" customHeight="1" x14ac:dyDescent="0.25">
      <c r="B996" s="602"/>
      <c r="C996" s="604"/>
      <c r="D996" s="606"/>
      <c r="E996" s="606"/>
      <c r="F996" s="132"/>
      <c r="G996" s="608"/>
      <c r="H996" s="598"/>
      <c r="I996" s="600"/>
      <c r="J996" s="532"/>
      <c r="L996" s="130"/>
      <c r="N996" s="130"/>
      <c r="O996" s="130"/>
    </row>
    <row r="997" spans="1:17" ht="20.100000000000001" customHeight="1" x14ac:dyDescent="0.25">
      <c r="A997" s="130" t="str">
        <f t="shared" ca="1" si="1121"/>
        <v>a16Dm000000LZcYIAW</v>
      </c>
      <c r="B997" s="601">
        <v>10</v>
      </c>
      <c r="C997" s="603" t="str">
        <f>IFERROR(VLOOKUP(B997,'Coverage Indicators - Section D'!$A$9:$AO$70,41,FALSE),"")</f>
        <v>HTS-3f⁽ᴹ⁾ Number of people in prisons and other closed settings that have received an HIV test during the reporting period and know their results</v>
      </c>
      <c r="D997" s="605" t="str">
        <f>M997</f>
        <v/>
      </c>
      <c r="E997" s="605" t="str">
        <f>N997</f>
        <v/>
      </c>
      <c r="F997" s="131"/>
      <c r="G997" s="607" t="str">
        <f ca="1">IF(OR(INDIRECT("'update Helper'!E"&amp;Q997)="",F997&lt;&gt;0,F998&lt;&gt;0),IF(IFERROR((F997/F998),"")="","",(F997/F998)),INDIRECT("'update Helper'!E"&amp;Q997)/100)</f>
        <v/>
      </c>
      <c r="H997" s="597"/>
      <c r="I997" s="599"/>
      <c r="J997" s="531"/>
      <c r="K997" s="130">
        <f>IF(AND(EXACT(C997,C995),C995&lt;&gt;0),K995+1,0)</f>
        <v>8</v>
      </c>
      <c r="L997" s="130" t="str">
        <f t="shared" ref="L997" si="1175">IF(C997&lt;&gt;"",C997&amp;"-"&amp;K997,"")</f>
        <v>HTS-3f⁽ᴹ⁾ Number of people in prisons and other closed settings that have received an HIV test during the reporting period and know their results-8</v>
      </c>
      <c r="M997" s="130" t="str">
        <f t="array" ref="M997">IFERROR(IF(INDEX('Disaggregation Records'!$E$152:$E$513,MATCH(RIGHT(L997,255),RIGHT('Disaggregation Records'!$D$152:$D$513,255),0))="","",INDEX('Disaggregation Records'!$E$152:$E$513,MATCH(RIGHT(L997,255),RIGHT('Disaggregation Records'!$D$152:$D$513,255),0))),"")</f>
        <v/>
      </c>
      <c r="N997" s="130" t="str">
        <f t="array" ref="N997">IFERROR(IF(INDEX('Disaggregation Records'!$F$152:$F$513,MATCH(RIGHT(L997,255),RIGHT('Disaggregation Records'!$D$152:$D$513,255),0))="","",INDEX('Disaggregation Records'!$F$152:$F$513,MATCH(RIGHT(L997,255),RIGHT('Disaggregation Records'!$D$152:$D$513,255),0))),"")</f>
        <v/>
      </c>
      <c r="O997" s="130" t="str">
        <f t="array" ref="O997">IFERROR(IF(INDEX('Disaggregation Records'!$H$152:$H$513,MATCH(RIGHT(L997,255),RIGHT('Disaggregation Records'!$D$152:$D$513,255),0))="","",INDEX('Disaggregation Records'!$H$152:$H$513,MATCH(RIGHT(L997,255),RIGHT('Disaggregation Records'!$D$152:$D$513,255),0))),"")</f>
        <v/>
      </c>
      <c r="Q997" s="52">
        <f t="shared" ref="Q997" si="1176">Q995+1</f>
        <v>1683</v>
      </c>
    </row>
    <row r="998" spans="1:17" ht="20.100000000000001" customHeight="1" x14ac:dyDescent="0.25">
      <c r="A998" s="130"/>
      <c r="B998" s="602"/>
      <c r="C998" s="604"/>
      <c r="D998" s="606"/>
      <c r="E998" s="606"/>
      <c r="F998" s="132"/>
      <c r="G998" s="608"/>
      <c r="H998" s="598"/>
      <c r="I998" s="600"/>
      <c r="J998" s="532"/>
      <c r="L998" s="130"/>
      <c r="N998" s="130"/>
      <c r="O998" s="130"/>
    </row>
    <row r="999" spans="1:17" ht="20.100000000000001" customHeight="1" x14ac:dyDescent="0.25">
      <c r="A999" s="130" t="str">
        <f t="shared" ca="1" si="1124"/>
        <v>a16Dm000000LZcZIAW</v>
      </c>
      <c r="B999" s="601">
        <v>10</v>
      </c>
      <c r="C999" s="603" t="str">
        <f>IFERROR(VLOOKUP(B999,'Coverage Indicators - Section D'!$A$9:$AO$70,41,FALSE),"")</f>
        <v>HTS-3f⁽ᴹ⁾ Number of people in prisons and other closed settings that have received an HIV test during the reporting period and know their results</v>
      </c>
      <c r="D999" s="605" t="str">
        <f>M999</f>
        <v/>
      </c>
      <c r="E999" s="605" t="str">
        <f>N999</f>
        <v/>
      </c>
      <c r="F999" s="131"/>
      <c r="G999" s="607" t="str">
        <f ca="1">IF(OR(INDIRECT("'update Helper'!E"&amp;Q999)="",F999&lt;&gt;0,F1000&lt;&gt;0),IF(IFERROR((F999/F1000),"")="","",(F999/F1000)),INDIRECT("'update Helper'!E"&amp;Q999)/100)</f>
        <v/>
      </c>
      <c r="H999" s="597"/>
      <c r="I999" s="599"/>
      <c r="J999" s="531"/>
      <c r="K999" s="130">
        <f>IF(AND(EXACT(C999,C997),C997&lt;&gt;0),K997+1,0)</f>
        <v>9</v>
      </c>
      <c r="L999" s="130" t="str">
        <f t="shared" ref="L999" si="1177">IF(C999&lt;&gt;"",C999&amp;"-"&amp;K999,"")</f>
        <v>HTS-3f⁽ᴹ⁾ Number of people in prisons and other closed settings that have received an HIV test during the reporting period and know their results-9</v>
      </c>
      <c r="M999" s="130" t="str">
        <f t="array" ref="M999">IFERROR(IF(INDEX('Disaggregation Records'!$E$152:$E$513,MATCH(RIGHT(L999,255),RIGHT('Disaggregation Records'!$D$152:$D$513,255),0))="","",INDEX('Disaggregation Records'!$E$152:$E$513,MATCH(RIGHT(L999,255),RIGHT('Disaggregation Records'!$D$152:$D$513,255),0))),"")</f>
        <v/>
      </c>
      <c r="N999" s="130" t="str">
        <f t="array" ref="N999">IFERROR(IF(INDEX('Disaggregation Records'!$F$152:$F$513,MATCH(RIGHT(L999,255),RIGHT('Disaggregation Records'!$D$152:$D$513,255),0))="","",INDEX('Disaggregation Records'!$F$152:$F$513,MATCH(RIGHT(L999,255),RIGHT('Disaggregation Records'!$D$152:$D$513,255),0))),"")</f>
        <v/>
      </c>
      <c r="O999" s="130" t="str">
        <f t="array" ref="O999">IFERROR(IF(INDEX('Disaggregation Records'!$H$152:$H$513,MATCH(RIGHT(L999,255),RIGHT('Disaggregation Records'!$D$152:$D$513,255),0))="","",INDEX('Disaggregation Records'!$H$152:$H$513,MATCH(RIGHT(L999,255),RIGHT('Disaggregation Records'!$D$152:$D$513,255),0))),"")</f>
        <v/>
      </c>
      <c r="Q999" s="52">
        <f t="shared" ref="Q999" si="1178">Q997+1</f>
        <v>1684</v>
      </c>
    </row>
    <row r="1000" spans="1:17" ht="20.100000000000001" customHeight="1" x14ac:dyDescent="0.25">
      <c r="B1000" s="602"/>
      <c r="C1000" s="604"/>
      <c r="D1000" s="606"/>
      <c r="E1000" s="606"/>
      <c r="F1000" s="132"/>
      <c r="G1000" s="608"/>
      <c r="H1000" s="598"/>
      <c r="I1000" s="600"/>
      <c r="J1000" s="532"/>
      <c r="L1000" s="130"/>
      <c r="N1000" s="130"/>
      <c r="O1000" s="130"/>
    </row>
    <row r="1001" spans="1:17" ht="20.100000000000001" customHeight="1" x14ac:dyDescent="0.25">
      <c r="A1001" s="130" t="str">
        <f t="shared" ca="1" si="1121"/>
        <v>a16Dm000000LZcaIAG</v>
      </c>
      <c r="B1001" s="601">
        <v>10</v>
      </c>
      <c r="C1001" s="603" t="str">
        <f>IFERROR(VLOOKUP(B1001,'Coverage Indicators - Section D'!$A$9:$AO$70,41,FALSE),"")</f>
        <v>HTS-3f⁽ᴹ⁾ Number of people in prisons and other closed settings that have received an HIV test during the reporting period and know their results</v>
      </c>
      <c r="D1001" s="605" t="str">
        <f>M1001</f>
        <v/>
      </c>
      <c r="E1001" s="605" t="str">
        <f>N1001</f>
        <v/>
      </c>
      <c r="F1001" s="131"/>
      <c r="G1001" s="607" t="str">
        <f ca="1">IF(OR(INDIRECT("'update Helper'!E"&amp;Q1001)="",F1001&lt;&gt;0,F1002&lt;&gt;0),IF(IFERROR((F1001/F1002),"")="","",(F1001/F1002)),INDIRECT("'update Helper'!E"&amp;Q1001)/100)</f>
        <v/>
      </c>
      <c r="H1001" s="597"/>
      <c r="I1001" s="599"/>
      <c r="J1001" s="531"/>
      <c r="K1001" s="130">
        <f>IF(AND(EXACT(C1001,C999),C999&lt;&gt;0),K999+1,0)</f>
        <v>10</v>
      </c>
      <c r="L1001" s="130" t="str">
        <f t="shared" ref="L1001" si="1179">IF(C1001&lt;&gt;"",C1001&amp;"-"&amp;K1001,"")</f>
        <v>HTS-3f⁽ᴹ⁾ Number of people in prisons and other closed settings that have received an HIV test during the reporting period and know their results-10</v>
      </c>
      <c r="M1001" s="130" t="str">
        <f t="array" ref="M1001">IFERROR(IF(INDEX('Disaggregation Records'!$E$152:$E$513,MATCH(RIGHT(L1001,255),RIGHT('Disaggregation Records'!$D$152:$D$513,255),0))="","",INDEX('Disaggregation Records'!$E$152:$E$513,MATCH(RIGHT(L1001,255),RIGHT('Disaggregation Records'!$D$152:$D$513,255),0))),"")</f>
        <v/>
      </c>
      <c r="N1001" s="130" t="str">
        <f t="array" ref="N1001">IFERROR(IF(INDEX('Disaggregation Records'!$F$152:$F$513,MATCH(RIGHT(L1001,255),RIGHT('Disaggregation Records'!$D$152:$D$513,255),0))="","",INDEX('Disaggregation Records'!$F$152:$F$513,MATCH(RIGHT(L1001,255),RIGHT('Disaggregation Records'!$D$152:$D$513,255),0))),"")</f>
        <v/>
      </c>
      <c r="O1001" s="130" t="str">
        <f t="array" ref="O1001">IFERROR(IF(INDEX('Disaggregation Records'!$H$152:$H$513,MATCH(RIGHT(L1001,255),RIGHT('Disaggregation Records'!$D$152:$D$513,255),0))="","",INDEX('Disaggregation Records'!$H$152:$H$513,MATCH(RIGHT(L1001,255),RIGHT('Disaggregation Records'!$D$152:$D$513,255),0))),"")</f>
        <v/>
      </c>
      <c r="P1001" s="130"/>
      <c r="Q1001" s="52">
        <f t="shared" ref="Q1001" si="1180">Q999+1</f>
        <v>1685</v>
      </c>
    </row>
    <row r="1002" spans="1:17" ht="20.100000000000001" customHeight="1" x14ac:dyDescent="0.25">
      <c r="A1002" s="130"/>
      <c r="B1002" s="602"/>
      <c r="C1002" s="604"/>
      <c r="D1002" s="606"/>
      <c r="E1002" s="606"/>
      <c r="F1002" s="132"/>
      <c r="G1002" s="608"/>
      <c r="H1002" s="598"/>
      <c r="I1002" s="600"/>
      <c r="J1002" s="532"/>
      <c r="K1002" s="130"/>
      <c r="L1002" s="130"/>
      <c r="M1002" s="130"/>
      <c r="N1002" s="130"/>
      <c r="O1002" s="130"/>
      <c r="P1002" s="130"/>
    </row>
    <row r="1003" spans="1:17" ht="20.100000000000001" customHeight="1" x14ac:dyDescent="0.25">
      <c r="A1003" s="130" t="str">
        <f t="shared" ca="1" si="1124"/>
        <v>a16Dm000000LZcbIAG</v>
      </c>
      <c r="B1003" s="601">
        <v>10</v>
      </c>
      <c r="C1003" s="603" t="str">
        <f>IFERROR(VLOOKUP(B1003,'Coverage Indicators - Section D'!$A$9:$AO$70,41,FALSE),"")</f>
        <v>HTS-3f⁽ᴹ⁾ Number of people in prisons and other closed settings that have received an HIV test during the reporting period and know their results</v>
      </c>
      <c r="D1003" s="605" t="str">
        <f>M1003</f>
        <v/>
      </c>
      <c r="E1003" s="605" t="str">
        <f>N1003</f>
        <v/>
      </c>
      <c r="F1003" s="131"/>
      <c r="G1003" s="607" t="str">
        <f ca="1">IF(OR(INDIRECT("'update Helper'!E"&amp;Q1003)="",F1003&lt;&gt;0,F1004&lt;&gt;0),IF(IFERROR((F1003/F1004),"")="","",(F1003/F1004)),INDIRECT("'update Helper'!E"&amp;Q1003)/100)</f>
        <v/>
      </c>
      <c r="H1003" s="597"/>
      <c r="I1003" s="599"/>
      <c r="J1003" s="531"/>
      <c r="K1003" s="130">
        <f>IF(AND(EXACT(C1003,C1001),C1001&lt;&gt;0),K1001+1,0)</f>
        <v>11</v>
      </c>
      <c r="L1003" s="130" t="str">
        <f t="shared" ref="L1003" si="1181">IF(C1003&lt;&gt;"",C1003&amp;"-"&amp;K1003,"")</f>
        <v>HTS-3f⁽ᴹ⁾ Number of people in prisons and other closed settings that have received an HIV test during the reporting period and know their results-11</v>
      </c>
      <c r="M1003" s="130" t="str">
        <f t="array" ref="M1003">IFERROR(IF(INDEX('Disaggregation Records'!$E$152:$E$513,MATCH(RIGHT(L1003,255),RIGHT('Disaggregation Records'!$D$152:$D$513,255),0))="","",INDEX('Disaggregation Records'!$E$152:$E$513,MATCH(RIGHT(L1003,255),RIGHT('Disaggregation Records'!$D$152:$D$513,255),0))),"")</f>
        <v/>
      </c>
      <c r="N1003" s="130" t="str">
        <f t="array" ref="N1003">IFERROR(IF(INDEX('Disaggregation Records'!$F$152:$F$513,MATCH(RIGHT(L1003,255),RIGHT('Disaggregation Records'!$D$152:$D$513,255),0))="","",INDEX('Disaggregation Records'!$F$152:$F$513,MATCH(RIGHT(L1003,255),RIGHT('Disaggregation Records'!$D$152:$D$513,255),0))),"")</f>
        <v/>
      </c>
      <c r="O1003" s="130" t="str">
        <f t="array" ref="O1003">IFERROR(IF(INDEX('Disaggregation Records'!$H$152:$H$513,MATCH(RIGHT(L1003,255),RIGHT('Disaggregation Records'!$D$152:$D$513,255),0))="","",INDEX('Disaggregation Records'!$H$152:$H$513,MATCH(RIGHT(L1003,255),RIGHT('Disaggregation Records'!$D$152:$D$513,255),0))),"")</f>
        <v/>
      </c>
      <c r="P1003" s="130"/>
      <c r="Q1003" s="52">
        <f t="shared" ref="Q1003" si="1182">Q1001+1</f>
        <v>1686</v>
      </c>
    </row>
    <row r="1004" spans="1:17" ht="20.100000000000001" customHeight="1" x14ac:dyDescent="0.25">
      <c r="B1004" s="602"/>
      <c r="C1004" s="604"/>
      <c r="D1004" s="606"/>
      <c r="E1004" s="606"/>
      <c r="F1004" s="132"/>
      <c r="G1004" s="608"/>
      <c r="H1004" s="598"/>
      <c r="I1004" s="600"/>
      <c r="J1004" s="532"/>
      <c r="K1004" s="130"/>
      <c r="L1004" s="130"/>
      <c r="M1004" s="130"/>
      <c r="N1004" s="130"/>
      <c r="O1004" s="130"/>
      <c r="P1004" s="130"/>
    </row>
    <row r="1005" spans="1:17" ht="20.100000000000001" customHeight="1" x14ac:dyDescent="0.25">
      <c r="A1005" s="130" t="str">
        <f t="shared" ca="1" si="1121"/>
        <v>a16Dm000000LZccIAG</v>
      </c>
      <c r="B1005" s="601">
        <v>10</v>
      </c>
      <c r="C1005" s="603" t="str">
        <f>IFERROR(VLOOKUP(B1005,'Coverage Indicators - Section D'!$A$9:$AO$70,41,FALSE),"")</f>
        <v>HTS-3f⁽ᴹ⁾ Number of people in prisons and other closed settings that have received an HIV test during the reporting period and know their results</v>
      </c>
      <c r="D1005" s="605" t="str">
        <f>M1005</f>
        <v/>
      </c>
      <c r="E1005" s="605" t="str">
        <f>N1005</f>
        <v/>
      </c>
      <c r="F1005" s="131"/>
      <c r="G1005" s="607" t="str">
        <f ca="1">IF(OR(INDIRECT("'update Helper'!E"&amp;Q1005)="",F1005&lt;&gt;0,F1006&lt;&gt;0),IF(IFERROR((F1005/F1006),"")="","",(F1005/F1006)),INDIRECT("'update Helper'!E"&amp;Q1005)/100)</f>
        <v/>
      </c>
      <c r="H1005" s="597"/>
      <c r="I1005" s="599"/>
      <c r="J1005" s="531"/>
      <c r="K1005" s="130">
        <f>IF(AND(EXACT(C1005,C1003),C1003&lt;&gt;0),K1003+1,0)</f>
        <v>12</v>
      </c>
      <c r="L1005" s="130" t="str">
        <f t="shared" ref="L1005" si="1183">IF(C1005&lt;&gt;"",C1005&amp;"-"&amp;K1005,"")</f>
        <v>HTS-3f⁽ᴹ⁾ Number of people in prisons and other closed settings that have received an HIV test during the reporting period and know their results-12</v>
      </c>
      <c r="M1005" s="130" t="str">
        <f t="array" ref="M1005">IFERROR(IF(INDEX('Disaggregation Records'!$E$152:$E$513,MATCH(RIGHT(L1005,255),RIGHT('Disaggregation Records'!$D$152:$D$513,255),0))="","",INDEX('Disaggregation Records'!$E$152:$E$513,MATCH(RIGHT(L1005,255),RIGHT('Disaggregation Records'!$D$152:$D$513,255),0))),"")</f>
        <v/>
      </c>
      <c r="N1005" s="130" t="str">
        <f t="array" ref="N1005">IFERROR(IF(INDEX('Disaggregation Records'!$F$152:$F$513,MATCH(RIGHT(L1005,255),RIGHT('Disaggregation Records'!$D$152:$D$513,255),0))="","",INDEX('Disaggregation Records'!$F$152:$F$513,MATCH(RIGHT(L1005,255),RIGHT('Disaggregation Records'!$D$152:$D$513,255),0))),"")</f>
        <v/>
      </c>
      <c r="O1005" s="130" t="str">
        <f t="array" ref="O1005">IFERROR(IF(INDEX('Disaggregation Records'!$H$152:$H$513,MATCH(RIGHT(L1005,255),RIGHT('Disaggregation Records'!$D$152:$D$513,255),0))="","",INDEX('Disaggregation Records'!$H$152:$H$513,MATCH(RIGHT(L1005,255),RIGHT('Disaggregation Records'!$D$152:$D$513,255),0))),"")</f>
        <v/>
      </c>
      <c r="Q1005" s="52">
        <f t="shared" ref="Q1005" si="1184">Q1003+1</f>
        <v>1687</v>
      </c>
    </row>
    <row r="1006" spans="1:17" ht="20.100000000000001" customHeight="1" x14ac:dyDescent="0.25">
      <c r="A1006" s="130"/>
      <c r="B1006" s="602"/>
      <c r="C1006" s="604"/>
      <c r="D1006" s="606"/>
      <c r="E1006" s="606"/>
      <c r="F1006" s="132"/>
      <c r="G1006" s="608"/>
      <c r="H1006" s="598"/>
      <c r="I1006" s="600"/>
      <c r="J1006" s="532"/>
      <c r="L1006" s="130"/>
      <c r="N1006" s="130"/>
      <c r="O1006" s="130"/>
    </row>
    <row r="1007" spans="1:17" ht="20.100000000000001" customHeight="1" x14ac:dyDescent="0.25">
      <c r="A1007" s="130" t="str">
        <f t="shared" ca="1" si="1124"/>
        <v>a16Dm000000LZcdIAG</v>
      </c>
      <c r="B1007" s="601">
        <v>10</v>
      </c>
      <c r="C1007" s="603" t="str">
        <f>IFERROR(VLOOKUP(B1007,'Coverage Indicators - Section D'!$A$9:$AO$70,41,FALSE),"")</f>
        <v>HTS-3f⁽ᴹ⁾ Number of people in prisons and other closed settings that have received an HIV test during the reporting period and know their results</v>
      </c>
      <c r="D1007" s="605" t="str">
        <f>M1007</f>
        <v/>
      </c>
      <c r="E1007" s="605" t="str">
        <f>N1007</f>
        <v/>
      </c>
      <c r="F1007" s="131"/>
      <c r="G1007" s="607" t="str">
        <f ca="1">IF(OR(INDIRECT("'update Helper'!E"&amp;Q1007)="",F1007&lt;&gt;0,F1008&lt;&gt;0),IF(IFERROR((F1007/F1008),"")="","",(F1007/F1008)),INDIRECT("'update Helper'!E"&amp;Q1007)/100)</f>
        <v/>
      </c>
      <c r="H1007" s="597"/>
      <c r="I1007" s="599"/>
      <c r="J1007" s="531"/>
      <c r="K1007" s="130">
        <f>IF(AND(EXACT(C1007,C1005),C1005&lt;&gt;0),K1005+1,0)</f>
        <v>13</v>
      </c>
      <c r="L1007" s="130" t="str">
        <f t="shared" ref="L1007" si="1185">IF(C1007&lt;&gt;"",C1007&amp;"-"&amp;K1007,"")</f>
        <v>HTS-3f⁽ᴹ⁾ Number of people in prisons and other closed settings that have received an HIV test during the reporting period and know their results-13</v>
      </c>
      <c r="M1007" s="130" t="str">
        <f t="array" ref="M1007">IFERROR(IF(INDEX('Disaggregation Records'!$E$152:$E$513,MATCH(RIGHT(L1007,255),RIGHT('Disaggregation Records'!$D$152:$D$513,255),0))="","",INDEX('Disaggregation Records'!$E$152:$E$513,MATCH(RIGHT(L1007,255),RIGHT('Disaggregation Records'!$D$152:$D$513,255),0))),"")</f>
        <v/>
      </c>
      <c r="N1007" s="130" t="str">
        <f t="array" ref="N1007">IFERROR(IF(INDEX('Disaggregation Records'!$F$152:$F$513,MATCH(RIGHT(L1007,255),RIGHT('Disaggregation Records'!$D$152:$D$513,255),0))="","",INDEX('Disaggregation Records'!$F$152:$F$513,MATCH(RIGHT(L1007,255),RIGHT('Disaggregation Records'!$D$152:$D$513,255),0))),"")</f>
        <v/>
      </c>
      <c r="O1007" s="130" t="str">
        <f t="array" ref="O1007">IFERROR(IF(INDEX('Disaggregation Records'!$H$152:$H$513,MATCH(RIGHT(L1007,255),RIGHT('Disaggregation Records'!$D$152:$D$513,255),0))="","",INDEX('Disaggregation Records'!$H$152:$H$513,MATCH(RIGHT(L1007,255),RIGHT('Disaggregation Records'!$D$152:$D$513,255),0))),"")</f>
        <v/>
      </c>
      <c r="Q1007" s="52">
        <f t="shared" ref="Q1007" si="1186">Q1005+1</f>
        <v>1688</v>
      </c>
    </row>
    <row r="1008" spans="1:17" ht="20.100000000000001" customHeight="1" x14ac:dyDescent="0.25">
      <c r="B1008" s="602"/>
      <c r="C1008" s="604"/>
      <c r="D1008" s="606"/>
      <c r="E1008" s="606"/>
      <c r="F1008" s="132"/>
      <c r="G1008" s="608"/>
      <c r="H1008" s="598"/>
      <c r="I1008" s="600"/>
      <c r="J1008" s="532"/>
      <c r="L1008" s="130"/>
      <c r="N1008" s="130"/>
      <c r="O1008" s="130"/>
    </row>
    <row r="1009" spans="1:17" ht="20.100000000000001" customHeight="1" x14ac:dyDescent="0.25">
      <c r="A1009" s="130" t="str">
        <f t="shared" ref="A1009:A1069" ca="1" si="1187">INDIRECT("'update Helper'!C"&amp;Q1009)</f>
        <v>a16Dm000000LZceIAG</v>
      </c>
      <c r="B1009" s="601">
        <v>10</v>
      </c>
      <c r="C1009" s="603" t="str">
        <f>IFERROR(VLOOKUP(B1009,'Coverage Indicators - Section D'!$A$9:$AO$70,41,FALSE),"")</f>
        <v>HTS-3f⁽ᴹ⁾ Number of people in prisons and other closed settings that have received an HIV test during the reporting period and know their results</v>
      </c>
      <c r="D1009" s="605" t="str">
        <f>M1009</f>
        <v/>
      </c>
      <c r="E1009" s="605" t="str">
        <f>N1009</f>
        <v/>
      </c>
      <c r="F1009" s="131"/>
      <c r="G1009" s="607" t="str">
        <f ca="1">IF(OR(INDIRECT("'update Helper'!E"&amp;Q1009)="",F1009&lt;&gt;0,F1010&lt;&gt;0),IF(IFERROR((F1009/F1010),"")="","",(F1009/F1010)),INDIRECT("'update Helper'!E"&amp;Q1009)/100)</f>
        <v/>
      </c>
      <c r="H1009" s="597"/>
      <c r="I1009" s="599"/>
      <c r="J1009" s="531"/>
      <c r="K1009" s="130">
        <f>IF(AND(EXACT(C1009,C1007),C1007&lt;&gt;0),K1007+1,0)</f>
        <v>14</v>
      </c>
      <c r="L1009" s="130" t="str">
        <f t="shared" ref="L1009" si="1188">IF(C1009&lt;&gt;"",C1009&amp;"-"&amp;K1009,"")</f>
        <v>HTS-3f⁽ᴹ⁾ Number of people in prisons and other closed settings that have received an HIV test during the reporting period and know their results-14</v>
      </c>
      <c r="M1009" s="130" t="str">
        <f t="array" ref="M1009">IFERROR(IF(INDEX('Disaggregation Records'!$E$152:$E$513,MATCH(RIGHT(L1009,255),RIGHT('Disaggregation Records'!$D$152:$D$513,255),0))="","",INDEX('Disaggregation Records'!$E$152:$E$513,MATCH(RIGHT(L1009,255),RIGHT('Disaggregation Records'!$D$152:$D$513,255),0))),"")</f>
        <v/>
      </c>
      <c r="N1009" s="130" t="str">
        <f t="array" ref="N1009">IFERROR(IF(INDEX('Disaggregation Records'!$F$152:$F$513,MATCH(RIGHT(L1009,255),RIGHT('Disaggregation Records'!$D$152:$D$513,255),0))="","",INDEX('Disaggregation Records'!$F$152:$F$513,MATCH(RIGHT(L1009,255),RIGHT('Disaggregation Records'!$D$152:$D$513,255),0))),"")</f>
        <v/>
      </c>
      <c r="O1009" s="130" t="str">
        <f t="array" ref="O1009">IFERROR(IF(INDEX('Disaggregation Records'!$H$152:$H$513,MATCH(RIGHT(L1009,255),RIGHT('Disaggregation Records'!$D$152:$D$513,255),0))="","",INDEX('Disaggregation Records'!$H$152:$H$513,MATCH(RIGHT(L1009,255),RIGHT('Disaggregation Records'!$D$152:$D$513,255),0))),"")</f>
        <v/>
      </c>
      <c r="Q1009" s="52">
        <f t="shared" ref="Q1009" si="1189">Q1007+1</f>
        <v>1689</v>
      </c>
    </row>
    <row r="1010" spans="1:17" ht="20.100000000000001" customHeight="1" x14ac:dyDescent="0.25">
      <c r="A1010" s="130"/>
      <c r="B1010" s="602"/>
      <c r="C1010" s="604"/>
      <c r="D1010" s="606"/>
      <c r="E1010" s="606"/>
      <c r="F1010" s="132"/>
      <c r="G1010" s="608"/>
      <c r="H1010" s="598"/>
      <c r="I1010" s="600"/>
      <c r="J1010" s="532"/>
      <c r="L1010" s="130"/>
      <c r="N1010" s="130"/>
      <c r="O1010" s="130"/>
    </row>
    <row r="1011" spans="1:17" ht="20.100000000000001" customHeight="1" x14ac:dyDescent="0.25">
      <c r="A1011" s="130" t="str">
        <f t="shared" ref="A1011:A1071" ca="1" si="1190">INDIRECT("'update Helper'!C"&amp;Q1011)</f>
        <v>a16Dm000000LZcfIAG</v>
      </c>
      <c r="B1011" s="601">
        <v>10</v>
      </c>
      <c r="C1011" s="603" t="str">
        <f>IFERROR(VLOOKUP(B1011,'Coverage Indicators - Section D'!$A$9:$AO$70,41,FALSE),"")</f>
        <v>HTS-3f⁽ᴹ⁾ Number of people in prisons and other closed settings that have received an HIV test during the reporting period and know their results</v>
      </c>
      <c r="D1011" s="605" t="str">
        <f>M1011</f>
        <v/>
      </c>
      <c r="E1011" s="605" t="str">
        <f>N1011</f>
        <v/>
      </c>
      <c r="F1011" s="131"/>
      <c r="G1011" s="607" t="str">
        <f ca="1">IF(OR(INDIRECT("'update Helper'!E"&amp;Q1011)="",F1011&lt;&gt;0,F1012&lt;&gt;0),IF(IFERROR((F1011/F1012),"")="","",(F1011/F1012)),INDIRECT("'update Helper'!E"&amp;Q1011)/100)</f>
        <v/>
      </c>
      <c r="H1011" s="597"/>
      <c r="I1011" s="599"/>
      <c r="J1011" s="531"/>
      <c r="K1011" s="130">
        <f>IF(AND(EXACT(C1011,C1009),C1009&lt;&gt;0),K1009+1,0)</f>
        <v>15</v>
      </c>
      <c r="L1011" s="130" t="str">
        <f t="shared" ref="L1011" si="1191">IF(C1011&lt;&gt;"",C1011&amp;"-"&amp;K1011,"")</f>
        <v>HTS-3f⁽ᴹ⁾ Number of people in prisons and other closed settings that have received an HIV test during the reporting period and know their results-15</v>
      </c>
      <c r="M1011" s="130" t="str">
        <f t="array" ref="M1011">IFERROR(IF(INDEX('Disaggregation Records'!$E$152:$E$513,MATCH(RIGHT(L1011,255),RIGHT('Disaggregation Records'!$D$152:$D$513,255),0))="","",INDEX('Disaggregation Records'!$E$152:$E$513,MATCH(RIGHT(L1011,255),RIGHT('Disaggregation Records'!$D$152:$D$513,255),0))),"")</f>
        <v/>
      </c>
      <c r="N1011" s="130" t="str">
        <f t="array" ref="N1011">IFERROR(IF(INDEX('Disaggregation Records'!$F$152:$F$513,MATCH(RIGHT(L1011,255),RIGHT('Disaggregation Records'!$D$152:$D$513,255),0))="","",INDEX('Disaggregation Records'!$F$152:$F$513,MATCH(RIGHT(L1011,255),RIGHT('Disaggregation Records'!$D$152:$D$513,255),0))),"")</f>
        <v/>
      </c>
      <c r="O1011" s="130" t="str">
        <f t="array" ref="O1011">IFERROR(IF(INDEX('Disaggregation Records'!$H$152:$H$513,MATCH(RIGHT(L1011,255),RIGHT('Disaggregation Records'!$D$152:$D$513,255),0))="","",INDEX('Disaggregation Records'!$H$152:$H$513,MATCH(RIGHT(L1011,255),RIGHT('Disaggregation Records'!$D$152:$D$513,255),0))),"")</f>
        <v/>
      </c>
      <c r="P1011" s="130"/>
      <c r="Q1011" s="52">
        <f t="shared" ref="Q1011" si="1192">Q1009+1</f>
        <v>1690</v>
      </c>
    </row>
    <row r="1012" spans="1:17" ht="20.100000000000001" customHeight="1" x14ac:dyDescent="0.25">
      <c r="B1012" s="602"/>
      <c r="C1012" s="604"/>
      <c r="D1012" s="606"/>
      <c r="E1012" s="606"/>
      <c r="F1012" s="132"/>
      <c r="G1012" s="608"/>
      <c r="H1012" s="598"/>
      <c r="I1012" s="600"/>
      <c r="J1012" s="532"/>
      <c r="K1012" s="130"/>
      <c r="L1012" s="130"/>
      <c r="M1012" s="130"/>
      <c r="N1012" s="130"/>
      <c r="O1012" s="130"/>
      <c r="P1012" s="130"/>
    </row>
    <row r="1013" spans="1:17" ht="20.100000000000001" customHeight="1" x14ac:dyDescent="0.25">
      <c r="A1013" s="130" t="str">
        <f t="shared" ca="1" si="1187"/>
        <v>a16Dm000000LZcgIAG</v>
      </c>
      <c r="B1013" s="601">
        <v>10</v>
      </c>
      <c r="C1013" s="603" t="str">
        <f>IFERROR(VLOOKUP(B1013,'Coverage Indicators - Section D'!$A$9:$AO$70,41,FALSE),"")</f>
        <v>HTS-3f⁽ᴹ⁾ Number of people in prisons and other closed settings that have received an HIV test during the reporting period and know their results</v>
      </c>
      <c r="D1013" s="605" t="str">
        <f>M1013</f>
        <v/>
      </c>
      <c r="E1013" s="605" t="str">
        <f>N1013</f>
        <v/>
      </c>
      <c r="F1013" s="131"/>
      <c r="G1013" s="607" t="str">
        <f ca="1">IF(OR(INDIRECT("'update Helper'!E"&amp;Q1013)="",F1013&lt;&gt;0,F1014&lt;&gt;0),IF(IFERROR((F1013/F1014),"")="","",(F1013/F1014)),INDIRECT("'update Helper'!E"&amp;Q1013)/100)</f>
        <v/>
      </c>
      <c r="H1013" s="597"/>
      <c r="I1013" s="599"/>
      <c r="J1013" s="531"/>
      <c r="K1013" s="130">
        <f>IF(AND(EXACT(C1013,C1011),C1011&lt;&gt;0),K1011+1,0)</f>
        <v>16</v>
      </c>
      <c r="L1013" s="130" t="str">
        <f t="shared" ref="L1013" si="1193">IF(C1013&lt;&gt;"",C1013&amp;"-"&amp;K1013,"")</f>
        <v>HTS-3f⁽ᴹ⁾ Number of people in prisons and other closed settings that have received an HIV test during the reporting period and know their results-16</v>
      </c>
      <c r="M1013" s="130" t="str">
        <f t="array" ref="M1013">IFERROR(IF(INDEX('Disaggregation Records'!$E$152:$E$513,MATCH(RIGHT(L1013,255),RIGHT('Disaggregation Records'!$D$152:$D$513,255),0))="","",INDEX('Disaggregation Records'!$E$152:$E$513,MATCH(RIGHT(L1013,255),RIGHT('Disaggregation Records'!$D$152:$D$513,255),0))),"")</f>
        <v/>
      </c>
      <c r="N1013" s="130" t="str">
        <f t="array" ref="N1013">IFERROR(IF(INDEX('Disaggregation Records'!$F$152:$F$513,MATCH(RIGHT(L1013,255),RIGHT('Disaggregation Records'!$D$152:$D$513,255),0))="","",INDEX('Disaggregation Records'!$F$152:$F$513,MATCH(RIGHT(L1013,255),RIGHT('Disaggregation Records'!$D$152:$D$513,255),0))),"")</f>
        <v/>
      </c>
      <c r="O1013" s="130" t="str">
        <f t="array" ref="O1013">IFERROR(IF(INDEX('Disaggregation Records'!$H$152:$H$513,MATCH(RIGHT(L1013,255),RIGHT('Disaggregation Records'!$D$152:$D$513,255),0))="","",INDEX('Disaggregation Records'!$H$152:$H$513,MATCH(RIGHT(L1013,255),RIGHT('Disaggregation Records'!$D$152:$D$513,255),0))),"")</f>
        <v/>
      </c>
      <c r="P1013" s="130"/>
      <c r="Q1013" s="52">
        <f t="shared" ref="Q1013" si="1194">Q1011+1</f>
        <v>1691</v>
      </c>
    </row>
    <row r="1014" spans="1:17" ht="20.100000000000001" customHeight="1" x14ac:dyDescent="0.25">
      <c r="A1014" s="130"/>
      <c r="B1014" s="602"/>
      <c r="C1014" s="604"/>
      <c r="D1014" s="606"/>
      <c r="E1014" s="606"/>
      <c r="F1014" s="132"/>
      <c r="G1014" s="608"/>
      <c r="H1014" s="598"/>
      <c r="I1014" s="600"/>
      <c r="J1014" s="532"/>
      <c r="K1014" s="130"/>
      <c r="L1014" s="130"/>
      <c r="M1014" s="130"/>
      <c r="N1014" s="130"/>
      <c r="O1014" s="130"/>
      <c r="P1014" s="130"/>
    </row>
    <row r="1015" spans="1:17" ht="20.100000000000001" customHeight="1" x14ac:dyDescent="0.25">
      <c r="A1015" s="130" t="str">
        <f t="shared" ca="1" si="1190"/>
        <v>a16Dm000000LZchIAG</v>
      </c>
      <c r="B1015" s="601">
        <v>10</v>
      </c>
      <c r="C1015" s="603" t="str">
        <f>IFERROR(VLOOKUP(B1015,'Coverage Indicators - Section D'!$A$9:$AO$70,41,FALSE),"")</f>
        <v>HTS-3f⁽ᴹ⁾ Number of people in prisons and other closed settings that have received an HIV test during the reporting period and know their results</v>
      </c>
      <c r="D1015" s="605" t="str">
        <f>M1015</f>
        <v/>
      </c>
      <c r="E1015" s="605" t="str">
        <f>N1015</f>
        <v/>
      </c>
      <c r="F1015" s="131"/>
      <c r="G1015" s="607" t="str">
        <f ca="1">IF(OR(INDIRECT("'update Helper'!E"&amp;Q1015)="",F1015&lt;&gt;0,F1016&lt;&gt;0),IF(IFERROR((F1015/F1016),"")="","",(F1015/F1016)),INDIRECT("'update Helper'!E"&amp;Q1015)/100)</f>
        <v/>
      </c>
      <c r="H1015" s="597"/>
      <c r="I1015" s="599"/>
      <c r="J1015" s="531"/>
      <c r="K1015" s="130">
        <f>IF(AND(EXACT(C1015,C1013),C1013&lt;&gt;0),K1013+1,0)</f>
        <v>17</v>
      </c>
      <c r="L1015" s="130" t="str">
        <f t="shared" ref="L1015" si="1195">IF(C1015&lt;&gt;"",C1015&amp;"-"&amp;K1015,"")</f>
        <v>HTS-3f⁽ᴹ⁾ Number of people in prisons and other closed settings that have received an HIV test during the reporting period and know their results-17</v>
      </c>
      <c r="M1015" s="130" t="str">
        <f t="array" ref="M1015">IFERROR(IF(INDEX('Disaggregation Records'!$E$152:$E$513,MATCH(RIGHT(L1015,255),RIGHT('Disaggregation Records'!$D$152:$D$513,255),0))="","",INDEX('Disaggregation Records'!$E$152:$E$513,MATCH(RIGHT(L1015,255),RIGHT('Disaggregation Records'!$D$152:$D$513,255),0))),"")</f>
        <v/>
      </c>
      <c r="N1015" s="130" t="str">
        <f t="array" ref="N1015">IFERROR(IF(INDEX('Disaggregation Records'!$F$152:$F$513,MATCH(RIGHT(L1015,255),RIGHT('Disaggregation Records'!$D$152:$D$513,255),0))="","",INDEX('Disaggregation Records'!$F$152:$F$513,MATCH(RIGHT(L1015,255),RIGHT('Disaggregation Records'!$D$152:$D$513,255),0))),"")</f>
        <v/>
      </c>
      <c r="O1015" s="130" t="str">
        <f t="array" ref="O1015">IFERROR(IF(INDEX('Disaggregation Records'!$H$152:$H$513,MATCH(RIGHT(L1015,255),RIGHT('Disaggregation Records'!$D$152:$D$513,255),0))="","",INDEX('Disaggregation Records'!$H$152:$H$513,MATCH(RIGHT(L1015,255),RIGHT('Disaggregation Records'!$D$152:$D$513,255),0))),"")</f>
        <v/>
      </c>
      <c r="Q1015" s="52">
        <f t="shared" ref="Q1015" si="1196">Q1013+1</f>
        <v>1692</v>
      </c>
    </row>
    <row r="1016" spans="1:17" ht="20.100000000000001" customHeight="1" x14ac:dyDescent="0.25">
      <c r="B1016" s="602"/>
      <c r="C1016" s="604"/>
      <c r="D1016" s="606"/>
      <c r="E1016" s="606"/>
      <c r="F1016" s="132"/>
      <c r="G1016" s="608"/>
      <c r="H1016" s="598"/>
      <c r="I1016" s="600"/>
      <c r="J1016" s="532"/>
      <c r="L1016" s="130"/>
      <c r="N1016" s="130"/>
      <c r="O1016" s="130"/>
    </row>
    <row r="1017" spans="1:17" ht="20.100000000000001" customHeight="1" x14ac:dyDescent="0.25">
      <c r="A1017" s="130" t="str">
        <f t="shared" ca="1" si="1187"/>
        <v>a16Dm000000LZciIAG</v>
      </c>
      <c r="B1017" s="601">
        <v>10</v>
      </c>
      <c r="C1017" s="603" t="str">
        <f>IFERROR(VLOOKUP(B1017,'Coverage Indicators - Section D'!$A$9:$AO$70,41,FALSE),"")</f>
        <v>HTS-3f⁽ᴹ⁾ Number of people in prisons and other closed settings that have received an HIV test during the reporting period and know their results</v>
      </c>
      <c r="D1017" s="605" t="str">
        <f>M1017</f>
        <v/>
      </c>
      <c r="E1017" s="605" t="str">
        <f>N1017</f>
        <v/>
      </c>
      <c r="F1017" s="131"/>
      <c r="G1017" s="607" t="str">
        <f ca="1">IF(OR(INDIRECT("'update Helper'!E"&amp;Q1017)="",F1017&lt;&gt;0,F1018&lt;&gt;0),IF(IFERROR((F1017/F1018),"")="","",(F1017/F1018)),INDIRECT("'update Helper'!E"&amp;Q1017)/100)</f>
        <v/>
      </c>
      <c r="H1017" s="597"/>
      <c r="I1017" s="599"/>
      <c r="J1017" s="531"/>
      <c r="K1017" s="130">
        <f>IF(AND(EXACT(C1017,C1015),C1015&lt;&gt;0),K1015+1,0)</f>
        <v>18</v>
      </c>
      <c r="L1017" s="130" t="str">
        <f t="shared" ref="L1017" si="1197">IF(C1017&lt;&gt;"",C1017&amp;"-"&amp;K1017,"")</f>
        <v>HTS-3f⁽ᴹ⁾ Number of people in prisons and other closed settings that have received an HIV test during the reporting period and know their results-18</v>
      </c>
      <c r="M1017" s="130" t="str">
        <f t="array" ref="M1017">IFERROR(IF(INDEX('Disaggregation Records'!$E$152:$E$513,MATCH(RIGHT(L1017,255),RIGHT('Disaggregation Records'!$D$152:$D$513,255),0))="","",INDEX('Disaggregation Records'!$E$152:$E$513,MATCH(RIGHT(L1017,255),RIGHT('Disaggregation Records'!$D$152:$D$513,255),0))),"")</f>
        <v/>
      </c>
      <c r="N1017" s="130" t="str">
        <f t="array" ref="N1017">IFERROR(IF(INDEX('Disaggregation Records'!$F$152:$F$513,MATCH(RIGHT(L1017,255),RIGHT('Disaggregation Records'!$D$152:$D$513,255),0))="","",INDEX('Disaggregation Records'!$F$152:$F$513,MATCH(RIGHT(L1017,255),RIGHT('Disaggregation Records'!$D$152:$D$513,255),0))),"")</f>
        <v/>
      </c>
      <c r="O1017" s="130" t="str">
        <f t="array" ref="O1017">IFERROR(IF(INDEX('Disaggregation Records'!$H$152:$H$513,MATCH(RIGHT(L1017,255),RIGHT('Disaggregation Records'!$D$152:$D$513,255),0))="","",INDEX('Disaggregation Records'!$H$152:$H$513,MATCH(RIGHT(L1017,255),RIGHT('Disaggregation Records'!$D$152:$D$513,255),0))),"")</f>
        <v/>
      </c>
      <c r="Q1017" s="52">
        <f t="shared" ref="Q1017" si="1198">Q1015+1</f>
        <v>1693</v>
      </c>
    </row>
    <row r="1018" spans="1:17" ht="20.100000000000001" customHeight="1" x14ac:dyDescent="0.25">
      <c r="A1018" s="130"/>
      <c r="B1018" s="602"/>
      <c r="C1018" s="604"/>
      <c r="D1018" s="606"/>
      <c r="E1018" s="606"/>
      <c r="F1018" s="132"/>
      <c r="G1018" s="608"/>
      <c r="H1018" s="598"/>
      <c r="I1018" s="600"/>
      <c r="J1018" s="532"/>
      <c r="L1018" s="130"/>
      <c r="N1018" s="130"/>
      <c r="O1018" s="130"/>
    </row>
    <row r="1019" spans="1:17" ht="20.100000000000001" customHeight="1" x14ac:dyDescent="0.25">
      <c r="A1019" s="130" t="str">
        <f t="shared" ca="1" si="1190"/>
        <v>a16Dm000000LZcjIAG</v>
      </c>
      <c r="B1019" s="601">
        <v>10</v>
      </c>
      <c r="C1019" s="603" t="str">
        <f>IFERROR(VLOOKUP(B1019,'Coverage Indicators - Section D'!$A$9:$AO$70,41,FALSE),"")</f>
        <v>HTS-3f⁽ᴹ⁾ Number of people in prisons and other closed settings that have received an HIV test during the reporting period and know their results</v>
      </c>
      <c r="D1019" s="605" t="str">
        <f>M1019</f>
        <v/>
      </c>
      <c r="E1019" s="605" t="str">
        <f>N1019</f>
        <v/>
      </c>
      <c r="F1019" s="131"/>
      <c r="G1019" s="607" t="str">
        <f ca="1">IF(OR(INDIRECT("'update Helper'!E"&amp;Q1019)="",F1019&lt;&gt;0,F1020&lt;&gt;0),IF(IFERROR((F1019/F1020),"")="","",(F1019/F1020)),INDIRECT("'update Helper'!E"&amp;Q1019)/100)</f>
        <v/>
      </c>
      <c r="H1019" s="597"/>
      <c r="I1019" s="599"/>
      <c r="J1019" s="531"/>
      <c r="K1019" s="130">
        <f>IF(AND(EXACT(C1019,C1017),C1017&lt;&gt;0),K1017+1,0)</f>
        <v>19</v>
      </c>
      <c r="L1019" s="130" t="str">
        <f t="shared" ref="L1019" si="1199">IF(C1019&lt;&gt;"",C1019&amp;"-"&amp;K1019,"")</f>
        <v>HTS-3f⁽ᴹ⁾ Number of people in prisons and other closed settings that have received an HIV test during the reporting period and know their results-19</v>
      </c>
      <c r="M1019" s="130" t="str">
        <f t="array" ref="M1019">IFERROR(IF(INDEX('Disaggregation Records'!$E$152:$E$513,MATCH(RIGHT(L1019,255),RIGHT('Disaggregation Records'!$D$152:$D$513,255),0))="","",INDEX('Disaggregation Records'!$E$152:$E$513,MATCH(RIGHT(L1019,255),RIGHT('Disaggregation Records'!$D$152:$D$513,255),0))),"")</f>
        <v/>
      </c>
      <c r="N1019" s="130" t="str">
        <f t="array" ref="N1019">IFERROR(IF(INDEX('Disaggregation Records'!$F$152:$F$513,MATCH(RIGHT(L1019,255),RIGHT('Disaggregation Records'!$D$152:$D$513,255),0))="","",INDEX('Disaggregation Records'!$F$152:$F$513,MATCH(RIGHT(L1019,255),RIGHT('Disaggregation Records'!$D$152:$D$513,255),0))),"")</f>
        <v/>
      </c>
      <c r="O1019" s="130" t="str">
        <f t="array" ref="O1019">IFERROR(IF(INDEX('Disaggregation Records'!$H$152:$H$513,MATCH(RIGHT(L1019,255),RIGHT('Disaggregation Records'!$D$152:$D$513,255),0))="","",INDEX('Disaggregation Records'!$H$152:$H$513,MATCH(RIGHT(L1019,255),RIGHT('Disaggregation Records'!$D$152:$D$513,255),0))),"")</f>
        <v/>
      </c>
      <c r="Q1019" s="52">
        <f t="shared" ref="Q1019" si="1200">Q1017+1</f>
        <v>1694</v>
      </c>
    </row>
    <row r="1020" spans="1:17" ht="20.100000000000001" customHeight="1" x14ac:dyDescent="0.25">
      <c r="B1020" s="602"/>
      <c r="C1020" s="604"/>
      <c r="D1020" s="606"/>
      <c r="E1020" s="606"/>
      <c r="F1020" s="132"/>
      <c r="G1020" s="608"/>
      <c r="H1020" s="598"/>
      <c r="I1020" s="600"/>
      <c r="J1020" s="532"/>
      <c r="L1020" s="130"/>
      <c r="N1020" s="130"/>
      <c r="O1020" s="130"/>
    </row>
    <row r="1021" spans="1:17" ht="20.100000000000001" customHeight="1" x14ac:dyDescent="0.25">
      <c r="A1021" s="130" t="str">
        <f t="shared" ca="1" si="1187"/>
        <v>a16Dm000000LZckIAG</v>
      </c>
      <c r="B1021" s="601">
        <v>11</v>
      </c>
      <c r="C1021" s="603" t="str">
        <f>IFERROR(VLOOKUP(B1021,'Coverage Indicators - Section D'!$A$9:$AO$70,41,FALSE),"")</f>
        <v>TCS-1.1⁽ᴹ⁾ Percentage of people on ART among all people living with HIV at the end of the reporting period</v>
      </c>
      <c r="D1021" s="605" t="str">
        <f>M1021</f>
        <v>Gender</v>
      </c>
      <c r="E1021" s="605" t="str">
        <f>N1021</f>
        <v>Male</v>
      </c>
      <c r="F1021" s="131">
        <v>3132</v>
      </c>
      <c r="G1021" s="607">
        <f ca="1">IF(OR(INDIRECT("'update Helper'!E"&amp;Q1021)="",F1021&lt;&gt;0,F1022&lt;&gt;0),IF(IFERROR((F1021/F1022),"")="","",(F1021/F1022)),INDIRECT("'update Helper'!E"&amp;Q1021)/100)</f>
        <v>0.31192112339408423</v>
      </c>
      <c r="H1021" s="597">
        <v>2022</v>
      </c>
      <c r="I1021" s="599" t="s">
        <v>2247</v>
      </c>
      <c r="J1021" s="531" t="s">
        <v>2248</v>
      </c>
      <c r="K1021" s="130">
        <f>IF(AND(EXACT(C1021,C1019),C1019&lt;&gt;0),K1019+1,0)</f>
        <v>0</v>
      </c>
      <c r="L1021" s="130" t="str">
        <f t="shared" ref="L1021" si="1201">IF(C1021&lt;&gt;"",C1021&amp;"-"&amp;K1021,"")</f>
        <v>TCS-1.1⁽ᴹ⁾ Percentage of people on ART among all people living with HIV at the end of the reporting period-0</v>
      </c>
      <c r="M1021" s="130" t="str">
        <f t="array" ref="M1021">IFERROR(IF(INDEX('Disaggregation Records'!$E$152:$E$513,MATCH(RIGHT(L1021,255),RIGHT('Disaggregation Records'!$D$152:$D$513,255),0))="","",INDEX('Disaggregation Records'!$E$152:$E$513,MATCH(RIGHT(L1021,255),RIGHT('Disaggregation Records'!$D$152:$D$513,255),0))),"")</f>
        <v>Gender</v>
      </c>
      <c r="N1021" s="130" t="str">
        <f t="array" ref="N1021">IFERROR(IF(INDEX('Disaggregation Records'!$F$152:$F$513,MATCH(RIGHT(L1021,255),RIGHT('Disaggregation Records'!$D$152:$D$513,255),0))="","",INDEX('Disaggregation Records'!$F$152:$F$513,MATCH(RIGHT(L1021,255),RIGHT('Disaggregation Records'!$D$152:$D$513,255),0))),"")</f>
        <v>Male</v>
      </c>
      <c r="O1021" s="130" t="str">
        <f t="array" ref="O1021">IFERROR(IF(INDEX('Disaggregation Records'!$H$152:$H$513,MATCH(RIGHT(L1021,255),RIGHT('Disaggregation Records'!$D$152:$D$513,255),0))="","",INDEX('Disaggregation Records'!$H$152:$H$513,MATCH(RIGHT(L1021,255),RIGHT('Disaggregation Records'!$D$152:$D$513,255),0))),"")</f>
        <v>IDR-01298</v>
      </c>
      <c r="P1021" s="130"/>
      <c r="Q1021" s="52">
        <f t="shared" ref="Q1021" si="1202">Q1019+1</f>
        <v>1695</v>
      </c>
    </row>
    <row r="1022" spans="1:17" ht="36.75" customHeight="1" x14ac:dyDescent="0.25">
      <c r="A1022" s="130"/>
      <c r="B1022" s="602"/>
      <c r="C1022" s="604"/>
      <c r="D1022" s="606"/>
      <c r="E1022" s="606"/>
      <c r="F1022" s="132">
        <v>10041</v>
      </c>
      <c r="G1022" s="608"/>
      <c r="H1022" s="598"/>
      <c r="I1022" s="600"/>
      <c r="J1022" s="532"/>
      <c r="K1022" s="130"/>
      <c r="L1022" s="130"/>
      <c r="M1022" s="130"/>
      <c r="N1022" s="130"/>
      <c r="O1022" s="130"/>
      <c r="P1022" s="130"/>
    </row>
    <row r="1023" spans="1:17" ht="20.100000000000001" customHeight="1" x14ac:dyDescent="0.25">
      <c r="A1023" s="130" t="str">
        <f t="shared" ca="1" si="1190"/>
        <v>a16Dm000000LZclIAG</v>
      </c>
      <c r="B1023" s="601">
        <v>11</v>
      </c>
      <c r="C1023" s="603" t="str">
        <f>IFERROR(VLOOKUP(B1023,'Coverage Indicators - Section D'!$A$9:$AO$70,41,FALSE),"")</f>
        <v>TCS-1.1⁽ᴹ⁾ Percentage of people on ART among all people living with HIV at the end of the reporting period</v>
      </c>
      <c r="D1023" s="605" t="str">
        <f>M1023</f>
        <v>Gender</v>
      </c>
      <c r="E1023" s="605" t="str">
        <f>N1023</f>
        <v>Female</v>
      </c>
      <c r="F1023" s="131">
        <v>2625</v>
      </c>
      <c r="G1023" s="607">
        <f ca="1">IF(OR(INDIRECT("'update Helper'!E"&amp;Q1023)="",F1023&lt;&gt;0,F1024&lt;&gt;0),IF(IFERROR((F1023/F1024),"")="","",(F1023/F1024)),INDIRECT("'update Helper'!E"&amp;Q1023)/100)</f>
        <v>0.26142814460711084</v>
      </c>
      <c r="H1023" s="597">
        <v>2022</v>
      </c>
      <c r="I1023" s="599" t="s">
        <v>2247</v>
      </c>
      <c r="J1023" s="531" t="s">
        <v>2248</v>
      </c>
      <c r="K1023" s="130">
        <f>IF(AND(EXACT(C1023,C1021),C1021&lt;&gt;0),K1021+1,0)</f>
        <v>1</v>
      </c>
      <c r="L1023" s="130" t="str">
        <f t="shared" ref="L1023" si="1203">IF(C1023&lt;&gt;"",C1023&amp;"-"&amp;K1023,"")</f>
        <v>TCS-1.1⁽ᴹ⁾ Percentage of people on ART among all people living with HIV at the end of the reporting period-1</v>
      </c>
      <c r="M1023" s="130" t="str">
        <f t="array" ref="M1023">IFERROR(IF(INDEX('Disaggregation Records'!$E$152:$E$513,MATCH(RIGHT(L1023,255),RIGHT('Disaggregation Records'!$D$152:$D$513,255),0))="","",INDEX('Disaggregation Records'!$E$152:$E$513,MATCH(RIGHT(L1023,255),RIGHT('Disaggregation Records'!$D$152:$D$513,255),0))),"")</f>
        <v>Gender</v>
      </c>
      <c r="N1023" s="130" t="str">
        <f t="array" ref="N1023">IFERROR(IF(INDEX('Disaggregation Records'!$F$152:$F$513,MATCH(RIGHT(L1023,255),RIGHT('Disaggregation Records'!$D$152:$D$513,255),0))="","",INDEX('Disaggregation Records'!$F$152:$F$513,MATCH(RIGHT(L1023,255),RIGHT('Disaggregation Records'!$D$152:$D$513,255),0))),"")</f>
        <v>Female</v>
      </c>
      <c r="O1023" s="130" t="str">
        <f t="array" ref="O1023">IFERROR(IF(INDEX('Disaggregation Records'!$H$152:$H$513,MATCH(RIGHT(L1023,255),RIGHT('Disaggregation Records'!$D$152:$D$513,255),0))="","",INDEX('Disaggregation Records'!$H$152:$H$513,MATCH(RIGHT(L1023,255),RIGHT('Disaggregation Records'!$D$152:$D$513,255),0))),"")</f>
        <v>IDR-01297</v>
      </c>
      <c r="P1023" s="130"/>
      <c r="Q1023" s="52">
        <f t="shared" ref="Q1023" si="1204">Q1021+1</f>
        <v>1696</v>
      </c>
    </row>
    <row r="1024" spans="1:17" ht="33.75" customHeight="1" x14ac:dyDescent="0.25">
      <c r="B1024" s="602"/>
      <c r="C1024" s="604"/>
      <c r="D1024" s="606"/>
      <c r="E1024" s="606"/>
      <c r="F1024" s="132">
        <v>10041</v>
      </c>
      <c r="G1024" s="608"/>
      <c r="H1024" s="598"/>
      <c r="I1024" s="600"/>
      <c r="J1024" s="532"/>
      <c r="K1024" s="130"/>
      <c r="L1024" s="130"/>
      <c r="M1024" s="130"/>
      <c r="N1024" s="130"/>
      <c r="O1024" s="130"/>
      <c r="P1024" s="130"/>
    </row>
    <row r="1025" spans="1:17" ht="20.100000000000001" customHeight="1" x14ac:dyDescent="0.25">
      <c r="A1025" s="130" t="str">
        <f t="shared" ca="1" si="1187"/>
        <v>a16Dm000000LZcmIAG</v>
      </c>
      <c r="B1025" s="601">
        <v>11</v>
      </c>
      <c r="C1025" s="603" t="str">
        <f>IFERROR(VLOOKUP(B1025,'Coverage Indicators - Section D'!$A$9:$AO$70,41,FALSE),"")</f>
        <v>TCS-1.1⁽ᴹ⁾ Percentage of people on ART among all people living with HIV at the end of the reporting period</v>
      </c>
      <c r="D1025" s="605" t="str">
        <f>M1025</f>
        <v/>
      </c>
      <c r="E1025" s="605" t="str">
        <f>N1025</f>
        <v/>
      </c>
      <c r="F1025" s="131"/>
      <c r="G1025" s="607" t="str">
        <f ca="1">IF(OR(INDIRECT("'update Helper'!E"&amp;Q1025)="",F1025&lt;&gt;0,F1026&lt;&gt;0),IF(IFERROR((F1025/F1026),"")="","",(F1025/F1026)),INDIRECT("'update Helper'!E"&amp;Q1025)/100)</f>
        <v/>
      </c>
      <c r="H1025" s="597"/>
      <c r="I1025" s="599"/>
      <c r="J1025" s="531"/>
      <c r="K1025" s="130">
        <f>IF(AND(EXACT(C1025,C1023),C1023&lt;&gt;0),K1023+1,0)</f>
        <v>2</v>
      </c>
      <c r="L1025" s="130" t="str">
        <f t="shared" ref="L1025" si="1205">IF(C1025&lt;&gt;"",C1025&amp;"-"&amp;K1025,"")</f>
        <v>TCS-1.1⁽ᴹ⁾ Percentage of people on ART among all people living with HIV at the end of the reporting period-2</v>
      </c>
      <c r="M1025" s="130" t="str">
        <f t="array" ref="M1025">IFERROR(IF(INDEX('Disaggregation Records'!$E$152:$E$513,MATCH(RIGHT(L1025,255),RIGHT('Disaggregation Records'!$D$152:$D$513,255),0))="","",INDEX('Disaggregation Records'!$E$152:$E$513,MATCH(RIGHT(L1025,255),RIGHT('Disaggregation Records'!$D$152:$D$513,255),0))),"")</f>
        <v/>
      </c>
      <c r="N1025" s="130" t="str">
        <f t="array" ref="N1025">IFERROR(IF(INDEX('Disaggregation Records'!$F$152:$F$513,MATCH(RIGHT(L1025,255),RIGHT('Disaggregation Records'!$D$152:$D$513,255),0))="","",INDEX('Disaggregation Records'!$F$152:$F$513,MATCH(RIGHT(L1025,255),RIGHT('Disaggregation Records'!$D$152:$D$513,255),0))),"")</f>
        <v/>
      </c>
      <c r="O1025" s="130" t="str">
        <f t="array" ref="O1025">IFERROR(IF(INDEX('Disaggregation Records'!$H$152:$H$513,MATCH(RIGHT(L1025,255),RIGHT('Disaggregation Records'!$D$152:$D$513,255),0))="","",INDEX('Disaggregation Records'!$H$152:$H$513,MATCH(RIGHT(L1025,255),RIGHT('Disaggregation Records'!$D$152:$D$513,255),0))),"")</f>
        <v/>
      </c>
      <c r="Q1025" s="52">
        <f t="shared" ref="Q1025" si="1206">Q1023+1</f>
        <v>1697</v>
      </c>
    </row>
    <row r="1026" spans="1:17" ht="20.100000000000001" customHeight="1" x14ac:dyDescent="0.25">
      <c r="A1026" s="130"/>
      <c r="B1026" s="602"/>
      <c r="C1026" s="604"/>
      <c r="D1026" s="606"/>
      <c r="E1026" s="606"/>
      <c r="F1026" s="132"/>
      <c r="G1026" s="608"/>
      <c r="H1026" s="598"/>
      <c r="I1026" s="600"/>
      <c r="J1026" s="532"/>
      <c r="L1026" s="130"/>
      <c r="N1026" s="130"/>
      <c r="O1026" s="130"/>
    </row>
    <row r="1027" spans="1:17" ht="20.100000000000001" customHeight="1" x14ac:dyDescent="0.25">
      <c r="A1027" s="130" t="str">
        <f t="shared" ca="1" si="1190"/>
        <v>a16Dm000000LZcnIAG</v>
      </c>
      <c r="B1027" s="601">
        <v>11</v>
      </c>
      <c r="C1027" s="603" t="str">
        <f>IFERROR(VLOOKUP(B1027,'Coverage Indicators - Section D'!$A$9:$AO$70,41,FALSE),"")</f>
        <v>TCS-1.1⁽ᴹ⁾ Percentage of people on ART among all people living with HIV at the end of the reporting period</v>
      </c>
      <c r="D1027" s="605" t="str">
        <f>M1027</f>
        <v/>
      </c>
      <c r="E1027" s="605" t="str">
        <f>N1027</f>
        <v/>
      </c>
      <c r="F1027" s="131"/>
      <c r="G1027" s="607" t="str">
        <f ca="1">IF(OR(INDIRECT("'update Helper'!E"&amp;Q1027)="",F1027&lt;&gt;0,F1028&lt;&gt;0),IF(IFERROR((F1027/F1028),"")="","",(F1027/F1028)),INDIRECT("'update Helper'!E"&amp;Q1027)/100)</f>
        <v/>
      </c>
      <c r="H1027" s="597"/>
      <c r="I1027" s="599"/>
      <c r="J1027" s="531"/>
      <c r="K1027" s="130">
        <f>IF(AND(EXACT(C1027,C1025),C1025&lt;&gt;0),K1025+1,0)</f>
        <v>3</v>
      </c>
      <c r="L1027" s="130" t="str">
        <f t="shared" ref="L1027" si="1207">IF(C1027&lt;&gt;"",C1027&amp;"-"&amp;K1027,"")</f>
        <v>TCS-1.1⁽ᴹ⁾ Percentage of people on ART among all people living with HIV at the end of the reporting period-3</v>
      </c>
      <c r="M1027" s="130" t="str">
        <f t="array" ref="M1027">IFERROR(IF(INDEX('Disaggregation Records'!$E$152:$E$513,MATCH(RIGHT(L1027,255),RIGHT('Disaggregation Records'!$D$152:$D$513,255),0))="","",INDEX('Disaggregation Records'!$E$152:$E$513,MATCH(RIGHT(L1027,255),RIGHT('Disaggregation Records'!$D$152:$D$513,255),0))),"")</f>
        <v/>
      </c>
      <c r="N1027" s="130" t="str">
        <f t="array" ref="N1027">IFERROR(IF(INDEX('Disaggregation Records'!$F$152:$F$513,MATCH(RIGHT(L1027,255),RIGHT('Disaggregation Records'!$D$152:$D$513,255),0))="","",INDEX('Disaggregation Records'!$F$152:$F$513,MATCH(RIGHT(L1027,255),RIGHT('Disaggregation Records'!$D$152:$D$513,255),0))),"")</f>
        <v/>
      </c>
      <c r="O1027" s="130" t="str">
        <f t="array" ref="O1027">IFERROR(IF(INDEX('Disaggregation Records'!$H$152:$H$513,MATCH(RIGHT(L1027,255),RIGHT('Disaggregation Records'!$D$152:$D$513,255),0))="","",INDEX('Disaggregation Records'!$H$152:$H$513,MATCH(RIGHT(L1027,255),RIGHT('Disaggregation Records'!$D$152:$D$513,255),0))),"")</f>
        <v/>
      </c>
      <c r="Q1027" s="52">
        <f t="shared" ref="Q1027" si="1208">Q1025+1</f>
        <v>1698</v>
      </c>
    </row>
    <row r="1028" spans="1:17" ht="20.100000000000001" customHeight="1" x14ac:dyDescent="0.25">
      <c r="B1028" s="602"/>
      <c r="C1028" s="604"/>
      <c r="D1028" s="606"/>
      <c r="E1028" s="606"/>
      <c r="F1028" s="132"/>
      <c r="G1028" s="608"/>
      <c r="H1028" s="598"/>
      <c r="I1028" s="600"/>
      <c r="J1028" s="532"/>
      <c r="L1028" s="130"/>
      <c r="N1028" s="130"/>
      <c r="O1028" s="130"/>
    </row>
    <row r="1029" spans="1:17" ht="20.100000000000001" customHeight="1" x14ac:dyDescent="0.25">
      <c r="A1029" s="130" t="str">
        <f t="shared" ca="1" si="1187"/>
        <v>a16Dm000000LZcoIAG</v>
      </c>
      <c r="B1029" s="601">
        <v>11</v>
      </c>
      <c r="C1029" s="603" t="str">
        <f>IFERROR(VLOOKUP(B1029,'Coverage Indicators - Section D'!$A$9:$AO$70,41,FALSE),"")</f>
        <v>TCS-1.1⁽ᴹ⁾ Percentage of people on ART among all people living with HIV at the end of the reporting period</v>
      </c>
      <c r="D1029" s="605" t="str">
        <f>M1029</f>
        <v/>
      </c>
      <c r="E1029" s="605" t="str">
        <f>N1029</f>
        <v/>
      </c>
      <c r="F1029" s="131"/>
      <c r="G1029" s="607" t="str">
        <f ca="1">IF(OR(INDIRECT("'update Helper'!E"&amp;Q1029)="",F1029&lt;&gt;0,F1030&lt;&gt;0),IF(IFERROR((F1029/F1030),"")="","",(F1029/F1030)),INDIRECT("'update Helper'!E"&amp;Q1029)/100)</f>
        <v/>
      </c>
      <c r="H1029" s="597"/>
      <c r="I1029" s="599"/>
      <c r="J1029" s="531"/>
      <c r="K1029" s="130">
        <f>IF(AND(EXACT(C1029,C1027),C1027&lt;&gt;0),K1027+1,0)</f>
        <v>4</v>
      </c>
      <c r="L1029" s="130" t="str">
        <f t="shared" ref="L1029" si="1209">IF(C1029&lt;&gt;"",C1029&amp;"-"&amp;K1029,"")</f>
        <v>TCS-1.1⁽ᴹ⁾ Percentage of people on ART among all people living with HIV at the end of the reporting period-4</v>
      </c>
      <c r="M1029" s="130" t="str">
        <f t="array" ref="M1029">IFERROR(IF(INDEX('Disaggregation Records'!$E$152:$E$513,MATCH(RIGHT(L1029,255),RIGHT('Disaggregation Records'!$D$152:$D$513,255),0))="","",INDEX('Disaggregation Records'!$E$152:$E$513,MATCH(RIGHT(L1029,255),RIGHT('Disaggregation Records'!$D$152:$D$513,255),0))),"")</f>
        <v/>
      </c>
      <c r="N1029" s="130" t="str">
        <f t="array" ref="N1029">IFERROR(IF(INDEX('Disaggregation Records'!$F$152:$F$513,MATCH(RIGHT(L1029,255),RIGHT('Disaggregation Records'!$D$152:$D$513,255),0))="","",INDEX('Disaggregation Records'!$F$152:$F$513,MATCH(RIGHT(L1029,255),RIGHT('Disaggregation Records'!$D$152:$D$513,255),0))),"")</f>
        <v/>
      </c>
      <c r="O1029" s="130" t="str">
        <f t="array" ref="O1029">IFERROR(IF(INDEX('Disaggregation Records'!$H$152:$H$513,MATCH(RIGHT(L1029,255),RIGHT('Disaggregation Records'!$D$152:$D$513,255),0))="","",INDEX('Disaggregation Records'!$H$152:$H$513,MATCH(RIGHT(L1029,255),RIGHT('Disaggregation Records'!$D$152:$D$513,255),0))),"")</f>
        <v/>
      </c>
      <c r="Q1029" s="52">
        <f t="shared" ref="Q1029" si="1210">Q1027+1</f>
        <v>1699</v>
      </c>
    </row>
    <row r="1030" spans="1:17" ht="20.100000000000001" customHeight="1" x14ac:dyDescent="0.25">
      <c r="A1030" s="130"/>
      <c r="B1030" s="602"/>
      <c r="C1030" s="604"/>
      <c r="D1030" s="606"/>
      <c r="E1030" s="606"/>
      <c r="F1030" s="132"/>
      <c r="G1030" s="608"/>
      <c r="H1030" s="598"/>
      <c r="I1030" s="600"/>
      <c r="J1030" s="532"/>
      <c r="L1030" s="130"/>
      <c r="N1030" s="130"/>
      <c r="O1030" s="130"/>
    </row>
    <row r="1031" spans="1:17" ht="20.100000000000001" customHeight="1" x14ac:dyDescent="0.25">
      <c r="A1031" s="130" t="str">
        <f t="shared" ca="1" si="1190"/>
        <v>a16Dm000000LZcpIAG</v>
      </c>
      <c r="B1031" s="601">
        <v>11</v>
      </c>
      <c r="C1031" s="603" t="str">
        <f>IFERROR(VLOOKUP(B1031,'Coverage Indicators - Section D'!$A$9:$AO$70,41,FALSE),"")</f>
        <v>TCS-1.1⁽ᴹ⁾ Percentage of people on ART among all people living with HIV at the end of the reporting period</v>
      </c>
      <c r="D1031" s="605" t="str">
        <f>M1031</f>
        <v/>
      </c>
      <c r="E1031" s="605" t="str">
        <f>N1031</f>
        <v/>
      </c>
      <c r="F1031" s="131"/>
      <c r="G1031" s="607" t="str">
        <f ca="1">IF(OR(INDIRECT("'update Helper'!E"&amp;Q1031)="",F1031&lt;&gt;0,F1032&lt;&gt;0),IF(IFERROR((F1031/F1032),"")="","",(F1031/F1032)),INDIRECT("'update Helper'!E"&amp;Q1031)/100)</f>
        <v/>
      </c>
      <c r="H1031" s="597"/>
      <c r="I1031" s="599"/>
      <c r="J1031" s="531"/>
      <c r="K1031" s="130">
        <f>IF(AND(EXACT(C1031,C1029),C1029&lt;&gt;0),K1029+1,0)</f>
        <v>5</v>
      </c>
      <c r="L1031" s="130" t="str">
        <f t="shared" ref="L1031" si="1211">IF(C1031&lt;&gt;"",C1031&amp;"-"&amp;K1031,"")</f>
        <v>TCS-1.1⁽ᴹ⁾ Percentage of people on ART among all people living with HIV at the end of the reporting period-5</v>
      </c>
      <c r="M1031" s="130" t="str">
        <f t="array" ref="M1031">IFERROR(IF(INDEX('Disaggregation Records'!$E$152:$E$513,MATCH(RIGHT(L1031,255),RIGHT('Disaggregation Records'!$D$152:$D$513,255),0))="","",INDEX('Disaggregation Records'!$E$152:$E$513,MATCH(RIGHT(L1031,255),RIGHT('Disaggregation Records'!$D$152:$D$513,255),0))),"")</f>
        <v/>
      </c>
      <c r="N1031" s="130" t="str">
        <f t="array" ref="N1031">IFERROR(IF(INDEX('Disaggregation Records'!$F$152:$F$513,MATCH(RIGHT(L1031,255),RIGHT('Disaggregation Records'!$D$152:$D$513,255),0))="","",INDEX('Disaggregation Records'!$F$152:$F$513,MATCH(RIGHT(L1031,255),RIGHT('Disaggregation Records'!$D$152:$D$513,255),0))),"")</f>
        <v/>
      </c>
      <c r="O1031" s="130" t="str">
        <f t="array" ref="O1031">IFERROR(IF(INDEX('Disaggregation Records'!$H$152:$H$513,MATCH(RIGHT(L1031,255),RIGHT('Disaggregation Records'!$D$152:$D$513,255),0))="","",INDEX('Disaggregation Records'!$H$152:$H$513,MATCH(RIGHT(L1031,255),RIGHT('Disaggregation Records'!$D$152:$D$513,255),0))),"")</f>
        <v/>
      </c>
      <c r="P1031" s="130"/>
      <c r="Q1031" s="52">
        <f t="shared" ref="Q1031" si="1212">Q1029+1</f>
        <v>1700</v>
      </c>
    </row>
    <row r="1032" spans="1:17" ht="20.100000000000001" customHeight="1" x14ac:dyDescent="0.25">
      <c r="B1032" s="602"/>
      <c r="C1032" s="604"/>
      <c r="D1032" s="606"/>
      <c r="E1032" s="606"/>
      <c r="F1032" s="132"/>
      <c r="G1032" s="608"/>
      <c r="H1032" s="598"/>
      <c r="I1032" s="600"/>
      <c r="J1032" s="532"/>
      <c r="K1032" s="130"/>
      <c r="L1032" s="130"/>
      <c r="M1032" s="130"/>
      <c r="N1032" s="130"/>
      <c r="O1032" s="130"/>
      <c r="P1032" s="130"/>
    </row>
    <row r="1033" spans="1:17" ht="20.100000000000001" customHeight="1" x14ac:dyDescent="0.25">
      <c r="A1033" s="130" t="str">
        <f t="shared" ca="1" si="1187"/>
        <v>a16Dm000000LZcqIAG</v>
      </c>
      <c r="B1033" s="601">
        <v>11</v>
      </c>
      <c r="C1033" s="603" t="str">
        <f>IFERROR(VLOOKUP(B1033,'Coverage Indicators - Section D'!$A$9:$AO$70,41,FALSE),"")</f>
        <v>TCS-1.1⁽ᴹ⁾ Percentage of people on ART among all people living with HIV at the end of the reporting period</v>
      </c>
      <c r="D1033" s="605" t="str">
        <f>M1033</f>
        <v/>
      </c>
      <c r="E1033" s="605" t="str">
        <f>N1033</f>
        <v/>
      </c>
      <c r="F1033" s="131"/>
      <c r="G1033" s="607" t="str">
        <f ca="1">IF(OR(INDIRECT("'update Helper'!E"&amp;Q1033)="",F1033&lt;&gt;0,F1034&lt;&gt;0),IF(IFERROR((F1033/F1034),"")="","",(F1033/F1034)),INDIRECT("'update Helper'!E"&amp;Q1033)/100)</f>
        <v/>
      </c>
      <c r="H1033" s="597"/>
      <c r="I1033" s="599"/>
      <c r="J1033" s="531"/>
      <c r="K1033" s="130">
        <f>IF(AND(EXACT(C1033,C1031),C1031&lt;&gt;0),K1031+1,0)</f>
        <v>6</v>
      </c>
      <c r="L1033" s="130" t="str">
        <f t="shared" ref="L1033" si="1213">IF(C1033&lt;&gt;"",C1033&amp;"-"&amp;K1033,"")</f>
        <v>TCS-1.1⁽ᴹ⁾ Percentage of people on ART among all people living with HIV at the end of the reporting period-6</v>
      </c>
      <c r="M1033" s="130" t="str">
        <f t="array" ref="M1033">IFERROR(IF(INDEX('Disaggregation Records'!$E$152:$E$513,MATCH(RIGHT(L1033,255),RIGHT('Disaggregation Records'!$D$152:$D$513,255),0))="","",INDEX('Disaggregation Records'!$E$152:$E$513,MATCH(RIGHT(L1033,255),RIGHT('Disaggregation Records'!$D$152:$D$513,255),0))),"")</f>
        <v/>
      </c>
      <c r="N1033" s="130" t="str">
        <f t="array" ref="N1033">IFERROR(IF(INDEX('Disaggregation Records'!$F$152:$F$513,MATCH(RIGHT(L1033,255),RIGHT('Disaggregation Records'!$D$152:$D$513,255),0))="","",INDEX('Disaggregation Records'!$F$152:$F$513,MATCH(RIGHT(L1033,255),RIGHT('Disaggregation Records'!$D$152:$D$513,255),0))),"")</f>
        <v/>
      </c>
      <c r="O1033" s="130" t="str">
        <f t="array" ref="O1033">IFERROR(IF(INDEX('Disaggregation Records'!$H$152:$H$513,MATCH(RIGHT(L1033,255),RIGHT('Disaggregation Records'!$D$152:$D$513,255),0))="","",INDEX('Disaggregation Records'!$H$152:$H$513,MATCH(RIGHT(L1033,255),RIGHT('Disaggregation Records'!$D$152:$D$513,255),0))),"")</f>
        <v/>
      </c>
      <c r="P1033" s="130"/>
      <c r="Q1033" s="52">
        <f t="shared" ref="Q1033" si="1214">Q1031+1</f>
        <v>1701</v>
      </c>
    </row>
    <row r="1034" spans="1:17" ht="20.100000000000001" customHeight="1" x14ac:dyDescent="0.25">
      <c r="A1034" s="130"/>
      <c r="B1034" s="602"/>
      <c r="C1034" s="604"/>
      <c r="D1034" s="606"/>
      <c r="E1034" s="606"/>
      <c r="F1034" s="132"/>
      <c r="G1034" s="608"/>
      <c r="H1034" s="598"/>
      <c r="I1034" s="600"/>
      <c r="J1034" s="532"/>
      <c r="K1034" s="130"/>
      <c r="L1034" s="130"/>
      <c r="M1034" s="130"/>
      <c r="N1034" s="130"/>
      <c r="O1034" s="130"/>
      <c r="P1034" s="130"/>
    </row>
    <row r="1035" spans="1:17" ht="20.100000000000001" customHeight="1" x14ac:dyDescent="0.25">
      <c r="A1035" s="130" t="str">
        <f t="shared" ca="1" si="1190"/>
        <v>a16Dm000000LZcrIAG</v>
      </c>
      <c r="B1035" s="601">
        <v>11</v>
      </c>
      <c r="C1035" s="603" t="str">
        <f>IFERROR(VLOOKUP(B1035,'Coverage Indicators - Section D'!$A$9:$AO$70,41,FALSE),"")</f>
        <v>TCS-1.1⁽ᴹ⁾ Percentage of people on ART among all people living with HIV at the end of the reporting period</v>
      </c>
      <c r="D1035" s="605" t="str">
        <f>M1035</f>
        <v/>
      </c>
      <c r="E1035" s="605" t="str">
        <f>N1035</f>
        <v/>
      </c>
      <c r="F1035" s="131"/>
      <c r="G1035" s="607" t="str">
        <f ca="1">IF(OR(INDIRECT("'update Helper'!E"&amp;Q1035)="",F1035&lt;&gt;0,F1036&lt;&gt;0),IF(IFERROR((F1035/F1036),"")="","",(F1035/F1036)),INDIRECT("'update Helper'!E"&amp;Q1035)/100)</f>
        <v/>
      </c>
      <c r="H1035" s="597"/>
      <c r="I1035" s="599"/>
      <c r="J1035" s="531"/>
      <c r="K1035" s="130">
        <f>IF(AND(EXACT(C1035,C1033),C1033&lt;&gt;0),K1033+1,0)</f>
        <v>7</v>
      </c>
      <c r="L1035" s="130" t="str">
        <f t="shared" ref="L1035" si="1215">IF(C1035&lt;&gt;"",C1035&amp;"-"&amp;K1035,"")</f>
        <v>TCS-1.1⁽ᴹ⁾ Percentage of people on ART among all people living with HIV at the end of the reporting period-7</v>
      </c>
      <c r="M1035" s="130" t="str">
        <f t="array" ref="M1035">IFERROR(IF(INDEX('Disaggregation Records'!$E$152:$E$513,MATCH(RIGHT(L1035,255),RIGHT('Disaggregation Records'!$D$152:$D$513,255),0))="","",INDEX('Disaggregation Records'!$E$152:$E$513,MATCH(RIGHT(L1035,255),RIGHT('Disaggregation Records'!$D$152:$D$513,255),0))),"")</f>
        <v/>
      </c>
      <c r="N1035" s="130" t="str">
        <f t="array" ref="N1035">IFERROR(IF(INDEX('Disaggregation Records'!$F$152:$F$513,MATCH(RIGHT(L1035,255),RIGHT('Disaggregation Records'!$D$152:$D$513,255),0))="","",INDEX('Disaggregation Records'!$F$152:$F$513,MATCH(RIGHT(L1035,255),RIGHT('Disaggregation Records'!$D$152:$D$513,255),0))),"")</f>
        <v/>
      </c>
      <c r="O1035" s="130" t="str">
        <f t="array" ref="O1035">IFERROR(IF(INDEX('Disaggregation Records'!$H$152:$H$513,MATCH(RIGHT(L1035,255),RIGHT('Disaggregation Records'!$D$152:$D$513,255),0))="","",INDEX('Disaggregation Records'!$H$152:$H$513,MATCH(RIGHT(L1035,255),RIGHT('Disaggregation Records'!$D$152:$D$513,255),0))),"")</f>
        <v/>
      </c>
      <c r="Q1035" s="52">
        <f t="shared" ref="Q1035" si="1216">Q1033+1</f>
        <v>1702</v>
      </c>
    </row>
    <row r="1036" spans="1:17" ht="20.100000000000001" customHeight="1" x14ac:dyDescent="0.25">
      <c r="B1036" s="602"/>
      <c r="C1036" s="604"/>
      <c r="D1036" s="606"/>
      <c r="E1036" s="606"/>
      <c r="F1036" s="132"/>
      <c r="G1036" s="608"/>
      <c r="H1036" s="598"/>
      <c r="I1036" s="600"/>
      <c r="J1036" s="532"/>
      <c r="L1036" s="130"/>
      <c r="N1036" s="130"/>
      <c r="O1036" s="130"/>
    </row>
    <row r="1037" spans="1:17" ht="20.100000000000001" customHeight="1" x14ac:dyDescent="0.25">
      <c r="A1037" s="130" t="str">
        <f t="shared" ca="1" si="1187"/>
        <v>a16Dm000000LZcsIAG</v>
      </c>
      <c r="B1037" s="601">
        <v>11</v>
      </c>
      <c r="C1037" s="603" t="str">
        <f>IFERROR(VLOOKUP(B1037,'Coverage Indicators - Section D'!$A$9:$AO$70,41,FALSE),"")</f>
        <v>TCS-1.1⁽ᴹ⁾ Percentage of people on ART among all people living with HIV at the end of the reporting period</v>
      </c>
      <c r="D1037" s="605" t="str">
        <f>M1037</f>
        <v/>
      </c>
      <c r="E1037" s="605" t="str">
        <f>N1037</f>
        <v/>
      </c>
      <c r="F1037" s="131"/>
      <c r="G1037" s="607" t="str">
        <f ca="1">IF(OR(INDIRECT("'update Helper'!E"&amp;Q1037)="",F1037&lt;&gt;0,F1038&lt;&gt;0),IF(IFERROR((F1037/F1038),"")="","",(F1037/F1038)),INDIRECT("'update Helper'!E"&amp;Q1037)/100)</f>
        <v/>
      </c>
      <c r="H1037" s="597"/>
      <c r="I1037" s="599"/>
      <c r="J1037" s="531"/>
      <c r="K1037" s="130">
        <f>IF(AND(EXACT(C1037,C1035),C1035&lt;&gt;0),K1035+1,0)</f>
        <v>8</v>
      </c>
      <c r="L1037" s="130" t="str">
        <f t="shared" ref="L1037" si="1217">IF(C1037&lt;&gt;"",C1037&amp;"-"&amp;K1037,"")</f>
        <v>TCS-1.1⁽ᴹ⁾ Percentage of people on ART among all people living with HIV at the end of the reporting period-8</v>
      </c>
      <c r="M1037" s="130" t="str">
        <f t="array" ref="M1037">IFERROR(IF(INDEX('Disaggregation Records'!$E$152:$E$513,MATCH(RIGHT(L1037,255),RIGHT('Disaggregation Records'!$D$152:$D$513,255),0))="","",INDEX('Disaggregation Records'!$E$152:$E$513,MATCH(RIGHT(L1037,255),RIGHT('Disaggregation Records'!$D$152:$D$513,255),0))),"")</f>
        <v/>
      </c>
      <c r="N1037" s="130" t="str">
        <f t="array" ref="N1037">IFERROR(IF(INDEX('Disaggregation Records'!$F$152:$F$513,MATCH(RIGHT(L1037,255),RIGHT('Disaggregation Records'!$D$152:$D$513,255),0))="","",INDEX('Disaggregation Records'!$F$152:$F$513,MATCH(RIGHT(L1037,255),RIGHT('Disaggregation Records'!$D$152:$D$513,255),0))),"")</f>
        <v/>
      </c>
      <c r="O1037" s="130" t="str">
        <f t="array" ref="O1037">IFERROR(IF(INDEX('Disaggregation Records'!$H$152:$H$513,MATCH(RIGHT(L1037,255),RIGHT('Disaggregation Records'!$D$152:$D$513,255),0))="","",INDEX('Disaggregation Records'!$H$152:$H$513,MATCH(RIGHT(L1037,255),RIGHT('Disaggregation Records'!$D$152:$D$513,255),0))),"")</f>
        <v/>
      </c>
      <c r="Q1037" s="52">
        <f t="shared" ref="Q1037" si="1218">Q1035+1</f>
        <v>1703</v>
      </c>
    </row>
    <row r="1038" spans="1:17" ht="20.100000000000001" customHeight="1" x14ac:dyDescent="0.25">
      <c r="A1038" s="130"/>
      <c r="B1038" s="602"/>
      <c r="C1038" s="604"/>
      <c r="D1038" s="606"/>
      <c r="E1038" s="606"/>
      <c r="F1038" s="132"/>
      <c r="G1038" s="608"/>
      <c r="H1038" s="598"/>
      <c r="I1038" s="600"/>
      <c r="J1038" s="532"/>
      <c r="L1038" s="130"/>
      <c r="N1038" s="130"/>
      <c r="O1038" s="130"/>
    </row>
    <row r="1039" spans="1:17" ht="20.100000000000001" customHeight="1" x14ac:dyDescent="0.25">
      <c r="A1039" s="130" t="str">
        <f t="shared" ca="1" si="1190"/>
        <v>a16Dm000000LZctIAG</v>
      </c>
      <c r="B1039" s="601">
        <v>11</v>
      </c>
      <c r="C1039" s="603" t="str">
        <f>IFERROR(VLOOKUP(B1039,'Coverage Indicators - Section D'!$A$9:$AO$70,41,FALSE),"")</f>
        <v>TCS-1.1⁽ᴹ⁾ Percentage of people on ART among all people living with HIV at the end of the reporting period</v>
      </c>
      <c r="D1039" s="605" t="str">
        <f>M1039</f>
        <v/>
      </c>
      <c r="E1039" s="605" t="str">
        <f>N1039</f>
        <v/>
      </c>
      <c r="F1039" s="131"/>
      <c r="G1039" s="607" t="str">
        <f ca="1">IF(OR(INDIRECT("'update Helper'!E"&amp;Q1039)="",F1039&lt;&gt;0,F1040&lt;&gt;0),IF(IFERROR((F1039/F1040),"")="","",(F1039/F1040)),INDIRECT("'update Helper'!E"&amp;Q1039)/100)</f>
        <v/>
      </c>
      <c r="H1039" s="597"/>
      <c r="I1039" s="599"/>
      <c r="J1039" s="531"/>
      <c r="K1039" s="130">
        <f>IF(AND(EXACT(C1039,C1037),C1037&lt;&gt;0),K1037+1,0)</f>
        <v>9</v>
      </c>
      <c r="L1039" s="130" t="str">
        <f t="shared" ref="L1039" si="1219">IF(C1039&lt;&gt;"",C1039&amp;"-"&amp;K1039,"")</f>
        <v>TCS-1.1⁽ᴹ⁾ Percentage of people on ART among all people living with HIV at the end of the reporting period-9</v>
      </c>
      <c r="M1039" s="130" t="str">
        <f t="array" ref="M1039">IFERROR(IF(INDEX('Disaggregation Records'!$E$152:$E$513,MATCH(RIGHT(L1039,255),RIGHT('Disaggregation Records'!$D$152:$D$513,255),0))="","",INDEX('Disaggregation Records'!$E$152:$E$513,MATCH(RIGHT(L1039,255),RIGHT('Disaggregation Records'!$D$152:$D$513,255),0))),"")</f>
        <v/>
      </c>
      <c r="N1039" s="130" t="str">
        <f t="array" ref="N1039">IFERROR(IF(INDEX('Disaggregation Records'!$F$152:$F$513,MATCH(RIGHT(L1039,255),RIGHT('Disaggregation Records'!$D$152:$D$513,255),0))="","",INDEX('Disaggregation Records'!$F$152:$F$513,MATCH(RIGHT(L1039,255),RIGHT('Disaggregation Records'!$D$152:$D$513,255),0))),"")</f>
        <v/>
      </c>
      <c r="O1039" s="130" t="str">
        <f t="array" ref="O1039">IFERROR(IF(INDEX('Disaggregation Records'!$H$152:$H$513,MATCH(RIGHT(L1039,255),RIGHT('Disaggregation Records'!$D$152:$D$513,255),0))="","",INDEX('Disaggregation Records'!$H$152:$H$513,MATCH(RIGHT(L1039,255),RIGHT('Disaggregation Records'!$D$152:$D$513,255),0))),"")</f>
        <v/>
      </c>
      <c r="Q1039" s="52">
        <f t="shared" ref="Q1039" si="1220">Q1037+1</f>
        <v>1704</v>
      </c>
    </row>
    <row r="1040" spans="1:17" ht="20.100000000000001" customHeight="1" x14ac:dyDescent="0.25">
      <c r="B1040" s="602"/>
      <c r="C1040" s="604"/>
      <c r="D1040" s="606"/>
      <c r="E1040" s="606"/>
      <c r="F1040" s="132"/>
      <c r="G1040" s="608"/>
      <c r="H1040" s="598"/>
      <c r="I1040" s="600"/>
      <c r="J1040" s="532"/>
      <c r="L1040" s="130"/>
      <c r="N1040" s="130"/>
      <c r="O1040" s="130"/>
    </row>
    <row r="1041" spans="1:17" ht="20.100000000000001" customHeight="1" x14ac:dyDescent="0.25">
      <c r="A1041" s="130" t="str">
        <f t="shared" ca="1" si="1187"/>
        <v>a16Dm000000LZcuIAG</v>
      </c>
      <c r="B1041" s="601">
        <v>11</v>
      </c>
      <c r="C1041" s="603" t="str">
        <f>IFERROR(VLOOKUP(B1041,'Coverage Indicators - Section D'!$A$9:$AO$70,41,FALSE),"")</f>
        <v>TCS-1.1⁽ᴹ⁾ Percentage of people on ART among all people living with HIV at the end of the reporting period</v>
      </c>
      <c r="D1041" s="605" t="str">
        <f>M1041</f>
        <v/>
      </c>
      <c r="E1041" s="605" t="str">
        <f>N1041</f>
        <v/>
      </c>
      <c r="F1041" s="131"/>
      <c r="G1041" s="607" t="str">
        <f ca="1">IF(OR(INDIRECT("'update Helper'!E"&amp;Q1041)="",F1041&lt;&gt;0,F1042&lt;&gt;0),IF(IFERROR((F1041/F1042),"")="","",(F1041/F1042)),INDIRECT("'update Helper'!E"&amp;Q1041)/100)</f>
        <v/>
      </c>
      <c r="H1041" s="597"/>
      <c r="I1041" s="599"/>
      <c r="J1041" s="531"/>
      <c r="K1041" s="130">
        <f>IF(AND(EXACT(C1041,C1039),C1039&lt;&gt;0),K1039+1,0)</f>
        <v>10</v>
      </c>
      <c r="L1041" s="130" t="str">
        <f t="shared" ref="L1041" si="1221">IF(C1041&lt;&gt;"",C1041&amp;"-"&amp;K1041,"")</f>
        <v>TCS-1.1⁽ᴹ⁾ Percentage of people on ART among all people living with HIV at the end of the reporting period-10</v>
      </c>
      <c r="M1041" s="130" t="str">
        <f t="array" ref="M1041">IFERROR(IF(INDEX('Disaggregation Records'!$E$152:$E$513,MATCH(RIGHT(L1041,255),RIGHT('Disaggregation Records'!$D$152:$D$513,255),0))="","",INDEX('Disaggregation Records'!$E$152:$E$513,MATCH(RIGHT(L1041,255),RIGHT('Disaggregation Records'!$D$152:$D$513,255),0))),"")</f>
        <v/>
      </c>
      <c r="N1041" s="130" t="str">
        <f t="array" ref="N1041">IFERROR(IF(INDEX('Disaggregation Records'!$F$152:$F$513,MATCH(RIGHT(L1041,255),RIGHT('Disaggregation Records'!$D$152:$D$513,255),0))="","",INDEX('Disaggregation Records'!$F$152:$F$513,MATCH(RIGHT(L1041,255),RIGHT('Disaggregation Records'!$D$152:$D$513,255),0))),"")</f>
        <v/>
      </c>
      <c r="O1041" s="130" t="str">
        <f t="array" ref="O1041">IFERROR(IF(INDEX('Disaggregation Records'!$H$152:$H$513,MATCH(RIGHT(L1041,255),RIGHT('Disaggregation Records'!$D$152:$D$513,255),0))="","",INDEX('Disaggregation Records'!$H$152:$H$513,MATCH(RIGHT(L1041,255),RIGHT('Disaggregation Records'!$D$152:$D$513,255),0))),"")</f>
        <v/>
      </c>
      <c r="P1041" s="130"/>
      <c r="Q1041" s="52">
        <f t="shared" ref="Q1041" si="1222">Q1039+1</f>
        <v>1705</v>
      </c>
    </row>
    <row r="1042" spans="1:17" ht="20.100000000000001" customHeight="1" x14ac:dyDescent="0.25">
      <c r="A1042" s="130"/>
      <c r="B1042" s="602"/>
      <c r="C1042" s="604"/>
      <c r="D1042" s="606"/>
      <c r="E1042" s="606"/>
      <c r="F1042" s="132"/>
      <c r="G1042" s="608"/>
      <c r="H1042" s="598"/>
      <c r="I1042" s="600"/>
      <c r="J1042" s="532"/>
      <c r="K1042" s="130"/>
      <c r="L1042" s="130"/>
      <c r="M1042" s="130"/>
      <c r="N1042" s="130"/>
      <c r="O1042" s="130"/>
      <c r="P1042" s="130"/>
    </row>
    <row r="1043" spans="1:17" ht="20.100000000000001" customHeight="1" x14ac:dyDescent="0.25">
      <c r="A1043" s="130" t="str">
        <f t="shared" ca="1" si="1190"/>
        <v>a16Dm000000LZcvIAG</v>
      </c>
      <c r="B1043" s="601">
        <v>11</v>
      </c>
      <c r="C1043" s="603" t="str">
        <f>IFERROR(VLOOKUP(B1043,'Coverage Indicators - Section D'!$A$9:$AO$70,41,FALSE),"")</f>
        <v>TCS-1.1⁽ᴹ⁾ Percentage of people on ART among all people living with HIV at the end of the reporting period</v>
      </c>
      <c r="D1043" s="605" t="str">
        <f>M1043</f>
        <v/>
      </c>
      <c r="E1043" s="605" t="str">
        <f>N1043</f>
        <v/>
      </c>
      <c r="F1043" s="131"/>
      <c r="G1043" s="607" t="str">
        <f ca="1">IF(OR(INDIRECT("'update Helper'!E"&amp;Q1043)="",F1043&lt;&gt;0,F1044&lt;&gt;0),IF(IFERROR((F1043/F1044),"")="","",(F1043/F1044)),INDIRECT("'update Helper'!E"&amp;Q1043)/100)</f>
        <v/>
      </c>
      <c r="H1043" s="597"/>
      <c r="I1043" s="599"/>
      <c r="J1043" s="531"/>
      <c r="K1043" s="130">
        <f>IF(AND(EXACT(C1043,C1041),C1041&lt;&gt;0),K1041+1,0)</f>
        <v>11</v>
      </c>
      <c r="L1043" s="130" t="str">
        <f t="shared" ref="L1043" si="1223">IF(C1043&lt;&gt;"",C1043&amp;"-"&amp;K1043,"")</f>
        <v>TCS-1.1⁽ᴹ⁾ Percentage of people on ART among all people living with HIV at the end of the reporting period-11</v>
      </c>
      <c r="M1043" s="130" t="str">
        <f t="array" ref="M1043">IFERROR(IF(INDEX('Disaggregation Records'!$E$152:$E$513,MATCH(RIGHT(L1043,255),RIGHT('Disaggregation Records'!$D$152:$D$513,255),0))="","",INDEX('Disaggregation Records'!$E$152:$E$513,MATCH(RIGHT(L1043,255),RIGHT('Disaggregation Records'!$D$152:$D$513,255),0))),"")</f>
        <v/>
      </c>
      <c r="N1043" s="130" t="str">
        <f t="array" ref="N1043">IFERROR(IF(INDEX('Disaggregation Records'!$F$152:$F$513,MATCH(RIGHT(L1043,255),RIGHT('Disaggregation Records'!$D$152:$D$513,255),0))="","",INDEX('Disaggregation Records'!$F$152:$F$513,MATCH(RIGHT(L1043,255),RIGHT('Disaggregation Records'!$D$152:$D$513,255),0))),"")</f>
        <v/>
      </c>
      <c r="O1043" s="130" t="str">
        <f t="array" ref="O1043">IFERROR(IF(INDEX('Disaggregation Records'!$H$152:$H$513,MATCH(RIGHT(L1043,255),RIGHT('Disaggregation Records'!$D$152:$D$513,255),0))="","",INDEX('Disaggregation Records'!$H$152:$H$513,MATCH(RIGHT(L1043,255),RIGHT('Disaggregation Records'!$D$152:$D$513,255),0))),"")</f>
        <v/>
      </c>
      <c r="P1043" s="130"/>
      <c r="Q1043" s="52">
        <f t="shared" ref="Q1043" si="1224">Q1041+1</f>
        <v>1706</v>
      </c>
    </row>
    <row r="1044" spans="1:17" ht="20.100000000000001" customHeight="1" x14ac:dyDescent="0.25">
      <c r="B1044" s="602"/>
      <c r="C1044" s="604"/>
      <c r="D1044" s="606"/>
      <c r="E1044" s="606"/>
      <c r="F1044" s="132"/>
      <c r="G1044" s="608"/>
      <c r="H1044" s="598"/>
      <c r="I1044" s="600"/>
      <c r="J1044" s="532"/>
      <c r="K1044" s="130"/>
      <c r="L1044" s="130"/>
      <c r="M1044" s="130"/>
      <c r="N1044" s="130"/>
      <c r="O1044" s="130"/>
      <c r="P1044" s="130"/>
    </row>
    <row r="1045" spans="1:17" ht="20.100000000000001" customHeight="1" x14ac:dyDescent="0.25">
      <c r="A1045" s="130" t="str">
        <f t="shared" ca="1" si="1187"/>
        <v>a16Dm000000LZcwIAG</v>
      </c>
      <c r="B1045" s="601">
        <v>11</v>
      </c>
      <c r="C1045" s="603" t="str">
        <f>IFERROR(VLOOKUP(B1045,'Coverage Indicators - Section D'!$A$9:$AO$70,41,FALSE),"")</f>
        <v>TCS-1.1⁽ᴹ⁾ Percentage of people on ART among all people living with HIV at the end of the reporting period</v>
      </c>
      <c r="D1045" s="605" t="str">
        <f>M1045</f>
        <v/>
      </c>
      <c r="E1045" s="605" t="str">
        <f>N1045</f>
        <v/>
      </c>
      <c r="F1045" s="131"/>
      <c r="G1045" s="607" t="str">
        <f ca="1">IF(OR(INDIRECT("'update Helper'!E"&amp;Q1045)="",F1045&lt;&gt;0,F1046&lt;&gt;0),IF(IFERROR((F1045/F1046),"")="","",(F1045/F1046)),INDIRECT("'update Helper'!E"&amp;Q1045)/100)</f>
        <v/>
      </c>
      <c r="H1045" s="597"/>
      <c r="I1045" s="599"/>
      <c r="J1045" s="531"/>
      <c r="K1045" s="130">
        <f>IF(AND(EXACT(C1045,C1043),C1043&lt;&gt;0),K1043+1,0)</f>
        <v>12</v>
      </c>
      <c r="L1045" s="130" t="str">
        <f t="shared" ref="L1045" si="1225">IF(C1045&lt;&gt;"",C1045&amp;"-"&amp;K1045,"")</f>
        <v>TCS-1.1⁽ᴹ⁾ Percentage of people on ART among all people living with HIV at the end of the reporting period-12</v>
      </c>
      <c r="M1045" s="130" t="str">
        <f t="array" ref="M1045">IFERROR(IF(INDEX('Disaggregation Records'!$E$152:$E$513,MATCH(RIGHT(L1045,255),RIGHT('Disaggregation Records'!$D$152:$D$513,255),0))="","",INDEX('Disaggregation Records'!$E$152:$E$513,MATCH(RIGHT(L1045,255),RIGHT('Disaggregation Records'!$D$152:$D$513,255),0))),"")</f>
        <v/>
      </c>
      <c r="N1045" s="130" t="str">
        <f t="array" ref="N1045">IFERROR(IF(INDEX('Disaggregation Records'!$F$152:$F$513,MATCH(RIGHT(L1045,255),RIGHT('Disaggregation Records'!$D$152:$D$513,255),0))="","",INDEX('Disaggregation Records'!$F$152:$F$513,MATCH(RIGHT(L1045,255),RIGHT('Disaggregation Records'!$D$152:$D$513,255),0))),"")</f>
        <v/>
      </c>
      <c r="O1045" s="130" t="str">
        <f t="array" ref="O1045">IFERROR(IF(INDEX('Disaggregation Records'!$H$152:$H$513,MATCH(RIGHT(L1045,255),RIGHT('Disaggregation Records'!$D$152:$D$513,255),0))="","",INDEX('Disaggregation Records'!$H$152:$H$513,MATCH(RIGHT(L1045,255),RIGHT('Disaggregation Records'!$D$152:$D$513,255),0))),"")</f>
        <v/>
      </c>
      <c r="Q1045" s="52">
        <f t="shared" ref="Q1045" si="1226">Q1043+1</f>
        <v>1707</v>
      </c>
    </row>
    <row r="1046" spans="1:17" ht="20.100000000000001" customHeight="1" x14ac:dyDescent="0.25">
      <c r="A1046" s="130"/>
      <c r="B1046" s="602"/>
      <c r="C1046" s="604"/>
      <c r="D1046" s="606"/>
      <c r="E1046" s="606"/>
      <c r="F1046" s="132"/>
      <c r="G1046" s="608"/>
      <c r="H1046" s="598"/>
      <c r="I1046" s="600"/>
      <c r="J1046" s="532"/>
      <c r="L1046" s="130"/>
      <c r="N1046" s="130"/>
      <c r="O1046" s="130"/>
    </row>
    <row r="1047" spans="1:17" ht="20.100000000000001" customHeight="1" x14ac:dyDescent="0.25">
      <c r="A1047" s="130" t="str">
        <f t="shared" ca="1" si="1190"/>
        <v>a16Dm000000LZcxIAG</v>
      </c>
      <c r="B1047" s="601">
        <v>11</v>
      </c>
      <c r="C1047" s="603" t="str">
        <f>IFERROR(VLOOKUP(B1047,'Coverage Indicators - Section D'!$A$9:$AO$70,41,FALSE),"")</f>
        <v>TCS-1.1⁽ᴹ⁾ Percentage of people on ART among all people living with HIV at the end of the reporting period</v>
      </c>
      <c r="D1047" s="605" t="str">
        <f>M1047</f>
        <v/>
      </c>
      <c r="E1047" s="605" t="str">
        <f>N1047</f>
        <v/>
      </c>
      <c r="F1047" s="131"/>
      <c r="G1047" s="607" t="str">
        <f ca="1">IF(OR(INDIRECT("'update Helper'!E"&amp;Q1047)="",F1047&lt;&gt;0,F1048&lt;&gt;0),IF(IFERROR((F1047/F1048),"")="","",(F1047/F1048)),INDIRECT("'update Helper'!E"&amp;Q1047)/100)</f>
        <v/>
      </c>
      <c r="H1047" s="597"/>
      <c r="I1047" s="599"/>
      <c r="J1047" s="531"/>
      <c r="K1047" s="130">
        <f>IF(AND(EXACT(C1047,C1045),C1045&lt;&gt;0),K1045+1,0)</f>
        <v>13</v>
      </c>
      <c r="L1047" s="130" t="str">
        <f t="shared" ref="L1047" si="1227">IF(C1047&lt;&gt;"",C1047&amp;"-"&amp;K1047,"")</f>
        <v>TCS-1.1⁽ᴹ⁾ Percentage of people on ART among all people living with HIV at the end of the reporting period-13</v>
      </c>
      <c r="M1047" s="130" t="str">
        <f t="array" ref="M1047">IFERROR(IF(INDEX('Disaggregation Records'!$E$152:$E$513,MATCH(RIGHT(L1047,255),RIGHT('Disaggregation Records'!$D$152:$D$513,255),0))="","",INDEX('Disaggregation Records'!$E$152:$E$513,MATCH(RIGHT(L1047,255),RIGHT('Disaggregation Records'!$D$152:$D$513,255),0))),"")</f>
        <v/>
      </c>
      <c r="N1047" s="130" t="str">
        <f t="array" ref="N1047">IFERROR(IF(INDEX('Disaggregation Records'!$F$152:$F$513,MATCH(RIGHT(L1047,255),RIGHT('Disaggregation Records'!$D$152:$D$513,255),0))="","",INDEX('Disaggregation Records'!$F$152:$F$513,MATCH(RIGHT(L1047,255),RIGHT('Disaggregation Records'!$D$152:$D$513,255),0))),"")</f>
        <v/>
      </c>
      <c r="O1047" s="130" t="str">
        <f t="array" ref="O1047">IFERROR(IF(INDEX('Disaggregation Records'!$H$152:$H$513,MATCH(RIGHT(L1047,255),RIGHT('Disaggregation Records'!$D$152:$D$513,255),0))="","",INDEX('Disaggregation Records'!$H$152:$H$513,MATCH(RIGHT(L1047,255),RIGHT('Disaggregation Records'!$D$152:$D$513,255),0))),"")</f>
        <v/>
      </c>
      <c r="Q1047" s="52">
        <f t="shared" ref="Q1047" si="1228">Q1045+1</f>
        <v>1708</v>
      </c>
    </row>
    <row r="1048" spans="1:17" ht="20.100000000000001" customHeight="1" x14ac:dyDescent="0.25">
      <c r="B1048" s="602"/>
      <c r="C1048" s="604"/>
      <c r="D1048" s="606"/>
      <c r="E1048" s="606"/>
      <c r="F1048" s="132"/>
      <c r="G1048" s="608"/>
      <c r="H1048" s="598"/>
      <c r="I1048" s="600"/>
      <c r="J1048" s="532"/>
      <c r="L1048" s="130"/>
      <c r="N1048" s="130"/>
      <c r="O1048" s="130"/>
    </row>
    <row r="1049" spans="1:17" ht="20.100000000000001" customHeight="1" x14ac:dyDescent="0.25">
      <c r="A1049" s="130" t="str">
        <f t="shared" ca="1" si="1187"/>
        <v>a16Dm000000LZcyIAG</v>
      </c>
      <c r="B1049" s="601">
        <v>11</v>
      </c>
      <c r="C1049" s="603" t="str">
        <f>IFERROR(VLOOKUP(B1049,'Coverage Indicators - Section D'!$A$9:$AO$70,41,FALSE),"")</f>
        <v>TCS-1.1⁽ᴹ⁾ Percentage of people on ART among all people living with HIV at the end of the reporting period</v>
      </c>
      <c r="D1049" s="605" t="str">
        <f>M1049</f>
        <v/>
      </c>
      <c r="E1049" s="605" t="str">
        <f>N1049</f>
        <v/>
      </c>
      <c r="F1049" s="131"/>
      <c r="G1049" s="607" t="str">
        <f ca="1">IF(OR(INDIRECT("'update Helper'!E"&amp;Q1049)="",F1049&lt;&gt;0,F1050&lt;&gt;0),IF(IFERROR((F1049/F1050),"")="","",(F1049/F1050)),INDIRECT("'update Helper'!E"&amp;Q1049)/100)</f>
        <v/>
      </c>
      <c r="H1049" s="597"/>
      <c r="I1049" s="599"/>
      <c r="J1049" s="531"/>
      <c r="K1049" s="130">
        <f>IF(AND(EXACT(C1049,C1047),C1047&lt;&gt;0),K1047+1,0)</f>
        <v>14</v>
      </c>
      <c r="L1049" s="130" t="str">
        <f t="shared" ref="L1049" si="1229">IF(C1049&lt;&gt;"",C1049&amp;"-"&amp;K1049,"")</f>
        <v>TCS-1.1⁽ᴹ⁾ Percentage of people on ART among all people living with HIV at the end of the reporting period-14</v>
      </c>
      <c r="M1049" s="130" t="str">
        <f t="array" ref="M1049">IFERROR(IF(INDEX('Disaggregation Records'!$E$152:$E$513,MATCH(RIGHT(L1049,255),RIGHT('Disaggregation Records'!$D$152:$D$513,255),0))="","",INDEX('Disaggregation Records'!$E$152:$E$513,MATCH(RIGHT(L1049,255),RIGHT('Disaggregation Records'!$D$152:$D$513,255),0))),"")</f>
        <v/>
      </c>
      <c r="N1049" s="130" t="str">
        <f t="array" ref="N1049">IFERROR(IF(INDEX('Disaggregation Records'!$F$152:$F$513,MATCH(RIGHT(L1049,255),RIGHT('Disaggregation Records'!$D$152:$D$513,255),0))="","",INDEX('Disaggregation Records'!$F$152:$F$513,MATCH(RIGHT(L1049,255),RIGHT('Disaggregation Records'!$D$152:$D$513,255),0))),"")</f>
        <v/>
      </c>
      <c r="O1049" s="130" t="str">
        <f t="array" ref="O1049">IFERROR(IF(INDEX('Disaggregation Records'!$H$152:$H$513,MATCH(RIGHT(L1049,255),RIGHT('Disaggregation Records'!$D$152:$D$513,255),0))="","",INDEX('Disaggregation Records'!$H$152:$H$513,MATCH(RIGHT(L1049,255),RIGHT('Disaggregation Records'!$D$152:$D$513,255),0))),"")</f>
        <v/>
      </c>
      <c r="Q1049" s="52">
        <f t="shared" ref="Q1049" si="1230">Q1047+1</f>
        <v>1709</v>
      </c>
    </row>
    <row r="1050" spans="1:17" ht="20.100000000000001" customHeight="1" x14ac:dyDescent="0.25">
      <c r="A1050" s="130"/>
      <c r="B1050" s="602"/>
      <c r="C1050" s="604"/>
      <c r="D1050" s="606"/>
      <c r="E1050" s="606"/>
      <c r="F1050" s="132"/>
      <c r="G1050" s="608"/>
      <c r="H1050" s="598"/>
      <c r="I1050" s="600"/>
      <c r="J1050" s="532"/>
      <c r="L1050" s="130"/>
      <c r="N1050" s="130"/>
      <c r="O1050" s="130"/>
    </row>
    <row r="1051" spans="1:17" ht="20.100000000000001" customHeight="1" x14ac:dyDescent="0.25">
      <c r="A1051" s="130" t="str">
        <f t="shared" ca="1" si="1190"/>
        <v>a16Dm000000LZczIAG</v>
      </c>
      <c r="B1051" s="601">
        <v>11</v>
      </c>
      <c r="C1051" s="603" t="str">
        <f>IFERROR(VLOOKUP(B1051,'Coverage Indicators - Section D'!$A$9:$AO$70,41,FALSE),"")</f>
        <v>TCS-1.1⁽ᴹ⁾ Percentage of people on ART among all people living with HIV at the end of the reporting period</v>
      </c>
      <c r="D1051" s="605" t="str">
        <f>M1051</f>
        <v/>
      </c>
      <c r="E1051" s="605" t="str">
        <f>N1051</f>
        <v/>
      </c>
      <c r="F1051" s="131"/>
      <c r="G1051" s="607" t="str">
        <f ca="1">IF(OR(INDIRECT("'update Helper'!E"&amp;Q1051)="",F1051&lt;&gt;0,F1052&lt;&gt;0),IF(IFERROR((F1051/F1052),"")="","",(F1051/F1052)),INDIRECT("'update Helper'!E"&amp;Q1051)/100)</f>
        <v/>
      </c>
      <c r="H1051" s="597"/>
      <c r="I1051" s="599"/>
      <c r="J1051" s="531"/>
      <c r="K1051" s="130">
        <f>IF(AND(EXACT(C1051,C1049),C1049&lt;&gt;0),K1049+1,0)</f>
        <v>15</v>
      </c>
      <c r="L1051" s="130" t="str">
        <f t="shared" ref="L1051" si="1231">IF(C1051&lt;&gt;"",C1051&amp;"-"&amp;K1051,"")</f>
        <v>TCS-1.1⁽ᴹ⁾ Percentage of people on ART among all people living with HIV at the end of the reporting period-15</v>
      </c>
      <c r="M1051" s="130" t="str">
        <f t="array" ref="M1051">IFERROR(IF(INDEX('Disaggregation Records'!$E$152:$E$513,MATCH(RIGHT(L1051,255),RIGHT('Disaggregation Records'!$D$152:$D$513,255),0))="","",INDEX('Disaggregation Records'!$E$152:$E$513,MATCH(RIGHT(L1051,255),RIGHT('Disaggregation Records'!$D$152:$D$513,255),0))),"")</f>
        <v/>
      </c>
      <c r="N1051" s="130" t="str">
        <f t="array" ref="N1051">IFERROR(IF(INDEX('Disaggregation Records'!$F$152:$F$513,MATCH(RIGHT(L1051,255),RIGHT('Disaggregation Records'!$D$152:$D$513,255),0))="","",INDEX('Disaggregation Records'!$F$152:$F$513,MATCH(RIGHT(L1051,255),RIGHT('Disaggregation Records'!$D$152:$D$513,255),0))),"")</f>
        <v/>
      </c>
      <c r="O1051" s="130" t="str">
        <f t="array" ref="O1051">IFERROR(IF(INDEX('Disaggregation Records'!$H$152:$H$513,MATCH(RIGHT(L1051,255),RIGHT('Disaggregation Records'!$D$152:$D$513,255),0))="","",INDEX('Disaggregation Records'!$H$152:$H$513,MATCH(RIGHT(L1051,255),RIGHT('Disaggregation Records'!$D$152:$D$513,255),0))),"")</f>
        <v/>
      </c>
      <c r="P1051" s="130"/>
      <c r="Q1051" s="52">
        <f t="shared" ref="Q1051" si="1232">Q1049+1</f>
        <v>1710</v>
      </c>
    </row>
    <row r="1052" spans="1:17" ht="20.100000000000001" customHeight="1" x14ac:dyDescent="0.25">
      <c r="B1052" s="602"/>
      <c r="C1052" s="604"/>
      <c r="D1052" s="606"/>
      <c r="E1052" s="606"/>
      <c r="F1052" s="132"/>
      <c r="G1052" s="608"/>
      <c r="H1052" s="598"/>
      <c r="I1052" s="600"/>
      <c r="J1052" s="532"/>
      <c r="K1052" s="130"/>
      <c r="L1052" s="130"/>
      <c r="M1052" s="130"/>
      <c r="N1052" s="130"/>
      <c r="O1052" s="130"/>
      <c r="P1052" s="130"/>
    </row>
    <row r="1053" spans="1:17" ht="20.100000000000001" customHeight="1" x14ac:dyDescent="0.25">
      <c r="A1053" s="130" t="str">
        <f t="shared" ca="1" si="1187"/>
        <v>a16Dm000000LZd0IAG</v>
      </c>
      <c r="B1053" s="601">
        <v>11</v>
      </c>
      <c r="C1053" s="603" t="str">
        <f>IFERROR(VLOOKUP(B1053,'Coverage Indicators - Section D'!$A$9:$AO$70,41,FALSE),"")</f>
        <v>TCS-1.1⁽ᴹ⁾ Percentage of people on ART among all people living with HIV at the end of the reporting period</v>
      </c>
      <c r="D1053" s="605" t="str">
        <f>M1053</f>
        <v/>
      </c>
      <c r="E1053" s="605" t="str">
        <f>N1053</f>
        <v/>
      </c>
      <c r="F1053" s="131"/>
      <c r="G1053" s="607" t="str">
        <f ca="1">IF(OR(INDIRECT("'update Helper'!E"&amp;Q1053)="",F1053&lt;&gt;0,F1054&lt;&gt;0),IF(IFERROR((F1053/F1054),"")="","",(F1053/F1054)),INDIRECT("'update Helper'!E"&amp;Q1053)/100)</f>
        <v/>
      </c>
      <c r="H1053" s="597"/>
      <c r="I1053" s="599"/>
      <c r="J1053" s="531"/>
      <c r="K1053" s="130">
        <f>IF(AND(EXACT(C1053,C1051),C1051&lt;&gt;0),K1051+1,0)</f>
        <v>16</v>
      </c>
      <c r="L1053" s="130" t="str">
        <f t="shared" ref="L1053" si="1233">IF(C1053&lt;&gt;"",C1053&amp;"-"&amp;K1053,"")</f>
        <v>TCS-1.1⁽ᴹ⁾ Percentage of people on ART among all people living with HIV at the end of the reporting period-16</v>
      </c>
      <c r="M1053" s="130" t="str">
        <f t="array" ref="M1053">IFERROR(IF(INDEX('Disaggregation Records'!$E$152:$E$513,MATCH(RIGHT(L1053,255),RIGHT('Disaggregation Records'!$D$152:$D$513,255),0))="","",INDEX('Disaggregation Records'!$E$152:$E$513,MATCH(RIGHT(L1053,255),RIGHT('Disaggregation Records'!$D$152:$D$513,255),0))),"")</f>
        <v/>
      </c>
      <c r="N1053" s="130" t="str">
        <f t="array" ref="N1053">IFERROR(IF(INDEX('Disaggregation Records'!$F$152:$F$513,MATCH(RIGHT(L1053,255),RIGHT('Disaggregation Records'!$D$152:$D$513,255),0))="","",INDEX('Disaggregation Records'!$F$152:$F$513,MATCH(RIGHT(L1053,255),RIGHT('Disaggregation Records'!$D$152:$D$513,255),0))),"")</f>
        <v/>
      </c>
      <c r="O1053" s="130" t="str">
        <f t="array" ref="O1053">IFERROR(IF(INDEX('Disaggregation Records'!$H$152:$H$513,MATCH(RIGHT(L1053,255),RIGHT('Disaggregation Records'!$D$152:$D$513,255),0))="","",INDEX('Disaggregation Records'!$H$152:$H$513,MATCH(RIGHT(L1053,255),RIGHT('Disaggregation Records'!$D$152:$D$513,255),0))),"")</f>
        <v/>
      </c>
      <c r="P1053" s="130"/>
      <c r="Q1053" s="52">
        <f t="shared" ref="Q1053" si="1234">Q1051+1</f>
        <v>1711</v>
      </c>
    </row>
    <row r="1054" spans="1:17" ht="20.100000000000001" customHeight="1" x14ac:dyDescent="0.25">
      <c r="A1054" s="130"/>
      <c r="B1054" s="602"/>
      <c r="C1054" s="604"/>
      <c r="D1054" s="606"/>
      <c r="E1054" s="606"/>
      <c r="F1054" s="132"/>
      <c r="G1054" s="608"/>
      <c r="H1054" s="598"/>
      <c r="I1054" s="600"/>
      <c r="J1054" s="532"/>
      <c r="K1054" s="130"/>
      <c r="L1054" s="130"/>
      <c r="M1054" s="130"/>
      <c r="N1054" s="130"/>
      <c r="O1054" s="130"/>
      <c r="P1054" s="130"/>
    </row>
    <row r="1055" spans="1:17" ht="20.100000000000001" customHeight="1" x14ac:dyDescent="0.25">
      <c r="A1055" s="130" t="str">
        <f t="shared" ca="1" si="1190"/>
        <v>a16Dm000000LZd1IAG</v>
      </c>
      <c r="B1055" s="601">
        <v>11</v>
      </c>
      <c r="C1055" s="603" t="str">
        <f>IFERROR(VLOOKUP(B1055,'Coverage Indicators - Section D'!$A$9:$AO$70,41,FALSE),"")</f>
        <v>TCS-1.1⁽ᴹ⁾ Percentage of people on ART among all people living with HIV at the end of the reporting period</v>
      </c>
      <c r="D1055" s="605" t="str">
        <f>M1055</f>
        <v/>
      </c>
      <c r="E1055" s="605" t="str">
        <f>N1055</f>
        <v/>
      </c>
      <c r="F1055" s="131"/>
      <c r="G1055" s="607" t="str">
        <f ca="1">IF(OR(INDIRECT("'update Helper'!E"&amp;Q1055)="",F1055&lt;&gt;0,F1056&lt;&gt;0),IF(IFERROR((F1055/F1056),"")="","",(F1055/F1056)),INDIRECT("'update Helper'!E"&amp;Q1055)/100)</f>
        <v/>
      </c>
      <c r="H1055" s="597"/>
      <c r="I1055" s="599"/>
      <c r="J1055" s="531"/>
      <c r="K1055" s="130">
        <f>IF(AND(EXACT(C1055,C1053),C1053&lt;&gt;0),K1053+1,0)</f>
        <v>17</v>
      </c>
      <c r="L1055" s="130" t="str">
        <f t="shared" ref="L1055" si="1235">IF(C1055&lt;&gt;"",C1055&amp;"-"&amp;K1055,"")</f>
        <v>TCS-1.1⁽ᴹ⁾ Percentage of people on ART among all people living with HIV at the end of the reporting period-17</v>
      </c>
      <c r="M1055" s="130" t="str">
        <f t="array" ref="M1055">IFERROR(IF(INDEX('Disaggregation Records'!$E$152:$E$513,MATCH(RIGHT(L1055,255),RIGHT('Disaggregation Records'!$D$152:$D$513,255),0))="","",INDEX('Disaggregation Records'!$E$152:$E$513,MATCH(RIGHT(L1055,255),RIGHT('Disaggregation Records'!$D$152:$D$513,255),0))),"")</f>
        <v/>
      </c>
      <c r="N1055" s="130" t="str">
        <f t="array" ref="N1055">IFERROR(IF(INDEX('Disaggregation Records'!$F$152:$F$513,MATCH(RIGHT(L1055,255),RIGHT('Disaggregation Records'!$D$152:$D$513,255),0))="","",INDEX('Disaggregation Records'!$F$152:$F$513,MATCH(RIGHT(L1055,255),RIGHT('Disaggregation Records'!$D$152:$D$513,255),0))),"")</f>
        <v/>
      </c>
      <c r="O1055" s="130" t="str">
        <f t="array" ref="O1055">IFERROR(IF(INDEX('Disaggregation Records'!$H$152:$H$513,MATCH(RIGHT(L1055,255),RIGHT('Disaggregation Records'!$D$152:$D$513,255),0))="","",INDEX('Disaggregation Records'!$H$152:$H$513,MATCH(RIGHT(L1055,255),RIGHT('Disaggregation Records'!$D$152:$D$513,255),0))),"")</f>
        <v/>
      </c>
      <c r="Q1055" s="52">
        <f t="shared" ref="Q1055" si="1236">Q1053+1</f>
        <v>1712</v>
      </c>
    </row>
    <row r="1056" spans="1:17" ht="20.100000000000001" customHeight="1" x14ac:dyDescent="0.25">
      <c r="B1056" s="602"/>
      <c r="C1056" s="604"/>
      <c r="D1056" s="606"/>
      <c r="E1056" s="606"/>
      <c r="F1056" s="132"/>
      <c r="G1056" s="608"/>
      <c r="H1056" s="598"/>
      <c r="I1056" s="600"/>
      <c r="J1056" s="532"/>
      <c r="L1056" s="130"/>
      <c r="N1056" s="130"/>
      <c r="O1056" s="130"/>
    </row>
    <row r="1057" spans="1:17" ht="20.100000000000001" customHeight="1" x14ac:dyDescent="0.25">
      <c r="A1057" s="130" t="str">
        <f t="shared" ca="1" si="1187"/>
        <v>a16Dm000000LZd2IAG</v>
      </c>
      <c r="B1057" s="601">
        <v>11</v>
      </c>
      <c r="C1057" s="603" t="str">
        <f>IFERROR(VLOOKUP(B1057,'Coverage Indicators - Section D'!$A$9:$AO$70,41,FALSE),"")</f>
        <v>TCS-1.1⁽ᴹ⁾ Percentage of people on ART among all people living with HIV at the end of the reporting period</v>
      </c>
      <c r="D1057" s="605" t="str">
        <f>M1057</f>
        <v/>
      </c>
      <c r="E1057" s="605" t="str">
        <f>N1057</f>
        <v/>
      </c>
      <c r="F1057" s="131"/>
      <c r="G1057" s="607" t="str">
        <f ca="1">IF(OR(INDIRECT("'update Helper'!E"&amp;Q1057)="",F1057&lt;&gt;0,F1058&lt;&gt;0),IF(IFERROR((F1057/F1058),"")="","",(F1057/F1058)),INDIRECT("'update Helper'!E"&amp;Q1057)/100)</f>
        <v/>
      </c>
      <c r="H1057" s="597"/>
      <c r="I1057" s="599"/>
      <c r="J1057" s="531"/>
      <c r="K1057" s="130">
        <f>IF(AND(EXACT(C1057,C1055),C1055&lt;&gt;0),K1055+1,0)</f>
        <v>18</v>
      </c>
      <c r="L1057" s="130" t="str">
        <f t="shared" ref="L1057" si="1237">IF(C1057&lt;&gt;"",C1057&amp;"-"&amp;K1057,"")</f>
        <v>TCS-1.1⁽ᴹ⁾ Percentage of people on ART among all people living with HIV at the end of the reporting period-18</v>
      </c>
      <c r="M1057" s="130" t="str">
        <f t="array" ref="M1057">IFERROR(IF(INDEX('Disaggregation Records'!$E$152:$E$513,MATCH(RIGHT(L1057,255),RIGHT('Disaggregation Records'!$D$152:$D$513,255),0))="","",INDEX('Disaggregation Records'!$E$152:$E$513,MATCH(RIGHT(L1057,255),RIGHT('Disaggregation Records'!$D$152:$D$513,255),0))),"")</f>
        <v/>
      </c>
      <c r="N1057" s="130" t="str">
        <f t="array" ref="N1057">IFERROR(IF(INDEX('Disaggregation Records'!$F$152:$F$513,MATCH(RIGHT(L1057,255),RIGHT('Disaggregation Records'!$D$152:$D$513,255),0))="","",INDEX('Disaggregation Records'!$F$152:$F$513,MATCH(RIGHT(L1057,255),RIGHT('Disaggregation Records'!$D$152:$D$513,255),0))),"")</f>
        <v/>
      </c>
      <c r="O1057" s="130" t="str">
        <f t="array" ref="O1057">IFERROR(IF(INDEX('Disaggregation Records'!$H$152:$H$513,MATCH(RIGHT(L1057,255),RIGHT('Disaggregation Records'!$D$152:$D$513,255),0))="","",INDEX('Disaggregation Records'!$H$152:$H$513,MATCH(RIGHT(L1057,255),RIGHT('Disaggregation Records'!$D$152:$D$513,255),0))),"")</f>
        <v/>
      </c>
      <c r="Q1057" s="52">
        <f t="shared" ref="Q1057" si="1238">Q1055+1</f>
        <v>1713</v>
      </c>
    </row>
    <row r="1058" spans="1:17" ht="20.100000000000001" customHeight="1" x14ac:dyDescent="0.25">
      <c r="A1058" s="130"/>
      <c r="B1058" s="602"/>
      <c r="C1058" s="604"/>
      <c r="D1058" s="606"/>
      <c r="E1058" s="606"/>
      <c r="F1058" s="132"/>
      <c r="G1058" s="608"/>
      <c r="H1058" s="598"/>
      <c r="I1058" s="600"/>
      <c r="J1058" s="532"/>
      <c r="L1058" s="130"/>
      <c r="N1058" s="130"/>
      <c r="O1058" s="130"/>
    </row>
    <row r="1059" spans="1:17" ht="20.100000000000001" customHeight="1" x14ac:dyDescent="0.25">
      <c r="A1059" s="130" t="str">
        <f t="shared" ca="1" si="1190"/>
        <v>a16Dm000000LZd3IAG</v>
      </c>
      <c r="B1059" s="601">
        <v>11</v>
      </c>
      <c r="C1059" s="603" t="str">
        <f>IFERROR(VLOOKUP(B1059,'Coverage Indicators - Section D'!$A$9:$AO$70,41,FALSE),"")</f>
        <v>TCS-1.1⁽ᴹ⁾ Percentage of people on ART among all people living with HIV at the end of the reporting period</v>
      </c>
      <c r="D1059" s="605" t="str">
        <f>M1059</f>
        <v/>
      </c>
      <c r="E1059" s="605" t="str">
        <f>N1059</f>
        <v/>
      </c>
      <c r="F1059" s="131"/>
      <c r="G1059" s="607" t="str">
        <f ca="1">IF(OR(INDIRECT("'update Helper'!E"&amp;Q1059)="",F1059&lt;&gt;0,F1060&lt;&gt;0),IF(IFERROR((F1059/F1060),"")="","",(F1059/F1060)),INDIRECT("'update Helper'!E"&amp;Q1059)/100)</f>
        <v/>
      </c>
      <c r="H1059" s="597"/>
      <c r="I1059" s="599"/>
      <c r="J1059" s="531"/>
      <c r="K1059" s="130">
        <f>IF(AND(EXACT(C1059,C1057),C1057&lt;&gt;0),K1057+1,0)</f>
        <v>19</v>
      </c>
      <c r="L1059" s="130" t="str">
        <f t="shared" ref="L1059" si="1239">IF(C1059&lt;&gt;"",C1059&amp;"-"&amp;K1059,"")</f>
        <v>TCS-1.1⁽ᴹ⁾ Percentage of people on ART among all people living with HIV at the end of the reporting period-19</v>
      </c>
      <c r="M1059" s="130" t="str">
        <f t="array" ref="M1059">IFERROR(IF(INDEX('Disaggregation Records'!$E$152:$E$513,MATCH(RIGHT(L1059,255),RIGHT('Disaggregation Records'!$D$152:$D$513,255),0))="","",INDEX('Disaggregation Records'!$E$152:$E$513,MATCH(RIGHT(L1059,255),RIGHT('Disaggregation Records'!$D$152:$D$513,255),0))),"")</f>
        <v/>
      </c>
      <c r="N1059" s="130" t="str">
        <f t="array" ref="N1059">IFERROR(IF(INDEX('Disaggregation Records'!$F$152:$F$513,MATCH(RIGHT(L1059,255),RIGHT('Disaggregation Records'!$D$152:$D$513,255),0))="","",INDEX('Disaggregation Records'!$F$152:$F$513,MATCH(RIGHT(L1059,255),RIGHT('Disaggregation Records'!$D$152:$D$513,255),0))),"")</f>
        <v/>
      </c>
      <c r="O1059" s="130" t="str">
        <f t="array" ref="O1059">IFERROR(IF(INDEX('Disaggregation Records'!$H$152:$H$513,MATCH(RIGHT(L1059,255),RIGHT('Disaggregation Records'!$D$152:$D$513,255),0))="","",INDEX('Disaggregation Records'!$H$152:$H$513,MATCH(RIGHT(L1059,255),RIGHT('Disaggregation Records'!$D$152:$D$513,255),0))),"")</f>
        <v/>
      </c>
      <c r="Q1059" s="52">
        <f t="shared" ref="Q1059" si="1240">Q1057+1</f>
        <v>1714</v>
      </c>
    </row>
    <row r="1060" spans="1:17" ht="20.100000000000001" customHeight="1" x14ac:dyDescent="0.25">
      <c r="B1060" s="602"/>
      <c r="C1060" s="604"/>
      <c r="D1060" s="606"/>
      <c r="E1060" s="606"/>
      <c r="F1060" s="132"/>
      <c r="G1060" s="608"/>
      <c r="H1060" s="598"/>
      <c r="I1060" s="600"/>
      <c r="J1060" s="532"/>
      <c r="L1060" s="130"/>
      <c r="N1060" s="130"/>
      <c r="O1060" s="130"/>
    </row>
    <row r="1061" spans="1:17" ht="20.100000000000001" customHeight="1" x14ac:dyDescent="0.25">
      <c r="A1061" s="130" t="str">
        <f t="shared" ca="1" si="1187"/>
        <v>a16Dm000000LZd4IAG</v>
      </c>
      <c r="B1061" s="601">
        <v>12</v>
      </c>
      <c r="C1061" s="603" t="str">
        <f>IFERROR(VLOOKUP(B1061,'Coverage Indicators - Section D'!$A$9:$AO$70,41,FALSE),"")</f>
        <v>TCS-1b⁽ᴹ⁾ Percentage of adults (15 and above) on ART among all adults living with HIV at the end of the reporting period</v>
      </c>
      <c r="D1061" s="605" t="str">
        <f>M1061</f>
        <v>Gender</v>
      </c>
      <c r="E1061" s="605" t="str">
        <f>N1061</f>
        <v>Male</v>
      </c>
      <c r="F1061" s="131">
        <v>3057</v>
      </c>
      <c r="G1061" s="607">
        <f ca="1">IF(OR(INDIRECT("'update Helper'!E"&amp;Q1061)="",F1061&lt;&gt;0,F1062&lt;&gt;0),IF(IFERROR((F1061/F1062),"")="","",(F1061/F1062)),INDIRECT("'update Helper'!E"&amp;Q1061)/100)</f>
        <v>0.64168765743073053</v>
      </c>
      <c r="H1061" s="597">
        <v>2022</v>
      </c>
      <c r="I1061" s="599" t="s">
        <v>2247</v>
      </c>
      <c r="J1061" s="617" t="s">
        <v>2249</v>
      </c>
      <c r="K1061" s="130">
        <f>IF(AND(EXACT(C1061,C1059),C1059&lt;&gt;0),K1059+1,0)</f>
        <v>0</v>
      </c>
      <c r="L1061" s="130" t="str">
        <f t="shared" ref="L1061" si="1241">IF(C1061&lt;&gt;"",C1061&amp;"-"&amp;K1061,"")</f>
        <v>TCS-1b⁽ᴹ⁾ Percentage of adults (15 and above) on ART among all adults living with HIV at the end of the reporting period-0</v>
      </c>
      <c r="M1061" s="130" t="str">
        <f t="array" ref="M1061">IFERROR(IF(INDEX('Disaggregation Records'!$E$152:$E$513,MATCH(RIGHT(L1061,255),RIGHT('Disaggregation Records'!$D$152:$D$513,255),0))="","",INDEX('Disaggregation Records'!$E$152:$E$513,MATCH(RIGHT(L1061,255),RIGHT('Disaggregation Records'!$D$152:$D$513,255),0))),"")</f>
        <v>Gender</v>
      </c>
      <c r="N1061" s="130" t="str">
        <f t="array" ref="N1061">IFERROR(IF(INDEX('Disaggregation Records'!$F$152:$F$513,MATCH(RIGHT(L1061,255),RIGHT('Disaggregation Records'!$D$152:$D$513,255),0))="","",INDEX('Disaggregation Records'!$F$152:$F$513,MATCH(RIGHT(L1061,255),RIGHT('Disaggregation Records'!$D$152:$D$513,255),0))),"")</f>
        <v>Male</v>
      </c>
      <c r="O1061" s="130" t="str">
        <f t="array" ref="O1061">IFERROR(IF(INDEX('Disaggregation Records'!$H$152:$H$513,MATCH(RIGHT(L1061,255),RIGHT('Disaggregation Records'!$D$152:$D$513,255),0))="","",INDEX('Disaggregation Records'!$H$152:$H$513,MATCH(RIGHT(L1061,255),RIGHT('Disaggregation Records'!$D$152:$D$513,255),0))),"")</f>
        <v>IDR-01300</v>
      </c>
      <c r="P1061" s="130"/>
      <c r="Q1061" s="52">
        <f t="shared" ref="Q1061" si="1242">Q1059+1</f>
        <v>1715</v>
      </c>
    </row>
    <row r="1062" spans="1:17" ht="35.25" customHeight="1" x14ac:dyDescent="0.25">
      <c r="A1062" s="130"/>
      <c r="B1062" s="602"/>
      <c r="C1062" s="604"/>
      <c r="D1062" s="606"/>
      <c r="E1062" s="606"/>
      <c r="F1062" s="132">
        <v>4764</v>
      </c>
      <c r="G1062" s="608"/>
      <c r="H1062" s="598"/>
      <c r="I1062" s="600"/>
      <c r="J1062" s="532"/>
      <c r="K1062" s="130"/>
      <c r="L1062" s="130"/>
      <c r="M1062" s="130"/>
      <c r="N1062" s="130"/>
      <c r="O1062" s="130"/>
      <c r="P1062" s="130"/>
    </row>
    <row r="1063" spans="1:17" ht="33" customHeight="1" x14ac:dyDescent="0.25">
      <c r="A1063" s="130" t="str">
        <f t="shared" ca="1" si="1190"/>
        <v>a16Dm000000LZd5IAG</v>
      </c>
      <c r="B1063" s="601">
        <v>12</v>
      </c>
      <c r="C1063" s="603" t="str">
        <f>IFERROR(VLOOKUP(B1063,'Coverage Indicators - Section D'!$A$9:$AO$70,41,FALSE),"")</f>
        <v>TCS-1b⁽ᴹ⁾ Percentage of adults (15 and above) on ART among all adults living with HIV at the end of the reporting period</v>
      </c>
      <c r="D1063" s="605" t="str">
        <f>M1063</f>
        <v>Gender</v>
      </c>
      <c r="E1063" s="605" t="str">
        <f>N1063</f>
        <v>Female</v>
      </c>
      <c r="F1063" s="131">
        <v>2547</v>
      </c>
      <c r="G1063" s="607">
        <f ca="1">IF(OR(INDIRECT("'update Helper'!E"&amp;Q1063)="",F1063&lt;&gt;0,F1064&lt;&gt;0),IF(IFERROR((F1063/F1064),"")="","",(F1063/F1064)),INDIRECT("'update Helper'!E"&amp;Q1063)/100)</f>
        <v>0.75871313672922247</v>
      </c>
      <c r="H1063" s="597">
        <v>2022</v>
      </c>
      <c r="I1063" s="599" t="s">
        <v>2247</v>
      </c>
      <c r="J1063" s="617" t="s">
        <v>2250</v>
      </c>
      <c r="K1063" s="130">
        <f>IF(AND(EXACT(C1063,C1061),C1061&lt;&gt;0),K1061+1,0)</f>
        <v>1</v>
      </c>
      <c r="L1063" s="130" t="str">
        <f t="shared" ref="L1063" si="1243">IF(C1063&lt;&gt;"",C1063&amp;"-"&amp;K1063,"")</f>
        <v>TCS-1b⁽ᴹ⁾ Percentage of adults (15 and above) on ART among all adults living with HIV at the end of the reporting period-1</v>
      </c>
      <c r="M1063" s="130" t="str">
        <f t="array" ref="M1063">IFERROR(IF(INDEX('Disaggregation Records'!$E$152:$E$513,MATCH(RIGHT(L1063,255),RIGHT('Disaggregation Records'!$D$152:$D$513,255),0))="","",INDEX('Disaggregation Records'!$E$152:$E$513,MATCH(RIGHT(L1063,255),RIGHT('Disaggregation Records'!$D$152:$D$513,255),0))),"")</f>
        <v>Gender</v>
      </c>
      <c r="N1063" s="130" t="str">
        <f t="array" ref="N1063">IFERROR(IF(INDEX('Disaggregation Records'!$F$152:$F$513,MATCH(RIGHT(L1063,255),RIGHT('Disaggregation Records'!$D$152:$D$513,255),0))="","",INDEX('Disaggregation Records'!$F$152:$F$513,MATCH(RIGHT(L1063,255),RIGHT('Disaggregation Records'!$D$152:$D$513,255),0))),"")</f>
        <v>Female</v>
      </c>
      <c r="O1063" s="130" t="str">
        <f t="array" ref="O1063">IFERROR(IF(INDEX('Disaggregation Records'!$H$152:$H$513,MATCH(RIGHT(L1063,255),RIGHT('Disaggregation Records'!$D$152:$D$513,255),0))="","",INDEX('Disaggregation Records'!$H$152:$H$513,MATCH(RIGHT(L1063,255),RIGHT('Disaggregation Records'!$D$152:$D$513,255),0))),"")</f>
        <v>IDR-01299</v>
      </c>
      <c r="P1063" s="130"/>
      <c r="Q1063" s="52">
        <f t="shared" ref="Q1063" si="1244">Q1061+1</f>
        <v>1716</v>
      </c>
    </row>
    <row r="1064" spans="1:17" ht="20.100000000000001" customHeight="1" x14ac:dyDescent="0.25">
      <c r="B1064" s="602"/>
      <c r="C1064" s="604"/>
      <c r="D1064" s="606"/>
      <c r="E1064" s="606"/>
      <c r="F1064" s="132">
        <v>3357</v>
      </c>
      <c r="G1064" s="608"/>
      <c r="H1064" s="598"/>
      <c r="I1064" s="600"/>
      <c r="J1064" s="532"/>
      <c r="K1064" s="130"/>
      <c r="L1064" s="130"/>
      <c r="M1064" s="130"/>
      <c r="N1064" s="130"/>
      <c r="O1064" s="130"/>
      <c r="P1064" s="130"/>
    </row>
    <row r="1065" spans="1:17" ht="20.100000000000001" customHeight="1" x14ac:dyDescent="0.25">
      <c r="A1065" s="130" t="str">
        <f t="shared" ca="1" si="1187"/>
        <v>a16Dm000000LZd6IAG</v>
      </c>
      <c r="B1065" s="601">
        <v>12</v>
      </c>
      <c r="C1065" s="603" t="str">
        <f>IFERROR(VLOOKUP(B1065,'Coverage Indicators - Section D'!$A$9:$AO$70,41,FALSE),"")</f>
        <v>TCS-1b⁽ᴹ⁾ Percentage of adults (15 and above) on ART among all adults living with HIV at the end of the reporting period</v>
      </c>
      <c r="D1065" s="605" t="str">
        <f>M1065</f>
        <v/>
      </c>
      <c r="E1065" s="605" t="str">
        <f>N1065</f>
        <v/>
      </c>
      <c r="F1065" s="131"/>
      <c r="G1065" s="607" t="str">
        <f ca="1">IF(OR(INDIRECT("'update Helper'!E"&amp;Q1065)="",F1065&lt;&gt;0,F1066&lt;&gt;0),IF(IFERROR((F1065/F1066),"")="","",(F1065/F1066)),INDIRECT("'update Helper'!E"&amp;Q1065)/100)</f>
        <v/>
      </c>
      <c r="H1065" s="597"/>
      <c r="I1065" s="599"/>
      <c r="J1065" s="531"/>
      <c r="K1065" s="130">
        <f>IF(AND(EXACT(C1065,C1063),C1063&lt;&gt;0),K1063+1,0)</f>
        <v>2</v>
      </c>
      <c r="L1065" s="130" t="str">
        <f t="shared" ref="L1065" si="1245">IF(C1065&lt;&gt;"",C1065&amp;"-"&amp;K1065,"")</f>
        <v>TCS-1b⁽ᴹ⁾ Percentage of adults (15 and above) on ART among all adults living with HIV at the end of the reporting period-2</v>
      </c>
      <c r="M1065" s="130" t="str">
        <f t="array" ref="M1065">IFERROR(IF(INDEX('Disaggregation Records'!$E$152:$E$513,MATCH(RIGHT(L1065,255),RIGHT('Disaggregation Records'!$D$152:$D$513,255),0))="","",INDEX('Disaggregation Records'!$E$152:$E$513,MATCH(RIGHT(L1065,255),RIGHT('Disaggregation Records'!$D$152:$D$513,255),0))),"")</f>
        <v/>
      </c>
      <c r="N1065" s="130" t="str">
        <f t="array" ref="N1065">IFERROR(IF(INDEX('Disaggregation Records'!$F$152:$F$513,MATCH(RIGHT(L1065,255),RIGHT('Disaggregation Records'!$D$152:$D$513,255),0))="","",INDEX('Disaggregation Records'!$F$152:$F$513,MATCH(RIGHT(L1065,255),RIGHT('Disaggregation Records'!$D$152:$D$513,255),0))),"")</f>
        <v/>
      </c>
      <c r="O1065" s="130" t="str">
        <f t="array" ref="O1065">IFERROR(IF(INDEX('Disaggregation Records'!$H$152:$H$513,MATCH(RIGHT(L1065,255),RIGHT('Disaggregation Records'!$D$152:$D$513,255),0))="","",INDEX('Disaggregation Records'!$H$152:$H$513,MATCH(RIGHT(L1065,255),RIGHT('Disaggregation Records'!$D$152:$D$513,255),0))),"")</f>
        <v/>
      </c>
      <c r="Q1065" s="52">
        <f t="shared" ref="Q1065" si="1246">Q1063+1</f>
        <v>1717</v>
      </c>
    </row>
    <row r="1066" spans="1:17" ht="20.100000000000001" customHeight="1" x14ac:dyDescent="0.25">
      <c r="A1066" s="130"/>
      <c r="B1066" s="602"/>
      <c r="C1066" s="604"/>
      <c r="D1066" s="606"/>
      <c r="E1066" s="606"/>
      <c r="F1066" s="132"/>
      <c r="G1066" s="608"/>
      <c r="H1066" s="598"/>
      <c r="I1066" s="600"/>
      <c r="J1066" s="532"/>
      <c r="L1066" s="130"/>
      <c r="N1066" s="130"/>
      <c r="O1066" s="130"/>
    </row>
    <row r="1067" spans="1:17" ht="20.100000000000001" customHeight="1" x14ac:dyDescent="0.25">
      <c r="A1067" s="130" t="str">
        <f t="shared" ca="1" si="1190"/>
        <v>a16Dm000000LZd7IAG</v>
      </c>
      <c r="B1067" s="601">
        <v>12</v>
      </c>
      <c r="C1067" s="603" t="str">
        <f>IFERROR(VLOOKUP(B1067,'Coverage Indicators - Section D'!$A$9:$AO$70,41,FALSE),"")</f>
        <v>TCS-1b⁽ᴹ⁾ Percentage of adults (15 and above) on ART among all adults living with HIV at the end of the reporting period</v>
      </c>
      <c r="D1067" s="605" t="str">
        <f>M1067</f>
        <v/>
      </c>
      <c r="E1067" s="605" t="str">
        <f>N1067</f>
        <v/>
      </c>
      <c r="F1067" s="131"/>
      <c r="G1067" s="607" t="str">
        <f ca="1">IF(OR(INDIRECT("'update Helper'!E"&amp;Q1067)="",F1067&lt;&gt;0,F1068&lt;&gt;0),IF(IFERROR((F1067/F1068),"")="","",(F1067/F1068)),INDIRECT("'update Helper'!E"&amp;Q1067)/100)</f>
        <v/>
      </c>
      <c r="H1067" s="597"/>
      <c r="I1067" s="599"/>
      <c r="J1067" s="531"/>
      <c r="K1067" s="130">
        <f>IF(AND(EXACT(C1067,C1065),C1065&lt;&gt;0),K1065+1,0)</f>
        <v>3</v>
      </c>
      <c r="L1067" s="130" t="str">
        <f t="shared" ref="L1067" si="1247">IF(C1067&lt;&gt;"",C1067&amp;"-"&amp;K1067,"")</f>
        <v>TCS-1b⁽ᴹ⁾ Percentage of adults (15 and above) on ART among all adults living with HIV at the end of the reporting period-3</v>
      </c>
      <c r="M1067" s="130" t="str">
        <f t="array" ref="M1067">IFERROR(IF(INDEX('Disaggregation Records'!$E$152:$E$513,MATCH(RIGHT(L1067,255),RIGHT('Disaggregation Records'!$D$152:$D$513,255),0))="","",INDEX('Disaggregation Records'!$E$152:$E$513,MATCH(RIGHT(L1067,255),RIGHT('Disaggregation Records'!$D$152:$D$513,255),0))),"")</f>
        <v/>
      </c>
      <c r="N1067" s="130" t="str">
        <f t="array" ref="N1067">IFERROR(IF(INDEX('Disaggregation Records'!$F$152:$F$513,MATCH(RIGHT(L1067,255),RIGHT('Disaggregation Records'!$D$152:$D$513,255),0))="","",INDEX('Disaggregation Records'!$F$152:$F$513,MATCH(RIGHT(L1067,255),RIGHT('Disaggregation Records'!$D$152:$D$513,255),0))),"")</f>
        <v/>
      </c>
      <c r="O1067" s="130" t="str">
        <f t="array" ref="O1067">IFERROR(IF(INDEX('Disaggregation Records'!$H$152:$H$513,MATCH(RIGHT(L1067,255),RIGHT('Disaggregation Records'!$D$152:$D$513,255),0))="","",INDEX('Disaggregation Records'!$H$152:$H$513,MATCH(RIGHT(L1067,255),RIGHT('Disaggregation Records'!$D$152:$D$513,255),0))),"")</f>
        <v/>
      </c>
      <c r="Q1067" s="52">
        <f t="shared" ref="Q1067" si="1248">Q1065+1</f>
        <v>1718</v>
      </c>
    </row>
    <row r="1068" spans="1:17" ht="20.100000000000001" customHeight="1" x14ac:dyDescent="0.25">
      <c r="B1068" s="602"/>
      <c r="C1068" s="604"/>
      <c r="D1068" s="606"/>
      <c r="E1068" s="606"/>
      <c r="F1068" s="132"/>
      <c r="G1068" s="608"/>
      <c r="H1068" s="598"/>
      <c r="I1068" s="600"/>
      <c r="J1068" s="532"/>
      <c r="L1068" s="130"/>
      <c r="N1068" s="130"/>
      <c r="O1068" s="130"/>
    </row>
    <row r="1069" spans="1:17" ht="20.100000000000001" customHeight="1" x14ac:dyDescent="0.25">
      <c r="A1069" s="130" t="str">
        <f t="shared" ca="1" si="1187"/>
        <v>a16Dm000000LZd8IAG</v>
      </c>
      <c r="B1069" s="601">
        <v>12</v>
      </c>
      <c r="C1069" s="603" t="str">
        <f>IFERROR(VLOOKUP(B1069,'Coverage Indicators - Section D'!$A$9:$AO$70,41,FALSE),"")</f>
        <v>TCS-1b⁽ᴹ⁾ Percentage of adults (15 and above) on ART among all adults living with HIV at the end of the reporting period</v>
      </c>
      <c r="D1069" s="605" t="str">
        <f>M1069</f>
        <v/>
      </c>
      <c r="E1069" s="605" t="str">
        <f>N1069</f>
        <v/>
      </c>
      <c r="F1069" s="131"/>
      <c r="G1069" s="607" t="str">
        <f ca="1">IF(OR(INDIRECT("'update Helper'!E"&amp;Q1069)="",F1069&lt;&gt;0,F1070&lt;&gt;0),IF(IFERROR((F1069/F1070),"")="","",(F1069/F1070)),INDIRECT("'update Helper'!E"&amp;Q1069)/100)</f>
        <v/>
      </c>
      <c r="H1069" s="597"/>
      <c r="I1069" s="599"/>
      <c r="J1069" s="531"/>
      <c r="K1069" s="130">
        <f>IF(AND(EXACT(C1069,C1067),C1067&lt;&gt;0),K1067+1,0)</f>
        <v>4</v>
      </c>
      <c r="L1069" s="130" t="str">
        <f t="shared" ref="L1069" si="1249">IF(C1069&lt;&gt;"",C1069&amp;"-"&amp;K1069,"")</f>
        <v>TCS-1b⁽ᴹ⁾ Percentage of adults (15 and above) on ART among all adults living with HIV at the end of the reporting period-4</v>
      </c>
      <c r="M1069" s="130" t="str">
        <f t="array" ref="M1069">IFERROR(IF(INDEX('Disaggregation Records'!$E$152:$E$513,MATCH(RIGHT(L1069,255),RIGHT('Disaggregation Records'!$D$152:$D$513,255),0))="","",INDEX('Disaggregation Records'!$E$152:$E$513,MATCH(RIGHT(L1069,255),RIGHT('Disaggregation Records'!$D$152:$D$513,255),0))),"")</f>
        <v/>
      </c>
      <c r="N1069" s="130" t="str">
        <f t="array" ref="N1069">IFERROR(IF(INDEX('Disaggregation Records'!$F$152:$F$513,MATCH(RIGHT(L1069,255),RIGHT('Disaggregation Records'!$D$152:$D$513,255),0))="","",INDEX('Disaggregation Records'!$F$152:$F$513,MATCH(RIGHT(L1069,255),RIGHT('Disaggregation Records'!$D$152:$D$513,255),0))),"")</f>
        <v/>
      </c>
      <c r="O1069" s="130" t="str">
        <f t="array" ref="O1069">IFERROR(IF(INDEX('Disaggregation Records'!$H$152:$H$513,MATCH(RIGHT(L1069,255),RIGHT('Disaggregation Records'!$D$152:$D$513,255),0))="","",INDEX('Disaggregation Records'!$H$152:$H$513,MATCH(RIGHT(L1069,255),RIGHT('Disaggregation Records'!$D$152:$D$513,255),0))),"")</f>
        <v/>
      </c>
      <c r="Q1069" s="52">
        <f t="shared" ref="Q1069" si="1250">Q1067+1</f>
        <v>1719</v>
      </c>
    </row>
    <row r="1070" spans="1:17" ht="20.100000000000001" customHeight="1" x14ac:dyDescent="0.25">
      <c r="A1070" s="130"/>
      <c r="B1070" s="602"/>
      <c r="C1070" s="604"/>
      <c r="D1070" s="606"/>
      <c r="E1070" s="606"/>
      <c r="F1070" s="132"/>
      <c r="G1070" s="608"/>
      <c r="H1070" s="598"/>
      <c r="I1070" s="600"/>
      <c r="J1070" s="532"/>
      <c r="L1070" s="130"/>
      <c r="N1070" s="130"/>
      <c r="O1070" s="130"/>
    </row>
    <row r="1071" spans="1:17" ht="20.100000000000001" customHeight="1" x14ac:dyDescent="0.25">
      <c r="A1071" s="130" t="str">
        <f t="shared" ca="1" si="1190"/>
        <v>a16Dm000000LZd9IAG</v>
      </c>
      <c r="B1071" s="601">
        <v>12</v>
      </c>
      <c r="C1071" s="603" t="str">
        <f>IFERROR(VLOOKUP(B1071,'Coverage Indicators - Section D'!$A$9:$AO$70,41,FALSE),"")</f>
        <v>TCS-1b⁽ᴹ⁾ Percentage of adults (15 and above) on ART among all adults living with HIV at the end of the reporting period</v>
      </c>
      <c r="D1071" s="605" t="str">
        <f>M1071</f>
        <v/>
      </c>
      <c r="E1071" s="605" t="str">
        <f>N1071</f>
        <v/>
      </c>
      <c r="F1071" s="131"/>
      <c r="G1071" s="607" t="str">
        <f ca="1">IF(OR(INDIRECT("'update Helper'!E"&amp;Q1071)="",F1071&lt;&gt;0,F1072&lt;&gt;0),IF(IFERROR((F1071/F1072),"")="","",(F1071/F1072)),INDIRECT("'update Helper'!E"&amp;Q1071)/100)</f>
        <v/>
      </c>
      <c r="H1071" s="597"/>
      <c r="I1071" s="599"/>
      <c r="J1071" s="531"/>
      <c r="K1071" s="130">
        <f>IF(AND(EXACT(C1071,C1069),C1069&lt;&gt;0),K1069+1,0)</f>
        <v>5</v>
      </c>
      <c r="L1071" s="130" t="str">
        <f t="shared" ref="L1071" si="1251">IF(C1071&lt;&gt;"",C1071&amp;"-"&amp;K1071,"")</f>
        <v>TCS-1b⁽ᴹ⁾ Percentage of adults (15 and above) on ART among all adults living with HIV at the end of the reporting period-5</v>
      </c>
      <c r="M1071" s="130" t="str">
        <f t="array" ref="M1071">IFERROR(IF(INDEX('Disaggregation Records'!$E$152:$E$513,MATCH(RIGHT(L1071,255),RIGHT('Disaggregation Records'!$D$152:$D$513,255),0))="","",INDEX('Disaggregation Records'!$E$152:$E$513,MATCH(RIGHT(L1071,255),RIGHT('Disaggregation Records'!$D$152:$D$513,255),0))),"")</f>
        <v/>
      </c>
      <c r="N1071" s="130" t="str">
        <f t="array" ref="N1071">IFERROR(IF(INDEX('Disaggregation Records'!$F$152:$F$513,MATCH(RIGHT(L1071,255),RIGHT('Disaggregation Records'!$D$152:$D$513,255),0))="","",INDEX('Disaggregation Records'!$F$152:$F$513,MATCH(RIGHT(L1071,255),RIGHT('Disaggregation Records'!$D$152:$D$513,255),0))),"")</f>
        <v/>
      </c>
      <c r="O1071" s="130" t="str">
        <f t="array" ref="O1071">IFERROR(IF(INDEX('Disaggregation Records'!$H$152:$H$513,MATCH(RIGHT(L1071,255),RIGHT('Disaggregation Records'!$D$152:$D$513,255),0))="","",INDEX('Disaggregation Records'!$H$152:$H$513,MATCH(RIGHT(L1071,255),RIGHT('Disaggregation Records'!$D$152:$D$513,255),0))),"")</f>
        <v/>
      </c>
      <c r="P1071" s="130"/>
      <c r="Q1071" s="52">
        <f t="shared" ref="Q1071" si="1252">Q1069+1</f>
        <v>1720</v>
      </c>
    </row>
    <row r="1072" spans="1:17" ht="20.100000000000001" customHeight="1" x14ac:dyDescent="0.25">
      <c r="B1072" s="602"/>
      <c r="C1072" s="604"/>
      <c r="D1072" s="606"/>
      <c r="E1072" s="606"/>
      <c r="F1072" s="132"/>
      <c r="G1072" s="608"/>
      <c r="H1072" s="598"/>
      <c r="I1072" s="600"/>
      <c r="J1072" s="532"/>
      <c r="K1072" s="130"/>
      <c r="L1072" s="130"/>
      <c r="M1072" s="130"/>
      <c r="N1072" s="130"/>
      <c r="O1072" s="130"/>
      <c r="P1072" s="130"/>
    </row>
    <row r="1073" spans="1:17" ht="20.100000000000001" customHeight="1" x14ac:dyDescent="0.25">
      <c r="A1073" s="130" t="str">
        <f t="shared" ref="A1073:A1133" ca="1" si="1253">INDIRECT("'update Helper'!C"&amp;Q1073)</f>
        <v>a16Dm000000LZdAIAW</v>
      </c>
      <c r="B1073" s="601">
        <v>12</v>
      </c>
      <c r="C1073" s="603" t="str">
        <f>IFERROR(VLOOKUP(B1073,'Coverage Indicators - Section D'!$A$9:$AO$70,41,FALSE),"")</f>
        <v>TCS-1b⁽ᴹ⁾ Percentage of adults (15 and above) on ART among all adults living with HIV at the end of the reporting period</v>
      </c>
      <c r="D1073" s="605" t="str">
        <f>M1073</f>
        <v/>
      </c>
      <c r="E1073" s="605" t="str">
        <f>N1073</f>
        <v/>
      </c>
      <c r="F1073" s="131"/>
      <c r="G1073" s="607" t="str">
        <f ca="1">IF(OR(INDIRECT("'update Helper'!E"&amp;Q1073)="",F1073&lt;&gt;0,F1074&lt;&gt;0),IF(IFERROR((F1073/F1074),"")="","",(F1073/F1074)),INDIRECT("'update Helper'!E"&amp;Q1073)/100)</f>
        <v/>
      </c>
      <c r="H1073" s="597"/>
      <c r="I1073" s="599"/>
      <c r="J1073" s="531"/>
      <c r="K1073" s="130">
        <f>IF(AND(EXACT(C1073,C1071),C1071&lt;&gt;0),K1071+1,0)</f>
        <v>6</v>
      </c>
      <c r="L1073" s="130" t="str">
        <f t="shared" ref="L1073" si="1254">IF(C1073&lt;&gt;"",C1073&amp;"-"&amp;K1073,"")</f>
        <v>TCS-1b⁽ᴹ⁾ Percentage of adults (15 and above) on ART among all adults living with HIV at the end of the reporting period-6</v>
      </c>
      <c r="M1073" s="130" t="str">
        <f t="array" ref="M1073">IFERROR(IF(INDEX('Disaggregation Records'!$E$152:$E$513,MATCH(RIGHT(L1073,255),RIGHT('Disaggregation Records'!$D$152:$D$513,255),0))="","",INDEX('Disaggregation Records'!$E$152:$E$513,MATCH(RIGHT(L1073,255),RIGHT('Disaggregation Records'!$D$152:$D$513,255),0))),"")</f>
        <v/>
      </c>
      <c r="N1073" s="130" t="str">
        <f t="array" ref="N1073">IFERROR(IF(INDEX('Disaggregation Records'!$F$152:$F$513,MATCH(RIGHT(L1073,255),RIGHT('Disaggregation Records'!$D$152:$D$513,255),0))="","",INDEX('Disaggregation Records'!$F$152:$F$513,MATCH(RIGHT(L1073,255),RIGHT('Disaggregation Records'!$D$152:$D$513,255),0))),"")</f>
        <v/>
      </c>
      <c r="O1073" s="130" t="str">
        <f t="array" ref="O1073">IFERROR(IF(INDEX('Disaggregation Records'!$H$152:$H$513,MATCH(RIGHT(L1073,255),RIGHT('Disaggregation Records'!$D$152:$D$513,255),0))="","",INDEX('Disaggregation Records'!$H$152:$H$513,MATCH(RIGHT(L1073,255),RIGHT('Disaggregation Records'!$D$152:$D$513,255),0))),"")</f>
        <v/>
      </c>
      <c r="P1073" s="130"/>
      <c r="Q1073" s="52">
        <f t="shared" ref="Q1073" si="1255">Q1071+1</f>
        <v>1721</v>
      </c>
    </row>
    <row r="1074" spans="1:17" ht="20.100000000000001" customHeight="1" x14ac:dyDescent="0.25">
      <c r="A1074" s="130"/>
      <c r="B1074" s="602"/>
      <c r="C1074" s="604"/>
      <c r="D1074" s="606"/>
      <c r="E1074" s="606"/>
      <c r="F1074" s="132"/>
      <c r="G1074" s="608"/>
      <c r="H1074" s="598"/>
      <c r="I1074" s="600"/>
      <c r="J1074" s="532"/>
      <c r="K1074" s="130"/>
      <c r="L1074" s="130"/>
      <c r="M1074" s="130"/>
      <c r="N1074" s="130"/>
      <c r="O1074" s="130"/>
      <c r="P1074" s="130"/>
    </row>
    <row r="1075" spans="1:17" ht="20.100000000000001" customHeight="1" x14ac:dyDescent="0.25">
      <c r="A1075" s="130" t="str">
        <f t="shared" ref="A1075:A1135" ca="1" si="1256">INDIRECT("'update Helper'!C"&amp;Q1075)</f>
        <v>a16Dm000000LZdBIAW</v>
      </c>
      <c r="B1075" s="601">
        <v>12</v>
      </c>
      <c r="C1075" s="603" t="str">
        <f>IFERROR(VLOOKUP(B1075,'Coverage Indicators - Section D'!$A$9:$AO$70,41,FALSE),"")</f>
        <v>TCS-1b⁽ᴹ⁾ Percentage of adults (15 and above) on ART among all adults living with HIV at the end of the reporting period</v>
      </c>
      <c r="D1075" s="605" t="str">
        <f>M1075</f>
        <v/>
      </c>
      <c r="E1075" s="605" t="str">
        <f>N1075</f>
        <v/>
      </c>
      <c r="F1075" s="131"/>
      <c r="G1075" s="607" t="str">
        <f ca="1">IF(OR(INDIRECT("'update Helper'!E"&amp;Q1075)="",F1075&lt;&gt;0,F1076&lt;&gt;0),IF(IFERROR((F1075/F1076),"")="","",(F1075/F1076)),INDIRECT("'update Helper'!E"&amp;Q1075)/100)</f>
        <v/>
      </c>
      <c r="H1075" s="597"/>
      <c r="I1075" s="599"/>
      <c r="J1075" s="531"/>
      <c r="K1075" s="130">
        <f>IF(AND(EXACT(C1075,C1073),C1073&lt;&gt;0),K1073+1,0)</f>
        <v>7</v>
      </c>
      <c r="L1075" s="130" t="str">
        <f t="shared" ref="L1075" si="1257">IF(C1075&lt;&gt;"",C1075&amp;"-"&amp;K1075,"")</f>
        <v>TCS-1b⁽ᴹ⁾ Percentage of adults (15 and above) on ART among all adults living with HIV at the end of the reporting period-7</v>
      </c>
      <c r="M1075" s="130" t="str">
        <f t="array" ref="M1075">IFERROR(IF(INDEX('Disaggregation Records'!$E$152:$E$513,MATCH(RIGHT(L1075,255),RIGHT('Disaggregation Records'!$D$152:$D$513,255),0))="","",INDEX('Disaggregation Records'!$E$152:$E$513,MATCH(RIGHT(L1075,255),RIGHT('Disaggregation Records'!$D$152:$D$513,255),0))),"")</f>
        <v/>
      </c>
      <c r="N1075" s="130" t="str">
        <f t="array" ref="N1075">IFERROR(IF(INDEX('Disaggregation Records'!$F$152:$F$513,MATCH(RIGHT(L1075,255),RIGHT('Disaggregation Records'!$D$152:$D$513,255),0))="","",INDEX('Disaggregation Records'!$F$152:$F$513,MATCH(RIGHT(L1075,255),RIGHT('Disaggregation Records'!$D$152:$D$513,255),0))),"")</f>
        <v/>
      </c>
      <c r="O1075" s="130" t="str">
        <f t="array" ref="O1075">IFERROR(IF(INDEX('Disaggregation Records'!$H$152:$H$513,MATCH(RIGHT(L1075,255),RIGHT('Disaggregation Records'!$D$152:$D$513,255),0))="","",INDEX('Disaggregation Records'!$H$152:$H$513,MATCH(RIGHT(L1075,255),RIGHT('Disaggregation Records'!$D$152:$D$513,255),0))),"")</f>
        <v/>
      </c>
      <c r="Q1075" s="52">
        <f t="shared" ref="Q1075" si="1258">Q1073+1</f>
        <v>1722</v>
      </c>
    </row>
    <row r="1076" spans="1:17" ht="20.100000000000001" customHeight="1" x14ac:dyDescent="0.25">
      <c r="B1076" s="602"/>
      <c r="C1076" s="604"/>
      <c r="D1076" s="606"/>
      <c r="E1076" s="606"/>
      <c r="F1076" s="132"/>
      <c r="G1076" s="608"/>
      <c r="H1076" s="598"/>
      <c r="I1076" s="600"/>
      <c r="J1076" s="532"/>
      <c r="L1076" s="130"/>
      <c r="N1076" s="130"/>
      <c r="O1076" s="130"/>
    </row>
    <row r="1077" spans="1:17" ht="20.100000000000001" customHeight="1" x14ac:dyDescent="0.25">
      <c r="A1077" s="130" t="str">
        <f t="shared" ca="1" si="1253"/>
        <v>a16Dm000000LZdCIAW</v>
      </c>
      <c r="B1077" s="601">
        <v>12</v>
      </c>
      <c r="C1077" s="603" t="str">
        <f>IFERROR(VLOOKUP(B1077,'Coverage Indicators - Section D'!$A$9:$AO$70,41,FALSE),"")</f>
        <v>TCS-1b⁽ᴹ⁾ Percentage of adults (15 and above) on ART among all adults living with HIV at the end of the reporting period</v>
      </c>
      <c r="D1077" s="605" t="str">
        <f>M1077</f>
        <v/>
      </c>
      <c r="E1077" s="605" t="str">
        <f>N1077</f>
        <v/>
      </c>
      <c r="F1077" s="131"/>
      <c r="G1077" s="607" t="str">
        <f ca="1">IF(OR(INDIRECT("'update Helper'!E"&amp;Q1077)="",F1077&lt;&gt;0,F1078&lt;&gt;0),IF(IFERROR((F1077/F1078),"")="","",(F1077/F1078)),INDIRECT("'update Helper'!E"&amp;Q1077)/100)</f>
        <v/>
      </c>
      <c r="H1077" s="597"/>
      <c r="I1077" s="599"/>
      <c r="J1077" s="531"/>
      <c r="K1077" s="130">
        <f>IF(AND(EXACT(C1077,C1075),C1075&lt;&gt;0),K1075+1,0)</f>
        <v>8</v>
      </c>
      <c r="L1077" s="130" t="str">
        <f t="shared" ref="L1077" si="1259">IF(C1077&lt;&gt;"",C1077&amp;"-"&amp;K1077,"")</f>
        <v>TCS-1b⁽ᴹ⁾ Percentage of adults (15 and above) on ART among all adults living with HIV at the end of the reporting period-8</v>
      </c>
      <c r="M1077" s="130" t="str">
        <f t="array" ref="M1077">IFERROR(IF(INDEX('Disaggregation Records'!$E$152:$E$513,MATCH(RIGHT(L1077,255),RIGHT('Disaggregation Records'!$D$152:$D$513,255),0))="","",INDEX('Disaggregation Records'!$E$152:$E$513,MATCH(RIGHT(L1077,255),RIGHT('Disaggregation Records'!$D$152:$D$513,255),0))),"")</f>
        <v/>
      </c>
      <c r="N1077" s="130" t="str">
        <f t="array" ref="N1077">IFERROR(IF(INDEX('Disaggregation Records'!$F$152:$F$513,MATCH(RIGHT(L1077,255),RIGHT('Disaggregation Records'!$D$152:$D$513,255),0))="","",INDEX('Disaggregation Records'!$F$152:$F$513,MATCH(RIGHT(L1077,255),RIGHT('Disaggregation Records'!$D$152:$D$513,255),0))),"")</f>
        <v/>
      </c>
      <c r="O1077" s="130" t="str">
        <f t="array" ref="O1077">IFERROR(IF(INDEX('Disaggregation Records'!$H$152:$H$513,MATCH(RIGHT(L1077,255),RIGHT('Disaggregation Records'!$D$152:$D$513,255),0))="","",INDEX('Disaggregation Records'!$H$152:$H$513,MATCH(RIGHT(L1077,255),RIGHT('Disaggregation Records'!$D$152:$D$513,255),0))),"")</f>
        <v/>
      </c>
      <c r="Q1077" s="52">
        <f t="shared" ref="Q1077" si="1260">Q1075+1</f>
        <v>1723</v>
      </c>
    </row>
    <row r="1078" spans="1:17" ht="20.100000000000001" customHeight="1" x14ac:dyDescent="0.25">
      <c r="A1078" s="130"/>
      <c r="B1078" s="602"/>
      <c r="C1078" s="604"/>
      <c r="D1078" s="606"/>
      <c r="E1078" s="606"/>
      <c r="F1078" s="132"/>
      <c r="G1078" s="608"/>
      <c r="H1078" s="598"/>
      <c r="I1078" s="600"/>
      <c r="J1078" s="532"/>
      <c r="L1078" s="130"/>
      <c r="N1078" s="130"/>
      <c r="O1078" s="130"/>
    </row>
    <row r="1079" spans="1:17" ht="20.100000000000001" customHeight="1" x14ac:dyDescent="0.25">
      <c r="A1079" s="130" t="str">
        <f t="shared" ca="1" si="1256"/>
        <v>a16Dm000000LZdDIAW</v>
      </c>
      <c r="B1079" s="601">
        <v>12</v>
      </c>
      <c r="C1079" s="603" t="str">
        <f>IFERROR(VLOOKUP(B1079,'Coverage Indicators - Section D'!$A$9:$AO$70,41,FALSE),"")</f>
        <v>TCS-1b⁽ᴹ⁾ Percentage of adults (15 and above) on ART among all adults living with HIV at the end of the reporting period</v>
      </c>
      <c r="D1079" s="605" t="str">
        <f>M1079</f>
        <v/>
      </c>
      <c r="E1079" s="605" t="str">
        <f>N1079</f>
        <v/>
      </c>
      <c r="F1079" s="131"/>
      <c r="G1079" s="607" t="str">
        <f ca="1">IF(OR(INDIRECT("'update Helper'!E"&amp;Q1079)="",F1079&lt;&gt;0,F1080&lt;&gt;0),IF(IFERROR((F1079/F1080),"")="","",(F1079/F1080)),INDIRECT("'update Helper'!E"&amp;Q1079)/100)</f>
        <v/>
      </c>
      <c r="H1079" s="597"/>
      <c r="I1079" s="599"/>
      <c r="J1079" s="531"/>
      <c r="K1079" s="130">
        <f>IF(AND(EXACT(C1079,C1077),C1077&lt;&gt;0),K1077+1,0)</f>
        <v>9</v>
      </c>
      <c r="L1079" s="130" t="str">
        <f t="shared" ref="L1079" si="1261">IF(C1079&lt;&gt;"",C1079&amp;"-"&amp;K1079,"")</f>
        <v>TCS-1b⁽ᴹ⁾ Percentage of adults (15 and above) on ART among all adults living with HIV at the end of the reporting period-9</v>
      </c>
      <c r="M1079" s="130" t="str">
        <f t="array" ref="M1079">IFERROR(IF(INDEX('Disaggregation Records'!$E$152:$E$513,MATCH(RIGHT(L1079,255),RIGHT('Disaggregation Records'!$D$152:$D$513,255),0))="","",INDEX('Disaggregation Records'!$E$152:$E$513,MATCH(RIGHT(L1079,255),RIGHT('Disaggregation Records'!$D$152:$D$513,255),0))),"")</f>
        <v/>
      </c>
      <c r="N1079" s="130" t="str">
        <f t="array" ref="N1079">IFERROR(IF(INDEX('Disaggregation Records'!$F$152:$F$513,MATCH(RIGHT(L1079,255),RIGHT('Disaggregation Records'!$D$152:$D$513,255),0))="","",INDEX('Disaggregation Records'!$F$152:$F$513,MATCH(RIGHT(L1079,255),RIGHT('Disaggregation Records'!$D$152:$D$513,255),0))),"")</f>
        <v/>
      </c>
      <c r="O1079" s="130" t="str">
        <f t="array" ref="O1079">IFERROR(IF(INDEX('Disaggregation Records'!$H$152:$H$513,MATCH(RIGHT(L1079,255),RIGHT('Disaggregation Records'!$D$152:$D$513,255),0))="","",INDEX('Disaggregation Records'!$H$152:$H$513,MATCH(RIGHT(L1079,255),RIGHT('Disaggregation Records'!$D$152:$D$513,255),0))),"")</f>
        <v/>
      </c>
      <c r="Q1079" s="52">
        <f t="shared" ref="Q1079" si="1262">Q1077+1</f>
        <v>1724</v>
      </c>
    </row>
    <row r="1080" spans="1:17" ht="20.100000000000001" customHeight="1" x14ac:dyDescent="0.25">
      <c r="B1080" s="602"/>
      <c r="C1080" s="604"/>
      <c r="D1080" s="606"/>
      <c r="E1080" s="606"/>
      <c r="F1080" s="132"/>
      <c r="G1080" s="608"/>
      <c r="H1080" s="598"/>
      <c r="I1080" s="600"/>
      <c r="J1080" s="532"/>
      <c r="L1080" s="130"/>
      <c r="N1080" s="130"/>
      <c r="O1080" s="130"/>
    </row>
    <row r="1081" spans="1:17" ht="20.100000000000001" customHeight="1" x14ac:dyDescent="0.25">
      <c r="A1081" s="130" t="str">
        <f t="shared" ca="1" si="1253"/>
        <v>a16Dm000000LZdEIAW</v>
      </c>
      <c r="B1081" s="601">
        <v>12</v>
      </c>
      <c r="C1081" s="603" t="str">
        <f>IFERROR(VLOOKUP(B1081,'Coverage Indicators - Section D'!$A$9:$AO$70,41,FALSE),"")</f>
        <v>TCS-1b⁽ᴹ⁾ Percentage of adults (15 and above) on ART among all adults living with HIV at the end of the reporting period</v>
      </c>
      <c r="D1081" s="605" t="str">
        <f>M1081</f>
        <v/>
      </c>
      <c r="E1081" s="605" t="str">
        <f>N1081</f>
        <v/>
      </c>
      <c r="F1081" s="131"/>
      <c r="G1081" s="607" t="str">
        <f ca="1">IF(OR(INDIRECT("'update Helper'!E"&amp;Q1081)="",F1081&lt;&gt;0,F1082&lt;&gt;0),IF(IFERROR((F1081/F1082),"")="","",(F1081/F1082)),INDIRECT("'update Helper'!E"&amp;Q1081)/100)</f>
        <v/>
      </c>
      <c r="H1081" s="597"/>
      <c r="I1081" s="599"/>
      <c r="J1081" s="531"/>
      <c r="K1081" s="130">
        <f>IF(AND(EXACT(C1081,C1079),C1079&lt;&gt;0),K1079+1,0)</f>
        <v>10</v>
      </c>
      <c r="L1081" s="130" t="str">
        <f t="shared" ref="L1081" si="1263">IF(C1081&lt;&gt;"",C1081&amp;"-"&amp;K1081,"")</f>
        <v>TCS-1b⁽ᴹ⁾ Percentage of adults (15 and above) on ART among all adults living with HIV at the end of the reporting period-10</v>
      </c>
      <c r="M1081" s="130" t="str">
        <f t="array" ref="M1081">IFERROR(IF(INDEX('Disaggregation Records'!$E$152:$E$513,MATCH(RIGHT(L1081,255),RIGHT('Disaggregation Records'!$D$152:$D$513,255),0))="","",INDEX('Disaggregation Records'!$E$152:$E$513,MATCH(RIGHT(L1081,255),RIGHT('Disaggregation Records'!$D$152:$D$513,255),0))),"")</f>
        <v/>
      </c>
      <c r="N1081" s="130" t="str">
        <f t="array" ref="N1081">IFERROR(IF(INDEX('Disaggregation Records'!$F$152:$F$513,MATCH(RIGHT(L1081,255),RIGHT('Disaggregation Records'!$D$152:$D$513,255),0))="","",INDEX('Disaggregation Records'!$F$152:$F$513,MATCH(RIGHT(L1081,255),RIGHT('Disaggregation Records'!$D$152:$D$513,255),0))),"")</f>
        <v/>
      </c>
      <c r="O1081" s="130" t="str">
        <f t="array" ref="O1081">IFERROR(IF(INDEX('Disaggregation Records'!$H$152:$H$513,MATCH(RIGHT(L1081,255),RIGHT('Disaggregation Records'!$D$152:$D$513,255),0))="","",INDEX('Disaggregation Records'!$H$152:$H$513,MATCH(RIGHT(L1081,255),RIGHT('Disaggregation Records'!$D$152:$D$513,255),0))),"")</f>
        <v/>
      </c>
      <c r="P1081" s="130"/>
      <c r="Q1081" s="52">
        <f t="shared" ref="Q1081" si="1264">Q1079+1</f>
        <v>1725</v>
      </c>
    </row>
    <row r="1082" spans="1:17" ht="20.100000000000001" customHeight="1" x14ac:dyDescent="0.25">
      <c r="A1082" s="130"/>
      <c r="B1082" s="602"/>
      <c r="C1082" s="604"/>
      <c r="D1082" s="606"/>
      <c r="E1082" s="606"/>
      <c r="F1082" s="132"/>
      <c r="G1082" s="608"/>
      <c r="H1082" s="598"/>
      <c r="I1082" s="600"/>
      <c r="J1082" s="532"/>
      <c r="K1082" s="130"/>
      <c r="L1082" s="130"/>
      <c r="M1082" s="130"/>
      <c r="N1082" s="130"/>
      <c r="O1082" s="130"/>
      <c r="P1082" s="130"/>
    </row>
    <row r="1083" spans="1:17" ht="20.100000000000001" customHeight="1" x14ac:dyDescent="0.25">
      <c r="A1083" s="130" t="str">
        <f t="shared" ca="1" si="1256"/>
        <v>a16Dm000000LZdFIAW</v>
      </c>
      <c r="B1083" s="601">
        <v>12</v>
      </c>
      <c r="C1083" s="603" t="str">
        <f>IFERROR(VLOOKUP(B1083,'Coverage Indicators - Section D'!$A$9:$AO$70,41,FALSE),"")</f>
        <v>TCS-1b⁽ᴹ⁾ Percentage of adults (15 and above) on ART among all adults living with HIV at the end of the reporting period</v>
      </c>
      <c r="D1083" s="605" t="str">
        <f>M1083</f>
        <v/>
      </c>
      <c r="E1083" s="605" t="str">
        <f>N1083</f>
        <v/>
      </c>
      <c r="F1083" s="131"/>
      <c r="G1083" s="607" t="str">
        <f ca="1">IF(OR(INDIRECT("'update Helper'!E"&amp;Q1083)="",F1083&lt;&gt;0,F1084&lt;&gt;0),IF(IFERROR((F1083/F1084),"")="","",(F1083/F1084)),INDIRECT("'update Helper'!E"&amp;Q1083)/100)</f>
        <v/>
      </c>
      <c r="H1083" s="597"/>
      <c r="I1083" s="599"/>
      <c r="J1083" s="531"/>
      <c r="K1083" s="130">
        <f>IF(AND(EXACT(C1083,C1081),C1081&lt;&gt;0),K1081+1,0)</f>
        <v>11</v>
      </c>
      <c r="L1083" s="130" t="str">
        <f t="shared" ref="L1083" si="1265">IF(C1083&lt;&gt;"",C1083&amp;"-"&amp;K1083,"")</f>
        <v>TCS-1b⁽ᴹ⁾ Percentage of adults (15 and above) on ART among all adults living with HIV at the end of the reporting period-11</v>
      </c>
      <c r="M1083" s="130" t="str">
        <f t="array" ref="M1083">IFERROR(IF(INDEX('Disaggregation Records'!$E$152:$E$513,MATCH(RIGHT(L1083,255),RIGHT('Disaggregation Records'!$D$152:$D$513,255),0))="","",INDEX('Disaggregation Records'!$E$152:$E$513,MATCH(RIGHT(L1083,255),RIGHT('Disaggregation Records'!$D$152:$D$513,255),0))),"")</f>
        <v/>
      </c>
      <c r="N1083" s="130" t="str">
        <f t="array" ref="N1083">IFERROR(IF(INDEX('Disaggregation Records'!$F$152:$F$513,MATCH(RIGHT(L1083,255),RIGHT('Disaggregation Records'!$D$152:$D$513,255),0))="","",INDEX('Disaggregation Records'!$F$152:$F$513,MATCH(RIGHT(L1083,255),RIGHT('Disaggregation Records'!$D$152:$D$513,255),0))),"")</f>
        <v/>
      </c>
      <c r="O1083" s="130" t="str">
        <f t="array" ref="O1083">IFERROR(IF(INDEX('Disaggregation Records'!$H$152:$H$513,MATCH(RIGHT(L1083,255),RIGHT('Disaggregation Records'!$D$152:$D$513,255),0))="","",INDEX('Disaggregation Records'!$H$152:$H$513,MATCH(RIGHT(L1083,255),RIGHT('Disaggregation Records'!$D$152:$D$513,255),0))),"")</f>
        <v/>
      </c>
      <c r="P1083" s="130"/>
      <c r="Q1083" s="52">
        <f t="shared" ref="Q1083" si="1266">Q1081+1</f>
        <v>1726</v>
      </c>
    </row>
    <row r="1084" spans="1:17" ht="20.100000000000001" customHeight="1" x14ac:dyDescent="0.25">
      <c r="B1084" s="602"/>
      <c r="C1084" s="604"/>
      <c r="D1084" s="606"/>
      <c r="E1084" s="606"/>
      <c r="F1084" s="132"/>
      <c r="G1084" s="608"/>
      <c r="H1084" s="598"/>
      <c r="I1084" s="600"/>
      <c r="J1084" s="532"/>
      <c r="K1084" s="130"/>
      <c r="L1084" s="130"/>
      <c r="M1084" s="130"/>
      <c r="N1084" s="130"/>
      <c r="O1084" s="130"/>
      <c r="P1084" s="130"/>
    </row>
    <row r="1085" spans="1:17" ht="20.100000000000001" customHeight="1" x14ac:dyDescent="0.25">
      <c r="A1085" s="130" t="str">
        <f t="shared" ca="1" si="1253"/>
        <v>a16Dm000000LZdGIAW</v>
      </c>
      <c r="B1085" s="601">
        <v>12</v>
      </c>
      <c r="C1085" s="603" t="str">
        <f>IFERROR(VLOOKUP(B1085,'Coverage Indicators - Section D'!$A$9:$AO$70,41,FALSE),"")</f>
        <v>TCS-1b⁽ᴹ⁾ Percentage of adults (15 and above) on ART among all adults living with HIV at the end of the reporting period</v>
      </c>
      <c r="D1085" s="605" t="str">
        <f>M1085</f>
        <v/>
      </c>
      <c r="E1085" s="605" t="str">
        <f>N1085</f>
        <v/>
      </c>
      <c r="F1085" s="131"/>
      <c r="G1085" s="607" t="str">
        <f ca="1">IF(OR(INDIRECT("'update Helper'!E"&amp;Q1085)="",F1085&lt;&gt;0,F1086&lt;&gt;0),IF(IFERROR((F1085/F1086),"")="","",(F1085/F1086)),INDIRECT("'update Helper'!E"&amp;Q1085)/100)</f>
        <v/>
      </c>
      <c r="H1085" s="597"/>
      <c r="I1085" s="599"/>
      <c r="J1085" s="531"/>
      <c r="K1085" s="130">
        <f>IF(AND(EXACT(C1085,C1083),C1083&lt;&gt;0),K1083+1,0)</f>
        <v>12</v>
      </c>
      <c r="L1085" s="130" t="str">
        <f t="shared" ref="L1085" si="1267">IF(C1085&lt;&gt;"",C1085&amp;"-"&amp;K1085,"")</f>
        <v>TCS-1b⁽ᴹ⁾ Percentage of adults (15 and above) on ART among all adults living with HIV at the end of the reporting period-12</v>
      </c>
      <c r="M1085" s="130" t="str">
        <f t="array" ref="M1085">IFERROR(IF(INDEX('Disaggregation Records'!$E$152:$E$513,MATCH(RIGHT(L1085,255),RIGHT('Disaggregation Records'!$D$152:$D$513,255),0))="","",INDEX('Disaggregation Records'!$E$152:$E$513,MATCH(RIGHT(L1085,255),RIGHT('Disaggregation Records'!$D$152:$D$513,255),0))),"")</f>
        <v/>
      </c>
      <c r="N1085" s="130" t="str">
        <f t="array" ref="N1085">IFERROR(IF(INDEX('Disaggregation Records'!$F$152:$F$513,MATCH(RIGHT(L1085,255),RIGHT('Disaggregation Records'!$D$152:$D$513,255),0))="","",INDEX('Disaggregation Records'!$F$152:$F$513,MATCH(RIGHT(L1085,255),RIGHT('Disaggregation Records'!$D$152:$D$513,255),0))),"")</f>
        <v/>
      </c>
      <c r="O1085" s="130" t="str">
        <f t="array" ref="O1085">IFERROR(IF(INDEX('Disaggregation Records'!$H$152:$H$513,MATCH(RIGHT(L1085,255),RIGHT('Disaggregation Records'!$D$152:$D$513,255),0))="","",INDEX('Disaggregation Records'!$H$152:$H$513,MATCH(RIGHT(L1085,255),RIGHT('Disaggregation Records'!$D$152:$D$513,255),0))),"")</f>
        <v/>
      </c>
      <c r="Q1085" s="52">
        <f t="shared" ref="Q1085" si="1268">Q1083+1</f>
        <v>1727</v>
      </c>
    </row>
    <row r="1086" spans="1:17" ht="20.100000000000001" customHeight="1" x14ac:dyDescent="0.25">
      <c r="A1086" s="130"/>
      <c r="B1086" s="602"/>
      <c r="C1086" s="604"/>
      <c r="D1086" s="606"/>
      <c r="E1086" s="606"/>
      <c r="F1086" s="132"/>
      <c r="G1086" s="608"/>
      <c r="H1086" s="598"/>
      <c r="I1086" s="600"/>
      <c r="J1086" s="532"/>
      <c r="L1086" s="130"/>
      <c r="N1086" s="130"/>
      <c r="O1086" s="130"/>
    </row>
    <row r="1087" spans="1:17" ht="20.100000000000001" customHeight="1" x14ac:dyDescent="0.25">
      <c r="A1087" s="130" t="str">
        <f t="shared" ca="1" si="1256"/>
        <v>a16Dm000000LZdHIAW</v>
      </c>
      <c r="B1087" s="601">
        <v>12</v>
      </c>
      <c r="C1087" s="603" t="str">
        <f>IFERROR(VLOOKUP(B1087,'Coverage Indicators - Section D'!$A$9:$AO$70,41,FALSE),"")</f>
        <v>TCS-1b⁽ᴹ⁾ Percentage of adults (15 and above) on ART among all adults living with HIV at the end of the reporting period</v>
      </c>
      <c r="D1087" s="605" t="str">
        <f>M1087</f>
        <v/>
      </c>
      <c r="E1087" s="605" t="str">
        <f>N1087</f>
        <v/>
      </c>
      <c r="F1087" s="131"/>
      <c r="G1087" s="607" t="str">
        <f ca="1">IF(OR(INDIRECT("'update Helper'!E"&amp;Q1087)="",F1087&lt;&gt;0,F1088&lt;&gt;0),IF(IFERROR((F1087/F1088),"")="","",(F1087/F1088)),INDIRECT("'update Helper'!E"&amp;Q1087)/100)</f>
        <v/>
      </c>
      <c r="H1087" s="597"/>
      <c r="I1087" s="599"/>
      <c r="J1087" s="531"/>
      <c r="K1087" s="130">
        <f>IF(AND(EXACT(C1087,C1085),C1085&lt;&gt;0),K1085+1,0)</f>
        <v>13</v>
      </c>
      <c r="L1087" s="130" t="str">
        <f t="shared" ref="L1087" si="1269">IF(C1087&lt;&gt;"",C1087&amp;"-"&amp;K1087,"")</f>
        <v>TCS-1b⁽ᴹ⁾ Percentage of adults (15 and above) on ART among all adults living with HIV at the end of the reporting period-13</v>
      </c>
      <c r="M1087" s="130" t="str">
        <f t="array" ref="M1087">IFERROR(IF(INDEX('Disaggregation Records'!$E$152:$E$513,MATCH(RIGHT(L1087,255),RIGHT('Disaggregation Records'!$D$152:$D$513,255),0))="","",INDEX('Disaggregation Records'!$E$152:$E$513,MATCH(RIGHT(L1087,255),RIGHT('Disaggregation Records'!$D$152:$D$513,255),0))),"")</f>
        <v/>
      </c>
      <c r="N1087" s="130" t="str">
        <f t="array" ref="N1087">IFERROR(IF(INDEX('Disaggregation Records'!$F$152:$F$513,MATCH(RIGHT(L1087,255),RIGHT('Disaggregation Records'!$D$152:$D$513,255),0))="","",INDEX('Disaggregation Records'!$F$152:$F$513,MATCH(RIGHT(L1087,255),RIGHT('Disaggregation Records'!$D$152:$D$513,255),0))),"")</f>
        <v/>
      </c>
      <c r="O1087" s="130" t="str">
        <f t="array" ref="O1087">IFERROR(IF(INDEX('Disaggregation Records'!$H$152:$H$513,MATCH(RIGHT(L1087,255),RIGHT('Disaggregation Records'!$D$152:$D$513,255),0))="","",INDEX('Disaggregation Records'!$H$152:$H$513,MATCH(RIGHT(L1087,255),RIGHT('Disaggregation Records'!$D$152:$D$513,255),0))),"")</f>
        <v/>
      </c>
      <c r="Q1087" s="52">
        <f t="shared" ref="Q1087" si="1270">Q1085+1</f>
        <v>1728</v>
      </c>
    </row>
    <row r="1088" spans="1:17" ht="20.100000000000001" customHeight="1" x14ac:dyDescent="0.25">
      <c r="B1088" s="602"/>
      <c r="C1088" s="604"/>
      <c r="D1088" s="606"/>
      <c r="E1088" s="606"/>
      <c r="F1088" s="132"/>
      <c r="G1088" s="608"/>
      <c r="H1088" s="598"/>
      <c r="I1088" s="600"/>
      <c r="J1088" s="532"/>
      <c r="L1088" s="130"/>
      <c r="N1088" s="130"/>
      <c r="O1088" s="130"/>
    </row>
    <row r="1089" spans="1:17" ht="20.100000000000001" customHeight="1" x14ac:dyDescent="0.25">
      <c r="A1089" s="130" t="str">
        <f t="shared" ca="1" si="1253"/>
        <v>a16Dm000000LZdIIAW</v>
      </c>
      <c r="B1089" s="601">
        <v>12</v>
      </c>
      <c r="C1089" s="603" t="str">
        <f>IFERROR(VLOOKUP(B1089,'Coverage Indicators - Section D'!$A$9:$AO$70,41,FALSE),"")</f>
        <v>TCS-1b⁽ᴹ⁾ Percentage of adults (15 and above) on ART among all adults living with HIV at the end of the reporting period</v>
      </c>
      <c r="D1089" s="605" t="str">
        <f>M1089</f>
        <v/>
      </c>
      <c r="E1089" s="605" t="str">
        <f>N1089</f>
        <v/>
      </c>
      <c r="F1089" s="131"/>
      <c r="G1089" s="607" t="str">
        <f ca="1">IF(OR(INDIRECT("'update Helper'!E"&amp;Q1089)="",F1089&lt;&gt;0,F1090&lt;&gt;0),IF(IFERROR((F1089/F1090),"")="","",(F1089/F1090)),INDIRECT("'update Helper'!E"&amp;Q1089)/100)</f>
        <v/>
      </c>
      <c r="H1089" s="597"/>
      <c r="I1089" s="599"/>
      <c r="J1089" s="531"/>
      <c r="K1089" s="130">
        <f>IF(AND(EXACT(C1089,C1087),C1087&lt;&gt;0),K1087+1,0)</f>
        <v>14</v>
      </c>
      <c r="L1089" s="130" t="str">
        <f t="shared" ref="L1089" si="1271">IF(C1089&lt;&gt;"",C1089&amp;"-"&amp;K1089,"")</f>
        <v>TCS-1b⁽ᴹ⁾ Percentage of adults (15 and above) on ART among all adults living with HIV at the end of the reporting period-14</v>
      </c>
      <c r="M1089" s="130" t="str">
        <f t="array" ref="M1089">IFERROR(IF(INDEX('Disaggregation Records'!$E$152:$E$513,MATCH(RIGHT(L1089,255),RIGHT('Disaggregation Records'!$D$152:$D$513,255),0))="","",INDEX('Disaggregation Records'!$E$152:$E$513,MATCH(RIGHT(L1089,255),RIGHT('Disaggregation Records'!$D$152:$D$513,255),0))),"")</f>
        <v/>
      </c>
      <c r="N1089" s="130" t="str">
        <f t="array" ref="N1089">IFERROR(IF(INDEX('Disaggregation Records'!$F$152:$F$513,MATCH(RIGHT(L1089,255),RIGHT('Disaggregation Records'!$D$152:$D$513,255),0))="","",INDEX('Disaggregation Records'!$F$152:$F$513,MATCH(RIGHT(L1089,255),RIGHT('Disaggregation Records'!$D$152:$D$513,255),0))),"")</f>
        <v/>
      </c>
      <c r="O1089" s="130" t="str">
        <f t="array" ref="O1089">IFERROR(IF(INDEX('Disaggregation Records'!$H$152:$H$513,MATCH(RIGHT(L1089,255),RIGHT('Disaggregation Records'!$D$152:$D$513,255),0))="","",INDEX('Disaggregation Records'!$H$152:$H$513,MATCH(RIGHT(L1089,255),RIGHT('Disaggregation Records'!$D$152:$D$513,255),0))),"")</f>
        <v/>
      </c>
      <c r="Q1089" s="52">
        <f t="shared" ref="Q1089" si="1272">Q1087+1</f>
        <v>1729</v>
      </c>
    </row>
    <row r="1090" spans="1:17" ht="20.100000000000001" customHeight="1" x14ac:dyDescent="0.25">
      <c r="A1090" s="130"/>
      <c r="B1090" s="602"/>
      <c r="C1090" s="604"/>
      <c r="D1090" s="606"/>
      <c r="E1090" s="606"/>
      <c r="F1090" s="132"/>
      <c r="G1090" s="608"/>
      <c r="H1090" s="598"/>
      <c r="I1090" s="600"/>
      <c r="J1090" s="532"/>
      <c r="L1090" s="130"/>
      <c r="N1090" s="130"/>
      <c r="O1090" s="130"/>
    </row>
    <row r="1091" spans="1:17" ht="20.100000000000001" customHeight="1" x14ac:dyDescent="0.25">
      <c r="A1091" s="130" t="str">
        <f t="shared" ca="1" si="1256"/>
        <v>a16Dm000000LZdJIAW</v>
      </c>
      <c r="B1091" s="601">
        <v>12</v>
      </c>
      <c r="C1091" s="603" t="str">
        <f>IFERROR(VLOOKUP(B1091,'Coverage Indicators - Section D'!$A$9:$AO$70,41,FALSE),"")</f>
        <v>TCS-1b⁽ᴹ⁾ Percentage of adults (15 and above) on ART among all adults living with HIV at the end of the reporting period</v>
      </c>
      <c r="D1091" s="605" t="str">
        <f>M1091</f>
        <v/>
      </c>
      <c r="E1091" s="605" t="str">
        <f>N1091</f>
        <v/>
      </c>
      <c r="F1091" s="131"/>
      <c r="G1091" s="607" t="str">
        <f ca="1">IF(OR(INDIRECT("'update Helper'!E"&amp;Q1091)="",F1091&lt;&gt;0,F1092&lt;&gt;0),IF(IFERROR((F1091/F1092),"")="","",(F1091/F1092)),INDIRECT("'update Helper'!E"&amp;Q1091)/100)</f>
        <v/>
      </c>
      <c r="H1091" s="597"/>
      <c r="I1091" s="599"/>
      <c r="J1091" s="531"/>
      <c r="K1091" s="130">
        <f>IF(AND(EXACT(C1091,C1089),C1089&lt;&gt;0),K1089+1,0)</f>
        <v>15</v>
      </c>
      <c r="L1091" s="130" t="str">
        <f t="shared" ref="L1091" si="1273">IF(C1091&lt;&gt;"",C1091&amp;"-"&amp;K1091,"")</f>
        <v>TCS-1b⁽ᴹ⁾ Percentage of adults (15 and above) on ART among all adults living with HIV at the end of the reporting period-15</v>
      </c>
      <c r="M1091" s="130" t="str">
        <f t="array" ref="M1091">IFERROR(IF(INDEX('Disaggregation Records'!$E$152:$E$513,MATCH(RIGHT(L1091,255),RIGHT('Disaggregation Records'!$D$152:$D$513,255),0))="","",INDEX('Disaggregation Records'!$E$152:$E$513,MATCH(RIGHT(L1091,255),RIGHT('Disaggregation Records'!$D$152:$D$513,255),0))),"")</f>
        <v/>
      </c>
      <c r="N1091" s="130" t="str">
        <f t="array" ref="N1091">IFERROR(IF(INDEX('Disaggregation Records'!$F$152:$F$513,MATCH(RIGHT(L1091,255),RIGHT('Disaggregation Records'!$D$152:$D$513,255),0))="","",INDEX('Disaggregation Records'!$F$152:$F$513,MATCH(RIGHT(L1091,255),RIGHT('Disaggregation Records'!$D$152:$D$513,255),0))),"")</f>
        <v/>
      </c>
      <c r="O1091" s="130" t="str">
        <f t="array" ref="O1091">IFERROR(IF(INDEX('Disaggregation Records'!$H$152:$H$513,MATCH(RIGHT(L1091,255),RIGHT('Disaggregation Records'!$D$152:$D$513,255),0))="","",INDEX('Disaggregation Records'!$H$152:$H$513,MATCH(RIGHT(L1091,255),RIGHT('Disaggregation Records'!$D$152:$D$513,255),0))),"")</f>
        <v/>
      </c>
      <c r="P1091" s="130"/>
      <c r="Q1091" s="52">
        <f t="shared" ref="Q1091" si="1274">Q1089+1</f>
        <v>1730</v>
      </c>
    </row>
    <row r="1092" spans="1:17" ht="20.100000000000001" customHeight="1" x14ac:dyDescent="0.25">
      <c r="B1092" s="602"/>
      <c r="C1092" s="604"/>
      <c r="D1092" s="606"/>
      <c r="E1092" s="606"/>
      <c r="F1092" s="132"/>
      <c r="G1092" s="608"/>
      <c r="H1092" s="598"/>
      <c r="I1092" s="600"/>
      <c r="J1092" s="532"/>
      <c r="K1092" s="130"/>
      <c r="L1092" s="130"/>
      <c r="M1092" s="130"/>
      <c r="N1092" s="130"/>
      <c r="O1092" s="130"/>
      <c r="P1092" s="130"/>
    </row>
    <row r="1093" spans="1:17" ht="20.100000000000001" customHeight="1" x14ac:dyDescent="0.25">
      <c r="A1093" s="130" t="str">
        <f t="shared" ca="1" si="1253"/>
        <v>a16Dm000000LZdKIAW</v>
      </c>
      <c r="B1093" s="601">
        <v>12</v>
      </c>
      <c r="C1093" s="603" t="str">
        <f>IFERROR(VLOOKUP(B1093,'Coverage Indicators - Section D'!$A$9:$AO$70,41,FALSE),"")</f>
        <v>TCS-1b⁽ᴹ⁾ Percentage of adults (15 and above) on ART among all adults living with HIV at the end of the reporting period</v>
      </c>
      <c r="D1093" s="605" t="str">
        <f>M1093</f>
        <v/>
      </c>
      <c r="E1093" s="605" t="str">
        <f>N1093</f>
        <v/>
      </c>
      <c r="F1093" s="131"/>
      <c r="G1093" s="607" t="str">
        <f ca="1">IF(OR(INDIRECT("'update Helper'!E"&amp;Q1093)="",F1093&lt;&gt;0,F1094&lt;&gt;0),IF(IFERROR((F1093/F1094),"")="","",(F1093/F1094)),INDIRECT("'update Helper'!E"&amp;Q1093)/100)</f>
        <v/>
      </c>
      <c r="H1093" s="597"/>
      <c r="I1093" s="599"/>
      <c r="J1093" s="531"/>
      <c r="K1093" s="130">
        <f>IF(AND(EXACT(C1093,C1091),C1091&lt;&gt;0),K1091+1,0)</f>
        <v>16</v>
      </c>
      <c r="L1093" s="130" t="str">
        <f t="shared" ref="L1093" si="1275">IF(C1093&lt;&gt;"",C1093&amp;"-"&amp;K1093,"")</f>
        <v>TCS-1b⁽ᴹ⁾ Percentage of adults (15 and above) on ART among all adults living with HIV at the end of the reporting period-16</v>
      </c>
      <c r="M1093" s="130" t="str">
        <f t="array" ref="M1093">IFERROR(IF(INDEX('Disaggregation Records'!$E$152:$E$513,MATCH(RIGHT(L1093,255),RIGHT('Disaggregation Records'!$D$152:$D$513,255),0))="","",INDEX('Disaggregation Records'!$E$152:$E$513,MATCH(RIGHT(L1093,255),RIGHT('Disaggregation Records'!$D$152:$D$513,255),0))),"")</f>
        <v/>
      </c>
      <c r="N1093" s="130" t="str">
        <f t="array" ref="N1093">IFERROR(IF(INDEX('Disaggregation Records'!$F$152:$F$513,MATCH(RIGHT(L1093,255),RIGHT('Disaggregation Records'!$D$152:$D$513,255),0))="","",INDEX('Disaggregation Records'!$F$152:$F$513,MATCH(RIGHT(L1093,255),RIGHT('Disaggregation Records'!$D$152:$D$513,255),0))),"")</f>
        <v/>
      </c>
      <c r="O1093" s="130" t="str">
        <f t="array" ref="O1093">IFERROR(IF(INDEX('Disaggregation Records'!$H$152:$H$513,MATCH(RIGHT(L1093,255),RIGHT('Disaggregation Records'!$D$152:$D$513,255),0))="","",INDEX('Disaggregation Records'!$H$152:$H$513,MATCH(RIGHT(L1093,255),RIGHT('Disaggregation Records'!$D$152:$D$513,255),0))),"")</f>
        <v/>
      </c>
      <c r="P1093" s="130"/>
      <c r="Q1093" s="52">
        <f t="shared" ref="Q1093" si="1276">Q1091+1</f>
        <v>1731</v>
      </c>
    </row>
    <row r="1094" spans="1:17" ht="20.100000000000001" customHeight="1" x14ac:dyDescent="0.25">
      <c r="A1094" s="130"/>
      <c r="B1094" s="602"/>
      <c r="C1094" s="604"/>
      <c r="D1094" s="606"/>
      <c r="E1094" s="606"/>
      <c r="F1094" s="132"/>
      <c r="G1094" s="608"/>
      <c r="H1094" s="598"/>
      <c r="I1094" s="600"/>
      <c r="J1094" s="532"/>
      <c r="K1094" s="130"/>
      <c r="L1094" s="130"/>
      <c r="M1094" s="130"/>
      <c r="N1094" s="130"/>
      <c r="O1094" s="130"/>
      <c r="P1094" s="130"/>
    </row>
    <row r="1095" spans="1:17" ht="20.100000000000001" customHeight="1" x14ac:dyDescent="0.25">
      <c r="A1095" s="130" t="str">
        <f t="shared" ca="1" si="1256"/>
        <v>a16Dm000000LZdLIAW</v>
      </c>
      <c r="B1095" s="601">
        <v>12</v>
      </c>
      <c r="C1095" s="603" t="str">
        <f>IFERROR(VLOOKUP(B1095,'Coverage Indicators - Section D'!$A$9:$AO$70,41,FALSE),"")</f>
        <v>TCS-1b⁽ᴹ⁾ Percentage of adults (15 and above) on ART among all adults living with HIV at the end of the reporting period</v>
      </c>
      <c r="D1095" s="605" t="str">
        <f>M1095</f>
        <v/>
      </c>
      <c r="E1095" s="605" t="str">
        <f>N1095</f>
        <v/>
      </c>
      <c r="F1095" s="131"/>
      <c r="G1095" s="607" t="str">
        <f ca="1">IF(OR(INDIRECT("'update Helper'!E"&amp;Q1095)="",F1095&lt;&gt;0,F1096&lt;&gt;0),IF(IFERROR((F1095/F1096),"")="","",(F1095/F1096)),INDIRECT("'update Helper'!E"&amp;Q1095)/100)</f>
        <v/>
      </c>
      <c r="H1095" s="597"/>
      <c r="I1095" s="599"/>
      <c r="J1095" s="531"/>
      <c r="K1095" s="130">
        <f>IF(AND(EXACT(C1095,C1093),C1093&lt;&gt;0),K1093+1,0)</f>
        <v>17</v>
      </c>
      <c r="L1095" s="130" t="str">
        <f t="shared" ref="L1095" si="1277">IF(C1095&lt;&gt;"",C1095&amp;"-"&amp;K1095,"")</f>
        <v>TCS-1b⁽ᴹ⁾ Percentage of adults (15 and above) on ART among all adults living with HIV at the end of the reporting period-17</v>
      </c>
      <c r="M1095" s="130" t="str">
        <f t="array" ref="M1095">IFERROR(IF(INDEX('Disaggregation Records'!$E$152:$E$513,MATCH(RIGHT(L1095,255),RIGHT('Disaggregation Records'!$D$152:$D$513,255),0))="","",INDEX('Disaggregation Records'!$E$152:$E$513,MATCH(RIGHT(L1095,255),RIGHT('Disaggregation Records'!$D$152:$D$513,255),0))),"")</f>
        <v/>
      </c>
      <c r="N1095" s="130" t="str">
        <f t="array" ref="N1095">IFERROR(IF(INDEX('Disaggregation Records'!$F$152:$F$513,MATCH(RIGHT(L1095,255),RIGHT('Disaggregation Records'!$D$152:$D$513,255),0))="","",INDEX('Disaggregation Records'!$F$152:$F$513,MATCH(RIGHT(L1095,255),RIGHT('Disaggregation Records'!$D$152:$D$513,255),0))),"")</f>
        <v/>
      </c>
      <c r="O1095" s="130" t="str">
        <f t="array" ref="O1095">IFERROR(IF(INDEX('Disaggregation Records'!$H$152:$H$513,MATCH(RIGHT(L1095,255),RIGHT('Disaggregation Records'!$D$152:$D$513,255),0))="","",INDEX('Disaggregation Records'!$H$152:$H$513,MATCH(RIGHT(L1095,255),RIGHT('Disaggregation Records'!$D$152:$D$513,255),0))),"")</f>
        <v/>
      </c>
      <c r="Q1095" s="52">
        <f t="shared" ref="Q1095" si="1278">Q1093+1</f>
        <v>1732</v>
      </c>
    </row>
    <row r="1096" spans="1:17" ht="20.100000000000001" customHeight="1" x14ac:dyDescent="0.25">
      <c r="B1096" s="602"/>
      <c r="C1096" s="604"/>
      <c r="D1096" s="606"/>
      <c r="E1096" s="606"/>
      <c r="F1096" s="132"/>
      <c r="G1096" s="608"/>
      <c r="H1096" s="598"/>
      <c r="I1096" s="600"/>
      <c r="J1096" s="532"/>
      <c r="L1096" s="130"/>
      <c r="N1096" s="130"/>
      <c r="O1096" s="130"/>
    </row>
    <row r="1097" spans="1:17" ht="20.100000000000001" customHeight="1" x14ac:dyDescent="0.25">
      <c r="A1097" s="130" t="str">
        <f t="shared" ca="1" si="1253"/>
        <v>a16Dm000000LZdMIAW</v>
      </c>
      <c r="B1097" s="601">
        <v>12</v>
      </c>
      <c r="C1097" s="603" t="str">
        <f>IFERROR(VLOOKUP(B1097,'Coverage Indicators - Section D'!$A$9:$AO$70,41,FALSE),"")</f>
        <v>TCS-1b⁽ᴹ⁾ Percentage of adults (15 and above) on ART among all adults living with HIV at the end of the reporting period</v>
      </c>
      <c r="D1097" s="605" t="str">
        <f>M1097</f>
        <v/>
      </c>
      <c r="E1097" s="605" t="str">
        <f>N1097</f>
        <v/>
      </c>
      <c r="F1097" s="131"/>
      <c r="G1097" s="607" t="str">
        <f ca="1">IF(OR(INDIRECT("'update Helper'!E"&amp;Q1097)="",F1097&lt;&gt;0,F1098&lt;&gt;0),IF(IFERROR((F1097/F1098),"")="","",(F1097/F1098)),INDIRECT("'update Helper'!E"&amp;Q1097)/100)</f>
        <v/>
      </c>
      <c r="H1097" s="597"/>
      <c r="I1097" s="599"/>
      <c r="J1097" s="531"/>
      <c r="K1097" s="130">
        <f>IF(AND(EXACT(C1097,C1095),C1095&lt;&gt;0),K1095+1,0)</f>
        <v>18</v>
      </c>
      <c r="L1097" s="130" t="str">
        <f t="shared" ref="L1097" si="1279">IF(C1097&lt;&gt;"",C1097&amp;"-"&amp;K1097,"")</f>
        <v>TCS-1b⁽ᴹ⁾ Percentage of adults (15 and above) on ART among all adults living with HIV at the end of the reporting period-18</v>
      </c>
      <c r="M1097" s="130" t="str">
        <f t="array" ref="M1097">IFERROR(IF(INDEX('Disaggregation Records'!$E$152:$E$513,MATCH(RIGHT(L1097,255),RIGHT('Disaggregation Records'!$D$152:$D$513,255),0))="","",INDEX('Disaggregation Records'!$E$152:$E$513,MATCH(RIGHT(L1097,255),RIGHT('Disaggregation Records'!$D$152:$D$513,255),0))),"")</f>
        <v/>
      </c>
      <c r="N1097" s="130" t="str">
        <f t="array" ref="N1097">IFERROR(IF(INDEX('Disaggregation Records'!$F$152:$F$513,MATCH(RIGHT(L1097,255),RIGHT('Disaggregation Records'!$D$152:$D$513,255),0))="","",INDEX('Disaggregation Records'!$F$152:$F$513,MATCH(RIGHT(L1097,255),RIGHT('Disaggregation Records'!$D$152:$D$513,255),0))),"")</f>
        <v/>
      </c>
      <c r="O1097" s="130" t="str">
        <f t="array" ref="O1097">IFERROR(IF(INDEX('Disaggregation Records'!$H$152:$H$513,MATCH(RIGHT(L1097,255),RIGHT('Disaggregation Records'!$D$152:$D$513,255),0))="","",INDEX('Disaggregation Records'!$H$152:$H$513,MATCH(RIGHT(L1097,255),RIGHT('Disaggregation Records'!$D$152:$D$513,255),0))),"")</f>
        <v/>
      </c>
      <c r="Q1097" s="52">
        <f t="shared" ref="Q1097" si="1280">Q1095+1</f>
        <v>1733</v>
      </c>
    </row>
    <row r="1098" spans="1:17" ht="20.100000000000001" customHeight="1" x14ac:dyDescent="0.25">
      <c r="A1098" s="130"/>
      <c r="B1098" s="602"/>
      <c r="C1098" s="604"/>
      <c r="D1098" s="606"/>
      <c r="E1098" s="606"/>
      <c r="F1098" s="132"/>
      <c r="G1098" s="608"/>
      <c r="H1098" s="598"/>
      <c r="I1098" s="600"/>
      <c r="J1098" s="532"/>
      <c r="L1098" s="130"/>
      <c r="N1098" s="130"/>
      <c r="O1098" s="130"/>
    </row>
    <row r="1099" spans="1:17" ht="20.100000000000001" customHeight="1" x14ac:dyDescent="0.25">
      <c r="A1099" s="130" t="str">
        <f t="shared" ca="1" si="1256"/>
        <v>a16Dm000000LZdNIAW</v>
      </c>
      <c r="B1099" s="601">
        <v>12</v>
      </c>
      <c r="C1099" s="603" t="str">
        <f>IFERROR(VLOOKUP(B1099,'Coverage Indicators - Section D'!$A$9:$AO$70,41,FALSE),"")</f>
        <v>TCS-1b⁽ᴹ⁾ Percentage of adults (15 and above) on ART among all adults living with HIV at the end of the reporting period</v>
      </c>
      <c r="D1099" s="605" t="str">
        <f>M1099</f>
        <v/>
      </c>
      <c r="E1099" s="605" t="str">
        <f>N1099</f>
        <v/>
      </c>
      <c r="F1099" s="131"/>
      <c r="G1099" s="607" t="str">
        <f ca="1">IF(OR(INDIRECT("'update Helper'!E"&amp;Q1099)="",F1099&lt;&gt;0,F1100&lt;&gt;0),IF(IFERROR((F1099/F1100),"")="","",(F1099/F1100)),INDIRECT("'update Helper'!E"&amp;Q1099)/100)</f>
        <v/>
      </c>
      <c r="H1099" s="597"/>
      <c r="I1099" s="599"/>
      <c r="J1099" s="531"/>
      <c r="K1099" s="130">
        <f>IF(AND(EXACT(C1099,C1097),C1097&lt;&gt;0),K1097+1,0)</f>
        <v>19</v>
      </c>
      <c r="L1099" s="130" t="str">
        <f t="shared" ref="L1099" si="1281">IF(C1099&lt;&gt;"",C1099&amp;"-"&amp;K1099,"")</f>
        <v>TCS-1b⁽ᴹ⁾ Percentage of adults (15 and above) on ART among all adults living with HIV at the end of the reporting period-19</v>
      </c>
      <c r="M1099" s="130" t="str">
        <f t="array" ref="M1099">IFERROR(IF(INDEX('Disaggregation Records'!$E$152:$E$513,MATCH(RIGHT(L1099,255),RIGHT('Disaggregation Records'!$D$152:$D$513,255),0))="","",INDEX('Disaggregation Records'!$E$152:$E$513,MATCH(RIGHT(L1099,255),RIGHT('Disaggregation Records'!$D$152:$D$513,255),0))),"")</f>
        <v/>
      </c>
      <c r="N1099" s="130" t="str">
        <f t="array" ref="N1099">IFERROR(IF(INDEX('Disaggregation Records'!$F$152:$F$513,MATCH(RIGHT(L1099,255),RIGHT('Disaggregation Records'!$D$152:$D$513,255),0))="","",INDEX('Disaggregation Records'!$F$152:$F$513,MATCH(RIGHT(L1099,255),RIGHT('Disaggregation Records'!$D$152:$D$513,255),0))),"")</f>
        <v/>
      </c>
      <c r="O1099" s="130" t="str">
        <f t="array" ref="O1099">IFERROR(IF(INDEX('Disaggregation Records'!$H$152:$H$513,MATCH(RIGHT(L1099,255),RIGHT('Disaggregation Records'!$D$152:$D$513,255),0))="","",INDEX('Disaggregation Records'!$H$152:$H$513,MATCH(RIGHT(L1099,255),RIGHT('Disaggregation Records'!$D$152:$D$513,255),0))),"")</f>
        <v/>
      </c>
      <c r="Q1099" s="52">
        <f t="shared" ref="Q1099" si="1282">Q1097+1</f>
        <v>1734</v>
      </c>
    </row>
    <row r="1100" spans="1:17" ht="20.100000000000001" customHeight="1" x14ac:dyDescent="0.25">
      <c r="B1100" s="602"/>
      <c r="C1100" s="604"/>
      <c r="D1100" s="606"/>
      <c r="E1100" s="606"/>
      <c r="F1100" s="132"/>
      <c r="G1100" s="608"/>
      <c r="H1100" s="598"/>
      <c r="I1100" s="600"/>
      <c r="J1100" s="532"/>
      <c r="L1100" s="130"/>
      <c r="N1100" s="130"/>
      <c r="O1100" s="130"/>
    </row>
    <row r="1101" spans="1:17" ht="21.75" customHeight="1" x14ac:dyDescent="0.25">
      <c r="A1101" s="130" t="str">
        <f t="shared" ca="1" si="1253"/>
        <v>a16Dm000000LZdOIAW</v>
      </c>
      <c r="B1101" s="601">
        <v>13</v>
      </c>
      <c r="C1101" s="603" t="str">
        <f>IFERROR(VLOOKUP(B1101,'Coverage Indicators - Section D'!$A$9:$AO$70,41,FALSE),"")</f>
        <v>TCS-1c⁽ᴹ⁾ Percentage of children (under 15) on ART among all children living with HIV at the end of the reporting period</v>
      </c>
      <c r="D1101" s="605" t="str">
        <f>M1101</f>
        <v>Gender</v>
      </c>
      <c r="E1101" s="605" t="str">
        <f>N1101</f>
        <v>Male</v>
      </c>
      <c r="F1101" s="131">
        <v>87</v>
      </c>
      <c r="G1101" s="607">
        <f ca="1">IF(OR(INDIRECT("'update Helper'!E"&amp;Q1101)="",F1101&lt;&gt;0,F1102&lt;&gt;0),IF(IFERROR((F1101/F1102),"")="","",(F1101/F1102)),INDIRECT("'update Helper'!E"&amp;Q1101)/100)</f>
        <v>0.88775510204081631</v>
      </c>
      <c r="H1101" s="597">
        <v>2022</v>
      </c>
      <c r="I1101" s="599" t="s">
        <v>2247</v>
      </c>
      <c r="J1101" s="531" t="s">
        <v>2251</v>
      </c>
      <c r="K1101" s="130">
        <f>IF(AND(EXACT(C1101,C1099),C1099&lt;&gt;0),K1099+1,0)</f>
        <v>0</v>
      </c>
      <c r="L1101" s="130" t="str">
        <f t="shared" ref="L1101" si="1283">IF(C1101&lt;&gt;"",C1101&amp;"-"&amp;K1101,"")</f>
        <v>TCS-1c⁽ᴹ⁾ Percentage of children (under 15) on ART among all children living with HIV at the end of the reporting period-0</v>
      </c>
      <c r="M1101" s="130" t="str">
        <f t="array" ref="M1101">IFERROR(IF(INDEX('Disaggregation Records'!$E$152:$E$513,MATCH(RIGHT(L1101,255),RIGHT('Disaggregation Records'!$D$152:$D$513,255),0))="","",INDEX('Disaggregation Records'!$E$152:$E$513,MATCH(RIGHT(L1101,255),RIGHT('Disaggregation Records'!$D$152:$D$513,255),0))),"")</f>
        <v>Gender</v>
      </c>
      <c r="N1101" s="130" t="str">
        <f t="array" ref="N1101">IFERROR(IF(INDEX('Disaggregation Records'!$F$152:$F$513,MATCH(RIGHT(L1101,255),RIGHT('Disaggregation Records'!$D$152:$D$513,255),0))="","",INDEX('Disaggregation Records'!$F$152:$F$513,MATCH(RIGHT(L1101,255),RIGHT('Disaggregation Records'!$D$152:$D$513,255),0))),"")</f>
        <v>Male</v>
      </c>
      <c r="O1101" s="130" t="str">
        <f t="array" ref="O1101">IFERROR(IF(INDEX('Disaggregation Records'!$H$152:$H$513,MATCH(RIGHT(L1101,255),RIGHT('Disaggregation Records'!$D$152:$D$513,255),0))="","",INDEX('Disaggregation Records'!$H$152:$H$513,MATCH(RIGHT(L1101,255),RIGHT('Disaggregation Records'!$D$152:$D$513,255),0))),"")</f>
        <v>IDR-01302</v>
      </c>
      <c r="P1101" s="130"/>
      <c r="Q1101" s="52">
        <f t="shared" ref="Q1101" si="1284">Q1099+1</f>
        <v>1735</v>
      </c>
    </row>
    <row r="1102" spans="1:17" ht="31.5" customHeight="1" x14ac:dyDescent="0.25">
      <c r="A1102" s="130"/>
      <c r="B1102" s="602"/>
      <c r="C1102" s="604"/>
      <c r="D1102" s="606"/>
      <c r="E1102" s="606"/>
      <c r="F1102" s="132">
        <v>98</v>
      </c>
      <c r="G1102" s="608"/>
      <c r="H1102" s="598"/>
      <c r="I1102" s="600"/>
      <c r="J1102" s="532"/>
      <c r="K1102" s="130"/>
      <c r="L1102" s="130"/>
      <c r="M1102" s="130"/>
      <c r="N1102" s="130"/>
      <c r="O1102" s="130"/>
      <c r="P1102" s="130"/>
    </row>
    <row r="1103" spans="1:17" ht="20.100000000000001" customHeight="1" x14ac:dyDescent="0.25">
      <c r="A1103" s="130" t="str">
        <f t="shared" ca="1" si="1256"/>
        <v>a16Dm000000LZdPIAW</v>
      </c>
      <c r="B1103" s="601">
        <v>13</v>
      </c>
      <c r="C1103" s="603" t="str">
        <f>IFERROR(VLOOKUP(B1103,'Coverage Indicators - Section D'!$A$9:$AO$70,41,FALSE),"")</f>
        <v>TCS-1c⁽ᴹ⁾ Percentage of children (under 15) on ART among all children living with HIV at the end of the reporting period</v>
      </c>
      <c r="D1103" s="605" t="str">
        <f>M1103</f>
        <v>Gender</v>
      </c>
      <c r="E1103" s="605" t="str">
        <f>N1103</f>
        <v>Female</v>
      </c>
      <c r="F1103" s="131">
        <v>80</v>
      </c>
      <c r="G1103" s="607">
        <f ca="1">IF(OR(INDIRECT("'update Helper'!E"&amp;Q1103)="",F1103&lt;&gt;0,F1104&lt;&gt;0),IF(IFERROR((F1103/F1104),"")="","",(F1103/F1104)),INDIRECT("'update Helper'!E"&amp;Q1103)/100)</f>
        <v>0.90909090909090906</v>
      </c>
      <c r="H1103" s="597">
        <v>2022</v>
      </c>
      <c r="I1103" s="599" t="s">
        <v>2247</v>
      </c>
      <c r="J1103" s="531" t="s">
        <v>2251</v>
      </c>
      <c r="K1103" s="130">
        <f>IF(AND(EXACT(C1103,C1101),C1101&lt;&gt;0),K1101+1,0)</f>
        <v>1</v>
      </c>
      <c r="L1103" s="130" t="str">
        <f t="shared" ref="L1103" si="1285">IF(C1103&lt;&gt;"",C1103&amp;"-"&amp;K1103,"")</f>
        <v>TCS-1c⁽ᴹ⁾ Percentage of children (under 15) on ART among all children living with HIV at the end of the reporting period-1</v>
      </c>
      <c r="M1103" s="130" t="str">
        <f t="array" ref="M1103">IFERROR(IF(INDEX('Disaggregation Records'!$E$152:$E$513,MATCH(RIGHT(L1103,255),RIGHT('Disaggregation Records'!$D$152:$D$513,255),0))="","",INDEX('Disaggregation Records'!$E$152:$E$513,MATCH(RIGHT(L1103,255),RIGHT('Disaggregation Records'!$D$152:$D$513,255),0))),"")</f>
        <v>Gender</v>
      </c>
      <c r="N1103" s="130" t="str">
        <f t="array" ref="N1103">IFERROR(IF(INDEX('Disaggregation Records'!$F$152:$F$513,MATCH(RIGHT(L1103,255),RIGHT('Disaggregation Records'!$D$152:$D$513,255),0))="","",INDEX('Disaggregation Records'!$F$152:$F$513,MATCH(RIGHT(L1103,255),RIGHT('Disaggregation Records'!$D$152:$D$513,255),0))),"")</f>
        <v>Female</v>
      </c>
      <c r="O1103" s="130" t="str">
        <f t="array" ref="O1103">IFERROR(IF(INDEX('Disaggregation Records'!$H$152:$H$513,MATCH(RIGHT(L1103,255),RIGHT('Disaggregation Records'!$D$152:$D$513,255),0))="","",INDEX('Disaggregation Records'!$H$152:$H$513,MATCH(RIGHT(L1103,255),RIGHT('Disaggregation Records'!$D$152:$D$513,255),0))),"")</f>
        <v>IDR-01301</v>
      </c>
      <c r="P1103" s="130"/>
      <c r="Q1103" s="52">
        <f t="shared" ref="Q1103" si="1286">Q1101+1</f>
        <v>1736</v>
      </c>
    </row>
    <row r="1104" spans="1:17" ht="36.75" customHeight="1" x14ac:dyDescent="0.25">
      <c r="B1104" s="602"/>
      <c r="C1104" s="604"/>
      <c r="D1104" s="606"/>
      <c r="E1104" s="606"/>
      <c r="F1104" s="132">
        <v>88</v>
      </c>
      <c r="G1104" s="608"/>
      <c r="H1104" s="598"/>
      <c r="I1104" s="600"/>
      <c r="J1104" s="532"/>
      <c r="K1104" s="130"/>
      <c r="L1104" s="130"/>
      <c r="M1104" s="130"/>
      <c r="N1104" s="130"/>
      <c r="O1104" s="130"/>
      <c r="P1104" s="130"/>
    </row>
    <row r="1105" spans="1:17" ht="20.100000000000001" customHeight="1" x14ac:dyDescent="0.25">
      <c r="A1105" s="130" t="str">
        <f t="shared" ca="1" si="1253"/>
        <v>a16Dm000000LZdQIAW</v>
      </c>
      <c r="B1105" s="601">
        <v>13</v>
      </c>
      <c r="C1105" s="603" t="str">
        <f>IFERROR(VLOOKUP(B1105,'Coverage Indicators - Section D'!$A$9:$AO$70,41,FALSE),"")</f>
        <v>TCS-1c⁽ᴹ⁾ Percentage of children (under 15) on ART among all children living with HIV at the end of the reporting period</v>
      </c>
      <c r="D1105" s="605" t="str">
        <f>M1105</f>
        <v/>
      </c>
      <c r="E1105" s="605" t="str">
        <f>N1105</f>
        <v/>
      </c>
      <c r="F1105" s="131"/>
      <c r="G1105" s="607" t="str">
        <f ca="1">IF(OR(INDIRECT("'update Helper'!E"&amp;Q1105)="",F1105&lt;&gt;0,F1106&lt;&gt;0),IF(IFERROR((F1105/F1106),"")="","",(F1105/F1106)),INDIRECT("'update Helper'!E"&amp;Q1105)/100)</f>
        <v/>
      </c>
      <c r="H1105" s="597"/>
      <c r="I1105" s="599"/>
      <c r="J1105" s="531"/>
      <c r="K1105" s="130">
        <f>IF(AND(EXACT(C1105,C1103),C1103&lt;&gt;0),K1103+1,0)</f>
        <v>2</v>
      </c>
      <c r="L1105" s="130" t="str">
        <f t="shared" ref="L1105" si="1287">IF(C1105&lt;&gt;"",C1105&amp;"-"&amp;K1105,"")</f>
        <v>TCS-1c⁽ᴹ⁾ Percentage of children (under 15) on ART among all children living with HIV at the end of the reporting period-2</v>
      </c>
      <c r="M1105" s="130" t="str">
        <f t="array" ref="M1105">IFERROR(IF(INDEX('Disaggregation Records'!$E$152:$E$513,MATCH(RIGHT(L1105,255),RIGHT('Disaggregation Records'!$D$152:$D$513,255),0))="","",INDEX('Disaggregation Records'!$E$152:$E$513,MATCH(RIGHT(L1105,255),RIGHT('Disaggregation Records'!$D$152:$D$513,255),0))),"")</f>
        <v/>
      </c>
      <c r="N1105" s="130" t="str">
        <f t="array" ref="N1105">IFERROR(IF(INDEX('Disaggregation Records'!$F$152:$F$513,MATCH(RIGHT(L1105,255),RIGHT('Disaggregation Records'!$D$152:$D$513,255),0))="","",INDEX('Disaggregation Records'!$F$152:$F$513,MATCH(RIGHT(L1105,255),RIGHT('Disaggregation Records'!$D$152:$D$513,255),0))),"")</f>
        <v/>
      </c>
      <c r="O1105" s="130" t="str">
        <f t="array" ref="O1105">IFERROR(IF(INDEX('Disaggregation Records'!$H$152:$H$513,MATCH(RIGHT(L1105,255),RIGHT('Disaggregation Records'!$D$152:$D$513,255),0))="","",INDEX('Disaggregation Records'!$H$152:$H$513,MATCH(RIGHT(L1105,255),RIGHT('Disaggregation Records'!$D$152:$D$513,255),0))),"")</f>
        <v/>
      </c>
      <c r="Q1105" s="52">
        <f t="shared" ref="Q1105" si="1288">Q1103+1</f>
        <v>1737</v>
      </c>
    </row>
    <row r="1106" spans="1:17" ht="20.100000000000001" customHeight="1" x14ac:dyDescent="0.25">
      <c r="A1106" s="130"/>
      <c r="B1106" s="602"/>
      <c r="C1106" s="604"/>
      <c r="D1106" s="606"/>
      <c r="E1106" s="606"/>
      <c r="F1106" s="132"/>
      <c r="G1106" s="608"/>
      <c r="H1106" s="598"/>
      <c r="I1106" s="600"/>
      <c r="J1106" s="532"/>
      <c r="L1106" s="130"/>
      <c r="N1106" s="130"/>
      <c r="O1106" s="130"/>
    </row>
    <row r="1107" spans="1:17" ht="20.100000000000001" customHeight="1" x14ac:dyDescent="0.25">
      <c r="A1107" s="130" t="str">
        <f t="shared" ca="1" si="1256"/>
        <v>a16Dm000000LZdRIAW</v>
      </c>
      <c r="B1107" s="601">
        <v>13</v>
      </c>
      <c r="C1107" s="603" t="str">
        <f>IFERROR(VLOOKUP(B1107,'Coverage Indicators - Section D'!$A$9:$AO$70,41,FALSE),"")</f>
        <v>TCS-1c⁽ᴹ⁾ Percentage of children (under 15) on ART among all children living with HIV at the end of the reporting period</v>
      </c>
      <c r="D1107" s="605" t="str">
        <f>M1107</f>
        <v/>
      </c>
      <c r="E1107" s="605" t="str">
        <f>N1107</f>
        <v/>
      </c>
      <c r="F1107" s="131"/>
      <c r="G1107" s="607" t="str">
        <f ca="1">IF(OR(INDIRECT("'update Helper'!E"&amp;Q1107)="",F1107&lt;&gt;0,F1108&lt;&gt;0),IF(IFERROR((F1107/F1108),"")="","",(F1107/F1108)),INDIRECT("'update Helper'!E"&amp;Q1107)/100)</f>
        <v/>
      </c>
      <c r="H1107" s="597"/>
      <c r="I1107" s="599"/>
      <c r="J1107" s="531"/>
      <c r="K1107" s="130">
        <f>IF(AND(EXACT(C1107,C1105),C1105&lt;&gt;0),K1105+1,0)</f>
        <v>3</v>
      </c>
      <c r="L1107" s="130" t="str">
        <f t="shared" ref="L1107" si="1289">IF(C1107&lt;&gt;"",C1107&amp;"-"&amp;K1107,"")</f>
        <v>TCS-1c⁽ᴹ⁾ Percentage of children (under 15) on ART among all children living with HIV at the end of the reporting period-3</v>
      </c>
      <c r="M1107" s="130" t="str">
        <f t="array" ref="M1107">IFERROR(IF(INDEX('Disaggregation Records'!$E$152:$E$513,MATCH(RIGHT(L1107,255),RIGHT('Disaggregation Records'!$D$152:$D$513,255),0))="","",INDEX('Disaggregation Records'!$E$152:$E$513,MATCH(RIGHT(L1107,255),RIGHT('Disaggregation Records'!$D$152:$D$513,255),0))),"")</f>
        <v/>
      </c>
      <c r="N1107" s="130" t="str">
        <f t="array" ref="N1107">IFERROR(IF(INDEX('Disaggregation Records'!$F$152:$F$513,MATCH(RIGHT(L1107,255),RIGHT('Disaggregation Records'!$D$152:$D$513,255),0))="","",INDEX('Disaggregation Records'!$F$152:$F$513,MATCH(RIGHT(L1107,255),RIGHT('Disaggregation Records'!$D$152:$D$513,255),0))),"")</f>
        <v/>
      </c>
      <c r="O1107" s="130" t="str">
        <f t="array" ref="O1107">IFERROR(IF(INDEX('Disaggregation Records'!$H$152:$H$513,MATCH(RIGHT(L1107,255),RIGHT('Disaggregation Records'!$D$152:$D$513,255),0))="","",INDEX('Disaggregation Records'!$H$152:$H$513,MATCH(RIGHT(L1107,255),RIGHT('Disaggregation Records'!$D$152:$D$513,255),0))),"")</f>
        <v/>
      </c>
      <c r="Q1107" s="52">
        <f t="shared" ref="Q1107" si="1290">Q1105+1</f>
        <v>1738</v>
      </c>
    </row>
    <row r="1108" spans="1:17" ht="20.100000000000001" customHeight="1" x14ac:dyDescent="0.25">
      <c r="B1108" s="602"/>
      <c r="C1108" s="604"/>
      <c r="D1108" s="606"/>
      <c r="E1108" s="606"/>
      <c r="F1108" s="132"/>
      <c r="G1108" s="608"/>
      <c r="H1108" s="598"/>
      <c r="I1108" s="600"/>
      <c r="J1108" s="532"/>
      <c r="L1108" s="130"/>
      <c r="N1108" s="130"/>
      <c r="O1108" s="130"/>
    </row>
    <row r="1109" spans="1:17" ht="20.100000000000001" customHeight="1" x14ac:dyDescent="0.25">
      <c r="A1109" s="130" t="str">
        <f t="shared" ca="1" si="1253"/>
        <v>a16Dm000000LZdSIAW</v>
      </c>
      <c r="B1109" s="601">
        <v>13</v>
      </c>
      <c r="C1109" s="603" t="str">
        <f>IFERROR(VLOOKUP(B1109,'Coverage Indicators - Section D'!$A$9:$AO$70,41,FALSE),"")</f>
        <v>TCS-1c⁽ᴹ⁾ Percentage of children (under 15) on ART among all children living with HIV at the end of the reporting period</v>
      </c>
      <c r="D1109" s="605" t="str">
        <f>M1109</f>
        <v/>
      </c>
      <c r="E1109" s="605" t="str">
        <f>N1109</f>
        <v/>
      </c>
      <c r="F1109" s="131"/>
      <c r="G1109" s="607" t="str">
        <f ca="1">IF(OR(INDIRECT("'update Helper'!E"&amp;Q1109)="",F1109&lt;&gt;0,F1110&lt;&gt;0),IF(IFERROR((F1109/F1110),"")="","",(F1109/F1110)),INDIRECT("'update Helper'!E"&amp;Q1109)/100)</f>
        <v/>
      </c>
      <c r="H1109" s="597"/>
      <c r="I1109" s="599"/>
      <c r="J1109" s="531"/>
      <c r="K1109" s="130">
        <f>IF(AND(EXACT(C1109,C1107),C1107&lt;&gt;0),K1107+1,0)</f>
        <v>4</v>
      </c>
      <c r="L1109" s="130" t="str">
        <f t="shared" ref="L1109" si="1291">IF(C1109&lt;&gt;"",C1109&amp;"-"&amp;K1109,"")</f>
        <v>TCS-1c⁽ᴹ⁾ Percentage of children (under 15) on ART among all children living with HIV at the end of the reporting period-4</v>
      </c>
      <c r="M1109" s="130" t="str">
        <f t="array" ref="M1109">IFERROR(IF(INDEX('Disaggregation Records'!$E$152:$E$513,MATCH(RIGHT(L1109,255),RIGHT('Disaggregation Records'!$D$152:$D$513,255),0))="","",INDEX('Disaggregation Records'!$E$152:$E$513,MATCH(RIGHT(L1109,255),RIGHT('Disaggregation Records'!$D$152:$D$513,255),0))),"")</f>
        <v/>
      </c>
      <c r="N1109" s="130" t="str">
        <f t="array" ref="N1109">IFERROR(IF(INDEX('Disaggregation Records'!$F$152:$F$513,MATCH(RIGHT(L1109,255),RIGHT('Disaggregation Records'!$D$152:$D$513,255),0))="","",INDEX('Disaggregation Records'!$F$152:$F$513,MATCH(RIGHT(L1109,255),RIGHT('Disaggregation Records'!$D$152:$D$513,255),0))),"")</f>
        <v/>
      </c>
      <c r="O1109" s="130" t="str">
        <f t="array" ref="O1109">IFERROR(IF(INDEX('Disaggregation Records'!$H$152:$H$513,MATCH(RIGHT(L1109,255),RIGHT('Disaggregation Records'!$D$152:$D$513,255),0))="","",INDEX('Disaggregation Records'!$H$152:$H$513,MATCH(RIGHT(L1109,255),RIGHT('Disaggregation Records'!$D$152:$D$513,255),0))),"")</f>
        <v/>
      </c>
      <c r="Q1109" s="52">
        <f t="shared" ref="Q1109" si="1292">Q1107+1</f>
        <v>1739</v>
      </c>
    </row>
    <row r="1110" spans="1:17" ht="20.100000000000001" customHeight="1" x14ac:dyDescent="0.25">
      <c r="A1110" s="130"/>
      <c r="B1110" s="602"/>
      <c r="C1110" s="604"/>
      <c r="D1110" s="606"/>
      <c r="E1110" s="606"/>
      <c r="F1110" s="132"/>
      <c r="G1110" s="608"/>
      <c r="H1110" s="598"/>
      <c r="I1110" s="600"/>
      <c r="J1110" s="532"/>
      <c r="L1110" s="130"/>
      <c r="N1110" s="130"/>
      <c r="O1110" s="130"/>
    </row>
    <row r="1111" spans="1:17" ht="20.100000000000001" customHeight="1" x14ac:dyDescent="0.25">
      <c r="A1111" s="130" t="str">
        <f t="shared" ca="1" si="1256"/>
        <v>a16Dm000000LZdTIAW</v>
      </c>
      <c r="B1111" s="601">
        <v>13</v>
      </c>
      <c r="C1111" s="603" t="str">
        <f>IFERROR(VLOOKUP(B1111,'Coverage Indicators - Section D'!$A$9:$AO$70,41,FALSE),"")</f>
        <v>TCS-1c⁽ᴹ⁾ Percentage of children (under 15) on ART among all children living with HIV at the end of the reporting period</v>
      </c>
      <c r="D1111" s="605" t="str">
        <f>M1111</f>
        <v/>
      </c>
      <c r="E1111" s="605" t="str">
        <f>N1111</f>
        <v/>
      </c>
      <c r="F1111" s="131"/>
      <c r="G1111" s="607" t="str">
        <f ca="1">IF(OR(INDIRECT("'update Helper'!E"&amp;Q1111)="",F1111&lt;&gt;0,F1112&lt;&gt;0),IF(IFERROR((F1111/F1112),"")="","",(F1111/F1112)),INDIRECT("'update Helper'!E"&amp;Q1111)/100)</f>
        <v/>
      </c>
      <c r="H1111" s="597"/>
      <c r="I1111" s="599"/>
      <c r="J1111" s="531"/>
      <c r="K1111" s="130">
        <f>IF(AND(EXACT(C1111,C1109),C1109&lt;&gt;0),K1109+1,0)</f>
        <v>5</v>
      </c>
      <c r="L1111" s="130" t="str">
        <f t="shared" ref="L1111" si="1293">IF(C1111&lt;&gt;"",C1111&amp;"-"&amp;K1111,"")</f>
        <v>TCS-1c⁽ᴹ⁾ Percentage of children (under 15) on ART among all children living with HIV at the end of the reporting period-5</v>
      </c>
      <c r="M1111" s="130" t="str">
        <f t="array" ref="M1111">IFERROR(IF(INDEX('Disaggregation Records'!$E$152:$E$513,MATCH(RIGHT(L1111,255),RIGHT('Disaggregation Records'!$D$152:$D$513,255),0))="","",INDEX('Disaggregation Records'!$E$152:$E$513,MATCH(RIGHT(L1111,255),RIGHT('Disaggregation Records'!$D$152:$D$513,255),0))),"")</f>
        <v/>
      </c>
      <c r="N1111" s="130" t="str">
        <f t="array" ref="N1111">IFERROR(IF(INDEX('Disaggregation Records'!$F$152:$F$513,MATCH(RIGHT(L1111,255),RIGHT('Disaggregation Records'!$D$152:$D$513,255),0))="","",INDEX('Disaggregation Records'!$F$152:$F$513,MATCH(RIGHT(L1111,255),RIGHT('Disaggregation Records'!$D$152:$D$513,255),0))),"")</f>
        <v/>
      </c>
      <c r="O1111" s="130" t="str">
        <f t="array" ref="O1111">IFERROR(IF(INDEX('Disaggregation Records'!$H$152:$H$513,MATCH(RIGHT(L1111,255),RIGHT('Disaggregation Records'!$D$152:$D$513,255),0))="","",INDEX('Disaggregation Records'!$H$152:$H$513,MATCH(RIGHT(L1111,255),RIGHT('Disaggregation Records'!$D$152:$D$513,255),0))),"")</f>
        <v/>
      </c>
      <c r="P1111" s="130"/>
      <c r="Q1111" s="52">
        <f t="shared" ref="Q1111" si="1294">Q1109+1</f>
        <v>1740</v>
      </c>
    </row>
    <row r="1112" spans="1:17" ht="20.100000000000001" customHeight="1" x14ac:dyDescent="0.25">
      <c r="B1112" s="602"/>
      <c r="C1112" s="604"/>
      <c r="D1112" s="606"/>
      <c r="E1112" s="606"/>
      <c r="F1112" s="132"/>
      <c r="G1112" s="608"/>
      <c r="H1112" s="598"/>
      <c r="I1112" s="600"/>
      <c r="J1112" s="532"/>
      <c r="K1112" s="130"/>
      <c r="L1112" s="130"/>
      <c r="M1112" s="130"/>
      <c r="N1112" s="130"/>
      <c r="O1112" s="130"/>
      <c r="P1112" s="130"/>
    </row>
    <row r="1113" spans="1:17" ht="20.100000000000001" customHeight="1" x14ac:dyDescent="0.25">
      <c r="A1113" s="130" t="str">
        <f t="shared" ca="1" si="1253"/>
        <v>a16Dm000000LZdUIAW</v>
      </c>
      <c r="B1113" s="601">
        <v>13</v>
      </c>
      <c r="C1113" s="603" t="str">
        <f>IFERROR(VLOOKUP(B1113,'Coverage Indicators - Section D'!$A$9:$AO$70,41,FALSE),"")</f>
        <v>TCS-1c⁽ᴹ⁾ Percentage of children (under 15) on ART among all children living with HIV at the end of the reporting period</v>
      </c>
      <c r="D1113" s="605" t="str">
        <f>M1113</f>
        <v/>
      </c>
      <c r="E1113" s="605" t="str">
        <f>N1113</f>
        <v/>
      </c>
      <c r="F1113" s="131"/>
      <c r="G1113" s="607" t="str">
        <f ca="1">IF(OR(INDIRECT("'update Helper'!E"&amp;Q1113)="",F1113&lt;&gt;0,F1114&lt;&gt;0),IF(IFERROR((F1113/F1114),"")="","",(F1113/F1114)),INDIRECT("'update Helper'!E"&amp;Q1113)/100)</f>
        <v/>
      </c>
      <c r="H1113" s="597"/>
      <c r="I1113" s="599"/>
      <c r="J1113" s="531"/>
      <c r="K1113" s="130">
        <f>IF(AND(EXACT(C1113,C1111),C1111&lt;&gt;0),K1111+1,0)</f>
        <v>6</v>
      </c>
      <c r="L1113" s="130" t="str">
        <f t="shared" ref="L1113" si="1295">IF(C1113&lt;&gt;"",C1113&amp;"-"&amp;K1113,"")</f>
        <v>TCS-1c⁽ᴹ⁾ Percentage of children (under 15) on ART among all children living with HIV at the end of the reporting period-6</v>
      </c>
      <c r="M1113" s="130" t="str">
        <f t="array" ref="M1113">IFERROR(IF(INDEX('Disaggregation Records'!$E$152:$E$513,MATCH(RIGHT(L1113,255),RIGHT('Disaggregation Records'!$D$152:$D$513,255),0))="","",INDEX('Disaggregation Records'!$E$152:$E$513,MATCH(RIGHT(L1113,255),RIGHT('Disaggregation Records'!$D$152:$D$513,255),0))),"")</f>
        <v/>
      </c>
      <c r="N1113" s="130" t="str">
        <f t="array" ref="N1113">IFERROR(IF(INDEX('Disaggregation Records'!$F$152:$F$513,MATCH(RIGHT(L1113,255),RIGHT('Disaggregation Records'!$D$152:$D$513,255),0))="","",INDEX('Disaggregation Records'!$F$152:$F$513,MATCH(RIGHT(L1113,255),RIGHT('Disaggregation Records'!$D$152:$D$513,255),0))),"")</f>
        <v/>
      </c>
      <c r="O1113" s="130" t="str">
        <f t="array" ref="O1113">IFERROR(IF(INDEX('Disaggregation Records'!$H$152:$H$513,MATCH(RIGHT(L1113,255),RIGHT('Disaggregation Records'!$D$152:$D$513,255),0))="","",INDEX('Disaggregation Records'!$H$152:$H$513,MATCH(RIGHT(L1113,255),RIGHT('Disaggregation Records'!$D$152:$D$513,255),0))),"")</f>
        <v/>
      </c>
      <c r="P1113" s="130"/>
      <c r="Q1113" s="52">
        <f t="shared" ref="Q1113" si="1296">Q1111+1</f>
        <v>1741</v>
      </c>
    </row>
    <row r="1114" spans="1:17" ht="20.100000000000001" customHeight="1" x14ac:dyDescent="0.25">
      <c r="A1114" s="130"/>
      <c r="B1114" s="602"/>
      <c r="C1114" s="604"/>
      <c r="D1114" s="606"/>
      <c r="E1114" s="606"/>
      <c r="F1114" s="132"/>
      <c r="G1114" s="608"/>
      <c r="H1114" s="598"/>
      <c r="I1114" s="600"/>
      <c r="J1114" s="532"/>
      <c r="K1114" s="130"/>
      <c r="L1114" s="130"/>
      <c r="M1114" s="130"/>
      <c r="N1114" s="130"/>
      <c r="O1114" s="130"/>
      <c r="P1114" s="130"/>
    </row>
    <row r="1115" spans="1:17" ht="20.100000000000001" customHeight="1" x14ac:dyDescent="0.25">
      <c r="A1115" s="130" t="str">
        <f t="shared" ca="1" si="1256"/>
        <v>a16Dm000000LZdVIAW</v>
      </c>
      <c r="B1115" s="601">
        <v>13</v>
      </c>
      <c r="C1115" s="603" t="str">
        <f>IFERROR(VLOOKUP(B1115,'Coverage Indicators - Section D'!$A$9:$AO$70,41,FALSE),"")</f>
        <v>TCS-1c⁽ᴹ⁾ Percentage of children (under 15) on ART among all children living with HIV at the end of the reporting period</v>
      </c>
      <c r="D1115" s="605" t="str">
        <f>M1115</f>
        <v/>
      </c>
      <c r="E1115" s="605" t="str">
        <f>N1115</f>
        <v/>
      </c>
      <c r="F1115" s="131"/>
      <c r="G1115" s="607" t="str">
        <f ca="1">IF(OR(INDIRECT("'update Helper'!E"&amp;Q1115)="",F1115&lt;&gt;0,F1116&lt;&gt;0),IF(IFERROR((F1115/F1116),"")="","",(F1115/F1116)),INDIRECT("'update Helper'!E"&amp;Q1115)/100)</f>
        <v/>
      </c>
      <c r="H1115" s="597"/>
      <c r="I1115" s="599"/>
      <c r="J1115" s="531"/>
      <c r="K1115" s="130">
        <f>IF(AND(EXACT(C1115,C1113),C1113&lt;&gt;0),K1113+1,0)</f>
        <v>7</v>
      </c>
      <c r="L1115" s="130" t="str">
        <f t="shared" ref="L1115" si="1297">IF(C1115&lt;&gt;"",C1115&amp;"-"&amp;K1115,"")</f>
        <v>TCS-1c⁽ᴹ⁾ Percentage of children (under 15) on ART among all children living with HIV at the end of the reporting period-7</v>
      </c>
      <c r="M1115" s="130" t="str">
        <f t="array" ref="M1115">IFERROR(IF(INDEX('Disaggregation Records'!$E$152:$E$513,MATCH(RIGHT(L1115,255),RIGHT('Disaggregation Records'!$D$152:$D$513,255),0))="","",INDEX('Disaggregation Records'!$E$152:$E$513,MATCH(RIGHT(L1115,255),RIGHT('Disaggregation Records'!$D$152:$D$513,255),0))),"")</f>
        <v/>
      </c>
      <c r="N1115" s="130" t="str">
        <f t="array" ref="N1115">IFERROR(IF(INDEX('Disaggregation Records'!$F$152:$F$513,MATCH(RIGHT(L1115,255),RIGHT('Disaggregation Records'!$D$152:$D$513,255),0))="","",INDEX('Disaggregation Records'!$F$152:$F$513,MATCH(RIGHT(L1115,255),RIGHT('Disaggregation Records'!$D$152:$D$513,255),0))),"")</f>
        <v/>
      </c>
      <c r="O1115" s="130" t="str">
        <f t="array" ref="O1115">IFERROR(IF(INDEX('Disaggregation Records'!$H$152:$H$513,MATCH(RIGHT(L1115,255),RIGHT('Disaggregation Records'!$D$152:$D$513,255),0))="","",INDEX('Disaggregation Records'!$H$152:$H$513,MATCH(RIGHT(L1115,255),RIGHT('Disaggregation Records'!$D$152:$D$513,255),0))),"")</f>
        <v/>
      </c>
      <c r="Q1115" s="52">
        <f t="shared" ref="Q1115" si="1298">Q1113+1</f>
        <v>1742</v>
      </c>
    </row>
    <row r="1116" spans="1:17" ht="20.100000000000001" customHeight="1" x14ac:dyDescent="0.25">
      <c r="B1116" s="602"/>
      <c r="C1116" s="604"/>
      <c r="D1116" s="606"/>
      <c r="E1116" s="606"/>
      <c r="F1116" s="132"/>
      <c r="G1116" s="608"/>
      <c r="H1116" s="598"/>
      <c r="I1116" s="600"/>
      <c r="J1116" s="532"/>
      <c r="L1116" s="130"/>
      <c r="N1116" s="130"/>
      <c r="O1116" s="130"/>
    </row>
    <row r="1117" spans="1:17" ht="20.100000000000001" customHeight="1" x14ac:dyDescent="0.25">
      <c r="A1117" s="130" t="str">
        <f t="shared" ca="1" si="1253"/>
        <v>a16Dm000000LZdWIAW</v>
      </c>
      <c r="B1117" s="601">
        <v>13</v>
      </c>
      <c r="C1117" s="603" t="str">
        <f>IFERROR(VLOOKUP(B1117,'Coverage Indicators - Section D'!$A$9:$AO$70,41,FALSE),"")</f>
        <v>TCS-1c⁽ᴹ⁾ Percentage of children (under 15) on ART among all children living with HIV at the end of the reporting period</v>
      </c>
      <c r="D1117" s="605" t="str">
        <f>M1117</f>
        <v/>
      </c>
      <c r="E1117" s="605" t="str">
        <f>N1117</f>
        <v/>
      </c>
      <c r="F1117" s="131"/>
      <c r="G1117" s="607" t="str">
        <f ca="1">IF(OR(INDIRECT("'update Helper'!E"&amp;Q1117)="",F1117&lt;&gt;0,F1118&lt;&gt;0),IF(IFERROR((F1117/F1118),"")="","",(F1117/F1118)),INDIRECT("'update Helper'!E"&amp;Q1117)/100)</f>
        <v/>
      </c>
      <c r="H1117" s="597"/>
      <c r="I1117" s="599"/>
      <c r="J1117" s="531"/>
      <c r="K1117" s="130">
        <f>IF(AND(EXACT(C1117,C1115),C1115&lt;&gt;0),K1115+1,0)</f>
        <v>8</v>
      </c>
      <c r="L1117" s="130" t="str">
        <f t="shared" ref="L1117" si="1299">IF(C1117&lt;&gt;"",C1117&amp;"-"&amp;K1117,"")</f>
        <v>TCS-1c⁽ᴹ⁾ Percentage of children (under 15) on ART among all children living with HIV at the end of the reporting period-8</v>
      </c>
      <c r="M1117" s="130" t="str">
        <f t="array" ref="M1117">IFERROR(IF(INDEX('Disaggregation Records'!$E$152:$E$513,MATCH(RIGHT(L1117,255),RIGHT('Disaggregation Records'!$D$152:$D$513,255),0))="","",INDEX('Disaggregation Records'!$E$152:$E$513,MATCH(RIGHT(L1117,255),RIGHT('Disaggregation Records'!$D$152:$D$513,255),0))),"")</f>
        <v/>
      </c>
      <c r="N1117" s="130" t="str">
        <f t="array" ref="N1117">IFERROR(IF(INDEX('Disaggregation Records'!$F$152:$F$513,MATCH(RIGHT(L1117,255),RIGHT('Disaggregation Records'!$D$152:$D$513,255),0))="","",INDEX('Disaggregation Records'!$F$152:$F$513,MATCH(RIGHT(L1117,255),RIGHT('Disaggregation Records'!$D$152:$D$513,255),0))),"")</f>
        <v/>
      </c>
      <c r="O1117" s="130" t="str">
        <f t="array" ref="O1117">IFERROR(IF(INDEX('Disaggregation Records'!$H$152:$H$513,MATCH(RIGHT(L1117,255),RIGHT('Disaggregation Records'!$D$152:$D$513,255),0))="","",INDEX('Disaggregation Records'!$H$152:$H$513,MATCH(RIGHT(L1117,255),RIGHT('Disaggregation Records'!$D$152:$D$513,255),0))),"")</f>
        <v/>
      </c>
      <c r="Q1117" s="52">
        <f t="shared" ref="Q1117" si="1300">Q1115+1</f>
        <v>1743</v>
      </c>
    </row>
    <row r="1118" spans="1:17" ht="20.100000000000001" customHeight="1" x14ac:dyDescent="0.25">
      <c r="A1118" s="130"/>
      <c r="B1118" s="602"/>
      <c r="C1118" s="604"/>
      <c r="D1118" s="606"/>
      <c r="E1118" s="606"/>
      <c r="F1118" s="132"/>
      <c r="G1118" s="608"/>
      <c r="H1118" s="598"/>
      <c r="I1118" s="600"/>
      <c r="J1118" s="532"/>
      <c r="L1118" s="130"/>
      <c r="N1118" s="130"/>
      <c r="O1118" s="130"/>
    </row>
    <row r="1119" spans="1:17" ht="20.100000000000001" customHeight="1" x14ac:dyDescent="0.25">
      <c r="A1119" s="130" t="str">
        <f t="shared" ca="1" si="1256"/>
        <v>a16Dm000000LZdXIAW</v>
      </c>
      <c r="B1119" s="601">
        <v>13</v>
      </c>
      <c r="C1119" s="603" t="str">
        <f>IFERROR(VLOOKUP(B1119,'Coverage Indicators - Section D'!$A$9:$AO$70,41,FALSE),"")</f>
        <v>TCS-1c⁽ᴹ⁾ Percentage of children (under 15) on ART among all children living with HIV at the end of the reporting period</v>
      </c>
      <c r="D1119" s="605" t="str">
        <f>M1119</f>
        <v/>
      </c>
      <c r="E1119" s="605" t="str">
        <f>N1119</f>
        <v/>
      </c>
      <c r="F1119" s="131"/>
      <c r="G1119" s="607" t="str">
        <f ca="1">IF(OR(INDIRECT("'update Helper'!E"&amp;Q1119)="",F1119&lt;&gt;0,F1120&lt;&gt;0),IF(IFERROR((F1119/F1120),"")="","",(F1119/F1120)),INDIRECT("'update Helper'!E"&amp;Q1119)/100)</f>
        <v/>
      </c>
      <c r="H1119" s="597"/>
      <c r="I1119" s="599"/>
      <c r="J1119" s="531"/>
      <c r="K1119" s="130">
        <f>IF(AND(EXACT(C1119,C1117),C1117&lt;&gt;0),K1117+1,0)</f>
        <v>9</v>
      </c>
      <c r="L1119" s="130" t="str">
        <f t="shared" ref="L1119" si="1301">IF(C1119&lt;&gt;"",C1119&amp;"-"&amp;K1119,"")</f>
        <v>TCS-1c⁽ᴹ⁾ Percentage of children (under 15) on ART among all children living with HIV at the end of the reporting period-9</v>
      </c>
      <c r="M1119" s="130" t="str">
        <f t="array" ref="M1119">IFERROR(IF(INDEX('Disaggregation Records'!$E$152:$E$513,MATCH(RIGHT(L1119,255),RIGHT('Disaggregation Records'!$D$152:$D$513,255),0))="","",INDEX('Disaggregation Records'!$E$152:$E$513,MATCH(RIGHT(L1119,255),RIGHT('Disaggregation Records'!$D$152:$D$513,255),0))),"")</f>
        <v/>
      </c>
      <c r="N1119" s="130" t="str">
        <f t="array" ref="N1119">IFERROR(IF(INDEX('Disaggregation Records'!$F$152:$F$513,MATCH(RIGHT(L1119,255),RIGHT('Disaggregation Records'!$D$152:$D$513,255),0))="","",INDEX('Disaggregation Records'!$F$152:$F$513,MATCH(RIGHT(L1119,255),RIGHT('Disaggregation Records'!$D$152:$D$513,255),0))),"")</f>
        <v/>
      </c>
      <c r="O1119" s="130" t="str">
        <f t="array" ref="O1119">IFERROR(IF(INDEX('Disaggregation Records'!$H$152:$H$513,MATCH(RIGHT(L1119,255),RIGHT('Disaggregation Records'!$D$152:$D$513,255),0))="","",INDEX('Disaggregation Records'!$H$152:$H$513,MATCH(RIGHT(L1119,255),RIGHT('Disaggregation Records'!$D$152:$D$513,255),0))),"")</f>
        <v/>
      </c>
      <c r="Q1119" s="52">
        <f t="shared" ref="Q1119" si="1302">Q1117+1</f>
        <v>1744</v>
      </c>
    </row>
    <row r="1120" spans="1:17" ht="20.100000000000001" customHeight="1" x14ac:dyDescent="0.25">
      <c r="B1120" s="602"/>
      <c r="C1120" s="604"/>
      <c r="D1120" s="606"/>
      <c r="E1120" s="606"/>
      <c r="F1120" s="132"/>
      <c r="G1120" s="608"/>
      <c r="H1120" s="598"/>
      <c r="I1120" s="600"/>
      <c r="J1120" s="532"/>
      <c r="L1120" s="130"/>
      <c r="N1120" s="130"/>
      <c r="O1120" s="130"/>
    </row>
    <row r="1121" spans="1:17" ht="20.100000000000001" customHeight="1" x14ac:dyDescent="0.25">
      <c r="A1121" s="130" t="str">
        <f t="shared" ca="1" si="1253"/>
        <v>a16Dm000000LZdYIAW</v>
      </c>
      <c r="B1121" s="601">
        <v>13</v>
      </c>
      <c r="C1121" s="603" t="str">
        <f>IFERROR(VLOOKUP(B1121,'Coverage Indicators - Section D'!$A$9:$AO$70,41,FALSE),"")</f>
        <v>TCS-1c⁽ᴹ⁾ Percentage of children (under 15) on ART among all children living with HIV at the end of the reporting period</v>
      </c>
      <c r="D1121" s="605" t="str">
        <f>M1121</f>
        <v/>
      </c>
      <c r="E1121" s="605" t="str">
        <f>N1121</f>
        <v/>
      </c>
      <c r="F1121" s="131"/>
      <c r="G1121" s="607" t="str">
        <f ca="1">IF(OR(INDIRECT("'update Helper'!E"&amp;Q1121)="",F1121&lt;&gt;0,F1122&lt;&gt;0),IF(IFERROR((F1121/F1122),"")="","",(F1121/F1122)),INDIRECT("'update Helper'!E"&amp;Q1121)/100)</f>
        <v/>
      </c>
      <c r="H1121" s="597"/>
      <c r="I1121" s="599"/>
      <c r="J1121" s="531"/>
      <c r="K1121" s="130">
        <f>IF(AND(EXACT(C1121,C1119),C1119&lt;&gt;0),K1119+1,0)</f>
        <v>10</v>
      </c>
      <c r="L1121" s="130" t="str">
        <f t="shared" ref="L1121" si="1303">IF(C1121&lt;&gt;"",C1121&amp;"-"&amp;K1121,"")</f>
        <v>TCS-1c⁽ᴹ⁾ Percentage of children (under 15) on ART among all children living with HIV at the end of the reporting period-10</v>
      </c>
      <c r="M1121" s="130" t="str">
        <f t="array" ref="M1121">IFERROR(IF(INDEX('Disaggregation Records'!$E$152:$E$513,MATCH(RIGHT(L1121,255),RIGHT('Disaggregation Records'!$D$152:$D$513,255),0))="","",INDEX('Disaggregation Records'!$E$152:$E$513,MATCH(RIGHT(L1121,255),RIGHT('Disaggregation Records'!$D$152:$D$513,255),0))),"")</f>
        <v/>
      </c>
      <c r="N1121" s="130" t="str">
        <f t="array" ref="N1121">IFERROR(IF(INDEX('Disaggregation Records'!$F$152:$F$513,MATCH(RIGHT(L1121,255),RIGHT('Disaggregation Records'!$D$152:$D$513,255),0))="","",INDEX('Disaggregation Records'!$F$152:$F$513,MATCH(RIGHT(L1121,255),RIGHT('Disaggregation Records'!$D$152:$D$513,255),0))),"")</f>
        <v/>
      </c>
      <c r="O1121" s="130" t="str">
        <f t="array" ref="O1121">IFERROR(IF(INDEX('Disaggregation Records'!$H$152:$H$513,MATCH(RIGHT(L1121,255),RIGHT('Disaggregation Records'!$D$152:$D$513,255),0))="","",INDEX('Disaggregation Records'!$H$152:$H$513,MATCH(RIGHT(L1121,255),RIGHT('Disaggregation Records'!$D$152:$D$513,255),0))),"")</f>
        <v/>
      </c>
      <c r="P1121" s="130"/>
      <c r="Q1121" s="52">
        <f t="shared" ref="Q1121" si="1304">Q1119+1</f>
        <v>1745</v>
      </c>
    </row>
    <row r="1122" spans="1:17" ht="20.100000000000001" customHeight="1" x14ac:dyDescent="0.25">
      <c r="A1122" s="130"/>
      <c r="B1122" s="602"/>
      <c r="C1122" s="604"/>
      <c r="D1122" s="606"/>
      <c r="E1122" s="606"/>
      <c r="F1122" s="132"/>
      <c r="G1122" s="608"/>
      <c r="H1122" s="598"/>
      <c r="I1122" s="600"/>
      <c r="J1122" s="532"/>
      <c r="K1122" s="130"/>
      <c r="L1122" s="130"/>
      <c r="M1122" s="130"/>
      <c r="N1122" s="130"/>
      <c r="O1122" s="130"/>
      <c r="P1122" s="130"/>
    </row>
    <row r="1123" spans="1:17" ht="20.100000000000001" customHeight="1" x14ac:dyDescent="0.25">
      <c r="A1123" s="130" t="str">
        <f t="shared" ca="1" si="1256"/>
        <v>a16Dm000000LZdZIAW</v>
      </c>
      <c r="B1123" s="601">
        <v>13</v>
      </c>
      <c r="C1123" s="603" t="str">
        <f>IFERROR(VLOOKUP(B1123,'Coverage Indicators - Section D'!$A$9:$AO$70,41,FALSE),"")</f>
        <v>TCS-1c⁽ᴹ⁾ Percentage of children (under 15) on ART among all children living with HIV at the end of the reporting period</v>
      </c>
      <c r="D1123" s="605" t="str">
        <f>M1123</f>
        <v/>
      </c>
      <c r="E1123" s="605" t="str">
        <f>N1123</f>
        <v/>
      </c>
      <c r="F1123" s="131"/>
      <c r="G1123" s="607" t="str">
        <f ca="1">IF(OR(INDIRECT("'update Helper'!E"&amp;Q1123)="",F1123&lt;&gt;0,F1124&lt;&gt;0),IF(IFERROR((F1123/F1124),"")="","",(F1123/F1124)),INDIRECT("'update Helper'!E"&amp;Q1123)/100)</f>
        <v/>
      </c>
      <c r="H1123" s="597"/>
      <c r="I1123" s="599"/>
      <c r="J1123" s="531"/>
      <c r="K1123" s="130">
        <f>IF(AND(EXACT(C1123,C1121),C1121&lt;&gt;0),K1121+1,0)</f>
        <v>11</v>
      </c>
      <c r="L1123" s="130" t="str">
        <f t="shared" ref="L1123" si="1305">IF(C1123&lt;&gt;"",C1123&amp;"-"&amp;K1123,"")</f>
        <v>TCS-1c⁽ᴹ⁾ Percentage of children (under 15) on ART among all children living with HIV at the end of the reporting period-11</v>
      </c>
      <c r="M1123" s="130" t="str">
        <f t="array" ref="M1123">IFERROR(IF(INDEX('Disaggregation Records'!$E$152:$E$513,MATCH(RIGHT(L1123,255),RIGHT('Disaggregation Records'!$D$152:$D$513,255),0))="","",INDEX('Disaggregation Records'!$E$152:$E$513,MATCH(RIGHT(L1123,255),RIGHT('Disaggregation Records'!$D$152:$D$513,255),0))),"")</f>
        <v/>
      </c>
      <c r="N1123" s="130" t="str">
        <f t="array" ref="N1123">IFERROR(IF(INDEX('Disaggregation Records'!$F$152:$F$513,MATCH(RIGHT(L1123,255),RIGHT('Disaggregation Records'!$D$152:$D$513,255),0))="","",INDEX('Disaggregation Records'!$F$152:$F$513,MATCH(RIGHT(L1123,255),RIGHT('Disaggregation Records'!$D$152:$D$513,255),0))),"")</f>
        <v/>
      </c>
      <c r="O1123" s="130" t="str">
        <f t="array" ref="O1123">IFERROR(IF(INDEX('Disaggregation Records'!$H$152:$H$513,MATCH(RIGHT(L1123,255),RIGHT('Disaggregation Records'!$D$152:$D$513,255),0))="","",INDEX('Disaggregation Records'!$H$152:$H$513,MATCH(RIGHT(L1123,255),RIGHT('Disaggregation Records'!$D$152:$D$513,255),0))),"")</f>
        <v/>
      </c>
      <c r="P1123" s="130"/>
      <c r="Q1123" s="52">
        <f t="shared" ref="Q1123" si="1306">Q1121+1</f>
        <v>1746</v>
      </c>
    </row>
    <row r="1124" spans="1:17" ht="20.100000000000001" customHeight="1" x14ac:dyDescent="0.25">
      <c r="B1124" s="602"/>
      <c r="C1124" s="604"/>
      <c r="D1124" s="606"/>
      <c r="E1124" s="606"/>
      <c r="F1124" s="132"/>
      <c r="G1124" s="608"/>
      <c r="H1124" s="598"/>
      <c r="I1124" s="600"/>
      <c r="J1124" s="532"/>
      <c r="K1124" s="130"/>
      <c r="L1124" s="130"/>
      <c r="M1124" s="130"/>
      <c r="N1124" s="130"/>
      <c r="O1124" s="130"/>
      <c r="P1124" s="130"/>
    </row>
    <row r="1125" spans="1:17" ht="20.100000000000001" customHeight="1" x14ac:dyDescent="0.25">
      <c r="A1125" s="130" t="str">
        <f t="shared" ca="1" si="1253"/>
        <v>a16Dm000000LZdaIAG</v>
      </c>
      <c r="B1125" s="601">
        <v>13</v>
      </c>
      <c r="C1125" s="603" t="str">
        <f>IFERROR(VLOOKUP(B1125,'Coverage Indicators - Section D'!$A$9:$AO$70,41,FALSE),"")</f>
        <v>TCS-1c⁽ᴹ⁾ Percentage of children (under 15) on ART among all children living with HIV at the end of the reporting period</v>
      </c>
      <c r="D1125" s="605" t="str">
        <f>M1125</f>
        <v/>
      </c>
      <c r="E1125" s="605" t="str">
        <f>N1125</f>
        <v/>
      </c>
      <c r="F1125" s="131"/>
      <c r="G1125" s="607" t="str">
        <f ca="1">IF(OR(INDIRECT("'update Helper'!E"&amp;Q1125)="",F1125&lt;&gt;0,F1126&lt;&gt;0),IF(IFERROR((F1125/F1126),"")="","",(F1125/F1126)),INDIRECT("'update Helper'!E"&amp;Q1125)/100)</f>
        <v/>
      </c>
      <c r="H1125" s="597"/>
      <c r="I1125" s="599"/>
      <c r="J1125" s="531"/>
      <c r="K1125" s="130">
        <f>IF(AND(EXACT(C1125,C1123),C1123&lt;&gt;0),K1123+1,0)</f>
        <v>12</v>
      </c>
      <c r="L1125" s="130" t="str">
        <f t="shared" ref="L1125" si="1307">IF(C1125&lt;&gt;"",C1125&amp;"-"&amp;K1125,"")</f>
        <v>TCS-1c⁽ᴹ⁾ Percentage of children (under 15) on ART among all children living with HIV at the end of the reporting period-12</v>
      </c>
      <c r="M1125" s="130" t="str">
        <f t="array" ref="M1125">IFERROR(IF(INDEX('Disaggregation Records'!$E$152:$E$513,MATCH(RIGHT(L1125,255),RIGHT('Disaggregation Records'!$D$152:$D$513,255),0))="","",INDEX('Disaggregation Records'!$E$152:$E$513,MATCH(RIGHT(L1125,255),RIGHT('Disaggregation Records'!$D$152:$D$513,255),0))),"")</f>
        <v/>
      </c>
      <c r="N1125" s="130" t="str">
        <f t="array" ref="N1125">IFERROR(IF(INDEX('Disaggregation Records'!$F$152:$F$513,MATCH(RIGHT(L1125,255),RIGHT('Disaggregation Records'!$D$152:$D$513,255),0))="","",INDEX('Disaggregation Records'!$F$152:$F$513,MATCH(RIGHT(L1125,255),RIGHT('Disaggregation Records'!$D$152:$D$513,255),0))),"")</f>
        <v/>
      </c>
      <c r="O1125" s="130" t="str">
        <f t="array" ref="O1125">IFERROR(IF(INDEX('Disaggregation Records'!$H$152:$H$513,MATCH(RIGHT(L1125,255),RIGHT('Disaggregation Records'!$D$152:$D$513,255),0))="","",INDEX('Disaggregation Records'!$H$152:$H$513,MATCH(RIGHT(L1125,255),RIGHT('Disaggregation Records'!$D$152:$D$513,255),0))),"")</f>
        <v/>
      </c>
      <c r="Q1125" s="52">
        <f t="shared" ref="Q1125" si="1308">Q1123+1</f>
        <v>1747</v>
      </c>
    </row>
    <row r="1126" spans="1:17" ht="20.100000000000001" customHeight="1" x14ac:dyDescent="0.25">
      <c r="A1126" s="130"/>
      <c r="B1126" s="602"/>
      <c r="C1126" s="604"/>
      <c r="D1126" s="606"/>
      <c r="E1126" s="606"/>
      <c r="F1126" s="132"/>
      <c r="G1126" s="608"/>
      <c r="H1126" s="598"/>
      <c r="I1126" s="600"/>
      <c r="J1126" s="532"/>
      <c r="L1126" s="130"/>
      <c r="N1126" s="130"/>
      <c r="O1126" s="130"/>
    </row>
    <row r="1127" spans="1:17" ht="20.100000000000001" customHeight="1" x14ac:dyDescent="0.25">
      <c r="A1127" s="130" t="str">
        <f t="shared" ca="1" si="1256"/>
        <v>a16Dm000000LZdbIAG</v>
      </c>
      <c r="B1127" s="601">
        <v>13</v>
      </c>
      <c r="C1127" s="603" t="str">
        <f>IFERROR(VLOOKUP(B1127,'Coverage Indicators - Section D'!$A$9:$AO$70,41,FALSE),"")</f>
        <v>TCS-1c⁽ᴹ⁾ Percentage of children (under 15) on ART among all children living with HIV at the end of the reporting period</v>
      </c>
      <c r="D1127" s="605" t="str">
        <f>M1127</f>
        <v/>
      </c>
      <c r="E1127" s="605" t="str">
        <f>N1127</f>
        <v/>
      </c>
      <c r="F1127" s="131"/>
      <c r="G1127" s="607" t="str">
        <f ca="1">IF(OR(INDIRECT("'update Helper'!E"&amp;Q1127)="",F1127&lt;&gt;0,F1128&lt;&gt;0),IF(IFERROR((F1127/F1128),"")="","",(F1127/F1128)),INDIRECT("'update Helper'!E"&amp;Q1127)/100)</f>
        <v/>
      </c>
      <c r="H1127" s="597"/>
      <c r="I1127" s="599"/>
      <c r="J1127" s="531"/>
      <c r="K1127" s="130">
        <f>IF(AND(EXACT(C1127,C1125),C1125&lt;&gt;0),K1125+1,0)</f>
        <v>13</v>
      </c>
      <c r="L1127" s="130" t="str">
        <f t="shared" ref="L1127" si="1309">IF(C1127&lt;&gt;"",C1127&amp;"-"&amp;K1127,"")</f>
        <v>TCS-1c⁽ᴹ⁾ Percentage of children (under 15) on ART among all children living with HIV at the end of the reporting period-13</v>
      </c>
      <c r="M1127" s="130" t="str">
        <f t="array" ref="M1127">IFERROR(IF(INDEX('Disaggregation Records'!$E$152:$E$513,MATCH(RIGHT(L1127,255),RIGHT('Disaggregation Records'!$D$152:$D$513,255),0))="","",INDEX('Disaggregation Records'!$E$152:$E$513,MATCH(RIGHT(L1127,255),RIGHT('Disaggregation Records'!$D$152:$D$513,255),0))),"")</f>
        <v/>
      </c>
      <c r="N1127" s="130" t="str">
        <f t="array" ref="N1127">IFERROR(IF(INDEX('Disaggregation Records'!$F$152:$F$513,MATCH(RIGHT(L1127,255),RIGHT('Disaggregation Records'!$D$152:$D$513,255),0))="","",INDEX('Disaggregation Records'!$F$152:$F$513,MATCH(RIGHT(L1127,255),RIGHT('Disaggregation Records'!$D$152:$D$513,255),0))),"")</f>
        <v/>
      </c>
      <c r="O1127" s="130" t="str">
        <f t="array" ref="O1127">IFERROR(IF(INDEX('Disaggregation Records'!$H$152:$H$513,MATCH(RIGHT(L1127,255),RIGHT('Disaggregation Records'!$D$152:$D$513,255),0))="","",INDEX('Disaggregation Records'!$H$152:$H$513,MATCH(RIGHT(L1127,255),RIGHT('Disaggregation Records'!$D$152:$D$513,255),0))),"")</f>
        <v/>
      </c>
      <c r="Q1127" s="52">
        <f t="shared" ref="Q1127" si="1310">Q1125+1</f>
        <v>1748</v>
      </c>
    </row>
    <row r="1128" spans="1:17" ht="20.100000000000001" customHeight="1" x14ac:dyDescent="0.25">
      <c r="B1128" s="602"/>
      <c r="C1128" s="604"/>
      <c r="D1128" s="606"/>
      <c r="E1128" s="606"/>
      <c r="F1128" s="132"/>
      <c r="G1128" s="608"/>
      <c r="H1128" s="598"/>
      <c r="I1128" s="600"/>
      <c r="J1128" s="532"/>
      <c r="L1128" s="130"/>
      <c r="N1128" s="130"/>
      <c r="O1128" s="130"/>
    </row>
    <row r="1129" spans="1:17" ht="20.100000000000001" customHeight="1" x14ac:dyDescent="0.25">
      <c r="A1129" s="130" t="str">
        <f t="shared" ca="1" si="1253"/>
        <v>a16Dm000000LZdcIAG</v>
      </c>
      <c r="B1129" s="601">
        <v>13</v>
      </c>
      <c r="C1129" s="603" t="str">
        <f>IFERROR(VLOOKUP(B1129,'Coverage Indicators - Section D'!$A$9:$AO$70,41,FALSE),"")</f>
        <v>TCS-1c⁽ᴹ⁾ Percentage of children (under 15) on ART among all children living with HIV at the end of the reporting period</v>
      </c>
      <c r="D1129" s="605" t="str">
        <f>M1129</f>
        <v/>
      </c>
      <c r="E1129" s="605" t="str">
        <f>N1129</f>
        <v/>
      </c>
      <c r="F1129" s="131"/>
      <c r="G1129" s="607" t="str">
        <f ca="1">IF(OR(INDIRECT("'update Helper'!E"&amp;Q1129)="",F1129&lt;&gt;0,F1130&lt;&gt;0),IF(IFERROR((F1129/F1130),"")="","",(F1129/F1130)),INDIRECT("'update Helper'!E"&amp;Q1129)/100)</f>
        <v/>
      </c>
      <c r="H1129" s="597"/>
      <c r="I1129" s="599"/>
      <c r="J1129" s="531"/>
      <c r="K1129" s="130">
        <f>IF(AND(EXACT(C1129,C1127),C1127&lt;&gt;0),K1127+1,0)</f>
        <v>14</v>
      </c>
      <c r="L1129" s="130" t="str">
        <f t="shared" ref="L1129" si="1311">IF(C1129&lt;&gt;"",C1129&amp;"-"&amp;K1129,"")</f>
        <v>TCS-1c⁽ᴹ⁾ Percentage of children (under 15) on ART among all children living with HIV at the end of the reporting period-14</v>
      </c>
      <c r="M1129" s="130" t="str">
        <f t="array" ref="M1129">IFERROR(IF(INDEX('Disaggregation Records'!$E$152:$E$513,MATCH(RIGHT(L1129,255),RIGHT('Disaggregation Records'!$D$152:$D$513,255),0))="","",INDEX('Disaggregation Records'!$E$152:$E$513,MATCH(RIGHT(L1129,255),RIGHT('Disaggregation Records'!$D$152:$D$513,255),0))),"")</f>
        <v/>
      </c>
      <c r="N1129" s="130" t="str">
        <f t="array" ref="N1129">IFERROR(IF(INDEX('Disaggregation Records'!$F$152:$F$513,MATCH(RIGHT(L1129,255),RIGHT('Disaggregation Records'!$D$152:$D$513,255),0))="","",INDEX('Disaggregation Records'!$F$152:$F$513,MATCH(RIGHT(L1129,255),RIGHT('Disaggregation Records'!$D$152:$D$513,255),0))),"")</f>
        <v/>
      </c>
      <c r="O1129" s="130" t="str">
        <f t="array" ref="O1129">IFERROR(IF(INDEX('Disaggregation Records'!$H$152:$H$513,MATCH(RIGHT(L1129,255),RIGHT('Disaggregation Records'!$D$152:$D$513,255),0))="","",INDEX('Disaggregation Records'!$H$152:$H$513,MATCH(RIGHT(L1129,255),RIGHT('Disaggregation Records'!$D$152:$D$513,255),0))),"")</f>
        <v/>
      </c>
      <c r="Q1129" s="52">
        <f t="shared" ref="Q1129" si="1312">Q1127+1</f>
        <v>1749</v>
      </c>
    </row>
    <row r="1130" spans="1:17" ht="20.100000000000001" customHeight="1" x14ac:dyDescent="0.25">
      <c r="A1130" s="130"/>
      <c r="B1130" s="602"/>
      <c r="C1130" s="604"/>
      <c r="D1130" s="606"/>
      <c r="E1130" s="606"/>
      <c r="F1130" s="132"/>
      <c r="G1130" s="608"/>
      <c r="H1130" s="598"/>
      <c r="I1130" s="600"/>
      <c r="J1130" s="532"/>
      <c r="L1130" s="130"/>
      <c r="N1130" s="130"/>
      <c r="O1130" s="130"/>
    </row>
    <row r="1131" spans="1:17" ht="20.100000000000001" customHeight="1" x14ac:dyDescent="0.25">
      <c r="A1131" s="130" t="str">
        <f t="shared" ca="1" si="1256"/>
        <v>a16Dm000000LZddIAG</v>
      </c>
      <c r="B1131" s="601">
        <v>13</v>
      </c>
      <c r="C1131" s="603" t="str">
        <f>IFERROR(VLOOKUP(B1131,'Coverage Indicators - Section D'!$A$9:$AO$70,41,FALSE),"")</f>
        <v>TCS-1c⁽ᴹ⁾ Percentage of children (under 15) on ART among all children living with HIV at the end of the reporting period</v>
      </c>
      <c r="D1131" s="605" t="str">
        <f>M1131</f>
        <v/>
      </c>
      <c r="E1131" s="605" t="str">
        <f>N1131</f>
        <v/>
      </c>
      <c r="F1131" s="131"/>
      <c r="G1131" s="607" t="str">
        <f ca="1">IF(OR(INDIRECT("'update Helper'!E"&amp;Q1131)="",F1131&lt;&gt;0,F1132&lt;&gt;0),IF(IFERROR((F1131/F1132),"")="","",(F1131/F1132)),INDIRECT("'update Helper'!E"&amp;Q1131)/100)</f>
        <v/>
      </c>
      <c r="H1131" s="597"/>
      <c r="I1131" s="599"/>
      <c r="J1131" s="531"/>
      <c r="K1131" s="130">
        <f>IF(AND(EXACT(C1131,C1129),C1129&lt;&gt;0),K1129+1,0)</f>
        <v>15</v>
      </c>
      <c r="L1131" s="130" t="str">
        <f t="shared" ref="L1131" si="1313">IF(C1131&lt;&gt;"",C1131&amp;"-"&amp;K1131,"")</f>
        <v>TCS-1c⁽ᴹ⁾ Percentage of children (under 15) on ART among all children living with HIV at the end of the reporting period-15</v>
      </c>
      <c r="M1131" s="130" t="str">
        <f t="array" ref="M1131">IFERROR(IF(INDEX('Disaggregation Records'!$E$152:$E$513,MATCH(RIGHT(L1131,255),RIGHT('Disaggregation Records'!$D$152:$D$513,255),0))="","",INDEX('Disaggregation Records'!$E$152:$E$513,MATCH(RIGHT(L1131,255),RIGHT('Disaggregation Records'!$D$152:$D$513,255),0))),"")</f>
        <v/>
      </c>
      <c r="N1131" s="130" t="str">
        <f t="array" ref="N1131">IFERROR(IF(INDEX('Disaggregation Records'!$F$152:$F$513,MATCH(RIGHT(L1131,255),RIGHT('Disaggregation Records'!$D$152:$D$513,255),0))="","",INDEX('Disaggregation Records'!$F$152:$F$513,MATCH(RIGHT(L1131,255),RIGHT('Disaggregation Records'!$D$152:$D$513,255),0))),"")</f>
        <v/>
      </c>
      <c r="O1131" s="130" t="str">
        <f t="array" ref="O1131">IFERROR(IF(INDEX('Disaggregation Records'!$H$152:$H$513,MATCH(RIGHT(L1131,255),RIGHT('Disaggregation Records'!$D$152:$D$513,255),0))="","",INDEX('Disaggregation Records'!$H$152:$H$513,MATCH(RIGHT(L1131,255),RIGHT('Disaggregation Records'!$D$152:$D$513,255),0))),"")</f>
        <v/>
      </c>
      <c r="P1131" s="130"/>
      <c r="Q1131" s="52">
        <f t="shared" ref="Q1131" si="1314">Q1129+1</f>
        <v>1750</v>
      </c>
    </row>
    <row r="1132" spans="1:17" ht="20.100000000000001" customHeight="1" x14ac:dyDescent="0.25">
      <c r="B1132" s="602"/>
      <c r="C1132" s="604"/>
      <c r="D1132" s="606"/>
      <c r="E1132" s="606"/>
      <c r="F1132" s="132"/>
      <c r="G1132" s="608"/>
      <c r="H1132" s="598"/>
      <c r="I1132" s="600"/>
      <c r="J1132" s="532"/>
      <c r="K1132" s="130"/>
      <c r="L1132" s="130"/>
      <c r="M1132" s="130"/>
      <c r="N1132" s="130"/>
      <c r="O1132" s="130"/>
      <c r="P1132" s="130"/>
    </row>
    <row r="1133" spans="1:17" ht="20.100000000000001" customHeight="1" x14ac:dyDescent="0.25">
      <c r="A1133" s="130" t="str">
        <f t="shared" ca="1" si="1253"/>
        <v>a16Dm000000LZdeIAG</v>
      </c>
      <c r="B1133" s="601">
        <v>13</v>
      </c>
      <c r="C1133" s="603" t="str">
        <f>IFERROR(VLOOKUP(B1133,'Coverage Indicators - Section D'!$A$9:$AO$70,41,FALSE),"")</f>
        <v>TCS-1c⁽ᴹ⁾ Percentage of children (under 15) on ART among all children living with HIV at the end of the reporting period</v>
      </c>
      <c r="D1133" s="605" t="str">
        <f>M1133</f>
        <v/>
      </c>
      <c r="E1133" s="605" t="str">
        <f>N1133</f>
        <v/>
      </c>
      <c r="F1133" s="131"/>
      <c r="G1133" s="607" t="str">
        <f ca="1">IF(OR(INDIRECT("'update Helper'!E"&amp;Q1133)="",F1133&lt;&gt;0,F1134&lt;&gt;0),IF(IFERROR((F1133/F1134),"")="","",(F1133/F1134)),INDIRECT("'update Helper'!E"&amp;Q1133)/100)</f>
        <v/>
      </c>
      <c r="H1133" s="597"/>
      <c r="I1133" s="599"/>
      <c r="J1133" s="531"/>
      <c r="K1133" s="130">
        <f>IF(AND(EXACT(C1133,C1131),C1131&lt;&gt;0),K1131+1,0)</f>
        <v>16</v>
      </c>
      <c r="L1133" s="130" t="str">
        <f t="shared" ref="L1133" si="1315">IF(C1133&lt;&gt;"",C1133&amp;"-"&amp;K1133,"")</f>
        <v>TCS-1c⁽ᴹ⁾ Percentage of children (under 15) on ART among all children living with HIV at the end of the reporting period-16</v>
      </c>
      <c r="M1133" s="130" t="str">
        <f t="array" ref="M1133">IFERROR(IF(INDEX('Disaggregation Records'!$E$152:$E$513,MATCH(RIGHT(L1133,255),RIGHT('Disaggregation Records'!$D$152:$D$513,255),0))="","",INDEX('Disaggregation Records'!$E$152:$E$513,MATCH(RIGHT(L1133,255),RIGHT('Disaggregation Records'!$D$152:$D$513,255),0))),"")</f>
        <v/>
      </c>
      <c r="N1133" s="130" t="str">
        <f t="array" ref="N1133">IFERROR(IF(INDEX('Disaggregation Records'!$F$152:$F$513,MATCH(RIGHT(L1133,255),RIGHT('Disaggregation Records'!$D$152:$D$513,255),0))="","",INDEX('Disaggregation Records'!$F$152:$F$513,MATCH(RIGHT(L1133,255),RIGHT('Disaggregation Records'!$D$152:$D$513,255),0))),"")</f>
        <v/>
      </c>
      <c r="O1133" s="130" t="str">
        <f t="array" ref="O1133">IFERROR(IF(INDEX('Disaggregation Records'!$H$152:$H$513,MATCH(RIGHT(L1133,255),RIGHT('Disaggregation Records'!$D$152:$D$513,255),0))="","",INDEX('Disaggregation Records'!$H$152:$H$513,MATCH(RIGHT(L1133,255),RIGHT('Disaggregation Records'!$D$152:$D$513,255),0))),"")</f>
        <v/>
      </c>
      <c r="P1133" s="130"/>
      <c r="Q1133" s="52">
        <f t="shared" ref="Q1133" si="1316">Q1131+1</f>
        <v>1751</v>
      </c>
    </row>
    <row r="1134" spans="1:17" ht="20.100000000000001" customHeight="1" x14ac:dyDescent="0.25">
      <c r="A1134" s="130"/>
      <c r="B1134" s="602"/>
      <c r="C1134" s="604"/>
      <c r="D1134" s="606"/>
      <c r="E1134" s="606"/>
      <c r="F1134" s="132"/>
      <c r="G1134" s="608"/>
      <c r="H1134" s="598"/>
      <c r="I1134" s="600"/>
      <c r="J1134" s="532"/>
      <c r="K1134" s="130"/>
      <c r="L1134" s="130"/>
      <c r="M1134" s="130"/>
      <c r="N1134" s="130"/>
      <c r="O1134" s="130"/>
      <c r="P1134" s="130"/>
    </row>
    <row r="1135" spans="1:17" ht="20.100000000000001" customHeight="1" x14ac:dyDescent="0.25">
      <c r="A1135" s="130" t="str">
        <f t="shared" ca="1" si="1256"/>
        <v>a16Dm000000LZdfIAG</v>
      </c>
      <c r="B1135" s="601">
        <v>13</v>
      </c>
      <c r="C1135" s="603" t="str">
        <f>IFERROR(VLOOKUP(B1135,'Coverage Indicators - Section D'!$A$9:$AO$70,41,FALSE),"")</f>
        <v>TCS-1c⁽ᴹ⁾ Percentage of children (under 15) on ART among all children living with HIV at the end of the reporting period</v>
      </c>
      <c r="D1135" s="605" t="str">
        <f>M1135</f>
        <v/>
      </c>
      <c r="E1135" s="605" t="str">
        <f>N1135</f>
        <v/>
      </c>
      <c r="F1135" s="131"/>
      <c r="G1135" s="607" t="str">
        <f ca="1">IF(OR(INDIRECT("'update Helper'!E"&amp;Q1135)="",F1135&lt;&gt;0,F1136&lt;&gt;0),IF(IFERROR((F1135/F1136),"")="","",(F1135/F1136)),INDIRECT("'update Helper'!E"&amp;Q1135)/100)</f>
        <v/>
      </c>
      <c r="H1135" s="597"/>
      <c r="I1135" s="599"/>
      <c r="J1135" s="531"/>
      <c r="K1135" s="130">
        <f>IF(AND(EXACT(C1135,C1133),C1133&lt;&gt;0),K1133+1,0)</f>
        <v>17</v>
      </c>
      <c r="L1135" s="130" t="str">
        <f t="shared" ref="L1135" si="1317">IF(C1135&lt;&gt;"",C1135&amp;"-"&amp;K1135,"")</f>
        <v>TCS-1c⁽ᴹ⁾ Percentage of children (under 15) on ART among all children living with HIV at the end of the reporting period-17</v>
      </c>
      <c r="M1135" s="130" t="str">
        <f t="array" ref="M1135">IFERROR(IF(INDEX('Disaggregation Records'!$E$152:$E$513,MATCH(RIGHT(L1135,255),RIGHT('Disaggregation Records'!$D$152:$D$513,255),0))="","",INDEX('Disaggregation Records'!$E$152:$E$513,MATCH(RIGHT(L1135,255),RIGHT('Disaggregation Records'!$D$152:$D$513,255),0))),"")</f>
        <v/>
      </c>
      <c r="N1135" s="130" t="str">
        <f t="array" ref="N1135">IFERROR(IF(INDEX('Disaggregation Records'!$F$152:$F$513,MATCH(RIGHT(L1135,255),RIGHT('Disaggregation Records'!$D$152:$D$513,255),0))="","",INDEX('Disaggregation Records'!$F$152:$F$513,MATCH(RIGHT(L1135,255),RIGHT('Disaggregation Records'!$D$152:$D$513,255),0))),"")</f>
        <v/>
      </c>
      <c r="O1135" s="130" t="str">
        <f t="array" ref="O1135">IFERROR(IF(INDEX('Disaggregation Records'!$H$152:$H$513,MATCH(RIGHT(L1135,255),RIGHT('Disaggregation Records'!$D$152:$D$513,255),0))="","",INDEX('Disaggregation Records'!$H$152:$H$513,MATCH(RIGHT(L1135,255),RIGHT('Disaggregation Records'!$D$152:$D$513,255),0))),"")</f>
        <v/>
      </c>
      <c r="Q1135" s="52">
        <f t="shared" ref="Q1135" si="1318">Q1133+1</f>
        <v>1752</v>
      </c>
    </row>
    <row r="1136" spans="1:17" ht="20.100000000000001" customHeight="1" x14ac:dyDescent="0.25">
      <c r="B1136" s="602"/>
      <c r="C1136" s="604"/>
      <c r="D1136" s="606"/>
      <c r="E1136" s="606"/>
      <c r="F1136" s="132"/>
      <c r="G1136" s="608"/>
      <c r="H1136" s="598"/>
      <c r="I1136" s="600"/>
      <c r="J1136" s="532"/>
      <c r="L1136" s="130"/>
      <c r="N1136" s="130"/>
      <c r="O1136" s="130"/>
    </row>
    <row r="1137" spans="1:17" ht="20.100000000000001" customHeight="1" x14ac:dyDescent="0.25">
      <c r="A1137" s="130" t="str">
        <f t="shared" ref="A1137:A1197" ca="1" si="1319">INDIRECT("'update Helper'!C"&amp;Q1137)</f>
        <v>a16Dm000000LZdgIAG</v>
      </c>
      <c r="B1137" s="601">
        <v>13</v>
      </c>
      <c r="C1137" s="603" t="str">
        <f>IFERROR(VLOOKUP(B1137,'Coverage Indicators - Section D'!$A$9:$AO$70,41,FALSE),"")</f>
        <v>TCS-1c⁽ᴹ⁾ Percentage of children (under 15) on ART among all children living with HIV at the end of the reporting period</v>
      </c>
      <c r="D1137" s="605" t="str">
        <f>M1137</f>
        <v/>
      </c>
      <c r="E1137" s="605" t="str">
        <f>N1137</f>
        <v/>
      </c>
      <c r="F1137" s="131"/>
      <c r="G1137" s="607" t="str">
        <f ca="1">IF(OR(INDIRECT("'update Helper'!E"&amp;Q1137)="",F1137&lt;&gt;0,F1138&lt;&gt;0),IF(IFERROR((F1137/F1138),"")="","",(F1137/F1138)),INDIRECT("'update Helper'!E"&amp;Q1137)/100)</f>
        <v/>
      </c>
      <c r="H1137" s="597"/>
      <c r="I1137" s="599"/>
      <c r="J1137" s="531"/>
      <c r="K1137" s="130">
        <f>IF(AND(EXACT(C1137,C1135),C1135&lt;&gt;0),K1135+1,0)</f>
        <v>18</v>
      </c>
      <c r="L1137" s="130" t="str">
        <f t="shared" ref="L1137" si="1320">IF(C1137&lt;&gt;"",C1137&amp;"-"&amp;K1137,"")</f>
        <v>TCS-1c⁽ᴹ⁾ Percentage of children (under 15) on ART among all children living with HIV at the end of the reporting period-18</v>
      </c>
      <c r="M1137" s="130" t="str">
        <f t="array" ref="M1137">IFERROR(IF(INDEX('Disaggregation Records'!$E$152:$E$513,MATCH(RIGHT(L1137,255),RIGHT('Disaggregation Records'!$D$152:$D$513,255),0))="","",INDEX('Disaggregation Records'!$E$152:$E$513,MATCH(RIGHT(L1137,255),RIGHT('Disaggregation Records'!$D$152:$D$513,255),0))),"")</f>
        <v/>
      </c>
      <c r="N1137" s="130" t="str">
        <f t="array" ref="N1137">IFERROR(IF(INDEX('Disaggregation Records'!$F$152:$F$513,MATCH(RIGHT(L1137,255),RIGHT('Disaggregation Records'!$D$152:$D$513,255),0))="","",INDEX('Disaggregation Records'!$F$152:$F$513,MATCH(RIGHT(L1137,255),RIGHT('Disaggregation Records'!$D$152:$D$513,255),0))),"")</f>
        <v/>
      </c>
      <c r="O1137" s="130" t="str">
        <f t="array" ref="O1137">IFERROR(IF(INDEX('Disaggregation Records'!$H$152:$H$513,MATCH(RIGHT(L1137,255),RIGHT('Disaggregation Records'!$D$152:$D$513,255),0))="","",INDEX('Disaggregation Records'!$H$152:$H$513,MATCH(RIGHT(L1137,255),RIGHT('Disaggregation Records'!$D$152:$D$513,255),0))),"")</f>
        <v/>
      </c>
      <c r="Q1137" s="52">
        <f t="shared" ref="Q1137" si="1321">Q1135+1</f>
        <v>1753</v>
      </c>
    </row>
    <row r="1138" spans="1:17" ht="20.100000000000001" customHeight="1" x14ac:dyDescent="0.25">
      <c r="A1138" s="130"/>
      <c r="B1138" s="602"/>
      <c r="C1138" s="604"/>
      <c r="D1138" s="606"/>
      <c r="E1138" s="606"/>
      <c r="F1138" s="132"/>
      <c r="G1138" s="608"/>
      <c r="H1138" s="598"/>
      <c r="I1138" s="600"/>
      <c r="J1138" s="532"/>
      <c r="L1138" s="130"/>
      <c r="N1138" s="130"/>
      <c r="O1138" s="130"/>
    </row>
    <row r="1139" spans="1:17" ht="20.100000000000001" customHeight="1" x14ac:dyDescent="0.25">
      <c r="A1139" s="130" t="str">
        <f t="shared" ref="A1139:A1199" ca="1" si="1322">INDIRECT("'update Helper'!C"&amp;Q1139)</f>
        <v>a16Dm000000LZdhIAG</v>
      </c>
      <c r="B1139" s="601">
        <v>13</v>
      </c>
      <c r="C1139" s="603" t="str">
        <f>IFERROR(VLOOKUP(B1139,'Coverage Indicators - Section D'!$A$9:$AO$70,41,FALSE),"")</f>
        <v>TCS-1c⁽ᴹ⁾ Percentage of children (under 15) on ART among all children living with HIV at the end of the reporting period</v>
      </c>
      <c r="D1139" s="605" t="str">
        <f>M1139</f>
        <v/>
      </c>
      <c r="E1139" s="605" t="str">
        <f>N1139</f>
        <v/>
      </c>
      <c r="F1139" s="131"/>
      <c r="G1139" s="607" t="str">
        <f ca="1">IF(OR(INDIRECT("'update Helper'!E"&amp;Q1139)="",F1139&lt;&gt;0,F1140&lt;&gt;0),IF(IFERROR((F1139/F1140),"")="","",(F1139/F1140)),INDIRECT("'update Helper'!E"&amp;Q1139)/100)</f>
        <v/>
      </c>
      <c r="H1139" s="597"/>
      <c r="I1139" s="599"/>
      <c r="J1139" s="531"/>
      <c r="K1139" s="130">
        <f>IF(AND(EXACT(C1139,C1137),C1137&lt;&gt;0),K1137+1,0)</f>
        <v>19</v>
      </c>
      <c r="L1139" s="130" t="str">
        <f t="shared" ref="L1139" si="1323">IF(C1139&lt;&gt;"",C1139&amp;"-"&amp;K1139,"")</f>
        <v>TCS-1c⁽ᴹ⁾ Percentage of children (under 15) on ART among all children living with HIV at the end of the reporting period-19</v>
      </c>
      <c r="M1139" s="130" t="str">
        <f t="array" ref="M1139">IFERROR(IF(INDEX('Disaggregation Records'!$E$152:$E$513,MATCH(RIGHT(L1139,255),RIGHT('Disaggregation Records'!$D$152:$D$513,255),0))="","",INDEX('Disaggregation Records'!$E$152:$E$513,MATCH(RIGHT(L1139,255),RIGHT('Disaggregation Records'!$D$152:$D$513,255),0))),"")</f>
        <v/>
      </c>
      <c r="N1139" s="130" t="str">
        <f t="array" ref="N1139">IFERROR(IF(INDEX('Disaggregation Records'!$F$152:$F$513,MATCH(RIGHT(L1139,255),RIGHT('Disaggregation Records'!$D$152:$D$513,255),0))="","",INDEX('Disaggregation Records'!$F$152:$F$513,MATCH(RIGHT(L1139,255),RIGHT('Disaggregation Records'!$D$152:$D$513,255),0))),"")</f>
        <v/>
      </c>
      <c r="O1139" s="130" t="str">
        <f t="array" ref="O1139">IFERROR(IF(INDEX('Disaggregation Records'!$H$152:$H$513,MATCH(RIGHT(L1139,255),RIGHT('Disaggregation Records'!$D$152:$D$513,255),0))="","",INDEX('Disaggregation Records'!$H$152:$H$513,MATCH(RIGHT(L1139,255),RIGHT('Disaggregation Records'!$D$152:$D$513,255),0))),"")</f>
        <v/>
      </c>
      <c r="Q1139" s="52">
        <f t="shared" ref="Q1139" si="1324">Q1137+1</f>
        <v>1754</v>
      </c>
    </row>
    <row r="1140" spans="1:17" ht="20.100000000000001" customHeight="1" x14ac:dyDescent="0.25">
      <c r="B1140" s="602"/>
      <c r="C1140" s="604"/>
      <c r="D1140" s="606"/>
      <c r="E1140" s="606"/>
      <c r="F1140" s="132"/>
      <c r="G1140" s="608"/>
      <c r="H1140" s="598"/>
      <c r="I1140" s="600"/>
      <c r="J1140" s="532"/>
      <c r="L1140" s="130"/>
      <c r="N1140" s="130"/>
      <c r="O1140" s="130"/>
    </row>
    <row r="1141" spans="1:17" ht="20.100000000000001" customHeight="1" x14ac:dyDescent="0.25">
      <c r="A1141" s="130" t="str">
        <f t="shared" ca="1" si="1319"/>
        <v>a16Dm000000LZdiIAG</v>
      </c>
      <c r="B1141" s="601">
        <v>14</v>
      </c>
      <c r="C1141" s="603" t="str">
        <f>IFERROR(VLOOKUP(B1141,'Coverage Indicators - Section D'!$A$9:$AO$70,41,FALSE),"")</f>
        <v>TB/HIV-6⁽ᴹ⁾ Percentage of HIV-positive new and relapse TB patients on ART during TB treatment</v>
      </c>
      <c r="D1141" s="605" t="str">
        <f>M1141</f>
        <v>Age</v>
      </c>
      <c r="E1141" s="605" t="str">
        <f>N1141</f>
        <v>15+</v>
      </c>
      <c r="F1141" s="131">
        <v>142</v>
      </c>
      <c r="G1141" s="607">
        <f ca="1">IF(OR(INDIRECT("'update Helper'!E"&amp;Q1141)="",F1141&lt;&gt;0,F1142&lt;&gt;0),IF(IFERROR((F1141/F1142),"")="","",(F1141/F1142)),INDIRECT("'update Helper'!E"&amp;Q1141)/100)</f>
        <v>0.98611111111111116</v>
      </c>
      <c r="H1141" s="597">
        <v>2022</v>
      </c>
      <c r="I1141" s="599" t="s">
        <v>2247</v>
      </c>
      <c r="J1141" s="531" t="s">
        <v>2252</v>
      </c>
      <c r="K1141" s="130">
        <f>IF(AND(EXACT(C1141,C1139),C1139&lt;&gt;0),K1139+1,0)</f>
        <v>0</v>
      </c>
      <c r="L1141" s="130" t="str">
        <f t="shared" ref="L1141" si="1325">IF(C1141&lt;&gt;"",C1141&amp;"-"&amp;K1141,"")</f>
        <v>TB/HIV-6⁽ᴹ⁾ Percentage of HIV-positive new and relapse TB patients on ART during TB treatment-0</v>
      </c>
      <c r="M1141" s="130" t="str">
        <f t="array" ref="M1141">IFERROR(IF(INDEX('Disaggregation Records'!$E$152:$E$513,MATCH(RIGHT(L1141,255),RIGHT('Disaggregation Records'!$D$152:$D$513,255),0))="","",INDEX('Disaggregation Records'!$E$152:$E$513,MATCH(RIGHT(L1141,255),RIGHT('Disaggregation Records'!$D$152:$D$513,255),0))),"")</f>
        <v>Age</v>
      </c>
      <c r="N1141" s="130" t="str">
        <f t="array" ref="N1141">IFERROR(IF(INDEX('Disaggregation Records'!$F$152:$F$513,MATCH(RIGHT(L1141,255),RIGHT('Disaggregation Records'!$D$152:$D$513,255),0))="","",INDEX('Disaggregation Records'!$F$152:$F$513,MATCH(RIGHT(L1141,255),RIGHT('Disaggregation Records'!$D$152:$D$513,255),0))),"")</f>
        <v>15+</v>
      </c>
      <c r="O1141" s="130" t="str">
        <f t="array" ref="O1141">IFERROR(IF(INDEX('Disaggregation Records'!$H$152:$H$513,MATCH(RIGHT(L1141,255),RIGHT('Disaggregation Records'!$D$152:$D$513,255),0))="","",INDEX('Disaggregation Records'!$H$152:$H$513,MATCH(RIGHT(L1141,255),RIGHT('Disaggregation Records'!$D$152:$D$513,255),0))),"")</f>
        <v>IDR-01361</v>
      </c>
      <c r="P1141" s="130"/>
      <c r="Q1141" s="52">
        <f t="shared" ref="Q1141" si="1326">Q1139+1</f>
        <v>1755</v>
      </c>
    </row>
    <row r="1142" spans="1:17" ht="20.100000000000001" customHeight="1" x14ac:dyDescent="0.25">
      <c r="A1142" s="130"/>
      <c r="B1142" s="602"/>
      <c r="C1142" s="604"/>
      <c r="D1142" s="606"/>
      <c r="E1142" s="606"/>
      <c r="F1142" s="132">
        <v>144</v>
      </c>
      <c r="G1142" s="608"/>
      <c r="H1142" s="598"/>
      <c r="I1142" s="600"/>
      <c r="J1142" s="532"/>
      <c r="K1142" s="130"/>
      <c r="L1142" s="130"/>
      <c r="M1142" s="130"/>
      <c r="N1142" s="130"/>
      <c r="O1142" s="130"/>
      <c r="P1142" s="130"/>
    </row>
    <row r="1143" spans="1:17" ht="20.100000000000001" customHeight="1" x14ac:dyDescent="0.25">
      <c r="A1143" s="130" t="str">
        <f t="shared" ca="1" si="1322"/>
        <v>a16Dm000000LZdjIAG</v>
      </c>
      <c r="B1143" s="601">
        <v>14</v>
      </c>
      <c r="C1143" s="603" t="str">
        <f>IFERROR(VLOOKUP(B1143,'Coverage Indicators - Section D'!$A$9:$AO$70,41,FALSE),"")</f>
        <v>TB/HIV-6⁽ᴹ⁾ Percentage of HIV-positive new and relapse TB patients on ART during TB treatment</v>
      </c>
      <c r="D1143" s="605" t="str">
        <f>M1143</f>
        <v>Gender</v>
      </c>
      <c r="E1143" s="605" t="str">
        <f>N1143</f>
        <v>Male</v>
      </c>
      <c r="F1143" s="131">
        <v>97</v>
      </c>
      <c r="G1143" s="607">
        <f ca="1">IF(OR(INDIRECT("'update Helper'!E"&amp;Q1143)="",F1143&lt;&gt;0,F1144&lt;&gt;0),IF(IFERROR((F1143/F1144),"")="","",(F1143/F1144)),INDIRECT("'update Helper'!E"&amp;Q1143)/100)</f>
        <v>0.67361111111111116</v>
      </c>
      <c r="H1143" s="597">
        <v>2022</v>
      </c>
      <c r="I1143" s="599" t="s">
        <v>2247</v>
      </c>
      <c r="J1143" s="531" t="s">
        <v>2252</v>
      </c>
      <c r="K1143" s="130">
        <f>IF(AND(EXACT(C1143,C1141),C1141&lt;&gt;0),K1141+1,0)</f>
        <v>1</v>
      </c>
      <c r="L1143" s="130" t="str">
        <f t="shared" ref="L1143" si="1327">IF(C1143&lt;&gt;"",C1143&amp;"-"&amp;K1143,"")</f>
        <v>TB/HIV-6⁽ᴹ⁾ Percentage of HIV-positive new and relapse TB patients on ART during TB treatment-1</v>
      </c>
      <c r="M1143" s="130" t="str">
        <f t="array" ref="M1143">IFERROR(IF(INDEX('Disaggregation Records'!$E$152:$E$513,MATCH(RIGHT(L1143,255),RIGHT('Disaggregation Records'!$D$152:$D$513,255),0))="","",INDEX('Disaggregation Records'!$E$152:$E$513,MATCH(RIGHT(L1143,255),RIGHT('Disaggregation Records'!$D$152:$D$513,255),0))),"")</f>
        <v>Gender</v>
      </c>
      <c r="N1143" s="130" t="str">
        <f t="array" ref="N1143">IFERROR(IF(INDEX('Disaggregation Records'!$F$152:$F$513,MATCH(RIGHT(L1143,255),RIGHT('Disaggregation Records'!$D$152:$D$513,255),0))="","",INDEX('Disaggregation Records'!$F$152:$F$513,MATCH(RIGHT(L1143,255),RIGHT('Disaggregation Records'!$D$152:$D$513,255),0))),"")</f>
        <v>Male</v>
      </c>
      <c r="O1143" s="130" t="str">
        <f t="array" ref="O1143">IFERROR(IF(INDEX('Disaggregation Records'!$H$152:$H$513,MATCH(RIGHT(L1143,255),RIGHT('Disaggregation Records'!$D$152:$D$513,255),0))="","",INDEX('Disaggregation Records'!$H$152:$H$513,MATCH(RIGHT(L1143,255),RIGHT('Disaggregation Records'!$D$152:$D$513,255),0))),"")</f>
        <v>IDR-01360</v>
      </c>
      <c r="P1143" s="130"/>
      <c r="Q1143" s="52">
        <f t="shared" ref="Q1143" si="1328">Q1141+1</f>
        <v>1756</v>
      </c>
    </row>
    <row r="1144" spans="1:17" ht="20.100000000000001" customHeight="1" x14ac:dyDescent="0.25">
      <c r="B1144" s="602"/>
      <c r="C1144" s="604"/>
      <c r="D1144" s="606"/>
      <c r="E1144" s="606"/>
      <c r="F1144" s="132">
        <v>144</v>
      </c>
      <c r="G1144" s="608"/>
      <c r="H1144" s="598"/>
      <c r="I1144" s="600"/>
      <c r="J1144" s="532"/>
      <c r="K1144" s="130"/>
      <c r="L1144" s="130"/>
      <c r="M1144" s="130"/>
      <c r="N1144" s="130"/>
      <c r="O1144" s="130"/>
      <c r="P1144" s="130"/>
    </row>
    <row r="1145" spans="1:17" ht="20.100000000000001" customHeight="1" x14ac:dyDescent="0.25">
      <c r="A1145" s="130" t="str">
        <f t="shared" ca="1" si="1319"/>
        <v>a16Dm000000LZdkIAG</v>
      </c>
      <c r="B1145" s="601">
        <v>14</v>
      </c>
      <c r="C1145" s="603" t="str">
        <f>IFERROR(VLOOKUP(B1145,'Coverage Indicators - Section D'!$A$9:$AO$70,41,FALSE),"")</f>
        <v>TB/HIV-6⁽ᴹ⁾ Percentage of HIV-positive new and relapse TB patients on ART during TB treatment</v>
      </c>
      <c r="D1145" s="605" t="str">
        <f>M1145</f>
        <v>Age</v>
      </c>
      <c r="E1145" s="605" t="str">
        <f>N1145</f>
        <v>5-14</v>
      </c>
      <c r="F1145" s="131">
        <v>2</v>
      </c>
      <c r="G1145" s="607">
        <f ca="1">IF(OR(INDIRECT("'update Helper'!E"&amp;Q1145)="",F1145&lt;&gt;0,F1146&lt;&gt;0),IF(IFERROR((F1145/F1146),"")="","",(F1145/F1146)),INDIRECT("'update Helper'!E"&amp;Q1145)/100)</f>
        <v>1.3888888888888888E-2</v>
      </c>
      <c r="H1145" s="597">
        <v>2022</v>
      </c>
      <c r="I1145" s="599" t="s">
        <v>2247</v>
      </c>
      <c r="J1145" s="531" t="s">
        <v>2252</v>
      </c>
      <c r="K1145" s="130">
        <f>IF(AND(EXACT(C1145,C1143),C1143&lt;&gt;0),K1143+1,0)</f>
        <v>2</v>
      </c>
      <c r="L1145" s="130" t="str">
        <f t="shared" ref="L1145" si="1329">IF(C1145&lt;&gt;"",C1145&amp;"-"&amp;K1145,"")</f>
        <v>TB/HIV-6⁽ᴹ⁾ Percentage of HIV-positive new and relapse TB patients on ART during TB treatment-2</v>
      </c>
      <c r="M1145" s="130" t="str">
        <f t="array" ref="M1145">IFERROR(IF(INDEX('Disaggregation Records'!$E$152:$E$513,MATCH(RIGHT(L1145,255),RIGHT('Disaggregation Records'!$D$152:$D$513,255),0))="","",INDEX('Disaggregation Records'!$E$152:$E$513,MATCH(RIGHT(L1145,255),RIGHT('Disaggregation Records'!$D$152:$D$513,255),0))),"")</f>
        <v>Age</v>
      </c>
      <c r="N1145" s="130" t="str">
        <f t="array" ref="N1145">IFERROR(IF(INDEX('Disaggregation Records'!$F$152:$F$513,MATCH(RIGHT(L1145,255),RIGHT('Disaggregation Records'!$D$152:$D$513,255),0))="","",INDEX('Disaggregation Records'!$F$152:$F$513,MATCH(RIGHT(L1145,255),RIGHT('Disaggregation Records'!$D$152:$D$513,255),0))),"")</f>
        <v>5-14</v>
      </c>
      <c r="O1145" s="130" t="str">
        <f t="array" ref="O1145">IFERROR(IF(INDEX('Disaggregation Records'!$H$152:$H$513,MATCH(RIGHT(L1145,255),RIGHT('Disaggregation Records'!$D$152:$D$513,255),0))="","",INDEX('Disaggregation Records'!$H$152:$H$513,MATCH(RIGHT(L1145,255),RIGHT('Disaggregation Records'!$D$152:$D$513,255),0))),"")</f>
        <v>IDR-01359</v>
      </c>
      <c r="Q1145" s="52">
        <f t="shared" ref="Q1145" si="1330">Q1143+1</f>
        <v>1757</v>
      </c>
    </row>
    <row r="1146" spans="1:17" ht="20.100000000000001" customHeight="1" x14ac:dyDescent="0.25">
      <c r="A1146" s="130"/>
      <c r="B1146" s="602"/>
      <c r="C1146" s="604"/>
      <c r="D1146" s="606"/>
      <c r="E1146" s="606"/>
      <c r="F1146" s="132">
        <v>144</v>
      </c>
      <c r="G1146" s="608"/>
      <c r="H1146" s="598"/>
      <c r="I1146" s="600"/>
      <c r="J1146" s="532"/>
      <c r="L1146" s="130"/>
      <c r="N1146" s="130"/>
      <c r="O1146" s="130"/>
    </row>
    <row r="1147" spans="1:17" ht="20.100000000000001" customHeight="1" x14ac:dyDescent="0.25">
      <c r="A1147" s="130" t="str">
        <f t="shared" ca="1" si="1322"/>
        <v>a16Dm000000LZdlIAG</v>
      </c>
      <c r="B1147" s="601">
        <v>14</v>
      </c>
      <c r="C1147" s="603" t="str">
        <f>IFERROR(VLOOKUP(B1147,'Coverage Indicators - Section D'!$A$9:$AO$70,41,FALSE),"")</f>
        <v>TB/HIV-6⁽ᴹ⁾ Percentage of HIV-positive new and relapse TB patients on ART during TB treatment</v>
      </c>
      <c r="D1147" s="605" t="str">
        <f>M1147</f>
        <v>Age</v>
      </c>
      <c r="E1147" s="605" t="str">
        <f>N1147</f>
        <v>&lt;5</v>
      </c>
      <c r="F1147" s="131">
        <v>1</v>
      </c>
      <c r="G1147" s="607">
        <f ca="1">IF(OR(INDIRECT("'update Helper'!E"&amp;Q1147)="",F1147&lt;&gt;0,F1148&lt;&gt;0),IF(IFERROR((F1147/F1148),"")="","",(F1147/F1148)),INDIRECT("'update Helper'!E"&amp;Q1147)/100)</f>
        <v>6.9444444444444441E-3</v>
      </c>
      <c r="H1147" s="597">
        <v>2022</v>
      </c>
      <c r="I1147" s="599" t="s">
        <v>2247</v>
      </c>
      <c r="J1147" s="531" t="s">
        <v>2252</v>
      </c>
      <c r="K1147" s="130">
        <f>IF(AND(EXACT(C1147,C1145),C1145&lt;&gt;0),K1145+1,0)</f>
        <v>3</v>
      </c>
      <c r="L1147" s="130" t="str">
        <f t="shared" ref="L1147" si="1331">IF(C1147&lt;&gt;"",C1147&amp;"-"&amp;K1147,"")</f>
        <v>TB/HIV-6⁽ᴹ⁾ Percentage of HIV-positive new and relapse TB patients on ART during TB treatment-3</v>
      </c>
      <c r="M1147" s="130" t="str">
        <f t="array" ref="M1147">IFERROR(IF(INDEX('Disaggregation Records'!$E$152:$E$513,MATCH(RIGHT(L1147,255),RIGHT('Disaggregation Records'!$D$152:$D$513,255),0))="","",INDEX('Disaggregation Records'!$E$152:$E$513,MATCH(RIGHT(L1147,255),RIGHT('Disaggregation Records'!$D$152:$D$513,255),0))),"")</f>
        <v>Age</v>
      </c>
      <c r="N1147" s="130" t="str">
        <f t="array" ref="N1147">IFERROR(IF(INDEX('Disaggregation Records'!$F$152:$F$513,MATCH(RIGHT(L1147,255),RIGHT('Disaggregation Records'!$D$152:$D$513,255),0))="","",INDEX('Disaggregation Records'!$F$152:$F$513,MATCH(RIGHT(L1147,255),RIGHT('Disaggregation Records'!$D$152:$D$513,255),0))),"")</f>
        <v>&lt;5</v>
      </c>
      <c r="O1147" s="130" t="str">
        <f t="array" ref="O1147">IFERROR(IF(INDEX('Disaggregation Records'!$H$152:$H$513,MATCH(RIGHT(L1147,255),RIGHT('Disaggregation Records'!$D$152:$D$513,255),0))="","",INDEX('Disaggregation Records'!$H$152:$H$513,MATCH(RIGHT(L1147,255),RIGHT('Disaggregation Records'!$D$152:$D$513,255),0))),"")</f>
        <v>IDR-01358</v>
      </c>
      <c r="Q1147" s="52">
        <f t="shared" ref="Q1147" si="1332">Q1145+1</f>
        <v>1758</v>
      </c>
    </row>
    <row r="1148" spans="1:17" ht="20.100000000000001" customHeight="1" x14ac:dyDescent="0.25">
      <c r="B1148" s="602"/>
      <c r="C1148" s="604"/>
      <c r="D1148" s="606"/>
      <c r="E1148" s="606"/>
      <c r="F1148" s="132">
        <v>144</v>
      </c>
      <c r="G1148" s="608"/>
      <c r="H1148" s="598"/>
      <c r="I1148" s="600"/>
      <c r="J1148" s="532"/>
      <c r="L1148" s="130"/>
      <c r="N1148" s="130"/>
      <c r="O1148" s="130"/>
    </row>
    <row r="1149" spans="1:17" ht="20.100000000000001" customHeight="1" x14ac:dyDescent="0.25">
      <c r="A1149" s="130" t="str">
        <f t="shared" ca="1" si="1319"/>
        <v>a16Dm000000LZdmIAG</v>
      </c>
      <c r="B1149" s="601">
        <v>14</v>
      </c>
      <c r="C1149" s="603" t="str">
        <f>IFERROR(VLOOKUP(B1149,'Coverage Indicators - Section D'!$A$9:$AO$70,41,FALSE),"")</f>
        <v>TB/HIV-6⁽ᴹ⁾ Percentage of HIV-positive new and relapse TB patients on ART during TB treatment</v>
      </c>
      <c r="D1149" s="605" t="str">
        <f>M1149</f>
        <v>Gender</v>
      </c>
      <c r="E1149" s="605" t="str">
        <f>N1149</f>
        <v>Female</v>
      </c>
      <c r="F1149" s="131">
        <v>47</v>
      </c>
      <c r="G1149" s="607">
        <f ca="1">IF(OR(INDIRECT("'update Helper'!E"&amp;Q1149)="",F1149&lt;&gt;0,F1150&lt;&gt;0),IF(IFERROR((F1149/F1150),"")="","",(F1149/F1150)),INDIRECT("'update Helper'!E"&amp;Q1149)/100)</f>
        <v>0.3263888888888889</v>
      </c>
      <c r="H1149" s="597">
        <v>2022</v>
      </c>
      <c r="I1149" s="599" t="s">
        <v>2247</v>
      </c>
      <c r="J1149" s="531" t="s">
        <v>2252</v>
      </c>
      <c r="K1149" s="130">
        <f>IF(AND(EXACT(C1149,C1147),C1147&lt;&gt;0),K1147+1,0)</f>
        <v>4</v>
      </c>
      <c r="L1149" s="130" t="str">
        <f t="shared" ref="L1149" si="1333">IF(C1149&lt;&gt;"",C1149&amp;"-"&amp;K1149,"")</f>
        <v>TB/HIV-6⁽ᴹ⁾ Percentage of HIV-positive new and relapse TB patients on ART during TB treatment-4</v>
      </c>
      <c r="M1149" s="130" t="str">
        <f t="array" ref="M1149">IFERROR(IF(INDEX('Disaggregation Records'!$E$152:$E$513,MATCH(RIGHT(L1149,255),RIGHT('Disaggregation Records'!$D$152:$D$513,255),0))="","",INDEX('Disaggregation Records'!$E$152:$E$513,MATCH(RIGHT(L1149,255),RIGHT('Disaggregation Records'!$D$152:$D$513,255),0))),"")</f>
        <v>Gender</v>
      </c>
      <c r="N1149" s="130" t="str">
        <f t="array" ref="N1149">IFERROR(IF(INDEX('Disaggregation Records'!$F$152:$F$513,MATCH(RIGHT(L1149,255),RIGHT('Disaggregation Records'!$D$152:$D$513,255),0))="","",INDEX('Disaggregation Records'!$F$152:$F$513,MATCH(RIGHT(L1149,255),RIGHT('Disaggregation Records'!$D$152:$D$513,255),0))),"")</f>
        <v>Female</v>
      </c>
      <c r="O1149" s="130" t="str">
        <f t="array" ref="O1149">IFERROR(IF(INDEX('Disaggregation Records'!$H$152:$H$513,MATCH(RIGHT(L1149,255),RIGHT('Disaggregation Records'!$D$152:$D$513,255),0))="","",INDEX('Disaggregation Records'!$H$152:$H$513,MATCH(RIGHT(L1149,255),RIGHT('Disaggregation Records'!$D$152:$D$513,255),0))),"")</f>
        <v>IDR-01357</v>
      </c>
      <c r="Q1149" s="52">
        <f t="shared" ref="Q1149" si="1334">Q1147+1</f>
        <v>1759</v>
      </c>
    </row>
    <row r="1150" spans="1:17" ht="20.100000000000001" customHeight="1" x14ac:dyDescent="0.25">
      <c r="A1150" s="130"/>
      <c r="B1150" s="602"/>
      <c r="C1150" s="604"/>
      <c r="D1150" s="606"/>
      <c r="E1150" s="606"/>
      <c r="F1150" s="132">
        <v>144</v>
      </c>
      <c r="G1150" s="608"/>
      <c r="H1150" s="598"/>
      <c r="I1150" s="600"/>
      <c r="J1150" s="532"/>
      <c r="L1150" s="130"/>
      <c r="N1150" s="130"/>
      <c r="O1150" s="130"/>
    </row>
    <row r="1151" spans="1:17" ht="20.100000000000001" customHeight="1" x14ac:dyDescent="0.25">
      <c r="A1151" s="130" t="str">
        <f t="shared" ca="1" si="1322"/>
        <v>a16Dm000000LZdnIAG</v>
      </c>
      <c r="B1151" s="601">
        <v>14</v>
      </c>
      <c r="C1151" s="603" t="str">
        <f>IFERROR(VLOOKUP(B1151,'Coverage Indicators - Section D'!$A$9:$AO$70,41,FALSE),"")</f>
        <v>TB/HIV-6⁽ᴹ⁾ Percentage of HIV-positive new and relapse TB patients on ART during TB treatment</v>
      </c>
      <c r="D1151" s="605" t="str">
        <f>M1151</f>
        <v/>
      </c>
      <c r="E1151" s="605" t="str">
        <f>N1151</f>
        <v/>
      </c>
      <c r="F1151" s="131"/>
      <c r="G1151" s="607" t="str">
        <f ca="1">IF(OR(INDIRECT("'update Helper'!E"&amp;Q1151)="",F1151&lt;&gt;0,F1152&lt;&gt;0),IF(IFERROR((F1151/F1152),"")="","",(F1151/F1152)),INDIRECT("'update Helper'!E"&amp;Q1151)/100)</f>
        <v/>
      </c>
      <c r="H1151" s="597">
        <v>2022</v>
      </c>
      <c r="I1151" s="599" t="s">
        <v>2247</v>
      </c>
      <c r="J1151" s="531"/>
      <c r="K1151" s="130">
        <f>IF(AND(EXACT(C1151,C1149),C1149&lt;&gt;0),K1149+1,0)</f>
        <v>5</v>
      </c>
      <c r="L1151" s="130" t="str">
        <f t="shared" ref="L1151" si="1335">IF(C1151&lt;&gt;"",C1151&amp;"-"&amp;K1151,"")</f>
        <v>TB/HIV-6⁽ᴹ⁾ Percentage of HIV-positive new and relapse TB patients on ART during TB treatment-5</v>
      </c>
      <c r="M1151" s="130" t="str">
        <f t="array" ref="M1151">IFERROR(IF(INDEX('Disaggregation Records'!$E$152:$E$513,MATCH(RIGHT(L1151,255),RIGHT('Disaggregation Records'!$D$152:$D$513,255),0))="","",INDEX('Disaggregation Records'!$E$152:$E$513,MATCH(RIGHT(L1151,255),RIGHT('Disaggregation Records'!$D$152:$D$513,255),0))),"")</f>
        <v/>
      </c>
      <c r="N1151" s="130" t="str">
        <f t="array" ref="N1151">IFERROR(IF(INDEX('Disaggregation Records'!$F$152:$F$513,MATCH(RIGHT(L1151,255),RIGHT('Disaggregation Records'!$D$152:$D$513,255),0))="","",INDEX('Disaggregation Records'!$F$152:$F$513,MATCH(RIGHT(L1151,255),RIGHT('Disaggregation Records'!$D$152:$D$513,255),0))),"")</f>
        <v/>
      </c>
      <c r="O1151" s="130" t="str">
        <f t="array" ref="O1151">IFERROR(IF(INDEX('Disaggregation Records'!$H$152:$H$513,MATCH(RIGHT(L1151,255),RIGHT('Disaggregation Records'!$D$152:$D$513,255),0))="","",INDEX('Disaggregation Records'!$H$152:$H$513,MATCH(RIGHT(L1151,255),RIGHT('Disaggregation Records'!$D$152:$D$513,255),0))),"")</f>
        <v/>
      </c>
      <c r="P1151" s="130"/>
      <c r="Q1151" s="52">
        <f t="shared" ref="Q1151" si="1336">Q1149+1</f>
        <v>1760</v>
      </c>
    </row>
    <row r="1152" spans="1:17" ht="20.100000000000001" customHeight="1" x14ac:dyDescent="0.25">
      <c r="B1152" s="602"/>
      <c r="C1152" s="604"/>
      <c r="D1152" s="606"/>
      <c r="E1152" s="606"/>
      <c r="F1152" s="132"/>
      <c r="G1152" s="608"/>
      <c r="H1152" s="598"/>
      <c r="I1152" s="600"/>
      <c r="J1152" s="532"/>
      <c r="K1152" s="130"/>
      <c r="L1152" s="130"/>
      <c r="M1152" s="130"/>
      <c r="N1152" s="130"/>
      <c r="O1152" s="130"/>
      <c r="P1152" s="130"/>
    </row>
    <row r="1153" spans="1:17" ht="20.100000000000001" customHeight="1" x14ac:dyDescent="0.25">
      <c r="A1153" s="130" t="str">
        <f t="shared" ca="1" si="1319"/>
        <v>a16Dm000000LZdoIAG</v>
      </c>
      <c r="B1153" s="601">
        <v>14</v>
      </c>
      <c r="C1153" s="603" t="str">
        <f>IFERROR(VLOOKUP(B1153,'Coverage Indicators - Section D'!$A$9:$AO$70,41,FALSE),"")</f>
        <v>TB/HIV-6⁽ᴹ⁾ Percentage of HIV-positive new and relapse TB patients on ART during TB treatment</v>
      </c>
      <c r="D1153" s="605" t="str">
        <f>M1153</f>
        <v/>
      </c>
      <c r="E1153" s="605" t="str">
        <f>N1153</f>
        <v/>
      </c>
      <c r="F1153" s="131"/>
      <c r="G1153" s="607" t="str">
        <f ca="1">IF(OR(INDIRECT("'update Helper'!E"&amp;Q1153)="",F1153&lt;&gt;0,F1154&lt;&gt;0),IF(IFERROR((F1153/F1154),"")="","",(F1153/F1154)),INDIRECT("'update Helper'!E"&amp;Q1153)/100)</f>
        <v/>
      </c>
      <c r="H1153" s="597"/>
      <c r="I1153" s="599"/>
      <c r="J1153" s="531"/>
      <c r="K1153" s="130">
        <f>IF(AND(EXACT(C1153,C1151),C1151&lt;&gt;0),K1151+1,0)</f>
        <v>6</v>
      </c>
      <c r="L1153" s="130" t="str">
        <f t="shared" ref="L1153" si="1337">IF(C1153&lt;&gt;"",C1153&amp;"-"&amp;K1153,"")</f>
        <v>TB/HIV-6⁽ᴹ⁾ Percentage of HIV-positive new and relapse TB patients on ART during TB treatment-6</v>
      </c>
      <c r="M1153" s="130" t="str">
        <f t="array" ref="M1153">IFERROR(IF(INDEX('Disaggregation Records'!$E$152:$E$513,MATCH(RIGHT(L1153,255),RIGHT('Disaggregation Records'!$D$152:$D$513,255),0))="","",INDEX('Disaggregation Records'!$E$152:$E$513,MATCH(RIGHT(L1153,255),RIGHT('Disaggregation Records'!$D$152:$D$513,255),0))),"")</f>
        <v/>
      </c>
      <c r="N1153" s="130" t="str">
        <f t="array" ref="N1153">IFERROR(IF(INDEX('Disaggregation Records'!$F$152:$F$513,MATCH(RIGHT(L1153,255),RIGHT('Disaggregation Records'!$D$152:$D$513,255),0))="","",INDEX('Disaggregation Records'!$F$152:$F$513,MATCH(RIGHT(L1153,255),RIGHT('Disaggregation Records'!$D$152:$D$513,255),0))),"")</f>
        <v/>
      </c>
      <c r="O1153" s="130" t="str">
        <f t="array" ref="O1153">IFERROR(IF(INDEX('Disaggregation Records'!$H$152:$H$513,MATCH(RIGHT(L1153,255),RIGHT('Disaggregation Records'!$D$152:$D$513,255),0))="","",INDEX('Disaggregation Records'!$H$152:$H$513,MATCH(RIGHT(L1153,255),RIGHT('Disaggregation Records'!$D$152:$D$513,255),0))),"")</f>
        <v/>
      </c>
      <c r="P1153" s="130"/>
      <c r="Q1153" s="52">
        <f t="shared" ref="Q1153" si="1338">Q1151+1</f>
        <v>1761</v>
      </c>
    </row>
    <row r="1154" spans="1:17" ht="20.100000000000001" customHeight="1" x14ac:dyDescent="0.25">
      <c r="A1154" s="130"/>
      <c r="B1154" s="602"/>
      <c r="C1154" s="604"/>
      <c r="D1154" s="606"/>
      <c r="E1154" s="606"/>
      <c r="F1154" s="132"/>
      <c r="G1154" s="608"/>
      <c r="H1154" s="598"/>
      <c r="I1154" s="600"/>
      <c r="J1154" s="532"/>
      <c r="K1154" s="130"/>
      <c r="L1154" s="130"/>
      <c r="M1154" s="130"/>
      <c r="N1154" s="130"/>
      <c r="O1154" s="130"/>
      <c r="P1154" s="130"/>
    </row>
    <row r="1155" spans="1:17" ht="20.100000000000001" customHeight="1" x14ac:dyDescent="0.25">
      <c r="A1155" s="130" t="str">
        <f t="shared" ca="1" si="1322"/>
        <v>a16Dm000000LZdpIAG</v>
      </c>
      <c r="B1155" s="601">
        <v>14</v>
      </c>
      <c r="C1155" s="603" t="str">
        <f>IFERROR(VLOOKUP(B1155,'Coverage Indicators - Section D'!$A$9:$AO$70,41,FALSE),"")</f>
        <v>TB/HIV-6⁽ᴹ⁾ Percentage of HIV-positive new and relapse TB patients on ART during TB treatment</v>
      </c>
      <c r="D1155" s="605" t="str">
        <f>M1155</f>
        <v/>
      </c>
      <c r="E1155" s="605" t="str">
        <f>N1155</f>
        <v/>
      </c>
      <c r="F1155" s="131"/>
      <c r="G1155" s="607" t="str">
        <f ca="1">IF(OR(INDIRECT("'update Helper'!E"&amp;Q1155)="",F1155&lt;&gt;0,F1156&lt;&gt;0),IF(IFERROR((F1155/F1156),"")="","",(F1155/F1156)),INDIRECT("'update Helper'!E"&amp;Q1155)/100)</f>
        <v/>
      </c>
      <c r="H1155" s="597"/>
      <c r="I1155" s="599"/>
      <c r="J1155" s="531"/>
      <c r="K1155" s="130">
        <f>IF(AND(EXACT(C1155,C1153),C1153&lt;&gt;0),K1153+1,0)</f>
        <v>7</v>
      </c>
      <c r="L1155" s="130" t="str">
        <f t="shared" ref="L1155" si="1339">IF(C1155&lt;&gt;"",C1155&amp;"-"&amp;K1155,"")</f>
        <v>TB/HIV-6⁽ᴹ⁾ Percentage of HIV-positive new and relapse TB patients on ART during TB treatment-7</v>
      </c>
      <c r="M1155" s="130" t="str">
        <f t="array" ref="M1155">IFERROR(IF(INDEX('Disaggregation Records'!$E$152:$E$513,MATCH(RIGHT(L1155,255),RIGHT('Disaggregation Records'!$D$152:$D$513,255),0))="","",INDEX('Disaggregation Records'!$E$152:$E$513,MATCH(RIGHT(L1155,255),RIGHT('Disaggregation Records'!$D$152:$D$513,255),0))),"")</f>
        <v/>
      </c>
      <c r="N1155" s="130" t="str">
        <f t="array" ref="N1155">IFERROR(IF(INDEX('Disaggregation Records'!$F$152:$F$513,MATCH(RIGHT(L1155,255),RIGHT('Disaggregation Records'!$D$152:$D$513,255),0))="","",INDEX('Disaggregation Records'!$F$152:$F$513,MATCH(RIGHT(L1155,255),RIGHT('Disaggregation Records'!$D$152:$D$513,255),0))),"")</f>
        <v/>
      </c>
      <c r="O1155" s="130" t="str">
        <f t="array" ref="O1155">IFERROR(IF(INDEX('Disaggregation Records'!$H$152:$H$513,MATCH(RIGHT(L1155,255),RIGHT('Disaggregation Records'!$D$152:$D$513,255),0))="","",INDEX('Disaggregation Records'!$H$152:$H$513,MATCH(RIGHT(L1155,255),RIGHT('Disaggregation Records'!$D$152:$D$513,255),0))),"")</f>
        <v/>
      </c>
      <c r="Q1155" s="52">
        <f t="shared" ref="Q1155" si="1340">Q1153+1</f>
        <v>1762</v>
      </c>
    </row>
    <row r="1156" spans="1:17" ht="20.100000000000001" customHeight="1" x14ac:dyDescent="0.25">
      <c r="B1156" s="602"/>
      <c r="C1156" s="604"/>
      <c r="D1156" s="606"/>
      <c r="E1156" s="606"/>
      <c r="F1156" s="132"/>
      <c r="G1156" s="608"/>
      <c r="H1156" s="598"/>
      <c r="I1156" s="600"/>
      <c r="J1156" s="532"/>
      <c r="L1156" s="130"/>
      <c r="N1156" s="130"/>
      <c r="O1156" s="130"/>
    </row>
    <row r="1157" spans="1:17" ht="20.100000000000001" customHeight="1" x14ac:dyDescent="0.25">
      <c r="A1157" s="130" t="str">
        <f t="shared" ca="1" si="1319"/>
        <v>a16Dm000000LZdqIAG</v>
      </c>
      <c r="B1157" s="601">
        <v>14</v>
      </c>
      <c r="C1157" s="603" t="str">
        <f>IFERROR(VLOOKUP(B1157,'Coverage Indicators - Section D'!$A$9:$AO$70,41,FALSE),"")</f>
        <v>TB/HIV-6⁽ᴹ⁾ Percentage of HIV-positive new and relapse TB patients on ART during TB treatment</v>
      </c>
      <c r="D1157" s="605" t="str">
        <f>M1157</f>
        <v/>
      </c>
      <c r="E1157" s="605" t="str">
        <f>N1157</f>
        <v/>
      </c>
      <c r="F1157" s="131"/>
      <c r="G1157" s="607" t="str">
        <f ca="1">IF(OR(INDIRECT("'update Helper'!E"&amp;Q1157)="",F1157&lt;&gt;0,F1158&lt;&gt;0),IF(IFERROR((F1157/F1158),"")="","",(F1157/F1158)),INDIRECT("'update Helper'!E"&amp;Q1157)/100)</f>
        <v/>
      </c>
      <c r="H1157" s="597"/>
      <c r="I1157" s="599"/>
      <c r="J1157" s="531"/>
      <c r="K1157" s="130">
        <f>IF(AND(EXACT(C1157,C1155),C1155&lt;&gt;0),K1155+1,0)</f>
        <v>8</v>
      </c>
      <c r="L1157" s="130" t="str">
        <f t="shared" ref="L1157" si="1341">IF(C1157&lt;&gt;"",C1157&amp;"-"&amp;K1157,"")</f>
        <v>TB/HIV-6⁽ᴹ⁾ Percentage of HIV-positive new and relapse TB patients on ART during TB treatment-8</v>
      </c>
      <c r="M1157" s="130" t="str">
        <f t="array" ref="M1157">IFERROR(IF(INDEX('Disaggregation Records'!$E$152:$E$513,MATCH(RIGHT(L1157,255),RIGHT('Disaggregation Records'!$D$152:$D$513,255),0))="","",INDEX('Disaggregation Records'!$E$152:$E$513,MATCH(RIGHT(L1157,255),RIGHT('Disaggregation Records'!$D$152:$D$513,255),0))),"")</f>
        <v/>
      </c>
      <c r="N1157" s="130" t="str">
        <f t="array" ref="N1157">IFERROR(IF(INDEX('Disaggregation Records'!$F$152:$F$513,MATCH(RIGHT(L1157,255),RIGHT('Disaggregation Records'!$D$152:$D$513,255),0))="","",INDEX('Disaggregation Records'!$F$152:$F$513,MATCH(RIGHT(L1157,255),RIGHT('Disaggregation Records'!$D$152:$D$513,255),0))),"")</f>
        <v/>
      </c>
      <c r="O1157" s="130" t="str">
        <f t="array" ref="O1157">IFERROR(IF(INDEX('Disaggregation Records'!$H$152:$H$513,MATCH(RIGHT(L1157,255),RIGHT('Disaggregation Records'!$D$152:$D$513,255),0))="","",INDEX('Disaggregation Records'!$H$152:$H$513,MATCH(RIGHT(L1157,255),RIGHT('Disaggregation Records'!$D$152:$D$513,255),0))),"")</f>
        <v/>
      </c>
      <c r="Q1157" s="52">
        <f t="shared" ref="Q1157" si="1342">Q1155+1</f>
        <v>1763</v>
      </c>
    </row>
    <row r="1158" spans="1:17" ht="20.100000000000001" customHeight="1" x14ac:dyDescent="0.25">
      <c r="A1158" s="130"/>
      <c r="B1158" s="602"/>
      <c r="C1158" s="604"/>
      <c r="D1158" s="606"/>
      <c r="E1158" s="606"/>
      <c r="F1158" s="132"/>
      <c r="G1158" s="608"/>
      <c r="H1158" s="598"/>
      <c r="I1158" s="600"/>
      <c r="J1158" s="532"/>
      <c r="L1158" s="130"/>
      <c r="N1158" s="130"/>
      <c r="O1158" s="130"/>
    </row>
    <row r="1159" spans="1:17" ht="20.100000000000001" customHeight="1" x14ac:dyDescent="0.25">
      <c r="A1159" s="130" t="str">
        <f t="shared" ca="1" si="1322"/>
        <v>a16Dm000000LZdrIAG</v>
      </c>
      <c r="B1159" s="601">
        <v>14</v>
      </c>
      <c r="C1159" s="603" t="str">
        <f>IFERROR(VLOOKUP(B1159,'Coverage Indicators - Section D'!$A$9:$AO$70,41,FALSE),"")</f>
        <v>TB/HIV-6⁽ᴹ⁾ Percentage of HIV-positive new and relapse TB patients on ART during TB treatment</v>
      </c>
      <c r="D1159" s="605" t="str">
        <f>M1159</f>
        <v/>
      </c>
      <c r="E1159" s="605" t="str">
        <f>N1159</f>
        <v/>
      </c>
      <c r="F1159" s="131"/>
      <c r="G1159" s="607" t="str">
        <f ca="1">IF(OR(INDIRECT("'update Helper'!E"&amp;Q1159)="",F1159&lt;&gt;0,F1160&lt;&gt;0),IF(IFERROR((F1159/F1160),"")="","",(F1159/F1160)),INDIRECT("'update Helper'!E"&amp;Q1159)/100)</f>
        <v/>
      </c>
      <c r="H1159" s="597"/>
      <c r="I1159" s="599"/>
      <c r="J1159" s="531"/>
      <c r="K1159" s="130">
        <f>IF(AND(EXACT(C1159,C1157),C1157&lt;&gt;0),K1157+1,0)</f>
        <v>9</v>
      </c>
      <c r="L1159" s="130" t="str">
        <f t="shared" ref="L1159" si="1343">IF(C1159&lt;&gt;"",C1159&amp;"-"&amp;K1159,"")</f>
        <v>TB/HIV-6⁽ᴹ⁾ Percentage of HIV-positive new and relapse TB patients on ART during TB treatment-9</v>
      </c>
      <c r="M1159" s="130" t="str">
        <f t="array" ref="M1159">IFERROR(IF(INDEX('Disaggregation Records'!$E$152:$E$513,MATCH(RIGHT(L1159,255),RIGHT('Disaggregation Records'!$D$152:$D$513,255),0))="","",INDEX('Disaggregation Records'!$E$152:$E$513,MATCH(RIGHT(L1159,255),RIGHT('Disaggregation Records'!$D$152:$D$513,255),0))),"")</f>
        <v/>
      </c>
      <c r="N1159" s="130" t="str">
        <f t="array" ref="N1159">IFERROR(IF(INDEX('Disaggregation Records'!$F$152:$F$513,MATCH(RIGHT(L1159,255),RIGHT('Disaggregation Records'!$D$152:$D$513,255),0))="","",INDEX('Disaggregation Records'!$F$152:$F$513,MATCH(RIGHT(L1159,255),RIGHT('Disaggregation Records'!$D$152:$D$513,255),0))),"")</f>
        <v/>
      </c>
      <c r="O1159" s="130" t="str">
        <f t="array" ref="O1159">IFERROR(IF(INDEX('Disaggregation Records'!$H$152:$H$513,MATCH(RIGHT(L1159,255),RIGHT('Disaggregation Records'!$D$152:$D$513,255),0))="","",INDEX('Disaggregation Records'!$H$152:$H$513,MATCH(RIGHT(L1159,255),RIGHT('Disaggregation Records'!$D$152:$D$513,255),0))),"")</f>
        <v/>
      </c>
      <c r="Q1159" s="52">
        <f t="shared" ref="Q1159" si="1344">Q1157+1</f>
        <v>1764</v>
      </c>
    </row>
    <row r="1160" spans="1:17" ht="20.100000000000001" customHeight="1" x14ac:dyDescent="0.25">
      <c r="B1160" s="602"/>
      <c r="C1160" s="604"/>
      <c r="D1160" s="606"/>
      <c r="E1160" s="606"/>
      <c r="F1160" s="132"/>
      <c r="G1160" s="608"/>
      <c r="H1160" s="598"/>
      <c r="I1160" s="600"/>
      <c r="J1160" s="532"/>
      <c r="L1160" s="130"/>
      <c r="N1160" s="130"/>
      <c r="O1160" s="130"/>
    </row>
    <row r="1161" spans="1:17" ht="20.100000000000001" customHeight="1" x14ac:dyDescent="0.25">
      <c r="A1161" s="130" t="str">
        <f t="shared" ca="1" si="1319"/>
        <v>a16Dm000000LZdsIAG</v>
      </c>
      <c r="B1161" s="601">
        <v>14</v>
      </c>
      <c r="C1161" s="603" t="str">
        <f>IFERROR(VLOOKUP(B1161,'Coverage Indicators - Section D'!$A$9:$AO$70,41,FALSE),"")</f>
        <v>TB/HIV-6⁽ᴹ⁾ Percentage of HIV-positive new and relapse TB patients on ART during TB treatment</v>
      </c>
      <c r="D1161" s="605" t="str">
        <f>M1161</f>
        <v/>
      </c>
      <c r="E1161" s="605" t="str">
        <f>N1161</f>
        <v/>
      </c>
      <c r="F1161" s="131"/>
      <c r="G1161" s="607" t="str">
        <f ca="1">IF(OR(INDIRECT("'update Helper'!E"&amp;Q1161)="",F1161&lt;&gt;0,F1162&lt;&gt;0),IF(IFERROR((F1161/F1162),"")="","",(F1161/F1162)),INDIRECT("'update Helper'!E"&amp;Q1161)/100)</f>
        <v/>
      </c>
      <c r="H1161" s="597"/>
      <c r="I1161" s="599"/>
      <c r="J1161" s="531"/>
      <c r="K1161" s="130">
        <f>IF(AND(EXACT(C1161,C1159),C1159&lt;&gt;0),K1159+1,0)</f>
        <v>10</v>
      </c>
      <c r="L1161" s="130" t="str">
        <f t="shared" ref="L1161" si="1345">IF(C1161&lt;&gt;"",C1161&amp;"-"&amp;K1161,"")</f>
        <v>TB/HIV-6⁽ᴹ⁾ Percentage of HIV-positive new and relapse TB patients on ART during TB treatment-10</v>
      </c>
      <c r="M1161" s="130" t="str">
        <f t="array" ref="M1161">IFERROR(IF(INDEX('Disaggregation Records'!$E$152:$E$513,MATCH(RIGHT(L1161,255),RIGHT('Disaggregation Records'!$D$152:$D$513,255),0))="","",INDEX('Disaggregation Records'!$E$152:$E$513,MATCH(RIGHT(L1161,255),RIGHT('Disaggregation Records'!$D$152:$D$513,255),0))),"")</f>
        <v/>
      </c>
      <c r="N1161" s="130" t="str">
        <f t="array" ref="N1161">IFERROR(IF(INDEX('Disaggregation Records'!$F$152:$F$513,MATCH(RIGHT(L1161,255),RIGHT('Disaggregation Records'!$D$152:$D$513,255),0))="","",INDEX('Disaggregation Records'!$F$152:$F$513,MATCH(RIGHT(L1161,255),RIGHT('Disaggregation Records'!$D$152:$D$513,255),0))),"")</f>
        <v/>
      </c>
      <c r="O1161" s="130" t="str">
        <f t="array" ref="O1161">IFERROR(IF(INDEX('Disaggregation Records'!$H$152:$H$513,MATCH(RIGHT(L1161,255),RIGHT('Disaggregation Records'!$D$152:$D$513,255),0))="","",INDEX('Disaggregation Records'!$H$152:$H$513,MATCH(RIGHT(L1161,255),RIGHT('Disaggregation Records'!$D$152:$D$513,255),0))),"")</f>
        <v/>
      </c>
      <c r="P1161" s="130"/>
      <c r="Q1161" s="52">
        <f t="shared" ref="Q1161" si="1346">Q1159+1</f>
        <v>1765</v>
      </c>
    </row>
    <row r="1162" spans="1:17" ht="20.100000000000001" customHeight="1" x14ac:dyDescent="0.25">
      <c r="A1162" s="130"/>
      <c r="B1162" s="602"/>
      <c r="C1162" s="604"/>
      <c r="D1162" s="606"/>
      <c r="E1162" s="606"/>
      <c r="F1162" s="132"/>
      <c r="G1162" s="608"/>
      <c r="H1162" s="598"/>
      <c r="I1162" s="600"/>
      <c r="J1162" s="532"/>
      <c r="K1162" s="130"/>
      <c r="L1162" s="130"/>
      <c r="M1162" s="130"/>
      <c r="N1162" s="130"/>
      <c r="O1162" s="130"/>
      <c r="P1162" s="130"/>
    </row>
    <row r="1163" spans="1:17" ht="20.100000000000001" customHeight="1" x14ac:dyDescent="0.25">
      <c r="A1163" s="130" t="str">
        <f t="shared" ca="1" si="1322"/>
        <v>a16Dm000000LZdtIAG</v>
      </c>
      <c r="B1163" s="601">
        <v>14</v>
      </c>
      <c r="C1163" s="603" t="str">
        <f>IFERROR(VLOOKUP(B1163,'Coverage Indicators - Section D'!$A$9:$AO$70,41,FALSE),"")</f>
        <v>TB/HIV-6⁽ᴹ⁾ Percentage of HIV-positive new and relapse TB patients on ART during TB treatment</v>
      </c>
      <c r="D1163" s="605" t="str">
        <f>M1163</f>
        <v/>
      </c>
      <c r="E1163" s="605" t="str">
        <f>N1163</f>
        <v/>
      </c>
      <c r="F1163" s="131"/>
      <c r="G1163" s="607" t="str">
        <f ca="1">IF(OR(INDIRECT("'update Helper'!E"&amp;Q1163)="",F1163&lt;&gt;0,F1164&lt;&gt;0),IF(IFERROR((F1163/F1164),"")="","",(F1163/F1164)),INDIRECT("'update Helper'!E"&amp;Q1163)/100)</f>
        <v/>
      </c>
      <c r="H1163" s="597"/>
      <c r="I1163" s="599"/>
      <c r="J1163" s="531"/>
      <c r="K1163" s="130">
        <f>IF(AND(EXACT(C1163,C1161),C1161&lt;&gt;0),K1161+1,0)</f>
        <v>11</v>
      </c>
      <c r="L1163" s="130" t="str">
        <f t="shared" ref="L1163" si="1347">IF(C1163&lt;&gt;"",C1163&amp;"-"&amp;K1163,"")</f>
        <v>TB/HIV-6⁽ᴹ⁾ Percentage of HIV-positive new and relapse TB patients on ART during TB treatment-11</v>
      </c>
      <c r="M1163" s="130" t="str">
        <f t="array" ref="M1163">IFERROR(IF(INDEX('Disaggregation Records'!$E$152:$E$513,MATCH(RIGHT(L1163,255),RIGHT('Disaggregation Records'!$D$152:$D$513,255),0))="","",INDEX('Disaggregation Records'!$E$152:$E$513,MATCH(RIGHT(L1163,255),RIGHT('Disaggregation Records'!$D$152:$D$513,255),0))),"")</f>
        <v/>
      </c>
      <c r="N1163" s="130" t="str">
        <f t="array" ref="N1163">IFERROR(IF(INDEX('Disaggregation Records'!$F$152:$F$513,MATCH(RIGHT(L1163,255),RIGHT('Disaggregation Records'!$D$152:$D$513,255),0))="","",INDEX('Disaggregation Records'!$F$152:$F$513,MATCH(RIGHT(L1163,255),RIGHT('Disaggregation Records'!$D$152:$D$513,255),0))),"")</f>
        <v/>
      </c>
      <c r="O1163" s="130" t="str">
        <f t="array" ref="O1163">IFERROR(IF(INDEX('Disaggregation Records'!$H$152:$H$513,MATCH(RIGHT(L1163,255),RIGHT('Disaggregation Records'!$D$152:$D$513,255),0))="","",INDEX('Disaggregation Records'!$H$152:$H$513,MATCH(RIGHT(L1163,255),RIGHT('Disaggregation Records'!$D$152:$D$513,255),0))),"")</f>
        <v/>
      </c>
      <c r="P1163" s="130"/>
      <c r="Q1163" s="52">
        <f t="shared" ref="Q1163" si="1348">Q1161+1</f>
        <v>1766</v>
      </c>
    </row>
    <row r="1164" spans="1:17" ht="20.100000000000001" customHeight="1" x14ac:dyDescent="0.25">
      <c r="B1164" s="602"/>
      <c r="C1164" s="604"/>
      <c r="D1164" s="606"/>
      <c r="E1164" s="606"/>
      <c r="F1164" s="132"/>
      <c r="G1164" s="608"/>
      <c r="H1164" s="598"/>
      <c r="I1164" s="600"/>
      <c r="J1164" s="532"/>
      <c r="K1164" s="130"/>
      <c r="L1164" s="130"/>
      <c r="M1164" s="130"/>
      <c r="N1164" s="130"/>
      <c r="O1164" s="130"/>
      <c r="P1164" s="130"/>
    </row>
    <row r="1165" spans="1:17" ht="20.100000000000001" customHeight="1" x14ac:dyDescent="0.25">
      <c r="A1165" s="130" t="str">
        <f t="shared" ca="1" si="1319"/>
        <v>a16Dm000000LZduIAG</v>
      </c>
      <c r="B1165" s="601">
        <v>14</v>
      </c>
      <c r="C1165" s="603" t="str">
        <f>IFERROR(VLOOKUP(B1165,'Coverage Indicators - Section D'!$A$9:$AO$70,41,FALSE),"")</f>
        <v>TB/HIV-6⁽ᴹ⁾ Percentage of HIV-positive new and relapse TB patients on ART during TB treatment</v>
      </c>
      <c r="D1165" s="605" t="str">
        <f>M1165</f>
        <v/>
      </c>
      <c r="E1165" s="605" t="str">
        <f>N1165</f>
        <v/>
      </c>
      <c r="F1165" s="131"/>
      <c r="G1165" s="607" t="str">
        <f ca="1">IF(OR(INDIRECT("'update Helper'!E"&amp;Q1165)="",F1165&lt;&gt;0,F1166&lt;&gt;0),IF(IFERROR((F1165/F1166),"")="","",(F1165/F1166)),INDIRECT("'update Helper'!E"&amp;Q1165)/100)</f>
        <v/>
      </c>
      <c r="H1165" s="597"/>
      <c r="I1165" s="599"/>
      <c r="J1165" s="531"/>
      <c r="K1165" s="130">
        <f>IF(AND(EXACT(C1165,C1163),C1163&lt;&gt;0),K1163+1,0)</f>
        <v>12</v>
      </c>
      <c r="L1165" s="130" t="str">
        <f t="shared" ref="L1165" si="1349">IF(C1165&lt;&gt;"",C1165&amp;"-"&amp;K1165,"")</f>
        <v>TB/HIV-6⁽ᴹ⁾ Percentage of HIV-positive new and relapse TB patients on ART during TB treatment-12</v>
      </c>
      <c r="M1165" s="130" t="str">
        <f t="array" ref="M1165">IFERROR(IF(INDEX('Disaggregation Records'!$E$152:$E$513,MATCH(RIGHT(L1165,255),RIGHT('Disaggregation Records'!$D$152:$D$513,255),0))="","",INDEX('Disaggregation Records'!$E$152:$E$513,MATCH(RIGHT(L1165,255),RIGHT('Disaggregation Records'!$D$152:$D$513,255),0))),"")</f>
        <v/>
      </c>
      <c r="N1165" s="130" t="str">
        <f t="array" ref="N1165">IFERROR(IF(INDEX('Disaggregation Records'!$F$152:$F$513,MATCH(RIGHT(L1165,255),RIGHT('Disaggregation Records'!$D$152:$D$513,255),0))="","",INDEX('Disaggregation Records'!$F$152:$F$513,MATCH(RIGHT(L1165,255),RIGHT('Disaggregation Records'!$D$152:$D$513,255),0))),"")</f>
        <v/>
      </c>
      <c r="O1165" s="130" t="str">
        <f t="array" ref="O1165">IFERROR(IF(INDEX('Disaggregation Records'!$H$152:$H$513,MATCH(RIGHT(L1165,255),RIGHT('Disaggregation Records'!$D$152:$D$513,255),0))="","",INDEX('Disaggregation Records'!$H$152:$H$513,MATCH(RIGHT(L1165,255),RIGHT('Disaggregation Records'!$D$152:$D$513,255),0))),"")</f>
        <v/>
      </c>
      <c r="Q1165" s="52">
        <f t="shared" ref="Q1165" si="1350">Q1163+1</f>
        <v>1767</v>
      </c>
    </row>
    <row r="1166" spans="1:17" ht="20.100000000000001" customHeight="1" x14ac:dyDescent="0.25">
      <c r="A1166" s="130"/>
      <c r="B1166" s="602"/>
      <c r="C1166" s="604"/>
      <c r="D1166" s="606"/>
      <c r="E1166" s="606"/>
      <c r="F1166" s="132"/>
      <c r="G1166" s="608"/>
      <c r="H1166" s="598"/>
      <c r="I1166" s="600"/>
      <c r="J1166" s="532"/>
      <c r="L1166" s="130"/>
      <c r="N1166" s="130"/>
      <c r="O1166" s="130"/>
    </row>
    <row r="1167" spans="1:17" ht="20.100000000000001" customHeight="1" x14ac:dyDescent="0.25">
      <c r="A1167" s="130" t="str">
        <f t="shared" ca="1" si="1322"/>
        <v>a16Dm000000LZdvIAG</v>
      </c>
      <c r="B1167" s="601">
        <v>14</v>
      </c>
      <c r="C1167" s="603" t="str">
        <f>IFERROR(VLOOKUP(B1167,'Coverage Indicators - Section D'!$A$9:$AO$70,41,FALSE),"")</f>
        <v>TB/HIV-6⁽ᴹ⁾ Percentage of HIV-positive new and relapse TB patients on ART during TB treatment</v>
      </c>
      <c r="D1167" s="605" t="str">
        <f>M1167</f>
        <v/>
      </c>
      <c r="E1167" s="605" t="str">
        <f>N1167</f>
        <v/>
      </c>
      <c r="F1167" s="131"/>
      <c r="G1167" s="607" t="str">
        <f ca="1">IF(OR(INDIRECT("'update Helper'!E"&amp;Q1167)="",F1167&lt;&gt;0,F1168&lt;&gt;0),IF(IFERROR((F1167/F1168),"")="","",(F1167/F1168)),INDIRECT("'update Helper'!E"&amp;Q1167)/100)</f>
        <v/>
      </c>
      <c r="H1167" s="597"/>
      <c r="I1167" s="599"/>
      <c r="J1167" s="531"/>
      <c r="K1167" s="130">
        <f>IF(AND(EXACT(C1167,C1165),C1165&lt;&gt;0),K1165+1,0)</f>
        <v>13</v>
      </c>
      <c r="L1167" s="130" t="str">
        <f t="shared" ref="L1167" si="1351">IF(C1167&lt;&gt;"",C1167&amp;"-"&amp;K1167,"")</f>
        <v>TB/HIV-6⁽ᴹ⁾ Percentage of HIV-positive new and relapse TB patients on ART during TB treatment-13</v>
      </c>
      <c r="M1167" s="130" t="str">
        <f t="array" ref="M1167">IFERROR(IF(INDEX('Disaggregation Records'!$E$152:$E$513,MATCH(RIGHT(L1167,255),RIGHT('Disaggregation Records'!$D$152:$D$513,255),0))="","",INDEX('Disaggregation Records'!$E$152:$E$513,MATCH(RIGHT(L1167,255),RIGHT('Disaggregation Records'!$D$152:$D$513,255),0))),"")</f>
        <v/>
      </c>
      <c r="N1167" s="130" t="str">
        <f t="array" ref="N1167">IFERROR(IF(INDEX('Disaggregation Records'!$F$152:$F$513,MATCH(RIGHT(L1167,255),RIGHT('Disaggregation Records'!$D$152:$D$513,255),0))="","",INDEX('Disaggregation Records'!$F$152:$F$513,MATCH(RIGHT(L1167,255),RIGHT('Disaggregation Records'!$D$152:$D$513,255),0))),"")</f>
        <v/>
      </c>
      <c r="O1167" s="130" t="str">
        <f t="array" ref="O1167">IFERROR(IF(INDEX('Disaggregation Records'!$H$152:$H$513,MATCH(RIGHT(L1167,255),RIGHT('Disaggregation Records'!$D$152:$D$513,255),0))="","",INDEX('Disaggregation Records'!$H$152:$H$513,MATCH(RIGHT(L1167,255),RIGHT('Disaggregation Records'!$D$152:$D$513,255),0))),"")</f>
        <v/>
      </c>
      <c r="Q1167" s="52">
        <f t="shared" ref="Q1167" si="1352">Q1165+1</f>
        <v>1768</v>
      </c>
    </row>
    <row r="1168" spans="1:17" ht="20.100000000000001" customHeight="1" x14ac:dyDescent="0.25">
      <c r="B1168" s="602"/>
      <c r="C1168" s="604"/>
      <c r="D1168" s="606"/>
      <c r="E1168" s="606"/>
      <c r="F1168" s="132"/>
      <c r="G1168" s="608"/>
      <c r="H1168" s="598"/>
      <c r="I1168" s="600"/>
      <c r="J1168" s="532"/>
      <c r="L1168" s="130"/>
      <c r="N1168" s="130"/>
      <c r="O1168" s="130"/>
    </row>
    <row r="1169" spans="1:17" ht="20.100000000000001" customHeight="1" x14ac:dyDescent="0.25">
      <c r="A1169" s="130" t="str">
        <f t="shared" ca="1" si="1319"/>
        <v>a16Dm000000LZdwIAG</v>
      </c>
      <c r="B1169" s="601">
        <v>14</v>
      </c>
      <c r="C1169" s="603" t="str">
        <f>IFERROR(VLOOKUP(B1169,'Coverage Indicators - Section D'!$A$9:$AO$70,41,FALSE),"")</f>
        <v>TB/HIV-6⁽ᴹ⁾ Percentage of HIV-positive new and relapse TB patients on ART during TB treatment</v>
      </c>
      <c r="D1169" s="605" t="str">
        <f>M1169</f>
        <v/>
      </c>
      <c r="E1169" s="605" t="str">
        <f>N1169</f>
        <v/>
      </c>
      <c r="F1169" s="131"/>
      <c r="G1169" s="607" t="str">
        <f ca="1">IF(OR(INDIRECT("'update Helper'!E"&amp;Q1169)="",F1169&lt;&gt;0,F1170&lt;&gt;0),IF(IFERROR((F1169/F1170),"")="","",(F1169/F1170)),INDIRECT("'update Helper'!E"&amp;Q1169)/100)</f>
        <v/>
      </c>
      <c r="H1169" s="597"/>
      <c r="I1169" s="599"/>
      <c r="J1169" s="531"/>
      <c r="K1169" s="130">
        <f>IF(AND(EXACT(C1169,C1167),C1167&lt;&gt;0),K1167+1,0)</f>
        <v>14</v>
      </c>
      <c r="L1169" s="130" t="str">
        <f t="shared" ref="L1169" si="1353">IF(C1169&lt;&gt;"",C1169&amp;"-"&amp;K1169,"")</f>
        <v>TB/HIV-6⁽ᴹ⁾ Percentage of HIV-positive new and relapse TB patients on ART during TB treatment-14</v>
      </c>
      <c r="M1169" s="130" t="str">
        <f t="array" ref="M1169">IFERROR(IF(INDEX('Disaggregation Records'!$E$152:$E$513,MATCH(RIGHT(L1169,255),RIGHT('Disaggregation Records'!$D$152:$D$513,255),0))="","",INDEX('Disaggregation Records'!$E$152:$E$513,MATCH(RIGHT(L1169,255),RIGHT('Disaggregation Records'!$D$152:$D$513,255),0))),"")</f>
        <v/>
      </c>
      <c r="N1169" s="130" t="str">
        <f t="array" ref="N1169">IFERROR(IF(INDEX('Disaggregation Records'!$F$152:$F$513,MATCH(RIGHT(L1169,255),RIGHT('Disaggregation Records'!$D$152:$D$513,255),0))="","",INDEX('Disaggregation Records'!$F$152:$F$513,MATCH(RIGHT(L1169,255),RIGHT('Disaggregation Records'!$D$152:$D$513,255),0))),"")</f>
        <v/>
      </c>
      <c r="O1169" s="130" t="str">
        <f t="array" ref="O1169">IFERROR(IF(INDEX('Disaggregation Records'!$H$152:$H$513,MATCH(RIGHT(L1169,255),RIGHT('Disaggregation Records'!$D$152:$D$513,255),0))="","",INDEX('Disaggregation Records'!$H$152:$H$513,MATCH(RIGHT(L1169,255),RIGHT('Disaggregation Records'!$D$152:$D$513,255),0))),"")</f>
        <v/>
      </c>
      <c r="Q1169" s="52">
        <f t="shared" ref="Q1169" si="1354">Q1167+1</f>
        <v>1769</v>
      </c>
    </row>
    <row r="1170" spans="1:17" ht="20.100000000000001" customHeight="1" x14ac:dyDescent="0.25">
      <c r="A1170" s="130"/>
      <c r="B1170" s="602"/>
      <c r="C1170" s="604"/>
      <c r="D1170" s="606"/>
      <c r="E1170" s="606"/>
      <c r="F1170" s="132"/>
      <c r="G1170" s="608"/>
      <c r="H1170" s="598"/>
      <c r="I1170" s="600"/>
      <c r="J1170" s="532"/>
      <c r="L1170" s="130"/>
      <c r="N1170" s="130"/>
      <c r="O1170" s="130"/>
    </row>
    <row r="1171" spans="1:17" ht="20.100000000000001" customHeight="1" x14ac:dyDescent="0.25">
      <c r="A1171" s="130" t="str">
        <f t="shared" ca="1" si="1322"/>
        <v>a16Dm000000LZdxIAG</v>
      </c>
      <c r="B1171" s="601">
        <v>14</v>
      </c>
      <c r="C1171" s="603" t="str">
        <f>IFERROR(VLOOKUP(B1171,'Coverage Indicators - Section D'!$A$9:$AO$70,41,FALSE),"")</f>
        <v>TB/HIV-6⁽ᴹ⁾ Percentage of HIV-positive new and relapse TB patients on ART during TB treatment</v>
      </c>
      <c r="D1171" s="605" t="str">
        <f>M1171</f>
        <v/>
      </c>
      <c r="E1171" s="605" t="str">
        <f>N1171</f>
        <v/>
      </c>
      <c r="F1171" s="131"/>
      <c r="G1171" s="607" t="str">
        <f ca="1">IF(OR(INDIRECT("'update Helper'!E"&amp;Q1171)="",F1171&lt;&gt;0,F1172&lt;&gt;0),IF(IFERROR((F1171/F1172),"")="","",(F1171/F1172)),INDIRECT("'update Helper'!E"&amp;Q1171)/100)</f>
        <v/>
      </c>
      <c r="H1171" s="597"/>
      <c r="I1171" s="599"/>
      <c r="J1171" s="531"/>
      <c r="K1171" s="130">
        <f>IF(AND(EXACT(C1171,C1169),C1169&lt;&gt;0),K1169+1,0)</f>
        <v>15</v>
      </c>
      <c r="L1171" s="130" t="str">
        <f t="shared" ref="L1171" si="1355">IF(C1171&lt;&gt;"",C1171&amp;"-"&amp;K1171,"")</f>
        <v>TB/HIV-6⁽ᴹ⁾ Percentage of HIV-positive new and relapse TB patients on ART during TB treatment-15</v>
      </c>
      <c r="M1171" s="130" t="str">
        <f t="array" ref="M1171">IFERROR(IF(INDEX('Disaggregation Records'!$E$152:$E$513,MATCH(RIGHT(L1171,255),RIGHT('Disaggregation Records'!$D$152:$D$513,255),0))="","",INDEX('Disaggregation Records'!$E$152:$E$513,MATCH(RIGHT(L1171,255),RIGHT('Disaggregation Records'!$D$152:$D$513,255),0))),"")</f>
        <v/>
      </c>
      <c r="N1171" s="130" t="str">
        <f t="array" ref="N1171">IFERROR(IF(INDEX('Disaggregation Records'!$F$152:$F$513,MATCH(RIGHT(L1171,255),RIGHT('Disaggregation Records'!$D$152:$D$513,255),0))="","",INDEX('Disaggregation Records'!$F$152:$F$513,MATCH(RIGHT(L1171,255),RIGHT('Disaggregation Records'!$D$152:$D$513,255),0))),"")</f>
        <v/>
      </c>
      <c r="O1171" s="130" t="str">
        <f t="array" ref="O1171">IFERROR(IF(INDEX('Disaggregation Records'!$H$152:$H$513,MATCH(RIGHT(L1171,255),RIGHT('Disaggregation Records'!$D$152:$D$513,255),0))="","",INDEX('Disaggregation Records'!$H$152:$H$513,MATCH(RIGHT(L1171,255),RIGHT('Disaggregation Records'!$D$152:$D$513,255),0))),"")</f>
        <v/>
      </c>
      <c r="P1171" s="130"/>
      <c r="Q1171" s="52">
        <f t="shared" ref="Q1171" si="1356">Q1169+1</f>
        <v>1770</v>
      </c>
    </row>
    <row r="1172" spans="1:17" ht="20.100000000000001" customHeight="1" x14ac:dyDescent="0.25">
      <c r="B1172" s="602"/>
      <c r="C1172" s="604"/>
      <c r="D1172" s="606"/>
      <c r="E1172" s="606"/>
      <c r="F1172" s="132"/>
      <c r="G1172" s="608"/>
      <c r="H1172" s="598"/>
      <c r="I1172" s="600"/>
      <c r="J1172" s="532"/>
      <c r="K1172" s="130"/>
      <c r="L1172" s="130"/>
      <c r="M1172" s="130"/>
      <c r="N1172" s="130"/>
      <c r="O1172" s="130"/>
      <c r="P1172" s="130"/>
    </row>
    <row r="1173" spans="1:17" ht="20.100000000000001" customHeight="1" x14ac:dyDescent="0.25">
      <c r="A1173" s="130" t="str">
        <f t="shared" ca="1" si="1319"/>
        <v>a16Dm000000LZdyIAG</v>
      </c>
      <c r="B1173" s="601">
        <v>14</v>
      </c>
      <c r="C1173" s="603" t="str">
        <f>IFERROR(VLOOKUP(B1173,'Coverage Indicators - Section D'!$A$9:$AO$70,41,FALSE),"")</f>
        <v>TB/HIV-6⁽ᴹ⁾ Percentage of HIV-positive new and relapse TB patients on ART during TB treatment</v>
      </c>
      <c r="D1173" s="605" t="str">
        <f>M1173</f>
        <v/>
      </c>
      <c r="E1173" s="605" t="str">
        <f>N1173</f>
        <v/>
      </c>
      <c r="F1173" s="131"/>
      <c r="G1173" s="607" t="str">
        <f ca="1">IF(OR(INDIRECT("'update Helper'!E"&amp;Q1173)="",F1173&lt;&gt;0,F1174&lt;&gt;0),IF(IFERROR((F1173/F1174),"")="","",(F1173/F1174)),INDIRECT("'update Helper'!E"&amp;Q1173)/100)</f>
        <v/>
      </c>
      <c r="H1173" s="597"/>
      <c r="I1173" s="599"/>
      <c r="J1173" s="531"/>
      <c r="K1173" s="130">
        <f>IF(AND(EXACT(C1173,C1171),C1171&lt;&gt;0),K1171+1,0)</f>
        <v>16</v>
      </c>
      <c r="L1173" s="130" t="str">
        <f t="shared" ref="L1173" si="1357">IF(C1173&lt;&gt;"",C1173&amp;"-"&amp;K1173,"")</f>
        <v>TB/HIV-6⁽ᴹ⁾ Percentage of HIV-positive new and relapse TB patients on ART during TB treatment-16</v>
      </c>
      <c r="M1173" s="130" t="str">
        <f t="array" ref="M1173">IFERROR(IF(INDEX('Disaggregation Records'!$E$152:$E$513,MATCH(RIGHT(L1173,255),RIGHT('Disaggregation Records'!$D$152:$D$513,255),0))="","",INDEX('Disaggregation Records'!$E$152:$E$513,MATCH(RIGHT(L1173,255),RIGHT('Disaggregation Records'!$D$152:$D$513,255),0))),"")</f>
        <v/>
      </c>
      <c r="N1173" s="130" t="str">
        <f t="array" ref="N1173">IFERROR(IF(INDEX('Disaggregation Records'!$F$152:$F$513,MATCH(RIGHT(L1173,255),RIGHT('Disaggregation Records'!$D$152:$D$513,255),0))="","",INDEX('Disaggregation Records'!$F$152:$F$513,MATCH(RIGHT(L1173,255),RIGHT('Disaggregation Records'!$D$152:$D$513,255),0))),"")</f>
        <v/>
      </c>
      <c r="O1173" s="130" t="str">
        <f t="array" ref="O1173">IFERROR(IF(INDEX('Disaggregation Records'!$H$152:$H$513,MATCH(RIGHT(L1173,255),RIGHT('Disaggregation Records'!$D$152:$D$513,255),0))="","",INDEX('Disaggregation Records'!$H$152:$H$513,MATCH(RIGHT(L1173,255),RIGHT('Disaggregation Records'!$D$152:$D$513,255),0))),"")</f>
        <v/>
      </c>
      <c r="P1173" s="130"/>
      <c r="Q1173" s="52">
        <f t="shared" ref="Q1173" si="1358">Q1171+1</f>
        <v>1771</v>
      </c>
    </row>
    <row r="1174" spans="1:17" ht="20.100000000000001" customHeight="1" x14ac:dyDescent="0.25">
      <c r="A1174" s="130"/>
      <c r="B1174" s="602"/>
      <c r="C1174" s="604"/>
      <c r="D1174" s="606"/>
      <c r="E1174" s="606"/>
      <c r="F1174" s="132"/>
      <c r="G1174" s="608"/>
      <c r="H1174" s="598"/>
      <c r="I1174" s="600"/>
      <c r="J1174" s="532"/>
      <c r="K1174" s="130"/>
      <c r="L1174" s="130"/>
      <c r="M1174" s="130"/>
      <c r="N1174" s="130"/>
      <c r="O1174" s="130"/>
      <c r="P1174" s="130"/>
    </row>
    <row r="1175" spans="1:17" ht="20.100000000000001" customHeight="1" x14ac:dyDescent="0.25">
      <c r="A1175" s="130" t="str">
        <f t="shared" ca="1" si="1322"/>
        <v>a16Dm000000LZdzIAG</v>
      </c>
      <c r="B1175" s="601">
        <v>14</v>
      </c>
      <c r="C1175" s="603" t="str">
        <f>IFERROR(VLOOKUP(B1175,'Coverage Indicators - Section D'!$A$9:$AO$70,41,FALSE),"")</f>
        <v>TB/HIV-6⁽ᴹ⁾ Percentage of HIV-positive new and relapse TB patients on ART during TB treatment</v>
      </c>
      <c r="D1175" s="605" t="str">
        <f>M1175</f>
        <v/>
      </c>
      <c r="E1175" s="605" t="str">
        <f>N1175</f>
        <v/>
      </c>
      <c r="F1175" s="131"/>
      <c r="G1175" s="607" t="str">
        <f ca="1">IF(OR(INDIRECT("'update Helper'!E"&amp;Q1175)="",F1175&lt;&gt;0,F1176&lt;&gt;0),IF(IFERROR((F1175/F1176),"")="","",(F1175/F1176)),INDIRECT("'update Helper'!E"&amp;Q1175)/100)</f>
        <v/>
      </c>
      <c r="H1175" s="597"/>
      <c r="I1175" s="599"/>
      <c r="J1175" s="531"/>
      <c r="K1175" s="130">
        <f>IF(AND(EXACT(C1175,C1173),C1173&lt;&gt;0),K1173+1,0)</f>
        <v>17</v>
      </c>
      <c r="L1175" s="130" t="str">
        <f t="shared" ref="L1175" si="1359">IF(C1175&lt;&gt;"",C1175&amp;"-"&amp;K1175,"")</f>
        <v>TB/HIV-6⁽ᴹ⁾ Percentage of HIV-positive new and relapse TB patients on ART during TB treatment-17</v>
      </c>
      <c r="M1175" s="130" t="str">
        <f t="array" ref="M1175">IFERROR(IF(INDEX('Disaggregation Records'!$E$152:$E$513,MATCH(RIGHT(L1175,255),RIGHT('Disaggregation Records'!$D$152:$D$513,255),0))="","",INDEX('Disaggregation Records'!$E$152:$E$513,MATCH(RIGHT(L1175,255),RIGHT('Disaggregation Records'!$D$152:$D$513,255),0))),"")</f>
        <v/>
      </c>
      <c r="N1175" s="130" t="str">
        <f t="array" ref="N1175">IFERROR(IF(INDEX('Disaggregation Records'!$F$152:$F$513,MATCH(RIGHT(L1175,255),RIGHT('Disaggregation Records'!$D$152:$D$513,255),0))="","",INDEX('Disaggregation Records'!$F$152:$F$513,MATCH(RIGHT(L1175,255),RIGHT('Disaggregation Records'!$D$152:$D$513,255),0))),"")</f>
        <v/>
      </c>
      <c r="O1175" s="130" t="str">
        <f t="array" ref="O1175">IFERROR(IF(INDEX('Disaggregation Records'!$H$152:$H$513,MATCH(RIGHT(L1175,255),RIGHT('Disaggregation Records'!$D$152:$D$513,255),0))="","",INDEX('Disaggregation Records'!$H$152:$H$513,MATCH(RIGHT(L1175,255),RIGHT('Disaggregation Records'!$D$152:$D$513,255),0))),"")</f>
        <v/>
      </c>
      <c r="Q1175" s="52">
        <f t="shared" ref="Q1175" si="1360">Q1173+1</f>
        <v>1772</v>
      </c>
    </row>
    <row r="1176" spans="1:17" ht="20.100000000000001" customHeight="1" x14ac:dyDescent="0.25">
      <c r="B1176" s="602"/>
      <c r="C1176" s="604"/>
      <c r="D1176" s="606"/>
      <c r="E1176" s="606"/>
      <c r="F1176" s="132"/>
      <c r="G1176" s="608"/>
      <c r="H1176" s="598"/>
      <c r="I1176" s="600"/>
      <c r="J1176" s="532"/>
      <c r="L1176" s="130"/>
      <c r="N1176" s="130"/>
      <c r="O1176" s="130"/>
    </row>
    <row r="1177" spans="1:17" ht="20.100000000000001" customHeight="1" x14ac:dyDescent="0.25">
      <c r="A1177" s="130" t="str">
        <f t="shared" ca="1" si="1319"/>
        <v>a16Dm000000LZe0IAG</v>
      </c>
      <c r="B1177" s="601">
        <v>14</v>
      </c>
      <c r="C1177" s="603" t="str">
        <f>IFERROR(VLOOKUP(B1177,'Coverage Indicators - Section D'!$A$9:$AO$70,41,FALSE),"")</f>
        <v>TB/HIV-6⁽ᴹ⁾ Percentage of HIV-positive new and relapse TB patients on ART during TB treatment</v>
      </c>
      <c r="D1177" s="605" t="str">
        <f>M1177</f>
        <v/>
      </c>
      <c r="E1177" s="605" t="str">
        <f>N1177</f>
        <v/>
      </c>
      <c r="F1177" s="131"/>
      <c r="G1177" s="607" t="str">
        <f ca="1">IF(OR(INDIRECT("'update Helper'!E"&amp;Q1177)="",F1177&lt;&gt;0,F1178&lt;&gt;0),IF(IFERROR((F1177/F1178),"")="","",(F1177/F1178)),INDIRECT("'update Helper'!E"&amp;Q1177)/100)</f>
        <v/>
      </c>
      <c r="H1177" s="597"/>
      <c r="I1177" s="599"/>
      <c r="J1177" s="531"/>
      <c r="K1177" s="130">
        <f>IF(AND(EXACT(C1177,C1175),C1175&lt;&gt;0),K1175+1,0)</f>
        <v>18</v>
      </c>
      <c r="L1177" s="130" t="str">
        <f t="shared" ref="L1177" si="1361">IF(C1177&lt;&gt;"",C1177&amp;"-"&amp;K1177,"")</f>
        <v>TB/HIV-6⁽ᴹ⁾ Percentage of HIV-positive new and relapse TB patients on ART during TB treatment-18</v>
      </c>
      <c r="M1177" s="130" t="str">
        <f t="array" ref="M1177">IFERROR(IF(INDEX('Disaggregation Records'!$E$152:$E$513,MATCH(RIGHT(L1177,255),RIGHT('Disaggregation Records'!$D$152:$D$513,255),0))="","",INDEX('Disaggregation Records'!$E$152:$E$513,MATCH(RIGHT(L1177,255),RIGHT('Disaggregation Records'!$D$152:$D$513,255),0))),"")</f>
        <v/>
      </c>
      <c r="N1177" s="130" t="str">
        <f t="array" ref="N1177">IFERROR(IF(INDEX('Disaggregation Records'!$F$152:$F$513,MATCH(RIGHT(L1177,255),RIGHT('Disaggregation Records'!$D$152:$D$513,255),0))="","",INDEX('Disaggregation Records'!$F$152:$F$513,MATCH(RIGHT(L1177,255),RIGHT('Disaggregation Records'!$D$152:$D$513,255),0))),"")</f>
        <v/>
      </c>
      <c r="O1177" s="130" t="str">
        <f t="array" ref="O1177">IFERROR(IF(INDEX('Disaggregation Records'!$H$152:$H$513,MATCH(RIGHT(L1177,255),RIGHT('Disaggregation Records'!$D$152:$D$513,255),0))="","",INDEX('Disaggregation Records'!$H$152:$H$513,MATCH(RIGHT(L1177,255),RIGHT('Disaggregation Records'!$D$152:$D$513,255),0))),"")</f>
        <v/>
      </c>
      <c r="Q1177" s="52">
        <f t="shared" ref="Q1177" si="1362">Q1175+1</f>
        <v>1773</v>
      </c>
    </row>
    <row r="1178" spans="1:17" ht="20.100000000000001" customHeight="1" x14ac:dyDescent="0.25">
      <c r="A1178" s="130"/>
      <c r="B1178" s="602"/>
      <c r="C1178" s="604"/>
      <c r="D1178" s="606"/>
      <c r="E1178" s="606"/>
      <c r="F1178" s="132"/>
      <c r="G1178" s="608"/>
      <c r="H1178" s="598"/>
      <c r="I1178" s="600"/>
      <c r="J1178" s="532"/>
      <c r="L1178" s="130"/>
      <c r="N1178" s="130"/>
      <c r="O1178" s="130"/>
    </row>
    <row r="1179" spans="1:17" ht="20.100000000000001" customHeight="1" x14ac:dyDescent="0.25">
      <c r="A1179" s="130" t="str">
        <f t="shared" ca="1" si="1322"/>
        <v>a16Dm000000LZe1IAG</v>
      </c>
      <c r="B1179" s="601">
        <v>14</v>
      </c>
      <c r="C1179" s="603" t="str">
        <f>IFERROR(VLOOKUP(B1179,'Coverage Indicators - Section D'!$A$9:$AO$70,41,FALSE),"")</f>
        <v>TB/HIV-6⁽ᴹ⁾ Percentage of HIV-positive new and relapse TB patients on ART during TB treatment</v>
      </c>
      <c r="D1179" s="605" t="str">
        <f>M1179</f>
        <v/>
      </c>
      <c r="E1179" s="605" t="str">
        <f>N1179</f>
        <v/>
      </c>
      <c r="F1179" s="131"/>
      <c r="G1179" s="607" t="str">
        <f ca="1">IF(OR(INDIRECT("'update Helper'!E"&amp;Q1179)="",F1179&lt;&gt;0,F1180&lt;&gt;0),IF(IFERROR((F1179/F1180),"")="","",(F1179/F1180)),INDIRECT("'update Helper'!E"&amp;Q1179)/100)</f>
        <v/>
      </c>
      <c r="H1179" s="597"/>
      <c r="I1179" s="599"/>
      <c r="J1179" s="531"/>
      <c r="K1179" s="130">
        <f>IF(AND(EXACT(C1179,C1177),C1177&lt;&gt;0),K1177+1,0)</f>
        <v>19</v>
      </c>
      <c r="L1179" s="130" t="str">
        <f t="shared" ref="L1179" si="1363">IF(C1179&lt;&gt;"",C1179&amp;"-"&amp;K1179,"")</f>
        <v>TB/HIV-6⁽ᴹ⁾ Percentage of HIV-positive new and relapse TB patients on ART during TB treatment-19</v>
      </c>
      <c r="M1179" s="130" t="str">
        <f t="array" ref="M1179">IFERROR(IF(INDEX('Disaggregation Records'!$E$152:$E$513,MATCH(RIGHT(L1179,255),RIGHT('Disaggregation Records'!$D$152:$D$513,255),0))="","",INDEX('Disaggregation Records'!$E$152:$E$513,MATCH(RIGHT(L1179,255),RIGHT('Disaggregation Records'!$D$152:$D$513,255),0))),"")</f>
        <v/>
      </c>
      <c r="N1179" s="130" t="str">
        <f t="array" ref="N1179">IFERROR(IF(INDEX('Disaggregation Records'!$F$152:$F$513,MATCH(RIGHT(L1179,255),RIGHT('Disaggregation Records'!$D$152:$D$513,255),0))="","",INDEX('Disaggregation Records'!$F$152:$F$513,MATCH(RIGHT(L1179,255),RIGHT('Disaggregation Records'!$D$152:$D$513,255),0))),"")</f>
        <v/>
      </c>
      <c r="O1179" s="130" t="str">
        <f t="array" ref="O1179">IFERROR(IF(INDEX('Disaggregation Records'!$H$152:$H$513,MATCH(RIGHT(L1179,255),RIGHT('Disaggregation Records'!$D$152:$D$513,255),0))="","",INDEX('Disaggregation Records'!$H$152:$H$513,MATCH(RIGHT(L1179,255),RIGHT('Disaggregation Records'!$D$152:$D$513,255),0))),"")</f>
        <v/>
      </c>
      <c r="Q1179" s="52">
        <f t="shared" ref="Q1179" si="1364">Q1177+1</f>
        <v>1774</v>
      </c>
    </row>
    <row r="1180" spans="1:17" ht="20.100000000000001" customHeight="1" x14ac:dyDescent="0.25">
      <c r="B1180" s="602"/>
      <c r="C1180" s="604"/>
      <c r="D1180" s="606"/>
      <c r="E1180" s="606"/>
      <c r="F1180" s="132"/>
      <c r="G1180" s="608"/>
      <c r="H1180" s="598"/>
      <c r="I1180" s="600"/>
      <c r="J1180" s="532"/>
      <c r="L1180" s="130"/>
      <c r="N1180" s="130"/>
      <c r="O1180" s="130"/>
    </row>
    <row r="1181" spans="1:17" ht="78" customHeight="1" x14ac:dyDescent="0.25">
      <c r="A1181" s="130" t="str">
        <f t="shared" ca="1" si="1319"/>
        <v>a16Dm000000LZe2IAG</v>
      </c>
      <c r="B1181" s="601">
        <v>15</v>
      </c>
      <c r="C1181" s="603" t="str">
        <f>IFERROR(VLOOKUP(B1181,'Coverage Indicators - Section D'!$A$9:$AO$70,41,FALSE),"")</f>
        <v>KP-8 Percentage of people who inject drugs receiving opioid substitution therapy</v>
      </c>
      <c r="D1181" s="605" t="str">
        <f>M1181</f>
        <v>Age</v>
      </c>
      <c r="E1181" s="605" t="str">
        <f>N1181</f>
        <v>25+</v>
      </c>
      <c r="F1181" s="131">
        <v>789</v>
      </c>
      <c r="G1181" s="615" t="str">
        <f ca="1">IF(OR(INDIRECT("'update Helper'!E"&amp;Q1181)="",F1181&lt;&gt;0,F1182&lt;&gt;0),IF(IFERROR((F1181/F1182),"")="","",(F1181/F1182)),INDIRECT("'update Helper'!E"&amp;Q1181)/100)</f>
        <v/>
      </c>
      <c r="H1181" s="597">
        <v>2022</v>
      </c>
      <c r="I1181" s="599" t="s">
        <v>2239</v>
      </c>
      <c r="J1181" s="599" t="s">
        <v>2253</v>
      </c>
      <c r="K1181" s="130">
        <f>IF(AND(EXACT(C1181,C1179),C1179&lt;&gt;0),K1179+1,0)</f>
        <v>0</v>
      </c>
      <c r="L1181" s="130" t="str">
        <f t="shared" ref="L1181" si="1365">IF(C1181&lt;&gt;"",C1181&amp;"-"&amp;K1181,"")</f>
        <v>KP-8 Percentage of people who inject drugs receiving opioid substitution therapy-0</v>
      </c>
      <c r="M1181" s="130" t="str">
        <f t="array" ref="M1181">IFERROR(IF(INDEX('Disaggregation Records'!$E$152:$E$513,MATCH(RIGHT(L1181,255),RIGHT('Disaggregation Records'!$D$152:$D$513,255),0))="","",INDEX('Disaggregation Records'!$E$152:$E$513,MATCH(RIGHT(L1181,255),RIGHT('Disaggregation Records'!$D$152:$D$513,255),0))),"")</f>
        <v>Age</v>
      </c>
      <c r="N1181" s="130" t="str">
        <f t="array" ref="N1181">IFERROR(IF(INDEX('Disaggregation Records'!$F$152:$F$513,MATCH(RIGHT(L1181,255),RIGHT('Disaggregation Records'!$D$152:$D$513,255),0))="","",INDEX('Disaggregation Records'!$F$152:$F$513,MATCH(RIGHT(L1181,255),RIGHT('Disaggregation Records'!$D$152:$D$513,255),0))),"")</f>
        <v>25+</v>
      </c>
      <c r="O1181" s="130" t="str">
        <f t="array" ref="O1181">IFERROR(IF(INDEX('Disaggregation Records'!$H$152:$H$513,MATCH(RIGHT(L1181,255),RIGHT('Disaggregation Records'!$D$152:$D$513,255),0))="","",INDEX('Disaggregation Records'!$H$152:$H$513,MATCH(RIGHT(L1181,255),RIGHT('Disaggregation Records'!$D$152:$D$513,255),0))),"")</f>
        <v>IDR-01242</v>
      </c>
      <c r="P1181" s="130"/>
      <c r="Q1181" s="52">
        <f t="shared" ref="Q1181" si="1366">Q1179+1</f>
        <v>1775</v>
      </c>
    </row>
    <row r="1182" spans="1:17" ht="21.75" customHeight="1" x14ac:dyDescent="0.25">
      <c r="A1182" s="130"/>
      <c r="B1182" s="602"/>
      <c r="C1182" s="604"/>
      <c r="D1182" s="606"/>
      <c r="E1182" s="606"/>
      <c r="F1182" s="132"/>
      <c r="G1182" s="616"/>
      <c r="H1182" s="598"/>
      <c r="I1182" s="600"/>
      <c r="J1182" s="600"/>
      <c r="K1182" s="130"/>
      <c r="L1182" s="130"/>
      <c r="M1182" s="130"/>
      <c r="N1182" s="130"/>
      <c r="O1182" s="130"/>
      <c r="P1182" s="130"/>
    </row>
    <row r="1183" spans="1:17" ht="51" customHeight="1" x14ac:dyDescent="0.25">
      <c r="A1183" s="130" t="str">
        <f t="shared" ca="1" si="1322"/>
        <v>a16Dm000000LZe3IAG</v>
      </c>
      <c r="B1183" s="601">
        <v>15</v>
      </c>
      <c r="C1183" s="603" t="str">
        <f>IFERROR(VLOOKUP(B1183,'Coverage Indicators - Section D'!$A$9:$AO$70,41,FALSE),"")</f>
        <v>KP-8 Percentage of people who inject drugs receiving opioid substitution therapy</v>
      </c>
      <c r="D1183" s="605" t="str">
        <f>M1183</f>
        <v>Age</v>
      </c>
      <c r="E1183" s="605" t="str">
        <f>N1183</f>
        <v>20-24</v>
      </c>
      <c r="F1183" s="131">
        <v>2</v>
      </c>
      <c r="G1183" s="615" t="str">
        <f ca="1">IF(OR(INDIRECT("'update Helper'!E"&amp;Q1183)="",F1183&lt;&gt;0,F1184&lt;&gt;0),IF(IFERROR((F1183/F1184),"")="","",(F1183/F1184)),INDIRECT("'update Helper'!E"&amp;Q1183)/100)</f>
        <v/>
      </c>
      <c r="H1183" s="597">
        <v>2022</v>
      </c>
      <c r="I1183" s="599" t="s">
        <v>2239</v>
      </c>
      <c r="J1183" s="599" t="s">
        <v>2253</v>
      </c>
      <c r="K1183" s="130">
        <f>IF(AND(EXACT(C1183,C1181),C1181&lt;&gt;0),K1181+1,0)</f>
        <v>1</v>
      </c>
      <c r="L1183" s="130" t="str">
        <f t="shared" ref="L1183" si="1367">IF(C1183&lt;&gt;"",C1183&amp;"-"&amp;K1183,"")</f>
        <v>KP-8 Percentage of people who inject drugs receiving opioid substitution therapy-1</v>
      </c>
      <c r="M1183" s="130" t="str">
        <f t="array" ref="M1183">IFERROR(IF(INDEX('Disaggregation Records'!$E$152:$E$513,MATCH(RIGHT(L1183,255),RIGHT('Disaggregation Records'!$D$152:$D$513,255),0))="","",INDEX('Disaggregation Records'!$E$152:$E$513,MATCH(RIGHT(L1183,255),RIGHT('Disaggregation Records'!$D$152:$D$513,255),0))),"")</f>
        <v>Age</v>
      </c>
      <c r="N1183" s="130" t="str">
        <f t="array" ref="N1183">IFERROR(IF(INDEX('Disaggregation Records'!$F$152:$F$513,MATCH(RIGHT(L1183,255),RIGHT('Disaggregation Records'!$D$152:$D$513,255),0))="","",INDEX('Disaggregation Records'!$F$152:$F$513,MATCH(RIGHT(L1183,255),RIGHT('Disaggregation Records'!$D$152:$D$513,255),0))),"")</f>
        <v>20-24</v>
      </c>
      <c r="O1183" s="130" t="str">
        <f t="array" ref="O1183">IFERROR(IF(INDEX('Disaggregation Records'!$H$152:$H$513,MATCH(RIGHT(L1183,255),RIGHT('Disaggregation Records'!$D$152:$D$513,255),0))="","",INDEX('Disaggregation Records'!$H$152:$H$513,MATCH(RIGHT(L1183,255),RIGHT('Disaggregation Records'!$D$152:$D$513,255),0))),"")</f>
        <v>IDR-01241</v>
      </c>
      <c r="P1183" s="130"/>
      <c r="Q1183" s="52">
        <f t="shared" ref="Q1183" si="1368">Q1181+1</f>
        <v>1776</v>
      </c>
    </row>
    <row r="1184" spans="1:17" ht="48" customHeight="1" x14ac:dyDescent="0.25">
      <c r="B1184" s="602"/>
      <c r="C1184" s="604"/>
      <c r="D1184" s="606"/>
      <c r="E1184" s="606"/>
      <c r="F1184" s="132"/>
      <c r="G1184" s="616"/>
      <c r="H1184" s="598"/>
      <c r="I1184" s="600"/>
      <c r="J1184" s="600"/>
      <c r="K1184" s="130"/>
      <c r="L1184" s="130"/>
      <c r="M1184" s="130"/>
      <c r="N1184" s="130"/>
      <c r="O1184" s="130"/>
      <c r="P1184" s="130"/>
    </row>
    <row r="1185" spans="1:17" ht="57" customHeight="1" x14ac:dyDescent="0.25">
      <c r="A1185" s="130" t="str">
        <f t="shared" ca="1" si="1319"/>
        <v>a16Dm000000LZe4IAG</v>
      </c>
      <c r="B1185" s="601">
        <v>15</v>
      </c>
      <c r="C1185" s="603" t="str">
        <f>IFERROR(VLOOKUP(B1185,'Coverage Indicators - Section D'!$A$9:$AO$70,41,FALSE),"")</f>
        <v>KP-8 Percentage of people who inject drugs receiving opioid substitution therapy</v>
      </c>
      <c r="D1185" s="605" t="str">
        <f>M1185</f>
        <v>Age</v>
      </c>
      <c r="E1185" s="605" t="str">
        <f>N1185</f>
        <v>15-19</v>
      </c>
      <c r="F1185" s="131">
        <v>0</v>
      </c>
      <c r="G1185" s="615" t="str">
        <f ca="1">IF(OR(INDIRECT("'update Helper'!E"&amp;Q1185)="",F1185&lt;&gt;0,F1186&lt;&gt;0),IF(IFERROR((F1185/F1186),"")="","",(F1185/F1186)),INDIRECT("'update Helper'!E"&amp;Q1185)/100)</f>
        <v/>
      </c>
      <c r="H1185" s="597">
        <v>2022</v>
      </c>
      <c r="I1185" s="599" t="s">
        <v>2239</v>
      </c>
      <c r="J1185" s="599" t="s">
        <v>2253</v>
      </c>
      <c r="K1185" s="130">
        <f>IF(AND(EXACT(C1185,C1183),C1183&lt;&gt;0),K1183+1,0)</f>
        <v>2</v>
      </c>
      <c r="L1185" s="130" t="str">
        <f t="shared" ref="L1185" si="1369">IF(C1185&lt;&gt;"",C1185&amp;"-"&amp;K1185,"")</f>
        <v>KP-8 Percentage of people who inject drugs receiving opioid substitution therapy-2</v>
      </c>
      <c r="M1185" s="130" t="str">
        <f t="array" ref="M1185">IFERROR(IF(INDEX('Disaggregation Records'!$E$152:$E$513,MATCH(RIGHT(L1185,255),RIGHT('Disaggregation Records'!$D$152:$D$513,255),0))="","",INDEX('Disaggregation Records'!$E$152:$E$513,MATCH(RIGHT(L1185,255),RIGHT('Disaggregation Records'!$D$152:$D$513,255),0))),"")</f>
        <v>Age</v>
      </c>
      <c r="N1185" s="130" t="str">
        <f t="array" ref="N1185">IFERROR(IF(INDEX('Disaggregation Records'!$F$152:$F$513,MATCH(RIGHT(L1185,255),RIGHT('Disaggregation Records'!$D$152:$D$513,255),0))="","",INDEX('Disaggregation Records'!$F$152:$F$513,MATCH(RIGHT(L1185,255),RIGHT('Disaggregation Records'!$D$152:$D$513,255),0))),"")</f>
        <v>15-19</v>
      </c>
      <c r="O1185" s="130" t="str">
        <f t="array" ref="O1185">IFERROR(IF(INDEX('Disaggregation Records'!$H$152:$H$513,MATCH(RIGHT(L1185,255),RIGHT('Disaggregation Records'!$D$152:$D$513,255),0))="","",INDEX('Disaggregation Records'!$H$152:$H$513,MATCH(RIGHT(L1185,255),RIGHT('Disaggregation Records'!$D$152:$D$513,255),0))),"")</f>
        <v>IDR-01240</v>
      </c>
      <c r="Q1185" s="52">
        <f t="shared" ref="Q1185" si="1370">Q1183+1</f>
        <v>1777</v>
      </c>
    </row>
    <row r="1186" spans="1:17" ht="45" customHeight="1" x14ac:dyDescent="0.25">
      <c r="A1186" s="130"/>
      <c r="B1186" s="602"/>
      <c r="C1186" s="604"/>
      <c r="D1186" s="606"/>
      <c r="E1186" s="606"/>
      <c r="F1186" s="132"/>
      <c r="G1186" s="616"/>
      <c r="H1186" s="598"/>
      <c r="I1186" s="600"/>
      <c r="J1186" s="600"/>
      <c r="L1186" s="130"/>
      <c r="N1186" s="130"/>
      <c r="O1186" s="130"/>
    </row>
    <row r="1187" spans="1:17" ht="71.25" customHeight="1" x14ac:dyDescent="0.25">
      <c r="A1187" s="130" t="str">
        <f t="shared" ca="1" si="1322"/>
        <v>a16Dm000000LZe5IAG</v>
      </c>
      <c r="B1187" s="601">
        <v>15</v>
      </c>
      <c r="C1187" s="603" t="str">
        <f>IFERROR(VLOOKUP(B1187,'Coverage Indicators - Section D'!$A$9:$AO$70,41,FALSE),"")</f>
        <v>KP-8 Percentage of people who inject drugs receiving opioid substitution therapy</v>
      </c>
      <c r="D1187" s="605" t="str">
        <f>M1187</f>
        <v>Gender</v>
      </c>
      <c r="E1187" s="605" t="str">
        <f>N1187</f>
        <v>Male</v>
      </c>
      <c r="F1187" s="131">
        <v>732</v>
      </c>
      <c r="G1187" s="615" t="str">
        <f ca="1">IF(OR(INDIRECT("'update Helper'!E"&amp;Q1187)="",F1187&lt;&gt;0,F1188&lt;&gt;0),IF(IFERROR((F1187/F1188),"")="","",(F1187/F1188)),INDIRECT("'update Helper'!E"&amp;Q1187)/100)</f>
        <v/>
      </c>
      <c r="H1187" s="597">
        <v>2022</v>
      </c>
      <c r="I1187" s="599" t="s">
        <v>2239</v>
      </c>
      <c r="J1187" s="599" t="s">
        <v>2253</v>
      </c>
      <c r="K1187" s="130">
        <f>IF(AND(EXACT(C1187,C1185),C1185&lt;&gt;0),K1185+1,0)</f>
        <v>3</v>
      </c>
      <c r="L1187" s="130" t="str">
        <f t="shared" ref="L1187" si="1371">IF(C1187&lt;&gt;"",C1187&amp;"-"&amp;K1187,"")</f>
        <v>KP-8 Percentage of people who inject drugs receiving opioid substitution therapy-3</v>
      </c>
      <c r="M1187" s="130" t="str">
        <f t="array" ref="M1187">IFERROR(IF(INDEX('Disaggregation Records'!$E$152:$E$513,MATCH(RIGHT(L1187,255),RIGHT('Disaggregation Records'!$D$152:$D$513,255),0))="","",INDEX('Disaggregation Records'!$E$152:$E$513,MATCH(RIGHT(L1187,255),RIGHT('Disaggregation Records'!$D$152:$D$513,255),0))),"")</f>
        <v>Gender</v>
      </c>
      <c r="N1187" s="130" t="str">
        <f t="array" ref="N1187">IFERROR(IF(INDEX('Disaggregation Records'!$F$152:$F$513,MATCH(RIGHT(L1187,255),RIGHT('Disaggregation Records'!$D$152:$D$513,255),0))="","",INDEX('Disaggregation Records'!$F$152:$F$513,MATCH(RIGHT(L1187,255),RIGHT('Disaggregation Records'!$D$152:$D$513,255),0))),"")</f>
        <v>Male</v>
      </c>
      <c r="O1187" s="130" t="str">
        <f t="array" ref="O1187">IFERROR(IF(INDEX('Disaggregation Records'!$H$152:$H$513,MATCH(RIGHT(L1187,255),RIGHT('Disaggregation Records'!$D$152:$D$513,255),0))="","",INDEX('Disaggregation Records'!$H$152:$H$513,MATCH(RIGHT(L1187,255),RIGHT('Disaggregation Records'!$D$152:$D$513,255),0))),"")</f>
        <v>IDR-01239</v>
      </c>
      <c r="Q1187" s="52">
        <f t="shared" ref="Q1187" si="1372">Q1185+1</f>
        <v>1778</v>
      </c>
    </row>
    <row r="1188" spans="1:17" ht="31.5" customHeight="1" x14ac:dyDescent="0.25">
      <c r="B1188" s="602"/>
      <c r="C1188" s="604"/>
      <c r="D1188" s="606"/>
      <c r="E1188" s="606"/>
      <c r="F1188" s="132"/>
      <c r="G1188" s="616"/>
      <c r="H1188" s="598"/>
      <c r="I1188" s="600"/>
      <c r="J1188" s="600"/>
      <c r="L1188" s="130"/>
      <c r="N1188" s="130"/>
      <c r="O1188" s="130"/>
    </row>
    <row r="1189" spans="1:17" ht="81" customHeight="1" x14ac:dyDescent="0.25">
      <c r="A1189" s="130" t="str">
        <f t="shared" ca="1" si="1319"/>
        <v>a16Dm000000LZe6IAG</v>
      </c>
      <c r="B1189" s="601">
        <v>15</v>
      </c>
      <c r="C1189" s="603" t="str">
        <f>IFERROR(VLOOKUP(B1189,'Coverage Indicators - Section D'!$A$9:$AO$70,41,FALSE),"")</f>
        <v>KP-8 Percentage of people who inject drugs receiving opioid substitution therapy</v>
      </c>
      <c r="D1189" s="605" t="str">
        <f>M1189</f>
        <v>Gender</v>
      </c>
      <c r="E1189" s="605" t="str">
        <f>N1189</f>
        <v>Female</v>
      </c>
      <c r="F1189" s="131">
        <v>59</v>
      </c>
      <c r="G1189" s="615" t="str">
        <f ca="1">IF(OR(INDIRECT("'update Helper'!E"&amp;Q1189)="",F1189&lt;&gt;0,F1190&lt;&gt;0),IF(IFERROR((F1189/F1190),"")="","",(F1189/F1190)),INDIRECT("'update Helper'!E"&amp;Q1189)/100)</f>
        <v/>
      </c>
      <c r="H1189" s="597">
        <v>2022</v>
      </c>
      <c r="I1189" s="599" t="s">
        <v>2239</v>
      </c>
      <c r="J1189" s="599" t="s">
        <v>2253</v>
      </c>
      <c r="K1189" s="130">
        <f>IF(AND(EXACT(C1189,C1187),C1187&lt;&gt;0),K1187+1,0)</f>
        <v>4</v>
      </c>
      <c r="L1189" s="130" t="str">
        <f t="shared" ref="L1189" si="1373">IF(C1189&lt;&gt;"",C1189&amp;"-"&amp;K1189,"")</f>
        <v>KP-8 Percentage of people who inject drugs receiving opioid substitution therapy-4</v>
      </c>
      <c r="M1189" s="130" t="str">
        <f t="array" ref="M1189">IFERROR(IF(INDEX('Disaggregation Records'!$E$152:$E$513,MATCH(RIGHT(L1189,255),RIGHT('Disaggregation Records'!$D$152:$D$513,255),0))="","",INDEX('Disaggregation Records'!$E$152:$E$513,MATCH(RIGHT(L1189,255),RIGHT('Disaggregation Records'!$D$152:$D$513,255),0))),"")</f>
        <v>Gender</v>
      </c>
      <c r="N1189" s="130" t="str">
        <f t="array" ref="N1189">IFERROR(IF(INDEX('Disaggregation Records'!$F$152:$F$513,MATCH(RIGHT(L1189,255),RIGHT('Disaggregation Records'!$D$152:$D$513,255),0))="","",INDEX('Disaggregation Records'!$F$152:$F$513,MATCH(RIGHT(L1189,255),RIGHT('Disaggregation Records'!$D$152:$D$513,255),0))),"")</f>
        <v>Female</v>
      </c>
      <c r="O1189" s="130" t="str">
        <f t="array" ref="O1189">IFERROR(IF(INDEX('Disaggregation Records'!$H$152:$H$513,MATCH(RIGHT(L1189,255),RIGHT('Disaggregation Records'!$D$152:$D$513,255),0))="","",INDEX('Disaggregation Records'!$H$152:$H$513,MATCH(RIGHT(L1189,255),RIGHT('Disaggregation Records'!$D$152:$D$513,255),0))),"")</f>
        <v>IDR-01238</v>
      </c>
      <c r="Q1189" s="52">
        <f t="shared" ref="Q1189" si="1374">Q1187+1</f>
        <v>1779</v>
      </c>
    </row>
    <row r="1190" spans="1:17" ht="24" customHeight="1" x14ac:dyDescent="0.25">
      <c r="A1190" s="130"/>
      <c r="B1190" s="602"/>
      <c r="C1190" s="604"/>
      <c r="D1190" s="606"/>
      <c r="E1190" s="606"/>
      <c r="F1190" s="132"/>
      <c r="G1190" s="616"/>
      <c r="H1190" s="598"/>
      <c r="I1190" s="600"/>
      <c r="J1190" s="600"/>
      <c r="L1190" s="130"/>
      <c r="N1190" s="130"/>
      <c r="O1190" s="130"/>
    </row>
    <row r="1191" spans="1:17" ht="20.100000000000001" customHeight="1" x14ac:dyDescent="0.25">
      <c r="A1191" s="130" t="str">
        <f t="shared" ca="1" si="1322"/>
        <v>a16Dm000000LZe7IAG</v>
      </c>
      <c r="B1191" s="601">
        <v>15</v>
      </c>
      <c r="C1191" s="603" t="str">
        <f>IFERROR(VLOOKUP(B1191,'Coverage Indicators - Section D'!$A$9:$AO$70,41,FALSE),"")</f>
        <v>KP-8 Percentage of people who inject drugs receiving opioid substitution therapy</v>
      </c>
      <c r="D1191" s="605" t="str">
        <f>M1191</f>
        <v/>
      </c>
      <c r="E1191" s="605" t="str">
        <f>N1191</f>
        <v/>
      </c>
      <c r="F1191" s="131"/>
      <c r="G1191" s="607" t="str">
        <f ca="1">IF(OR(INDIRECT("'update Helper'!E"&amp;Q1191)="",F1191&lt;&gt;0,F1192&lt;&gt;0),IF(IFERROR((F1191/F1192),"")="","",(F1191/F1192)),INDIRECT("'update Helper'!E"&amp;Q1191)/100)</f>
        <v/>
      </c>
      <c r="H1191" s="597"/>
      <c r="I1191" s="599"/>
      <c r="J1191" s="531"/>
      <c r="K1191" s="130">
        <f>IF(AND(EXACT(C1191,C1189),C1189&lt;&gt;0),K1189+1,0)</f>
        <v>5</v>
      </c>
      <c r="L1191" s="130" t="str">
        <f t="shared" ref="L1191" si="1375">IF(C1191&lt;&gt;"",C1191&amp;"-"&amp;K1191,"")</f>
        <v>KP-8 Percentage of people who inject drugs receiving opioid substitution therapy-5</v>
      </c>
      <c r="M1191" s="130" t="str">
        <f t="array" ref="M1191">IFERROR(IF(INDEX('Disaggregation Records'!$E$152:$E$513,MATCH(RIGHT(L1191,255),RIGHT('Disaggregation Records'!$D$152:$D$513,255),0))="","",INDEX('Disaggregation Records'!$E$152:$E$513,MATCH(RIGHT(L1191,255),RIGHT('Disaggregation Records'!$D$152:$D$513,255),0))),"")</f>
        <v/>
      </c>
      <c r="N1191" s="130" t="str">
        <f t="array" ref="N1191">IFERROR(IF(INDEX('Disaggregation Records'!$F$152:$F$513,MATCH(RIGHT(L1191,255),RIGHT('Disaggregation Records'!$D$152:$D$513,255),0))="","",INDEX('Disaggregation Records'!$F$152:$F$513,MATCH(RIGHT(L1191,255),RIGHT('Disaggregation Records'!$D$152:$D$513,255),0))),"")</f>
        <v/>
      </c>
      <c r="O1191" s="130" t="str">
        <f t="array" ref="O1191">IFERROR(IF(INDEX('Disaggregation Records'!$H$152:$H$513,MATCH(RIGHT(L1191,255),RIGHT('Disaggregation Records'!$D$152:$D$513,255),0))="","",INDEX('Disaggregation Records'!$H$152:$H$513,MATCH(RIGHT(L1191,255),RIGHT('Disaggregation Records'!$D$152:$D$513,255),0))),"")</f>
        <v/>
      </c>
      <c r="P1191" s="130"/>
      <c r="Q1191" s="52">
        <f t="shared" ref="Q1191" si="1376">Q1189+1</f>
        <v>1780</v>
      </c>
    </row>
    <row r="1192" spans="1:17" ht="20.100000000000001" customHeight="1" x14ac:dyDescent="0.25">
      <c r="B1192" s="602"/>
      <c r="C1192" s="604"/>
      <c r="D1192" s="606"/>
      <c r="E1192" s="606"/>
      <c r="F1192" s="132"/>
      <c r="G1192" s="608"/>
      <c r="H1192" s="598"/>
      <c r="I1192" s="600"/>
      <c r="J1192" s="532"/>
      <c r="K1192" s="130"/>
      <c r="L1192" s="130"/>
      <c r="M1192" s="130"/>
      <c r="N1192" s="130"/>
      <c r="O1192" s="130"/>
      <c r="P1192" s="130"/>
    </row>
    <row r="1193" spans="1:17" ht="20.100000000000001" customHeight="1" x14ac:dyDescent="0.25">
      <c r="A1193" s="130" t="str">
        <f t="shared" ca="1" si="1319"/>
        <v>a16Dm000000LZe8IAG</v>
      </c>
      <c r="B1193" s="601">
        <v>15</v>
      </c>
      <c r="C1193" s="603" t="str">
        <f>IFERROR(VLOOKUP(B1193,'Coverage Indicators - Section D'!$A$9:$AO$70,41,FALSE),"")</f>
        <v>KP-8 Percentage of people who inject drugs receiving opioid substitution therapy</v>
      </c>
      <c r="D1193" s="605" t="str">
        <f>M1193</f>
        <v/>
      </c>
      <c r="E1193" s="605" t="str">
        <f>N1193</f>
        <v/>
      </c>
      <c r="F1193" s="131"/>
      <c r="G1193" s="607" t="str">
        <f ca="1">IF(OR(INDIRECT("'update Helper'!E"&amp;Q1193)="",F1193&lt;&gt;0,F1194&lt;&gt;0),IF(IFERROR((F1193/F1194),"")="","",(F1193/F1194)),INDIRECT("'update Helper'!E"&amp;Q1193)/100)</f>
        <v/>
      </c>
      <c r="H1193" s="597"/>
      <c r="I1193" s="599"/>
      <c r="J1193" s="531"/>
      <c r="K1193" s="130">
        <f>IF(AND(EXACT(C1193,C1191),C1191&lt;&gt;0),K1191+1,0)</f>
        <v>6</v>
      </c>
      <c r="L1193" s="130" t="str">
        <f t="shared" ref="L1193" si="1377">IF(C1193&lt;&gt;"",C1193&amp;"-"&amp;K1193,"")</f>
        <v>KP-8 Percentage of people who inject drugs receiving opioid substitution therapy-6</v>
      </c>
      <c r="M1193" s="130" t="str">
        <f t="array" ref="M1193">IFERROR(IF(INDEX('Disaggregation Records'!$E$152:$E$513,MATCH(RIGHT(L1193,255),RIGHT('Disaggregation Records'!$D$152:$D$513,255),0))="","",INDEX('Disaggregation Records'!$E$152:$E$513,MATCH(RIGHT(L1193,255),RIGHT('Disaggregation Records'!$D$152:$D$513,255),0))),"")</f>
        <v/>
      </c>
      <c r="N1193" s="130" t="str">
        <f t="array" ref="N1193">IFERROR(IF(INDEX('Disaggregation Records'!$F$152:$F$513,MATCH(RIGHT(L1193,255),RIGHT('Disaggregation Records'!$D$152:$D$513,255),0))="","",INDEX('Disaggregation Records'!$F$152:$F$513,MATCH(RIGHT(L1193,255),RIGHT('Disaggregation Records'!$D$152:$D$513,255),0))),"")</f>
        <v/>
      </c>
      <c r="O1193" s="130" t="str">
        <f t="array" ref="O1193">IFERROR(IF(INDEX('Disaggregation Records'!$H$152:$H$513,MATCH(RIGHT(L1193,255),RIGHT('Disaggregation Records'!$D$152:$D$513,255),0))="","",INDEX('Disaggregation Records'!$H$152:$H$513,MATCH(RIGHT(L1193,255),RIGHT('Disaggregation Records'!$D$152:$D$513,255),0))),"")</f>
        <v/>
      </c>
      <c r="P1193" s="130"/>
      <c r="Q1193" s="52">
        <f t="shared" ref="Q1193" si="1378">Q1191+1</f>
        <v>1781</v>
      </c>
    </row>
    <row r="1194" spans="1:17" ht="20.100000000000001" customHeight="1" x14ac:dyDescent="0.25">
      <c r="A1194" s="130"/>
      <c r="B1194" s="602"/>
      <c r="C1194" s="604"/>
      <c r="D1194" s="606"/>
      <c r="E1194" s="606"/>
      <c r="F1194" s="132"/>
      <c r="G1194" s="608"/>
      <c r="H1194" s="598"/>
      <c r="I1194" s="600"/>
      <c r="J1194" s="532"/>
      <c r="K1194" s="130"/>
      <c r="L1194" s="130"/>
      <c r="M1194" s="130"/>
      <c r="N1194" s="130"/>
      <c r="O1194" s="130"/>
      <c r="P1194" s="130"/>
    </row>
    <row r="1195" spans="1:17" ht="20.100000000000001" customHeight="1" x14ac:dyDescent="0.25">
      <c r="A1195" s="130" t="str">
        <f t="shared" ca="1" si="1322"/>
        <v>a16Dm000000LZe9IAG</v>
      </c>
      <c r="B1195" s="601">
        <v>15</v>
      </c>
      <c r="C1195" s="603" t="str">
        <f>IFERROR(VLOOKUP(B1195,'Coverage Indicators - Section D'!$A$9:$AO$70,41,FALSE),"")</f>
        <v>KP-8 Percentage of people who inject drugs receiving opioid substitution therapy</v>
      </c>
      <c r="D1195" s="605" t="str">
        <f>M1195</f>
        <v/>
      </c>
      <c r="E1195" s="605" t="str">
        <f>N1195</f>
        <v/>
      </c>
      <c r="F1195" s="131"/>
      <c r="G1195" s="607" t="str">
        <f ca="1">IF(OR(INDIRECT("'update Helper'!E"&amp;Q1195)="",F1195&lt;&gt;0,F1196&lt;&gt;0),IF(IFERROR((F1195/F1196),"")="","",(F1195/F1196)),INDIRECT("'update Helper'!E"&amp;Q1195)/100)</f>
        <v/>
      </c>
      <c r="H1195" s="597"/>
      <c r="I1195" s="599"/>
      <c r="J1195" s="531"/>
      <c r="K1195" s="130">
        <f>IF(AND(EXACT(C1195,C1193),C1193&lt;&gt;0),K1193+1,0)</f>
        <v>7</v>
      </c>
      <c r="L1195" s="130" t="str">
        <f t="shared" ref="L1195" si="1379">IF(C1195&lt;&gt;"",C1195&amp;"-"&amp;K1195,"")</f>
        <v>KP-8 Percentage of people who inject drugs receiving opioid substitution therapy-7</v>
      </c>
      <c r="M1195" s="130" t="str">
        <f t="array" ref="M1195">IFERROR(IF(INDEX('Disaggregation Records'!$E$152:$E$513,MATCH(RIGHT(L1195,255),RIGHT('Disaggregation Records'!$D$152:$D$513,255),0))="","",INDEX('Disaggregation Records'!$E$152:$E$513,MATCH(RIGHT(L1195,255),RIGHT('Disaggregation Records'!$D$152:$D$513,255),0))),"")</f>
        <v/>
      </c>
      <c r="N1195" s="130" t="str">
        <f t="array" ref="N1195">IFERROR(IF(INDEX('Disaggregation Records'!$F$152:$F$513,MATCH(RIGHT(L1195,255),RIGHT('Disaggregation Records'!$D$152:$D$513,255),0))="","",INDEX('Disaggregation Records'!$F$152:$F$513,MATCH(RIGHT(L1195,255),RIGHT('Disaggregation Records'!$D$152:$D$513,255),0))),"")</f>
        <v/>
      </c>
      <c r="O1195" s="130" t="str">
        <f t="array" ref="O1195">IFERROR(IF(INDEX('Disaggregation Records'!$H$152:$H$513,MATCH(RIGHT(L1195,255),RIGHT('Disaggregation Records'!$D$152:$D$513,255),0))="","",INDEX('Disaggregation Records'!$H$152:$H$513,MATCH(RIGHT(L1195,255),RIGHT('Disaggregation Records'!$D$152:$D$513,255),0))),"")</f>
        <v/>
      </c>
      <c r="Q1195" s="52">
        <f t="shared" ref="Q1195" si="1380">Q1193+1</f>
        <v>1782</v>
      </c>
    </row>
    <row r="1196" spans="1:17" ht="20.100000000000001" customHeight="1" x14ac:dyDescent="0.25">
      <c r="B1196" s="602"/>
      <c r="C1196" s="604"/>
      <c r="D1196" s="606"/>
      <c r="E1196" s="606"/>
      <c r="F1196" s="132"/>
      <c r="G1196" s="608"/>
      <c r="H1196" s="598"/>
      <c r="I1196" s="600"/>
      <c r="J1196" s="532"/>
      <c r="L1196" s="130"/>
      <c r="N1196" s="130"/>
      <c r="O1196" s="130"/>
    </row>
    <row r="1197" spans="1:17" ht="20.100000000000001" customHeight="1" x14ac:dyDescent="0.25">
      <c r="A1197" s="130" t="str">
        <f t="shared" ca="1" si="1319"/>
        <v>a16Dm000000LZeAIAW</v>
      </c>
      <c r="B1197" s="601">
        <v>15</v>
      </c>
      <c r="C1197" s="603" t="str">
        <f>IFERROR(VLOOKUP(B1197,'Coverage Indicators - Section D'!$A$9:$AO$70,41,FALSE),"")</f>
        <v>KP-8 Percentage of people who inject drugs receiving opioid substitution therapy</v>
      </c>
      <c r="D1197" s="605" t="str">
        <f>M1197</f>
        <v/>
      </c>
      <c r="E1197" s="605" t="str">
        <f>N1197</f>
        <v/>
      </c>
      <c r="F1197" s="131"/>
      <c r="G1197" s="607" t="str">
        <f ca="1">IF(OR(INDIRECT("'update Helper'!E"&amp;Q1197)="",F1197&lt;&gt;0,F1198&lt;&gt;0),IF(IFERROR((F1197/F1198),"")="","",(F1197/F1198)),INDIRECT("'update Helper'!E"&amp;Q1197)/100)</f>
        <v/>
      </c>
      <c r="H1197" s="597"/>
      <c r="I1197" s="599"/>
      <c r="J1197" s="531"/>
      <c r="K1197" s="130">
        <f>IF(AND(EXACT(C1197,C1195),C1195&lt;&gt;0),K1195+1,0)</f>
        <v>8</v>
      </c>
      <c r="L1197" s="130" t="str">
        <f t="shared" ref="L1197" si="1381">IF(C1197&lt;&gt;"",C1197&amp;"-"&amp;K1197,"")</f>
        <v>KP-8 Percentage of people who inject drugs receiving opioid substitution therapy-8</v>
      </c>
      <c r="M1197" s="130" t="str">
        <f t="array" ref="M1197">IFERROR(IF(INDEX('Disaggregation Records'!$E$152:$E$513,MATCH(RIGHT(L1197,255),RIGHT('Disaggregation Records'!$D$152:$D$513,255),0))="","",INDEX('Disaggregation Records'!$E$152:$E$513,MATCH(RIGHT(L1197,255),RIGHT('Disaggregation Records'!$D$152:$D$513,255),0))),"")</f>
        <v/>
      </c>
      <c r="N1197" s="130" t="str">
        <f t="array" ref="N1197">IFERROR(IF(INDEX('Disaggregation Records'!$F$152:$F$513,MATCH(RIGHT(L1197,255),RIGHT('Disaggregation Records'!$D$152:$D$513,255),0))="","",INDEX('Disaggregation Records'!$F$152:$F$513,MATCH(RIGHT(L1197,255),RIGHT('Disaggregation Records'!$D$152:$D$513,255),0))),"")</f>
        <v/>
      </c>
      <c r="O1197" s="130" t="str">
        <f t="array" ref="O1197">IFERROR(IF(INDEX('Disaggregation Records'!$H$152:$H$513,MATCH(RIGHT(L1197,255),RIGHT('Disaggregation Records'!$D$152:$D$513,255),0))="","",INDEX('Disaggregation Records'!$H$152:$H$513,MATCH(RIGHT(L1197,255),RIGHT('Disaggregation Records'!$D$152:$D$513,255),0))),"")</f>
        <v/>
      </c>
      <c r="Q1197" s="52">
        <f t="shared" ref="Q1197" si="1382">Q1195+1</f>
        <v>1783</v>
      </c>
    </row>
    <row r="1198" spans="1:17" ht="20.100000000000001" customHeight="1" x14ac:dyDescent="0.25">
      <c r="A1198" s="130"/>
      <c r="B1198" s="602"/>
      <c r="C1198" s="604"/>
      <c r="D1198" s="606"/>
      <c r="E1198" s="606"/>
      <c r="F1198" s="132"/>
      <c r="G1198" s="608"/>
      <c r="H1198" s="598"/>
      <c r="I1198" s="600"/>
      <c r="J1198" s="532"/>
      <c r="L1198" s="130"/>
      <c r="N1198" s="130"/>
      <c r="O1198" s="130"/>
    </row>
    <row r="1199" spans="1:17" ht="20.100000000000001" customHeight="1" x14ac:dyDescent="0.25">
      <c r="A1199" s="130" t="str">
        <f t="shared" ca="1" si="1322"/>
        <v>a16Dm000000LZeBIAW</v>
      </c>
      <c r="B1199" s="601">
        <v>15</v>
      </c>
      <c r="C1199" s="603" t="str">
        <f>IFERROR(VLOOKUP(B1199,'Coverage Indicators - Section D'!$A$9:$AO$70,41,FALSE),"")</f>
        <v>KP-8 Percentage of people who inject drugs receiving opioid substitution therapy</v>
      </c>
      <c r="D1199" s="605" t="str">
        <f>M1199</f>
        <v/>
      </c>
      <c r="E1199" s="605" t="str">
        <f>N1199</f>
        <v/>
      </c>
      <c r="F1199" s="131"/>
      <c r="G1199" s="607" t="str">
        <f ca="1">IF(OR(INDIRECT("'update Helper'!E"&amp;Q1199)="",F1199&lt;&gt;0,F1200&lt;&gt;0),IF(IFERROR((F1199/F1200),"")="","",(F1199/F1200)),INDIRECT("'update Helper'!E"&amp;Q1199)/100)</f>
        <v/>
      </c>
      <c r="H1199" s="597"/>
      <c r="I1199" s="599"/>
      <c r="J1199" s="531"/>
      <c r="K1199" s="130">
        <f>IF(AND(EXACT(C1199,C1197),C1197&lt;&gt;0),K1197+1,0)</f>
        <v>9</v>
      </c>
      <c r="L1199" s="130" t="str">
        <f t="shared" ref="L1199" si="1383">IF(C1199&lt;&gt;"",C1199&amp;"-"&amp;K1199,"")</f>
        <v>KP-8 Percentage of people who inject drugs receiving opioid substitution therapy-9</v>
      </c>
      <c r="M1199" s="130" t="str">
        <f t="array" ref="M1199">IFERROR(IF(INDEX('Disaggregation Records'!$E$152:$E$513,MATCH(RIGHT(L1199,255),RIGHT('Disaggregation Records'!$D$152:$D$513,255),0))="","",INDEX('Disaggregation Records'!$E$152:$E$513,MATCH(RIGHT(L1199,255),RIGHT('Disaggregation Records'!$D$152:$D$513,255),0))),"")</f>
        <v/>
      </c>
      <c r="N1199" s="130" t="str">
        <f t="array" ref="N1199">IFERROR(IF(INDEX('Disaggregation Records'!$F$152:$F$513,MATCH(RIGHT(L1199,255),RIGHT('Disaggregation Records'!$D$152:$D$513,255),0))="","",INDEX('Disaggregation Records'!$F$152:$F$513,MATCH(RIGHT(L1199,255),RIGHT('Disaggregation Records'!$D$152:$D$513,255),0))),"")</f>
        <v/>
      </c>
      <c r="O1199" s="130" t="str">
        <f t="array" ref="O1199">IFERROR(IF(INDEX('Disaggregation Records'!$H$152:$H$513,MATCH(RIGHT(L1199,255),RIGHT('Disaggregation Records'!$D$152:$D$513,255),0))="","",INDEX('Disaggregation Records'!$H$152:$H$513,MATCH(RIGHT(L1199,255),RIGHT('Disaggregation Records'!$D$152:$D$513,255),0))),"")</f>
        <v/>
      </c>
      <c r="Q1199" s="52">
        <f t="shared" ref="Q1199" si="1384">Q1197+1</f>
        <v>1784</v>
      </c>
    </row>
    <row r="1200" spans="1:17" ht="20.100000000000001" customHeight="1" x14ac:dyDescent="0.25">
      <c r="B1200" s="602"/>
      <c r="C1200" s="604"/>
      <c r="D1200" s="606"/>
      <c r="E1200" s="606"/>
      <c r="F1200" s="132"/>
      <c r="G1200" s="608"/>
      <c r="H1200" s="598"/>
      <c r="I1200" s="600"/>
      <c r="J1200" s="532"/>
      <c r="L1200" s="130"/>
      <c r="N1200" s="130"/>
      <c r="O1200" s="130"/>
    </row>
    <row r="1201" spans="1:17" ht="20.100000000000001" customHeight="1" x14ac:dyDescent="0.25">
      <c r="A1201" s="130" t="str">
        <f t="shared" ref="A1201:A1261" ca="1" si="1385">INDIRECT("'update Helper'!C"&amp;Q1201)</f>
        <v>a16Dm000000LZeCIAW</v>
      </c>
      <c r="B1201" s="601">
        <v>15</v>
      </c>
      <c r="C1201" s="603" t="str">
        <f>IFERROR(VLOOKUP(B1201,'Coverage Indicators - Section D'!$A$9:$AO$70,41,FALSE),"")</f>
        <v>KP-8 Percentage of people who inject drugs receiving opioid substitution therapy</v>
      </c>
      <c r="D1201" s="605" t="str">
        <f>M1201</f>
        <v/>
      </c>
      <c r="E1201" s="605" t="str">
        <f>N1201</f>
        <v/>
      </c>
      <c r="F1201" s="131"/>
      <c r="G1201" s="607" t="str">
        <f ca="1">IF(OR(INDIRECT("'update Helper'!E"&amp;Q1201)="",F1201&lt;&gt;0,F1202&lt;&gt;0),IF(IFERROR((F1201/F1202),"")="","",(F1201/F1202)),INDIRECT("'update Helper'!E"&amp;Q1201)/100)</f>
        <v/>
      </c>
      <c r="H1201" s="597"/>
      <c r="I1201" s="599"/>
      <c r="J1201" s="531"/>
      <c r="K1201" s="130">
        <f>IF(AND(EXACT(C1201,C1199),C1199&lt;&gt;0),K1199+1,0)</f>
        <v>10</v>
      </c>
      <c r="L1201" s="130" t="str">
        <f t="shared" ref="L1201" si="1386">IF(C1201&lt;&gt;"",C1201&amp;"-"&amp;K1201,"")</f>
        <v>KP-8 Percentage of people who inject drugs receiving opioid substitution therapy-10</v>
      </c>
      <c r="M1201" s="130" t="str">
        <f t="array" ref="M1201">IFERROR(IF(INDEX('Disaggregation Records'!$E$152:$E$513,MATCH(RIGHT(L1201,255),RIGHT('Disaggregation Records'!$D$152:$D$513,255),0))="","",INDEX('Disaggregation Records'!$E$152:$E$513,MATCH(RIGHT(L1201,255),RIGHT('Disaggregation Records'!$D$152:$D$513,255),0))),"")</f>
        <v/>
      </c>
      <c r="N1201" s="130" t="str">
        <f t="array" ref="N1201">IFERROR(IF(INDEX('Disaggregation Records'!$F$152:$F$513,MATCH(RIGHT(L1201,255),RIGHT('Disaggregation Records'!$D$152:$D$513,255),0))="","",INDEX('Disaggregation Records'!$F$152:$F$513,MATCH(RIGHT(L1201,255),RIGHT('Disaggregation Records'!$D$152:$D$513,255),0))),"")</f>
        <v/>
      </c>
      <c r="O1201" s="130" t="str">
        <f t="array" ref="O1201">IFERROR(IF(INDEX('Disaggregation Records'!$H$152:$H$513,MATCH(RIGHT(L1201,255),RIGHT('Disaggregation Records'!$D$152:$D$513,255),0))="","",INDEX('Disaggregation Records'!$H$152:$H$513,MATCH(RIGHT(L1201,255),RIGHT('Disaggregation Records'!$D$152:$D$513,255),0))),"")</f>
        <v/>
      </c>
      <c r="P1201" s="130"/>
      <c r="Q1201" s="52">
        <f t="shared" ref="Q1201" si="1387">Q1199+1</f>
        <v>1785</v>
      </c>
    </row>
    <row r="1202" spans="1:17" ht="20.100000000000001" customHeight="1" x14ac:dyDescent="0.25">
      <c r="A1202" s="130"/>
      <c r="B1202" s="602"/>
      <c r="C1202" s="604"/>
      <c r="D1202" s="606"/>
      <c r="E1202" s="606"/>
      <c r="F1202" s="132"/>
      <c r="G1202" s="608"/>
      <c r="H1202" s="598"/>
      <c r="I1202" s="600"/>
      <c r="J1202" s="532"/>
      <c r="K1202" s="130"/>
      <c r="L1202" s="130"/>
      <c r="M1202" s="130"/>
      <c r="N1202" s="130"/>
      <c r="O1202" s="130"/>
      <c r="P1202" s="130"/>
    </row>
    <row r="1203" spans="1:17" ht="20.100000000000001" customHeight="1" x14ac:dyDescent="0.25">
      <c r="A1203" s="130" t="str">
        <f t="shared" ref="A1203:A1263" ca="1" si="1388">INDIRECT("'update Helper'!C"&amp;Q1203)</f>
        <v>a16Dm000000LZeDIAW</v>
      </c>
      <c r="B1203" s="601">
        <v>15</v>
      </c>
      <c r="C1203" s="603" t="str">
        <f>IFERROR(VLOOKUP(B1203,'Coverage Indicators - Section D'!$A$9:$AO$70,41,FALSE),"")</f>
        <v>KP-8 Percentage of people who inject drugs receiving opioid substitution therapy</v>
      </c>
      <c r="D1203" s="605" t="str">
        <f>M1203</f>
        <v/>
      </c>
      <c r="E1203" s="605" t="str">
        <f>N1203</f>
        <v/>
      </c>
      <c r="F1203" s="131"/>
      <c r="G1203" s="607" t="str">
        <f ca="1">IF(OR(INDIRECT("'update Helper'!E"&amp;Q1203)="",F1203&lt;&gt;0,F1204&lt;&gt;0),IF(IFERROR((F1203/F1204),"")="","",(F1203/F1204)),INDIRECT("'update Helper'!E"&amp;Q1203)/100)</f>
        <v/>
      </c>
      <c r="H1203" s="597"/>
      <c r="I1203" s="599"/>
      <c r="J1203" s="531"/>
      <c r="K1203" s="130">
        <f>IF(AND(EXACT(C1203,C1201),C1201&lt;&gt;0),K1201+1,0)</f>
        <v>11</v>
      </c>
      <c r="L1203" s="130" t="str">
        <f t="shared" ref="L1203" si="1389">IF(C1203&lt;&gt;"",C1203&amp;"-"&amp;K1203,"")</f>
        <v>KP-8 Percentage of people who inject drugs receiving opioid substitution therapy-11</v>
      </c>
      <c r="M1203" s="130" t="str">
        <f t="array" ref="M1203">IFERROR(IF(INDEX('Disaggregation Records'!$E$152:$E$513,MATCH(RIGHT(L1203,255),RIGHT('Disaggregation Records'!$D$152:$D$513,255),0))="","",INDEX('Disaggregation Records'!$E$152:$E$513,MATCH(RIGHT(L1203,255),RIGHT('Disaggregation Records'!$D$152:$D$513,255),0))),"")</f>
        <v/>
      </c>
      <c r="N1203" s="130" t="str">
        <f t="array" ref="N1203">IFERROR(IF(INDEX('Disaggregation Records'!$F$152:$F$513,MATCH(RIGHT(L1203,255),RIGHT('Disaggregation Records'!$D$152:$D$513,255),0))="","",INDEX('Disaggregation Records'!$F$152:$F$513,MATCH(RIGHT(L1203,255),RIGHT('Disaggregation Records'!$D$152:$D$513,255),0))),"")</f>
        <v/>
      </c>
      <c r="O1203" s="130" t="str">
        <f t="array" ref="O1203">IFERROR(IF(INDEX('Disaggregation Records'!$H$152:$H$513,MATCH(RIGHT(L1203,255),RIGHT('Disaggregation Records'!$D$152:$D$513,255),0))="","",INDEX('Disaggregation Records'!$H$152:$H$513,MATCH(RIGHT(L1203,255),RIGHT('Disaggregation Records'!$D$152:$D$513,255),0))),"")</f>
        <v/>
      </c>
      <c r="P1203" s="130"/>
      <c r="Q1203" s="52">
        <f t="shared" ref="Q1203" si="1390">Q1201+1</f>
        <v>1786</v>
      </c>
    </row>
    <row r="1204" spans="1:17" ht="20.100000000000001" customHeight="1" x14ac:dyDescent="0.25">
      <c r="B1204" s="602"/>
      <c r="C1204" s="604"/>
      <c r="D1204" s="606"/>
      <c r="E1204" s="606"/>
      <c r="F1204" s="132"/>
      <c r="G1204" s="608"/>
      <c r="H1204" s="598"/>
      <c r="I1204" s="600"/>
      <c r="J1204" s="532"/>
      <c r="K1204" s="130"/>
      <c r="L1204" s="130"/>
      <c r="M1204" s="130"/>
      <c r="N1204" s="130"/>
      <c r="O1204" s="130"/>
      <c r="P1204" s="130"/>
    </row>
    <row r="1205" spans="1:17" ht="20.100000000000001" customHeight="1" x14ac:dyDescent="0.25">
      <c r="A1205" s="130" t="str">
        <f t="shared" ca="1" si="1385"/>
        <v>a16Dm000000LZeEIAW</v>
      </c>
      <c r="B1205" s="601">
        <v>15</v>
      </c>
      <c r="C1205" s="603" t="str">
        <f>IFERROR(VLOOKUP(B1205,'Coverage Indicators - Section D'!$A$9:$AO$70,41,FALSE),"")</f>
        <v>KP-8 Percentage of people who inject drugs receiving opioid substitution therapy</v>
      </c>
      <c r="D1205" s="605" t="str">
        <f>M1205</f>
        <v/>
      </c>
      <c r="E1205" s="605" t="str">
        <f>N1205</f>
        <v/>
      </c>
      <c r="F1205" s="131"/>
      <c r="G1205" s="607" t="str">
        <f ca="1">IF(OR(INDIRECT("'update Helper'!E"&amp;Q1205)="",F1205&lt;&gt;0,F1206&lt;&gt;0),IF(IFERROR((F1205/F1206),"")="","",(F1205/F1206)),INDIRECT("'update Helper'!E"&amp;Q1205)/100)</f>
        <v/>
      </c>
      <c r="H1205" s="597"/>
      <c r="I1205" s="599"/>
      <c r="J1205" s="531"/>
      <c r="K1205" s="130">
        <f>IF(AND(EXACT(C1205,C1203),C1203&lt;&gt;0),K1203+1,0)</f>
        <v>12</v>
      </c>
      <c r="L1205" s="130" t="str">
        <f t="shared" ref="L1205" si="1391">IF(C1205&lt;&gt;"",C1205&amp;"-"&amp;K1205,"")</f>
        <v>KP-8 Percentage of people who inject drugs receiving opioid substitution therapy-12</v>
      </c>
      <c r="M1205" s="130" t="str">
        <f t="array" ref="M1205">IFERROR(IF(INDEX('Disaggregation Records'!$E$152:$E$513,MATCH(RIGHT(L1205,255),RIGHT('Disaggregation Records'!$D$152:$D$513,255),0))="","",INDEX('Disaggregation Records'!$E$152:$E$513,MATCH(RIGHT(L1205,255),RIGHT('Disaggregation Records'!$D$152:$D$513,255),0))),"")</f>
        <v/>
      </c>
      <c r="N1205" s="130" t="str">
        <f t="array" ref="N1205">IFERROR(IF(INDEX('Disaggregation Records'!$F$152:$F$513,MATCH(RIGHT(L1205,255),RIGHT('Disaggregation Records'!$D$152:$D$513,255),0))="","",INDEX('Disaggregation Records'!$F$152:$F$513,MATCH(RIGHT(L1205,255),RIGHT('Disaggregation Records'!$D$152:$D$513,255),0))),"")</f>
        <v/>
      </c>
      <c r="O1205" s="130" t="str">
        <f t="array" ref="O1205">IFERROR(IF(INDEX('Disaggregation Records'!$H$152:$H$513,MATCH(RIGHT(L1205,255),RIGHT('Disaggregation Records'!$D$152:$D$513,255),0))="","",INDEX('Disaggregation Records'!$H$152:$H$513,MATCH(RIGHT(L1205,255),RIGHT('Disaggregation Records'!$D$152:$D$513,255),0))),"")</f>
        <v/>
      </c>
      <c r="Q1205" s="52">
        <f t="shared" ref="Q1205" si="1392">Q1203+1</f>
        <v>1787</v>
      </c>
    </row>
    <row r="1206" spans="1:17" ht="20.100000000000001" customHeight="1" x14ac:dyDescent="0.25">
      <c r="A1206" s="130"/>
      <c r="B1206" s="602"/>
      <c r="C1206" s="604"/>
      <c r="D1206" s="606"/>
      <c r="E1206" s="606"/>
      <c r="F1206" s="132"/>
      <c r="G1206" s="608"/>
      <c r="H1206" s="598"/>
      <c r="I1206" s="600"/>
      <c r="J1206" s="532"/>
      <c r="L1206" s="130"/>
      <c r="N1206" s="130"/>
      <c r="O1206" s="130"/>
    </row>
    <row r="1207" spans="1:17" ht="20.100000000000001" customHeight="1" x14ac:dyDescent="0.25">
      <c r="A1207" s="130" t="str">
        <f t="shared" ca="1" si="1388"/>
        <v>a16Dm000000LZeFIAW</v>
      </c>
      <c r="B1207" s="601">
        <v>15</v>
      </c>
      <c r="C1207" s="603" t="str">
        <f>IFERROR(VLOOKUP(B1207,'Coverage Indicators - Section D'!$A$9:$AO$70,41,FALSE),"")</f>
        <v>KP-8 Percentage of people who inject drugs receiving opioid substitution therapy</v>
      </c>
      <c r="D1207" s="605" t="str">
        <f>M1207</f>
        <v/>
      </c>
      <c r="E1207" s="605" t="str">
        <f>N1207</f>
        <v/>
      </c>
      <c r="F1207" s="131"/>
      <c r="G1207" s="607" t="str">
        <f ca="1">IF(OR(INDIRECT("'update Helper'!E"&amp;Q1207)="",F1207&lt;&gt;0,F1208&lt;&gt;0),IF(IFERROR((F1207/F1208),"")="","",(F1207/F1208)),INDIRECT("'update Helper'!E"&amp;Q1207)/100)</f>
        <v/>
      </c>
      <c r="H1207" s="597"/>
      <c r="I1207" s="599"/>
      <c r="J1207" s="531"/>
      <c r="K1207" s="130">
        <f>IF(AND(EXACT(C1207,C1205),C1205&lt;&gt;0),K1205+1,0)</f>
        <v>13</v>
      </c>
      <c r="L1207" s="130" t="str">
        <f t="shared" ref="L1207" si="1393">IF(C1207&lt;&gt;"",C1207&amp;"-"&amp;K1207,"")</f>
        <v>KP-8 Percentage of people who inject drugs receiving opioid substitution therapy-13</v>
      </c>
      <c r="M1207" s="130" t="str">
        <f t="array" ref="M1207">IFERROR(IF(INDEX('Disaggregation Records'!$E$152:$E$513,MATCH(RIGHT(L1207,255),RIGHT('Disaggregation Records'!$D$152:$D$513,255),0))="","",INDEX('Disaggregation Records'!$E$152:$E$513,MATCH(RIGHT(L1207,255),RIGHT('Disaggregation Records'!$D$152:$D$513,255),0))),"")</f>
        <v/>
      </c>
      <c r="N1207" s="130" t="str">
        <f t="array" ref="N1207">IFERROR(IF(INDEX('Disaggregation Records'!$F$152:$F$513,MATCH(RIGHT(L1207,255),RIGHT('Disaggregation Records'!$D$152:$D$513,255),0))="","",INDEX('Disaggregation Records'!$F$152:$F$513,MATCH(RIGHT(L1207,255),RIGHT('Disaggregation Records'!$D$152:$D$513,255),0))),"")</f>
        <v/>
      </c>
      <c r="O1207" s="130" t="str">
        <f t="array" ref="O1207">IFERROR(IF(INDEX('Disaggregation Records'!$H$152:$H$513,MATCH(RIGHT(L1207,255),RIGHT('Disaggregation Records'!$D$152:$D$513,255),0))="","",INDEX('Disaggregation Records'!$H$152:$H$513,MATCH(RIGHT(L1207,255),RIGHT('Disaggregation Records'!$D$152:$D$513,255),0))),"")</f>
        <v/>
      </c>
      <c r="Q1207" s="52">
        <f t="shared" ref="Q1207" si="1394">Q1205+1</f>
        <v>1788</v>
      </c>
    </row>
    <row r="1208" spans="1:17" ht="20.100000000000001" customHeight="1" x14ac:dyDescent="0.25">
      <c r="B1208" s="602"/>
      <c r="C1208" s="604"/>
      <c r="D1208" s="606"/>
      <c r="E1208" s="606"/>
      <c r="F1208" s="132"/>
      <c r="G1208" s="608"/>
      <c r="H1208" s="598"/>
      <c r="I1208" s="600"/>
      <c r="J1208" s="532"/>
      <c r="L1208" s="130"/>
      <c r="N1208" s="130"/>
      <c r="O1208" s="130"/>
    </row>
    <row r="1209" spans="1:17" ht="20.100000000000001" customHeight="1" x14ac:dyDescent="0.25">
      <c r="A1209" s="130" t="str">
        <f t="shared" ca="1" si="1385"/>
        <v>a16Dm000000LZeGIAW</v>
      </c>
      <c r="B1209" s="601">
        <v>15</v>
      </c>
      <c r="C1209" s="603" t="str">
        <f>IFERROR(VLOOKUP(B1209,'Coverage Indicators - Section D'!$A$9:$AO$70,41,FALSE),"")</f>
        <v>KP-8 Percentage of people who inject drugs receiving opioid substitution therapy</v>
      </c>
      <c r="D1209" s="605" t="str">
        <f>M1209</f>
        <v/>
      </c>
      <c r="E1209" s="605" t="str">
        <f>N1209</f>
        <v/>
      </c>
      <c r="F1209" s="131"/>
      <c r="G1209" s="607" t="str">
        <f ca="1">IF(OR(INDIRECT("'update Helper'!E"&amp;Q1209)="",F1209&lt;&gt;0,F1210&lt;&gt;0),IF(IFERROR((F1209/F1210),"")="","",(F1209/F1210)),INDIRECT("'update Helper'!E"&amp;Q1209)/100)</f>
        <v/>
      </c>
      <c r="H1209" s="597"/>
      <c r="I1209" s="599"/>
      <c r="J1209" s="531"/>
      <c r="K1209" s="130">
        <f>IF(AND(EXACT(C1209,C1207),C1207&lt;&gt;0),K1207+1,0)</f>
        <v>14</v>
      </c>
      <c r="L1209" s="130" t="str">
        <f t="shared" ref="L1209" si="1395">IF(C1209&lt;&gt;"",C1209&amp;"-"&amp;K1209,"")</f>
        <v>KP-8 Percentage of people who inject drugs receiving opioid substitution therapy-14</v>
      </c>
      <c r="M1209" s="130" t="str">
        <f t="array" ref="M1209">IFERROR(IF(INDEX('Disaggregation Records'!$E$152:$E$513,MATCH(RIGHT(L1209,255),RIGHT('Disaggregation Records'!$D$152:$D$513,255),0))="","",INDEX('Disaggregation Records'!$E$152:$E$513,MATCH(RIGHT(L1209,255),RIGHT('Disaggregation Records'!$D$152:$D$513,255),0))),"")</f>
        <v/>
      </c>
      <c r="N1209" s="130" t="str">
        <f t="array" ref="N1209">IFERROR(IF(INDEX('Disaggregation Records'!$F$152:$F$513,MATCH(RIGHT(L1209,255),RIGHT('Disaggregation Records'!$D$152:$D$513,255),0))="","",INDEX('Disaggregation Records'!$F$152:$F$513,MATCH(RIGHT(L1209,255),RIGHT('Disaggregation Records'!$D$152:$D$513,255),0))),"")</f>
        <v/>
      </c>
      <c r="O1209" s="130" t="str">
        <f t="array" ref="O1209">IFERROR(IF(INDEX('Disaggregation Records'!$H$152:$H$513,MATCH(RIGHT(L1209,255),RIGHT('Disaggregation Records'!$D$152:$D$513,255),0))="","",INDEX('Disaggregation Records'!$H$152:$H$513,MATCH(RIGHT(L1209,255),RIGHT('Disaggregation Records'!$D$152:$D$513,255),0))),"")</f>
        <v/>
      </c>
      <c r="Q1209" s="52">
        <f t="shared" ref="Q1209" si="1396">Q1207+1</f>
        <v>1789</v>
      </c>
    </row>
    <row r="1210" spans="1:17" ht="20.100000000000001" customHeight="1" x14ac:dyDescent="0.25">
      <c r="A1210" s="130"/>
      <c r="B1210" s="602"/>
      <c r="C1210" s="604"/>
      <c r="D1210" s="606"/>
      <c r="E1210" s="606"/>
      <c r="F1210" s="132"/>
      <c r="G1210" s="608"/>
      <c r="H1210" s="598"/>
      <c r="I1210" s="600"/>
      <c r="J1210" s="532"/>
      <c r="L1210" s="130"/>
      <c r="N1210" s="130"/>
      <c r="O1210" s="130"/>
    </row>
    <row r="1211" spans="1:17" ht="20.100000000000001" customHeight="1" x14ac:dyDescent="0.25">
      <c r="A1211" s="130" t="str">
        <f t="shared" ca="1" si="1388"/>
        <v>a16Dm000000LZeHIAW</v>
      </c>
      <c r="B1211" s="601">
        <v>15</v>
      </c>
      <c r="C1211" s="603" t="str">
        <f>IFERROR(VLOOKUP(B1211,'Coverage Indicators - Section D'!$A$9:$AO$70,41,FALSE),"")</f>
        <v>KP-8 Percentage of people who inject drugs receiving opioid substitution therapy</v>
      </c>
      <c r="D1211" s="605" t="str">
        <f>M1211</f>
        <v/>
      </c>
      <c r="E1211" s="605" t="str">
        <f>N1211</f>
        <v/>
      </c>
      <c r="F1211" s="131"/>
      <c r="G1211" s="607" t="str">
        <f ca="1">IF(OR(INDIRECT("'update Helper'!E"&amp;Q1211)="",F1211&lt;&gt;0,F1212&lt;&gt;0),IF(IFERROR((F1211/F1212),"")="","",(F1211/F1212)),INDIRECT("'update Helper'!E"&amp;Q1211)/100)</f>
        <v/>
      </c>
      <c r="H1211" s="597"/>
      <c r="I1211" s="599"/>
      <c r="J1211" s="531"/>
      <c r="K1211" s="130">
        <f>IF(AND(EXACT(C1211,C1209),C1209&lt;&gt;0),K1209+1,0)</f>
        <v>15</v>
      </c>
      <c r="L1211" s="130" t="str">
        <f t="shared" ref="L1211" si="1397">IF(C1211&lt;&gt;"",C1211&amp;"-"&amp;K1211,"")</f>
        <v>KP-8 Percentage of people who inject drugs receiving opioid substitution therapy-15</v>
      </c>
      <c r="M1211" s="130" t="str">
        <f t="array" ref="M1211">IFERROR(IF(INDEX('Disaggregation Records'!$E$152:$E$513,MATCH(RIGHT(L1211,255),RIGHT('Disaggregation Records'!$D$152:$D$513,255),0))="","",INDEX('Disaggregation Records'!$E$152:$E$513,MATCH(RIGHT(L1211,255),RIGHT('Disaggregation Records'!$D$152:$D$513,255),0))),"")</f>
        <v/>
      </c>
      <c r="N1211" s="130" t="str">
        <f t="array" ref="N1211">IFERROR(IF(INDEX('Disaggregation Records'!$F$152:$F$513,MATCH(RIGHT(L1211,255),RIGHT('Disaggregation Records'!$D$152:$D$513,255),0))="","",INDEX('Disaggregation Records'!$F$152:$F$513,MATCH(RIGHT(L1211,255),RIGHT('Disaggregation Records'!$D$152:$D$513,255),0))),"")</f>
        <v/>
      </c>
      <c r="O1211" s="130" t="str">
        <f t="array" ref="O1211">IFERROR(IF(INDEX('Disaggregation Records'!$H$152:$H$513,MATCH(RIGHT(L1211,255),RIGHT('Disaggregation Records'!$D$152:$D$513,255),0))="","",INDEX('Disaggregation Records'!$H$152:$H$513,MATCH(RIGHT(L1211,255),RIGHT('Disaggregation Records'!$D$152:$D$513,255),0))),"")</f>
        <v/>
      </c>
      <c r="P1211" s="130"/>
      <c r="Q1211" s="52">
        <f t="shared" ref="Q1211" si="1398">Q1209+1</f>
        <v>1790</v>
      </c>
    </row>
    <row r="1212" spans="1:17" ht="20.100000000000001" customHeight="1" x14ac:dyDescent="0.25">
      <c r="B1212" s="602"/>
      <c r="C1212" s="604"/>
      <c r="D1212" s="606"/>
      <c r="E1212" s="606"/>
      <c r="F1212" s="132"/>
      <c r="G1212" s="608"/>
      <c r="H1212" s="598"/>
      <c r="I1212" s="600"/>
      <c r="J1212" s="532"/>
      <c r="K1212" s="130"/>
      <c r="L1212" s="130"/>
      <c r="M1212" s="130"/>
      <c r="N1212" s="130"/>
      <c r="O1212" s="130"/>
      <c r="P1212" s="130"/>
    </row>
    <row r="1213" spans="1:17" ht="20.100000000000001" customHeight="1" x14ac:dyDescent="0.25">
      <c r="A1213" s="130" t="str">
        <f t="shared" ca="1" si="1385"/>
        <v>a16Dm000000LZeIIAW</v>
      </c>
      <c r="B1213" s="601">
        <v>15</v>
      </c>
      <c r="C1213" s="603" t="str">
        <f>IFERROR(VLOOKUP(B1213,'Coverage Indicators - Section D'!$A$9:$AO$70,41,FALSE),"")</f>
        <v>KP-8 Percentage of people who inject drugs receiving opioid substitution therapy</v>
      </c>
      <c r="D1213" s="605" t="str">
        <f>M1213</f>
        <v/>
      </c>
      <c r="E1213" s="605" t="str">
        <f>N1213</f>
        <v/>
      </c>
      <c r="F1213" s="131"/>
      <c r="G1213" s="607" t="str">
        <f ca="1">IF(OR(INDIRECT("'update Helper'!E"&amp;Q1213)="",F1213&lt;&gt;0,F1214&lt;&gt;0),IF(IFERROR((F1213/F1214),"")="","",(F1213/F1214)),INDIRECT("'update Helper'!E"&amp;Q1213)/100)</f>
        <v/>
      </c>
      <c r="H1213" s="597"/>
      <c r="I1213" s="599"/>
      <c r="J1213" s="531"/>
      <c r="K1213" s="130">
        <f>IF(AND(EXACT(C1213,C1211),C1211&lt;&gt;0),K1211+1,0)</f>
        <v>16</v>
      </c>
      <c r="L1213" s="130" t="str">
        <f t="shared" ref="L1213" si="1399">IF(C1213&lt;&gt;"",C1213&amp;"-"&amp;K1213,"")</f>
        <v>KP-8 Percentage of people who inject drugs receiving opioid substitution therapy-16</v>
      </c>
      <c r="M1213" s="130" t="str">
        <f t="array" ref="M1213">IFERROR(IF(INDEX('Disaggregation Records'!$E$152:$E$513,MATCH(RIGHT(L1213,255),RIGHT('Disaggregation Records'!$D$152:$D$513,255),0))="","",INDEX('Disaggregation Records'!$E$152:$E$513,MATCH(RIGHT(L1213,255),RIGHT('Disaggregation Records'!$D$152:$D$513,255),0))),"")</f>
        <v/>
      </c>
      <c r="N1213" s="130" t="str">
        <f t="array" ref="N1213">IFERROR(IF(INDEX('Disaggregation Records'!$F$152:$F$513,MATCH(RIGHT(L1213,255),RIGHT('Disaggregation Records'!$D$152:$D$513,255),0))="","",INDEX('Disaggregation Records'!$F$152:$F$513,MATCH(RIGHT(L1213,255),RIGHT('Disaggregation Records'!$D$152:$D$513,255),0))),"")</f>
        <v/>
      </c>
      <c r="O1213" s="130" t="str">
        <f t="array" ref="O1213">IFERROR(IF(INDEX('Disaggregation Records'!$H$152:$H$513,MATCH(RIGHT(L1213,255),RIGHT('Disaggregation Records'!$D$152:$D$513,255),0))="","",INDEX('Disaggregation Records'!$H$152:$H$513,MATCH(RIGHT(L1213,255),RIGHT('Disaggregation Records'!$D$152:$D$513,255),0))),"")</f>
        <v/>
      </c>
      <c r="P1213" s="130"/>
      <c r="Q1213" s="52">
        <f t="shared" ref="Q1213" si="1400">Q1211+1</f>
        <v>1791</v>
      </c>
    </row>
    <row r="1214" spans="1:17" ht="20.100000000000001" customHeight="1" x14ac:dyDescent="0.25">
      <c r="A1214" s="130"/>
      <c r="B1214" s="602"/>
      <c r="C1214" s="604"/>
      <c r="D1214" s="606"/>
      <c r="E1214" s="606"/>
      <c r="F1214" s="132"/>
      <c r="G1214" s="608"/>
      <c r="H1214" s="598"/>
      <c r="I1214" s="600"/>
      <c r="J1214" s="532"/>
      <c r="K1214" s="130"/>
      <c r="L1214" s="130"/>
      <c r="M1214" s="130"/>
      <c r="N1214" s="130"/>
      <c r="O1214" s="130"/>
      <c r="P1214" s="130"/>
    </row>
    <row r="1215" spans="1:17" ht="20.100000000000001" customHeight="1" x14ac:dyDescent="0.25">
      <c r="A1215" s="130" t="str">
        <f t="shared" ca="1" si="1388"/>
        <v>a16Dm000000LZeJIAW</v>
      </c>
      <c r="B1215" s="601">
        <v>15</v>
      </c>
      <c r="C1215" s="603" t="str">
        <f>IFERROR(VLOOKUP(B1215,'Coverage Indicators - Section D'!$A$9:$AO$70,41,FALSE),"")</f>
        <v>KP-8 Percentage of people who inject drugs receiving opioid substitution therapy</v>
      </c>
      <c r="D1215" s="605" t="str">
        <f>M1215</f>
        <v/>
      </c>
      <c r="E1215" s="605" t="str">
        <f>N1215</f>
        <v/>
      </c>
      <c r="F1215" s="131"/>
      <c r="G1215" s="607" t="str">
        <f ca="1">IF(OR(INDIRECT("'update Helper'!E"&amp;Q1215)="",F1215&lt;&gt;0,F1216&lt;&gt;0),IF(IFERROR((F1215/F1216),"")="","",(F1215/F1216)),INDIRECT("'update Helper'!E"&amp;Q1215)/100)</f>
        <v/>
      </c>
      <c r="H1215" s="597"/>
      <c r="I1215" s="599"/>
      <c r="J1215" s="531"/>
      <c r="K1215" s="130">
        <f>IF(AND(EXACT(C1215,C1213),C1213&lt;&gt;0),K1213+1,0)</f>
        <v>17</v>
      </c>
      <c r="L1215" s="130" t="str">
        <f t="shared" ref="L1215" si="1401">IF(C1215&lt;&gt;"",C1215&amp;"-"&amp;K1215,"")</f>
        <v>KP-8 Percentage of people who inject drugs receiving opioid substitution therapy-17</v>
      </c>
      <c r="M1215" s="130" t="str">
        <f t="array" ref="M1215">IFERROR(IF(INDEX('Disaggregation Records'!$E$152:$E$513,MATCH(RIGHT(L1215,255),RIGHT('Disaggregation Records'!$D$152:$D$513,255),0))="","",INDEX('Disaggregation Records'!$E$152:$E$513,MATCH(RIGHT(L1215,255),RIGHT('Disaggregation Records'!$D$152:$D$513,255),0))),"")</f>
        <v/>
      </c>
      <c r="N1215" s="130" t="str">
        <f t="array" ref="N1215">IFERROR(IF(INDEX('Disaggregation Records'!$F$152:$F$513,MATCH(RIGHT(L1215,255),RIGHT('Disaggregation Records'!$D$152:$D$513,255),0))="","",INDEX('Disaggregation Records'!$F$152:$F$513,MATCH(RIGHT(L1215,255),RIGHT('Disaggregation Records'!$D$152:$D$513,255),0))),"")</f>
        <v/>
      </c>
      <c r="O1215" s="130" t="str">
        <f t="array" ref="O1215">IFERROR(IF(INDEX('Disaggregation Records'!$H$152:$H$513,MATCH(RIGHT(L1215,255),RIGHT('Disaggregation Records'!$D$152:$D$513,255),0))="","",INDEX('Disaggregation Records'!$H$152:$H$513,MATCH(RIGHT(L1215,255),RIGHT('Disaggregation Records'!$D$152:$D$513,255),0))),"")</f>
        <v/>
      </c>
      <c r="Q1215" s="52">
        <f t="shared" ref="Q1215" si="1402">Q1213+1</f>
        <v>1792</v>
      </c>
    </row>
    <row r="1216" spans="1:17" ht="20.100000000000001" customHeight="1" x14ac:dyDescent="0.25">
      <c r="B1216" s="602"/>
      <c r="C1216" s="604"/>
      <c r="D1216" s="606"/>
      <c r="E1216" s="606"/>
      <c r="F1216" s="132"/>
      <c r="G1216" s="608"/>
      <c r="H1216" s="598"/>
      <c r="I1216" s="600"/>
      <c r="J1216" s="532"/>
      <c r="L1216" s="130"/>
      <c r="N1216" s="130"/>
      <c r="O1216" s="130"/>
    </row>
    <row r="1217" spans="1:17" ht="20.100000000000001" customHeight="1" x14ac:dyDescent="0.25">
      <c r="A1217" s="130" t="str">
        <f t="shared" ca="1" si="1385"/>
        <v>a16Dm000000LZeKIAW</v>
      </c>
      <c r="B1217" s="601">
        <v>15</v>
      </c>
      <c r="C1217" s="603" t="str">
        <f>IFERROR(VLOOKUP(B1217,'Coverage Indicators - Section D'!$A$9:$AO$70,41,FALSE),"")</f>
        <v>KP-8 Percentage of people who inject drugs receiving opioid substitution therapy</v>
      </c>
      <c r="D1217" s="605" t="str">
        <f>M1217</f>
        <v/>
      </c>
      <c r="E1217" s="605" t="str">
        <f>N1217</f>
        <v/>
      </c>
      <c r="F1217" s="131"/>
      <c r="G1217" s="607" t="str">
        <f ca="1">IF(OR(INDIRECT("'update Helper'!E"&amp;Q1217)="",F1217&lt;&gt;0,F1218&lt;&gt;0),IF(IFERROR((F1217/F1218),"")="","",(F1217/F1218)),INDIRECT("'update Helper'!E"&amp;Q1217)/100)</f>
        <v/>
      </c>
      <c r="H1217" s="597"/>
      <c r="I1217" s="599"/>
      <c r="J1217" s="531"/>
      <c r="K1217" s="130">
        <f>IF(AND(EXACT(C1217,C1215),C1215&lt;&gt;0),K1215+1,0)</f>
        <v>18</v>
      </c>
      <c r="L1217" s="130" t="str">
        <f t="shared" ref="L1217" si="1403">IF(C1217&lt;&gt;"",C1217&amp;"-"&amp;K1217,"")</f>
        <v>KP-8 Percentage of people who inject drugs receiving opioid substitution therapy-18</v>
      </c>
      <c r="M1217" s="130" t="str">
        <f t="array" ref="M1217">IFERROR(IF(INDEX('Disaggregation Records'!$E$152:$E$513,MATCH(RIGHT(L1217,255),RIGHT('Disaggregation Records'!$D$152:$D$513,255),0))="","",INDEX('Disaggregation Records'!$E$152:$E$513,MATCH(RIGHT(L1217,255),RIGHT('Disaggregation Records'!$D$152:$D$513,255),0))),"")</f>
        <v/>
      </c>
      <c r="N1217" s="130" t="str">
        <f t="array" ref="N1217">IFERROR(IF(INDEX('Disaggregation Records'!$F$152:$F$513,MATCH(RIGHT(L1217,255),RIGHT('Disaggregation Records'!$D$152:$D$513,255),0))="","",INDEX('Disaggregation Records'!$F$152:$F$513,MATCH(RIGHT(L1217,255),RIGHT('Disaggregation Records'!$D$152:$D$513,255),0))),"")</f>
        <v/>
      </c>
      <c r="O1217" s="130" t="str">
        <f t="array" ref="O1217">IFERROR(IF(INDEX('Disaggregation Records'!$H$152:$H$513,MATCH(RIGHT(L1217,255),RIGHT('Disaggregation Records'!$D$152:$D$513,255),0))="","",INDEX('Disaggregation Records'!$H$152:$H$513,MATCH(RIGHT(L1217,255),RIGHT('Disaggregation Records'!$D$152:$D$513,255),0))),"")</f>
        <v/>
      </c>
      <c r="Q1217" s="52">
        <f t="shared" ref="Q1217" si="1404">Q1215+1</f>
        <v>1793</v>
      </c>
    </row>
    <row r="1218" spans="1:17" ht="20.100000000000001" customHeight="1" x14ac:dyDescent="0.25">
      <c r="A1218" s="130"/>
      <c r="B1218" s="602"/>
      <c r="C1218" s="604"/>
      <c r="D1218" s="606"/>
      <c r="E1218" s="606"/>
      <c r="F1218" s="132"/>
      <c r="G1218" s="608"/>
      <c r="H1218" s="598"/>
      <c r="I1218" s="600"/>
      <c r="J1218" s="532"/>
      <c r="L1218" s="130"/>
      <c r="N1218" s="130"/>
      <c r="O1218" s="130"/>
    </row>
    <row r="1219" spans="1:17" ht="20.100000000000001" customHeight="1" x14ac:dyDescent="0.25">
      <c r="A1219" s="130" t="str">
        <f t="shared" ca="1" si="1388"/>
        <v>a16Dm000000LZeLIAW</v>
      </c>
      <c r="B1219" s="601">
        <v>15</v>
      </c>
      <c r="C1219" s="603" t="str">
        <f>IFERROR(VLOOKUP(B1219,'Coverage Indicators - Section D'!$A$9:$AO$70,41,FALSE),"")</f>
        <v>KP-8 Percentage of people who inject drugs receiving opioid substitution therapy</v>
      </c>
      <c r="D1219" s="605" t="str">
        <f>M1219</f>
        <v/>
      </c>
      <c r="E1219" s="605" t="str">
        <f>N1219</f>
        <v/>
      </c>
      <c r="F1219" s="131"/>
      <c r="G1219" s="607" t="str">
        <f ca="1">IF(OR(INDIRECT("'update Helper'!E"&amp;Q1219)="",F1219&lt;&gt;0,F1220&lt;&gt;0),IF(IFERROR((F1219/F1220),"")="","",(F1219/F1220)),INDIRECT("'update Helper'!E"&amp;Q1219)/100)</f>
        <v/>
      </c>
      <c r="H1219" s="597"/>
      <c r="I1219" s="599"/>
      <c r="J1219" s="531"/>
      <c r="K1219" s="130">
        <f>IF(AND(EXACT(C1219,C1217),C1217&lt;&gt;0),K1217+1,0)</f>
        <v>19</v>
      </c>
      <c r="L1219" s="130" t="str">
        <f t="shared" ref="L1219" si="1405">IF(C1219&lt;&gt;"",C1219&amp;"-"&amp;K1219,"")</f>
        <v>KP-8 Percentage of people who inject drugs receiving opioid substitution therapy-19</v>
      </c>
      <c r="M1219" s="130" t="str">
        <f t="array" ref="M1219">IFERROR(IF(INDEX('Disaggregation Records'!$E$152:$E$513,MATCH(RIGHT(L1219,255),RIGHT('Disaggregation Records'!$D$152:$D$513,255),0))="","",INDEX('Disaggregation Records'!$E$152:$E$513,MATCH(RIGHT(L1219,255),RIGHT('Disaggregation Records'!$D$152:$D$513,255),0))),"")</f>
        <v/>
      </c>
      <c r="N1219" s="130" t="str">
        <f t="array" ref="N1219">IFERROR(IF(INDEX('Disaggregation Records'!$F$152:$F$513,MATCH(RIGHT(L1219,255),RIGHT('Disaggregation Records'!$D$152:$D$513,255),0))="","",INDEX('Disaggregation Records'!$F$152:$F$513,MATCH(RIGHT(L1219,255),RIGHT('Disaggregation Records'!$D$152:$D$513,255),0))),"")</f>
        <v/>
      </c>
      <c r="O1219" s="130" t="str">
        <f t="array" ref="O1219">IFERROR(IF(INDEX('Disaggregation Records'!$H$152:$H$513,MATCH(RIGHT(L1219,255),RIGHT('Disaggregation Records'!$D$152:$D$513,255),0))="","",INDEX('Disaggregation Records'!$H$152:$H$513,MATCH(RIGHT(L1219,255),RIGHT('Disaggregation Records'!$D$152:$D$513,255),0))),"")</f>
        <v/>
      </c>
      <c r="Q1219" s="52">
        <f t="shared" ref="Q1219" si="1406">Q1217+1</f>
        <v>1794</v>
      </c>
    </row>
    <row r="1220" spans="1:17" ht="20.100000000000001" customHeight="1" x14ac:dyDescent="0.25">
      <c r="B1220" s="602"/>
      <c r="C1220" s="604"/>
      <c r="D1220" s="606"/>
      <c r="E1220" s="606"/>
      <c r="F1220" s="132"/>
      <c r="G1220" s="608"/>
      <c r="H1220" s="598"/>
      <c r="I1220" s="600"/>
      <c r="J1220" s="532"/>
      <c r="L1220" s="130"/>
      <c r="N1220" s="130"/>
      <c r="O1220" s="130"/>
    </row>
    <row r="1221" spans="1:17" ht="35.25" customHeight="1" x14ac:dyDescent="0.25">
      <c r="A1221" s="130" t="str">
        <f t="shared" ca="1" si="1385"/>
        <v>a16Dm000000LZeMIAW</v>
      </c>
      <c r="B1221" s="601">
        <v>16</v>
      </c>
      <c r="C1221" s="603" t="str">
        <f>IFERROR(VLOOKUP(B1221,'Coverage Indicators - Section D'!$A$9:$AO$70,41,FALSE),"")</f>
        <v>HTS-5 Percentage of people newly diagnosed with HIV initiated on ART</v>
      </c>
      <c r="D1221" s="605" t="str">
        <f>M1221</f>
        <v>Age</v>
      </c>
      <c r="E1221" s="605" t="str">
        <f>N1221</f>
        <v>15+</v>
      </c>
      <c r="F1221" s="131">
        <v>878</v>
      </c>
      <c r="G1221" s="607">
        <f ca="1">IF(OR(INDIRECT("'update Helper'!E"&amp;Q1221)="",F1221&lt;&gt;0,F1222&lt;&gt;0),IF(IFERROR((F1221/F1222),"")="","",(F1221/F1222)),INDIRECT("'update Helper'!E"&amp;Q1221)/100)</f>
        <v>0.92130115424973769</v>
      </c>
      <c r="H1221" s="597">
        <v>2022</v>
      </c>
      <c r="I1221" s="599" t="s">
        <v>2201</v>
      </c>
      <c r="J1221" s="531" t="s">
        <v>2254</v>
      </c>
      <c r="K1221" s="130">
        <f>IF(AND(EXACT(C1221,C1219),C1219&lt;&gt;0),K1219+1,0)</f>
        <v>0</v>
      </c>
      <c r="L1221" s="130" t="str">
        <f t="shared" ref="L1221" si="1407">IF(C1221&lt;&gt;"",C1221&amp;"-"&amp;K1221,"")</f>
        <v>HTS-5 Percentage of people newly diagnosed with HIV initiated on ART-0</v>
      </c>
      <c r="M1221" s="130" t="str">
        <f t="array" ref="M1221">IFERROR(IF(INDEX('Disaggregation Records'!$E$152:$E$513,MATCH(RIGHT(L1221,255),RIGHT('Disaggregation Records'!$D$152:$D$513,255),0))="","",INDEX('Disaggregation Records'!$E$152:$E$513,MATCH(RIGHT(L1221,255),RIGHT('Disaggregation Records'!$D$152:$D$513,255),0))),"")</f>
        <v>Age</v>
      </c>
      <c r="N1221" s="130" t="str">
        <f t="array" ref="N1221">IFERROR(IF(INDEX('Disaggregation Records'!$F$152:$F$513,MATCH(RIGHT(L1221,255),RIGHT('Disaggregation Records'!$D$152:$D$513,255),0))="","",INDEX('Disaggregation Records'!$F$152:$F$513,MATCH(RIGHT(L1221,255),RIGHT('Disaggregation Records'!$D$152:$D$513,255),0))),"")</f>
        <v>15+</v>
      </c>
      <c r="O1221" s="130" t="str">
        <f t="array" ref="O1221">IFERROR(IF(INDEX('Disaggregation Records'!$H$152:$H$513,MATCH(RIGHT(L1221,255),RIGHT('Disaggregation Records'!$D$152:$D$513,255),0))="","",INDEX('Disaggregation Records'!$H$152:$H$513,MATCH(RIGHT(L1221,255),RIGHT('Disaggregation Records'!$D$152:$D$513,255),0))),"")</f>
        <v>IDR-01296</v>
      </c>
      <c r="P1221" s="130"/>
      <c r="Q1221" s="52">
        <f t="shared" ref="Q1221" si="1408">Q1219+1</f>
        <v>1795</v>
      </c>
    </row>
    <row r="1222" spans="1:17" ht="37.5" customHeight="1" x14ac:dyDescent="0.25">
      <c r="A1222" s="130"/>
      <c r="B1222" s="602"/>
      <c r="C1222" s="604"/>
      <c r="D1222" s="606"/>
      <c r="E1222" s="606"/>
      <c r="F1222" s="132">
        <v>953</v>
      </c>
      <c r="G1222" s="608"/>
      <c r="H1222" s="598"/>
      <c r="I1222" s="600"/>
      <c r="J1222" s="532"/>
      <c r="K1222" s="130"/>
      <c r="L1222" s="130"/>
      <c r="M1222" s="130"/>
      <c r="N1222" s="130"/>
      <c r="O1222" s="130"/>
      <c r="P1222" s="130"/>
    </row>
    <row r="1223" spans="1:17" ht="46.5" customHeight="1" x14ac:dyDescent="0.25">
      <c r="A1223" s="130" t="str">
        <f t="shared" ca="1" si="1388"/>
        <v>a16Dm000000LZeNIAW</v>
      </c>
      <c r="B1223" s="601">
        <v>16</v>
      </c>
      <c r="C1223" s="603" t="str">
        <f>IFERROR(VLOOKUP(B1223,'Coverage Indicators - Section D'!$A$9:$AO$70,41,FALSE),"")</f>
        <v>HTS-5 Percentage of people newly diagnosed with HIV initiated on ART</v>
      </c>
      <c r="D1223" s="605" t="str">
        <f>M1223</f>
        <v>Age</v>
      </c>
      <c r="E1223" s="605" t="str">
        <f>N1223</f>
        <v>&lt;15</v>
      </c>
      <c r="F1223" s="131">
        <v>16</v>
      </c>
      <c r="G1223" s="607">
        <f ca="1">IF(OR(INDIRECT("'update Helper'!E"&amp;Q1223)="",F1223&lt;&gt;0,F1224&lt;&gt;0),IF(IFERROR((F1223/F1224),"")="","",(F1223/F1224)),INDIRECT("'update Helper'!E"&amp;Q1223)/100)</f>
        <v>0.88888888888888884</v>
      </c>
      <c r="H1223" s="597">
        <v>2022</v>
      </c>
      <c r="I1223" s="599" t="s">
        <v>2201</v>
      </c>
      <c r="J1223" s="531" t="s">
        <v>2254</v>
      </c>
      <c r="K1223" s="130">
        <f>IF(AND(EXACT(C1223,C1221),C1221&lt;&gt;0),K1221+1,0)</f>
        <v>1</v>
      </c>
      <c r="L1223" s="130" t="str">
        <f t="shared" ref="L1223" si="1409">IF(C1223&lt;&gt;"",C1223&amp;"-"&amp;K1223,"")</f>
        <v>HTS-5 Percentage of people newly diagnosed with HIV initiated on ART-1</v>
      </c>
      <c r="M1223" s="130" t="str">
        <f t="array" ref="M1223">IFERROR(IF(INDEX('Disaggregation Records'!$E$152:$E$513,MATCH(RIGHT(L1223,255),RIGHT('Disaggregation Records'!$D$152:$D$513,255),0))="","",INDEX('Disaggregation Records'!$E$152:$E$513,MATCH(RIGHT(L1223,255),RIGHT('Disaggregation Records'!$D$152:$D$513,255),0))),"")</f>
        <v>Age</v>
      </c>
      <c r="N1223" s="130" t="str">
        <f t="array" ref="N1223">IFERROR(IF(INDEX('Disaggregation Records'!$F$152:$F$513,MATCH(RIGHT(L1223,255),RIGHT('Disaggregation Records'!$D$152:$D$513,255),0))="","",INDEX('Disaggregation Records'!$F$152:$F$513,MATCH(RIGHT(L1223,255),RIGHT('Disaggregation Records'!$D$152:$D$513,255),0))),"")</f>
        <v>&lt;15</v>
      </c>
      <c r="O1223" s="130" t="str">
        <f t="array" ref="O1223">IFERROR(IF(INDEX('Disaggregation Records'!$H$152:$H$513,MATCH(RIGHT(L1223,255),RIGHT('Disaggregation Records'!$D$152:$D$513,255),0))="","",INDEX('Disaggregation Records'!$H$152:$H$513,MATCH(RIGHT(L1223,255),RIGHT('Disaggregation Records'!$D$152:$D$513,255),0))),"")</f>
        <v>IDR-01295</v>
      </c>
      <c r="P1223" s="130"/>
      <c r="Q1223" s="52">
        <f t="shared" ref="Q1223" si="1410">Q1221+1</f>
        <v>1796</v>
      </c>
    </row>
    <row r="1224" spans="1:17" ht="30.75" customHeight="1" x14ac:dyDescent="0.25">
      <c r="B1224" s="602"/>
      <c r="C1224" s="604"/>
      <c r="D1224" s="606"/>
      <c r="E1224" s="606"/>
      <c r="F1224" s="132">
        <v>18</v>
      </c>
      <c r="G1224" s="608"/>
      <c r="H1224" s="598"/>
      <c r="I1224" s="600"/>
      <c r="J1224" s="532"/>
      <c r="K1224" s="130"/>
      <c r="L1224" s="130"/>
      <c r="M1224" s="130"/>
      <c r="N1224" s="130"/>
      <c r="O1224" s="130"/>
      <c r="P1224" s="130"/>
    </row>
    <row r="1225" spans="1:17" ht="20.100000000000001" customHeight="1" x14ac:dyDescent="0.25">
      <c r="A1225" s="130" t="str">
        <f t="shared" ca="1" si="1385"/>
        <v>a16Dm000000LZeOIAW</v>
      </c>
      <c r="B1225" s="601">
        <v>16</v>
      </c>
      <c r="C1225" s="603" t="str">
        <f>IFERROR(VLOOKUP(B1225,'Coverage Indicators - Section D'!$A$9:$AO$70,41,FALSE),"")</f>
        <v>HTS-5 Percentage of people newly diagnosed with HIV initiated on ART</v>
      </c>
      <c r="D1225" s="605" t="str">
        <f>M1225</f>
        <v>Gender | Age</v>
      </c>
      <c r="E1225" s="605" t="str">
        <f>N1225</f>
        <v>Male 15+</v>
      </c>
      <c r="F1225" s="131">
        <v>527</v>
      </c>
      <c r="G1225" s="607">
        <f ca="1">IF(OR(INDIRECT("'update Helper'!E"&amp;Q1225)="",F1225&lt;&gt;0,F1226&lt;&gt;0),IF(IFERROR((F1225/F1226),"")="","",(F1225/F1226)),INDIRECT("'update Helper'!E"&amp;Q1225)/100)</f>
        <v>0.91811846689895471</v>
      </c>
      <c r="H1225" s="597">
        <v>2022</v>
      </c>
      <c r="I1225" s="599" t="s">
        <v>2201</v>
      </c>
      <c r="J1225" s="531" t="s">
        <v>2254</v>
      </c>
      <c r="K1225" s="130">
        <f>IF(AND(EXACT(C1225,C1223),C1223&lt;&gt;0),K1223+1,0)</f>
        <v>2</v>
      </c>
      <c r="L1225" s="130" t="str">
        <f t="shared" ref="L1225" si="1411">IF(C1225&lt;&gt;"",C1225&amp;"-"&amp;K1225,"")</f>
        <v>HTS-5 Percentage of people newly diagnosed with HIV initiated on ART-2</v>
      </c>
      <c r="M1225" s="130" t="str">
        <f t="array" ref="M1225">IFERROR(IF(INDEX('Disaggregation Records'!$E$152:$E$513,MATCH(RIGHT(L1225,255),RIGHT('Disaggregation Records'!$D$152:$D$513,255),0))="","",INDEX('Disaggregation Records'!$E$152:$E$513,MATCH(RIGHT(L1225,255),RIGHT('Disaggregation Records'!$D$152:$D$513,255),0))),"")</f>
        <v>Gender | Age</v>
      </c>
      <c r="N1225" s="130" t="str">
        <f t="array" ref="N1225">IFERROR(IF(INDEX('Disaggregation Records'!$F$152:$F$513,MATCH(RIGHT(L1225,255),RIGHT('Disaggregation Records'!$D$152:$D$513,255),0))="","",INDEX('Disaggregation Records'!$F$152:$F$513,MATCH(RIGHT(L1225,255),RIGHT('Disaggregation Records'!$D$152:$D$513,255),0))),"")</f>
        <v>Male 15+</v>
      </c>
      <c r="O1225" s="130" t="str">
        <f t="array" ref="O1225">IFERROR(IF(INDEX('Disaggregation Records'!$H$152:$H$513,MATCH(RIGHT(L1225,255),RIGHT('Disaggregation Records'!$D$152:$D$513,255),0))="","",INDEX('Disaggregation Records'!$H$152:$H$513,MATCH(RIGHT(L1225,255),RIGHT('Disaggregation Records'!$D$152:$D$513,255),0))),"")</f>
        <v>IDR-01294</v>
      </c>
      <c r="Q1225" s="52">
        <f t="shared" ref="Q1225" si="1412">Q1223+1</f>
        <v>1797</v>
      </c>
    </row>
    <row r="1226" spans="1:17" ht="28.5" customHeight="1" x14ac:dyDescent="0.25">
      <c r="A1226" s="130"/>
      <c r="B1226" s="602"/>
      <c r="C1226" s="604"/>
      <c r="D1226" s="606"/>
      <c r="E1226" s="606"/>
      <c r="F1226" s="132">
        <v>574</v>
      </c>
      <c r="G1226" s="608"/>
      <c r="H1226" s="598"/>
      <c r="I1226" s="600"/>
      <c r="J1226" s="532"/>
      <c r="L1226" s="130"/>
      <c r="N1226" s="130"/>
      <c r="O1226" s="130"/>
    </row>
    <row r="1227" spans="1:17" ht="36.75" customHeight="1" x14ac:dyDescent="0.25">
      <c r="A1227" s="130" t="str">
        <f t="shared" ca="1" si="1388"/>
        <v>a16Dm000000LZePIAW</v>
      </c>
      <c r="B1227" s="601">
        <v>16</v>
      </c>
      <c r="C1227" s="603" t="str">
        <f>IFERROR(VLOOKUP(B1227,'Coverage Indicators - Section D'!$A$9:$AO$70,41,FALSE),"")</f>
        <v>HTS-5 Percentage of people newly diagnosed with HIV initiated on ART</v>
      </c>
      <c r="D1227" s="605" t="str">
        <f>M1227</f>
        <v>Gender | Age</v>
      </c>
      <c r="E1227" s="605" t="str">
        <f>N1227</f>
        <v>Female 15+</v>
      </c>
      <c r="F1227" s="131">
        <v>351</v>
      </c>
      <c r="G1227" s="607">
        <f ca="1">IF(OR(INDIRECT("'update Helper'!E"&amp;Q1227)="",F1227&lt;&gt;0,F1228&lt;&gt;0),IF(IFERROR((F1227/F1228),"")="","",(F1227/F1228)),INDIRECT("'update Helper'!E"&amp;Q1227)/100)</f>
        <v>0.92612137203166223</v>
      </c>
      <c r="H1227" s="597">
        <v>2022</v>
      </c>
      <c r="I1227" s="599" t="s">
        <v>2201</v>
      </c>
      <c r="J1227" s="531" t="s">
        <v>2254</v>
      </c>
      <c r="K1227" s="130">
        <f>IF(AND(EXACT(C1227,C1225),C1225&lt;&gt;0),K1225+1,0)</f>
        <v>3</v>
      </c>
      <c r="L1227" s="130" t="str">
        <f t="shared" ref="L1227" si="1413">IF(C1227&lt;&gt;"",C1227&amp;"-"&amp;K1227,"")</f>
        <v>HTS-5 Percentage of people newly diagnosed with HIV initiated on ART-3</v>
      </c>
      <c r="M1227" s="130" t="str">
        <f t="array" ref="M1227">IFERROR(IF(INDEX('Disaggregation Records'!$E$152:$E$513,MATCH(RIGHT(L1227,255),RIGHT('Disaggregation Records'!$D$152:$D$513,255),0))="","",INDEX('Disaggregation Records'!$E$152:$E$513,MATCH(RIGHT(L1227,255),RIGHT('Disaggregation Records'!$D$152:$D$513,255),0))),"")</f>
        <v>Gender | Age</v>
      </c>
      <c r="N1227" s="130" t="str">
        <f t="array" ref="N1227">IFERROR(IF(INDEX('Disaggregation Records'!$F$152:$F$513,MATCH(RIGHT(L1227,255),RIGHT('Disaggregation Records'!$D$152:$D$513,255),0))="","",INDEX('Disaggregation Records'!$F$152:$F$513,MATCH(RIGHT(L1227,255),RIGHT('Disaggregation Records'!$D$152:$D$513,255),0))),"")</f>
        <v>Female 15+</v>
      </c>
      <c r="O1227" s="130" t="str">
        <f t="array" ref="O1227">IFERROR(IF(INDEX('Disaggregation Records'!$H$152:$H$513,MATCH(RIGHT(L1227,255),RIGHT('Disaggregation Records'!$D$152:$D$513,255),0))="","",INDEX('Disaggregation Records'!$H$152:$H$513,MATCH(RIGHT(L1227,255),RIGHT('Disaggregation Records'!$D$152:$D$513,255),0))),"")</f>
        <v>IDR-01293</v>
      </c>
      <c r="Q1227" s="52">
        <f t="shared" ref="Q1227" si="1414">Q1225+1</f>
        <v>1798</v>
      </c>
    </row>
    <row r="1228" spans="1:17" ht="38.25" customHeight="1" x14ac:dyDescent="0.25">
      <c r="B1228" s="602"/>
      <c r="C1228" s="604"/>
      <c r="D1228" s="606"/>
      <c r="E1228" s="606"/>
      <c r="F1228" s="132">
        <v>379</v>
      </c>
      <c r="G1228" s="608"/>
      <c r="H1228" s="598"/>
      <c r="I1228" s="600"/>
      <c r="J1228" s="532"/>
      <c r="L1228" s="130"/>
      <c r="N1228" s="130"/>
      <c r="O1228" s="130"/>
    </row>
    <row r="1229" spans="1:17" ht="20.100000000000001" customHeight="1" x14ac:dyDescent="0.25">
      <c r="A1229" s="130" t="str">
        <f t="shared" ca="1" si="1385"/>
        <v>a16Dm000000LZeQIAW</v>
      </c>
      <c r="B1229" s="601">
        <v>16</v>
      </c>
      <c r="C1229" s="603" t="str">
        <f>IFERROR(VLOOKUP(B1229,'Coverage Indicators - Section D'!$A$9:$AO$70,41,FALSE),"")</f>
        <v>HTS-5 Percentage of people newly diagnosed with HIV initiated on ART</v>
      </c>
      <c r="D1229" s="605" t="str">
        <f>M1229</f>
        <v/>
      </c>
      <c r="E1229" s="605" t="str">
        <f>N1229</f>
        <v/>
      </c>
      <c r="F1229" s="131"/>
      <c r="G1229" s="607" t="str">
        <f ca="1">IF(OR(INDIRECT("'update Helper'!E"&amp;Q1229)="",F1229&lt;&gt;0,F1230&lt;&gt;0),IF(IFERROR((F1229/F1230),"")="","",(F1229/F1230)),INDIRECT("'update Helper'!E"&amp;Q1229)/100)</f>
        <v/>
      </c>
      <c r="H1229" s="597">
        <v>2022</v>
      </c>
      <c r="I1229" s="599" t="s">
        <v>2247</v>
      </c>
      <c r="J1229" s="531"/>
      <c r="K1229" s="130">
        <f>IF(AND(EXACT(C1229,C1227),C1227&lt;&gt;0),K1227+1,0)</f>
        <v>4</v>
      </c>
      <c r="L1229" s="130" t="str">
        <f t="shared" ref="L1229" si="1415">IF(C1229&lt;&gt;"",C1229&amp;"-"&amp;K1229,"")</f>
        <v>HTS-5 Percentage of people newly diagnosed with HIV initiated on ART-4</v>
      </c>
      <c r="M1229" s="130" t="str">
        <f t="array" ref="M1229">IFERROR(IF(INDEX('Disaggregation Records'!$E$152:$E$513,MATCH(RIGHT(L1229,255),RIGHT('Disaggregation Records'!$D$152:$D$513,255),0))="","",INDEX('Disaggregation Records'!$E$152:$E$513,MATCH(RIGHT(L1229,255),RIGHT('Disaggregation Records'!$D$152:$D$513,255),0))),"")</f>
        <v/>
      </c>
      <c r="N1229" s="130" t="str">
        <f t="array" ref="N1229">IFERROR(IF(INDEX('Disaggregation Records'!$F$152:$F$513,MATCH(RIGHT(L1229,255),RIGHT('Disaggregation Records'!$D$152:$D$513,255),0))="","",INDEX('Disaggregation Records'!$F$152:$F$513,MATCH(RIGHT(L1229,255),RIGHT('Disaggregation Records'!$D$152:$D$513,255),0))),"")</f>
        <v/>
      </c>
      <c r="O1229" s="130" t="str">
        <f t="array" ref="O1229">IFERROR(IF(INDEX('Disaggregation Records'!$H$152:$H$513,MATCH(RIGHT(L1229,255),RIGHT('Disaggregation Records'!$D$152:$D$513,255),0))="","",INDEX('Disaggregation Records'!$H$152:$H$513,MATCH(RIGHT(L1229,255),RIGHT('Disaggregation Records'!$D$152:$D$513,255),0))),"")</f>
        <v/>
      </c>
      <c r="Q1229" s="52">
        <f t="shared" ref="Q1229" si="1416">Q1227+1</f>
        <v>1799</v>
      </c>
    </row>
    <row r="1230" spans="1:17" ht="20.100000000000001" customHeight="1" x14ac:dyDescent="0.25">
      <c r="A1230" s="130"/>
      <c r="B1230" s="602"/>
      <c r="C1230" s="604"/>
      <c r="D1230" s="606"/>
      <c r="E1230" s="606"/>
      <c r="F1230" s="132"/>
      <c r="G1230" s="608"/>
      <c r="H1230" s="598"/>
      <c r="I1230" s="600"/>
      <c r="J1230" s="532"/>
      <c r="L1230" s="130"/>
      <c r="N1230" s="130"/>
      <c r="O1230" s="130"/>
    </row>
    <row r="1231" spans="1:17" ht="20.100000000000001" customHeight="1" x14ac:dyDescent="0.25">
      <c r="A1231" s="130" t="str">
        <f t="shared" ca="1" si="1388"/>
        <v>a16Dm000000LZeRIAW</v>
      </c>
      <c r="B1231" s="601">
        <v>16</v>
      </c>
      <c r="C1231" s="603" t="str">
        <f>IFERROR(VLOOKUP(B1231,'Coverage Indicators - Section D'!$A$9:$AO$70,41,FALSE),"")</f>
        <v>HTS-5 Percentage of people newly diagnosed with HIV initiated on ART</v>
      </c>
      <c r="D1231" s="605" t="str">
        <f>M1231</f>
        <v/>
      </c>
      <c r="E1231" s="605" t="str">
        <f>N1231</f>
        <v/>
      </c>
      <c r="F1231" s="131"/>
      <c r="G1231" s="607" t="str">
        <f ca="1">IF(OR(INDIRECT("'update Helper'!E"&amp;Q1231)="",F1231&lt;&gt;0,F1232&lt;&gt;0),IF(IFERROR((F1231/F1232),"")="","",(F1231/F1232)),INDIRECT("'update Helper'!E"&amp;Q1231)/100)</f>
        <v/>
      </c>
      <c r="H1231" s="597"/>
      <c r="I1231" s="599"/>
      <c r="J1231" s="531"/>
      <c r="K1231" s="130">
        <f>IF(AND(EXACT(C1231,C1229),C1229&lt;&gt;0),K1229+1,0)</f>
        <v>5</v>
      </c>
      <c r="L1231" s="130" t="str">
        <f t="shared" ref="L1231" si="1417">IF(C1231&lt;&gt;"",C1231&amp;"-"&amp;K1231,"")</f>
        <v>HTS-5 Percentage of people newly diagnosed with HIV initiated on ART-5</v>
      </c>
      <c r="M1231" s="130" t="str">
        <f t="array" ref="M1231">IFERROR(IF(INDEX('Disaggregation Records'!$E$152:$E$513,MATCH(RIGHT(L1231,255),RIGHT('Disaggregation Records'!$D$152:$D$513,255),0))="","",INDEX('Disaggregation Records'!$E$152:$E$513,MATCH(RIGHT(L1231,255),RIGHT('Disaggregation Records'!$D$152:$D$513,255),0))),"")</f>
        <v/>
      </c>
      <c r="N1231" s="130" t="str">
        <f t="array" ref="N1231">IFERROR(IF(INDEX('Disaggregation Records'!$F$152:$F$513,MATCH(RIGHT(L1231,255),RIGHT('Disaggregation Records'!$D$152:$D$513,255),0))="","",INDEX('Disaggregation Records'!$F$152:$F$513,MATCH(RIGHT(L1231,255),RIGHT('Disaggregation Records'!$D$152:$D$513,255),0))),"")</f>
        <v/>
      </c>
      <c r="O1231" s="130" t="str">
        <f t="array" ref="O1231">IFERROR(IF(INDEX('Disaggregation Records'!$H$152:$H$513,MATCH(RIGHT(L1231,255),RIGHT('Disaggregation Records'!$D$152:$D$513,255),0))="","",INDEX('Disaggregation Records'!$H$152:$H$513,MATCH(RIGHT(L1231,255),RIGHT('Disaggregation Records'!$D$152:$D$513,255),0))),"")</f>
        <v/>
      </c>
      <c r="P1231" s="130"/>
      <c r="Q1231" s="52">
        <f t="shared" ref="Q1231" si="1418">Q1229+1</f>
        <v>1800</v>
      </c>
    </row>
    <row r="1232" spans="1:17" ht="20.100000000000001" customHeight="1" x14ac:dyDescent="0.25">
      <c r="B1232" s="602"/>
      <c r="C1232" s="604"/>
      <c r="D1232" s="606"/>
      <c r="E1232" s="606"/>
      <c r="F1232" s="132"/>
      <c r="G1232" s="608"/>
      <c r="H1232" s="598"/>
      <c r="I1232" s="600"/>
      <c r="J1232" s="532"/>
      <c r="K1232" s="130"/>
      <c r="L1232" s="130"/>
      <c r="M1232" s="130"/>
      <c r="N1232" s="130"/>
      <c r="O1232" s="130"/>
      <c r="P1232" s="130"/>
    </row>
    <row r="1233" spans="1:17" ht="20.100000000000001" customHeight="1" x14ac:dyDescent="0.25">
      <c r="A1233" s="130" t="str">
        <f t="shared" ca="1" si="1385"/>
        <v>a16Dm000000LZeSIAW</v>
      </c>
      <c r="B1233" s="601">
        <v>16</v>
      </c>
      <c r="C1233" s="603" t="str">
        <f>IFERROR(VLOOKUP(B1233,'Coverage Indicators - Section D'!$A$9:$AO$70,41,FALSE),"")</f>
        <v>HTS-5 Percentage of people newly diagnosed with HIV initiated on ART</v>
      </c>
      <c r="D1233" s="605" t="str">
        <f>M1233</f>
        <v/>
      </c>
      <c r="E1233" s="605" t="str">
        <f>N1233</f>
        <v/>
      </c>
      <c r="F1233" s="131"/>
      <c r="G1233" s="607" t="str">
        <f ca="1">IF(OR(INDIRECT("'update Helper'!E"&amp;Q1233)="",F1233&lt;&gt;0,F1234&lt;&gt;0),IF(IFERROR((F1233/F1234),"")="","",(F1233/F1234)),INDIRECT("'update Helper'!E"&amp;Q1233)/100)</f>
        <v/>
      </c>
      <c r="H1233" s="597"/>
      <c r="I1233" s="599"/>
      <c r="J1233" s="531"/>
      <c r="K1233" s="130">
        <f>IF(AND(EXACT(C1233,C1231),C1231&lt;&gt;0),K1231+1,0)</f>
        <v>6</v>
      </c>
      <c r="L1233" s="130" t="str">
        <f t="shared" ref="L1233" si="1419">IF(C1233&lt;&gt;"",C1233&amp;"-"&amp;K1233,"")</f>
        <v>HTS-5 Percentage of people newly diagnosed with HIV initiated on ART-6</v>
      </c>
      <c r="M1233" s="130" t="str">
        <f t="array" ref="M1233">IFERROR(IF(INDEX('Disaggregation Records'!$E$152:$E$513,MATCH(RIGHT(L1233,255),RIGHT('Disaggregation Records'!$D$152:$D$513,255),0))="","",INDEX('Disaggregation Records'!$E$152:$E$513,MATCH(RIGHT(L1233,255),RIGHT('Disaggregation Records'!$D$152:$D$513,255),0))),"")</f>
        <v/>
      </c>
      <c r="N1233" s="130" t="str">
        <f t="array" ref="N1233">IFERROR(IF(INDEX('Disaggregation Records'!$F$152:$F$513,MATCH(RIGHT(L1233,255),RIGHT('Disaggregation Records'!$D$152:$D$513,255),0))="","",INDEX('Disaggregation Records'!$F$152:$F$513,MATCH(RIGHT(L1233,255),RIGHT('Disaggregation Records'!$D$152:$D$513,255),0))),"")</f>
        <v/>
      </c>
      <c r="O1233" s="130" t="str">
        <f t="array" ref="O1233">IFERROR(IF(INDEX('Disaggregation Records'!$H$152:$H$513,MATCH(RIGHT(L1233,255),RIGHT('Disaggregation Records'!$D$152:$D$513,255),0))="","",INDEX('Disaggregation Records'!$H$152:$H$513,MATCH(RIGHT(L1233,255),RIGHT('Disaggregation Records'!$D$152:$D$513,255),0))),"")</f>
        <v/>
      </c>
      <c r="P1233" s="130"/>
      <c r="Q1233" s="52">
        <f t="shared" ref="Q1233" si="1420">Q1231+1</f>
        <v>1801</v>
      </c>
    </row>
    <row r="1234" spans="1:17" ht="20.100000000000001" customHeight="1" x14ac:dyDescent="0.25">
      <c r="A1234" s="130"/>
      <c r="B1234" s="602"/>
      <c r="C1234" s="604"/>
      <c r="D1234" s="606"/>
      <c r="E1234" s="606"/>
      <c r="F1234" s="132"/>
      <c r="G1234" s="608"/>
      <c r="H1234" s="598"/>
      <c r="I1234" s="600"/>
      <c r="J1234" s="532"/>
      <c r="K1234" s="130"/>
      <c r="L1234" s="130"/>
      <c r="M1234" s="130"/>
      <c r="N1234" s="130"/>
      <c r="O1234" s="130"/>
      <c r="P1234" s="130"/>
    </row>
    <row r="1235" spans="1:17" ht="20.100000000000001" customHeight="1" x14ac:dyDescent="0.25">
      <c r="A1235" s="130" t="str">
        <f t="shared" ca="1" si="1388"/>
        <v>a16Dm000000LZeTIAW</v>
      </c>
      <c r="B1235" s="601">
        <v>16</v>
      </c>
      <c r="C1235" s="603" t="str">
        <f>IFERROR(VLOOKUP(B1235,'Coverage Indicators - Section D'!$A$9:$AO$70,41,FALSE),"")</f>
        <v>HTS-5 Percentage of people newly diagnosed with HIV initiated on ART</v>
      </c>
      <c r="D1235" s="605" t="str">
        <f>M1235</f>
        <v/>
      </c>
      <c r="E1235" s="605" t="str">
        <f>N1235</f>
        <v/>
      </c>
      <c r="F1235" s="131"/>
      <c r="G1235" s="607" t="str">
        <f ca="1">IF(OR(INDIRECT("'update Helper'!E"&amp;Q1235)="",F1235&lt;&gt;0,F1236&lt;&gt;0),IF(IFERROR((F1235/F1236),"")="","",(F1235/F1236)),INDIRECT("'update Helper'!E"&amp;Q1235)/100)</f>
        <v/>
      </c>
      <c r="H1235" s="597"/>
      <c r="I1235" s="599"/>
      <c r="J1235" s="531"/>
      <c r="K1235" s="130">
        <f>IF(AND(EXACT(C1235,C1233),C1233&lt;&gt;0),K1233+1,0)</f>
        <v>7</v>
      </c>
      <c r="L1235" s="130" t="str">
        <f t="shared" ref="L1235" si="1421">IF(C1235&lt;&gt;"",C1235&amp;"-"&amp;K1235,"")</f>
        <v>HTS-5 Percentage of people newly diagnosed with HIV initiated on ART-7</v>
      </c>
      <c r="M1235" s="130" t="str">
        <f t="array" ref="M1235">IFERROR(IF(INDEX('Disaggregation Records'!$E$152:$E$513,MATCH(RIGHT(L1235,255),RIGHT('Disaggregation Records'!$D$152:$D$513,255),0))="","",INDEX('Disaggregation Records'!$E$152:$E$513,MATCH(RIGHT(L1235,255),RIGHT('Disaggregation Records'!$D$152:$D$513,255),0))),"")</f>
        <v/>
      </c>
      <c r="N1235" s="130" t="str">
        <f t="array" ref="N1235">IFERROR(IF(INDEX('Disaggregation Records'!$F$152:$F$513,MATCH(RIGHT(L1235,255),RIGHT('Disaggregation Records'!$D$152:$D$513,255),0))="","",INDEX('Disaggregation Records'!$F$152:$F$513,MATCH(RIGHT(L1235,255),RIGHT('Disaggregation Records'!$D$152:$D$513,255),0))),"")</f>
        <v/>
      </c>
      <c r="O1235" s="130" t="str">
        <f t="array" ref="O1235">IFERROR(IF(INDEX('Disaggregation Records'!$H$152:$H$513,MATCH(RIGHT(L1235,255),RIGHT('Disaggregation Records'!$D$152:$D$513,255),0))="","",INDEX('Disaggregation Records'!$H$152:$H$513,MATCH(RIGHT(L1235,255),RIGHT('Disaggregation Records'!$D$152:$D$513,255),0))),"")</f>
        <v/>
      </c>
      <c r="Q1235" s="52">
        <f t="shared" ref="Q1235" si="1422">Q1233+1</f>
        <v>1802</v>
      </c>
    </row>
    <row r="1236" spans="1:17" ht="20.100000000000001" customHeight="1" x14ac:dyDescent="0.25">
      <c r="B1236" s="602"/>
      <c r="C1236" s="604"/>
      <c r="D1236" s="606"/>
      <c r="E1236" s="606"/>
      <c r="F1236" s="132"/>
      <c r="G1236" s="608"/>
      <c r="H1236" s="598"/>
      <c r="I1236" s="600"/>
      <c r="J1236" s="532"/>
      <c r="L1236" s="130"/>
      <c r="N1236" s="130"/>
      <c r="O1236" s="130"/>
    </row>
    <row r="1237" spans="1:17" ht="20.100000000000001" customHeight="1" x14ac:dyDescent="0.25">
      <c r="A1237" s="130" t="str">
        <f t="shared" ca="1" si="1385"/>
        <v>a16Dm000000LZeUIAW</v>
      </c>
      <c r="B1237" s="601">
        <v>16</v>
      </c>
      <c r="C1237" s="603" t="str">
        <f>IFERROR(VLOOKUP(B1237,'Coverage Indicators - Section D'!$A$9:$AO$70,41,FALSE),"")</f>
        <v>HTS-5 Percentage of people newly diagnosed with HIV initiated on ART</v>
      </c>
      <c r="D1237" s="605" t="str">
        <f>M1237</f>
        <v/>
      </c>
      <c r="E1237" s="605" t="str">
        <f>N1237</f>
        <v/>
      </c>
      <c r="F1237" s="131"/>
      <c r="G1237" s="607" t="str">
        <f ca="1">IF(OR(INDIRECT("'update Helper'!E"&amp;Q1237)="",F1237&lt;&gt;0,F1238&lt;&gt;0),IF(IFERROR((F1237/F1238),"")="","",(F1237/F1238)),INDIRECT("'update Helper'!E"&amp;Q1237)/100)</f>
        <v/>
      </c>
      <c r="H1237" s="597"/>
      <c r="I1237" s="599"/>
      <c r="J1237" s="531"/>
      <c r="K1237" s="130">
        <f>IF(AND(EXACT(C1237,C1235),C1235&lt;&gt;0),K1235+1,0)</f>
        <v>8</v>
      </c>
      <c r="L1237" s="130" t="str">
        <f t="shared" ref="L1237" si="1423">IF(C1237&lt;&gt;"",C1237&amp;"-"&amp;K1237,"")</f>
        <v>HTS-5 Percentage of people newly diagnosed with HIV initiated on ART-8</v>
      </c>
      <c r="M1237" s="130" t="str">
        <f t="array" ref="M1237">IFERROR(IF(INDEX('Disaggregation Records'!$E$152:$E$513,MATCH(RIGHT(L1237,255),RIGHT('Disaggregation Records'!$D$152:$D$513,255),0))="","",INDEX('Disaggregation Records'!$E$152:$E$513,MATCH(RIGHT(L1237,255),RIGHT('Disaggregation Records'!$D$152:$D$513,255),0))),"")</f>
        <v/>
      </c>
      <c r="N1237" s="130" t="str">
        <f t="array" ref="N1237">IFERROR(IF(INDEX('Disaggregation Records'!$F$152:$F$513,MATCH(RIGHT(L1237,255),RIGHT('Disaggregation Records'!$D$152:$D$513,255),0))="","",INDEX('Disaggregation Records'!$F$152:$F$513,MATCH(RIGHT(L1237,255),RIGHT('Disaggregation Records'!$D$152:$D$513,255),0))),"")</f>
        <v/>
      </c>
      <c r="O1237" s="130" t="str">
        <f t="array" ref="O1237">IFERROR(IF(INDEX('Disaggregation Records'!$H$152:$H$513,MATCH(RIGHT(L1237,255),RIGHT('Disaggregation Records'!$D$152:$D$513,255),0))="","",INDEX('Disaggregation Records'!$H$152:$H$513,MATCH(RIGHT(L1237,255),RIGHT('Disaggregation Records'!$D$152:$D$513,255),0))),"")</f>
        <v/>
      </c>
      <c r="Q1237" s="52">
        <f t="shared" ref="Q1237" si="1424">Q1235+1</f>
        <v>1803</v>
      </c>
    </row>
    <row r="1238" spans="1:17" ht="20.100000000000001" customHeight="1" x14ac:dyDescent="0.25">
      <c r="A1238" s="130"/>
      <c r="B1238" s="602"/>
      <c r="C1238" s="604"/>
      <c r="D1238" s="606"/>
      <c r="E1238" s="606"/>
      <c r="F1238" s="132"/>
      <c r="G1238" s="608"/>
      <c r="H1238" s="598"/>
      <c r="I1238" s="600"/>
      <c r="J1238" s="532"/>
      <c r="L1238" s="130"/>
      <c r="N1238" s="130"/>
      <c r="O1238" s="130"/>
    </row>
    <row r="1239" spans="1:17" ht="20.100000000000001" customHeight="1" x14ac:dyDescent="0.25">
      <c r="A1239" s="130" t="str">
        <f t="shared" ca="1" si="1388"/>
        <v>a16Dm000000LZeVIAW</v>
      </c>
      <c r="B1239" s="601">
        <v>16</v>
      </c>
      <c r="C1239" s="603" t="str">
        <f>IFERROR(VLOOKUP(B1239,'Coverage Indicators - Section D'!$A$9:$AO$70,41,FALSE),"")</f>
        <v>HTS-5 Percentage of people newly diagnosed with HIV initiated on ART</v>
      </c>
      <c r="D1239" s="605" t="str">
        <f>M1239</f>
        <v/>
      </c>
      <c r="E1239" s="605" t="str">
        <f>N1239</f>
        <v/>
      </c>
      <c r="F1239" s="131"/>
      <c r="G1239" s="607" t="str">
        <f ca="1">IF(OR(INDIRECT("'update Helper'!E"&amp;Q1239)="",F1239&lt;&gt;0,F1240&lt;&gt;0),IF(IFERROR((F1239/F1240),"")="","",(F1239/F1240)),INDIRECT("'update Helper'!E"&amp;Q1239)/100)</f>
        <v/>
      </c>
      <c r="H1239" s="597"/>
      <c r="I1239" s="599"/>
      <c r="J1239" s="531"/>
      <c r="K1239" s="130">
        <f>IF(AND(EXACT(C1239,C1237),C1237&lt;&gt;0),K1237+1,0)</f>
        <v>9</v>
      </c>
      <c r="L1239" s="130" t="str">
        <f t="shared" ref="L1239" si="1425">IF(C1239&lt;&gt;"",C1239&amp;"-"&amp;K1239,"")</f>
        <v>HTS-5 Percentage of people newly diagnosed with HIV initiated on ART-9</v>
      </c>
      <c r="M1239" s="130" t="str">
        <f t="array" ref="M1239">IFERROR(IF(INDEX('Disaggregation Records'!$E$152:$E$513,MATCH(RIGHT(L1239,255),RIGHT('Disaggregation Records'!$D$152:$D$513,255),0))="","",INDEX('Disaggregation Records'!$E$152:$E$513,MATCH(RIGHT(L1239,255),RIGHT('Disaggregation Records'!$D$152:$D$513,255),0))),"")</f>
        <v/>
      </c>
      <c r="N1239" s="130" t="str">
        <f t="array" ref="N1239">IFERROR(IF(INDEX('Disaggregation Records'!$F$152:$F$513,MATCH(RIGHT(L1239,255),RIGHT('Disaggregation Records'!$D$152:$D$513,255),0))="","",INDEX('Disaggregation Records'!$F$152:$F$513,MATCH(RIGHT(L1239,255),RIGHT('Disaggregation Records'!$D$152:$D$513,255),0))),"")</f>
        <v/>
      </c>
      <c r="O1239" s="130" t="str">
        <f t="array" ref="O1239">IFERROR(IF(INDEX('Disaggregation Records'!$H$152:$H$513,MATCH(RIGHT(L1239,255),RIGHT('Disaggregation Records'!$D$152:$D$513,255),0))="","",INDEX('Disaggregation Records'!$H$152:$H$513,MATCH(RIGHT(L1239,255),RIGHT('Disaggregation Records'!$D$152:$D$513,255),0))),"")</f>
        <v/>
      </c>
      <c r="Q1239" s="52">
        <f t="shared" ref="Q1239" si="1426">Q1237+1</f>
        <v>1804</v>
      </c>
    </row>
    <row r="1240" spans="1:17" ht="20.100000000000001" customHeight="1" x14ac:dyDescent="0.25">
      <c r="B1240" s="602"/>
      <c r="C1240" s="604"/>
      <c r="D1240" s="606"/>
      <c r="E1240" s="606"/>
      <c r="F1240" s="132"/>
      <c r="G1240" s="608"/>
      <c r="H1240" s="598"/>
      <c r="I1240" s="600"/>
      <c r="J1240" s="532"/>
      <c r="L1240" s="130"/>
      <c r="N1240" s="130"/>
      <c r="O1240" s="130"/>
    </row>
    <row r="1241" spans="1:17" ht="20.100000000000001" customHeight="1" x14ac:dyDescent="0.25">
      <c r="A1241" s="130" t="str">
        <f t="shared" ca="1" si="1385"/>
        <v>a16Dm000000LZeWIAW</v>
      </c>
      <c r="B1241" s="601">
        <v>16</v>
      </c>
      <c r="C1241" s="603" t="str">
        <f>IFERROR(VLOOKUP(B1241,'Coverage Indicators - Section D'!$A$9:$AO$70,41,FALSE),"")</f>
        <v>HTS-5 Percentage of people newly diagnosed with HIV initiated on ART</v>
      </c>
      <c r="D1241" s="605" t="str">
        <f>M1241</f>
        <v/>
      </c>
      <c r="E1241" s="605" t="str">
        <f>N1241</f>
        <v/>
      </c>
      <c r="F1241" s="131"/>
      <c r="G1241" s="607" t="str">
        <f ca="1">IF(OR(INDIRECT("'update Helper'!E"&amp;Q1241)="",F1241&lt;&gt;0,F1242&lt;&gt;0),IF(IFERROR((F1241/F1242),"")="","",(F1241/F1242)),INDIRECT("'update Helper'!E"&amp;Q1241)/100)</f>
        <v/>
      </c>
      <c r="H1241" s="597"/>
      <c r="I1241" s="599"/>
      <c r="J1241" s="531"/>
      <c r="K1241" s="130">
        <f>IF(AND(EXACT(C1241,C1239),C1239&lt;&gt;0),K1239+1,0)</f>
        <v>10</v>
      </c>
      <c r="L1241" s="130" t="str">
        <f t="shared" ref="L1241" si="1427">IF(C1241&lt;&gt;"",C1241&amp;"-"&amp;K1241,"")</f>
        <v>HTS-5 Percentage of people newly diagnosed with HIV initiated on ART-10</v>
      </c>
      <c r="M1241" s="130" t="str">
        <f t="array" ref="M1241">IFERROR(IF(INDEX('Disaggregation Records'!$E$152:$E$513,MATCH(RIGHT(L1241,255),RIGHT('Disaggregation Records'!$D$152:$D$513,255),0))="","",INDEX('Disaggregation Records'!$E$152:$E$513,MATCH(RIGHT(L1241,255),RIGHT('Disaggregation Records'!$D$152:$D$513,255),0))),"")</f>
        <v/>
      </c>
      <c r="N1241" s="130" t="str">
        <f t="array" ref="N1241">IFERROR(IF(INDEX('Disaggregation Records'!$F$152:$F$513,MATCH(RIGHT(L1241,255),RIGHT('Disaggregation Records'!$D$152:$D$513,255),0))="","",INDEX('Disaggregation Records'!$F$152:$F$513,MATCH(RIGHT(L1241,255),RIGHT('Disaggregation Records'!$D$152:$D$513,255),0))),"")</f>
        <v/>
      </c>
      <c r="O1241" s="130" t="str">
        <f t="array" ref="O1241">IFERROR(IF(INDEX('Disaggregation Records'!$H$152:$H$513,MATCH(RIGHT(L1241,255),RIGHT('Disaggregation Records'!$D$152:$D$513,255),0))="","",INDEX('Disaggregation Records'!$H$152:$H$513,MATCH(RIGHT(L1241,255),RIGHT('Disaggregation Records'!$D$152:$D$513,255),0))),"")</f>
        <v/>
      </c>
      <c r="P1241" s="130"/>
      <c r="Q1241" s="52">
        <f t="shared" ref="Q1241" si="1428">Q1239+1</f>
        <v>1805</v>
      </c>
    </row>
    <row r="1242" spans="1:17" ht="20.100000000000001" customHeight="1" x14ac:dyDescent="0.25">
      <c r="A1242" s="130"/>
      <c r="B1242" s="602"/>
      <c r="C1242" s="604"/>
      <c r="D1242" s="606"/>
      <c r="E1242" s="606"/>
      <c r="F1242" s="132"/>
      <c r="G1242" s="608"/>
      <c r="H1242" s="598"/>
      <c r="I1242" s="600"/>
      <c r="J1242" s="532"/>
      <c r="K1242" s="130"/>
      <c r="L1242" s="130"/>
      <c r="M1242" s="130"/>
      <c r="N1242" s="130"/>
      <c r="O1242" s="130"/>
      <c r="P1242" s="130"/>
    </row>
    <row r="1243" spans="1:17" ht="20.100000000000001" customHeight="1" x14ac:dyDescent="0.25">
      <c r="A1243" s="130" t="str">
        <f t="shared" ca="1" si="1388"/>
        <v>a16Dm000000LZeXIAW</v>
      </c>
      <c r="B1243" s="601">
        <v>16</v>
      </c>
      <c r="C1243" s="603" t="str">
        <f>IFERROR(VLOOKUP(B1243,'Coverage Indicators - Section D'!$A$9:$AO$70,41,FALSE),"")</f>
        <v>HTS-5 Percentage of people newly diagnosed with HIV initiated on ART</v>
      </c>
      <c r="D1243" s="605" t="str">
        <f>M1243</f>
        <v/>
      </c>
      <c r="E1243" s="605" t="str">
        <f>N1243</f>
        <v/>
      </c>
      <c r="F1243" s="131"/>
      <c r="G1243" s="607" t="str">
        <f ca="1">IF(OR(INDIRECT("'update Helper'!E"&amp;Q1243)="",F1243&lt;&gt;0,F1244&lt;&gt;0),IF(IFERROR((F1243/F1244),"")="","",(F1243/F1244)),INDIRECT("'update Helper'!E"&amp;Q1243)/100)</f>
        <v/>
      </c>
      <c r="H1243" s="597"/>
      <c r="I1243" s="599"/>
      <c r="J1243" s="531"/>
      <c r="K1243" s="130">
        <f>IF(AND(EXACT(C1243,C1241),C1241&lt;&gt;0),K1241+1,0)</f>
        <v>11</v>
      </c>
      <c r="L1243" s="130" t="str">
        <f t="shared" ref="L1243" si="1429">IF(C1243&lt;&gt;"",C1243&amp;"-"&amp;K1243,"")</f>
        <v>HTS-5 Percentage of people newly diagnosed with HIV initiated on ART-11</v>
      </c>
      <c r="M1243" s="130" t="str">
        <f t="array" ref="M1243">IFERROR(IF(INDEX('Disaggregation Records'!$E$152:$E$513,MATCH(RIGHT(L1243,255),RIGHT('Disaggregation Records'!$D$152:$D$513,255),0))="","",INDEX('Disaggregation Records'!$E$152:$E$513,MATCH(RIGHT(L1243,255),RIGHT('Disaggregation Records'!$D$152:$D$513,255),0))),"")</f>
        <v/>
      </c>
      <c r="N1243" s="130" t="str">
        <f t="array" ref="N1243">IFERROR(IF(INDEX('Disaggregation Records'!$F$152:$F$513,MATCH(RIGHT(L1243,255),RIGHT('Disaggregation Records'!$D$152:$D$513,255),0))="","",INDEX('Disaggregation Records'!$F$152:$F$513,MATCH(RIGHT(L1243,255),RIGHT('Disaggregation Records'!$D$152:$D$513,255),0))),"")</f>
        <v/>
      </c>
      <c r="O1243" s="130" t="str">
        <f t="array" ref="O1243">IFERROR(IF(INDEX('Disaggregation Records'!$H$152:$H$513,MATCH(RIGHT(L1243,255),RIGHT('Disaggregation Records'!$D$152:$D$513,255),0))="","",INDEX('Disaggregation Records'!$H$152:$H$513,MATCH(RIGHT(L1243,255),RIGHT('Disaggregation Records'!$D$152:$D$513,255),0))),"")</f>
        <v/>
      </c>
      <c r="P1243" s="130"/>
      <c r="Q1243" s="52">
        <f t="shared" ref="Q1243" si="1430">Q1241+1</f>
        <v>1806</v>
      </c>
    </row>
    <row r="1244" spans="1:17" ht="20.100000000000001" customHeight="1" x14ac:dyDescent="0.25">
      <c r="B1244" s="602"/>
      <c r="C1244" s="604"/>
      <c r="D1244" s="606"/>
      <c r="E1244" s="606"/>
      <c r="F1244" s="132"/>
      <c r="G1244" s="608"/>
      <c r="H1244" s="598"/>
      <c r="I1244" s="600"/>
      <c r="J1244" s="532"/>
      <c r="K1244" s="130"/>
      <c r="L1244" s="130"/>
      <c r="M1244" s="130"/>
      <c r="N1244" s="130"/>
      <c r="O1244" s="130"/>
      <c r="P1244" s="130"/>
    </row>
    <row r="1245" spans="1:17" ht="20.100000000000001" customHeight="1" x14ac:dyDescent="0.25">
      <c r="A1245" s="130" t="str">
        <f t="shared" ca="1" si="1385"/>
        <v>a16Dm000000LZeYIAW</v>
      </c>
      <c r="B1245" s="601">
        <v>16</v>
      </c>
      <c r="C1245" s="603" t="str">
        <f>IFERROR(VLOOKUP(B1245,'Coverage Indicators - Section D'!$A$9:$AO$70,41,FALSE),"")</f>
        <v>HTS-5 Percentage of people newly diagnosed with HIV initiated on ART</v>
      </c>
      <c r="D1245" s="605" t="str">
        <f>M1245</f>
        <v/>
      </c>
      <c r="E1245" s="605" t="str">
        <f>N1245</f>
        <v/>
      </c>
      <c r="F1245" s="131"/>
      <c r="G1245" s="607" t="str">
        <f ca="1">IF(OR(INDIRECT("'update Helper'!E"&amp;Q1245)="",F1245&lt;&gt;0,F1246&lt;&gt;0),IF(IFERROR((F1245/F1246),"")="","",(F1245/F1246)),INDIRECT("'update Helper'!E"&amp;Q1245)/100)</f>
        <v/>
      </c>
      <c r="H1245" s="597"/>
      <c r="I1245" s="599"/>
      <c r="J1245" s="531"/>
      <c r="K1245" s="130">
        <f>IF(AND(EXACT(C1245,C1243),C1243&lt;&gt;0),K1243+1,0)</f>
        <v>12</v>
      </c>
      <c r="L1245" s="130" t="str">
        <f t="shared" ref="L1245" si="1431">IF(C1245&lt;&gt;"",C1245&amp;"-"&amp;K1245,"")</f>
        <v>HTS-5 Percentage of people newly diagnosed with HIV initiated on ART-12</v>
      </c>
      <c r="M1245" s="130" t="str">
        <f t="array" ref="M1245">IFERROR(IF(INDEX('Disaggregation Records'!$E$152:$E$513,MATCH(RIGHT(L1245,255),RIGHT('Disaggregation Records'!$D$152:$D$513,255),0))="","",INDEX('Disaggregation Records'!$E$152:$E$513,MATCH(RIGHT(L1245,255),RIGHT('Disaggregation Records'!$D$152:$D$513,255),0))),"")</f>
        <v/>
      </c>
      <c r="N1245" s="130" t="str">
        <f t="array" ref="N1245">IFERROR(IF(INDEX('Disaggregation Records'!$F$152:$F$513,MATCH(RIGHT(L1245,255),RIGHT('Disaggregation Records'!$D$152:$D$513,255),0))="","",INDEX('Disaggregation Records'!$F$152:$F$513,MATCH(RIGHT(L1245,255),RIGHT('Disaggregation Records'!$D$152:$D$513,255),0))),"")</f>
        <v/>
      </c>
      <c r="O1245" s="130" t="str">
        <f t="array" ref="O1245">IFERROR(IF(INDEX('Disaggregation Records'!$H$152:$H$513,MATCH(RIGHT(L1245,255),RIGHT('Disaggregation Records'!$D$152:$D$513,255),0))="","",INDEX('Disaggregation Records'!$H$152:$H$513,MATCH(RIGHT(L1245,255),RIGHT('Disaggregation Records'!$D$152:$D$513,255),0))),"")</f>
        <v/>
      </c>
      <c r="Q1245" s="52">
        <f t="shared" ref="Q1245" si="1432">Q1243+1</f>
        <v>1807</v>
      </c>
    </row>
    <row r="1246" spans="1:17" ht="20.100000000000001" customHeight="1" x14ac:dyDescent="0.25">
      <c r="A1246" s="130"/>
      <c r="B1246" s="602"/>
      <c r="C1246" s="604"/>
      <c r="D1246" s="606"/>
      <c r="E1246" s="606"/>
      <c r="F1246" s="132"/>
      <c r="G1246" s="608"/>
      <c r="H1246" s="598"/>
      <c r="I1246" s="600"/>
      <c r="J1246" s="532"/>
      <c r="L1246" s="130"/>
      <c r="N1246" s="130"/>
      <c r="O1246" s="130"/>
    </row>
    <row r="1247" spans="1:17" ht="20.100000000000001" customHeight="1" x14ac:dyDescent="0.25">
      <c r="A1247" s="130" t="str">
        <f t="shared" ca="1" si="1388"/>
        <v>a16Dm000000LZeZIAW</v>
      </c>
      <c r="B1247" s="601">
        <v>16</v>
      </c>
      <c r="C1247" s="603" t="str">
        <f>IFERROR(VLOOKUP(B1247,'Coverage Indicators - Section D'!$A$9:$AO$70,41,FALSE),"")</f>
        <v>HTS-5 Percentage of people newly diagnosed with HIV initiated on ART</v>
      </c>
      <c r="D1247" s="605" t="str">
        <f>M1247</f>
        <v/>
      </c>
      <c r="E1247" s="605" t="str">
        <f>N1247</f>
        <v/>
      </c>
      <c r="F1247" s="131"/>
      <c r="G1247" s="607" t="str">
        <f ca="1">IF(OR(INDIRECT("'update Helper'!E"&amp;Q1247)="",F1247&lt;&gt;0,F1248&lt;&gt;0),IF(IFERROR((F1247/F1248),"")="","",(F1247/F1248)),INDIRECT("'update Helper'!E"&amp;Q1247)/100)</f>
        <v/>
      </c>
      <c r="H1247" s="597"/>
      <c r="I1247" s="599"/>
      <c r="J1247" s="531"/>
      <c r="K1247" s="130">
        <f>IF(AND(EXACT(C1247,C1245),C1245&lt;&gt;0),K1245+1,0)</f>
        <v>13</v>
      </c>
      <c r="L1247" s="130" t="str">
        <f t="shared" ref="L1247" si="1433">IF(C1247&lt;&gt;"",C1247&amp;"-"&amp;K1247,"")</f>
        <v>HTS-5 Percentage of people newly diagnosed with HIV initiated on ART-13</v>
      </c>
      <c r="M1247" s="130" t="str">
        <f t="array" ref="M1247">IFERROR(IF(INDEX('Disaggregation Records'!$E$152:$E$513,MATCH(RIGHT(L1247,255),RIGHT('Disaggregation Records'!$D$152:$D$513,255),0))="","",INDEX('Disaggregation Records'!$E$152:$E$513,MATCH(RIGHT(L1247,255),RIGHT('Disaggregation Records'!$D$152:$D$513,255),0))),"")</f>
        <v/>
      </c>
      <c r="N1247" s="130" t="str">
        <f t="array" ref="N1247">IFERROR(IF(INDEX('Disaggregation Records'!$F$152:$F$513,MATCH(RIGHT(L1247,255),RIGHT('Disaggregation Records'!$D$152:$D$513,255),0))="","",INDEX('Disaggregation Records'!$F$152:$F$513,MATCH(RIGHT(L1247,255),RIGHT('Disaggregation Records'!$D$152:$D$513,255),0))),"")</f>
        <v/>
      </c>
      <c r="O1247" s="130" t="str">
        <f t="array" ref="O1247">IFERROR(IF(INDEX('Disaggregation Records'!$H$152:$H$513,MATCH(RIGHT(L1247,255),RIGHT('Disaggregation Records'!$D$152:$D$513,255),0))="","",INDEX('Disaggregation Records'!$H$152:$H$513,MATCH(RIGHT(L1247,255),RIGHT('Disaggregation Records'!$D$152:$D$513,255),0))),"")</f>
        <v/>
      </c>
      <c r="Q1247" s="52">
        <f t="shared" ref="Q1247" si="1434">Q1245+1</f>
        <v>1808</v>
      </c>
    </row>
    <row r="1248" spans="1:17" ht="20.100000000000001" customHeight="1" x14ac:dyDescent="0.25">
      <c r="B1248" s="602"/>
      <c r="C1248" s="604"/>
      <c r="D1248" s="606"/>
      <c r="E1248" s="606"/>
      <c r="F1248" s="132"/>
      <c r="G1248" s="608"/>
      <c r="H1248" s="598"/>
      <c r="I1248" s="600"/>
      <c r="J1248" s="532"/>
      <c r="L1248" s="130"/>
      <c r="N1248" s="130"/>
      <c r="O1248" s="130"/>
    </row>
    <row r="1249" spans="1:17" ht="20.100000000000001" customHeight="1" x14ac:dyDescent="0.25">
      <c r="A1249" s="130" t="str">
        <f t="shared" ca="1" si="1385"/>
        <v>a16Dm000000LZeaIAG</v>
      </c>
      <c r="B1249" s="601">
        <v>16</v>
      </c>
      <c r="C1249" s="603" t="str">
        <f>IFERROR(VLOOKUP(B1249,'Coverage Indicators - Section D'!$A$9:$AO$70,41,FALSE),"")</f>
        <v>HTS-5 Percentage of people newly diagnosed with HIV initiated on ART</v>
      </c>
      <c r="D1249" s="605" t="str">
        <f>M1249</f>
        <v/>
      </c>
      <c r="E1249" s="605" t="str">
        <f>N1249</f>
        <v/>
      </c>
      <c r="F1249" s="131"/>
      <c r="G1249" s="607" t="str">
        <f ca="1">IF(OR(INDIRECT("'update Helper'!E"&amp;Q1249)="",F1249&lt;&gt;0,F1250&lt;&gt;0),IF(IFERROR((F1249/F1250),"")="","",(F1249/F1250)),INDIRECT("'update Helper'!E"&amp;Q1249)/100)</f>
        <v/>
      </c>
      <c r="H1249" s="597"/>
      <c r="I1249" s="599"/>
      <c r="J1249" s="531"/>
      <c r="K1249" s="130">
        <f>IF(AND(EXACT(C1249,C1247),C1247&lt;&gt;0),K1247+1,0)</f>
        <v>14</v>
      </c>
      <c r="L1249" s="130" t="str">
        <f t="shared" ref="L1249" si="1435">IF(C1249&lt;&gt;"",C1249&amp;"-"&amp;K1249,"")</f>
        <v>HTS-5 Percentage of people newly diagnosed with HIV initiated on ART-14</v>
      </c>
      <c r="M1249" s="130" t="str">
        <f t="array" ref="M1249">IFERROR(IF(INDEX('Disaggregation Records'!$E$152:$E$513,MATCH(RIGHT(L1249,255),RIGHT('Disaggregation Records'!$D$152:$D$513,255),0))="","",INDEX('Disaggregation Records'!$E$152:$E$513,MATCH(RIGHT(L1249,255),RIGHT('Disaggregation Records'!$D$152:$D$513,255),0))),"")</f>
        <v/>
      </c>
      <c r="N1249" s="130" t="str">
        <f t="array" ref="N1249">IFERROR(IF(INDEX('Disaggregation Records'!$F$152:$F$513,MATCH(RIGHT(L1249,255),RIGHT('Disaggregation Records'!$D$152:$D$513,255),0))="","",INDEX('Disaggregation Records'!$F$152:$F$513,MATCH(RIGHT(L1249,255),RIGHT('Disaggregation Records'!$D$152:$D$513,255),0))),"")</f>
        <v/>
      </c>
      <c r="O1249" s="130" t="str">
        <f t="array" ref="O1249">IFERROR(IF(INDEX('Disaggregation Records'!$H$152:$H$513,MATCH(RIGHT(L1249,255),RIGHT('Disaggregation Records'!$D$152:$D$513,255),0))="","",INDEX('Disaggregation Records'!$H$152:$H$513,MATCH(RIGHT(L1249,255),RIGHT('Disaggregation Records'!$D$152:$D$513,255),0))),"")</f>
        <v/>
      </c>
      <c r="Q1249" s="52">
        <f t="shared" ref="Q1249" si="1436">Q1247+1</f>
        <v>1809</v>
      </c>
    </row>
    <row r="1250" spans="1:17" ht="20.100000000000001" customHeight="1" x14ac:dyDescent="0.25">
      <c r="A1250" s="130"/>
      <c r="B1250" s="602"/>
      <c r="C1250" s="604"/>
      <c r="D1250" s="606"/>
      <c r="E1250" s="606"/>
      <c r="F1250" s="132"/>
      <c r="G1250" s="608"/>
      <c r="H1250" s="598"/>
      <c r="I1250" s="600"/>
      <c r="J1250" s="532"/>
      <c r="L1250" s="130"/>
      <c r="N1250" s="130"/>
      <c r="O1250" s="130"/>
    </row>
    <row r="1251" spans="1:17" ht="20.100000000000001" customHeight="1" x14ac:dyDescent="0.25">
      <c r="A1251" s="130" t="str">
        <f t="shared" ca="1" si="1388"/>
        <v>a16Dm000000LZebIAG</v>
      </c>
      <c r="B1251" s="601">
        <v>16</v>
      </c>
      <c r="C1251" s="603" t="str">
        <f>IFERROR(VLOOKUP(B1251,'Coverage Indicators - Section D'!$A$9:$AO$70,41,FALSE),"")</f>
        <v>HTS-5 Percentage of people newly diagnosed with HIV initiated on ART</v>
      </c>
      <c r="D1251" s="605" t="str">
        <f>M1251</f>
        <v/>
      </c>
      <c r="E1251" s="605" t="str">
        <f>N1251</f>
        <v/>
      </c>
      <c r="F1251" s="131"/>
      <c r="G1251" s="607" t="str">
        <f ca="1">IF(OR(INDIRECT("'update Helper'!E"&amp;Q1251)="",F1251&lt;&gt;0,F1252&lt;&gt;0),IF(IFERROR((F1251/F1252),"")="","",(F1251/F1252)),INDIRECT("'update Helper'!E"&amp;Q1251)/100)</f>
        <v/>
      </c>
      <c r="H1251" s="597"/>
      <c r="I1251" s="599"/>
      <c r="J1251" s="531"/>
      <c r="K1251" s="130">
        <f>IF(AND(EXACT(C1251,C1249),C1249&lt;&gt;0),K1249+1,0)</f>
        <v>15</v>
      </c>
      <c r="L1251" s="130" t="str">
        <f t="shared" ref="L1251" si="1437">IF(C1251&lt;&gt;"",C1251&amp;"-"&amp;K1251,"")</f>
        <v>HTS-5 Percentage of people newly diagnosed with HIV initiated on ART-15</v>
      </c>
      <c r="M1251" s="130" t="str">
        <f t="array" ref="M1251">IFERROR(IF(INDEX('Disaggregation Records'!$E$152:$E$513,MATCH(RIGHT(L1251,255),RIGHT('Disaggregation Records'!$D$152:$D$513,255),0))="","",INDEX('Disaggregation Records'!$E$152:$E$513,MATCH(RIGHT(L1251,255),RIGHT('Disaggregation Records'!$D$152:$D$513,255),0))),"")</f>
        <v/>
      </c>
      <c r="N1251" s="130" t="str">
        <f t="array" ref="N1251">IFERROR(IF(INDEX('Disaggregation Records'!$F$152:$F$513,MATCH(RIGHT(L1251,255),RIGHT('Disaggregation Records'!$D$152:$D$513,255),0))="","",INDEX('Disaggregation Records'!$F$152:$F$513,MATCH(RIGHT(L1251,255),RIGHT('Disaggregation Records'!$D$152:$D$513,255),0))),"")</f>
        <v/>
      </c>
      <c r="O1251" s="130" t="str">
        <f t="array" ref="O1251">IFERROR(IF(INDEX('Disaggregation Records'!$H$152:$H$513,MATCH(RIGHT(L1251,255),RIGHT('Disaggregation Records'!$D$152:$D$513,255),0))="","",INDEX('Disaggregation Records'!$H$152:$H$513,MATCH(RIGHT(L1251,255),RIGHT('Disaggregation Records'!$D$152:$D$513,255),0))),"")</f>
        <v/>
      </c>
      <c r="P1251" s="130"/>
      <c r="Q1251" s="52">
        <f t="shared" ref="Q1251" si="1438">Q1249+1</f>
        <v>1810</v>
      </c>
    </row>
    <row r="1252" spans="1:17" ht="20.100000000000001" customHeight="1" x14ac:dyDescent="0.25">
      <c r="B1252" s="602"/>
      <c r="C1252" s="604"/>
      <c r="D1252" s="606"/>
      <c r="E1252" s="606"/>
      <c r="F1252" s="132"/>
      <c r="G1252" s="608"/>
      <c r="H1252" s="598"/>
      <c r="I1252" s="600"/>
      <c r="J1252" s="532"/>
      <c r="K1252" s="130"/>
      <c r="L1252" s="130"/>
      <c r="M1252" s="130"/>
      <c r="N1252" s="130"/>
      <c r="O1252" s="130"/>
      <c r="P1252" s="130"/>
    </row>
    <row r="1253" spans="1:17" ht="20.100000000000001" customHeight="1" x14ac:dyDescent="0.25">
      <c r="A1253" s="130" t="str">
        <f t="shared" ca="1" si="1385"/>
        <v>a16Dm000000LZecIAG</v>
      </c>
      <c r="B1253" s="601">
        <v>16</v>
      </c>
      <c r="C1253" s="603" t="str">
        <f>IFERROR(VLOOKUP(B1253,'Coverage Indicators - Section D'!$A$9:$AO$70,41,FALSE),"")</f>
        <v>HTS-5 Percentage of people newly diagnosed with HIV initiated on ART</v>
      </c>
      <c r="D1253" s="605" t="str">
        <f>M1253</f>
        <v/>
      </c>
      <c r="E1253" s="605" t="str">
        <f>N1253</f>
        <v/>
      </c>
      <c r="F1253" s="131"/>
      <c r="G1253" s="607" t="str">
        <f ca="1">IF(OR(INDIRECT("'update Helper'!E"&amp;Q1253)="",F1253&lt;&gt;0,F1254&lt;&gt;0),IF(IFERROR((F1253/F1254),"")="","",(F1253/F1254)),INDIRECT("'update Helper'!E"&amp;Q1253)/100)</f>
        <v/>
      </c>
      <c r="H1253" s="597"/>
      <c r="I1253" s="599"/>
      <c r="J1253" s="531"/>
      <c r="K1253" s="130">
        <f>IF(AND(EXACT(C1253,C1251),C1251&lt;&gt;0),K1251+1,0)</f>
        <v>16</v>
      </c>
      <c r="L1253" s="130" t="str">
        <f t="shared" ref="L1253" si="1439">IF(C1253&lt;&gt;"",C1253&amp;"-"&amp;K1253,"")</f>
        <v>HTS-5 Percentage of people newly diagnosed with HIV initiated on ART-16</v>
      </c>
      <c r="M1253" s="130" t="str">
        <f t="array" ref="M1253">IFERROR(IF(INDEX('Disaggregation Records'!$E$152:$E$513,MATCH(RIGHT(L1253,255),RIGHT('Disaggregation Records'!$D$152:$D$513,255),0))="","",INDEX('Disaggregation Records'!$E$152:$E$513,MATCH(RIGHT(L1253,255),RIGHT('Disaggregation Records'!$D$152:$D$513,255),0))),"")</f>
        <v/>
      </c>
      <c r="N1253" s="130" t="str">
        <f t="array" ref="N1253">IFERROR(IF(INDEX('Disaggregation Records'!$F$152:$F$513,MATCH(RIGHT(L1253,255),RIGHT('Disaggregation Records'!$D$152:$D$513,255),0))="","",INDEX('Disaggregation Records'!$F$152:$F$513,MATCH(RIGHT(L1253,255),RIGHT('Disaggregation Records'!$D$152:$D$513,255),0))),"")</f>
        <v/>
      </c>
      <c r="O1253" s="130" t="str">
        <f t="array" ref="O1253">IFERROR(IF(INDEX('Disaggregation Records'!$H$152:$H$513,MATCH(RIGHT(L1253,255),RIGHT('Disaggregation Records'!$D$152:$D$513,255),0))="","",INDEX('Disaggregation Records'!$H$152:$H$513,MATCH(RIGHT(L1253,255),RIGHT('Disaggregation Records'!$D$152:$D$513,255),0))),"")</f>
        <v/>
      </c>
      <c r="P1253" s="130"/>
      <c r="Q1253" s="52">
        <f t="shared" ref="Q1253" si="1440">Q1251+1</f>
        <v>1811</v>
      </c>
    </row>
    <row r="1254" spans="1:17" ht="20.100000000000001" customHeight="1" x14ac:dyDescent="0.25">
      <c r="A1254" s="130"/>
      <c r="B1254" s="602"/>
      <c r="C1254" s="604"/>
      <c r="D1254" s="606"/>
      <c r="E1254" s="606"/>
      <c r="F1254" s="132"/>
      <c r="G1254" s="608"/>
      <c r="H1254" s="598"/>
      <c r="I1254" s="600"/>
      <c r="J1254" s="532"/>
      <c r="K1254" s="130"/>
      <c r="L1254" s="130"/>
      <c r="M1254" s="130"/>
      <c r="N1254" s="130"/>
      <c r="O1254" s="130"/>
      <c r="P1254" s="130"/>
    </row>
    <row r="1255" spans="1:17" ht="20.100000000000001" customHeight="1" x14ac:dyDescent="0.25">
      <c r="A1255" s="130" t="str">
        <f t="shared" ca="1" si="1388"/>
        <v>a16Dm000000LZedIAG</v>
      </c>
      <c r="B1255" s="601">
        <v>16</v>
      </c>
      <c r="C1255" s="603" t="str">
        <f>IFERROR(VLOOKUP(B1255,'Coverage Indicators - Section D'!$A$9:$AO$70,41,FALSE),"")</f>
        <v>HTS-5 Percentage of people newly diagnosed with HIV initiated on ART</v>
      </c>
      <c r="D1255" s="605" t="str">
        <f>M1255</f>
        <v/>
      </c>
      <c r="E1255" s="605" t="str">
        <f>N1255</f>
        <v/>
      </c>
      <c r="F1255" s="131"/>
      <c r="G1255" s="607" t="str">
        <f ca="1">IF(OR(INDIRECT("'update Helper'!E"&amp;Q1255)="",F1255&lt;&gt;0,F1256&lt;&gt;0),IF(IFERROR((F1255/F1256),"")="","",(F1255/F1256)),INDIRECT("'update Helper'!E"&amp;Q1255)/100)</f>
        <v/>
      </c>
      <c r="H1255" s="597"/>
      <c r="I1255" s="599"/>
      <c r="J1255" s="531"/>
      <c r="K1255" s="130">
        <f>IF(AND(EXACT(C1255,C1253),C1253&lt;&gt;0),K1253+1,0)</f>
        <v>17</v>
      </c>
      <c r="L1255" s="130" t="str">
        <f t="shared" ref="L1255" si="1441">IF(C1255&lt;&gt;"",C1255&amp;"-"&amp;K1255,"")</f>
        <v>HTS-5 Percentage of people newly diagnosed with HIV initiated on ART-17</v>
      </c>
      <c r="M1255" s="130" t="str">
        <f t="array" ref="M1255">IFERROR(IF(INDEX('Disaggregation Records'!$E$152:$E$513,MATCH(RIGHT(L1255,255),RIGHT('Disaggregation Records'!$D$152:$D$513,255),0))="","",INDEX('Disaggregation Records'!$E$152:$E$513,MATCH(RIGHT(L1255,255),RIGHT('Disaggregation Records'!$D$152:$D$513,255),0))),"")</f>
        <v/>
      </c>
      <c r="N1255" s="130" t="str">
        <f t="array" ref="N1255">IFERROR(IF(INDEX('Disaggregation Records'!$F$152:$F$513,MATCH(RIGHT(L1255,255),RIGHT('Disaggregation Records'!$D$152:$D$513,255),0))="","",INDEX('Disaggregation Records'!$F$152:$F$513,MATCH(RIGHT(L1255,255),RIGHT('Disaggregation Records'!$D$152:$D$513,255),0))),"")</f>
        <v/>
      </c>
      <c r="O1255" s="130" t="str">
        <f t="array" ref="O1255">IFERROR(IF(INDEX('Disaggregation Records'!$H$152:$H$513,MATCH(RIGHT(L1255,255),RIGHT('Disaggregation Records'!$D$152:$D$513,255),0))="","",INDEX('Disaggregation Records'!$H$152:$H$513,MATCH(RIGHT(L1255,255),RIGHT('Disaggregation Records'!$D$152:$D$513,255),0))),"")</f>
        <v/>
      </c>
      <c r="Q1255" s="52">
        <f t="shared" ref="Q1255" si="1442">Q1253+1</f>
        <v>1812</v>
      </c>
    </row>
    <row r="1256" spans="1:17" ht="20.100000000000001" customHeight="1" x14ac:dyDescent="0.25">
      <c r="B1256" s="602"/>
      <c r="C1256" s="604"/>
      <c r="D1256" s="606"/>
      <c r="E1256" s="606"/>
      <c r="F1256" s="132"/>
      <c r="G1256" s="608"/>
      <c r="H1256" s="598"/>
      <c r="I1256" s="600"/>
      <c r="J1256" s="532"/>
      <c r="L1256" s="130"/>
      <c r="N1256" s="130"/>
      <c r="O1256" s="130"/>
    </row>
    <row r="1257" spans="1:17" ht="20.100000000000001" customHeight="1" x14ac:dyDescent="0.25">
      <c r="A1257" s="130" t="str">
        <f t="shared" ca="1" si="1385"/>
        <v>a16Dm000000LZeeIAG</v>
      </c>
      <c r="B1257" s="601">
        <v>16</v>
      </c>
      <c r="C1257" s="603" t="str">
        <f>IFERROR(VLOOKUP(B1257,'Coverage Indicators - Section D'!$A$9:$AO$70,41,FALSE),"")</f>
        <v>HTS-5 Percentage of people newly diagnosed with HIV initiated on ART</v>
      </c>
      <c r="D1257" s="605" t="str">
        <f>M1257</f>
        <v/>
      </c>
      <c r="E1257" s="605" t="str">
        <f>N1257</f>
        <v/>
      </c>
      <c r="F1257" s="131"/>
      <c r="G1257" s="607" t="str">
        <f ca="1">IF(OR(INDIRECT("'update Helper'!E"&amp;Q1257)="",F1257&lt;&gt;0,F1258&lt;&gt;0),IF(IFERROR((F1257/F1258),"")="","",(F1257/F1258)),INDIRECT("'update Helper'!E"&amp;Q1257)/100)</f>
        <v/>
      </c>
      <c r="H1257" s="597"/>
      <c r="I1257" s="599"/>
      <c r="J1257" s="531"/>
      <c r="K1257" s="130">
        <f>IF(AND(EXACT(C1257,C1255),C1255&lt;&gt;0),K1255+1,0)</f>
        <v>18</v>
      </c>
      <c r="L1257" s="130" t="str">
        <f t="shared" ref="L1257" si="1443">IF(C1257&lt;&gt;"",C1257&amp;"-"&amp;K1257,"")</f>
        <v>HTS-5 Percentage of people newly diagnosed with HIV initiated on ART-18</v>
      </c>
      <c r="M1257" s="130" t="str">
        <f t="array" ref="M1257">IFERROR(IF(INDEX('Disaggregation Records'!$E$152:$E$513,MATCH(RIGHT(L1257,255),RIGHT('Disaggregation Records'!$D$152:$D$513,255),0))="","",INDEX('Disaggregation Records'!$E$152:$E$513,MATCH(RIGHT(L1257,255),RIGHT('Disaggregation Records'!$D$152:$D$513,255),0))),"")</f>
        <v/>
      </c>
      <c r="N1257" s="130" t="str">
        <f t="array" ref="N1257">IFERROR(IF(INDEX('Disaggregation Records'!$F$152:$F$513,MATCH(RIGHT(L1257,255),RIGHT('Disaggregation Records'!$D$152:$D$513,255),0))="","",INDEX('Disaggregation Records'!$F$152:$F$513,MATCH(RIGHT(L1257,255),RIGHT('Disaggregation Records'!$D$152:$D$513,255),0))),"")</f>
        <v/>
      </c>
      <c r="O1257" s="130" t="str">
        <f t="array" ref="O1257">IFERROR(IF(INDEX('Disaggregation Records'!$H$152:$H$513,MATCH(RIGHT(L1257,255),RIGHT('Disaggregation Records'!$D$152:$D$513,255),0))="","",INDEX('Disaggregation Records'!$H$152:$H$513,MATCH(RIGHT(L1257,255),RIGHT('Disaggregation Records'!$D$152:$D$513,255),0))),"")</f>
        <v/>
      </c>
      <c r="Q1257" s="52">
        <f t="shared" ref="Q1257" si="1444">Q1255+1</f>
        <v>1813</v>
      </c>
    </row>
    <row r="1258" spans="1:17" ht="20.100000000000001" customHeight="1" x14ac:dyDescent="0.25">
      <c r="A1258" s="130"/>
      <c r="B1258" s="602"/>
      <c r="C1258" s="604"/>
      <c r="D1258" s="606"/>
      <c r="E1258" s="606"/>
      <c r="F1258" s="132"/>
      <c r="G1258" s="608"/>
      <c r="H1258" s="598"/>
      <c r="I1258" s="600"/>
      <c r="J1258" s="532"/>
      <c r="L1258" s="130"/>
      <c r="N1258" s="130"/>
      <c r="O1258" s="130"/>
    </row>
    <row r="1259" spans="1:17" ht="20.100000000000001" customHeight="1" x14ac:dyDescent="0.25">
      <c r="A1259" s="130" t="str">
        <f t="shared" ca="1" si="1388"/>
        <v>a16Dm000000LZefIAG</v>
      </c>
      <c r="B1259" s="601">
        <v>16</v>
      </c>
      <c r="C1259" s="603" t="str">
        <f>IFERROR(VLOOKUP(B1259,'Coverage Indicators - Section D'!$A$9:$AO$70,41,FALSE),"")</f>
        <v>HTS-5 Percentage of people newly diagnosed with HIV initiated on ART</v>
      </c>
      <c r="D1259" s="605" t="str">
        <f>M1259</f>
        <v/>
      </c>
      <c r="E1259" s="605" t="str">
        <f>N1259</f>
        <v/>
      </c>
      <c r="F1259" s="131"/>
      <c r="G1259" s="607" t="str">
        <f ca="1">IF(OR(INDIRECT("'update Helper'!E"&amp;Q1259)="",F1259&lt;&gt;0,F1260&lt;&gt;0),IF(IFERROR((F1259/F1260),"")="","",(F1259/F1260)),INDIRECT("'update Helper'!E"&amp;Q1259)/100)</f>
        <v/>
      </c>
      <c r="H1259" s="597"/>
      <c r="I1259" s="599"/>
      <c r="J1259" s="531"/>
      <c r="K1259" s="130">
        <f>IF(AND(EXACT(C1259,C1257),C1257&lt;&gt;0),K1257+1,0)</f>
        <v>19</v>
      </c>
      <c r="L1259" s="130" t="str">
        <f t="shared" ref="L1259" si="1445">IF(C1259&lt;&gt;"",C1259&amp;"-"&amp;K1259,"")</f>
        <v>HTS-5 Percentage of people newly diagnosed with HIV initiated on ART-19</v>
      </c>
      <c r="M1259" s="130" t="str">
        <f t="array" ref="M1259">IFERROR(IF(INDEX('Disaggregation Records'!$E$152:$E$513,MATCH(RIGHT(L1259,255),RIGHT('Disaggregation Records'!$D$152:$D$513,255),0))="","",INDEX('Disaggregation Records'!$E$152:$E$513,MATCH(RIGHT(L1259,255),RIGHT('Disaggregation Records'!$D$152:$D$513,255),0))),"")</f>
        <v/>
      </c>
      <c r="N1259" s="130" t="str">
        <f t="array" ref="N1259">IFERROR(IF(INDEX('Disaggregation Records'!$F$152:$F$513,MATCH(RIGHT(L1259,255),RIGHT('Disaggregation Records'!$D$152:$D$513,255),0))="","",INDEX('Disaggregation Records'!$F$152:$F$513,MATCH(RIGHT(L1259,255),RIGHT('Disaggregation Records'!$D$152:$D$513,255),0))),"")</f>
        <v/>
      </c>
      <c r="O1259" s="130" t="str">
        <f t="array" ref="O1259">IFERROR(IF(INDEX('Disaggregation Records'!$H$152:$H$513,MATCH(RIGHT(L1259,255),RIGHT('Disaggregation Records'!$D$152:$D$513,255),0))="","",INDEX('Disaggregation Records'!$H$152:$H$513,MATCH(RIGHT(L1259,255),RIGHT('Disaggregation Records'!$D$152:$D$513,255),0))),"")</f>
        <v/>
      </c>
      <c r="Q1259" s="52">
        <f t="shared" ref="Q1259" si="1446">Q1257+1</f>
        <v>1814</v>
      </c>
    </row>
    <row r="1260" spans="1:17" ht="20.100000000000001" customHeight="1" x14ac:dyDescent="0.25">
      <c r="B1260" s="602"/>
      <c r="C1260" s="604"/>
      <c r="D1260" s="606"/>
      <c r="E1260" s="606"/>
      <c r="F1260" s="132"/>
      <c r="G1260" s="608"/>
      <c r="H1260" s="598"/>
      <c r="I1260" s="600"/>
      <c r="J1260" s="532"/>
      <c r="L1260" s="130"/>
      <c r="N1260" s="130"/>
      <c r="O1260" s="130"/>
    </row>
    <row r="1261" spans="1:17" ht="33.75" customHeight="1" x14ac:dyDescent="0.25">
      <c r="A1261" s="130" t="str">
        <f t="shared" ca="1" si="1385"/>
        <v>a16Dm000000LZegIAG</v>
      </c>
      <c r="B1261" s="601">
        <v>17</v>
      </c>
      <c r="C1261" s="603" t="str">
        <f>IFERROR(VLOOKUP(B1261,'Coverage Indicators - Section D'!$A$9:$AO$70,41,FALSE),"")</f>
        <v>TB/HIV-7.1 Percentage of people living with HIV currently enrolled on antiretroviral therapy who started TB preventive treatment (TPT) during the reporting period</v>
      </c>
      <c r="D1261" s="605" t="str">
        <f>M1261</f>
        <v>Age</v>
      </c>
      <c r="E1261" s="605" t="str">
        <f>N1261</f>
        <v>15+</v>
      </c>
      <c r="F1261" s="131">
        <v>334</v>
      </c>
      <c r="G1261" s="607">
        <f ca="1">IF(OR(INDIRECT("'update Helper'!E"&amp;Q1261)="",F1261&lt;&gt;0,F1262&lt;&gt;0),IF(IFERROR((F1261/F1262),"")="","",(F1261/F1262)),INDIRECT("'update Helper'!E"&amp;Q1261)/100)</f>
        <v>0.42656449553001274</v>
      </c>
      <c r="H1261" s="597">
        <v>2022</v>
      </c>
      <c r="I1261" s="599" t="s">
        <v>2247</v>
      </c>
      <c r="J1261" s="617" t="s">
        <v>2255</v>
      </c>
      <c r="K1261" s="130">
        <f>IF(AND(EXACT(C1261,C1259),C1259&lt;&gt;0),K1259+1,0)</f>
        <v>0</v>
      </c>
      <c r="L1261" s="130" t="str">
        <f t="shared" ref="L1261" si="1447">IF(C1261&lt;&gt;"",C1261&amp;"-"&amp;K1261,"")</f>
        <v>TB/HIV-7.1 Percentage of people living with HIV currently enrolled on antiretroviral therapy who started TB preventive treatment (TPT) during the reporting period-0</v>
      </c>
      <c r="M1261" s="130" t="str">
        <f t="array" ref="M1261">IFERROR(IF(INDEX('Disaggregation Records'!$E$152:$E$513,MATCH(RIGHT(L1261,255),RIGHT('Disaggregation Records'!$D$152:$D$513,255),0))="","",INDEX('Disaggregation Records'!$E$152:$E$513,MATCH(RIGHT(L1261,255),RIGHT('Disaggregation Records'!$D$152:$D$513,255),0))),"")</f>
        <v>Age</v>
      </c>
      <c r="N1261" s="130" t="str">
        <f t="array" ref="N1261">IFERROR(IF(INDEX('Disaggregation Records'!$F$152:$F$513,MATCH(RIGHT(L1261,255),RIGHT('Disaggregation Records'!$D$152:$D$513,255),0))="","",INDEX('Disaggregation Records'!$F$152:$F$513,MATCH(RIGHT(L1261,255),RIGHT('Disaggregation Records'!$D$152:$D$513,255),0))),"")</f>
        <v>15+</v>
      </c>
      <c r="O1261" s="130" t="str">
        <f t="array" ref="O1261">IFERROR(IF(INDEX('Disaggregation Records'!$H$152:$H$513,MATCH(RIGHT(L1261,255),RIGHT('Disaggregation Records'!$D$152:$D$513,255),0))="","",INDEX('Disaggregation Records'!$H$152:$H$513,MATCH(RIGHT(L1261,255),RIGHT('Disaggregation Records'!$D$152:$D$513,255),0))),"")</f>
        <v>IDR-01371</v>
      </c>
      <c r="P1261" s="130"/>
      <c r="Q1261" s="52">
        <f t="shared" ref="Q1261" si="1448">Q1259+1</f>
        <v>1815</v>
      </c>
    </row>
    <row r="1262" spans="1:17" ht="35.25" customHeight="1" x14ac:dyDescent="0.25">
      <c r="A1262" s="130"/>
      <c r="B1262" s="602"/>
      <c r="C1262" s="604"/>
      <c r="D1262" s="606"/>
      <c r="E1262" s="606"/>
      <c r="F1262" s="419">
        <v>783</v>
      </c>
      <c r="G1262" s="608"/>
      <c r="H1262" s="598"/>
      <c r="I1262" s="600"/>
      <c r="J1262" s="532"/>
      <c r="K1262" s="130"/>
      <c r="L1262" s="130"/>
      <c r="M1262" s="130"/>
      <c r="N1262" s="130"/>
      <c r="O1262" s="130"/>
      <c r="P1262" s="130"/>
    </row>
    <row r="1263" spans="1:17" ht="34.5" customHeight="1" x14ac:dyDescent="0.25">
      <c r="A1263" s="130" t="str">
        <f t="shared" ca="1" si="1388"/>
        <v>a16Dm000000LZehIAG</v>
      </c>
      <c r="B1263" s="601">
        <v>17</v>
      </c>
      <c r="C1263" s="603" t="str">
        <f>IFERROR(VLOOKUP(B1263,'Coverage Indicators - Section D'!$A$9:$AO$70,41,FALSE),"")</f>
        <v>TB/HIV-7.1 Percentage of people living with HIV currently enrolled on antiretroviral therapy who started TB preventive treatment (TPT) during the reporting period</v>
      </c>
      <c r="D1263" s="605" t="str">
        <f>M1263</f>
        <v>TPT regimen</v>
      </c>
      <c r="E1263" s="605" t="str">
        <f>N1263</f>
        <v>6H</v>
      </c>
      <c r="F1263" s="131">
        <v>336</v>
      </c>
      <c r="G1263" s="607">
        <f ca="1">IF(OR(INDIRECT("'update Helper'!E"&amp;Q1263)="",F1263&lt;&gt;0,F1264&lt;&gt;0),IF(IFERROR((F1263/F1264),"")="","",(F1263/F1264)),INDIRECT("'update Helper'!E"&amp;Q1263)/100)</f>
        <v>0.42</v>
      </c>
      <c r="H1263" s="597">
        <v>2022</v>
      </c>
      <c r="I1263" s="599" t="s">
        <v>2247</v>
      </c>
      <c r="J1263" s="617" t="s">
        <v>2255</v>
      </c>
      <c r="K1263" s="130">
        <f>IF(AND(EXACT(C1263,C1261),C1261&lt;&gt;0),K1261+1,0)</f>
        <v>1</v>
      </c>
      <c r="L1263" s="130" t="str">
        <f t="shared" ref="L1263" si="1449">IF(C1263&lt;&gt;"",C1263&amp;"-"&amp;K1263,"")</f>
        <v>TB/HIV-7.1 Percentage of people living with HIV currently enrolled on antiretroviral therapy who started TB preventive treatment (TPT) during the reporting period-1</v>
      </c>
      <c r="M1263" s="130" t="str">
        <f t="array" ref="M1263">IFERROR(IF(INDEX('Disaggregation Records'!$E$152:$E$513,MATCH(RIGHT(L1263,255),RIGHT('Disaggregation Records'!$D$152:$D$513,255),0))="","",INDEX('Disaggregation Records'!$E$152:$E$513,MATCH(RIGHT(L1263,255),RIGHT('Disaggregation Records'!$D$152:$D$513,255),0))),"")</f>
        <v>TPT regimen</v>
      </c>
      <c r="N1263" s="130" t="str">
        <f t="array" ref="N1263">IFERROR(IF(INDEX('Disaggregation Records'!$F$152:$F$513,MATCH(RIGHT(L1263,255),RIGHT('Disaggregation Records'!$D$152:$D$513,255),0))="","",INDEX('Disaggregation Records'!$F$152:$F$513,MATCH(RIGHT(L1263,255),RIGHT('Disaggregation Records'!$D$152:$D$513,255),0))),"")</f>
        <v>6H</v>
      </c>
      <c r="O1263" s="130" t="str">
        <f t="array" ref="O1263">IFERROR(IF(INDEX('Disaggregation Records'!$H$152:$H$513,MATCH(RIGHT(L1263,255),RIGHT('Disaggregation Records'!$D$152:$D$513,255),0))="","",INDEX('Disaggregation Records'!$H$152:$H$513,MATCH(RIGHT(L1263,255),RIGHT('Disaggregation Records'!$D$152:$D$513,255),0))),"")</f>
        <v>IDR-01370</v>
      </c>
      <c r="P1263" s="130"/>
      <c r="Q1263" s="52">
        <f t="shared" ref="Q1263" si="1450">Q1261+1</f>
        <v>1816</v>
      </c>
    </row>
    <row r="1264" spans="1:17" ht="37.5" customHeight="1" x14ac:dyDescent="0.25">
      <c r="B1264" s="602"/>
      <c r="C1264" s="604"/>
      <c r="D1264" s="606"/>
      <c r="E1264" s="606"/>
      <c r="F1264" s="419">
        <v>800</v>
      </c>
      <c r="G1264" s="608"/>
      <c r="H1264" s="598"/>
      <c r="I1264" s="600"/>
      <c r="J1264" s="532"/>
      <c r="K1264" s="130"/>
      <c r="L1264" s="130"/>
      <c r="M1264" s="130"/>
      <c r="N1264" s="130"/>
      <c r="O1264" s="130"/>
      <c r="P1264" s="130"/>
    </row>
    <row r="1265" spans="1:17" ht="31.05" customHeight="1" x14ac:dyDescent="0.25">
      <c r="A1265" s="130" t="str">
        <f t="shared" ref="A1265:A1325" ca="1" si="1451">INDIRECT("'update Helper'!C"&amp;Q1265)</f>
        <v>a16Dm000000LZeiIAG</v>
      </c>
      <c r="B1265" s="601">
        <v>17</v>
      </c>
      <c r="C1265" s="603" t="str">
        <f>IFERROR(VLOOKUP(B1265,'Coverage Indicators - Section D'!$A$9:$AO$70,41,FALSE),"")</f>
        <v>TB/HIV-7.1 Percentage of people living with HIV currently enrolled on antiretroviral therapy who started TB preventive treatment (TPT) during the reporting period</v>
      </c>
      <c r="D1265" s="605" t="str">
        <f>M1265</f>
        <v>TPT regimen</v>
      </c>
      <c r="E1265" s="605" t="str">
        <f>N1265</f>
        <v>3RH</v>
      </c>
      <c r="F1265" s="131"/>
      <c r="G1265" s="607" t="str">
        <f ca="1">IF(OR(INDIRECT("'update Helper'!E"&amp;Q1265)="",F1265&lt;&gt;0,F1266&lt;&gt;0),IF(IFERROR((F1265/F1266),"")="","",(F1265/F1266)),INDIRECT("'update Helper'!E"&amp;Q1265)/100)</f>
        <v/>
      </c>
      <c r="H1265" s="597">
        <v>2022</v>
      </c>
      <c r="I1265" s="599" t="s">
        <v>2247</v>
      </c>
      <c r="J1265" s="531" t="s">
        <v>2256</v>
      </c>
      <c r="K1265" s="130">
        <f>IF(AND(EXACT(C1265,C1263),C1263&lt;&gt;0),K1263+1,0)</f>
        <v>2</v>
      </c>
      <c r="L1265" s="130" t="str">
        <f t="shared" ref="L1265" si="1452">IF(C1265&lt;&gt;"",C1265&amp;"-"&amp;K1265,"")</f>
        <v>TB/HIV-7.1 Percentage of people living with HIV currently enrolled on antiretroviral therapy who started TB preventive treatment (TPT) during the reporting period-2</v>
      </c>
      <c r="M1265" s="130" t="str">
        <f t="array" ref="M1265">IFERROR(IF(INDEX('Disaggregation Records'!$E$152:$E$513,MATCH(RIGHT(L1265,255),RIGHT('Disaggregation Records'!$D$152:$D$513,255),0))="","",INDEX('Disaggregation Records'!$E$152:$E$513,MATCH(RIGHT(L1265,255),RIGHT('Disaggregation Records'!$D$152:$D$513,255),0))),"")</f>
        <v>TPT regimen</v>
      </c>
      <c r="N1265" s="130" t="str">
        <f t="array" ref="N1265">IFERROR(IF(INDEX('Disaggregation Records'!$F$152:$F$513,MATCH(RIGHT(L1265,255),RIGHT('Disaggregation Records'!$D$152:$D$513,255),0))="","",INDEX('Disaggregation Records'!$F$152:$F$513,MATCH(RIGHT(L1265,255),RIGHT('Disaggregation Records'!$D$152:$D$513,255),0))),"")</f>
        <v>3RH</v>
      </c>
      <c r="O1265" s="130" t="str">
        <f t="array" ref="O1265">IFERROR(IF(INDEX('Disaggregation Records'!$H$152:$H$513,MATCH(RIGHT(L1265,255),RIGHT('Disaggregation Records'!$D$152:$D$513,255),0))="","",INDEX('Disaggregation Records'!$H$152:$H$513,MATCH(RIGHT(L1265,255),RIGHT('Disaggregation Records'!$D$152:$D$513,255),0))),"")</f>
        <v>IDR-01369</v>
      </c>
      <c r="Q1265" s="52">
        <f t="shared" ref="Q1265" si="1453">Q1263+1</f>
        <v>1817</v>
      </c>
    </row>
    <row r="1266" spans="1:17" ht="39.75" customHeight="1" x14ac:dyDescent="0.25">
      <c r="A1266" s="130"/>
      <c r="B1266" s="602"/>
      <c r="C1266" s="604"/>
      <c r="D1266" s="606"/>
      <c r="E1266" s="606"/>
      <c r="F1266" s="132"/>
      <c r="G1266" s="608"/>
      <c r="H1266" s="598"/>
      <c r="I1266" s="600"/>
      <c r="J1266" s="532"/>
      <c r="L1266" s="130"/>
      <c r="N1266" s="130"/>
      <c r="O1266" s="130"/>
    </row>
    <row r="1267" spans="1:17" ht="31.5" customHeight="1" x14ac:dyDescent="0.25">
      <c r="A1267" s="130" t="str">
        <f t="shared" ref="A1267:A1327" ca="1" si="1454">INDIRECT("'update Helper'!C"&amp;Q1267)</f>
        <v>a16Dm000000LZejIAG</v>
      </c>
      <c r="B1267" s="601">
        <v>17</v>
      </c>
      <c r="C1267" s="603" t="str">
        <f>IFERROR(VLOOKUP(B1267,'Coverage Indicators - Section D'!$A$9:$AO$70,41,FALSE),"")</f>
        <v>TB/HIV-7.1 Percentage of people living with HIV currently enrolled on antiretroviral therapy who started TB preventive treatment (TPT) during the reporting period</v>
      </c>
      <c r="D1267" s="605" t="str">
        <f>M1267</f>
        <v>TPT regimen</v>
      </c>
      <c r="E1267" s="605" t="str">
        <f>N1267</f>
        <v>RIF</v>
      </c>
      <c r="F1267" s="131"/>
      <c r="G1267" s="607" t="str">
        <f ca="1">IF(OR(INDIRECT("'update Helper'!E"&amp;Q1267)="",F1267&lt;&gt;0,F1268&lt;&gt;0),IF(IFERROR((F1267/F1268),"")="","",(F1267/F1268)),INDIRECT("'update Helper'!E"&amp;Q1267)/100)</f>
        <v/>
      </c>
      <c r="H1267" s="597">
        <v>2022</v>
      </c>
      <c r="I1267" s="599" t="s">
        <v>2247</v>
      </c>
      <c r="J1267" s="531" t="s">
        <v>2257</v>
      </c>
      <c r="K1267" s="130">
        <f>IF(AND(EXACT(C1267,C1265),C1265&lt;&gt;0),K1265+1,0)</f>
        <v>3</v>
      </c>
      <c r="L1267" s="130" t="str">
        <f t="shared" ref="L1267" si="1455">IF(C1267&lt;&gt;"",C1267&amp;"-"&amp;K1267,"")</f>
        <v>TB/HIV-7.1 Percentage of people living with HIV currently enrolled on antiretroviral therapy who started TB preventive treatment (TPT) during the reporting period-3</v>
      </c>
      <c r="M1267" s="130" t="str">
        <f t="array" ref="M1267">IFERROR(IF(INDEX('Disaggregation Records'!$E$152:$E$513,MATCH(RIGHT(L1267,255),RIGHT('Disaggregation Records'!$D$152:$D$513,255),0))="","",INDEX('Disaggregation Records'!$E$152:$E$513,MATCH(RIGHT(L1267,255),RIGHT('Disaggregation Records'!$D$152:$D$513,255),0))),"")</f>
        <v>TPT regimen</v>
      </c>
      <c r="N1267" s="130" t="str">
        <f t="array" ref="N1267">IFERROR(IF(INDEX('Disaggregation Records'!$F$152:$F$513,MATCH(RIGHT(L1267,255),RIGHT('Disaggregation Records'!$D$152:$D$513,255),0))="","",INDEX('Disaggregation Records'!$F$152:$F$513,MATCH(RIGHT(L1267,255),RIGHT('Disaggregation Records'!$D$152:$D$513,255),0))),"")</f>
        <v>RIF</v>
      </c>
      <c r="O1267" s="130" t="str">
        <f t="array" ref="O1267">IFERROR(IF(INDEX('Disaggregation Records'!$H$152:$H$513,MATCH(RIGHT(L1267,255),RIGHT('Disaggregation Records'!$D$152:$D$513,255),0))="","",INDEX('Disaggregation Records'!$H$152:$H$513,MATCH(RIGHT(L1267,255),RIGHT('Disaggregation Records'!$D$152:$D$513,255),0))),"")</f>
        <v>IDR-01368</v>
      </c>
      <c r="Q1267" s="52">
        <f t="shared" ref="Q1267" si="1456">Q1265+1</f>
        <v>1818</v>
      </c>
    </row>
    <row r="1268" spans="1:17" ht="37.5" customHeight="1" x14ac:dyDescent="0.25">
      <c r="B1268" s="602"/>
      <c r="C1268" s="604"/>
      <c r="D1268" s="606"/>
      <c r="E1268" s="606"/>
      <c r="F1268" s="132"/>
      <c r="G1268" s="608"/>
      <c r="H1268" s="598"/>
      <c r="I1268" s="600"/>
      <c r="J1268" s="532"/>
      <c r="L1268" s="130"/>
      <c r="N1268" s="130"/>
      <c r="O1268" s="130"/>
    </row>
    <row r="1269" spans="1:17" ht="42" customHeight="1" x14ac:dyDescent="0.25">
      <c r="A1269" s="130" t="str">
        <f t="shared" ca="1" si="1451"/>
        <v>a16Dm000000LZekIAG</v>
      </c>
      <c r="B1269" s="601">
        <v>17</v>
      </c>
      <c r="C1269" s="603" t="str">
        <f>IFERROR(VLOOKUP(B1269,'Coverage Indicators - Section D'!$A$9:$AO$70,41,FALSE),"")</f>
        <v>TB/HIV-7.1 Percentage of people living with HIV currently enrolled on antiretroviral therapy who started TB preventive treatment (TPT) during the reporting period</v>
      </c>
      <c r="D1269" s="605" t="str">
        <f>M1269</f>
        <v>Gender</v>
      </c>
      <c r="E1269" s="605" t="str">
        <f>N1269</f>
        <v>Male</v>
      </c>
      <c r="F1269" s="131">
        <v>204</v>
      </c>
      <c r="G1269" s="607">
        <f ca="1">IF(OR(INDIRECT("'update Helper'!E"&amp;Q1269)="",F1269&lt;&gt;0,F1270&lt;&gt;0),IF(IFERROR((F1269/F1270),"")="","",(F1269/F1270)),INDIRECT("'update Helper'!E"&amp;Q1269)/100)</f>
        <v>0.42061855670103093</v>
      </c>
      <c r="H1269" s="597">
        <v>2022</v>
      </c>
      <c r="I1269" s="599" t="s">
        <v>2247</v>
      </c>
      <c r="J1269" s="617" t="s">
        <v>2258</v>
      </c>
      <c r="K1269" s="130">
        <f>IF(AND(EXACT(C1269,C1267),C1267&lt;&gt;0),K1267+1,0)</f>
        <v>4</v>
      </c>
      <c r="L1269" s="130" t="str">
        <f t="shared" ref="L1269" si="1457">IF(C1269&lt;&gt;"",C1269&amp;"-"&amp;K1269,"")</f>
        <v>TB/HIV-7.1 Percentage of people living with HIV currently enrolled on antiretroviral therapy who started TB preventive treatment (TPT) during the reporting period-4</v>
      </c>
      <c r="M1269" s="130" t="str">
        <f t="array" ref="M1269">IFERROR(IF(INDEX('Disaggregation Records'!$E$152:$E$513,MATCH(RIGHT(L1269,255),RIGHT('Disaggregation Records'!$D$152:$D$513,255),0))="","",INDEX('Disaggregation Records'!$E$152:$E$513,MATCH(RIGHT(L1269,255),RIGHT('Disaggregation Records'!$D$152:$D$513,255),0))),"")</f>
        <v>Gender</v>
      </c>
      <c r="N1269" s="130" t="str">
        <f t="array" ref="N1269">IFERROR(IF(INDEX('Disaggregation Records'!$F$152:$F$513,MATCH(RIGHT(L1269,255),RIGHT('Disaggregation Records'!$D$152:$D$513,255),0))="","",INDEX('Disaggregation Records'!$F$152:$F$513,MATCH(RIGHT(L1269,255),RIGHT('Disaggregation Records'!$D$152:$D$513,255),0))),"")</f>
        <v>Male</v>
      </c>
      <c r="O1269" s="130" t="str">
        <f t="array" ref="O1269">IFERROR(IF(INDEX('Disaggregation Records'!$H$152:$H$513,MATCH(RIGHT(L1269,255),RIGHT('Disaggregation Records'!$D$152:$D$513,255),0))="","",INDEX('Disaggregation Records'!$H$152:$H$513,MATCH(RIGHT(L1269,255),RIGHT('Disaggregation Records'!$D$152:$D$513,255),0))),"")</f>
        <v>IDR-01367</v>
      </c>
      <c r="Q1269" s="52">
        <f t="shared" ref="Q1269" si="1458">Q1267+1</f>
        <v>1819</v>
      </c>
    </row>
    <row r="1270" spans="1:17" ht="30" customHeight="1" x14ac:dyDescent="0.25">
      <c r="A1270" s="130"/>
      <c r="B1270" s="602"/>
      <c r="C1270" s="604"/>
      <c r="D1270" s="606"/>
      <c r="E1270" s="606"/>
      <c r="F1270" s="419">
        <v>485</v>
      </c>
      <c r="G1270" s="608"/>
      <c r="H1270" s="598"/>
      <c r="I1270" s="600"/>
      <c r="J1270" s="532"/>
      <c r="L1270" s="130"/>
      <c r="N1270" s="130"/>
      <c r="O1270" s="130"/>
    </row>
    <row r="1271" spans="1:17" ht="27.75" customHeight="1" x14ac:dyDescent="0.25">
      <c r="A1271" s="130" t="str">
        <f t="shared" ca="1" si="1454"/>
        <v>a16Dm000000LZelIAG</v>
      </c>
      <c r="B1271" s="601">
        <v>17</v>
      </c>
      <c r="C1271" s="603" t="str">
        <f>IFERROR(VLOOKUP(B1271,'Coverage Indicators - Section D'!$A$9:$AO$70,41,FALSE),"")</f>
        <v>TB/HIV-7.1 Percentage of people living with HIV currently enrolled on antiretroviral therapy who started TB preventive treatment (TPT) during the reporting period</v>
      </c>
      <c r="D1271" s="605" t="str">
        <f>M1271</f>
        <v>Age</v>
      </c>
      <c r="E1271" s="605" t="str">
        <f>N1271</f>
        <v>5-14</v>
      </c>
      <c r="F1271" s="131">
        <v>0</v>
      </c>
      <c r="G1271" s="607">
        <f ca="1">IF(OR(INDIRECT("'update Helper'!E"&amp;Q1271)="",F1271&lt;&gt;0,F1272&lt;&gt;0),IF(IFERROR((F1271/F1272),"")="","",(F1271/F1272)),INDIRECT("'update Helper'!E"&amp;Q1271)/100)</f>
        <v>0</v>
      </c>
      <c r="H1271" s="597">
        <v>2022</v>
      </c>
      <c r="I1271" s="599" t="s">
        <v>2247</v>
      </c>
      <c r="J1271" s="617" t="s">
        <v>2259</v>
      </c>
      <c r="K1271" s="130">
        <f>IF(AND(EXACT(C1271,C1269),C1269&lt;&gt;0),K1269+1,0)</f>
        <v>5</v>
      </c>
      <c r="L1271" s="130" t="str">
        <f t="shared" ref="L1271" si="1459">IF(C1271&lt;&gt;"",C1271&amp;"-"&amp;K1271,"")</f>
        <v>TB/HIV-7.1 Percentage of people living with HIV currently enrolled on antiretroviral therapy who started TB preventive treatment (TPT) during the reporting period-5</v>
      </c>
      <c r="M1271" s="130" t="str">
        <f t="array" ref="M1271">IFERROR(IF(INDEX('Disaggregation Records'!$E$152:$E$513,MATCH(RIGHT(L1271,255),RIGHT('Disaggregation Records'!$D$152:$D$513,255),0))="","",INDEX('Disaggregation Records'!$E$152:$E$513,MATCH(RIGHT(L1271,255),RIGHT('Disaggregation Records'!$D$152:$D$513,255),0))),"")</f>
        <v>Age</v>
      </c>
      <c r="N1271" s="130" t="str">
        <f t="array" ref="N1271">IFERROR(IF(INDEX('Disaggregation Records'!$F$152:$F$513,MATCH(RIGHT(L1271,255),RIGHT('Disaggregation Records'!$D$152:$D$513,255),0))="","",INDEX('Disaggregation Records'!$F$152:$F$513,MATCH(RIGHT(L1271,255),RIGHT('Disaggregation Records'!$D$152:$D$513,255),0))),"")</f>
        <v>5-14</v>
      </c>
      <c r="O1271" s="130" t="str">
        <f t="array" ref="O1271">IFERROR(IF(INDEX('Disaggregation Records'!$H$152:$H$513,MATCH(RIGHT(L1271,255),RIGHT('Disaggregation Records'!$D$152:$D$513,255),0))="","",INDEX('Disaggregation Records'!$H$152:$H$513,MATCH(RIGHT(L1271,255),RIGHT('Disaggregation Records'!$D$152:$D$513,255),0))),"")</f>
        <v>IDR-01366</v>
      </c>
      <c r="P1271" s="130"/>
      <c r="Q1271" s="52">
        <f t="shared" ref="Q1271" si="1460">Q1269+1</f>
        <v>1820</v>
      </c>
    </row>
    <row r="1272" spans="1:17" ht="41.25" customHeight="1" x14ac:dyDescent="0.25">
      <c r="B1272" s="602"/>
      <c r="C1272" s="604"/>
      <c r="D1272" s="606"/>
      <c r="E1272" s="606"/>
      <c r="F1272" s="419">
        <v>4</v>
      </c>
      <c r="G1272" s="608"/>
      <c r="H1272" s="598"/>
      <c r="I1272" s="600"/>
      <c r="J1272" s="532"/>
      <c r="K1272" s="130"/>
      <c r="L1272" s="130"/>
      <c r="M1272" s="130"/>
      <c r="N1272" s="130"/>
      <c r="O1272" s="130"/>
      <c r="P1272" s="130"/>
    </row>
    <row r="1273" spans="1:17" ht="20.100000000000001" customHeight="1" x14ac:dyDescent="0.25">
      <c r="A1273" s="130" t="str">
        <f t="shared" ca="1" si="1451"/>
        <v>a16Dm000000LZemIAG</v>
      </c>
      <c r="B1273" s="601">
        <v>17</v>
      </c>
      <c r="C1273" s="603" t="str">
        <f>IFERROR(VLOOKUP(B1273,'Coverage Indicators - Section D'!$A$9:$AO$70,41,FALSE),"")</f>
        <v>TB/HIV-7.1 Percentage of people living with HIV currently enrolled on antiretroviral therapy who started TB preventive treatment (TPT) during the reporting period</v>
      </c>
      <c r="D1273" s="605" t="str">
        <f>M1273</f>
        <v>TPT regimen</v>
      </c>
      <c r="E1273" s="605" t="str">
        <f>N1273</f>
        <v>1HP</v>
      </c>
      <c r="F1273" s="131"/>
      <c r="G1273" s="607" t="str">
        <f ca="1">IF(OR(INDIRECT("'update Helper'!E"&amp;Q1273)="",F1273&lt;&gt;0,F1274&lt;&gt;0),IF(IFERROR((F1273/F1274),"")="","",(F1273/F1274)),INDIRECT("'update Helper'!E"&amp;Q1273)/100)</f>
        <v/>
      </c>
      <c r="H1273" s="597">
        <v>2022</v>
      </c>
      <c r="I1273" s="599" t="s">
        <v>2247</v>
      </c>
      <c r="J1273" s="531" t="s">
        <v>2260</v>
      </c>
      <c r="K1273" s="130">
        <f>IF(AND(EXACT(C1273,C1271),C1271&lt;&gt;0),K1271+1,0)</f>
        <v>6</v>
      </c>
      <c r="L1273" s="130" t="str">
        <f t="shared" ref="L1273" si="1461">IF(C1273&lt;&gt;"",C1273&amp;"-"&amp;K1273,"")</f>
        <v>TB/HIV-7.1 Percentage of people living with HIV currently enrolled on antiretroviral therapy who started TB preventive treatment (TPT) during the reporting period-6</v>
      </c>
      <c r="M1273" s="130" t="str">
        <f t="array" ref="M1273">IFERROR(IF(INDEX('Disaggregation Records'!$E$152:$E$513,MATCH(RIGHT(L1273,255),RIGHT('Disaggregation Records'!$D$152:$D$513,255),0))="","",INDEX('Disaggregation Records'!$E$152:$E$513,MATCH(RIGHT(L1273,255),RIGHT('Disaggregation Records'!$D$152:$D$513,255),0))),"")</f>
        <v>TPT regimen</v>
      </c>
      <c r="N1273" s="130" t="str">
        <f t="array" ref="N1273">IFERROR(IF(INDEX('Disaggregation Records'!$F$152:$F$513,MATCH(RIGHT(L1273,255),RIGHT('Disaggregation Records'!$D$152:$D$513,255),0))="","",INDEX('Disaggregation Records'!$F$152:$F$513,MATCH(RIGHT(L1273,255),RIGHT('Disaggregation Records'!$D$152:$D$513,255),0))),"")</f>
        <v>1HP</v>
      </c>
      <c r="O1273" s="130" t="str">
        <f t="array" ref="O1273">IFERROR(IF(INDEX('Disaggregation Records'!$H$152:$H$513,MATCH(RIGHT(L1273,255),RIGHT('Disaggregation Records'!$D$152:$D$513,255),0))="","",INDEX('Disaggregation Records'!$H$152:$H$513,MATCH(RIGHT(L1273,255),RIGHT('Disaggregation Records'!$D$152:$D$513,255),0))),"")</f>
        <v>IDR-01365</v>
      </c>
      <c r="P1273" s="130"/>
      <c r="Q1273" s="52">
        <f t="shared" ref="Q1273" si="1462">Q1271+1</f>
        <v>1821</v>
      </c>
    </row>
    <row r="1274" spans="1:17" ht="52.95" customHeight="1" x14ac:dyDescent="0.25">
      <c r="A1274" s="130"/>
      <c r="B1274" s="602"/>
      <c r="C1274" s="604"/>
      <c r="D1274" s="606"/>
      <c r="E1274" s="606"/>
      <c r="F1274" s="132"/>
      <c r="G1274" s="608"/>
      <c r="H1274" s="598"/>
      <c r="I1274" s="600"/>
      <c r="J1274" s="532"/>
      <c r="K1274" s="130"/>
      <c r="L1274" s="130"/>
      <c r="M1274" s="130"/>
      <c r="N1274" s="130"/>
      <c r="O1274" s="130"/>
      <c r="P1274" s="130"/>
    </row>
    <row r="1275" spans="1:17" ht="23.25" customHeight="1" x14ac:dyDescent="0.25">
      <c r="A1275" s="130" t="str">
        <f t="shared" ca="1" si="1454"/>
        <v>a16Dm000000LZenIAG</v>
      </c>
      <c r="B1275" s="601">
        <v>17</v>
      </c>
      <c r="C1275" s="603" t="str">
        <f>IFERROR(VLOOKUP(B1275,'Coverage Indicators - Section D'!$A$9:$AO$70,41,FALSE),"")</f>
        <v>TB/HIV-7.1 Percentage of people living with HIV currently enrolled on antiretroviral therapy who started TB preventive treatment (TPT) during the reporting period</v>
      </c>
      <c r="D1275" s="605" t="str">
        <f>M1275</f>
        <v>Age</v>
      </c>
      <c r="E1275" s="605" t="str">
        <f>N1275</f>
        <v>&lt;5</v>
      </c>
      <c r="F1275" s="131">
        <v>2</v>
      </c>
      <c r="G1275" s="607">
        <f ca="1">IF(OR(INDIRECT("'update Helper'!E"&amp;Q1275)="",F1275&lt;&gt;0,F1276&lt;&gt;0),IF(IFERROR((F1275/F1276),"")="","",(F1275/F1276)),INDIRECT("'update Helper'!E"&amp;Q1275)/100)</f>
        <v>0.14285714285714285</v>
      </c>
      <c r="H1275" s="597">
        <v>2022</v>
      </c>
      <c r="I1275" s="599" t="s">
        <v>2247</v>
      </c>
      <c r="J1275" s="618" t="s">
        <v>2261</v>
      </c>
      <c r="K1275" s="130">
        <f>IF(AND(EXACT(C1275,C1273),C1273&lt;&gt;0),K1273+1,0)</f>
        <v>7</v>
      </c>
      <c r="L1275" s="130" t="str">
        <f t="shared" ref="L1275" si="1463">IF(C1275&lt;&gt;"",C1275&amp;"-"&amp;K1275,"")</f>
        <v>TB/HIV-7.1 Percentage of people living with HIV currently enrolled on antiretroviral therapy who started TB preventive treatment (TPT) during the reporting period-7</v>
      </c>
      <c r="M1275" s="130" t="str">
        <f t="array" ref="M1275">IFERROR(IF(INDEX('Disaggregation Records'!$E$152:$E$513,MATCH(RIGHT(L1275,255),RIGHT('Disaggregation Records'!$D$152:$D$513,255),0))="","",INDEX('Disaggregation Records'!$E$152:$E$513,MATCH(RIGHT(L1275,255),RIGHT('Disaggregation Records'!$D$152:$D$513,255),0))),"")</f>
        <v>Age</v>
      </c>
      <c r="N1275" s="130" t="str">
        <f t="array" ref="N1275">IFERROR(IF(INDEX('Disaggregation Records'!$F$152:$F$513,MATCH(RIGHT(L1275,255),RIGHT('Disaggregation Records'!$D$152:$D$513,255),0))="","",INDEX('Disaggregation Records'!$F$152:$F$513,MATCH(RIGHT(L1275,255),RIGHT('Disaggregation Records'!$D$152:$D$513,255),0))),"")</f>
        <v>&lt;5</v>
      </c>
      <c r="O1275" s="130" t="str">
        <f t="array" ref="O1275">IFERROR(IF(INDEX('Disaggregation Records'!$H$152:$H$513,MATCH(RIGHT(L1275,255),RIGHT('Disaggregation Records'!$D$152:$D$513,255),0))="","",INDEX('Disaggregation Records'!$H$152:$H$513,MATCH(RIGHT(L1275,255),RIGHT('Disaggregation Records'!$D$152:$D$513,255),0))),"")</f>
        <v>IDR-01364</v>
      </c>
      <c r="Q1275" s="52">
        <f t="shared" ref="Q1275" si="1464">Q1273+1</f>
        <v>1822</v>
      </c>
    </row>
    <row r="1276" spans="1:17" ht="55.5" customHeight="1" x14ac:dyDescent="0.25">
      <c r="B1276" s="602"/>
      <c r="C1276" s="604"/>
      <c r="D1276" s="606"/>
      <c r="E1276" s="606"/>
      <c r="F1276" s="419">
        <v>14</v>
      </c>
      <c r="G1276" s="608"/>
      <c r="H1276" s="598"/>
      <c r="I1276" s="600"/>
      <c r="J1276" s="532"/>
      <c r="L1276" s="130"/>
      <c r="N1276" s="130"/>
      <c r="O1276" s="130"/>
    </row>
    <row r="1277" spans="1:17" ht="39.75" customHeight="1" x14ac:dyDescent="0.25">
      <c r="A1277" s="130" t="str">
        <f t="shared" ca="1" si="1451"/>
        <v>a16Dm000000LZeoIAG</v>
      </c>
      <c r="B1277" s="601">
        <v>17</v>
      </c>
      <c r="C1277" s="603" t="str">
        <f>IFERROR(VLOOKUP(B1277,'Coverage Indicators - Section D'!$A$9:$AO$70,41,FALSE),"")</f>
        <v>TB/HIV-7.1 Percentage of people living with HIV currently enrolled on antiretroviral therapy who started TB preventive treatment (TPT) during the reporting period</v>
      </c>
      <c r="D1277" s="605" t="str">
        <f>M1277</f>
        <v>TPT regimen</v>
      </c>
      <c r="E1277" s="605" t="str">
        <f>N1277</f>
        <v>3HP</v>
      </c>
      <c r="F1277" s="131"/>
      <c r="G1277" s="607" t="str">
        <f ca="1">IF(OR(INDIRECT("'update Helper'!E"&amp;Q1277)="",F1277&lt;&gt;0,F1278&lt;&gt;0),IF(IFERROR((F1277/F1278),"")="","",(F1277/F1278)),INDIRECT("'update Helper'!E"&amp;Q1277)/100)</f>
        <v/>
      </c>
      <c r="H1277" s="597">
        <v>2022</v>
      </c>
      <c r="I1277" s="599" t="s">
        <v>2247</v>
      </c>
      <c r="J1277" s="531" t="s">
        <v>2260</v>
      </c>
      <c r="K1277" s="130">
        <f>IF(AND(EXACT(C1277,C1275),C1275&lt;&gt;0),K1275+1,0)</f>
        <v>8</v>
      </c>
      <c r="L1277" s="130" t="str">
        <f t="shared" ref="L1277" si="1465">IF(C1277&lt;&gt;"",C1277&amp;"-"&amp;K1277,"")</f>
        <v>TB/HIV-7.1 Percentage of people living with HIV currently enrolled on antiretroviral therapy who started TB preventive treatment (TPT) during the reporting period-8</v>
      </c>
      <c r="M1277" s="130" t="str">
        <f t="array" ref="M1277">IFERROR(IF(INDEX('Disaggregation Records'!$E$152:$E$513,MATCH(RIGHT(L1277,255),RIGHT('Disaggregation Records'!$D$152:$D$513,255),0))="","",INDEX('Disaggregation Records'!$E$152:$E$513,MATCH(RIGHT(L1277,255),RIGHT('Disaggregation Records'!$D$152:$D$513,255),0))),"")</f>
        <v>TPT regimen</v>
      </c>
      <c r="N1277" s="130" t="str">
        <f t="array" ref="N1277">IFERROR(IF(INDEX('Disaggregation Records'!$F$152:$F$513,MATCH(RIGHT(L1277,255),RIGHT('Disaggregation Records'!$D$152:$D$513,255),0))="","",INDEX('Disaggregation Records'!$F$152:$F$513,MATCH(RIGHT(L1277,255),RIGHT('Disaggregation Records'!$D$152:$D$513,255),0))),"")</f>
        <v>3HP</v>
      </c>
      <c r="O1277" s="130" t="str">
        <f t="array" ref="O1277">IFERROR(IF(INDEX('Disaggregation Records'!$H$152:$H$513,MATCH(RIGHT(L1277,255),RIGHT('Disaggregation Records'!$D$152:$D$513,255),0))="","",INDEX('Disaggregation Records'!$H$152:$H$513,MATCH(RIGHT(L1277,255),RIGHT('Disaggregation Records'!$D$152:$D$513,255),0))),"")</f>
        <v>IDR-01363</v>
      </c>
      <c r="Q1277" s="52">
        <f t="shared" ref="Q1277" si="1466">Q1275+1</f>
        <v>1823</v>
      </c>
    </row>
    <row r="1278" spans="1:17" ht="27.75" customHeight="1" x14ac:dyDescent="0.25">
      <c r="A1278" s="130"/>
      <c r="B1278" s="602"/>
      <c r="C1278" s="604"/>
      <c r="D1278" s="606"/>
      <c r="E1278" s="606"/>
      <c r="F1278" s="132"/>
      <c r="G1278" s="608"/>
      <c r="H1278" s="598"/>
      <c r="I1278" s="600"/>
      <c r="J1278" s="532"/>
      <c r="L1278" s="130"/>
      <c r="N1278" s="130"/>
      <c r="O1278" s="130"/>
    </row>
    <row r="1279" spans="1:17" ht="33" customHeight="1" x14ac:dyDescent="0.25">
      <c r="A1279" s="130" t="str">
        <f t="shared" ca="1" si="1454"/>
        <v>a16Dm000000LZepIAG</v>
      </c>
      <c r="B1279" s="601">
        <v>17</v>
      </c>
      <c r="C1279" s="603" t="str">
        <f>IFERROR(VLOOKUP(B1279,'Coverage Indicators - Section D'!$A$9:$AO$70,41,FALSE),"")</f>
        <v>TB/HIV-7.1 Percentage of people living with HIV currently enrolled on antiretroviral therapy who started TB preventive treatment (TPT) during the reporting period</v>
      </c>
      <c r="D1279" s="605" t="str">
        <f>M1279</f>
        <v>Gender</v>
      </c>
      <c r="E1279" s="605" t="str">
        <f>N1279</f>
        <v>Female</v>
      </c>
      <c r="F1279" s="131">
        <v>132</v>
      </c>
      <c r="G1279" s="607">
        <f ca="1">IF(OR(INDIRECT("'update Helper'!E"&amp;Q1279)="",F1279&lt;&gt;0,F1280&lt;&gt;0),IF(IFERROR((F1279/F1280),"")="","",(F1279/F1280)),INDIRECT("'update Helper'!E"&amp;Q1279)/100)</f>
        <v>0.41904761904761906</v>
      </c>
      <c r="H1279" s="597">
        <v>2022</v>
      </c>
      <c r="I1279" s="599" t="s">
        <v>2247</v>
      </c>
      <c r="J1279" s="617" t="s">
        <v>2259</v>
      </c>
      <c r="K1279" s="130">
        <f>IF(AND(EXACT(C1279,C1277),C1277&lt;&gt;0),K1277+1,0)</f>
        <v>9</v>
      </c>
      <c r="L1279" s="130" t="str">
        <f t="shared" ref="L1279" si="1467">IF(C1279&lt;&gt;"",C1279&amp;"-"&amp;K1279,"")</f>
        <v>TB/HIV-7.1 Percentage of people living with HIV currently enrolled on antiretroviral therapy who started TB preventive treatment (TPT) during the reporting period-9</v>
      </c>
      <c r="M1279" s="130" t="str">
        <f t="array" ref="M1279">IFERROR(IF(INDEX('Disaggregation Records'!$E$152:$E$513,MATCH(RIGHT(L1279,255),RIGHT('Disaggregation Records'!$D$152:$D$513,255),0))="","",INDEX('Disaggregation Records'!$E$152:$E$513,MATCH(RIGHT(L1279,255),RIGHT('Disaggregation Records'!$D$152:$D$513,255),0))),"")</f>
        <v>Gender</v>
      </c>
      <c r="N1279" s="130" t="str">
        <f t="array" ref="N1279">IFERROR(IF(INDEX('Disaggregation Records'!$F$152:$F$513,MATCH(RIGHT(L1279,255),RIGHT('Disaggregation Records'!$D$152:$D$513,255),0))="","",INDEX('Disaggregation Records'!$F$152:$F$513,MATCH(RIGHT(L1279,255),RIGHT('Disaggregation Records'!$D$152:$D$513,255),0))),"")</f>
        <v>Female</v>
      </c>
      <c r="O1279" s="130" t="str">
        <f t="array" ref="O1279">IFERROR(IF(INDEX('Disaggregation Records'!$H$152:$H$513,MATCH(RIGHT(L1279,255),RIGHT('Disaggregation Records'!$D$152:$D$513,255),0))="","",INDEX('Disaggregation Records'!$H$152:$H$513,MATCH(RIGHT(L1279,255),RIGHT('Disaggregation Records'!$D$152:$D$513,255),0))),"")</f>
        <v>IDR-01362</v>
      </c>
      <c r="Q1279" s="52">
        <f t="shared" ref="Q1279" si="1468">Q1277+1</f>
        <v>1824</v>
      </c>
    </row>
    <row r="1280" spans="1:17" ht="33.75" customHeight="1" x14ac:dyDescent="0.25">
      <c r="B1280" s="602"/>
      <c r="C1280" s="604"/>
      <c r="D1280" s="606"/>
      <c r="E1280" s="606"/>
      <c r="F1280" s="419">
        <v>315</v>
      </c>
      <c r="G1280" s="608"/>
      <c r="H1280" s="598"/>
      <c r="I1280" s="600"/>
      <c r="J1280" s="532"/>
      <c r="L1280" s="130"/>
      <c r="N1280" s="130"/>
      <c r="O1280" s="130"/>
    </row>
    <row r="1281" spans="1:17" ht="20.100000000000001" customHeight="1" x14ac:dyDescent="0.25">
      <c r="A1281" s="130" t="str">
        <f t="shared" ca="1" si="1451"/>
        <v>a16Dm000000LZeqIAG</v>
      </c>
      <c r="B1281" s="601">
        <v>17</v>
      </c>
      <c r="C1281" s="603" t="str">
        <f>IFERROR(VLOOKUP(B1281,'Coverage Indicators - Section D'!$A$9:$AO$70,41,FALSE),"")</f>
        <v>TB/HIV-7.1 Percentage of people living with HIV currently enrolled on antiretroviral therapy who started TB preventive treatment (TPT) during the reporting period</v>
      </c>
      <c r="D1281" s="605" t="str">
        <f>M1281</f>
        <v/>
      </c>
      <c r="E1281" s="605" t="str">
        <f>N1281</f>
        <v/>
      </c>
      <c r="F1281" s="131"/>
      <c r="G1281" s="607" t="str">
        <f ca="1">IF(OR(INDIRECT("'update Helper'!E"&amp;Q1281)="",F1281&lt;&gt;0,F1282&lt;&gt;0),IF(IFERROR((F1281/F1282),"")="","",(F1281/F1282)),INDIRECT("'update Helper'!E"&amp;Q1281)/100)</f>
        <v/>
      </c>
      <c r="H1281" s="597"/>
      <c r="I1281" s="599"/>
      <c r="J1281" s="531"/>
      <c r="K1281" s="130">
        <f>IF(AND(EXACT(C1281,C1279),C1279&lt;&gt;0),K1279+1,0)</f>
        <v>10</v>
      </c>
      <c r="L1281" s="130" t="str">
        <f t="shared" ref="L1281" si="1469">IF(C1281&lt;&gt;"",C1281&amp;"-"&amp;K1281,"")</f>
        <v>TB/HIV-7.1 Percentage of people living with HIV currently enrolled on antiretroviral therapy who started TB preventive treatment (TPT) during the reporting period-10</v>
      </c>
      <c r="M1281" s="130" t="str">
        <f t="array" ref="M1281">IFERROR(IF(INDEX('Disaggregation Records'!$E$152:$E$513,MATCH(RIGHT(L1281,255),RIGHT('Disaggregation Records'!$D$152:$D$513,255),0))="","",INDEX('Disaggregation Records'!$E$152:$E$513,MATCH(RIGHT(L1281,255),RIGHT('Disaggregation Records'!$D$152:$D$513,255),0))),"")</f>
        <v/>
      </c>
      <c r="N1281" s="130" t="str">
        <f t="array" ref="N1281">IFERROR(IF(INDEX('Disaggregation Records'!$F$152:$F$513,MATCH(RIGHT(L1281,255),RIGHT('Disaggregation Records'!$D$152:$D$513,255),0))="","",INDEX('Disaggregation Records'!$F$152:$F$513,MATCH(RIGHT(L1281,255),RIGHT('Disaggregation Records'!$D$152:$D$513,255),0))),"")</f>
        <v/>
      </c>
      <c r="O1281" s="130" t="str">
        <f t="array" ref="O1281">IFERROR(IF(INDEX('Disaggregation Records'!$H$152:$H$513,MATCH(RIGHT(L1281,255),RIGHT('Disaggregation Records'!$D$152:$D$513,255),0))="","",INDEX('Disaggregation Records'!$H$152:$H$513,MATCH(RIGHT(L1281,255),RIGHT('Disaggregation Records'!$D$152:$D$513,255),0))),"")</f>
        <v/>
      </c>
      <c r="P1281" s="130"/>
      <c r="Q1281" s="52">
        <f t="shared" ref="Q1281" si="1470">Q1279+1</f>
        <v>1825</v>
      </c>
    </row>
    <row r="1282" spans="1:17" ht="20.100000000000001" customHeight="1" x14ac:dyDescent="0.25">
      <c r="A1282" s="130"/>
      <c r="B1282" s="602"/>
      <c r="C1282" s="604"/>
      <c r="D1282" s="606"/>
      <c r="E1282" s="606"/>
      <c r="F1282" s="132"/>
      <c r="G1282" s="608"/>
      <c r="H1282" s="598"/>
      <c r="I1282" s="600"/>
      <c r="J1282" s="532"/>
      <c r="K1282" s="130"/>
      <c r="L1282" s="130"/>
      <c r="M1282" s="130"/>
      <c r="N1282" s="130"/>
      <c r="O1282" s="130"/>
      <c r="P1282" s="130"/>
    </row>
    <row r="1283" spans="1:17" ht="20.100000000000001" customHeight="1" x14ac:dyDescent="0.25">
      <c r="A1283" s="130" t="str">
        <f t="shared" ca="1" si="1454"/>
        <v>a16Dm000000LZerIAG</v>
      </c>
      <c r="B1283" s="601">
        <v>17</v>
      </c>
      <c r="C1283" s="603" t="str">
        <f>IFERROR(VLOOKUP(B1283,'Coverage Indicators - Section D'!$A$9:$AO$70,41,FALSE),"")</f>
        <v>TB/HIV-7.1 Percentage of people living with HIV currently enrolled on antiretroviral therapy who started TB preventive treatment (TPT) during the reporting period</v>
      </c>
      <c r="D1283" s="605" t="str">
        <f>M1283</f>
        <v/>
      </c>
      <c r="E1283" s="605" t="str">
        <f>N1283</f>
        <v/>
      </c>
      <c r="F1283" s="131"/>
      <c r="G1283" s="607" t="str">
        <f ca="1">IF(OR(INDIRECT("'update Helper'!E"&amp;Q1283)="",F1283&lt;&gt;0,F1284&lt;&gt;0),IF(IFERROR((F1283/F1284),"")="","",(F1283/F1284)),INDIRECT("'update Helper'!E"&amp;Q1283)/100)</f>
        <v/>
      </c>
      <c r="H1283" s="597"/>
      <c r="I1283" s="599"/>
      <c r="J1283" s="531"/>
      <c r="K1283" s="130">
        <f>IF(AND(EXACT(C1283,C1281),C1281&lt;&gt;0),K1281+1,0)</f>
        <v>11</v>
      </c>
      <c r="L1283" s="130" t="str">
        <f t="shared" ref="L1283" si="1471">IF(C1283&lt;&gt;"",C1283&amp;"-"&amp;K1283,"")</f>
        <v>TB/HIV-7.1 Percentage of people living with HIV currently enrolled on antiretroviral therapy who started TB preventive treatment (TPT) during the reporting period-11</v>
      </c>
      <c r="M1283" s="130" t="str">
        <f t="array" ref="M1283">IFERROR(IF(INDEX('Disaggregation Records'!$E$152:$E$513,MATCH(RIGHT(L1283,255),RIGHT('Disaggregation Records'!$D$152:$D$513,255),0))="","",INDEX('Disaggregation Records'!$E$152:$E$513,MATCH(RIGHT(L1283,255),RIGHT('Disaggregation Records'!$D$152:$D$513,255),0))),"")</f>
        <v/>
      </c>
      <c r="N1283" s="130" t="str">
        <f t="array" ref="N1283">IFERROR(IF(INDEX('Disaggregation Records'!$F$152:$F$513,MATCH(RIGHT(L1283,255),RIGHT('Disaggregation Records'!$D$152:$D$513,255),0))="","",INDEX('Disaggregation Records'!$F$152:$F$513,MATCH(RIGHT(L1283,255),RIGHT('Disaggregation Records'!$D$152:$D$513,255),0))),"")</f>
        <v/>
      </c>
      <c r="O1283" s="130" t="str">
        <f t="array" ref="O1283">IFERROR(IF(INDEX('Disaggregation Records'!$H$152:$H$513,MATCH(RIGHT(L1283,255),RIGHT('Disaggregation Records'!$D$152:$D$513,255),0))="","",INDEX('Disaggregation Records'!$H$152:$H$513,MATCH(RIGHT(L1283,255),RIGHT('Disaggregation Records'!$D$152:$D$513,255),0))),"")</f>
        <v/>
      </c>
      <c r="P1283" s="130"/>
      <c r="Q1283" s="52">
        <f t="shared" ref="Q1283" si="1472">Q1281+1</f>
        <v>1826</v>
      </c>
    </row>
    <row r="1284" spans="1:17" ht="20.100000000000001" customHeight="1" x14ac:dyDescent="0.25">
      <c r="B1284" s="602"/>
      <c r="C1284" s="604"/>
      <c r="D1284" s="606"/>
      <c r="E1284" s="606"/>
      <c r="F1284" s="132"/>
      <c r="G1284" s="608"/>
      <c r="H1284" s="598"/>
      <c r="I1284" s="600"/>
      <c r="J1284" s="532"/>
      <c r="K1284" s="130"/>
      <c r="L1284" s="130"/>
      <c r="M1284" s="130"/>
      <c r="N1284" s="130"/>
      <c r="O1284" s="130"/>
      <c r="P1284" s="130"/>
    </row>
    <row r="1285" spans="1:17" ht="20.100000000000001" customHeight="1" x14ac:dyDescent="0.25">
      <c r="A1285" s="130" t="str">
        <f t="shared" ca="1" si="1451"/>
        <v>a16Dm000000LZesIAG</v>
      </c>
      <c r="B1285" s="601">
        <v>17</v>
      </c>
      <c r="C1285" s="603" t="str">
        <f>IFERROR(VLOOKUP(B1285,'Coverage Indicators - Section D'!$A$9:$AO$70,41,FALSE),"")</f>
        <v>TB/HIV-7.1 Percentage of people living with HIV currently enrolled on antiretroviral therapy who started TB preventive treatment (TPT) during the reporting period</v>
      </c>
      <c r="D1285" s="605" t="str">
        <f>M1285</f>
        <v/>
      </c>
      <c r="E1285" s="605" t="str">
        <f>N1285</f>
        <v/>
      </c>
      <c r="F1285" s="131"/>
      <c r="G1285" s="607" t="str">
        <f ca="1">IF(OR(INDIRECT("'update Helper'!E"&amp;Q1285)="",F1285&lt;&gt;0,F1286&lt;&gt;0),IF(IFERROR((F1285/F1286),"")="","",(F1285/F1286)),INDIRECT("'update Helper'!E"&amp;Q1285)/100)</f>
        <v/>
      </c>
      <c r="H1285" s="597"/>
      <c r="I1285" s="599"/>
      <c r="J1285" s="531"/>
      <c r="K1285" s="130">
        <f>IF(AND(EXACT(C1285,C1283),C1283&lt;&gt;0),K1283+1,0)</f>
        <v>12</v>
      </c>
      <c r="L1285" s="130" t="str">
        <f t="shared" ref="L1285" si="1473">IF(C1285&lt;&gt;"",C1285&amp;"-"&amp;K1285,"")</f>
        <v>TB/HIV-7.1 Percentage of people living with HIV currently enrolled on antiretroviral therapy who started TB preventive treatment (TPT) during the reporting period-12</v>
      </c>
      <c r="M1285" s="130" t="str">
        <f t="array" ref="M1285">IFERROR(IF(INDEX('Disaggregation Records'!$E$152:$E$513,MATCH(RIGHT(L1285,255),RIGHT('Disaggregation Records'!$D$152:$D$513,255),0))="","",INDEX('Disaggregation Records'!$E$152:$E$513,MATCH(RIGHT(L1285,255),RIGHT('Disaggregation Records'!$D$152:$D$513,255),0))),"")</f>
        <v/>
      </c>
      <c r="N1285" s="130" t="str">
        <f t="array" ref="N1285">IFERROR(IF(INDEX('Disaggregation Records'!$F$152:$F$513,MATCH(RIGHT(L1285,255),RIGHT('Disaggregation Records'!$D$152:$D$513,255),0))="","",INDEX('Disaggregation Records'!$F$152:$F$513,MATCH(RIGHT(L1285,255),RIGHT('Disaggregation Records'!$D$152:$D$513,255),0))),"")</f>
        <v/>
      </c>
      <c r="O1285" s="130" t="str">
        <f t="array" ref="O1285">IFERROR(IF(INDEX('Disaggregation Records'!$H$152:$H$513,MATCH(RIGHT(L1285,255),RIGHT('Disaggregation Records'!$D$152:$D$513,255),0))="","",INDEX('Disaggregation Records'!$H$152:$H$513,MATCH(RIGHT(L1285,255),RIGHT('Disaggregation Records'!$D$152:$D$513,255),0))),"")</f>
        <v/>
      </c>
      <c r="Q1285" s="52">
        <f t="shared" ref="Q1285" si="1474">Q1283+1</f>
        <v>1827</v>
      </c>
    </row>
    <row r="1286" spans="1:17" ht="20.100000000000001" customHeight="1" x14ac:dyDescent="0.25">
      <c r="A1286" s="130"/>
      <c r="B1286" s="602"/>
      <c r="C1286" s="604"/>
      <c r="D1286" s="606"/>
      <c r="E1286" s="606"/>
      <c r="F1286" s="132"/>
      <c r="G1286" s="608"/>
      <c r="H1286" s="598"/>
      <c r="I1286" s="600"/>
      <c r="J1286" s="532"/>
      <c r="L1286" s="130"/>
      <c r="N1286" s="130"/>
      <c r="O1286" s="130"/>
    </row>
    <row r="1287" spans="1:17" ht="20.100000000000001" customHeight="1" x14ac:dyDescent="0.25">
      <c r="A1287" s="130" t="str">
        <f t="shared" ca="1" si="1454"/>
        <v>a16Dm000000LZetIAG</v>
      </c>
      <c r="B1287" s="601">
        <v>17</v>
      </c>
      <c r="C1287" s="603" t="str">
        <f>IFERROR(VLOOKUP(B1287,'Coverage Indicators - Section D'!$A$9:$AO$70,41,FALSE),"")</f>
        <v>TB/HIV-7.1 Percentage of people living with HIV currently enrolled on antiretroviral therapy who started TB preventive treatment (TPT) during the reporting period</v>
      </c>
      <c r="D1287" s="605" t="str">
        <f>M1287</f>
        <v/>
      </c>
      <c r="E1287" s="605" t="str">
        <f>N1287</f>
        <v/>
      </c>
      <c r="F1287" s="131"/>
      <c r="G1287" s="607" t="str">
        <f ca="1">IF(OR(INDIRECT("'update Helper'!E"&amp;Q1287)="",F1287&lt;&gt;0,F1288&lt;&gt;0),IF(IFERROR((F1287/F1288),"")="","",(F1287/F1288)),INDIRECT("'update Helper'!E"&amp;Q1287)/100)</f>
        <v/>
      </c>
      <c r="H1287" s="597"/>
      <c r="I1287" s="599"/>
      <c r="J1287" s="531"/>
      <c r="K1287" s="130">
        <f>IF(AND(EXACT(C1287,C1285),C1285&lt;&gt;0),K1285+1,0)</f>
        <v>13</v>
      </c>
      <c r="L1287" s="130" t="str">
        <f t="shared" ref="L1287" si="1475">IF(C1287&lt;&gt;"",C1287&amp;"-"&amp;K1287,"")</f>
        <v>TB/HIV-7.1 Percentage of people living with HIV currently enrolled on antiretroviral therapy who started TB preventive treatment (TPT) during the reporting period-13</v>
      </c>
      <c r="M1287" s="130" t="str">
        <f t="array" ref="M1287">IFERROR(IF(INDEX('Disaggregation Records'!$E$152:$E$513,MATCH(RIGHT(L1287,255),RIGHT('Disaggregation Records'!$D$152:$D$513,255),0))="","",INDEX('Disaggregation Records'!$E$152:$E$513,MATCH(RIGHT(L1287,255),RIGHT('Disaggregation Records'!$D$152:$D$513,255),0))),"")</f>
        <v/>
      </c>
      <c r="N1287" s="130" t="str">
        <f t="array" ref="N1287">IFERROR(IF(INDEX('Disaggregation Records'!$F$152:$F$513,MATCH(RIGHT(L1287,255),RIGHT('Disaggregation Records'!$D$152:$D$513,255),0))="","",INDEX('Disaggregation Records'!$F$152:$F$513,MATCH(RIGHT(L1287,255),RIGHT('Disaggregation Records'!$D$152:$D$513,255),0))),"")</f>
        <v/>
      </c>
      <c r="O1287" s="130" t="str">
        <f t="array" ref="O1287">IFERROR(IF(INDEX('Disaggregation Records'!$H$152:$H$513,MATCH(RIGHT(L1287,255),RIGHT('Disaggregation Records'!$D$152:$D$513,255),0))="","",INDEX('Disaggregation Records'!$H$152:$H$513,MATCH(RIGHT(L1287,255),RIGHT('Disaggregation Records'!$D$152:$D$513,255),0))),"")</f>
        <v/>
      </c>
      <c r="Q1287" s="52">
        <f t="shared" ref="Q1287" si="1476">Q1285+1</f>
        <v>1828</v>
      </c>
    </row>
    <row r="1288" spans="1:17" ht="20.100000000000001" customHeight="1" x14ac:dyDescent="0.25">
      <c r="B1288" s="602"/>
      <c r="C1288" s="604"/>
      <c r="D1288" s="606"/>
      <c r="E1288" s="606"/>
      <c r="F1288" s="132"/>
      <c r="G1288" s="608"/>
      <c r="H1288" s="598"/>
      <c r="I1288" s="600"/>
      <c r="J1288" s="532"/>
      <c r="L1288" s="130"/>
      <c r="N1288" s="130"/>
      <c r="O1288" s="130"/>
    </row>
    <row r="1289" spans="1:17" ht="20.100000000000001" customHeight="1" x14ac:dyDescent="0.25">
      <c r="A1289" s="130" t="str">
        <f t="shared" ca="1" si="1451"/>
        <v>a16Dm000000LZeuIAG</v>
      </c>
      <c r="B1289" s="601">
        <v>17</v>
      </c>
      <c r="C1289" s="603" t="str">
        <f>IFERROR(VLOOKUP(B1289,'Coverage Indicators - Section D'!$A$9:$AO$70,41,FALSE),"")</f>
        <v>TB/HIV-7.1 Percentage of people living with HIV currently enrolled on antiretroviral therapy who started TB preventive treatment (TPT) during the reporting period</v>
      </c>
      <c r="D1289" s="605" t="str">
        <f>M1289</f>
        <v/>
      </c>
      <c r="E1289" s="605" t="str">
        <f>N1289</f>
        <v/>
      </c>
      <c r="F1289" s="131"/>
      <c r="G1289" s="607" t="str">
        <f ca="1">IF(OR(INDIRECT("'update Helper'!E"&amp;Q1289)="",F1289&lt;&gt;0,F1290&lt;&gt;0),IF(IFERROR((F1289/F1290),"")="","",(F1289/F1290)),INDIRECT("'update Helper'!E"&amp;Q1289)/100)</f>
        <v/>
      </c>
      <c r="H1289" s="597"/>
      <c r="I1289" s="599"/>
      <c r="J1289" s="531"/>
      <c r="K1289" s="130">
        <f>IF(AND(EXACT(C1289,C1287),C1287&lt;&gt;0),K1287+1,0)</f>
        <v>14</v>
      </c>
      <c r="L1289" s="130" t="str">
        <f t="shared" ref="L1289" si="1477">IF(C1289&lt;&gt;"",C1289&amp;"-"&amp;K1289,"")</f>
        <v>TB/HIV-7.1 Percentage of people living with HIV currently enrolled on antiretroviral therapy who started TB preventive treatment (TPT) during the reporting period-14</v>
      </c>
      <c r="M1289" s="130" t="str">
        <f t="array" ref="M1289">IFERROR(IF(INDEX('Disaggregation Records'!$E$152:$E$513,MATCH(RIGHT(L1289,255),RIGHT('Disaggregation Records'!$D$152:$D$513,255),0))="","",INDEX('Disaggregation Records'!$E$152:$E$513,MATCH(RIGHT(L1289,255),RIGHT('Disaggregation Records'!$D$152:$D$513,255),0))),"")</f>
        <v/>
      </c>
      <c r="N1289" s="130" t="str">
        <f t="array" ref="N1289">IFERROR(IF(INDEX('Disaggregation Records'!$F$152:$F$513,MATCH(RIGHT(L1289,255),RIGHT('Disaggregation Records'!$D$152:$D$513,255),0))="","",INDEX('Disaggregation Records'!$F$152:$F$513,MATCH(RIGHT(L1289,255),RIGHT('Disaggregation Records'!$D$152:$D$513,255),0))),"")</f>
        <v/>
      </c>
      <c r="O1289" s="130" t="str">
        <f t="array" ref="O1289">IFERROR(IF(INDEX('Disaggregation Records'!$H$152:$H$513,MATCH(RIGHT(L1289,255),RIGHT('Disaggregation Records'!$D$152:$D$513,255),0))="","",INDEX('Disaggregation Records'!$H$152:$H$513,MATCH(RIGHT(L1289,255),RIGHT('Disaggregation Records'!$D$152:$D$513,255),0))),"")</f>
        <v/>
      </c>
      <c r="Q1289" s="52">
        <f t="shared" ref="Q1289" si="1478">Q1287+1</f>
        <v>1829</v>
      </c>
    </row>
    <row r="1290" spans="1:17" ht="20.100000000000001" customHeight="1" x14ac:dyDescent="0.25">
      <c r="A1290" s="130"/>
      <c r="B1290" s="602"/>
      <c r="C1290" s="604"/>
      <c r="D1290" s="606"/>
      <c r="E1290" s="606"/>
      <c r="F1290" s="132"/>
      <c r="G1290" s="608"/>
      <c r="H1290" s="598"/>
      <c r="I1290" s="600"/>
      <c r="J1290" s="532"/>
      <c r="L1290" s="130"/>
      <c r="N1290" s="130"/>
      <c r="O1290" s="130"/>
    </row>
    <row r="1291" spans="1:17" ht="20.100000000000001" customHeight="1" x14ac:dyDescent="0.25">
      <c r="A1291" s="130" t="str">
        <f t="shared" ca="1" si="1454"/>
        <v>a16Dm000000LZevIAG</v>
      </c>
      <c r="B1291" s="601">
        <v>17</v>
      </c>
      <c r="C1291" s="603" t="str">
        <f>IFERROR(VLOOKUP(B1291,'Coverage Indicators - Section D'!$A$9:$AO$70,41,FALSE),"")</f>
        <v>TB/HIV-7.1 Percentage of people living with HIV currently enrolled on antiretroviral therapy who started TB preventive treatment (TPT) during the reporting period</v>
      </c>
      <c r="D1291" s="605" t="str">
        <f>M1291</f>
        <v/>
      </c>
      <c r="E1291" s="605" t="str">
        <f>N1291</f>
        <v/>
      </c>
      <c r="F1291" s="131"/>
      <c r="G1291" s="607" t="str">
        <f ca="1">IF(OR(INDIRECT("'update Helper'!E"&amp;Q1291)="",F1291&lt;&gt;0,F1292&lt;&gt;0),IF(IFERROR((F1291/F1292),"")="","",(F1291/F1292)),INDIRECT("'update Helper'!E"&amp;Q1291)/100)</f>
        <v/>
      </c>
      <c r="H1291" s="597"/>
      <c r="I1291" s="599"/>
      <c r="J1291" s="531"/>
      <c r="K1291" s="130">
        <f>IF(AND(EXACT(C1291,C1289),C1289&lt;&gt;0),K1289+1,0)</f>
        <v>15</v>
      </c>
      <c r="L1291" s="130" t="str">
        <f t="shared" ref="L1291" si="1479">IF(C1291&lt;&gt;"",C1291&amp;"-"&amp;K1291,"")</f>
        <v>TB/HIV-7.1 Percentage of people living with HIV currently enrolled on antiretroviral therapy who started TB preventive treatment (TPT) during the reporting period-15</v>
      </c>
      <c r="M1291" s="130" t="str">
        <f t="array" ref="M1291">IFERROR(IF(INDEX('Disaggregation Records'!$E$152:$E$513,MATCH(RIGHT(L1291,255),RIGHT('Disaggregation Records'!$D$152:$D$513,255),0))="","",INDEX('Disaggregation Records'!$E$152:$E$513,MATCH(RIGHT(L1291,255),RIGHT('Disaggregation Records'!$D$152:$D$513,255),0))),"")</f>
        <v/>
      </c>
      <c r="N1291" s="130" t="str">
        <f t="array" ref="N1291">IFERROR(IF(INDEX('Disaggregation Records'!$F$152:$F$513,MATCH(RIGHT(L1291,255),RIGHT('Disaggregation Records'!$D$152:$D$513,255),0))="","",INDEX('Disaggregation Records'!$F$152:$F$513,MATCH(RIGHT(L1291,255),RIGHT('Disaggregation Records'!$D$152:$D$513,255),0))),"")</f>
        <v/>
      </c>
      <c r="O1291" s="130" t="str">
        <f t="array" ref="O1291">IFERROR(IF(INDEX('Disaggregation Records'!$H$152:$H$513,MATCH(RIGHT(L1291,255),RIGHT('Disaggregation Records'!$D$152:$D$513,255),0))="","",INDEX('Disaggregation Records'!$H$152:$H$513,MATCH(RIGHT(L1291,255),RIGHT('Disaggregation Records'!$D$152:$D$513,255),0))),"")</f>
        <v/>
      </c>
      <c r="P1291" s="130"/>
      <c r="Q1291" s="52">
        <f t="shared" ref="Q1291" si="1480">Q1289+1</f>
        <v>1830</v>
      </c>
    </row>
    <row r="1292" spans="1:17" ht="20.100000000000001" customHeight="1" x14ac:dyDescent="0.25">
      <c r="B1292" s="602"/>
      <c r="C1292" s="604"/>
      <c r="D1292" s="606"/>
      <c r="E1292" s="606"/>
      <c r="F1292" s="132"/>
      <c r="G1292" s="608"/>
      <c r="H1292" s="598"/>
      <c r="I1292" s="600"/>
      <c r="J1292" s="532"/>
      <c r="K1292" s="130"/>
      <c r="L1292" s="130"/>
      <c r="M1292" s="130"/>
      <c r="N1292" s="130"/>
      <c r="O1292" s="130"/>
      <c r="P1292" s="130"/>
    </row>
    <row r="1293" spans="1:17" ht="20.100000000000001" customHeight="1" x14ac:dyDescent="0.25">
      <c r="A1293" s="130" t="str">
        <f t="shared" ca="1" si="1451"/>
        <v>a16Dm000000LZewIAG</v>
      </c>
      <c r="B1293" s="601">
        <v>17</v>
      </c>
      <c r="C1293" s="603" t="str">
        <f>IFERROR(VLOOKUP(B1293,'Coverage Indicators - Section D'!$A$9:$AO$70,41,FALSE),"")</f>
        <v>TB/HIV-7.1 Percentage of people living with HIV currently enrolled on antiretroviral therapy who started TB preventive treatment (TPT) during the reporting period</v>
      </c>
      <c r="D1293" s="605" t="str">
        <f>M1293</f>
        <v/>
      </c>
      <c r="E1293" s="605" t="str">
        <f>N1293</f>
        <v/>
      </c>
      <c r="F1293" s="131"/>
      <c r="G1293" s="607" t="str">
        <f ca="1">IF(OR(INDIRECT("'update Helper'!E"&amp;Q1293)="",F1293&lt;&gt;0,F1294&lt;&gt;0),IF(IFERROR((F1293/F1294),"")="","",(F1293/F1294)),INDIRECT("'update Helper'!E"&amp;Q1293)/100)</f>
        <v/>
      </c>
      <c r="H1293" s="597"/>
      <c r="I1293" s="599"/>
      <c r="J1293" s="531"/>
      <c r="K1293" s="130">
        <f>IF(AND(EXACT(C1293,C1291),C1291&lt;&gt;0),K1291+1,0)</f>
        <v>16</v>
      </c>
      <c r="L1293" s="130" t="str">
        <f t="shared" ref="L1293" si="1481">IF(C1293&lt;&gt;"",C1293&amp;"-"&amp;K1293,"")</f>
        <v>TB/HIV-7.1 Percentage of people living with HIV currently enrolled on antiretroviral therapy who started TB preventive treatment (TPT) during the reporting period-16</v>
      </c>
      <c r="M1293" s="130" t="str">
        <f t="array" ref="M1293">IFERROR(IF(INDEX('Disaggregation Records'!$E$152:$E$513,MATCH(RIGHT(L1293,255),RIGHT('Disaggregation Records'!$D$152:$D$513,255),0))="","",INDEX('Disaggregation Records'!$E$152:$E$513,MATCH(RIGHT(L1293,255),RIGHT('Disaggregation Records'!$D$152:$D$513,255),0))),"")</f>
        <v/>
      </c>
      <c r="N1293" s="130" t="str">
        <f t="array" ref="N1293">IFERROR(IF(INDEX('Disaggregation Records'!$F$152:$F$513,MATCH(RIGHT(L1293,255),RIGHT('Disaggregation Records'!$D$152:$D$513,255),0))="","",INDEX('Disaggregation Records'!$F$152:$F$513,MATCH(RIGHT(L1293,255),RIGHT('Disaggregation Records'!$D$152:$D$513,255),0))),"")</f>
        <v/>
      </c>
      <c r="O1293" s="130" t="str">
        <f t="array" ref="O1293">IFERROR(IF(INDEX('Disaggregation Records'!$H$152:$H$513,MATCH(RIGHT(L1293,255),RIGHT('Disaggregation Records'!$D$152:$D$513,255),0))="","",INDEX('Disaggregation Records'!$H$152:$H$513,MATCH(RIGHT(L1293,255),RIGHT('Disaggregation Records'!$D$152:$D$513,255),0))),"")</f>
        <v/>
      </c>
      <c r="P1293" s="130"/>
      <c r="Q1293" s="52">
        <f t="shared" ref="Q1293" si="1482">Q1291+1</f>
        <v>1831</v>
      </c>
    </row>
    <row r="1294" spans="1:17" ht="20.100000000000001" customHeight="1" x14ac:dyDescent="0.25">
      <c r="A1294" s="130"/>
      <c r="B1294" s="602"/>
      <c r="C1294" s="604"/>
      <c r="D1294" s="606"/>
      <c r="E1294" s="606"/>
      <c r="F1294" s="132"/>
      <c r="G1294" s="608"/>
      <c r="H1294" s="598"/>
      <c r="I1294" s="600"/>
      <c r="J1294" s="532"/>
      <c r="K1294" s="130"/>
      <c r="L1294" s="130"/>
      <c r="M1294" s="130"/>
      <c r="N1294" s="130"/>
      <c r="O1294" s="130"/>
      <c r="P1294" s="130"/>
    </row>
    <row r="1295" spans="1:17" ht="20.100000000000001" customHeight="1" x14ac:dyDescent="0.25">
      <c r="A1295" s="130" t="str">
        <f t="shared" ca="1" si="1454"/>
        <v>a16Dm000000LZexIAG</v>
      </c>
      <c r="B1295" s="601">
        <v>17</v>
      </c>
      <c r="C1295" s="603" t="str">
        <f>IFERROR(VLOOKUP(B1295,'Coverage Indicators - Section D'!$A$9:$AO$70,41,FALSE),"")</f>
        <v>TB/HIV-7.1 Percentage of people living with HIV currently enrolled on antiretroviral therapy who started TB preventive treatment (TPT) during the reporting period</v>
      </c>
      <c r="D1295" s="605" t="str">
        <f>M1295</f>
        <v/>
      </c>
      <c r="E1295" s="605" t="str">
        <f>N1295</f>
        <v/>
      </c>
      <c r="F1295" s="131"/>
      <c r="G1295" s="607" t="str">
        <f ca="1">IF(OR(INDIRECT("'update Helper'!E"&amp;Q1295)="",F1295&lt;&gt;0,F1296&lt;&gt;0),IF(IFERROR((F1295/F1296),"")="","",(F1295/F1296)),INDIRECT("'update Helper'!E"&amp;Q1295)/100)</f>
        <v/>
      </c>
      <c r="H1295" s="597"/>
      <c r="I1295" s="599"/>
      <c r="J1295" s="531"/>
      <c r="K1295" s="130">
        <f>IF(AND(EXACT(C1295,C1293),C1293&lt;&gt;0),K1293+1,0)</f>
        <v>17</v>
      </c>
      <c r="L1295" s="130" t="str">
        <f t="shared" ref="L1295" si="1483">IF(C1295&lt;&gt;"",C1295&amp;"-"&amp;K1295,"")</f>
        <v>TB/HIV-7.1 Percentage of people living with HIV currently enrolled on antiretroviral therapy who started TB preventive treatment (TPT) during the reporting period-17</v>
      </c>
      <c r="M1295" s="130" t="str">
        <f t="array" ref="M1295">IFERROR(IF(INDEX('Disaggregation Records'!$E$152:$E$513,MATCH(RIGHT(L1295,255),RIGHT('Disaggregation Records'!$D$152:$D$513,255),0))="","",INDEX('Disaggregation Records'!$E$152:$E$513,MATCH(RIGHT(L1295,255),RIGHT('Disaggregation Records'!$D$152:$D$513,255),0))),"")</f>
        <v/>
      </c>
      <c r="N1295" s="130" t="str">
        <f t="array" ref="N1295">IFERROR(IF(INDEX('Disaggregation Records'!$F$152:$F$513,MATCH(RIGHT(L1295,255),RIGHT('Disaggregation Records'!$D$152:$D$513,255),0))="","",INDEX('Disaggregation Records'!$F$152:$F$513,MATCH(RIGHT(L1295,255),RIGHT('Disaggregation Records'!$D$152:$D$513,255),0))),"")</f>
        <v/>
      </c>
      <c r="O1295" s="130" t="str">
        <f t="array" ref="O1295">IFERROR(IF(INDEX('Disaggregation Records'!$H$152:$H$513,MATCH(RIGHT(L1295,255),RIGHT('Disaggregation Records'!$D$152:$D$513,255),0))="","",INDEX('Disaggregation Records'!$H$152:$H$513,MATCH(RIGHT(L1295,255),RIGHT('Disaggregation Records'!$D$152:$D$513,255),0))),"")</f>
        <v/>
      </c>
      <c r="Q1295" s="52">
        <f t="shared" ref="Q1295" si="1484">Q1293+1</f>
        <v>1832</v>
      </c>
    </row>
    <row r="1296" spans="1:17" ht="20.100000000000001" customHeight="1" x14ac:dyDescent="0.25">
      <c r="B1296" s="602"/>
      <c r="C1296" s="604"/>
      <c r="D1296" s="606"/>
      <c r="E1296" s="606"/>
      <c r="F1296" s="132"/>
      <c r="G1296" s="608"/>
      <c r="H1296" s="598"/>
      <c r="I1296" s="600"/>
      <c r="J1296" s="532"/>
      <c r="L1296" s="130"/>
      <c r="N1296" s="130"/>
      <c r="O1296" s="130"/>
    </row>
    <row r="1297" spans="1:17" ht="20.100000000000001" customHeight="1" x14ac:dyDescent="0.25">
      <c r="A1297" s="130" t="str">
        <f t="shared" ca="1" si="1451"/>
        <v>a16Dm000000LZeyIAG</v>
      </c>
      <c r="B1297" s="601">
        <v>17</v>
      </c>
      <c r="C1297" s="603" t="str">
        <f>IFERROR(VLOOKUP(B1297,'Coverage Indicators - Section D'!$A$9:$AO$70,41,FALSE),"")</f>
        <v>TB/HIV-7.1 Percentage of people living with HIV currently enrolled on antiretroviral therapy who started TB preventive treatment (TPT) during the reporting period</v>
      </c>
      <c r="D1297" s="605" t="str">
        <f>M1297</f>
        <v/>
      </c>
      <c r="E1297" s="605" t="str">
        <f>N1297</f>
        <v/>
      </c>
      <c r="F1297" s="131"/>
      <c r="G1297" s="607" t="str">
        <f ca="1">IF(OR(INDIRECT("'update Helper'!E"&amp;Q1297)="",F1297&lt;&gt;0,F1298&lt;&gt;0),IF(IFERROR((F1297/F1298),"")="","",(F1297/F1298)),INDIRECT("'update Helper'!E"&amp;Q1297)/100)</f>
        <v/>
      </c>
      <c r="H1297" s="597"/>
      <c r="I1297" s="599"/>
      <c r="J1297" s="531"/>
      <c r="K1297" s="130">
        <f>IF(AND(EXACT(C1297,C1295),C1295&lt;&gt;0),K1295+1,0)</f>
        <v>18</v>
      </c>
      <c r="L1297" s="130" t="str">
        <f t="shared" ref="L1297" si="1485">IF(C1297&lt;&gt;"",C1297&amp;"-"&amp;K1297,"")</f>
        <v>TB/HIV-7.1 Percentage of people living with HIV currently enrolled on antiretroviral therapy who started TB preventive treatment (TPT) during the reporting period-18</v>
      </c>
      <c r="M1297" s="130" t="str">
        <f t="array" ref="M1297">IFERROR(IF(INDEX('Disaggregation Records'!$E$152:$E$513,MATCH(RIGHT(L1297,255),RIGHT('Disaggregation Records'!$D$152:$D$513,255),0))="","",INDEX('Disaggregation Records'!$E$152:$E$513,MATCH(RIGHT(L1297,255),RIGHT('Disaggregation Records'!$D$152:$D$513,255),0))),"")</f>
        <v/>
      </c>
      <c r="N1297" s="130" t="str">
        <f t="array" ref="N1297">IFERROR(IF(INDEX('Disaggregation Records'!$F$152:$F$513,MATCH(RIGHT(L1297,255),RIGHT('Disaggregation Records'!$D$152:$D$513,255),0))="","",INDEX('Disaggregation Records'!$F$152:$F$513,MATCH(RIGHT(L1297,255),RIGHT('Disaggregation Records'!$D$152:$D$513,255),0))),"")</f>
        <v/>
      </c>
      <c r="O1297" s="130" t="str">
        <f t="array" ref="O1297">IFERROR(IF(INDEX('Disaggregation Records'!$H$152:$H$513,MATCH(RIGHT(L1297,255),RIGHT('Disaggregation Records'!$D$152:$D$513,255),0))="","",INDEX('Disaggregation Records'!$H$152:$H$513,MATCH(RIGHT(L1297,255),RIGHT('Disaggregation Records'!$D$152:$D$513,255),0))),"")</f>
        <v/>
      </c>
      <c r="Q1297" s="52">
        <f t="shared" ref="Q1297" si="1486">Q1295+1</f>
        <v>1833</v>
      </c>
    </row>
    <row r="1298" spans="1:17" ht="20.100000000000001" customHeight="1" x14ac:dyDescent="0.25">
      <c r="A1298" s="130"/>
      <c r="B1298" s="602"/>
      <c r="C1298" s="604"/>
      <c r="D1298" s="606"/>
      <c r="E1298" s="606"/>
      <c r="F1298" s="132"/>
      <c r="G1298" s="608"/>
      <c r="H1298" s="598"/>
      <c r="I1298" s="600"/>
      <c r="J1298" s="532"/>
      <c r="L1298" s="130"/>
      <c r="N1298" s="130"/>
      <c r="O1298" s="130"/>
    </row>
    <row r="1299" spans="1:17" ht="20.100000000000001" customHeight="1" x14ac:dyDescent="0.25">
      <c r="A1299" s="130" t="str">
        <f t="shared" ca="1" si="1454"/>
        <v>a16Dm000000LZezIAG</v>
      </c>
      <c r="B1299" s="601">
        <v>17</v>
      </c>
      <c r="C1299" s="603" t="str">
        <f>IFERROR(VLOOKUP(B1299,'Coverage Indicators - Section D'!$A$9:$AO$70,41,FALSE),"")</f>
        <v>TB/HIV-7.1 Percentage of people living with HIV currently enrolled on antiretroviral therapy who started TB preventive treatment (TPT) during the reporting period</v>
      </c>
      <c r="D1299" s="605" t="str">
        <f>M1299</f>
        <v/>
      </c>
      <c r="E1299" s="605" t="str">
        <f>N1299</f>
        <v/>
      </c>
      <c r="F1299" s="131"/>
      <c r="G1299" s="607" t="str">
        <f ca="1">IF(OR(INDIRECT("'update Helper'!E"&amp;Q1299)="",F1299&lt;&gt;0,F1300&lt;&gt;0),IF(IFERROR((F1299/F1300),"")="","",(F1299/F1300)),INDIRECT("'update Helper'!E"&amp;Q1299)/100)</f>
        <v/>
      </c>
      <c r="H1299" s="597"/>
      <c r="I1299" s="599"/>
      <c r="J1299" s="531"/>
      <c r="K1299" s="130">
        <f>IF(AND(EXACT(C1299,C1297),C1297&lt;&gt;0),K1297+1,0)</f>
        <v>19</v>
      </c>
      <c r="L1299" s="130" t="str">
        <f t="shared" ref="L1299" si="1487">IF(C1299&lt;&gt;"",C1299&amp;"-"&amp;K1299,"")</f>
        <v>TB/HIV-7.1 Percentage of people living with HIV currently enrolled on antiretroviral therapy who started TB preventive treatment (TPT) during the reporting period-19</v>
      </c>
      <c r="M1299" s="130" t="str">
        <f t="array" ref="M1299">IFERROR(IF(INDEX('Disaggregation Records'!$E$152:$E$513,MATCH(RIGHT(L1299,255),RIGHT('Disaggregation Records'!$D$152:$D$513,255),0))="","",INDEX('Disaggregation Records'!$E$152:$E$513,MATCH(RIGHT(L1299,255),RIGHT('Disaggregation Records'!$D$152:$D$513,255),0))),"")</f>
        <v/>
      </c>
      <c r="N1299" s="130" t="str">
        <f t="array" ref="N1299">IFERROR(IF(INDEX('Disaggregation Records'!$F$152:$F$513,MATCH(RIGHT(L1299,255),RIGHT('Disaggregation Records'!$D$152:$D$513,255),0))="","",INDEX('Disaggregation Records'!$F$152:$F$513,MATCH(RIGHT(L1299,255),RIGHT('Disaggregation Records'!$D$152:$D$513,255),0))),"")</f>
        <v/>
      </c>
      <c r="O1299" s="130" t="str">
        <f t="array" ref="O1299">IFERROR(IF(INDEX('Disaggregation Records'!$H$152:$H$513,MATCH(RIGHT(L1299,255),RIGHT('Disaggregation Records'!$D$152:$D$513,255),0))="","",INDEX('Disaggregation Records'!$H$152:$H$513,MATCH(RIGHT(L1299,255),RIGHT('Disaggregation Records'!$D$152:$D$513,255),0))),"")</f>
        <v/>
      </c>
      <c r="Q1299" s="52">
        <f t="shared" ref="Q1299" si="1488">Q1297+1</f>
        <v>1834</v>
      </c>
    </row>
    <row r="1300" spans="1:17" ht="20.100000000000001" customHeight="1" x14ac:dyDescent="0.25">
      <c r="B1300" s="602"/>
      <c r="C1300" s="604"/>
      <c r="D1300" s="606"/>
      <c r="E1300" s="606"/>
      <c r="F1300" s="132"/>
      <c r="G1300" s="608"/>
      <c r="H1300" s="598"/>
      <c r="I1300" s="600"/>
      <c r="J1300" s="532"/>
      <c r="L1300" s="130"/>
      <c r="N1300" s="130"/>
      <c r="O1300" s="130"/>
    </row>
    <row r="1301" spans="1:17" ht="20.100000000000001" customHeight="1" x14ac:dyDescent="0.25">
      <c r="A1301" s="130" t="str">
        <f t="shared" ca="1" si="1451"/>
        <v>a16Dm000000LZf0IAG</v>
      </c>
      <c r="B1301" s="601">
        <v>18</v>
      </c>
      <c r="C1301" s="603" t="str">
        <f>IFERROR(VLOOKUP(B1301,'Coverage Indicators - Section D'!$A$9:$AO$70,41,FALSE),"")</f>
        <v>HTS-6 Number of individual HIV self-test kits distributed</v>
      </c>
      <c r="D1301" s="605" t="str">
        <f>M1301</f>
        <v/>
      </c>
      <c r="E1301" s="605" t="str">
        <f>N1301</f>
        <v/>
      </c>
      <c r="F1301" s="131"/>
      <c r="G1301" s="607" t="str">
        <f ca="1">IF(OR(INDIRECT("'update Helper'!E"&amp;Q1301)="",F1301&lt;&gt;0,F1302&lt;&gt;0),IF(IFERROR((F1301/F1302),"")="","",(F1301/F1302)),INDIRECT("'update Helper'!E"&amp;Q1301)/100)</f>
        <v/>
      </c>
      <c r="H1301" s="597"/>
      <c r="I1301" s="599"/>
      <c r="J1301" s="531"/>
      <c r="K1301" s="130">
        <f>IF(AND(EXACT(C1301,C1299),C1299&lt;&gt;0),K1299+1,0)</f>
        <v>0</v>
      </c>
      <c r="L1301" s="130" t="str">
        <f t="shared" ref="L1301" si="1489">IF(C1301&lt;&gt;"",C1301&amp;"-"&amp;K1301,"")</f>
        <v>HTS-6 Number of individual HIV self-test kits distributed-0</v>
      </c>
      <c r="M1301" s="130" t="str">
        <f t="array" ref="M1301">IFERROR(IF(INDEX('Disaggregation Records'!$E$152:$E$513,MATCH(RIGHT(L1301,255),RIGHT('Disaggregation Records'!$D$152:$D$513,255),0))="","",INDEX('Disaggregation Records'!$E$152:$E$513,MATCH(RIGHT(L1301,255),RIGHT('Disaggregation Records'!$D$152:$D$513,255),0))),"")</f>
        <v/>
      </c>
      <c r="N1301" s="130" t="str">
        <f t="array" ref="N1301">IFERROR(IF(INDEX('Disaggregation Records'!$F$152:$F$513,MATCH(RIGHT(L1301,255),RIGHT('Disaggregation Records'!$D$152:$D$513,255),0))="","",INDEX('Disaggregation Records'!$F$152:$F$513,MATCH(RIGHT(L1301,255),RIGHT('Disaggregation Records'!$D$152:$D$513,255),0))),"")</f>
        <v/>
      </c>
      <c r="O1301" s="130" t="str">
        <f t="array" ref="O1301">IFERROR(IF(INDEX('Disaggregation Records'!$H$152:$H$513,MATCH(RIGHT(L1301,255),RIGHT('Disaggregation Records'!$D$152:$D$513,255),0))="","",INDEX('Disaggregation Records'!$H$152:$H$513,MATCH(RIGHT(L1301,255),RIGHT('Disaggregation Records'!$D$152:$D$513,255),0))),"")</f>
        <v/>
      </c>
      <c r="P1301" s="130"/>
      <c r="Q1301" s="52">
        <f t="shared" ref="Q1301" si="1490">Q1299+1</f>
        <v>1835</v>
      </c>
    </row>
    <row r="1302" spans="1:17" ht="20.100000000000001" customHeight="1" x14ac:dyDescent="0.25">
      <c r="A1302" s="130"/>
      <c r="B1302" s="602"/>
      <c r="C1302" s="604"/>
      <c r="D1302" s="606"/>
      <c r="E1302" s="606"/>
      <c r="F1302" s="132"/>
      <c r="G1302" s="608"/>
      <c r="H1302" s="598"/>
      <c r="I1302" s="600"/>
      <c r="J1302" s="532"/>
      <c r="K1302" s="130"/>
      <c r="L1302" s="130"/>
      <c r="M1302" s="130"/>
      <c r="N1302" s="130"/>
      <c r="O1302" s="130"/>
      <c r="P1302" s="130"/>
    </row>
    <row r="1303" spans="1:17" ht="20.100000000000001" customHeight="1" x14ac:dyDescent="0.25">
      <c r="A1303" s="130" t="str">
        <f t="shared" ca="1" si="1454"/>
        <v>a16Dm000000LZf1IAG</v>
      </c>
      <c r="B1303" s="601">
        <v>18</v>
      </c>
      <c r="C1303" s="603" t="str">
        <f>IFERROR(VLOOKUP(B1303,'Coverage Indicators - Section D'!$A$9:$AO$70,41,FALSE),"")</f>
        <v>HTS-6 Number of individual HIV self-test kits distributed</v>
      </c>
      <c r="D1303" s="605" t="str">
        <f>M1303</f>
        <v/>
      </c>
      <c r="E1303" s="605" t="str">
        <f>N1303</f>
        <v/>
      </c>
      <c r="F1303" s="131"/>
      <c r="G1303" s="607" t="str">
        <f ca="1">IF(OR(INDIRECT("'update Helper'!E"&amp;Q1303)="",F1303&lt;&gt;0,F1304&lt;&gt;0),IF(IFERROR((F1303/F1304),"")="","",(F1303/F1304)),INDIRECT("'update Helper'!E"&amp;Q1303)/100)</f>
        <v/>
      </c>
      <c r="H1303" s="597"/>
      <c r="I1303" s="599"/>
      <c r="J1303" s="531"/>
      <c r="K1303" s="130">
        <f>IF(AND(EXACT(C1303,C1301),C1301&lt;&gt;0),K1301+1,0)</f>
        <v>1</v>
      </c>
      <c r="L1303" s="130" t="str">
        <f t="shared" ref="L1303" si="1491">IF(C1303&lt;&gt;"",C1303&amp;"-"&amp;K1303,"")</f>
        <v>HTS-6 Number of individual HIV self-test kits distributed-1</v>
      </c>
      <c r="M1303" s="130" t="str">
        <f t="array" ref="M1303">IFERROR(IF(INDEX('Disaggregation Records'!$E$152:$E$513,MATCH(RIGHT(L1303,255),RIGHT('Disaggregation Records'!$D$152:$D$513,255),0))="","",INDEX('Disaggregation Records'!$E$152:$E$513,MATCH(RIGHT(L1303,255),RIGHT('Disaggregation Records'!$D$152:$D$513,255),0))),"")</f>
        <v/>
      </c>
      <c r="N1303" s="130" t="str">
        <f t="array" ref="N1303">IFERROR(IF(INDEX('Disaggregation Records'!$F$152:$F$513,MATCH(RIGHT(L1303,255),RIGHT('Disaggregation Records'!$D$152:$D$513,255),0))="","",INDEX('Disaggregation Records'!$F$152:$F$513,MATCH(RIGHT(L1303,255),RIGHT('Disaggregation Records'!$D$152:$D$513,255),0))),"")</f>
        <v/>
      </c>
      <c r="O1303" s="130" t="str">
        <f t="array" ref="O1303">IFERROR(IF(INDEX('Disaggregation Records'!$H$152:$H$513,MATCH(RIGHT(L1303,255),RIGHT('Disaggregation Records'!$D$152:$D$513,255),0))="","",INDEX('Disaggregation Records'!$H$152:$H$513,MATCH(RIGHT(L1303,255),RIGHT('Disaggregation Records'!$D$152:$D$513,255),0))),"")</f>
        <v/>
      </c>
      <c r="P1303" s="130"/>
      <c r="Q1303" s="52">
        <f t="shared" ref="Q1303" si="1492">Q1301+1</f>
        <v>1836</v>
      </c>
    </row>
    <row r="1304" spans="1:17" ht="20.100000000000001" customHeight="1" x14ac:dyDescent="0.25">
      <c r="B1304" s="602"/>
      <c r="C1304" s="604"/>
      <c r="D1304" s="606"/>
      <c r="E1304" s="606"/>
      <c r="F1304" s="132"/>
      <c r="G1304" s="608"/>
      <c r="H1304" s="598"/>
      <c r="I1304" s="600"/>
      <c r="J1304" s="532"/>
      <c r="K1304" s="130"/>
      <c r="L1304" s="130"/>
      <c r="M1304" s="130"/>
      <c r="N1304" s="130"/>
      <c r="O1304" s="130"/>
      <c r="P1304" s="130"/>
    </row>
    <row r="1305" spans="1:17" ht="20.100000000000001" customHeight="1" x14ac:dyDescent="0.25">
      <c r="A1305" s="130" t="str">
        <f t="shared" ca="1" si="1451"/>
        <v>a16Dm000000LZf2IAG</v>
      </c>
      <c r="B1305" s="601">
        <v>18</v>
      </c>
      <c r="C1305" s="603" t="str">
        <f>IFERROR(VLOOKUP(B1305,'Coverage Indicators - Section D'!$A$9:$AO$70,41,FALSE),"")</f>
        <v>HTS-6 Number of individual HIV self-test kits distributed</v>
      </c>
      <c r="D1305" s="605" t="str">
        <f>M1305</f>
        <v/>
      </c>
      <c r="E1305" s="605" t="str">
        <f>N1305</f>
        <v/>
      </c>
      <c r="F1305" s="131"/>
      <c r="G1305" s="607" t="str">
        <f ca="1">IF(OR(INDIRECT("'update Helper'!E"&amp;Q1305)="",F1305&lt;&gt;0,F1306&lt;&gt;0),IF(IFERROR((F1305/F1306),"")="","",(F1305/F1306)),INDIRECT("'update Helper'!E"&amp;Q1305)/100)</f>
        <v/>
      </c>
      <c r="H1305" s="597"/>
      <c r="I1305" s="599"/>
      <c r="J1305" s="531"/>
      <c r="K1305" s="130">
        <f>IF(AND(EXACT(C1305,C1303),C1303&lt;&gt;0),K1303+1,0)</f>
        <v>2</v>
      </c>
      <c r="L1305" s="130" t="str">
        <f t="shared" ref="L1305" si="1493">IF(C1305&lt;&gt;"",C1305&amp;"-"&amp;K1305,"")</f>
        <v>HTS-6 Number of individual HIV self-test kits distributed-2</v>
      </c>
      <c r="M1305" s="130" t="str">
        <f t="array" ref="M1305">IFERROR(IF(INDEX('Disaggregation Records'!$E$152:$E$513,MATCH(RIGHT(L1305,255),RIGHT('Disaggregation Records'!$D$152:$D$513,255),0))="","",INDEX('Disaggregation Records'!$E$152:$E$513,MATCH(RIGHT(L1305,255),RIGHT('Disaggregation Records'!$D$152:$D$513,255),0))),"")</f>
        <v/>
      </c>
      <c r="N1305" s="130" t="str">
        <f t="array" ref="N1305">IFERROR(IF(INDEX('Disaggregation Records'!$F$152:$F$513,MATCH(RIGHT(L1305,255),RIGHT('Disaggregation Records'!$D$152:$D$513,255),0))="","",INDEX('Disaggregation Records'!$F$152:$F$513,MATCH(RIGHT(L1305,255),RIGHT('Disaggregation Records'!$D$152:$D$513,255),0))),"")</f>
        <v/>
      </c>
      <c r="O1305" s="130" t="str">
        <f t="array" ref="O1305">IFERROR(IF(INDEX('Disaggregation Records'!$H$152:$H$513,MATCH(RIGHT(L1305,255),RIGHT('Disaggregation Records'!$D$152:$D$513,255),0))="","",INDEX('Disaggregation Records'!$H$152:$H$513,MATCH(RIGHT(L1305,255),RIGHT('Disaggregation Records'!$D$152:$D$513,255),0))),"")</f>
        <v/>
      </c>
      <c r="Q1305" s="52">
        <f t="shared" ref="Q1305" si="1494">Q1303+1</f>
        <v>1837</v>
      </c>
    </row>
    <row r="1306" spans="1:17" ht="20.100000000000001" customHeight="1" x14ac:dyDescent="0.25">
      <c r="A1306" s="130"/>
      <c r="B1306" s="602"/>
      <c r="C1306" s="604"/>
      <c r="D1306" s="606"/>
      <c r="E1306" s="606"/>
      <c r="F1306" s="132"/>
      <c r="G1306" s="608"/>
      <c r="H1306" s="598"/>
      <c r="I1306" s="600"/>
      <c r="J1306" s="532"/>
      <c r="L1306" s="130"/>
      <c r="N1306" s="130"/>
      <c r="O1306" s="130"/>
    </row>
    <row r="1307" spans="1:17" ht="20.100000000000001" customHeight="1" x14ac:dyDescent="0.25">
      <c r="A1307" s="130" t="str">
        <f t="shared" ca="1" si="1454"/>
        <v>a16Dm000000LZf3IAG</v>
      </c>
      <c r="B1307" s="601">
        <v>18</v>
      </c>
      <c r="C1307" s="603" t="str">
        <f>IFERROR(VLOOKUP(B1307,'Coverage Indicators - Section D'!$A$9:$AO$70,41,FALSE),"")</f>
        <v>HTS-6 Number of individual HIV self-test kits distributed</v>
      </c>
      <c r="D1307" s="605" t="str">
        <f>M1307</f>
        <v/>
      </c>
      <c r="E1307" s="605" t="str">
        <f>N1307</f>
        <v/>
      </c>
      <c r="F1307" s="131"/>
      <c r="G1307" s="607" t="str">
        <f ca="1">IF(OR(INDIRECT("'update Helper'!E"&amp;Q1307)="",F1307&lt;&gt;0,F1308&lt;&gt;0),IF(IFERROR((F1307/F1308),"")="","",(F1307/F1308)),INDIRECT("'update Helper'!E"&amp;Q1307)/100)</f>
        <v/>
      </c>
      <c r="H1307" s="597"/>
      <c r="I1307" s="599"/>
      <c r="J1307" s="531"/>
      <c r="K1307" s="130">
        <f>IF(AND(EXACT(C1307,C1305),C1305&lt;&gt;0),K1305+1,0)</f>
        <v>3</v>
      </c>
      <c r="L1307" s="130" t="str">
        <f t="shared" ref="L1307" si="1495">IF(C1307&lt;&gt;"",C1307&amp;"-"&amp;K1307,"")</f>
        <v>HTS-6 Number of individual HIV self-test kits distributed-3</v>
      </c>
      <c r="M1307" s="130" t="str">
        <f t="array" ref="M1307">IFERROR(IF(INDEX('Disaggregation Records'!$E$152:$E$513,MATCH(RIGHT(L1307,255),RIGHT('Disaggregation Records'!$D$152:$D$513,255),0))="","",INDEX('Disaggregation Records'!$E$152:$E$513,MATCH(RIGHT(L1307,255),RIGHT('Disaggregation Records'!$D$152:$D$513,255),0))),"")</f>
        <v/>
      </c>
      <c r="N1307" s="130" t="str">
        <f t="array" ref="N1307">IFERROR(IF(INDEX('Disaggregation Records'!$F$152:$F$513,MATCH(RIGHT(L1307,255),RIGHT('Disaggregation Records'!$D$152:$D$513,255),0))="","",INDEX('Disaggregation Records'!$F$152:$F$513,MATCH(RIGHT(L1307,255),RIGHT('Disaggregation Records'!$D$152:$D$513,255),0))),"")</f>
        <v/>
      </c>
      <c r="O1307" s="130" t="str">
        <f t="array" ref="O1307">IFERROR(IF(INDEX('Disaggregation Records'!$H$152:$H$513,MATCH(RIGHT(L1307,255),RIGHT('Disaggregation Records'!$D$152:$D$513,255),0))="","",INDEX('Disaggregation Records'!$H$152:$H$513,MATCH(RIGHT(L1307,255),RIGHT('Disaggregation Records'!$D$152:$D$513,255),0))),"")</f>
        <v/>
      </c>
      <c r="Q1307" s="52">
        <f t="shared" ref="Q1307" si="1496">Q1305+1</f>
        <v>1838</v>
      </c>
    </row>
    <row r="1308" spans="1:17" ht="20.100000000000001" customHeight="1" x14ac:dyDescent="0.25">
      <c r="B1308" s="602"/>
      <c r="C1308" s="604"/>
      <c r="D1308" s="606"/>
      <c r="E1308" s="606"/>
      <c r="F1308" s="132"/>
      <c r="G1308" s="608"/>
      <c r="H1308" s="598"/>
      <c r="I1308" s="600"/>
      <c r="J1308" s="532"/>
      <c r="L1308" s="130"/>
      <c r="N1308" s="130"/>
      <c r="O1308" s="130"/>
    </row>
    <row r="1309" spans="1:17" ht="20.100000000000001" customHeight="1" x14ac:dyDescent="0.25">
      <c r="A1309" s="130" t="str">
        <f t="shared" ca="1" si="1451"/>
        <v>a16Dm000000LZf4IAG</v>
      </c>
      <c r="B1309" s="601">
        <v>18</v>
      </c>
      <c r="C1309" s="603" t="str">
        <f>IFERROR(VLOOKUP(B1309,'Coverage Indicators - Section D'!$A$9:$AO$70,41,FALSE),"")</f>
        <v>HTS-6 Number of individual HIV self-test kits distributed</v>
      </c>
      <c r="D1309" s="605" t="str">
        <f>M1309</f>
        <v/>
      </c>
      <c r="E1309" s="605" t="str">
        <f>N1309</f>
        <v/>
      </c>
      <c r="F1309" s="131"/>
      <c r="G1309" s="607" t="str">
        <f ca="1">IF(OR(INDIRECT("'update Helper'!E"&amp;Q1309)="",F1309&lt;&gt;0,F1310&lt;&gt;0),IF(IFERROR((F1309/F1310),"")="","",(F1309/F1310)),INDIRECT("'update Helper'!E"&amp;Q1309)/100)</f>
        <v/>
      </c>
      <c r="H1309" s="597"/>
      <c r="I1309" s="599"/>
      <c r="J1309" s="531"/>
      <c r="K1309" s="130">
        <f>IF(AND(EXACT(C1309,C1307),C1307&lt;&gt;0),K1307+1,0)</f>
        <v>4</v>
      </c>
      <c r="L1309" s="130" t="str">
        <f t="shared" ref="L1309" si="1497">IF(C1309&lt;&gt;"",C1309&amp;"-"&amp;K1309,"")</f>
        <v>HTS-6 Number of individual HIV self-test kits distributed-4</v>
      </c>
      <c r="M1309" s="130" t="str">
        <f t="array" ref="M1309">IFERROR(IF(INDEX('Disaggregation Records'!$E$152:$E$513,MATCH(RIGHT(L1309,255),RIGHT('Disaggregation Records'!$D$152:$D$513,255),0))="","",INDEX('Disaggregation Records'!$E$152:$E$513,MATCH(RIGHT(L1309,255),RIGHT('Disaggregation Records'!$D$152:$D$513,255),0))),"")</f>
        <v/>
      </c>
      <c r="N1309" s="130" t="str">
        <f t="array" ref="N1309">IFERROR(IF(INDEX('Disaggregation Records'!$F$152:$F$513,MATCH(RIGHT(L1309,255),RIGHT('Disaggregation Records'!$D$152:$D$513,255),0))="","",INDEX('Disaggregation Records'!$F$152:$F$513,MATCH(RIGHT(L1309,255),RIGHT('Disaggregation Records'!$D$152:$D$513,255),0))),"")</f>
        <v/>
      </c>
      <c r="O1309" s="130" t="str">
        <f t="array" ref="O1309">IFERROR(IF(INDEX('Disaggregation Records'!$H$152:$H$513,MATCH(RIGHT(L1309,255),RIGHT('Disaggregation Records'!$D$152:$D$513,255),0))="","",INDEX('Disaggregation Records'!$H$152:$H$513,MATCH(RIGHT(L1309,255),RIGHT('Disaggregation Records'!$D$152:$D$513,255),0))),"")</f>
        <v/>
      </c>
      <c r="Q1309" s="52">
        <f t="shared" ref="Q1309" si="1498">Q1307+1</f>
        <v>1839</v>
      </c>
    </row>
    <row r="1310" spans="1:17" ht="20.100000000000001" customHeight="1" x14ac:dyDescent="0.25">
      <c r="A1310" s="130"/>
      <c r="B1310" s="602"/>
      <c r="C1310" s="604"/>
      <c r="D1310" s="606"/>
      <c r="E1310" s="606"/>
      <c r="F1310" s="132"/>
      <c r="G1310" s="608"/>
      <c r="H1310" s="598"/>
      <c r="I1310" s="600"/>
      <c r="J1310" s="532"/>
      <c r="L1310" s="130"/>
      <c r="N1310" s="130"/>
      <c r="O1310" s="130"/>
    </row>
    <row r="1311" spans="1:17" ht="20.100000000000001" customHeight="1" x14ac:dyDescent="0.25">
      <c r="A1311" s="130" t="str">
        <f t="shared" ca="1" si="1454"/>
        <v>a16Dm000000LZf5IAG</v>
      </c>
      <c r="B1311" s="601">
        <v>18</v>
      </c>
      <c r="C1311" s="603" t="str">
        <f>IFERROR(VLOOKUP(B1311,'Coverage Indicators - Section D'!$A$9:$AO$70,41,FALSE),"")</f>
        <v>HTS-6 Number of individual HIV self-test kits distributed</v>
      </c>
      <c r="D1311" s="605" t="str">
        <f>M1311</f>
        <v/>
      </c>
      <c r="E1311" s="605" t="str">
        <f>N1311</f>
        <v/>
      </c>
      <c r="F1311" s="131"/>
      <c r="G1311" s="607" t="str">
        <f ca="1">IF(OR(INDIRECT("'update Helper'!E"&amp;Q1311)="",F1311&lt;&gt;0,F1312&lt;&gt;0),IF(IFERROR((F1311/F1312),"")="","",(F1311/F1312)),INDIRECT("'update Helper'!E"&amp;Q1311)/100)</f>
        <v/>
      </c>
      <c r="H1311" s="597"/>
      <c r="I1311" s="599"/>
      <c r="J1311" s="531"/>
      <c r="K1311" s="130">
        <f>IF(AND(EXACT(C1311,C1309),C1309&lt;&gt;0),K1309+1,0)</f>
        <v>5</v>
      </c>
      <c r="L1311" s="130" t="str">
        <f t="shared" ref="L1311" si="1499">IF(C1311&lt;&gt;"",C1311&amp;"-"&amp;K1311,"")</f>
        <v>HTS-6 Number of individual HIV self-test kits distributed-5</v>
      </c>
      <c r="M1311" s="130" t="str">
        <f t="array" ref="M1311">IFERROR(IF(INDEX('Disaggregation Records'!$E$152:$E$513,MATCH(RIGHT(L1311,255),RIGHT('Disaggregation Records'!$D$152:$D$513,255),0))="","",INDEX('Disaggregation Records'!$E$152:$E$513,MATCH(RIGHT(L1311,255),RIGHT('Disaggregation Records'!$D$152:$D$513,255),0))),"")</f>
        <v/>
      </c>
      <c r="N1311" s="130" t="str">
        <f t="array" ref="N1311">IFERROR(IF(INDEX('Disaggregation Records'!$F$152:$F$513,MATCH(RIGHT(L1311,255),RIGHT('Disaggregation Records'!$D$152:$D$513,255),0))="","",INDEX('Disaggregation Records'!$F$152:$F$513,MATCH(RIGHT(L1311,255),RIGHT('Disaggregation Records'!$D$152:$D$513,255),0))),"")</f>
        <v/>
      </c>
      <c r="O1311" s="130" t="str">
        <f t="array" ref="O1311">IFERROR(IF(INDEX('Disaggregation Records'!$H$152:$H$513,MATCH(RIGHT(L1311,255),RIGHT('Disaggregation Records'!$D$152:$D$513,255),0))="","",INDEX('Disaggregation Records'!$H$152:$H$513,MATCH(RIGHT(L1311,255),RIGHT('Disaggregation Records'!$D$152:$D$513,255),0))),"")</f>
        <v/>
      </c>
      <c r="P1311" s="130"/>
      <c r="Q1311" s="52">
        <f t="shared" ref="Q1311" si="1500">Q1309+1</f>
        <v>1840</v>
      </c>
    </row>
    <row r="1312" spans="1:17" ht="20.100000000000001" customHeight="1" x14ac:dyDescent="0.25">
      <c r="B1312" s="602"/>
      <c r="C1312" s="604"/>
      <c r="D1312" s="606"/>
      <c r="E1312" s="606"/>
      <c r="F1312" s="132"/>
      <c r="G1312" s="608"/>
      <c r="H1312" s="598"/>
      <c r="I1312" s="600"/>
      <c r="J1312" s="532"/>
      <c r="K1312" s="130"/>
      <c r="L1312" s="130"/>
      <c r="M1312" s="130"/>
      <c r="N1312" s="130"/>
      <c r="O1312" s="130"/>
      <c r="P1312" s="130"/>
    </row>
    <row r="1313" spans="1:17" ht="20.100000000000001" customHeight="1" x14ac:dyDescent="0.25">
      <c r="A1313" s="130" t="str">
        <f t="shared" ca="1" si="1451"/>
        <v>a16Dm000000LZf6IAG</v>
      </c>
      <c r="B1313" s="601">
        <v>18</v>
      </c>
      <c r="C1313" s="603" t="str">
        <f>IFERROR(VLOOKUP(B1313,'Coverage Indicators - Section D'!$A$9:$AO$70,41,FALSE),"")</f>
        <v>HTS-6 Number of individual HIV self-test kits distributed</v>
      </c>
      <c r="D1313" s="605" t="str">
        <f>M1313</f>
        <v/>
      </c>
      <c r="E1313" s="605" t="str">
        <f>N1313</f>
        <v/>
      </c>
      <c r="F1313" s="131"/>
      <c r="G1313" s="607" t="str">
        <f ca="1">IF(OR(INDIRECT("'update Helper'!E"&amp;Q1313)="",F1313&lt;&gt;0,F1314&lt;&gt;0),IF(IFERROR((F1313/F1314),"")="","",(F1313/F1314)),INDIRECT("'update Helper'!E"&amp;Q1313)/100)</f>
        <v/>
      </c>
      <c r="H1313" s="597"/>
      <c r="I1313" s="599"/>
      <c r="J1313" s="531"/>
      <c r="K1313" s="130">
        <f>IF(AND(EXACT(C1313,C1311),C1311&lt;&gt;0),K1311+1,0)</f>
        <v>6</v>
      </c>
      <c r="L1313" s="130" t="str">
        <f t="shared" ref="L1313" si="1501">IF(C1313&lt;&gt;"",C1313&amp;"-"&amp;K1313,"")</f>
        <v>HTS-6 Number of individual HIV self-test kits distributed-6</v>
      </c>
      <c r="M1313" s="130" t="str">
        <f t="array" ref="M1313">IFERROR(IF(INDEX('Disaggregation Records'!$E$152:$E$513,MATCH(RIGHT(L1313,255),RIGHT('Disaggregation Records'!$D$152:$D$513,255),0))="","",INDEX('Disaggregation Records'!$E$152:$E$513,MATCH(RIGHT(L1313,255),RIGHT('Disaggregation Records'!$D$152:$D$513,255),0))),"")</f>
        <v/>
      </c>
      <c r="N1313" s="130" t="str">
        <f t="array" ref="N1313">IFERROR(IF(INDEX('Disaggregation Records'!$F$152:$F$513,MATCH(RIGHT(L1313,255),RIGHT('Disaggregation Records'!$D$152:$D$513,255),0))="","",INDEX('Disaggregation Records'!$F$152:$F$513,MATCH(RIGHT(L1313,255),RIGHT('Disaggregation Records'!$D$152:$D$513,255),0))),"")</f>
        <v/>
      </c>
      <c r="O1313" s="130" t="str">
        <f t="array" ref="O1313">IFERROR(IF(INDEX('Disaggregation Records'!$H$152:$H$513,MATCH(RIGHT(L1313,255),RIGHT('Disaggregation Records'!$D$152:$D$513,255),0))="","",INDEX('Disaggregation Records'!$H$152:$H$513,MATCH(RIGHT(L1313,255),RIGHT('Disaggregation Records'!$D$152:$D$513,255),0))),"")</f>
        <v/>
      </c>
      <c r="P1313" s="130"/>
      <c r="Q1313" s="52">
        <f t="shared" ref="Q1313" si="1502">Q1311+1</f>
        <v>1841</v>
      </c>
    </row>
    <row r="1314" spans="1:17" ht="20.100000000000001" customHeight="1" x14ac:dyDescent="0.25">
      <c r="A1314" s="130"/>
      <c r="B1314" s="602"/>
      <c r="C1314" s="604"/>
      <c r="D1314" s="606"/>
      <c r="E1314" s="606"/>
      <c r="F1314" s="132"/>
      <c r="G1314" s="608"/>
      <c r="H1314" s="598"/>
      <c r="I1314" s="600"/>
      <c r="J1314" s="532"/>
      <c r="K1314" s="130"/>
      <c r="L1314" s="130"/>
      <c r="M1314" s="130"/>
      <c r="N1314" s="130"/>
      <c r="O1314" s="130"/>
      <c r="P1314" s="130"/>
    </row>
    <row r="1315" spans="1:17" ht="20.100000000000001" customHeight="1" x14ac:dyDescent="0.25">
      <c r="A1315" s="130" t="str">
        <f t="shared" ca="1" si="1454"/>
        <v>a16Dm000000LZf7IAG</v>
      </c>
      <c r="B1315" s="601">
        <v>18</v>
      </c>
      <c r="C1315" s="603" t="str">
        <f>IFERROR(VLOOKUP(B1315,'Coverage Indicators - Section D'!$A$9:$AO$70,41,FALSE),"")</f>
        <v>HTS-6 Number of individual HIV self-test kits distributed</v>
      </c>
      <c r="D1315" s="605" t="str">
        <f>M1315</f>
        <v/>
      </c>
      <c r="E1315" s="605" t="str">
        <f>N1315</f>
        <v/>
      </c>
      <c r="F1315" s="131"/>
      <c r="G1315" s="607" t="str">
        <f ca="1">IF(OR(INDIRECT("'update Helper'!E"&amp;Q1315)="",F1315&lt;&gt;0,F1316&lt;&gt;0),IF(IFERROR((F1315/F1316),"")="","",(F1315/F1316)),INDIRECT("'update Helper'!E"&amp;Q1315)/100)</f>
        <v/>
      </c>
      <c r="H1315" s="597"/>
      <c r="I1315" s="599"/>
      <c r="J1315" s="531"/>
      <c r="K1315" s="130">
        <f>IF(AND(EXACT(C1315,C1313),C1313&lt;&gt;0),K1313+1,0)</f>
        <v>7</v>
      </c>
      <c r="L1315" s="130" t="str">
        <f t="shared" ref="L1315" si="1503">IF(C1315&lt;&gt;"",C1315&amp;"-"&amp;K1315,"")</f>
        <v>HTS-6 Number of individual HIV self-test kits distributed-7</v>
      </c>
      <c r="M1315" s="130" t="str">
        <f t="array" ref="M1315">IFERROR(IF(INDEX('Disaggregation Records'!$E$152:$E$513,MATCH(RIGHT(L1315,255),RIGHT('Disaggregation Records'!$D$152:$D$513,255),0))="","",INDEX('Disaggregation Records'!$E$152:$E$513,MATCH(RIGHT(L1315,255),RIGHT('Disaggregation Records'!$D$152:$D$513,255),0))),"")</f>
        <v/>
      </c>
      <c r="N1315" s="130" t="str">
        <f t="array" ref="N1315">IFERROR(IF(INDEX('Disaggregation Records'!$F$152:$F$513,MATCH(RIGHT(L1315,255),RIGHT('Disaggregation Records'!$D$152:$D$513,255),0))="","",INDEX('Disaggregation Records'!$F$152:$F$513,MATCH(RIGHT(L1315,255),RIGHT('Disaggregation Records'!$D$152:$D$513,255),0))),"")</f>
        <v/>
      </c>
      <c r="O1315" s="130" t="str">
        <f t="array" ref="O1315">IFERROR(IF(INDEX('Disaggregation Records'!$H$152:$H$513,MATCH(RIGHT(L1315,255),RIGHT('Disaggregation Records'!$D$152:$D$513,255),0))="","",INDEX('Disaggregation Records'!$H$152:$H$513,MATCH(RIGHT(L1315,255),RIGHT('Disaggregation Records'!$D$152:$D$513,255),0))),"")</f>
        <v/>
      </c>
      <c r="Q1315" s="52">
        <f t="shared" ref="Q1315" si="1504">Q1313+1</f>
        <v>1842</v>
      </c>
    </row>
    <row r="1316" spans="1:17" ht="20.100000000000001" customHeight="1" x14ac:dyDescent="0.25">
      <c r="B1316" s="602"/>
      <c r="C1316" s="604"/>
      <c r="D1316" s="606"/>
      <c r="E1316" s="606"/>
      <c r="F1316" s="132"/>
      <c r="G1316" s="608"/>
      <c r="H1316" s="598"/>
      <c r="I1316" s="600"/>
      <c r="J1316" s="532"/>
      <c r="L1316" s="130"/>
      <c r="N1316" s="130"/>
      <c r="O1316" s="130"/>
    </row>
    <row r="1317" spans="1:17" ht="20.100000000000001" customHeight="1" x14ac:dyDescent="0.25">
      <c r="A1317" s="130" t="str">
        <f t="shared" ca="1" si="1451"/>
        <v>a16Dm000000LZf8IAG</v>
      </c>
      <c r="B1317" s="601">
        <v>18</v>
      </c>
      <c r="C1317" s="603" t="str">
        <f>IFERROR(VLOOKUP(B1317,'Coverage Indicators - Section D'!$A$9:$AO$70,41,FALSE),"")</f>
        <v>HTS-6 Number of individual HIV self-test kits distributed</v>
      </c>
      <c r="D1317" s="605" t="str">
        <f>M1317</f>
        <v/>
      </c>
      <c r="E1317" s="605" t="str">
        <f>N1317</f>
        <v/>
      </c>
      <c r="F1317" s="131"/>
      <c r="G1317" s="607" t="str">
        <f ca="1">IF(OR(INDIRECT("'update Helper'!E"&amp;Q1317)="",F1317&lt;&gt;0,F1318&lt;&gt;0),IF(IFERROR((F1317/F1318),"")="","",(F1317/F1318)),INDIRECT("'update Helper'!E"&amp;Q1317)/100)</f>
        <v/>
      </c>
      <c r="H1317" s="597"/>
      <c r="I1317" s="599"/>
      <c r="J1317" s="531"/>
      <c r="K1317" s="130">
        <f>IF(AND(EXACT(C1317,C1315),C1315&lt;&gt;0),K1315+1,0)</f>
        <v>8</v>
      </c>
      <c r="L1317" s="130" t="str">
        <f t="shared" ref="L1317" si="1505">IF(C1317&lt;&gt;"",C1317&amp;"-"&amp;K1317,"")</f>
        <v>HTS-6 Number of individual HIV self-test kits distributed-8</v>
      </c>
      <c r="M1317" s="130" t="str">
        <f t="array" ref="M1317">IFERROR(IF(INDEX('Disaggregation Records'!$E$152:$E$513,MATCH(RIGHT(L1317,255),RIGHT('Disaggregation Records'!$D$152:$D$513,255),0))="","",INDEX('Disaggregation Records'!$E$152:$E$513,MATCH(RIGHT(L1317,255),RIGHT('Disaggregation Records'!$D$152:$D$513,255),0))),"")</f>
        <v/>
      </c>
      <c r="N1317" s="130" t="str">
        <f t="array" ref="N1317">IFERROR(IF(INDEX('Disaggregation Records'!$F$152:$F$513,MATCH(RIGHT(L1317,255),RIGHT('Disaggregation Records'!$D$152:$D$513,255),0))="","",INDEX('Disaggregation Records'!$F$152:$F$513,MATCH(RIGHT(L1317,255),RIGHT('Disaggregation Records'!$D$152:$D$513,255),0))),"")</f>
        <v/>
      </c>
      <c r="O1317" s="130" t="str">
        <f t="array" ref="O1317">IFERROR(IF(INDEX('Disaggregation Records'!$H$152:$H$513,MATCH(RIGHT(L1317,255),RIGHT('Disaggregation Records'!$D$152:$D$513,255),0))="","",INDEX('Disaggregation Records'!$H$152:$H$513,MATCH(RIGHT(L1317,255),RIGHT('Disaggregation Records'!$D$152:$D$513,255),0))),"")</f>
        <v/>
      </c>
      <c r="Q1317" s="52">
        <f t="shared" ref="Q1317" si="1506">Q1315+1</f>
        <v>1843</v>
      </c>
    </row>
    <row r="1318" spans="1:17" ht="20.100000000000001" customHeight="1" x14ac:dyDescent="0.25">
      <c r="A1318" s="130"/>
      <c r="B1318" s="602"/>
      <c r="C1318" s="604"/>
      <c r="D1318" s="606"/>
      <c r="E1318" s="606"/>
      <c r="F1318" s="132"/>
      <c r="G1318" s="608"/>
      <c r="H1318" s="598"/>
      <c r="I1318" s="600"/>
      <c r="J1318" s="532"/>
      <c r="L1318" s="130"/>
      <c r="N1318" s="130"/>
      <c r="O1318" s="130"/>
    </row>
    <row r="1319" spans="1:17" ht="20.100000000000001" customHeight="1" x14ac:dyDescent="0.25">
      <c r="A1319" s="130" t="str">
        <f t="shared" ca="1" si="1454"/>
        <v>a16Dm000000LZf9IAG</v>
      </c>
      <c r="B1319" s="601">
        <v>18</v>
      </c>
      <c r="C1319" s="603" t="str">
        <f>IFERROR(VLOOKUP(B1319,'Coverage Indicators - Section D'!$A$9:$AO$70,41,FALSE),"")</f>
        <v>HTS-6 Number of individual HIV self-test kits distributed</v>
      </c>
      <c r="D1319" s="605" t="str">
        <f>M1319</f>
        <v/>
      </c>
      <c r="E1319" s="605" t="str">
        <f>N1319</f>
        <v/>
      </c>
      <c r="F1319" s="131"/>
      <c r="G1319" s="607" t="str">
        <f ca="1">IF(OR(INDIRECT("'update Helper'!E"&amp;Q1319)="",F1319&lt;&gt;0,F1320&lt;&gt;0),IF(IFERROR((F1319/F1320),"")="","",(F1319/F1320)),INDIRECT("'update Helper'!E"&amp;Q1319)/100)</f>
        <v/>
      </c>
      <c r="H1319" s="597"/>
      <c r="I1319" s="599"/>
      <c r="J1319" s="531"/>
      <c r="K1319" s="130">
        <f>IF(AND(EXACT(C1319,C1317),C1317&lt;&gt;0),K1317+1,0)</f>
        <v>9</v>
      </c>
      <c r="L1319" s="130" t="str">
        <f t="shared" ref="L1319" si="1507">IF(C1319&lt;&gt;"",C1319&amp;"-"&amp;K1319,"")</f>
        <v>HTS-6 Number of individual HIV self-test kits distributed-9</v>
      </c>
      <c r="M1319" s="130" t="str">
        <f t="array" ref="M1319">IFERROR(IF(INDEX('Disaggregation Records'!$E$152:$E$513,MATCH(RIGHT(L1319,255),RIGHT('Disaggregation Records'!$D$152:$D$513,255),0))="","",INDEX('Disaggregation Records'!$E$152:$E$513,MATCH(RIGHT(L1319,255),RIGHT('Disaggregation Records'!$D$152:$D$513,255),0))),"")</f>
        <v/>
      </c>
      <c r="N1319" s="130" t="str">
        <f t="array" ref="N1319">IFERROR(IF(INDEX('Disaggregation Records'!$F$152:$F$513,MATCH(RIGHT(L1319,255),RIGHT('Disaggregation Records'!$D$152:$D$513,255),0))="","",INDEX('Disaggregation Records'!$F$152:$F$513,MATCH(RIGHT(L1319,255),RIGHT('Disaggregation Records'!$D$152:$D$513,255),0))),"")</f>
        <v/>
      </c>
      <c r="O1319" s="130" t="str">
        <f t="array" ref="O1319">IFERROR(IF(INDEX('Disaggregation Records'!$H$152:$H$513,MATCH(RIGHT(L1319,255),RIGHT('Disaggregation Records'!$D$152:$D$513,255),0))="","",INDEX('Disaggregation Records'!$H$152:$H$513,MATCH(RIGHT(L1319,255),RIGHT('Disaggregation Records'!$D$152:$D$513,255),0))),"")</f>
        <v/>
      </c>
      <c r="Q1319" s="52">
        <f t="shared" ref="Q1319" si="1508">Q1317+1</f>
        <v>1844</v>
      </c>
    </row>
    <row r="1320" spans="1:17" ht="20.100000000000001" customHeight="1" x14ac:dyDescent="0.25">
      <c r="B1320" s="602"/>
      <c r="C1320" s="604"/>
      <c r="D1320" s="606"/>
      <c r="E1320" s="606"/>
      <c r="F1320" s="132"/>
      <c r="G1320" s="608"/>
      <c r="H1320" s="598"/>
      <c r="I1320" s="600"/>
      <c r="J1320" s="532"/>
      <c r="L1320" s="130"/>
      <c r="N1320" s="130"/>
      <c r="O1320" s="130"/>
    </row>
    <row r="1321" spans="1:17" ht="20.100000000000001" customHeight="1" x14ac:dyDescent="0.25">
      <c r="A1321" s="130" t="str">
        <f t="shared" ca="1" si="1451"/>
        <v>a16Dm000000LZfAIAW</v>
      </c>
      <c r="B1321" s="601">
        <v>18</v>
      </c>
      <c r="C1321" s="603" t="str">
        <f>IFERROR(VLOOKUP(B1321,'Coverage Indicators - Section D'!$A$9:$AO$70,41,FALSE),"")</f>
        <v>HTS-6 Number of individual HIV self-test kits distributed</v>
      </c>
      <c r="D1321" s="605" t="str">
        <f>M1321</f>
        <v/>
      </c>
      <c r="E1321" s="605" t="str">
        <f>N1321</f>
        <v/>
      </c>
      <c r="F1321" s="131"/>
      <c r="G1321" s="607" t="str">
        <f ca="1">IF(OR(INDIRECT("'update Helper'!E"&amp;Q1321)="",F1321&lt;&gt;0,F1322&lt;&gt;0),IF(IFERROR((F1321/F1322),"")="","",(F1321/F1322)),INDIRECT("'update Helper'!E"&amp;Q1321)/100)</f>
        <v/>
      </c>
      <c r="H1321" s="597"/>
      <c r="I1321" s="599"/>
      <c r="J1321" s="531"/>
      <c r="K1321" s="130">
        <f>IF(AND(EXACT(C1321,C1319),C1319&lt;&gt;0),K1319+1,0)</f>
        <v>10</v>
      </c>
      <c r="L1321" s="130" t="str">
        <f t="shared" ref="L1321" si="1509">IF(C1321&lt;&gt;"",C1321&amp;"-"&amp;K1321,"")</f>
        <v>HTS-6 Number of individual HIV self-test kits distributed-10</v>
      </c>
      <c r="M1321" s="130" t="str">
        <f t="array" ref="M1321">IFERROR(IF(INDEX('Disaggregation Records'!$E$152:$E$513,MATCH(RIGHT(L1321,255),RIGHT('Disaggregation Records'!$D$152:$D$513,255),0))="","",INDEX('Disaggregation Records'!$E$152:$E$513,MATCH(RIGHT(L1321,255),RIGHT('Disaggregation Records'!$D$152:$D$513,255),0))),"")</f>
        <v/>
      </c>
      <c r="N1321" s="130" t="str">
        <f t="array" ref="N1321">IFERROR(IF(INDEX('Disaggregation Records'!$F$152:$F$513,MATCH(RIGHT(L1321,255),RIGHT('Disaggregation Records'!$D$152:$D$513,255),0))="","",INDEX('Disaggregation Records'!$F$152:$F$513,MATCH(RIGHT(L1321,255),RIGHT('Disaggregation Records'!$D$152:$D$513,255),0))),"")</f>
        <v/>
      </c>
      <c r="O1321" s="130" t="str">
        <f t="array" ref="O1321">IFERROR(IF(INDEX('Disaggregation Records'!$H$152:$H$513,MATCH(RIGHT(L1321,255),RIGHT('Disaggregation Records'!$D$152:$D$513,255),0))="","",INDEX('Disaggregation Records'!$H$152:$H$513,MATCH(RIGHT(L1321,255),RIGHT('Disaggregation Records'!$D$152:$D$513,255),0))),"")</f>
        <v/>
      </c>
      <c r="P1321" s="130"/>
      <c r="Q1321" s="52">
        <f t="shared" ref="Q1321" si="1510">Q1319+1</f>
        <v>1845</v>
      </c>
    </row>
    <row r="1322" spans="1:17" ht="20.100000000000001" customHeight="1" x14ac:dyDescent="0.25">
      <c r="A1322" s="130"/>
      <c r="B1322" s="602"/>
      <c r="C1322" s="604"/>
      <c r="D1322" s="606"/>
      <c r="E1322" s="606"/>
      <c r="F1322" s="132"/>
      <c r="G1322" s="608"/>
      <c r="H1322" s="598"/>
      <c r="I1322" s="600"/>
      <c r="J1322" s="532"/>
      <c r="K1322" s="130"/>
      <c r="L1322" s="130"/>
      <c r="M1322" s="130"/>
      <c r="N1322" s="130"/>
      <c r="O1322" s="130"/>
      <c r="P1322" s="130"/>
    </row>
    <row r="1323" spans="1:17" ht="20.100000000000001" customHeight="1" x14ac:dyDescent="0.25">
      <c r="A1323" s="130" t="str">
        <f t="shared" ca="1" si="1454"/>
        <v>a16Dm000000LZfBIAW</v>
      </c>
      <c r="B1323" s="601">
        <v>18</v>
      </c>
      <c r="C1323" s="603" t="str">
        <f>IFERROR(VLOOKUP(B1323,'Coverage Indicators - Section D'!$A$9:$AO$70,41,FALSE),"")</f>
        <v>HTS-6 Number of individual HIV self-test kits distributed</v>
      </c>
      <c r="D1323" s="605" t="str">
        <f>M1323</f>
        <v/>
      </c>
      <c r="E1323" s="605" t="str">
        <f>N1323</f>
        <v/>
      </c>
      <c r="F1323" s="131"/>
      <c r="G1323" s="607" t="str">
        <f ca="1">IF(OR(INDIRECT("'update Helper'!E"&amp;Q1323)="",F1323&lt;&gt;0,F1324&lt;&gt;0),IF(IFERROR((F1323/F1324),"")="","",(F1323/F1324)),INDIRECT("'update Helper'!E"&amp;Q1323)/100)</f>
        <v/>
      </c>
      <c r="H1323" s="597"/>
      <c r="I1323" s="599"/>
      <c r="J1323" s="531"/>
      <c r="K1323" s="130">
        <f>IF(AND(EXACT(C1323,C1321),C1321&lt;&gt;0),K1321+1,0)</f>
        <v>11</v>
      </c>
      <c r="L1323" s="130" t="str">
        <f t="shared" ref="L1323" si="1511">IF(C1323&lt;&gt;"",C1323&amp;"-"&amp;K1323,"")</f>
        <v>HTS-6 Number of individual HIV self-test kits distributed-11</v>
      </c>
      <c r="M1323" s="130" t="str">
        <f t="array" ref="M1323">IFERROR(IF(INDEX('Disaggregation Records'!$E$152:$E$513,MATCH(RIGHT(L1323,255),RIGHT('Disaggregation Records'!$D$152:$D$513,255),0))="","",INDEX('Disaggregation Records'!$E$152:$E$513,MATCH(RIGHT(L1323,255),RIGHT('Disaggregation Records'!$D$152:$D$513,255),0))),"")</f>
        <v/>
      </c>
      <c r="N1323" s="130" t="str">
        <f t="array" ref="N1323">IFERROR(IF(INDEX('Disaggregation Records'!$F$152:$F$513,MATCH(RIGHT(L1323,255),RIGHT('Disaggregation Records'!$D$152:$D$513,255),0))="","",INDEX('Disaggregation Records'!$F$152:$F$513,MATCH(RIGHT(L1323,255),RIGHT('Disaggregation Records'!$D$152:$D$513,255),0))),"")</f>
        <v/>
      </c>
      <c r="O1323" s="130" t="str">
        <f t="array" ref="O1323">IFERROR(IF(INDEX('Disaggregation Records'!$H$152:$H$513,MATCH(RIGHT(L1323,255),RIGHT('Disaggregation Records'!$D$152:$D$513,255),0))="","",INDEX('Disaggregation Records'!$H$152:$H$513,MATCH(RIGHT(L1323,255),RIGHT('Disaggregation Records'!$D$152:$D$513,255),0))),"")</f>
        <v/>
      </c>
      <c r="P1323" s="130"/>
      <c r="Q1323" s="52">
        <f t="shared" ref="Q1323" si="1512">Q1321+1</f>
        <v>1846</v>
      </c>
    </row>
    <row r="1324" spans="1:17" ht="20.100000000000001" customHeight="1" x14ac:dyDescent="0.25">
      <c r="B1324" s="602"/>
      <c r="C1324" s="604"/>
      <c r="D1324" s="606"/>
      <c r="E1324" s="606"/>
      <c r="F1324" s="132"/>
      <c r="G1324" s="608"/>
      <c r="H1324" s="598"/>
      <c r="I1324" s="600"/>
      <c r="J1324" s="532"/>
      <c r="K1324" s="130"/>
      <c r="L1324" s="130"/>
      <c r="M1324" s="130"/>
      <c r="N1324" s="130"/>
      <c r="O1324" s="130"/>
      <c r="P1324" s="130"/>
    </row>
    <row r="1325" spans="1:17" ht="20.100000000000001" customHeight="1" x14ac:dyDescent="0.25">
      <c r="A1325" s="130" t="str">
        <f t="shared" ca="1" si="1451"/>
        <v>a16Dm000000LZfCIAW</v>
      </c>
      <c r="B1325" s="601">
        <v>18</v>
      </c>
      <c r="C1325" s="603" t="str">
        <f>IFERROR(VLOOKUP(B1325,'Coverage Indicators - Section D'!$A$9:$AO$70,41,FALSE),"")</f>
        <v>HTS-6 Number of individual HIV self-test kits distributed</v>
      </c>
      <c r="D1325" s="605" t="str">
        <f>M1325</f>
        <v/>
      </c>
      <c r="E1325" s="605" t="str">
        <f>N1325</f>
        <v/>
      </c>
      <c r="F1325" s="131"/>
      <c r="G1325" s="607" t="str">
        <f ca="1">IF(OR(INDIRECT("'update Helper'!E"&amp;Q1325)="",F1325&lt;&gt;0,F1326&lt;&gt;0),IF(IFERROR((F1325/F1326),"")="","",(F1325/F1326)),INDIRECT("'update Helper'!E"&amp;Q1325)/100)</f>
        <v/>
      </c>
      <c r="H1325" s="597"/>
      <c r="I1325" s="599"/>
      <c r="J1325" s="531"/>
      <c r="K1325" s="130">
        <f>IF(AND(EXACT(C1325,C1323),C1323&lt;&gt;0),K1323+1,0)</f>
        <v>12</v>
      </c>
      <c r="L1325" s="130" t="str">
        <f t="shared" ref="L1325" si="1513">IF(C1325&lt;&gt;"",C1325&amp;"-"&amp;K1325,"")</f>
        <v>HTS-6 Number of individual HIV self-test kits distributed-12</v>
      </c>
      <c r="M1325" s="130" t="str">
        <f t="array" ref="M1325">IFERROR(IF(INDEX('Disaggregation Records'!$E$152:$E$513,MATCH(RIGHT(L1325,255),RIGHT('Disaggregation Records'!$D$152:$D$513,255),0))="","",INDEX('Disaggregation Records'!$E$152:$E$513,MATCH(RIGHT(L1325,255),RIGHT('Disaggregation Records'!$D$152:$D$513,255),0))),"")</f>
        <v/>
      </c>
      <c r="N1325" s="130" t="str">
        <f t="array" ref="N1325">IFERROR(IF(INDEX('Disaggregation Records'!$F$152:$F$513,MATCH(RIGHT(L1325,255),RIGHT('Disaggregation Records'!$D$152:$D$513,255),0))="","",INDEX('Disaggregation Records'!$F$152:$F$513,MATCH(RIGHT(L1325,255),RIGHT('Disaggregation Records'!$D$152:$D$513,255),0))),"")</f>
        <v/>
      </c>
      <c r="O1325" s="130" t="str">
        <f t="array" ref="O1325">IFERROR(IF(INDEX('Disaggregation Records'!$H$152:$H$513,MATCH(RIGHT(L1325,255),RIGHT('Disaggregation Records'!$D$152:$D$513,255),0))="","",INDEX('Disaggregation Records'!$H$152:$H$513,MATCH(RIGHT(L1325,255),RIGHT('Disaggregation Records'!$D$152:$D$513,255),0))),"")</f>
        <v/>
      </c>
      <c r="Q1325" s="52">
        <f t="shared" ref="Q1325" si="1514">Q1323+1</f>
        <v>1847</v>
      </c>
    </row>
    <row r="1326" spans="1:17" ht="20.100000000000001" customHeight="1" x14ac:dyDescent="0.25">
      <c r="A1326" s="130"/>
      <c r="B1326" s="602"/>
      <c r="C1326" s="604"/>
      <c r="D1326" s="606"/>
      <c r="E1326" s="606"/>
      <c r="F1326" s="132"/>
      <c r="G1326" s="608"/>
      <c r="H1326" s="598"/>
      <c r="I1326" s="600"/>
      <c r="J1326" s="532"/>
      <c r="L1326" s="130"/>
      <c r="N1326" s="130"/>
      <c r="O1326" s="130"/>
    </row>
    <row r="1327" spans="1:17" ht="20.100000000000001" customHeight="1" x14ac:dyDescent="0.25">
      <c r="A1327" s="130" t="str">
        <f t="shared" ca="1" si="1454"/>
        <v>a16Dm000000LZfDIAW</v>
      </c>
      <c r="B1327" s="601">
        <v>18</v>
      </c>
      <c r="C1327" s="603" t="str">
        <f>IFERROR(VLOOKUP(B1327,'Coverage Indicators - Section D'!$A$9:$AO$70,41,FALSE),"")</f>
        <v>HTS-6 Number of individual HIV self-test kits distributed</v>
      </c>
      <c r="D1327" s="605" t="str">
        <f>M1327</f>
        <v/>
      </c>
      <c r="E1327" s="605" t="str">
        <f>N1327</f>
        <v/>
      </c>
      <c r="F1327" s="131"/>
      <c r="G1327" s="607" t="str">
        <f ca="1">IF(OR(INDIRECT("'update Helper'!E"&amp;Q1327)="",F1327&lt;&gt;0,F1328&lt;&gt;0),IF(IFERROR((F1327/F1328),"")="","",(F1327/F1328)),INDIRECT("'update Helper'!E"&amp;Q1327)/100)</f>
        <v/>
      </c>
      <c r="H1327" s="597"/>
      <c r="I1327" s="599"/>
      <c r="J1327" s="531"/>
      <c r="K1327" s="130">
        <f>IF(AND(EXACT(C1327,C1325),C1325&lt;&gt;0),K1325+1,0)</f>
        <v>13</v>
      </c>
      <c r="L1327" s="130" t="str">
        <f t="shared" ref="L1327" si="1515">IF(C1327&lt;&gt;"",C1327&amp;"-"&amp;K1327,"")</f>
        <v>HTS-6 Number of individual HIV self-test kits distributed-13</v>
      </c>
      <c r="M1327" s="130" t="str">
        <f t="array" ref="M1327">IFERROR(IF(INDEX('Disaggregation Records'!$E$152:$E$513,MATCH(RIGHT(L1327,255),RIGHT('Disaggregation Records'!$D$152:$D$513,255),0))="","",INDEX('Disaggregation Records'!$E$152:$E$513,MATCH(RIGHT(L1327,255),RIGHT('Disaggregation Records'!$D$152:$D$513,255),0))),"")</f>
        <v/>
      </c>
      <c r="N1327" s="130" t="str">
        <f t="array" ref="N1327">IFERROR(IF(INDEX('Disaggregation Records'!$F$152:$F$513,MATCH(RIGHT(L1327,255),RIGHT('Disaggregation Records'!$D$152:$D$513,255),0))="","",INDEX('Disaggregation Records'!$F$152:$F$513,MATCH(RIGHT(L1327,255),RIGHT('Disaggregation Records'!$D$152:$D$513,255),0))),"")</f>
        <v/>
      </c>
      <c r="O1327" s="130" t="str">
        <f t="array" ref="O1327">IFERROR(IF(INDEX('Disaggregation Records'!$H$152:$H$513,MATCH(RIGHT(L1327,255),RIGHT('Disaggregation Records'!$D$152:$D$513,255),0))="","",INDEX('Disaggregation Records'!$H$152:$H$513,MATCH(RIGHT(L1327,255),RIGHT('Disaggregation Records'!$D$152:$D$513,255),0))),"")</f>
        <v/>
      </c>
      <c r="Q1327" s="52">
        <f t="shared" ref="Q1327" si="1516">Q1325+1</f>
        <v>1848</v>
      </c>
    </row>
    <row r="1328" spans="1:17" ht="20.100000000000001" customHeight="1" x14ac:dyDescent="0.25">
      <c r="B1328" s="602"/>
      <c r="C1328" s="604"/>
      <c r="D1328" s="606"/>
      <c r="E1328" s="606"/>
      <c r="F1328" s="132"/>
      <c r="G1328" s="608"/>
      <c r="H1328" s="598"/>
      <c r="I1328" s="600"/>
      <c r="J1328" s="532"/>
      <c r="L1328" s="130"/>
      <c r="N1328" s="130"/>
      <c r="O1328" s="130"/>
    </row>
    <row r="1329" spans="1:17" ht="20.100000000000001" customHeight="1" x14ac:dyDescent="0.25">
      <c r="A1329" s="130" t="str">
        <f t="shared" ref="A1329:A1389" ca="1" si="1517">INDIRECT("'update Helper'!C"&amp;Q1329)</f>
        <v>a16Dm000000LZfEIAW</v>
      </c>
      <c r="B1329" s="601">
        <v>18</v>
      </c>
      <c r="C1329" s="603" t="str">
        <f>IFERROR(VLOOKUP(B1329,'Coverage Indicators - Section D'!$A$9:$AO$70,41,FALSE),"")</f>
        <v>HTS-6 Number of individual HIV self-test kits distributed</v>
      </c>
      <c r="D1329" s="605" t="str">
        <f>M1329</f>
        <v/>
      </c>
      <c r="E1329" s="605" t="str">
        <f>N1329</f>
        <v/>
      </c>
      <c r="F1329" s="131"/>
      <c r="G1329" s="607" t="str">
        <f ca="1">IF(OR(INDIRECT("'update Helper'!E"&amp;Q1329)="",F1329&lt;&gt;0,F1330&lt;&gt;0),IF(IFERROR((F1329/F1330),"")="","",(F1329/F1330)),INDIRECT("'update Helper'!E"&amp;Q1329)/100)</f>
        <v/>
      </c>
      <c r="H1329" s="597"/>
      <c r="I1329" s="599"/>
      <c r="J1329" s="531"/>
      <c r="K1329" s="130">
        <f>IF(AND(EXACT(C1329,C1327),C1327&lt;&gt;0),K1327+1,0)</f>
        <v>14</v>
      </c>
      <c r="L1329" s="130" t="str">
        <f t="shared" ref="L1329" si="1518">IF(C1329&lt;&gt;"",C1329&amp;"-"&amp;K1329,"")</f>
        <v>HTS-6 Number of individual HIV self-test kits distributed-14</v>
      </c>
      <c r="M1329" s="130" t="str">
        <f t="array" ref="M1329">IFERROR(IF(INDEX('Disaggregation Records'!$E$152:$E$513,MATCH(RIGHT(L1329,255),RIGHT('Disaggregation Records'!$D$152:$D$513,255),0))="","",INDEX('Disaggregation Records'!$E$152:$E$513,MATCH(RIGHT(L1329,255),RIGHT('Disaggregation Records'!$D$152:$D$513,255),0))),"")</f>
        <v/>
      </c>
      <c r="N1329" s="130" t="str">
        <f t="array" ref="N1329">IFERROR(IF(INDEX('Disaggregation Records'!$F$152:$F$513,MATCH(RIGHT(L1329,255),RIGHT('Disaggregation Records'!$D$152:$D$513,255),0))="","",INDEX('Disaggregation Records'!$F$152:$F$513,MATCH(RIGHT(L1329,255),RIGHT('Disaggregation Records'!$D$152:$D$513,255),0))),"")</f>
        <v/>
      </c>
      <c r="O1329" s="130" t="str">
        <f t="array" ref="O1329">IFERROR(IF(INDEX('Disaggregation Records'!$H$152:$H$513,MATCH(RIGHT(L1329,255),RIGHT('Disaggregation Records'!$D$152:$D$513,255),0))="","",INDEX('Disaggregation Records'!$H$152:$H$513,MATCH(RIGHT(L1329,255),RIGHT('Disaggregation Records'!$D$152:$D$513,255),0))),"")</f>
        <v/>
      </c>
      <c r="Q1329" s="52">
        <f t="shared" ref="Q1329" si="1519">Q1327+1</f>
        <v>1849</v>
      </c>
    </row>
    <row r="1330" spans="1:17" ht="20.100000000000001" customHeight="1" x14ac:dyDescent="0.25">
      <c r="A1330" s="130"/>
      <c r="B1330" s="602"/>
      <c r="C1330" s="604"/>
      <c r="D1330" s="606"/>
      <c r="E1330" s="606"/>
      <c r="F1330" s="132"/>
      <c r="G1330" s="608"/>
      <c r="H1330" s="598"/>
      <c r="I1330" s="600"/>
      <c r="J1330" s="532"/>
      <c r="L1330" s="130"/>
      <c r="N1330" s="130"/>
      <c r="O1330" s="130"/>
    </row>
    <row r="1331" spans="1:17" ht="20.100000000000001" customHeight="1" x14ac:dyDescent="0.25">
      <c r="A1331" s="130" t="str">
        <f t="shared" ref="A1331:A1391" ca="1" si="1520">INDIRECT("'update Helper'!C"&amp;Q1331)</f>
        <v>a16Dm000000LZfFIAW</v>
      </c>
      <c r="B1331" s="601">
        <v>18</v>
      </c>
      <c r="C1331" s="603" t="str">
        <f>IFERROR(VLOOKUP(B1331,'Coverage Indicators - Section D'!$A$9:$AO$70,41,FALSE),"")</f>
        <v>HTS-6 Number of individual HIV self-test kits distributed</v>
      </c>
      <c r="D1331" s="605" t="str">
        <f>M1331</f>
        <v/>
      </c>
      <c r="E1331" s="605" t="str">
        <f>N1331</f>
        <v/>
      </c>
      <c r="F1331" s="131"/>
      <c r="G1331" s="607" t="str">
        <f ca="1">IF(OR(INDIRECT("'update Helper'!E"&amp;Q1331)="",F1331&lt;&gt;0,F1332&lt;&gt;0),IF(IFERROR((F1331/F1332),"")="","",(F1331/F1332)),INDIRECT("'update Helper'!E"&amp;Q1331)/100)</f>
        <v/>
      </c>
      <c r="H1331" s="597"/>
      <c r="I1331" s="599"/>
      <c r="J1331" s="531"/>
      <c r="K1331" s="130">
        <f>IF(AND(EXACT(C1331,C1329),C1329&lt;&gt;0),K1329+1,0)</f>
        <v>15</v>
      </c>
      <c r="L1331" s="130" t="str">
        <f t="shared" ref="L1331" si="1521">IF(C1331&lt;&gt;"",C1331&amp;"-"&amp;K1331,"")</f>
        <v>HTS-6 Number of individual HIV self-test kits distributed-15</v>
      </c>
      <c r="M1331" s="130" t="str">
        <f t="array" ref="M1331">IFERROR(IF(INDEX('Disaggregation Records'!$E$152:$E$513,MATCH(RIGHT(L1331,255),RIGHT('Disaggregation Records'!$D$152:$D$513,255),0))="","",INDEX('Disaggregation Records'!$E$152:$E$513,MATCH(RIGHT(L1331,255),RIGHT('Disaggregation Records'!$D$152:$D$513,255),0))),"")</f>
        <v/>
      </c>
      <c r="N1331" s="130" t="str">
        <f t="array" ref="N1331">IFERROR(IF(INDEX('Disaggregation Records'!$F$152:$F$513,MATCH(RIGHT(L1331,255),RIGHT('Disaggregation Records'!$D$152:$D$513,255),0))="","",INDEX('Disaggregation Records'!$F$152:$F$513,MATCH(RIGHT(L1331,255),RIGHT('Disaggregation Records'!$D$152:$D$513,255),0))),"")</f>
        <v/>
      </c>
      <c r="O1331" s="130" t="str">
        <f t="array" ref="O1331">IFERROR(IF(INDEX('Disaggregation Records'!$H$152:$H$513,MATCH(RIGHT(L1331,255),RIGHT('Disaggregation Records'!$D$152:$D$513,255),0))="","",INDEX('Disaggregation Records'!$H$152:$H$513,MATCH(RIGHT(L1331,255),RIGHT('Disaggregation Records'!$D$152:$D$513,255),0))),"")</f>
        <v/>
      </c>
      <c r="P1331" s="130"/>
      <c r="Q1331" s="52">
        <f t="shared" ref="Q1331" si="1522">Q1329+1</f>
        <v>1850</v>
      </c>
    </row>
    <row r="1332" spans="1:17" ht="20.100000000000001" customHeight="1" x14ac:dyDescent="0.25">
      <c r="B1332" s="602"/>
      <c r="C1332" s="604"/>
      <c r="D1332" s="606"/>
      <c r="E1332" s="606"/>
      <c r="F1332" s="132"/>
      <c r="G1332" s="608"/>
      <c r="H1332" s="598"/>
      <c r="I1332" s="600"/>
      <c r="J1332" s="532"/>
      <c r="K1332" s="130"/>
      <c r="L1332" s="130"/>
      <c r="M1332" s="130"/>
      <c r="N1332" s="130"/>
      <c r="O1332" s="130"/>
      <c r="P1332" s="130"/>
    </row>
    <row r="1333" spans="1:17" ht="20.100000000000001" customHeight="1" x14ac:dyDescent="0.25">
      <c r="A1333" s="130" t="str">
        <f t="shared" ca="1" si="1517"/>
        <v>a16Dm000000LZfGIAW</v>
      </c>
      <c r="B1333" s="601">
        <v>18</v>
      </c>
      <c r="C1333" s="603" t="str">
        <f>IFERROR(VLOOKUP(B1333,'Coverage Indicators - Section D'!$A$9:$AO$70,41,FALSE),"")</f>
        <v>HTS-6 Number of individual HIV self-test kits distributed</v>
      </c>
      <c r="D1333" s="605" t="str">
        <f>M1333</f>
        <v/>
      </c>
      <c r="E1333" s="605" t="str">
        <f>N1333</f>
        <v/>
      </c>
      <c r="F1333" s="131"/>
      <c r="G1333" s="607" t="str">
        <f ca="1">IF(OR(INDIRECT("'update Helper'!E"&amp;Q1333)="",F1333&lt;&gt;0,F1334&lt;&gt;0),IF(IFERROR((F1333/F1334),"")="","",(F1333/F1334)),INDIRECT("'update Helper'!E"&amp;Q1333)/100)</f>
        <v/>
      </c>
      <c r="H1333" s="597"/>
      <c r="I1333" s="599"/>
      <c r="J1333" s="531"/>
      <c r="K1333" s="130">
        <f>IF(AND(EXACT(C1333,C1331),C1331&lt;&gt;0),K1331+1,0)</f>
        <v>16</v>
      </c>
      <c r="L1333" s="130" t="str">
        <f t="shared" ref="L1333" si="1523">IF(C1333&lt;&gt;"",C1333&amp;"-"&amp;K1333,"")</f>
        <v>HTS-6 Number of individual HIV self-test kits distributed-16</v>
      </c>
      <c r="M1333" s="130" t="str">
        <f t="array" ref="M1333">IFERROR(IF(INDEX('Disaggregation Records'!$E$152:$E$513,MATCH(RIGHT(L1333,255),RIGHT('Disaggregation Records'!$D$152:$D$513,255),0))="","",INDEX('Disaggregation Records'!$E$152:$E$513,MATCH(RIGHT(L1333,255),RIGHT('Disaggregation Records'!$D$152:$D$513,255),0))),"")</f>
        <v/>
      </c>
      <c r="N1333" s="130" t="str">
        <f t="array" ref="N1333">IFERROR(IF(INDEX('Disaggregation Records'!$F$152:$F$513,MATCH(RIGHT(L1333,255),RIGHT('Disaggregation Records'!$D$152:$D$513,255),0))="","",INDEX('Disaggregation Records'!$F$152:$F$513,MATCH(RIGHT(L1333,255),RIGHT('Disaggregation Records'!$D$152:$D$513,255),0))),"")</f>
        <v/>
      </c>
      <c r="O1333" s="130" t="str">
        <f t="array" ref="O1333">IFERROR(IF(INDEX('Disaggregation Records'!$H$152:$H$513,MATCH(RIGHT(L1333,255),RIGHT('Disaggregation Records'!$D$152:$D$513,255),0))="","",INDEX('Disaggregation Records'!$H$152:$H$513,MATCH(RIGHT(L1333,255),RIGHT('Disaggregation Records'!$D$152:$D$513,255),0))),"")</f>
        <v/>
      </c>
      <c r="P1333" s="130"/>
      <c r="Q1333" s="52">
        <f t="shared" ref="Q1333" si="1524">Q1331+1</f>
        <v>1851</v>
      </c>
    </row>
    <row r="1334" spans="1:17" ht="20.100000000000001" customHeight="1" x14ac:dyDescent="0.25">
      <c r="A1334" s="130"/>
      <c r="B1334" s="602"/>
      <c r="C1334" s="604"/>
      <c r="D1334" s="606"/>
      <c r="E1334" s="606"/>
      <c r="F1334" s="132"/>
      <c r="G1334" s="608"/>
      <c r="H1334" s="598"/>
      <c r="I1334" s="600"/>
      <c r="J1334" s="532"/>
      <c r="K1334" s="130"/>
      <c r="L1334" s="130"/>
      <c r="M1334" s="130"/>
      <c r="N1334" s="130"/>
      <c r="O1334" s="130"/>
      <c r="P1334" s="130"/>
    </row>
    <row r="1335" spans="1:17" ht="20.100000000000001" customHeight="1" x14ac:dyDescent="0.25">
      <c r="A1335" s="130" t="str">
        <f t="shared" ca="1" si="1520"/>
        <v>a16Dm000000LZfHIAW</v>
      </c>
      <c r="B1335" s="601">
        <v>18</v>
      </c>
      <c r="C1335" s="603" t="str">
        <f>IFERROR(VLOOKUP(B1335,'Coverage Indicators - Section D'!$A$9:$AO$70,41,FALSE),"")</f>
        <v>HTS-6 Number of individual HIV self-test kits distributed</v>
      </c>
      <c r="D1335" s="605" t="str">
        <f>M1335</f>
        <v/>
      </c>
      <c r="E1335" s="605" t="str">
        <f>N1335</f>
        <v/>
      </c>
      <c r="F1335" s="131"/>
      <c r="G1335" s="607" t="str">
        <f ca="1">IF(OR(INDIRECT("'update Helper'!E"&amp;Q1335)="",F1335&lt;&gt;0,F1336&lt;&gt;0),IF(IFERROR((F1335/F1336),"")="","",(F1335/F1336)),INDIRECT("'update Helper'!E"&amp;Q1335)/100)</f>
        <v/>
      </c>
      <c r="H1335" s="597"/>
      <c r="I1335" s="599"/>
      <c r="J1335" s="531"/>
      <c r="K1335" s="130">
        <f>IF(AND(EXACT(C1335,C1333),C1333&lt;&gt;0),K1333+1,0)</f>
        <v>17</v>
      </c>
      <c r="L1335" s="130" t="str">
        <f t="shared" ref="L1335" si="1525">IF(C1335&lt;&gt;"",C1335&amp;"-"&amp;K1335,"")</f>
        <v>HTS-6 Number of individual HIV self-test kits distributed-17</v>
      </c>
      <c r="M1335" s="130" t="str">
        <f t="array" ref="M1335">IFERROR(IF(INDEX('Disaggregation Records'!$E$152:$E$513,MATCH(RIGHT(L1335,255),RIGHT('Disaggregation Records'!$D$152:$D$513,255),0))="","",INDEX('Disaggregation Records'!$E$152:$E$513,MATCH(RIGHT(L1335,255),RIGHT('Disaggregation Records'!$D$152:$D$513,255),0))),"")</f>
        <v/>
      </c>
      <c r="N1335" s="130" t="str">
        <f t="array" ref="N1335">IFERROR(IF(INDEX('Disaggregation Records'!$F$152:$F$513,MATCH(RIGHT(L1335,255),RIGHT('Disaggregation Records'!$D$152:$D$513,255),0))="","",INDEX('Disaggregation Records'!$F$152:$F$513,MATCH(RIGHT(L1335,255),RIGHT('Disaggregation Records'!$D$152:$D$513,255),0))),"")</f>
        <v/>
      </c>
      <c r="O1335" s="130" t="str">
        <f t="array" ref="O1335">IFERROR(IF(INDEX('Disaggregation Records'!$H$152:$H$513,MATCH(RIGHT(L1335,255),RIGHT('Disaggregation Records'!$D$152:$D$513,255),0))="","",INDEX('Disaggregation Records'!$H$152:$H$513,MATCH(RIGHT(L1335,255),RIGHT('Disaggregation Records'!$D$152:$D$513,255),0))),"")</f>
        <v/>
      </c>
      <c r="Q1335" s="52">
        <f t="shared" ref="Q1335" si="1526">Q1333+1</f>
        <v>1852</v>
      </c>
    </row>
    <row r="1336" spans="1:17" ht="20.100000000000001" customHeight="1" x14ac:dyDescent="0.25">
      <c r="B1336" s="602"/>
      <c r="C1336" s="604"/>
      <c r="D1336" s="606"/>
      <c r="E1336" s="606"/>
      <c r="F1336" s="132"/>
      <c r="G1336" s="608"/>
      <c r="H1336" s="598"/>
      <c r="I1336" s="600"/>
      <c r="J1336" s="532"/>
      <c r="L1336" s="130"/>
      <c r="N1336" s="130"/>
      <c r="O1336" s="130"/>
    </row>
    <row r="1337" spans="1:17" ht="20.100000000000001" customHeight="1" x14ac:dyDescent="0.25">
      <c r="A1337" s="130" t="str">
        <f t="shared" ca="1" si="1517"/>
        <v>a16Dm000000LZfIIAW</v>
      </c>
      <c r="B1337" s="601">
        <v>18</v>
      </c>
      <c r="C1337" s="603" t="str">
        <f>IFERROR(VLOOKUP(B1337,'Coverage Indicators - Section D'!$A$9:$AO$70,41,FALSE),"")</f>
        <v>HTS-6 Number of individual HIV self-test kits distributed</v>
      </c>
      <c r="D1337" s="605" t="str">
        <f>M1337</f>
        <v/>
      </c>
      <c r="E1337" s="605" t="str">
        <f>N1337</f>
        <v/>
      </c>
      <c r="F1337" s="131"/>
      <c r="G1337" s="607" t="str">
        <f ca="1">IF(OR(INDIRECT("'update Helper'!E"&amp;Q1337)="",F1337&lt;&gt;0,F1338&lt;&gt;0),IF(IFERROR((F1337/F1338),"")="","",(F1337/F1338)),INDIRECT("'update Helper'!E"&amp;Q1337)/100)</f>
        <v/>
      </c>
      <c r="H1337" s="597"/>
      <c r="I1337" s="599"/>
      <c r="J1337" s="531"/>
      <c r="K1337" s="130">
        <f>IF(AND(EXACT(C1337,C1335),C1335&lt;&gt;0),K1335+1,0)</f>
        <v>18</v>
      </c>
      <c r="L1337" s="130" t="str">
        <f t="shared" ref="L1337" si="1527">IF(C1337&lt;&gt;"",C1337&amp;"-"&amp;K1337,"")</f>
        <v>HTS-6 Number of individual HIV self-test kits distributed-18</v>
      </c>
      <c r="M1337" s="130" t="str">
        <f t="array" ref="M1337">IFERROR(IF(INDEX('Disaggregation Records'!$E$152:$E$513,MATCH(RIGHT(L1337,255),RIGHT('Disaggregation Records'!$D$152:$D$513,255),0))="","",INDEX('Disaggregation Records'!$E$152:$E$513,MATCH(RIGHT(L1337,255),RIGHT('Disaggregation Records'!$D$152:$D$513,255),0))),"")</f>
        <v/>
      </c>
      <c r="N1337" s="130" t="str">
        <f t="array" ref="N1337">IFERROR(IF(INDEX('Disaggregation Records'!$F$152:$F$513,MATCH(RIGHT(L1337,255),RIGHT('Disaggregation Records'!$D$152:$D$513,255),0))="","",INDEX('Disaggregation Records'!$F$152:$F$513,MATCH(RIGHT(L1337,255),RIGHT('Disaggregation Records'!$D$152:$D$513,255),0))),"")</f>
        <v/>
      </c>
      <c r="O1337" s="130" t="str">
        <f t="array" ref="O1337">IFERROR(IF(INDEX('Disaggregation Records'!$H$152:$H$513,MATCH(RIGHT(L1337,255),RIGHT('Disaggregation Records'!$D$152:$D$513,255),0))="","",INDEX('Disaggregation Records'!$H$152:$H$513,MATCH(RIGHT(L1337,255),RIGHT('Disaggregation Records'!$D$152:$D$513,255),0))),"")</f>
        <v/>
      </c>
      <c r="Q1337" s="52">
        <f t="shared" ref="Q1337" si="1528">Q1335+1</f>
        <v>1853</v>
      </c>
    </row>
    <row r="1338" spans="1:17" ht="20.100000000000001" customHeight="1" x14ac:dyDescent="0.25">
      <c r="A1338" s="130"/>
      <c r="B1338" s="602"/>
      <c r="C1338" s="604"/>
      <c r="D1338" s="606"/>
      <c r="E1338" s="606"/>
      <c r="F1338" s="132"/>
      <c r="G1338" s="608"/>
      <c r="H1338" s="598"/>
      <c r="I1338" s="600"/>
      <c r="J1338" s="532"/>
      <c r="L1338" s="130"/>
      <c r="N1338" s="130"/>
      <c r="O1338" s="130"/>
    </row>
    <row r="1339" spans="1:17" ht="20.100000000000001" customHeight="1" x14ac:dyDescent="0.25">
      <c r="A1339" s="130" t="str">
        <f t="shared" ca="1" si="1520"/>
        <v>a16Dm000000LZfJIAW</v>
      </c>
      <c r="B1339" s="601">
        <v>18</v>
      </c>
      <c r="C1339" s="603" t="str">
        <f>IFERROR(VLOOKUP(B1339,'Coverage Indicators - Section D'!$A$9:$AO$70,41,FALSE),"")</f>
        <v>HTS-6 Number of individual HIV self-test kits distributed</v>
      </c>
      <c r="D1339" s="605" t="str">
        <f>M1339</f>
        <v/>
      </c>
      <c r="E1339" s="605" t="str">
        <f>N1339</f>
        <v/>
      </c>
      <c r="F1339" s="131"/>
      <c r="G1339" s="607" t="str">
        <f ca="1">IF(OR(INDIRECT("'update Helper'!E"&amp;Q1339)="",F1339&lt;&gt;0,F1340&lt;&gt;0),IF(IFERROR((F1339/F1340),"")="","",(F1339/F1340)),INDIRECT("'update Helper'!E"&amp;Q1339)/100)</f>
        <v/>
      </c>
      <c r="H1339" s="597"/>
      <c r="I1339" s="599"/>
      <c r="J1339" s="531"/>
      <c r="K1339" s="130">
        <f>IF(AND(EXACT(C1339,C1337),C1337&lt;&gt;0),K1337+1,0)</f>
        <v>19</v>
      </c>
      <c r="L1339" s="130" t="str">
        <f t="shared" ref="L1339" si="1529">IF(C1339&lt;&gt;"",C1339&amp;"-"&amp;K1339,"")</f>
        <v>HTS-6 Number of individual HIV self-test kits distributed-19</v>
      </c>
      <c r="M1339" s="130" t="str">
        <f t="array" ref="M1339">IFERROR(IF(INDEX('Disaggregation Records'!$E$152:$E$513,MATCH(RIGHT(L1339,255),RIGHT('Disaggregation Records'!$D$152:$D$513,255),0))="","",INDEX('Disaggregation Records'!$E$152:$E$513,MATCH(RIGHT(L1339,255),RIGHT('Disaggregation Records'!$D$152:$D$513,255),0))),"")</f>
        <v/>
      </c>
      <c r="N1339" s="130" t="str">
        <f t="array" ref="N1339">IFERROR(IF(INDEX('Disaggregation Records'!$F$152:$F$513,MATCH(RIGHT(L1339,255),RIGHT('Disaggregation Records'!$D$152:$D$513,255),0))="","",INDEX('Disaggregation Records'!$F$152:$F$513,MATCH(RIGHT(L1339,255),RIGHT('Disaggregation Records'!$D$152:$D$513,255),0))),"")</f>
        <v/>
      </c>
      <c r="O1339" s="130" t="str">
        <f t="array" ref="O1339">IFERROR(IF(INDEX('Disaggregation Records'!$H$152:$H$513,MATCH(RIGHT(L1339,255),RIGHT('Disaggregation Records'!$D$152:$D$513,255),0))="","",INDEX('Disaggregation Records'!$H$152:$H$513,MATCH(RIGHT(L1339,255),RIGHT('Disaggregation Records'!$D$152:$D$513,255),0))),"")</f>
        <v/>
      </c>
      <c r="Q1339" s="52">
        <f t="shared" ref="Q1339" si="1530">Q1337+1</f>
        <v>1854</v>
      </c>
    </row>
    <row r="1340" spans="1:17" ht="20.100000000000001" customHeight="1" x14ac:dyDescent="0.25">
      <c r="B1340" s="602"/>
      <c r="C1340" s="604"/>
      <c r="D1340" s="606"/>
      <c r="E1340" s="606"/>
      <c r="F1340" s="132"/>
      <c r="G1340" s="608"/>
      <c r="H1340" s="598"/>
      <c r="I1340" s="600"/>
      <c r="J1340" s="532"/>
      <c r="L1340" s="130"/>
      <c r="N1340" s="130"/>
      <c r="O1340" s="130"/>
    </row>
    <row r="1341" spans="1:17" ht="39" customHeight="1" x14ac:dyDescent="0.25">
      <c r="A1341" s="130" t="str">
        <f t="shared" ca="1" si="1517"/>
        <v>a16Dm000000LZfKIAW</v>
      </c>
      <c r="B1341" s="601">
        <v>19</v>
      </c>
      <c r="C1341" s="603" t="str">
        <f>IFERROR(VLOOKUP(B1341,'Coverage Indicators - Section D'!$A$9:$AO$70,41,FALSE),"")</f>
        <v>TCS-9 Percentage of people living with HIV and currently on antiretroviral therapy who are receiving multi month dispensing of antiretroviral medicine</v>
      </c>
      <c r="D1341" s="605" t="str">
        <f>M1341</f>
        <v>Age</v>
      </c>
      <c r="E1341" s="605" t="str">
        <f>N1341</f>
        <v>15+</v>
      </c>
      <c r="F1341" s="418">
        <v>3985</v>
      </c>
      <c r="G1341" s="607">
        <f ca="1">IF(OR(INDIRECT("'update Helper'!E"&amp;Q1341)="",F1341&lt;&gt;0,F1342&lt;&gt;0),IF(IFERROR((F1341/F1342),"")="","",(F1341/F1342)),INDIRECT("'update Helper'!E"&amp;Q1341)/100)</f>
        <v>0.71109921484653815</v>
      </c>
      <c r="H1341" s="597">
        <v>2022</v>
      </c>
      <c r="I1341" s="599" t="s">
        <v>2247</v>
      </c>
      <c r="J1341" s="531" t="s">
        <v>2262</v>
      </c>
      <c r="K1341" s="130">
        <f>IF(AND(EXACT(C1341,C1339),C1339&lt;&gt;0),K1339+1,0)</f>
        <v>0</v>
      </c>
      <c r="L1341" s="130" t="str">
        <f t="shared" ref="L1341" si="1531">IF(C1341&lt;&gt;"",C1341&amp;"-"&amp;K1341,"")</f>
        <v>TCS-9 Percentage of people living with HIV and currently on antiretroviral therapy who are receiving multi month dispensing of antiretroviral medicine-0</v>
      </c>
      <c r="M1341" s="130" t="str">
        <f t="array" ref="M1341">IFERROR(IF(INDEX('Disaggregation Records'!$E$152:$E$513,MATCH(RIGHT(L1341,255),RIGHT('Disaggregation Records'!$D$152:$D$513,255),0))="","",INDEX('Disaggregation Records'!$E$152:$E$513,MATCH(RIGHT(L1341,255),RIGHT('Disaggregation Records'!$D$152:$D$513,255),0))),"")</f>
        <v>Age</v>
      </c>
      <c r="N1341" s="130" t="str">
        <f t="array" ref="N1341">IFERROR(IF(INDEX('Disaggregation Records'!$F$152:$F$513,MATCH(RIGHT(L1341,255),RIGHT('Disaggregation Records'!$D$152:$D$513,255),0))="","",INDEX('Disaggregation Records'!$F$152:$F$513,MATCH(RIGHT(L1341,255),RIGHT('Disaggregation Records'!$D$152:$D$513,255),0))),"")</f>
        <v>15+</v>
      </c>
      <c r="O1341" s="130" t="str">
        <f t="array" ref="O1341">IFERROR(IF(INDEX('Disaggregation Records'!$H$152:$H$513,MATCH(RIGHT(L1341,255),RIGHT('Disaggregation Records'!$D$152:$D$513,255),0))="","",INDEX('Disaggregation Records'!$H$152:$H$513,MATCH(RIGHT(L1341,255),RIGHT('Disaggregation Records'!$D$152:$D$513,255),0))),"")</f>
        <v>IDR-01310</v>
      </c>
      <c r="P1341" s="130"/>
      <c r="Q1341" s="52">
        <f t="shared" ref="Q1341" si="1532">Q1339+1</f>
        <v>1855</v>
      </c>
    </row>
    <row r="1342" spans="1:17" ht="27.75" customHeight="1" x14ac:dyDescent="0.25">
      <c r="A1342" s="130"/>
      <c r="B1342" s="602"/>
      <c r="C1342" s="604"/>
      <c r="D1342" s="606"/>
      <c r="E1342" s="606"/>
      <c r="F1342" s="132">
        <v>5604</v>
      </c>
      <c r="G1342" s="608"/>
      <c r="H1342" s="598"/>
      <c r="I1342" s="600"/>
      <c r="J1342" s="532"/>
      <c r="K1342" s="130"/>
      <c r="L1342" s="130"/>
      <c r="M1342" s="130"/>
      <c r="N1342" s="130"/>
      <c r="O1342" s="130"/>
      <c r="P1342" s="130"/>
    </row>
    <row r="1343" spans="1:17" ht="30" customHeight="1" x14ac:dyDescent="0.25">
      <c r="A1343" s="130" t="str">
        <f t="shared" ca="1" si="1520"/>
        <v>a16Dm000000LZfLIAW</v>
      </c>
      <c r="B1343" s="601">
        <v>19</v>
      </c>
      <c r="C1343" s="603" t="str">
        <f>IFERROR(VLOOKUP(B1343,'Coverage Indicators - Section D'!$A$9:$AO$70,41,FALSE),"")</f>
        <v>TCS-9 Percentage of people living with HIV and currently on antiretroviral therapy who are receiving multi month dispensing of antiretroviral medicine</v>
      </c>
      <c r="D1343" s="605" t="str">
        <f>M1343</f>
        <v>Age</v>
      </c>
      <c r="E1343" s="605" t="str">
        <f>N1343</f>
        <v>&lt;15</v>
      </c>
      <c r="F1343" s="418">
        <v>95</v>
      </c>
      <c r="G1343" s="607">
        <f ca="1">IF(OR(INDIRECT("'update Helper'!E"&amp;Q1343)="",F1343&lt;&gt;0,F1344&lt;&gt;0),IF(IFERROR((F1343/F1344),"")="","",(F1343/F1344)),INDIRECT("'update Helper'!E"&amp;Q1343)/100)</f>
        <v>0.56886227544910184</v>
      </c>
      <c r="H1343" s="597">
        <v>2022</v>
      </c>
      <c r="I1343" s="599" t="s">
        <v>2247</v>
      </c>
      <c r="J1343" s="531" t="s">
        <v>2262</v>
      </c>
      <c r="K1343" s="130">
        <f>IF(AND(EXACT(C1343,C1341),C1341&lt;&gt;0),K1341+1,0)</f>
        <v>1</v>
      </c>
      <c r="L1343" s="130" t="str">
        <f t="shared" ref="L1343" si="1533">IF(C1343&lt;&gt;"",C1343&amp;"-"&amp;K1343,"")</f>
        <v>TCS-9 Percentage of people living with HIV and currently on antiretroviral therapy who are receiving multi month dispensing of antiretroviral medicine-1</v>
      </c>
      <c r="M1343" s="130" t="str">
        <f t="array" ref="M1343">IFERROR(IF(INDEX('Disaggregation Records'!$E$152:$E$513,MATCH(RIGHT(L1343,255),RIGHT('Disaggregation Records'!$D$152:$D$513,255),0))="","",INDEX('Disaggregation Records'!$E$152:$E$513,MATCH(RIGHT(L1343,255),RIGHT('Disaggregation Records'!$D$152:$D$513,255),0))),"")</f>
        <v>Age</v>
      </c>
      <c r="N1343" s="130" t="str">
        <f t="array" ref="N1343">IFERROR(IF(INDEX('Disaggregation Records'!$F$152:$F$513,MATCH(RIGHT(L1343,255),RIGHT('Disaggregation Records'!$D$152:$D$513,255),0))="","",INDEX('Disaggregation Records'!$F$152:$F$513,MATCH(RIGHT(L1343,255),RIGHT('Disaggregation Records'!$D$152:$D$513,255),0))),"")</f>
        <v>&lt;15</v>
      </c>
      <c r="O1343" s="130" t="str">
        <f t="array" ref="O1343">IFERROR(IF(INDEX('Disaggregation Records'!$H$152:$H$513,MATCH(RIGHT(L1343,255),RIGHT('Disaggregation Records'!$D$152:$D$513,255),0))="","",INDEX('Disaggregation Records'!$H$152:$H$513,MATCH(RIGHT(L1343,255),RIGHT('Disaggregation Records'!$D$152:$D$513,255),0))),"")</f>
        <v>IDR-01309</v>
      </c>
      <c r="P1343" s="130"/>
      <c r="Q1343" s="52">
        <f t="shared" ref="Q1343" si="1534">Q1341+1</f>
        <v>1856</v>
      </c>
    </row>
    <row r="1344" spans="1:17" ht="36" customHeight="1" x14ac:dyDescent="0.25">
      <c r="B1344" s="602"/>
      <c r="C1344" s="604"/>
      <c r="D1344" s="606"/>
      <c r="E1344" s="606"/>
      <c r="F1344" s="132">
        <v>167</v>
      </c>
      <c r="G1344" s="608"/>
      <c r="H1344" s="598"/>
      <c r="I1344" s="600"/>
      <c r="J1344" s="532"/>
      <c r="K1344" s="130"/>
      <c r="L1344" s="130"/>
      <c r="M1344" s="130"/>
      <c r="N1344" s="130"/>
      <c r="O1344" s="130"/>
      <c r="P1344" s="130"/>
    </row>
    <row r="1345" spans="1:17" ht="28.5" customHeight="1" x14ac:dyDescent="0.25">
      <c r="A1345" s="130" t="str">
        <f t="shared" ca="1" si="1517"/>
        <v>a16Dm000000LZfMIAW</v>
      </c>
      <c r="B1345" s="601">
        <v>19</v>
      </c>
      <c r="C1345" s="603" t="str">
        <f>IFERROR(VLOOKUP(B1345,'Coverage Indicators - Section D'!$A$9:$AO$70,41,FALSE),"")</f>
        <v>TCS-9 Percentage of people living with HIV and currently on antiretroviral therapy who are receiving multi month dispensing of antiretroviral medicine</v>
      </c>
      <c r="D1345" s="605" t="str">
        <f>M1345</f>
        <v>Gender | Age</v>
      </c>
      <c r="E1345" s="605" t="str">
        <f>N1345</f>
        <v>Male 15+</v>
      </c>
      <c r="F1345" s="418">
        <v>2093</v>
      </c>
      <c r="G1345" s="607">
        <f ca="1">IF(OR(INDIRECT("'update Helper'!E"&amp;Q1345)="",F1345&lt;&gt;0,F1346&lt;&gt;0),IF(IFERROR((F1345/F1346),"")="","",(F1345/F1346)),INDIRECT("'update Helper'!E"&amp;Q1345)/100)</f>
        <v>0.6846581615963363</v>
      </c>
      <c r="H1345" s="597">
        <v>2022</v>
      </c>
      <c r="I1345" s="599" t="s">
        <v>2247</v>
      </c>
      <c r="J1345" s="531" t="s">
        <v>2262</v>
      </c>
      <c r="K1345" s="130">
        <f>IF(AND(EXACT(C1345,C1343),C1343&lt;&gt;0),K1343+1,0)</f>
        <v>2</v>
      </c>
      <c r="L1345" s="130" t="str">
        <f t="shared" ref="L1345" si="1535">IF(C1345&lt;&gt;"",C1345&amp;"-"&amp;K1345,"")</f>
        <v>TCS-9 Percentage of people living with HIV and currently on antiretroviral therapy who are receiving multi month dispensing of antiretroviral medicine-2</v>
      </c>
      <c r="M1345" s="130" t="str">
        <f t="array" ref="M1345">IFERROR(IF(INDEX('Disaggregation Records'!$E$152:$E$513,MATCH(RIGHT(L1345,255),RIGHT('Disaggregation Records'!$D$152:$D$513,255),0))="","",INDEX('Disaggregation Records'!$E$152:$E$513,MATCH(RIGHT(L1345,255),RIGHT('Disaggregation Records'!$D$152:$D$513,255),0))),"")</f>
        <v>Gender | Age</v>
      </c>
      <c r="N1345" s="130" t="str">
        <f t="array" ref="N1345">IFERROR(IF(INDEX('Disaggregation Records'!$F$152:$F$513,MATCH(RIGHT(L1345,255),RIGHT('Disaggregation Records'!$D$152:$D$513,255),0))="","",INDEX('Disaggregation Records'!$F$152:$F$513,MATCH(RIGHT(L1345,255),RIGHT('Disaggregation Records'!$D$152:$D$513,255),0))),"")</f>
        <v>Male 15+</v>
      </c>
      <c r="O1345" s="130" t="str">
        <f t="array" ref="O1345">IFERROR(IF(INDEX('Disaggregation Records'!$H$152:$H$513,MATCH(RIGHT(L1345,255),RIGHT('Disaggregation Records'!$D$152:$D$513,255),0))="","",INDEX('Disaggregation Records'!$H$152:$H$513,MATCH(RIGHT(L1345,255),RIGHT('Disaggregation Records'!$D$152:$D$513,255),0))),"")</f>
        <v>IDR-01308</v>
      </c>
      <c r="Q1345" s="52">
        <f t="shared" ref="Q1345" si="1536">Q1343+1</f>
        <v>1857</v>
      </c>
    </row>
    <row r="1346" spans="1:17" ht="38.25" customHeight="1" x14ac:dyDescent="0.25">
      <c r="A1346" s="130"/>
      <c r="B1346" s="602"/>
      <c r="C1346" s="604"/>
      <c r="D1346" s="606"/>
      <c r="E1346" s="606"/>
      <c r="F1346" s="132">
        <v>3057</v>
      </c>
      <c r="G1346" s="608"/>
      <c r="H1346" s="598"/>
      <c r="I1346" s="600"/>
      <c r="J1346" s="532"/>
      <c r="L1346" s="130"/>
      <c r="N1346" s="130"/>
      <c r="O1346" s="130"/>
    </row>
    <row r="1347" spans="1:17" ht="20.100000000000001" customHeight="1" x14ac:dyDescent="0.25">
      <c r="A1347" s="130" t="str">
        <f t="shared" ca="1" si="1520"/>
        <v>a16Dm000000LZfNIAW</v>
      </c>
      <c r="B1347" s="601">
        <v>19</v>
      </c>
      <c r="C1347" s="603" t="str">
        <f>IFERROR(VLOOKUP(B1347,'Coverage Indicators - Section D'!$A$9:$AO$70,41,FALSE),"")</f>
        <v>TCS-9 Percentage of people living with HIV and currently on antiretroviral therapy who are receiving multi month dispensing of antiretroviral medicine</v>
      </c>
      <c r="D1347" s="605" t="str">
        <f>M1347</f>
        <v>Gender | Age</v>
      </c>
      <c r="E1347" s="605" t="str">
        <f>N1347</f>
        <v>Female 15+</v>
      </c>
      <c r="F1347" s="418">
        <v>1892</v>
      </c>
      <c r="G1347" s="607">
        <f ca="1">IF(OR(INDIRECT("'update Helper'!E"&amp;Q1347)="",F1347&lt;&gt;0,F1348&lt;&gt;0),IF(IFERROR((F1347/F1348),"")="","",(F1347/F1348)),INDIRECT("'update Helper'!E"&amp;Q1347)/100)</f>
        <v>0.74283470749901848</v>
      </c>
      <c r="H1347" s="597">
        <v>2022</v>
      </c>
      <c r="I1347" s="599" t="s">
        <v>2247</v>
      </c>
      <c r="J1347" s="531" t="s">
        <v>2262</v>
      </c>
      <c r="K1347" s="130">
        <f>IF(AND(EXACT(C1347,C1345),C1345&lt;&gt;0),K1345+1,0)</f>
        <v>3</v>
      </c>
      <c r="L1347" s="130" t="str">
        <f t="shared" ref="L1347" si="1537">IF(C1347&lt;&gt;"",C1347&amp;"-"&amp;K1347,"")</f>
        <v>TCS-9 Percentage of people living with HIV and currently on antiretroviral therapy who are receiving multi month dispensing of antiretroviral medicine-3</v>
      </c>
      <c r="M1347" s="130" t="str">
        <f t="array" ref="M1347">IFERROR(IF(INDEX('Disaggregation Records'!$E$152:$E$513,MATCH(RIGHT(L1347,255),RIGHT('Disaggregation Records'!$D$152:$D$513,255),0))="","",INDEX('Disaggregation Records'!$E$152:$E$513,MATCH(RIGHT(L1347,255),RIGHT('Disaggregation Records'!$D$152:$D$513,255),0))),"")</f>
        <v>Gender | Age</v>
      </c>
      <c r="N1347" s="130" t="str">
        <f t="array" ref="N1347">IFERROR(IF(INDEX('Disaggregation Records'!$F$152:$F$513,MATCH(RIGHT(L1347,255),RIGHT('Disaggregation Records'!$D$152:$D$513,255),0))="","",INDEX('Disaggregation Records'!$F$152:$F$513,MATCH(RIGHT(L1347,255),RIGHT('Disaggregation Records'!$D$152:$D$513,255),0))),"")</f>
        <v>Female 15+</v>
      </c>
      <c r="O1347" s="130" t="str">
        <f t="array" ref="O1347">IFERROR(IF(INDEX('Disaggregation Records'!$H$152:$H$513,MATCH(RIGHT(L1347,255),RIGHT('Disaggregation Records'!$D$152:$D$513,255),0))="","",INDEX('Disaggregation Records'!$H$152:$H$513,MATCH(RIGHT(L1347,255),RIGHT('Disaggregation Records'!$D$152:$D$513,255),0))),"")</f>
        <v>IDR-01307</v>
      </c>
      <c r="Q1347" s="52">
        <f t="shared" ref="Q1347" si="1538">Q1345+1</f>
        <v>1858</v>
      </c>
    </row>
    <row r="1348" spans="1:17" ht="46.5" customHeight="1" x14ac:dyDescent="0.25">
      <c r="B1348" s="602"/>
      <c r="C1348" s="604"/>
      <c r="D1348" s="606"/>
      <c r="E1348" s="606"/>
      <c r="F1348" s="132">
        <v>2547</v>
      </c>
      <c r="G1348" s="608"/>
      <c r="H1348" s="598"/>
      <c r="I1348" s="600"/>
      <c r="J1348" s="532"/>
      <c r="L1348" s="130"/>
      <c r="N1348" s="130"/>
      <c r="O1348" s="130"/>
    </row>
    <row r="1349" spans="1:17" ht="20.100000000000001" customHeight="1" x14ac:dyDescent="0.25">
      <c r="A1349" s="130" t="str">
        <f t="shared" ca="1" si="1517"/>
        <v>a16Dm000000LZfOIAW</v>
      </c>
      <c r="B1349" s="601">
        <v>19</v>
      </c>
      <c r="C1349" s="603" t="str">
        <f>IFERROR(VLOOKUP(B1349,'Coverage Indicators - Section D'!$A$9:$AO$70,41,FALSE),"")</f>
        <v>TCS-9 Percentage of people living with HIV and currently on antiretroviral therapy who are receiving multi month dispensing of antiretroviral medicine</v>
      </c>
      <c r="D1349" s="605" t="str">
        <f>M1349</f>
        <v/>
      </c>
      <c r="E1349" s="605" t="str">
        <f>N1349</f>
        <v/>
      </c>
      <c r="F1349" s="131"/>
      <c r="G1349" s="607" t="str">
        <f ca="1">IF(OR(INDIRECT("'update Helper'!E"&amp;Q1349)="",F1349&lt;&gt;0,F1350&lt;&gt;0),IF(IFERROR((F1349/F1350),"")="","",(F1349/F1350)),INDIRECT("'update Helper'!E"&amp;Q1349)/100)</f>
        <v/>
      </c>
      <c r="H1349" s="597">
        <v>2022</v>
      </c>
      <c r="I1349" s="599" t="s">
        <v>2247</v>
      </c>
      <c r="J1349" s="531"/>
      <c r="K1349" s="130">
        <f>IF(AND(EXACT(C1349,C1347),C1347&lt;&gt;0),K1347+1,0)</f>
        <v>4</v>
      </c>
      <c r="L1349" s="130" t="str">
        <f t="shared" ref="L1349" si="1539">IF(C1349&lt;&gt;"",C1349&amp;"-"&amp;K1349,"")</f>
        <v>TCS-9 Percentage of people living with HIV and currently on antiretroviral therapy who are receiving multi month dispensing of antiretroviral medicine-4</v>
      </c>
      <c r="M1349" s="130" t="str">
        <f t="array" ref="M1349">IFERROR(IF(INDEX('Disaggregation Records'!$E$152:$E$513,MATCH(RIGHT(L1349,255),RIGHT('Disaggregation Records'!$D$152:$D$513,255),0))="","",INDEX('Disaggregation Records'!$E$152:$E$513,MATCH(RIGHT(L1349,255),RIGHT('Disaggregation Records'!$D$152:$D$513,255),0))),"")</f>
        <v/>
      </c>
      <c r="N1349" s="130" t="str">
        <f t="array" ref="N1349">IFERROR(IF(INDEX('Disaggregation Records'!$F$152:$F$513,MATCH(RIGHT(L1349,255),RIGHT('Disaggregation Records'!$D$152:$D$513,255),0))="","",INDEX('Disaggregation Records'!$F$152:$F$513,MATCH(RIGHT(L1349,255),RIGHT('Disaggregation Records'!$D$152:$D$513,255),0))),"")</f>
        <v/>
      </c>
      <c r="O1349" s="130" t="str">
        <f t="array" ref="O1349">IFERROR(IF(INDEX('Disaggregation Records'!$H$152:$H$513,MATCH(RIGHT(L1349,255),RIGHT('Disaggregation Records'!$D$152:$D$513,255),0))="","",INDEX('Disaggregation Records'!$H$152:$H$513,MATCH(RIGHT(L1349,255),RIGHT('Disaggregation Records'!$D$152:$D$513,255),0))),"")</f>
        <v/>
      </c>
      <c r="Q1349" s="52">
        <f t="shared" ref="Q1349" si="1540">Q1347+1</f>
        <v>1859</v>
      </c>
    </row>
    <row r="1350" spans="1:17" ht="20.100000000000001" customHeight="1" x14ac:dyDescent="0.25">
      <c r="A1350" s="130"/>
      <c r="B1350" s="602"/>
      <c r="C1350" s="604"/>
      <c r="D1350" s="606"/>
      <c r="E1350" s="606"/>
      <c r="F1350" s="132"/>
      <c r="G1350" s="608"/>
      <c r="H1350" s="598"/>
      <c r="I1350" s="600"/>
      <c r="J1350" s="532"/>
      <c r="L1350" s="130"/>
      <c r="N1350" s="130"/>
      <c r="O1350" s="130"/>
    </row>
    <row r="1351" spans="1:17" ht="20.100000000000001" customHeight="1" x14ac:dyDescent="0.25">
      <c r="A1351" s="130" t="str">
        <f t="shared" ca="1" si="1520"/>
        <v>a16Dm000000LZfPIAW</v>
      </c>
      <c r="B1351" s="601">
        <v>19</v>
      </c>
      <c r="C1351" s="603" t="str">
        <f>IFERROR(VLOOKUP(B1351,'Coverage Indicators - Section D'!$A$9:$AO$70,41,FALSE),"")</f>
        <v>TCS-9 Percentage of people living with HIV and currently on antiretroviral therapy who are receiving multi month dispensing of antiretroviral medicine</v>
      </c>
      <c r="D1351" s="605" t="str">
        <f>M1351</f>
        <v/>
      </c>
      <c r="E1351" s="605" t="str">
        <f>N1351</f>
        <v/>
      </c>
      <c r="F1351" s="131"/>
      <c r="G1351" s="607" t="str">
        <f ca="1">IF(OR(INDIRECT("'update Helper'!E"&amp;Q1351)="",F1351&lt;&gt;0,F1352&lt;&gt;0),IF(IFERROR((F1351/F1352),"")="","",(F1351/F1352)),INDIRECT("'update Helper'!E"&amp;Q1351)/100)</f>
        <v/>
      </c>
      <c r="H1351" s="597"/>
      <c r="I1351" s="599"/>
      <c r="J1351" s="531"/>
      <c r="K1351" s="130">
        <f>IF(AND(EXACT(C1351,C1349),C1349&lt;&gt;0),K1349+1,0)</f>
        <v>5</v>
      </c>
      <c r="L1351" s="130" t="str">
        <f t="shared" ref="L1351" si="1541">IF(C1351&lt;&gt;"",C1351&amp;"-"&amp;K1351,"")</f>
        <v>TCS-9 Percentage of people living with HIV and currently on antiretroviral therapy who are receiving multi month dispensing of antiretroviral medicine-5</v>
      </c>
      <c r="M1351" s="130" t="str">
        <f t="array" ref="M1351">IFERROR(IF(INDEX('Disaggregation Records'!$E$152:$E$513,MATCH(RIGHT(L1351,255),RIGHT('Disaggregation Records'!$D$152:$D$513,255),0))="","",INDEX('Disaggregation Records'!$E$152:$E$513,MATCH(RIGHT(L1351,255),RIGHT('Disaggregation Records'!$D$152:$D$513,255),0))),"")</f>
        <v/>
      </c>
      <c r="N1351" s="130" t="str">
        <f t="array" ref="N1351">IFERROR(IF(INDEX('Disaggregation Records'!$F$152:$F$513,MATCH(RIGHT(L1351,255),RIGHT('Disaggregation Records'!$D$152:$D$513,255),0))="","",INDEX('Disaggregation Records'!$F$152:$F$513,MATCH(RIGHT(L1351,255),RIGHT('Disaggregation Records'!$D$152:$D$513,255),0))),"")</f>
        <v/>
      </c>
      <c r="O1351" s="130" t="str">
        <f t="array" ref="O1351">IFERROR(IF(INDEX('Disaggregation Records'!$H$152:$H$513,MATCH(RIGHT(L1351,255),RIGHT('Disaggregation Records'!$D$152:$D$513,255),0))="","",INDEX('Disaggregation Records'!$H$152:$H$513,MATCH(RIGHT(L1351,255),RIGHT('Disaggregation Records'!$D$152:$D$513,255),0))),"")</f>
        <v/>
      </c>
      <c r="P1351" s="130"/>
      <c r="Q1351" s="52">
        <f t="shared" ref="Q1351" si="1542">Q1349+1</f>
        <v>1860</v>
      </c>
    </row>
    <row r="1352" spans="1:17" ht="20.100000000000001" customHeight="1" x14ac:dyDescent="0.25">
      <c r="B1352" s="602"/>
      <c r="C1352" s="604"/>
      <c r="D1352" s="606"/>
      <c r="E1352" s="606"/>
      <c r="F1352" s="132"/>
      <c r="G1352" s="608"/>
      <c r="H1352" s="598"/>
      <c r="I1352" s="600"/>
      <c r="J1352" s="532"/>
      <c r="K1352" s="130"/>
      <c r="L1352" s="130"/>
      <c r="M1352" s="130"/>
      <c r="N1352" s="130"/>
      <c r="O1352" s="130"/>
      <c r="P1352" s="130"/>
    </row>
    <row r="1353" spans="1:17" ht="20.100000000000001" customHeight="1" x14ac:dyDescent="0.25">
      <c r="A1353" s="130" t="str">
        <f t="shared" ca="1" si="1517"/>
        <v>a16Dm000000LZfQIAW</v>
      </c>
      <c r="B1353" s="601">
        <v>19</v>
      </c>
      <c r="C1353" s="603" t="str">
        <f>IFERROR(VLOOKUP(B1353,'Coverage Indicators - Section D'!$A$9:$AO$70,41,FALSE),"")</f>
        <v>TCS-9 Percentage of people living with HIV and currently on antiretroviral therapy who are receiving multi month dispensing of antiretroviral medicine</v>
      </c>
      <c r="D1353" s="605" t="str">
        <f>M1353</f>
        <v/>
      </c>
      <c r="E1353" s="605" t="str">
        <f>N1353</f>
        <v/>
      </c>
      <c r="F1353" s="131"/>
      <c r="G1353" s="607" t="str">
        <f ca="1">IF(OR(INDIRECT("'update Helper'!E"&amp;Q1353)="",F1353&lt;&gt;0,F1354&lt;&gt;0),IF(IFERROR((F1353/F1354),"")="","",(F1353/F1354)),INDIRECT("'update Helper'!E"&amp;Q1353)/100)</f>
        <v/>
      </c>
      <c r="H1353" s="597"/>
      <c r="I1353" s="599"/>
      <c r="J1353" s="531"/>
      <c r="K1353" s="130">
        <f>IF(AND(EXACT(C1353,C1351),C1351&lt;&gt;0),K1351+1,0)</f>
        <v>6</v>
      </c>
      <c r="L1353" s="130" t="str">
        <f t="shared" ref="L1353" si="1543">IF(C1353&lt;&gt;"",C1353&amp;"-"&amp;K1353,"")</f>
        <v>TCS-9 Percentage of people living with HIV and currently on antiretroviral therapy who are receiving multi month dispensing of antiretroviral medicine-6</v>
      </c>
      <c r="M1353" s="130" t="str">
        <f t="array" ref="M1353">IFERROR(IF(INDEX('Disaggregation Records'!$E$152:$E$513,MATCH(RIGHT(L1353,255),RIGHT('Disaggregation Records'!$D$152:$D$513,255),0))="","",INDEX('Disaggregation Records'!$E$152:$E$513,MATCH(RIGHT(L1353,255),RIGHT('Disaggregation Records'!$D$152:$D$513,255),0))),"")</f>
        <v/>
      </c>
      <c r="N1353" s="130" t="str">
        <f t="array" ref="N1353">IFERROR(IF(INDEX('Disaggregation Records'!$F$152:$F$513,MATCH(RIGHT(L1353,255),RIGHT('Disaggregation Records'!$D$152:$D$513,255),0))="","",INDEX('Disaggregation Records'!$F$152:$F$513,MATCH(RIGHT(L1353,255),RIGHT('Disaggregation Records'!$D$152:$D$513,255),0))),"")</f>
        <v/>
      </c>
      <c r="O1353" s="130" t="str">
        <f t="array" ref="O1353">IFERROR(IF(INDEX('Disaggregation Records'!$H$152:$H$513,MATCH(RIGHT(L1353,255),RIGHT('Disaggregation Records'!$D$152:$D$513,255),0))="","",INDEX('Disaggregation Records'!$H$152:$H$513,MATCH(RIGHT(L1353,255),RIGHT('Disaggregation Records'!$D$152:$D$513,255),0))),"")</f>
        <v/>
      </c>
      <c r="P1353" s="130"/>
      <c r="Q1353" s="52">
        <f t="shared" ref="Q1353" si="1544">Q1351+1</f>
        <v>1861</v>
      </c>
    </row>
    <row r="1354" spans="1:17" ht="20.100000000000001" customHeight="1" x14ac:dyDescent="0.25">
      <c r="A1354" s="130"/>
      <c r="B1354" s="602"/>
      <c r="C1354" s="604"/>
      <c r="D1354" s="606"/>
      <c r="E1354" s="606"/>
      <c r="F1354" s="132"/>
      <c r="G1354" s="608"/>
      <c r="H1354" s="598"/>
      <c r="I1354" s="600"/>
      <c r="J1354" s="532"/>
      <c r="K1354" s="130"/>
      <c r="L1354" s="130"/>
      <c r="M1354" s="130"/>
      <c r="N1354" s="130"/>
      <c r="O1354" s="130"/>
      <c r="P1354" s="130"/>
    </row>
    <row r="1355" spans="1:17" ht="20.100000000000001" customHeight="1" x14ac:dyDescent="0.25">
      <c r="A1355" s="130" t="str">
        <f t="shared" ca="1" si="1520"/>
        <v>a16Dm000000LZfRIAW</v>
      </c>
      <c r="B1355" s="601">
        <v>19</v>
      </c>
      <c r="C1355" s="603" t="str">
        <f>IFERROR(VLOOKUP(B1355,'Coverage Indicators - Section D'!$A$9:$AO$70,41,FALSE),"")</f>
        <v>TCS-9 Percentage of people living with HIV and currently on antiretroviral therapy who are receiving multi month dispensing of antiretroviral medicine</v>
      </c>
      <c r="D1355" s="605" t="str">
        <f>M1355</f>
        <v/>
      </c>
      <c r="E1355" s="605" t="str">
        <f>N1355</f>
        <v/>
      </c>
      <c r="F1355" s="131"/>
      <c r="G1355" s="607" t="str">
        <f ca="1">IF(OR(INDIRECT("'update Helper'!E"&amp;Q1355)="",F1355&lt;&gt;0,F1356&lt;&gt;0),IF(IFERROR((F1355/F1356),"")="","",(F1355/F1356)),INDIRECT("'update Helper'!E"&amp;Q1355)/100)</f>
        <v/>
      </c>
      <c r="H1355" s="597"/>
      <c r="I1355" s="599"/>
      <c r="J1355" s="531"/>
      <c r="K1355" s="130">
        <f>IF(AND(EXACT(C1355,C1353),C1353&lt;&gt;0),K1353+1,0)</f>
        <v>7</v>
      </c>
      <c r="L1355" s="130" t="str">
        <f t="shared" ref="L1355" si="1545">IF(C1355&lt;&gt;"",C1355&amp;"-"&amp;K1355,"")</f>
        <v>TCS-9 Percentage of people living with HIV and currently on antiretroviral therapy who are receiving multi month dispensing of antiretroviral medicine-7</v>
      </c>
      <c r="M1355" s="130" t="str">
        <f t="array" ref="M1355">IFERROR(IF(INDEX('Disaggregation Records'!$E$152:$E$513,MATCH(RIGHT(L1355,255),RIGHT('Disaggregation Records'!$D$152:$D$513,255),0))="","",INDEX('Disaggregation Records'!$E$152:$E$513,MATCH(RIGHT(L1355,255),RIGHT('Disaggregation Records'!$D$152:$D$513,255),0))),"")</f>
        <v/>
      </c>
      <c r="N1355" s="130" t="str">
        <f t="array" ref="N1355">IFERROR(IF(INDEX('Disaggregation Records'!$F$152:$F$513,MATCH(RIGHT(L1355,255),RIGHT('Disaggregation Records'!$D$152:$D$513,255),0))="","",INDEX('Disaggregation Records'!$F$152:$F$513,MATCH(RIGHT(L1355,255),RIGHT('Disaggregation Records'!$D$152:$D$513,255),0))),"")</f>
        <v/>
      </c>
      <c r="O1355" s="130" t="str">
        <f t="array" ref="O1355">IFERROR(IF(INDEX('Disaggregation Records'!$H$152:$H$513,MATCH(RIGHT(L1355,255),RIGHT('Disaggregation Records'!$D$152:$D$513,255),0))="","",INDEX('Disaggregation Records'!$H$152:$H$513,MATCH(RIGHT(L1355,255),RIGHT('Disaggregation Records'!$D$152:$D$513,255),0))),"")</f>
        <v/>
      </c>
      <c r="Q1355" s="52">
        <f t="shared" ref="Q1355" si="1546">Q1353+1</f>
        <v>1862</v>
      </c>
    </row>
    <row r="1356" spans="1:17" ht="20.100000000000001" customHeight="1" x14ac:dyDescent="0.25">
      <c r="B1356" s="602"/>
      <c r="C1356" s="604"/>
      <c r="D1356" s="606"/>
      <c r="E1356" s="606"/>
      <c r="F1356" s="132"/>
      <c r="G1356" s="608"/>
      <c r="H1356" s="598"/>
      <c r="I1356" s="600"/>
      <c r="J1356" s="532"/>
      <c r="L1356" s="130"/>
      <c r="N1356" s="130"/>
      <c r="O1356" s="130"/>
    </row>
    <row r="1357" spans="1:17" ht="20.100000000000001" customHeight="1" x14ac:dyDescent="0.25">
      <c r="A1357" s="130" t="str">
        <f t="shared" ca="1" si="1517"/>
        <v>a16Dm000000LZfSIAW</v>
      </c>
      <c r="B1357" s="601">
        <v>19</v>
      </c>
      <c r="C1357" s="603" t="str">
        <f>IFERROR(VLOOKUP(B1357,'Coverage Indicators - Section D'!$A$9:$AO$70,41,FALSE),"")</f>
        <v>TCS-9 Percentage of people living with HIV and currently on antiretroviral therapy who are receiving multi month dispensing of antiretroviral medicine</v>
      </c>
      <c r="D1357" s="605" t="str">
        <f>M1357</f>
        <v/>
      </c>
      <c r="E1357" s="605" t="str">
        <f>N1357</f>
        <v/>
      </c>
      <c r="F1357" s="131"/>
      <c r="G1357" s="607" t="str">
        <f ca="1">IF(OR(INDIRECT("'update Helper'!E"&amp;Q1357)="",F1357&lt;&gt;0,F1358&lt;&gt;0),IF(IFERROR((F1357/F1358),"")="","",(F1357/F1358)),INDIRECT("'update Helper'!E"&amp;Q1357)/100)</f>
        <v/>
      </c>
      <c r="H1357" s="597"/>
      <c r="I1357" s="599"/>
      <c r="J1357" s="531"/>
      <c r="K1357" s="130">
        <f>IF(AND(EXACT(C1357,C1355),C1355&lt;&gt;0),K1355+1,0)</f>
        <v>8</v>
      </c>
      <c r="L1357" s="130" t="str">
        <f t="shared" ref="L1357" si="1547">IF(C1357&lt;&gt;"",C1357&amp;"-"&amp;K1357,"")</f>
        <v>TCS-9 Percentage of people living with HIV and currently on antiretroviral therapy who are receiving multi month dispensing of antiretroviral medicine-8</v>
      </c>
      <c r="M1357" s="130" t="str">
        <f t="array" ref="M1357">IFERROR(IF(INDEX('Disaggregation Records'!$E$152:$E$513,MATCH(RIGHT(L1357,255),RIGHT('Disaggregation Records'!$D$152:$D$513,255),0))="","",INDEX('Disaggregation Records'!$E$152:$E$513,MATCH(RIGHT(L1357,255),RIGHT('Disaggregation Records'!$D$152:$D$513,255),0))),"")</f>
        <v/>
      </c>
      <c r="N1357" s="130" t="str">
        <f t="array" ref="N1357">IFERROR(IF(INDEX('Disaggregation Records'!$F$152:$F$513,MATCH(RIGHT(L1357,255),RIGHT('Disaggregation Records'!$D$152:$D$513,255),0))="","",INDEX('Disaggregation Records'!$F$152:$F$513,MATCH(RIGHT(L1357,255),RIGHT('Disaggregation Records'!$D$152:$D$513,255),0))),"")</f>
        <v/>
      </c>
      <c r="O1357" s="130" t="str">
        <f t="array" ref="O1357">IFERROR(IF(INDEX('Disaggregation Records'!$H$152:$H$513,MATCH(RIGHT(L1357,255),RIGHT('Disaggregation Records'!$D$152:$D$513,255),0))="","",INDEX('Disaggregation Records'!$H$152:$H$513,MATCH(RIGHT(L1357,255),RIGHT('Disaggregation Records'!$D$152:$D$513,255),0))),"")</f>
        <v/>
      </c>
      <c r="Q1357" s="52">
        <f t="shared" ref="Q1357" si="1548">Q1355+1</f>
        <v>1863</v>
      </c>
    </row>
    <row r="1358" spans="1:17" ht="20.100000000000001" customHeight="1" x14ac:dyDescent="0.25">
      <c r="A1358" s="130"/>
      <c r="B1358" s="602"/>
      <c r="C1358" s="604"/>
      <c r="D1358" s="606"/>
      <c r="E1358" s="606"/>
      <c r="F1358" s="132"/>
      <c r="G1358" s="608"/>
      <c r="H1358" s="598"/>
      <c r="I1358" s="600"/>
      <c r="J1358" s="532"/>
      <c r="L1358" s="130"/>
      <c r="N1358" s="130"/>
      <c r="O1358" s="130"/>
    </row>
    <row r="1359" spans="1:17" ht="20.100000000000001" customHeight="1" x14ac:dyDescent="0.25">
      <c r="A1359" s="130" t="str">
        <f t="shared" ca="1" si="1520"/>
        <v>a16Dm000000LZfTIAW</v>
      </c>
      <c r="B1359" s="601">
        <v>19</v>
      </c>
      <c r="C1359" s="603" t="str">
        <f>IFERROR(VLOOKUP(B1359,'Coverage Indicators - Section D'!$A$9:$AO$70,41,FALSE),"")</f>
        <v>TCS-9 Percentage of people living with HIV and currently on antiretroviral therapy who are receiving multi month dispensing of antiretroviral medicine</v>
      </c>
      <c r="D1359" s="605" t="str">
        <f>M1359</f>
        <v/>
      </c>
      <c r="E1359" s="605" t="str">
        <f>N1359</f>
        <v/>
      </c>
      <c r="F1359" s="131"/>
      <c r="G1359" s="607" t="str">
        <f ca="1">IF(OR(INDIRECT("'update Helper'!E"&amp;Q1359)="",F1359&lt;&gt;0,F1360&lt;&gt;0),IF(IFERROR((F1359/F1360),"")="","",(F1359/F1360)),INDIRECT("'update Helper'!E"&amp;Q1359)/100)</f>
        <v/>
      </c>
      <c r="H1359" s="597"/>
      <c r="I1359" s="599"/>
      <c r="J1359" s="531"/>
      <c r="K1359" s="130">
        <f>IF(AND(EXACT(C1359,C1357),C1357&lt;&gt;0),K1357+1,0)</f>
        <v>9</v>
      </c>
      <c r="L1359" s="130" t="str">
        <f t="shared" ref="L1359" si="1549">IF(C1359&lt;&gt;"",C1359&amp;"-"&amp;K1359,"")</f>
        <v>TCS-9 Percentage of people living with HIV and currently on antiretroviral therapy who are receiving multi month dispensing of antiretroviral medicine-9</v>
      </c>
      <c r="M1359" s="130" t="str">
        <f t="array" ref="M1359">IFERROR(IF(INDEX('Disaggregation Records'!$E$152:$E$513,MATCH(RIGHT(L1359,255),RIGHT('Disaggregation Records'!$D$152:$D$513,255),0))="","",INDEX('Disaggregation Records'!$E$152:$E$513,MATCH(RIGHT(L1359,255),RIGHT('Disaggregation Records'!$D$152:$D$513,255),0))),"")</f>
        <v/>
      </c>
      <c r="N1359" s="130" t="str">
        <f t="array" ref="N1359">IFERROR(IF(INDEX('Disaggregation Records'!$F$152:$F$513,MATCH(RIGHT(L1359,255),RIGHT('Disaggregation Records'!$D$152:$D$513,255),0))="","",INDEX('Disaggregation Records'!$F$152:$F$513,MATCH(RIGHT(L1359,255),RIGHT('Disaggregation Records'!$D$152:$D$513,255),0))),"")</f>
        <v/>
      </c>
      <c r="O1359" s="130" t="str">
        <f t="array" ref="O1359">IFERROR(IF(INDEX('Disaggregation Records'!$H$152:$H$513,MATCH(RIGHT(L1359,255),RIGHT('Disaggregation Records'!$D$152:$D$513,255),0))="","",INDEX('Disaggregation Records'!$H$152:$H$513,MATCH(RIGHT(L1359,255),RIGHT('Disaggregation Records'!$D$152:$D$513,255),0))),"")</f>
        <v/>
      </c>
      <c r="Q1359" s="52">
        <f t="shared" ref="Q1359" si="1550">Q1357+1</f>
        <v>1864</v>
      </c>
    </row>
    <row r="1360" spans="1:17" ht="20.100000000000001" customHeight="1" x14ac:dyDescent="0.25">
      <c r="B1360" s="602"/>
      <c r="C1360" s="604"/>
      <c r="D1360" s="606"/>
      <c r="E1360" s="606"/>
      <c r="F1360" s="132"/>
      <c r="G1360" s="608"/>
      <c r="H1360" s="598"/>
      <c r="I1360" s="600"/>
      <c r="J1360" s="532"/>
      <c r="L1360" s="130"/>
      <c r="N1360" s="130"/>
      <c r="O1360" s="130"/>
    </row>
    <row r="1361" spans="1:17" ht="20.100000000000001" customHeight="1" x14ac:dyDescent="0.25">
      <c r="A1361" s="130" t="str">
        <f t="shared" ca="1" si="1517"/>
        <v>a16Dm000000LZfUIAW</v>
      </c>
      <c r="B1361" s="601">
        <v>19</v>
      </c>
      <c r="C1361" s="603" t="str">
        <f>IFERROR(VLOOKUP(B1361,'Coverage Indicators - Section D'!$A$9:$AO$70,41,FALSE),"")</f>
        <v>TCS-9 Percentage of people living with HIV and currently on antiretroviral therapy who are receiving multi month dispensing of antiretroviral medicine</v>
      </c>
      <c r="D1361" s="605" t="str">
        <f>M1361</f>
        <v/>
      </c>
      <c r="E1361" s="605" t="str">
        <f>N1361</f>
        <v/>
      </c>
      <c r="F1361" s="131"/>
      <c r="G1361" s="607" t="str">
        <f ca="1">IF(OR(INDIRECT("'update Helper'!E"&amp;Q1361)="",F1361&lt;&gt;0,F1362&lt;&gt;0),IF(IFERROR((F1361/F1362),"")="","",(F1361/F1362)),INDIRECT("'update Helper'!E"&amp;Q1361)/100)</f>
        <v/>
      </c>
      <c r="H1361" s="597"/>
      <c r="I1361" s="599"/>
      <c r="J1361" s="531"/>
      <c r="K1361" s="130">
        <f>IF(AND(EXACT(C1361,C1359),C1359&lt;&gt;0),K1359+1,0)</f>
        <v>10</v>
      </c>
      <c r="L1361" s="130" t="str">
        <f t="shared" ref="L1361" si="1551">IF(C1361&lt;&gt;"",C1361&amp;"-"&amp;K1361,"")</f>
        <v>TCS-9 Percentage of people living with HIV and currently on antiretroviral therapy who are receiving multi month dispensing of antiretroviral medicine-10</v>
      </c>
      <c r="M1361" s="130" t="str">
        <f t="array" ref="M1361">IFERROR(IF(INDEX('Disaggregation Records'!$E$152:$E$513,MATCH(RIGHT(L1361,255),RIGHT('Disaggregation Records'!$D$152:$D$513,255),0))="","",INDEX('Disaggregation Records'!$E$152:$E$513,MATCH(RIGHT(L1361,255),RIGHT('Disaggregation Records'!$D$152:$D$513,255),0))),"")</f>
        <v/>
      </c>
      <c r="N1361" s="130" t="str">
        <f t="array" ref="N1361">IFERROR(IF(INDEX('Disaggregation Records'!$F$152:$F$513,MATCH(RIGHT(L1361,255),RIGHT('Disaggregation Records'!$D$152:$D$513,255),0))="","",INDEX('Disaggregation Records'!$F$152:$F$513,MATCH(RIGHT(L1361,255),RIGHT('Disaggregation Records'!$D$152:$D$513,255),0))),"")</f>
        <v/>
      </c>
      <c r="O1361" s="130" t="str">
        <f t="array" ref="O1361">IFERROR(IF(INDEX('Disaggregation Records'!$H$152:$H$513,MATCH(RIGHT(L1361,255),RIGHT('Disaggregation Records'!$D$152:$D$513,255),0))="","",INDEX('Disaggregation Records'!$H$152:$H$513,MATCH(RIGHT(L1361,255),RIGHT('Disaggregation Records'!$D$152:$D$513,255),0))),"")</f>
        <v/>
      </c>
      <c r="P1361" s="130"/>
      <c r="Q1361" s="52">
        <f t="shared" ref="Q1361" si="1552">Q1359+1</f>
        <v>1865</v>
      </c>
    </row>
    <row r="1362" spans="1:17" ht="20.100000000000001" customHeight="1" x14ac:dyDescent="0.25">
      <c r="A1362" s="130"/>
      <c r="B1362" s="602"/>
      <c r="C1362" s="604"/>
      <c r="D1362" s="606"/>
      <c r="E1362" s="606"/>
      <c r="F1362" s="132"/>
      <c r="G1362" s="608"/>
      <c r="H1362" s="598"/>
      <c r="I1362" s="600"/>
      <c r="J1362" s="532"/>
      <c r="K1362" s="130"/>
      <c r="L1362" s="130"/>
      <c r="M1362" s="130"/>
      <c r="N1362" s="130"/>
      <c r="O1362" s="130"/>
      <c r="P1362" s="130"/>
    </row>
    <row r="1363" spans="1:17" ht="20.100000000000001" customHeight="1" x14ac:dyDescent="0.25">
      <c r="A1363" s="130" t="str">
        <f t="shared" ca="1" si="1520"/>
        <v>a16Dm000000LZfVIAW</v>
      </c>
      <c r="B1363" s="601">
        <v>19</v>
      </c>
      <c r="C1363" s="603" t="str">
        <f>IFERROR(VLOOKUP(B1363,'Coverage Indicators - Section D'!$A$9:$AO$70,41,FALSE),"")</f>
        <v>TCS-9 Percentage of people living with HIV and currently on antiretroviral therapy who are receiving multi month dispensing of antiretroviral medicine</v>
      </c>
      <c r="D1363" s="605" t="str">
        <f>M1363</f>
        <v/>
      </c>
      <c r="E1363" s="605" t="str">
        <f>N1363</f>
        <v/>
      </c>
      <c r="F1363" s="131"/>
      <c r="G1363" s="607" t="str">
        <f ca="1">IF(OR(INDIRECT("'update Helper'!E"&amp;Q1363)="",F1363&lt;&gt;0,F1364&lt;&gt;0),IF(IFERROR((F1363/F1364),"")="","",(F1363/F1364)),INDIRECT("'update Helper'!E"&amp;Q1363)/100)</f>
        <v/>
      </c>
      <c r="H1363" s="597"/>
      <c r="I1363" s="599"/>
      <c r="J1363" s="531"/>
      <c r="K1363" s="130">
        <f>IF(AND(EXACT(C1363,C1361),C1361&lt;&gt;0),K1361+1,0)</f>
        <v>11</v>
      </c>
      <c r="L1363" s="130" t="str">
        <f t="shared" ref="L1363" si="1553">IF(C1363&lt;&gt;"",C1363&amp;"-"&amp;K1363,"")</f>
        <v>TCS-9 Percentage of people living with HIV and currently on antiretroviral therapy who are receiving multi month dispensing of antiretroviral medicine-11</v>
      </c>
      <c r="M1363" s="130" t="str">
        <f t="array" ref="M1363">IFERROR(IF(INDEX('Disaggregation Records'!$E$152:$E$513,MATCH(RIGHT(L1363,255),RIGHT('Disaggregation Records'!$D$152:$D$513,255),0))="","",INDEX('Disaggregation Records'!$E$152:$E$513,MATCH(RIGHT(L1363,255),RIGHT('Disaggregation Records'!$D$152:$D$513,255),0))),"")</f>
        <v/>
      </c>
      <c r="N1363" s="130" t="str">
        <f t="array" ref="N1363">IFERROR(IF(INDEX('Disaggregation Records'!$F$152:$F$513,MATCH(RIGHT(L1363,255),RIGHT('Disaggregation Records'!$D$152:$D$513,255),0))="","",INDEX('Disaggregation Records'!$F$152:$F$513,MATCH(RIGHT(L1363,255),RIGHT('Disaggregation Records'!$D$152:$D$513,255),0))),"")</f>
        <v/>
      </c>
      <c r="O1363" s="130" t="str">
        <f t="array" ref="O1363">IFERROR(IF(INDEX('Disaggregation Records'!$H$152:$H$513,MATCH(RIGHT(L1363,255),RIGHT('Disaggregation Records'!$D$152:$D$513,255),0))="","",INDEX('Disaggregation Records'!$H$152:$H$513,MATCH(RIGHT(L1363,255),RIGHT('Disaggregation Records'!$D$152:$D$513,255),0))),"")</f>
        <v/>
      </c>
      <c r="P1363" s="130"/>
      <c r="Q1363" s="52">
        <f t="shared" ref="Q1363" si="1554">Q1361+1</f>
        <v>1866</v>
      </c>
    </row>
    <row r="1364" spans="1:17" ht="20.100000000000001" customHeight="1" x14ac:dyDescent="0.25">
      <c r="B1364" s="602"/>
      <c r="C1364" s="604"/>
      <c r="D1364" s="606"/>
      <c r="E1364" s="606"/>
      <c r="F1364" s="132"/>
      <c r="G1364" s="608"/>
      <c r="H1364" s="598"/>
      <c r="I1364" s="600"/>
      <c r="J1364" s="532"/>
      <c r="K1364" s="130"/>
      <c r="L1364" s="130"/>
      <c r="M1364" s="130"/>
      <c r="N1364" s="130"/>
      <c r="O1364" s="130"/>
      <c r="P1364" s="130"/>
    </row>
    <row r="1365" spans="1:17" ht="20.100000000000001" customHeight="1" x14ac:dyDescent="0.25">
      <c r="A1365" s="130" t="str">
        <f t="shared" ca="1" si="1517"/>
        <v>a16Dm000000LZfWIAW</v>
      </c>
      <c r="B1365" s="601">
        <v>19</v>
      </c>
      <c r="C1365" s="603" t="str">
        <f>IFERROR(VLOOKUP(B1365,'Coverage Indicators - Section D'!$A$9:$AO$70,41,FALSE),"")</f>
        <v>TCS-9 Percentage of people living with HIV and currently on antiretroviral therapy who are receiving multi month dispensing of antiretroviral medicine</v>
      </c>
      <c r="D1365" s="605" t="str">
        <f>M1365</f>
        <v/>
      </c>
      <c r="E1365" s="605" t="str">
        <f>N1365</f>
        <v/>
      </c>
      <c r="F1365" s="131"/>
      <c r="G1365" s="607" t="str">
        <f ca="1">IF(OR(INDIRECT("'update Helper'!E"&amp;Q1365)="",F1365&lt;&gt;0,F1366&lt;&gt;0),IF(IFERROR((F1365/F1366),"")="","",(F1365/F1366)),INDIRECT("'update Helper'!E"&amp;Q1365)/100)</f>
        <v/>
      </c>
      <c r="H1365" s="597"/>
      <c r="I1365" s="599"/>
      <c r="J1365" s="531"/>
      <c r="K1365" s="130">
        <f>IF(AND(EXACT(C1365,C1363),C1363&lt;&gt;0),K1363+1,0)</f>
        <v>12</v>
      </c>
      <c r="L1365" s="130" t="str">
        <f t="shared" ref="L1365" si="1555">IF(C1365&lt;&gt;"",C1365&amp;"-"&amp;K1365,"")</f>
        <v>TCS-9 Percentage of people living with HIV and currently on antiretroviral therapy who are receiving multi month dispensing of antiretroviral medicine-12</v>
      </c>
      <c r="M1365" s="130" t="str">
        <f t="array" ref="M1365">IFERROR(IF(INDEX('Disaggregation Records'!$E$152:$E$513,MATCH(RIGHT(L1365,255),RIGHT('Disaggregation Records'!$D$152:$D$513,255),0))="","",INDEX('Disaggregation Records'!$E$152:$E$513,MATCH(RIGHT(L1365,255),RIGHT('Disaggregation Records'!$D$152:$D$513,255),0))),"")</f>
        <v/>
      </c>
      <c r="N1365" s="130" t="str">
        <f t="array" ref="N1365">IFERROR(IF(INDEX('Disaggregation Records'!$F$152:$F$513,MATCH(RIGHT(L1365,255),RIGHT('Disaggregation Records'!$D$152:$D$513,255),0))="","",INDEX('Disaggregation Records'!$F$152:$F$513,MATCH(RIGHT(L1365,255),RIGHT('Disaggregation Records'!$D$152:$D$513,255),0))),"")</f>
        <v/>
      </c>
      <c r="O1365" s="130" t="str">
        <f t="array" ref="O1365">IFERROR(IF(INDEX('Disaggregation Records'!$H$152:$H$513,MATCH(RIGHT(L1365,255),RIGHT('Disaggregation Records'!$D$152:$D$513,255),0))="","",INDEX('Disaggregation Records'!$H$152:$H$513,MATCH(RIGHT(L1365,255),RIGHT('Disaggregation Records'!$D$152:$D$513,255),0))),"")</f>
        <v/>
      </c>
      <c r="Q1365" s="52">
        <f t="shared" ref="Q1365" si="1556">Q1363+1</f>
        <v>1867</v>
      </c>
    </row>
    <row r="1366" spans="1:17" ht="20.100000000000001" customHeight="1" x14ac:dyDescent="0.25">
      <c r="A1366" s="130"/>
      <c r="B1366" s="602"/>
      <c r="C1366" s="604"/>
      <c r="D1366" s="606"/>
      <c r="E1366" s="606"/>
      <c r="F1366" s="132"/>
      <c r="G1366" s="608"/>
      <c r="H1366" s="598"/>
      <c r="I1366" s="600"/>
      <c r="J1366" s="532"/>
      <c r="L1366" s="130"/>
      <c r="N1366" s="130"/>
      <c r="O1366" s="130"/>
    </row>
    <row r="1367" spans="1:17" ht="20.100000000000001" customHeight="1" x14ac:dyDescent="0.25">
      <c r="A1367" s="130" t="str">
        <f t="shared" ca="1" si="1520"/>
        <v>a16Dm000000LZfXIAW</v>
      </c>
      <c r="B1367" s="601">
        <v>19</v>
      </c>
      <c r="C1367" s="603" t="str">
        <f>IFERROR(VLOOKUP(B1367,'Coverage Indicators - Section D'!$A$9:$AO$70,41,FALSE),"")</f>
        <v>TCS-9 Percentage of people living with HIV and currently on antiretroviral therapy who are receiving multi month dispensing of antiretroviral medicine</v>
      </c>
      <c r="D1367" s="605" t="str">
        <f>M1367</f>
        <v/>
      </c>
      <c r="E1367" s="605" t="str">
        <f>N1367</f>
        <v/>
      </c>
      <c r="F1367" s="131"/>
      <c r="G1367" s="607" t="str">
        <f ca="1">IF(OR(INDIRECT("'update Helper'!E"&amp;Q1367)="",F1367&lt;&gt;0,F1368&lt;&gt;0),IF(IFERROR((F1367/F1368),"")="","",(F1367/F1368)),INDIRECT("'update Helper'!E"&amp;Q1367)/100)</f>
        <v/>
      </c>
      <c r="H1367" s="597"/>
      <c r="I1367" s="599"/>
      <c r="J1367" s="531"/>
      <c r="K1367" s="130">
        <f>IF(AND(EXACT(C1367,C1365),C1365&lt;&gt;0),K1365+1,0)</f>
        <v>13</v>
      </c>
      <c r="L1367" s="130" t="str">
        <f t="shared" ref="L1367" si="1557">IF(C1367&lt;&gt;"",C1367&amp;"-"&amp;K1367,"")</f>
        <v>TCS-9 Percentage of people living with HIV and currently on antiretroviral therapy who are receiving multi month dispensing of antiretroviral medicine-13</v>
      </c>
      <c r="M1367" s="130" t="str">
        <f t="array" ref="M1367">IFERROR(IF(INDEX('Disaggregation Records'!$E$152:$E$513,MATCH(RIGHT(L1367,255),RIGHT('Disaggregation Records'!$D$152:$D$513,255),0))="","",INDEX('Disaggregation Records'!$E$152:$E$513,MATCH(RIGHT(L1367,255),RIGHT('Disaggregation Records'!$D$152:$D$513,255),0))),"")</f>
        <v/>
      </c>
      <c r="N1367" s="130" t="str">
        <f t="array" ref="N1367">IFERROR(IF(INDEX('Disaggregation Records'!$F$152:$F$513,MATCH(RIGHT(L1367,255),RIGHT('Disaggregation Records'!$D$152:$D$513,255),0))="","",INDEX('Disaggregation Records'!$F$152:$F$513,MATCH(RIGHT(L1367,255),RIGHT('Disaggregation Records'!$D$152:$D$513,255),0))),"")</f>
        <v/>
      </c>
      <c r="O1367" s="130" t="str">
        <f t="array" ref="O1367">IFERROR(IF(INDEX('Disaggregation Records'!$H$152:$H$513,MATCH(RIGHT(L1367,255),RIGHT('Disaggregation Records'!$D$152:$D$513,255),0))="","",INDEX('Disaggregation Records'!$H$152:$H$513,MATCH(RIGHT(L1367,255),RIGHT('Disaggregation Records'!$D$152:$D$513,255),0))),"")</f>
        <v/>
      </c>
      <c r="Q1367" s="52">
        <f t="shared" ref="Q1367" si="1558">Q1365+1</f>
        <v>1868</v>
      </c>
    </row>
    <row r="1368" spans="1:17" ht="20.100000000000001" customHeight="1" x14ac:dyDescent="0.25">
      <c r="B1368" s="602"/>
      <c r="C1368" s="604"/>
      <c r="D1368" s="606"/>
      <c r="E1368" s="606"/>
      <c r="F1368" s="132"/>
      <c r="G1368" s="608"/>
      <c r="H1368" s="598"/>
      <c r="I1368" s="600"/>
      <c r="J1368" s="532"/>
      <c r="L1368" s="130"/>
      <c r="N1368" s="130"/>
      <c r="O1368" s="130"/>
    </row>
    <row r="1369" spans="1:17" ht="20.100000000000001" customHeight="1" x14ac:dyDescent="0.25">
      <c r="A1369" s="130" t="str">
        <f t="shared" ca="1" si="1517"/>
        <v>a16Dm000000LZfYIAW</v>
      </c>
      <c r="B1369" s="601">
        <v>19</v>
      </c>
      <c r="C1369" s="603" t="str">
        <f>IFERROR(VLOOKUP(B1369,'Coverage Indicators - Section D'!$A$9:$AO$70,41,FALSE),"")</f>
        <v>TCS-9 Percentage of people living with HIV and currently on antiretroviral therapy who are receiving multi month dispensing of antiretroviral medicine</v>
      </c>
      <c r="D1369" s="605" t="str">
        <f>M1369</f>
        <v/>
      </c>
      <c r="E1369" s="605" t="str">
        <f>N1369</f>
        <v/>
      </c>
      <c r="F1369" s="131"/>
      <c r="G1369" s="607" t="str">
        <f ca="1">IF(OR(INDIRECT("'update Helper'!E"&amp;Q1369)="",F1369&lt;&gt;0,F1370&lt;&gt;0),IF(IFERROR((F1369/F1370),"")="","",(F1369/F1370)),INDIRECT("'update Helper'!E"&amp;Q1369)/100)</f>
        <v/>
      </c>
      <c r="H1369" s="597"/>
      <c r="I1369" s="599"/>
      <c r="J1369" s="531"/>
      <c r="K1369" s="130">
        <f>IF(AND(EXACT(C1369,C1367),C1367&lt;&gt;0),K1367+1,0)</f>
        <v>14</v>
      </c>
      <c r="L1369" s="130" t="str">
        <f t="shared" ref="L1369" si="1559">IF(C1369&lt;&gt;"",C1369&amp;"-"&amp;K1369,"")</f>
        <v>TCS-9 Percentage of people living with HIV and currently on antiretroviral therapy who are receiving multi month dispensing of antiretroviral medicine-14</v>
      </c>
      <c r="M1369" s="130" t="str">
        <f t="array" ref="M1369">IFERROR(IF(INDEX('Disaggregation Records'!$E$152:$E$513,MATCH(RIGHT(L1369,255),RIGHT('Disaggregation Records'!$D$152:$D$513,255),0))="","",INDEX('Disaggregation Records'!$E$152:$E$513,MATCH(RIGHT(L1369,255),RIGHT('Disaggregation Records'!$D$152:$D$513,255),0))),"")</f>
        <v/>
      </c>
      <c r="N1369" s="130" t="str">
        <f t="array" ref="N1369">IFERROR(IF(INDEX('Disaggregation Records'!$F$152:$F$513,MATCH(RIGHT(L1369,255),RIGHT('Disaggregation Records'!$D$152:$D$513,255),0))="","",INDEX('Disaggregation Records'!$F$152:$F$513,MATCH(RIGHT(L1369,255),RIGHT('Disaggregation Records'!$D$152:$D$513,255),0))),"")</f>
        <v/>
      </c>
      <c r="O1369" s="130" t="str">
        <f t="array" ref="O1369">IFERROR(IF(INDEX('Disaggregation Records'!$H$152:$H$513,MATCH(RIGHT(L1369,255),RIGHT('Disaggregation Records'!$D$152:$D$513,255),0))="","",INDEX('Disaggregation Records'!$H$152:$H$513,MATCH(RIGHT(L1369,255),RIGHT('Disaggregation Records'!$D$152:$D$513,255),0))),"")</f>
        <v/>
      </c>
      <c r="Q1369" s="52">
        <f t="shared" ref="Q1369" si="1560">Q1367+1</f>
        <v>1869</v>
      </c>
    </row>
    <row r="1370" spans="1:17" ht="20.100000000000001" customHeight="1" x14ac:dyDescent="0.25">
      <c r="A1370" s="130"/>
      <c r="B1370" s="602"/>
      <c r="C1370" s="604"/>
      <c r="D1370" s="606"/>
      <c r="E1370" s="606"/>
      <c r="F1370" s="132"/>
      <c r="G1370" s="608"/>
      <c r="H1370" s="598"/>
      <c r="I1370" s="600"/>
      <c r="J1370" s="532"/>
      <c r="L1370" s="130"/>
      <c r="N1370" s="130"/>
      <c r="O1370" s="130"/>
    </row>
    <row r="1371" spans="1:17" ht="20.100000000000001" customHeight="1" x14ac:dyDescent="0.25">
      <c r="A1371" s="130" t="str">
        <f t="shared" ca="1" si="1520"/>
        <v>a16Dm000000LZfZIAW</v>
      </c>
      <c r="B1371" s="601">
        <v>19</v>
      </c>
      <c r="C1371" s="603" t="str">
        <f>IFERROR(VLOOKUP(B1371,'Coverage Indicators - Section D'!$A$9:$AO$70,41,FALSE),"")</f>
        <v>TCS-9 Percentage of people living with HIV and currently on antiretroviral therapy who are receiving multi month dispensing of antiretroviral medicine</v>
      </c>
      <c r="D1371" s="605" t="str">
        <f>M1371</f>
        <v/>
      </c>
      <c r="E1371" s="605" t="str">
        <f>N1371</f>
        <v/>
      </c>
      <c r="F1371" s="131"/>
      <c r="G1371" s="607" t="str">
        <f ca="1">IF(OR(INDIRECT("'update Helper'!E"&amp;Q1371)="",F1371&lt;&gt;0,F1372&lt;&gt;0),IF(IFERROR((F1371/F1372),"")="","",(F1371/F1372)),INDIRECT("'update Helper'!E"&amp;Q1371)/100)</f>
        <v/>
      </c>
      <c r="H1371" s="597"/>
      <c r="I1371" s="599"/>
      <c r="J1371" s="531"/>
      <c r="K1371" s="130">
        <f>IF(AND(EXACT(C1371,C1369),C1369&lt;&gt;0),K1369+1,0)</f>
        <v>15</v>
      </c>
      <c r="L1371" s="130" t="str">
        <f t="shared" ref="L1371" si="1561">IF(C1371&lt;&gt;"",C1371&amp;"-"&amp;K1371,"")</f>
        <v>TCS-9 Percentage of people living with HIV and currently on antiretroviral therapy who are receiving multi month dispensing of antiretroviral medicine-15</v>
      </c>
      <c r="M1371" s="130" t="str">
        <f t="array" ref="M1371">IFERROR(IF(INDEX('Disaggregation Records'!$E$152:$E$513,MATCH(RIGHT(L1371,255),RIGHT('Disaggregation Records'!$D$152:$D$513,255),0))="","",INDEX('Disaggregation Records'!$E$152:$E$513,MATCH(RIGHT(L1371,255),RIGHT('Disaggregation Records'!$D$152:$D$513,255),0))),"")</f>
        <v/>
      </c>
      <c r="N1371" s="130" t="str">
        <f t="array" ref="N1371">IFERROR(IF(INDEX('Disaggregation Records'!$F$152:$F$513,MATCH(RIGHT(L1371,255),RIGHT('Disaggregation Records'!$D$152:$D$513,255),0))="","",INDEX('Disaggregation Records'!$F$152:$F$513,MATCH(RIGHT(L1371,255),RIGHT('Disaggregation Records'!$D$152:$D$513,255),0))),"")</f>
        <v/>
      </c>
      <c r="O1371" s="130" t="str">
        <f t="array" ref="O1371">IFERROR(IF(INDEX('Disaggregation Records'!$H$152:$H$513,MATCH(RIGHT(L1371,255),RIGHT('Disaggregation Records'!$D$152:$D$513,255),0))="","",INDEX('Disaggregation Records'!$H$152:$H$513,MATCH(RIGHT(L1371,255),RIGHT('Disaggregation Records'!$D$152:$D$513,255),0))),"")</f>
        <v/>
      </c>
      <c r="P1371" s="130"/>
      <c r="Q1371" s="52">
        <f t="shared" ref="Q1371" si="1562">Q1369+1</f>
        <v>1870</v>
      </c>
    </row>
    <row r="1372" spans="1:17" ht="20.100000000000001" customHeight="1" x14ac:dyDescent="0.25">
      <c r="B1372" s="602"/>
      <c r="C1372" s="604"/>
      <c r="D1372" s="606"/>
      <c r="E1372" s="606"/>
      <c r="F1372" s="132"/>
      <c r="G1372" s="608"/>
      <c r="H1372" s="598"/>
      <c r="I1372" s="600"/>
      <c r="J1372" s="532"/>
      <c r="K1372" s="130"/>
      <c r="L1372" s="130"/>
      <c r="M1372" s="130"/>
      <c r="N1372" s="130"/>
      <c r="O1372" s="130"/>
      <c r="P1372" s="130"/>
    </row>
    <row r="1373" spans="1:17" ht="20.100000000000001" customHeight="1" x14ac:dyDescent="0.25">
      <c r="A1373" s="130" t="str">
        <f t="shared" ca="1" si="1517"/>
        <v>a16Dm000000LZfaIAG</v>
      </c>
      <c r="B1373" s="601">
        <v>19</v>
      </c>
      <c r="C1373" s="603" t="str">
        <f>IFERROR(VLOOKUP(B1373,'Coverage Indicators - Section D'!$A$9:$AO$70,41,FALSE),"")</f>
        <v>TCS-9 Percentage of people living with HIV and currently on antiretroviral therapy who are receiving multi month dispensing of antiretroviral medicine</v>
      </c>
      <c r="D1373" s="605" t="str">
        <f>M1373</f>
        <v/>
      </c>
      <c r="E1373" s="605" t="str">
        <f>N1373</f>
        <v/>
      </c>
      <c r="F1373" s="131"/>
      <c r="G1373" s="607" t="str">
        <f ca="1">IF(OR(INDIRECT("'update Helper'!E"&amp;Q1373)="",F1373&lt;&gt;0,F1374&lt;&gt;0),IF(IFERROR((F1373/F1374),"")="","",(F1373/F1374)),INDIRECT("'update Helper'!E"&amp;Q1373)/100)</f>
        <v/>
      </c>
      <c r="H1373" s="597"/>
      <c r="I1373" s="599"/>
      <c r="J1373" s="531"/>
      <c r="K1373" s="130">
        <f>IF(AND(EXACT(C1373,C1371),C1371&lt;&gt;0),K1371+1,0)</f>
        <v>16</v>
      </c>
      <c r="L1373" s="130" t="str">
        <f t="shared" ref="L1373" si="1563">IF(C1373&lt;&gt;"",C1373&amp;"-"&amp;K1373,"")</f>
        <v>TCS-9 Percentage of people living with HIV and currently on antiretroviral therapy who are receiving multi month dispensing of antiretroviral medicine-16</v>
      </c>
      <c r="M1373" s="130" t="str">
        <f t="array" ref="M1373">IFERROR(IF(INDEX('Disaggregation Records'!$E$152:$E$513,MATCH(RIGHT(L1373,255),RIGHT('Disaggregation Records'!$D$152:$D$513,255),0))="","",INDEX('Disaggregation Records'!$E$152:$E$513,MATCH(RIGHT(L1373,255),RIGHT('Disaggregation Records'!$D$152:$D$513,255),0))),"")</f>
        <v/>
      </c>
      <c r="N1373" s="130" t="str">
        <f t="array" ref="N1373">IFERROR(IF(INDEX('Disaggregation Records'!$F$152:$F$513,MATCH(RIGHT(L1373,255),RIGHT('Disaggregation Records'!$D$152:$D$513,255),0))="","",INDEX('Disaggregation Records'!$F$152:$F$513,MATCH(RIGHT(L1373,255),RIGHT('Disaggregation Records'!$D$152:$D$513,255),0))),"")</f>
        <v/>
      </c>
      <c r="O1373" s="130" t="str">
        <f t="array" ref="O1373">IFERROR(IF(INDEX('Disaggregation Records'!$H$152:$H$513,MATCH(RIGHT(L1373,255),RIGHT('Disaggregation Records'!$D$152:$D$513,255),0))="","",INDEX('Disaggregation Records'!$H$152:$H$513,MATCH(RIGHT(L1373,255),RIGHT('Disaggregation Records'!$D$152:$D$513,255),0))),"")</f>
        <v/>
      </c>
      <c r="P1373" s="130"/>
      <c r="Q1373" s="52">
        <f t="shared" ref="Q1373" si="1564">Q1371+1</f>
        <v>1871</v>
      </c>
    </row>
    <row r="1374" spans="1:17" ht="20.100000000000001" customHeight="1" x14ac:dyDescent="0.25">
      <c r="A1374" s="130"/>
      <c r="B1374" s="602"/>
      <c r="C1374" s="604"/>
      <c r="D1374" s="606"/>
      <c r="E1374" s="606"/>
      <c r="F1374" s="132"/>
      <c r="G1374" s="608"/>
      <c r="H1374" s="598"/>
      <c r="I1374" s="600"/>
      <c r="J1374" s="532"/>
      <c r="K1374" s="130"/>
      <c r="L1374" s="130"/>
      <c r="M1374" s="130"/>
      <c r="N1374" s="130"/>
      <c r="O1374" s="130"/>
      <c r="P1374" s="130"/>
    </row>
    <row r="1375" spans="1:17" ht="20.100000000000001" customHeight="1" x14ac:dyDescent="0.25">
      <c r="A1375" s="130" t="str">
        <f t="shared" ca="1" si="1520"/>
        <v>a16Dm000000LZfbIAG</v>
      </c>
      <c r="B1375" s="601">
        <v>19</v>
      </c>
      <c r="C1375" s="603" t="str">
        <f>IFERROR(VLOOKUP(B1375,'Coverage Indicators - Section D'!$A$9:$AO$70,41,FALSE),"")</f>
        <v>TCS-9 Percentage of people living with HIV and currently on antiretroviral therapy who are receiving multi month dispensing of antiretroviral medicine</v>
      </c>
      <c r="D1375" s="605" t="str">
        <f>M1375</f>
        <v/>
      </c>
      <c r="E1375" s="605" t="str">
        <f>N1375</f>
        <v/>
      </c>
      <c r="F1375" s="131"/>
      <c r="G1375" s="607" t="str">
        <f ca="1">IF(OR(INDIRECT("'update Helper'!E"&amp;Q1375)="",F1375&lt;&gt;0,F1376&lt;&gt;0),IF(IFERROR((F1375/F1376),"")="","",(F1375/F1376)),INDIRECT("'update Helper'!E"&amp;Q1375)/100)</f>
        <v/>
      </c>
      <c r="H1375" s="597"/>
      <c r="I1375" s="599"/>
      <c r="J1375" s="531"/>
      <c r="K1375" s="130">
        <f>IF(AND(EXACT(C1375,C1373),C1373&lt;&gt;0),K1373+1,0)</f>
        <v>17</v>
      </c>
      <c r="L1375" s="130" t="str">
        <f t="shared" ref="L1375" si="1565">IF(C1375&lt;&gt;"",C1375&amp;"-"&amp;K1375,"")</f>
        <v>TCS-9 Percentage of people living with HIV and currently on antiretroviral therapy who are receiving multi month dispensing of antiretroviral medicine-17</v>
      </c>
      <c r="M1375" s="130" t="str">
        <f t="array" ref="M1375">IFERROR(IF(INDEX('Disaggregation Records'!$E$152:$E$513,MATCH(RIGHT(L1375,255),RIGHT('Disaggregation Records'!$D$152:$D$513,255),0))="","",INDEX('Disaggregation Records'!$E$152:$E$513,MATCH(RIGHT(L1375,255),RIGHT('Disaggregation Records'!$D$152:$D$513,255),0))),"")</f>
        <v/>
      </c>
      <c r="N1375" s="130" t="str">
        <f t="array" ref="N1375">IFERROR(IF(INDEX('Disaggregation Records'!$F$152:$F$513,MATCH(RIGHT(L1375,255),RIGHT('Disaggregation Records'!$D$152:$D$513,255),0))="","",INDEX('Disaggregation Records'!$F$152:$F$513,MATCH(RIGHT(L1375,255),RIGHT('Disaggregation Records'!$D$152:$D$513,255),0))),"")</f>
        <v/>
      </c>
      <c r="O1375" s="130" t="str">
        <f t="array" ref="O1375">IFERROR(IF(INDEX('Disaggregation Records'!$H$152:$H$513,MATCH(RIGHT(L1375,255),RIGHT('Disaggregation Records'!$D$152:$D$513,255),0))="","",INDEX('Disaggregation Records'!$H$152:$H$513,MATCH(RIGHT(L1375,255),RIGHT('Disaggregation Records'!$D$152:$D$513,255),0))),"")</f>
        <v/>
      </c>
      <c r="Q1375" s="52">
        <f t="shared" ref="Q1375" si="1566">Q1373+1</f>
        <v>1872</v>
      </c>
    </row>
    <row r="1376" spans="1:17" ht="20.100000000000001" customHeight="1" x14ac:dyDescent="0.25">
      <c r="B1376" s="602"/>
      <c r="C1376" s="604"/>
      <c r="D1376" s="606"/>
      <c r="E1376" s="606"/>
      <c r="F1376" s="132"/>
      <c r="G1376" s="608"/>
      <c r="H1376" s="598"/>
      <c r="I1376" s="600"/>
      <c r="J1376" s="532"/>
      <c r="L1376" s="130"/>
      <c r="N1376" s="130"/>
      <c r="O1376" s="130"/>
    </row>
    <row r="1377" spans="1:17" ht="20.100000000000001" customHeight="1" x14ac:dyDescent="0.25">
      <c r="A1377" s="130" t="str">
        <f t="shared" ca="1" si="1517"/>
        <v>a16Dm000000LZfcIAG</v>
      </c>
      <c r="B1377" s="601">
        <v>19</v>
      </c>
      <c r="C1377" s="603" t="str">
        <f>IFERROR(VLOOKUP(B1377,'Coverage Indicators - Section D'!$A$9:$AO$70,41,FALSE),"")</f>
        <v>TCS-9 Percentage of people living with HIV and currently on antiretroviral therapy who are receiving multi month dispensing of antiretroviral medicine</v>
      </c>
      <c r="D1377" s="605" t="str">
        <f>M1377</f>
        <v/>
      </c>
      <c r="E1377" s="605" t="str">
        <f>N1377</f>
        <v/>
      </c>
      <c r="F1377" s="131"/>
      <c r="G1377" s="607" t="str">
        <f ca="1">IF(OR(INDIRECT("'update Helper'!E"&amp;Q1377)="",F1377&lt;&gt;0,F1378&lt;&gt;0),IF(IFERROR((F1377/F1378),"")="","",(F1377/F1378)),INDIRECT("'update Helper'!E"&amp;Q1377)/100)</f>
        <v/>
      </c>
      <c r="H1377" s="597"/>
      <c r="I1377" s="599"/>
      <c r="J1377" s="531"/>
      <c r="K1377" s="130">
        <f>IF(AND(EXACT(C1377,C1375),C1375&lt;&gt;0),K1375+1,0)</f>
        <v>18</v>
      </c>
      <c r="L1377" s="130" t="str">
        <f t="shared" ref="L1377" si="1567">IF(C1377&lt;&gt;"",C1377&amp;"-"&amp;K1377,"")</f>
        <v>TCS-9 Percentage of people living with HIV and currently on antiretroviral therapy who are receiving multi month dispensing of antiretroviral medicine-18</v>
      </c>
      <c r="M1377" s="130" t="str">
        <f t="array" ref="M1377">IFERROR(IF(INDEX('Disaggregation Records'!$E$152:$E$513,MATCH(RIGHT(L1377,255),RIGHT('Disaggregation Records'!$D$152:$D$513,255),0))="","",INDEX('Disaggregation Records'!$E$152:$E$513,MATCH(RIGHT(L1377,255),RIGHT('Disaggregation Records'!$D$152:$D$513,255),0))),"")</f>
        <v/>
      </c>
      <c r="N1377" s="130" t="str">
        <f t="array" ref="N1377">IFERROR(IF(INDEX('Disaggregation Records'!$F$152:$F$513,MATCH(RIGHT(L1377,255),RIGHT('Disaggregation Records'!$D$152:$D$513,255),0))="","",INDEX('Disaggregation Records'!$F$152:$F$513,MATCH(RIGHT(L1377,255),RIGHT('Disaggregation Records'!$D$152:$D$513,255),0))),"")</f>
        <v/>
      </c>
      <c r="O1377" s="130" t="str">
        <f t="array" ref="O1377">IFERROR(IF(INDEX('Disaggregation Records'!$H$152:$H$513,MATCH(RIGHT(L1377,255),RIGHT('Disaggregation Records'!$D$152:$D$513,255),0))="","",INDEX('Disaggregation Records'!$H$152:$H$513,MATCH(RIGHT(L1377,255),RIGHT('Disaggregation Records'!$D$152:$D$513,255),0))),"")</f>
        <v/>
      </c>
      <c r="Q1377" s="52">
        <f t="shared" ref="Q1377" si="1568">Q1375+1</f>
        <v>1873</v>
      </c>
    </row>
    <row r="1378" spans="1:17" ht="20.100000000000001" customHeight="1" x14ac:dyDescent="0.25">
      <c r="A1378" s="130"/>
      <c r="B1378" s="602"/>
      <c r="C1378" s="604"/>
      <c r="D1378" s="606"/>
      <c r="E1378" s="606"/>
      <c r="F1378" s="132"/>
      <c r="G1378" s="608"/>
      <c r="H1378" s="598"/>
      <c r="I1378" s="600"/>
      <c r="J1378" s="532"/>
      <c r="L1378" s="130"/>
      <c r="N1378" s="130"/>
      <c r="O1378" s="130"/>
    </row>
    <row r="1379" spans="1:17" ht="20.100000000000001" customHeight="1" x14ac:dyDescent="0.25">
      <c r="A1379" s="130" t="str">
        <f t="shared" ca="1" si="1520"/>
        <v>a16Dm000000LZfdIAG</v>
      </c>
      <c r="B1379" s="601">
        <v>19</v>
      </c>
      <c r="C1379" s="603" t="str">
        <f>IFERROR(VLOOKUP(B1379,'Coverage Indicators - Section D'!$A$9:$AO$70,41,FALSE),"")</f>
        <v>TCS-9 Percentage of people living with HIV and currently on antiretroviral therapy who are receiving multi month dispensing of antiretroviral medicine</v>
      </c>
      <c r="D1379" s="605" t="str">
        <f>M1379</f>
        <v/>
      </c>
      <c r="E1379" s="605" t="str">
        <f>N1379</f>
        <v/>
      </c>
      <c r="F1379" s="131"/>
      <c r="G1379" s="607" t="str">
        <f ca="1">IF(OR(INDIRECT("'update Helper'!E"&amp;Q1379)="",F1379&lt;&gt;0,F1380&lt;&gt;0),IF(IFERROR((F1379/F1380),"")="","",(F1379/F1380)),INDIRECT("'update Helper'!E"&amp;Q1379)/100)</f>
        <v/>
      </c>
      <c r="H1379" s="597"/>
      <c r="I1379" s="599"/>
      <c r="J1379" s="531"/>
      <c r="K1379" s="130">
        <f>IF(AND(EXACT(C1379,C1377),C1377&lt;&gt;0),K1377+1,0)</f>
        <v>19</v>
      </c>
      <c r="L1379" s="130" t="str">
        <f t="shared" ref="L1379" si="1569">IF(C1379&lt;&gt;"",C1379&amp;"-"&amp;K1379,"")</f>
        <v>TCS-9 Percentage of people living with HIV and currently on antiretroviral therapy who are receiving multi month dispensing of antiretroviral medicine-19</v>
      </c>
      <c r="M1379" s="130" t="str">
        <f t="array" ref="M1379">IFERROR(IF(INDEX('Disaggregation Records'!$E$152:$E$513,MATCH(RIGHT(L1379,255),RIGHT('Disaggregation Records'!$D$152:$D$513,255),0))="","",INDEX('Disaggregation Records'!$E$152:$E$513,MATCH(RIGHT(L1379,255),RIGHT('Disaggregation Records'!$D$152:$D$513,255),0))),"")</f>
        <v/>
      </c>
      <c r="N1379" s="130" t="str">
        <f t="array" ref="N1379">IFERROR(IF(INDEX('Disaggregation Records'!$F$152:$F$513,MATCH(RIGHT(L1379,255),RIGHT('Disaggregation Records'!$D$152:$D$513,255),0))="","",INDEX('Disaggregation Records'!$F$152:$F$513,MATCH(RIGHT(L1379,255),RIGHT('Disaggregation Records'!$D$152:$D$513,255),0))),"")</f>
        <v/>
      </c>
      <c r="O1379" s="130" t="str">
        <f t="array" ref="O1379">IFERROR(IF(INDEX('Disaggregation Records'!$H$152:$H$513,MATCH(RIGHT(L1379,255),RIGHT('Disaggregation Records'!$D$152:$D$513,255),0))="","",INDEX('Disaggregation Records'!$H$152:$H$513,MATCH(RIGHT(L1379,255),RIGHT('Disaggregation Records'!$D$152:$D$513,255),0))),"")</f>
        <v/>
      </c>
      <c r="Q1379" s="52">
        <f t="shared" ref="Q1379" si="1570">Q1377+1</f>
        <v>1874</v>
      </c>
    </row>
    <row r="1380" spans="1:17" ht="20.100000000000001" customHeight="1" x14ac:dyDescent="0.25">
      <c r="B1380" s="602"/>
      <c r="C1380" s="604"/>
      <c r="D1380" s="606"/>
      <c r="E1380" s="606"/>
      <c r="F1380" s="132"/>
      <c r="G1380" s="608"/>
      <c r="H1380" s="598"/>
      <c r="I1380" s="600"/>
      <c r="J1380" s="532"/>
      <c r="L1380" s="130"/>
      <c r="N1380" s="130"/>
      <c r="O1380" s="130"/>
    </row>
    <row r="1381" spans="1:17" ht="20.100000000000001" customHeight="1" x14ac:dyDescent="0.25">
      <c r="A1381" s="130" t="str">
        <f t="shared" ca="1" si="1517"/>
        <v>a16Dm000000LZfeIAG</v>
      </c>
      <c r="B1381" s="601">
        <v>20</v>
      </c>
      <c r="C1381" s="603" t="str">
        <f>IFERROR(VLOOKUP(B1381,'Coverage Indicators - Section D'!$A$9:$AO$70,41,FALSE),"")</f>
        <v>DRTB-2⁽ᴹ⁾ Number of people with confirmed RR-TB and/or MDR-TB notified</v>
      </c>
      <c r="D1381" s="605" t="str">
        <f>M1381</f>
        <v>Age</v>
      </c>
      <c r="E1381" s="605" t="str">
        <f>N1381</f>
        <v>15+</v>
      </c>
      <c r="F1381" s="131">
        <v>901</v>
      </c>
      <c r="G1381" s="607">
        <v>0.98</v>
      </c>
      <c r="H1381" s="597">
        <v>2021</v>
      </c>
      <c r="I1381" s="599" t="s">
        <v>766</v>
      </c>
      <c r="J1381" s="531" t="s">
        <v>2263</v>
      </c>
      <c r="K1381" s="130">
        <f>IF(AND(EXACT(C1381,C1379),C1379&lt;&gt;0),K1379+1,0)</f>
        <v>0</v>
      </c>
      <c r="L1381" s="130" t="str">
        <f t="shared" ref="L1381" si="1571">IF(C1381&lt;&gt;"",C1381&amp;"-"&amp;K1381,"")</f>
        <v>DRTB-2⁽ᴹ⁾ Number of people with confirmed RR-TB and/or MDR-TB notified-0</v>
      </c>
      <c r="M1381" s="130" t="str">
        <f t="array" ref="M1381">IFERROR(IF(INDEX('Disaggregation Records'!$E$152:$E$513,MATCH(RIGHT(L1381,255),RIGHT('Disaggregation Records'!$D$152:$D$513,255),0))="","",INDEX('Disaggregation Records'!$E$152:$E$513,MATCH(RIGHT(L1381,255),RIGHT('Disaggregation Records'!$D$152:$D$513,255),0))),"")</f>
        <v>Age</v>
      </c>
      <c r="N1381" s="130" t="str">
        <f t="array" ref="N1381">IFERROR(IF(INDEX('Disaggregation Records'!$F$152:$F$513,MATCH(RIGHT(L1381,255),RIGHT('Disaggregation Records'!$D$152:$D$513,255),0))="","",INDEX('Disaggregation Records'!$F$152:$F$513,MATCH(RIGHT(L1381,255),RIGHT('Disaggregation Records'!$D$152:$D$513,255),0))),"")</f>
        <v>15+</v>
      </c>
      <c r="O1381" s="130" t="str">
        <f t="array" ref="O1381">IFERROR(IF(INDEX('Disaggregation Records'!$H$152:$H$513,MATCH(RIGHT(L1381,255),RIGHT('Disaggregation Records'!$D$152:$D$513,255),0))="","",INDEX('Disaggregation Records'!$H$152:$H$513,MATCH(RIGHT(L1381,255),RIGHT('Disaggregation Records'!$D$152:$D$513,255),0))),"")</f>
        <v>IDR-01378</v>
      </c>
      <c r="P1381" s="130"/>
      <c r="Q1381" s="52">
        <f t="shared" ref="Q1381" si="1572">Q1379+1</f>
        <v>1875</v>
      </c>
    </row>
    <row r="1382" spans="1:17" ht="20.100000000000001" customHeight="1" x14ac:dyDescent="0.25">
      <c r="A1382" s="130"/>
      <c r="B1382" s="602"/>
      <c r="C1382" s="604"/>
      <c r="D1382" s="606"/>
      <c r="E1382" s="606"/>
      <c r="F1382" s="132">
        <v>908</v>
      </c>
      <c r="G1382" s="608"/>
      <c r="H1382" s="598"/>
      <c r="I1382" s="600"/>
      <c r="J1382" s="532"/>
      <c r="K1382" s="130"/>
      <c r="L1382" s="130"/>
      <c r="M1382" s="130"/>
      <c r="N1382" s="130"/>
      <c r="O1382" s="130"/>
      <c r="P1382" s="130"/>
    </row>
    <row r="1383" spans="1:17" ht="20.100000000000001" customHeight="1" x14ac:dyDescent="0.25">
      <c r="A1383" s="130" t="str">
        <f t="shared" ca="1" si="1520"/>
        <v>a16Dm000000LZffIAG</v>
      </c>
      <c r="B1383" s="601">
        <v>20</v>
      </c>
      <c r="C1383" s="603" t="str">
        <f>IFERROR(VLOOKUP(B1383,'Coverage Indicators - Section D'!$A$9:$AO$70,41,FALSE),"")</f>
        <v>DRTB-2⁽ᴹ⁾ Number of people with confirmed RR-TB and/or MDR-TB notified</v>
      </c>
      <c r="D1383" s="605" t="str">
        <f>M1383</f>
        <v>HIV status</v>
      </c>
      <c r="E1383" s="605" t="str">
        <f>N1383</f>
        <v>Unknown</v>
      </c>
      <c r="F1383" s="131"/>
      <c r="G1383" s="607" t="str">
        <f ca="1">IF(OR(INDIRECT("'update Helper'!E"&amp;Q1383)="",F1383&lt;&gt;0,F1384&lt;&gt;0),IF(IFERROR((F1383/F1384),"")="","",(F1383/F1384)),INDIRECT("'update Helper'!E"&amp;Q1383)/100)</f>
        <v/>
      </c>
      <c r="H1383" s="597">
        <v>2021</v>
      </c>
      <c r="I1383" s="599" t="s">
        <v>766</v>
      </c>
      <c r="J1383" s="531" t="s">
        <v>2264</v>
      </c>
      <c r="K1383" s="130">
        <f>IF(AND(EXACT(C1383,C1381),C1381&lt;&gt;0),K1381+1,0)</f>
        <v>1</v>
      </c>
      <c r="L1383" s="130" t="str">
        <f t="shared" ref="L1383" si="1573">IF(C1383&lt;&gt;"",C1383&amp;"-"&amp;K1383,"")</f>
        <v>DRTB-2⁽ᴹ⁾ Number of people with confirmed RR-TB and/or MDR-TB notified-1</v>
      </c>
      <c r="M1383" s="130" t="str">
        <f t="array" ref="M1383">IFERROR(IF(INDEX('Disaggregation Records'!$E$152:$E$513,MATCH(RIGHT(L1383,255),RIGHT('Disaggregation Records'!$D$152:$D$513,255),0))="","",INDEX('Disaggregation Records'!$E$152:$E$513,MATCH(RIGHT(L1383,255),RIGHT('Disaggregation Records'!$D$152:$D$513,255),0))),"")</f>
        <v>HIV status</v>
      </c>
      <c r="N1383" s="130" t="str">
        <f t="array" ref="N1383">IFERROR(IF(INDEX('Disaggregation Records'!$F$152:$F$513,MATCH(RIGHT(L1383,255),RIGHT('Disaggregation Records'!$D$152:$D$513,255),0))="","",INDEX('Disaggregation Records'!$F$152:$F$513,MATCH(RIGHT(L1383,255),RIGHT('Disaggregation Records'!$D$152:$D$513,255),0))),"")</f>
        <v>Unknown</v>
      </c>
      <c r="O1383" s="130" t="str">
        <f t="array" ref="O1383">IFERROR(IF(INDEX('Disaggregation Records'!$H$152:$H$513,MATCH(RIGHT(L1383,255),RIGHT('Disaggregation Records'!$D$152:$D$513,255),0))="","",INDEX('Disaggregation Records'!$H$152:$H$513,MATCH(RIGHT(L1383,255),RIGHT('Disaggregation Records'!$D$152:$D$513,255),0))),"")</f>
        <v>IDR-01377</v>
      </c>
      <c r="P1383" s="130"/>
      <c r="Q1383" s="52">
        <f t="shared" ref="Q1383" si="1574">Q1381+1</f>
        <v>1876</v>
      </c>
    </row>
    <row r="1384" spans="1:17" ht="20.100000000000001" customHeight="1" x14ac:dyDescent="0.25">
      <c r="B1384" s="602"/>
      <c r="C1384" s="604"/>
      <c r="D1384" s="606"/>
      <c r="E1384" s="606"/>
      <c r="F1384" s="132"/>
      <c r="G1384" s="608"/>
      <c r="H1384" s="598"/>
      <c r="I1384" s="600"/>
      <c r="J1384" s="532"/>
      <c r="K1384" s="130"/>
      <c r="L1384" s="130"/>
      <c r="M1384" s="130"/>
      <c r="N1384" s="130"/>
      <c r="O1384" s="130"/>
      <c r="P1384" s="130"/>
    </row>
    <row r="1385" spans="1:17" ht="20.100000000000001" customHeight="1" x14ac:dyDescent="0.25">
      <c r="A1385" s="130" t="str">
        <f t="shared" ca="1" si="1517"/>
        <v>a16Dm000000LZfgIAG</v>
      </c>
      <c r="B1385" s="601">
        <v>20</v>
      </c>
      <c r="C1385" s="603" t="str">
        <f>IFERROR(VLOOKUP(B1385,'Coverage Indicators - Section D'!$A$9:$AO$70,41,FALSE),"")</f>
        <v>DRTB-2⁽ᴹ⁾ Number of people with confirmed RR-TB and/or MDR-TB notified</v>
      </c>
      <c r="D1385" s="605" t="str">
        <f>M1385</f>
        <v>Age</v>
      </c>
      <c r="E1385" s="605" t="str">
        <f>N1385</f>
        <v>&lt;15</v>
      </c>
      <c r="F1385" s="131">
        <v>17</v>
      </c>
      <c r="G1385" s="607">
        <f ca="1">IF(OR(INDIRECT("'update Helper'!E"&amp;Q1385)="",F1385&lt;&gt;0,F1386&lt;&gt;0),IF(IFERROR((F1385/F1386),"")="","",(F1385/F1386)),INDIRECT("'update Helper'!E"&amp;Q1385)/100)</f>
        <v>1.8722466960352423E-2</v>
      </c>
      <c r="H1385" s="597">
        <v>2021</v>
      </c>
      <c r="I1385" s="599" t="s">
        <v>766</v>
      </c>
      <c r="J1385" s="531" t="s">
        <v>2263</v>
      </c>
      <c r="K1385" s="130">
        <f>IF(AND(EXACT(C1385,C1383),C1383&lt;&gt;0),K1383+1,0)</f>
        <v>2</v>
      </c>
      <c r="L1385" s="130" t="str">
        <f t="shared" ref="L1385" si="1575">IF(C1385&lt;&gt;"",C1385&amp;"-"&amp;K1385,"")</f>
        <v>DRTB-2⁽ᴹ⁾ Number of people with confirmed RR-TB and/or MDR-TB notified-2</v>
      </c>
      <c r="M1385" s="130" t="str">
        <f t="array" ref="M1385">IFERROR(IF(INDEX('Disaggregation Records'!$E$152:$E$513,MATCH(RIGHT(L1385,255),RIGHT('Disaggregation Records'!$D$152:$D$513,255),0))="","",INDEX('Disaggregation Records'!$E$152:$E$513,MATCH(RIGHT(L1385,255),RIGHT('Disaggregation Records'!$D$152:$D$513,255),0))),"")</f>
        <v>Age</v>
      </c>
      <c r="N1385" s="130" t="str">
        <f t="array" ref="N1385">IFERROR(IF(INDEX('Disaggregation Records'!$F$152:$F$513,MATCH(RIGHT(L1385,255),RIGHT('Disaggregation Records'!$D$152:$D$513,255),0))="","",INDEX('Disaggregation Records'!$F$152:$F$513,MATCH(RIGHT(L1385,255),RIGHT('Disaggregation Records'!$D$152:$D$513,255),0))),"")</f>
        <v>&lt;15</v>
      </c>
      <c r="O1385" s="130" t="str">
        <f t="array" ref="O1385">IFERROR(IF(INDEX('Disaggregation Records'!$H$152:$H$513,MATCH(RIGHT(L1385,255),RIGHT('Disaggregation Records'!$D$152:$D$513,255),0))="","",INDEX('Disaggregation Records'!$H$152:$H$513,MATCH(RIGHT(L1385,255),RIGHT('Disaggregation Records'!$D$152:$D$513,255),0))),"")</f>
        <v>IDR-01376</v>
      </c>
      <c r="Q1385" s="52">
        <f t="shared" ref="Q1385" si="1576">Q1383+1</f>
        <v>1877</v>
      </c>
    </row>
    <row r="1386" spans="1:17" ht="20.100000000000001" customHeight="1" x14ac:dyDescent="0.25">
      <c r="A1386" s="130"/>
      <c r="B1386" s="602"/>
      <c r="C1386" s="604"/>
      <c r="D1386" s="606"/>
      <c r="E1386" s="606"/>
      <c r="F1386" s="132">
        <v>908</v>
      </c>
      <c r="G1386" s="608"/>
      <c r="H1386" s="598"/>
      <c r="I1386" s="600"/>
      <c r="J1386" s="532"/>
      <c r="L1386" s="130"/>
      <c r="N1386" s="130"/>
      <c r="O1386" s="130"/>
    </row>
    <row r="1387" spans="1:17" ht="20.100000000000001" customHeight="1" x14ac:dyDescent="0.25">
      <c r="A1387" s="130" t="str">
        <f t="shared" ca="1" si="1520"/>
        <v>a16Dm000000LZfhIAG</v>
      </c>
      <c r="B1387" s="601">
        <v>20</v>
      </c>
      <c r="C1387" s="603" t="str">
        <f>IFERROR(VLOOKUP(B1387,'Coverage Indicators - Section D'!$A$9:$AO$70,41,FALSE),"")</f>
        <v>DRTB-2⁽ᴹ⁾ Number of people with confirmed RR-TB and/or MDR-TB notified</v>
      </c>
      <c r="D1387" s="605" t="str">
        <f>M1387</f>
        <v>Gender</v>
      </c>
      <c r="E1387" s="605" t="str">
        <f>N1387</f>
        <v>Male</v>
      </c>
      <c r="F1387" s="131"/>
      <c r="G1387" s="607" t="str">
        <f ca="1">IF(OR(INDIRECT("'update Helper'!E"&amp;Q1387)="",F1387&lt;&gt;0,F1388&lt;&gt;0),IF(IFERROR((F1387/F1388),"")="","",(F1387/F1388)),INDIRECT("'update Helper'!E"&amp;Q1387)/100)</f>
        <v/>
      </c>
      <c r="H1387" s="597">
        <v>2021</v>
      </c>
      <c r="I1387" s="599" t="s">
        <v>766</v>
      </c>
      <c r="J1387" s="531" t="s">
        <v>2265</v>
      </c>
      <c r="K1387" s="130">
        <f>IF(AND(EXACT(C1387,C1385),C1385&lt;&gt;0),K1385+1,0)</f>
        <v>3</v>
      </c>
      <c r="L1387" s="130" t="str">
        <f t="shared" ref="L1387" si="1577">IF(C1387&lt;&gt;"",C1387&amp;"-"&amp;K1387,"")</f>
        <v>DRTB-2⁽ᴹ⁾ Number of people with confirmed RR-TB and/or MDR-TB notified-3</v>
      </c>
      <c r="M1387" s="130" t="str">
        <f t="array" ref="M1387">IFERROR(IF(INDEX('Disaggregation Records'!$E$152:$E$513,MATCH(RIGHT(L1387,255),RIGHT('Disaggregation Records'!$D$152:$D$513,255),0))="","",INDEX('Disaggregation Records'!$E$152:$E$513,MATCH(RIGHT(L1387,255),RIGHT('Disaggregation Records'!$D$152:$D$513,255),0))),"")</f>
        <v>Gender</v>
      </c>
      <c r="N1387" s="130" t="str">
        <f t="array" ref="N1387">IFERROR(IF(INDEX('Disaggregation Records'!$F$152:$F$513,MATCH(RIGHT(L1387,255),RIGHT('Disaggregation Records'!$D$152:$D$513,255),0))="","",INDEX('Disaggregation Records'!$F$152:$F$513,MATCH(RIGHT(L1387,255),RIGHT('Disaggregation Records'!$D$152:$D$513,255),0))),"")</f>
        <v>Male</v>
      </c>
      <c r="O1387" s="130" t="str">
        <f t="array" ref="O1387">IFERROR(IF(INDEX('Disaggregation Records'!$H$152:$H$513,MATCH(RIGHT(L1387,255),RIGHT('Disaggregation Records'!$D$152:$D$513,255),0))="","",INDEX('Disaggregation Records'!$H$152:$H$513,MATCH(RIGHT(L1387,255),RIGHT('Disaggregation Records'!$D$152:$D$513,255),0))),"")</f>
        <v>IDR-01375</v>
      </c>
      <c r="Q1387" s="52">
        <f t="shared" ref="Q1387" si="1578">Q1385+1</f>
        <v>1878</v>
      </c>
    </row>
    <row r="1388" spans="1:17" ht="20.100000000000001" customHeight="1" x14ac:dyDescent="0.25">
      <c r="B1388" s="602"/>
      <c r="C1388" s="604"/>
      <c r="D1388" s="606"/>
      <c r="E1388" s="606"/>
      <c r="F1388" s="132"/>
      <c r="G1388" s="608"/>
      <c r="H1388" s="598"/>
      <c r="I1388" s="600"/>
      <c r="J1388" s="532"/>
      <c r="L1388" s="130"/>
      <c r="N1388" s="130"/>
      <c r="O1388" s="130"/>
    </row>
    <row r="1389" spans="1:17" ht="20.100000000000001" customHeight="1" x14ac:dyDescent="0.25">
      <c r="A1389" s="130" t="str">
        <f t="shared" ca="1" si="1517"/>
        <v>a16Dm000000LZfiIAG</v>
      </c>
      <c r="B1389" s="601">
        <v>20</v>
      </c>
      <c r="C1389" s="603" t="str">
        <f>IFERROR(VLOOKUP(B1389,'Coverage Indicators - Section D'!$A$9:$AO$70,41,FALSE),"")</f>
        <v>DRTB-2⁽ᴹ⁾ Number of people with confirmed RR-TB and/or MDR-TB notified</v>
      </c>
      <c r="D1389" s="605" t="str">
        <f>M1389</f>
        <v>HIV status</v>
      </c>
      <c r="E1389" s="605" t="str">
        <f>N1389</f>
        <v>Negative</v>
      </c>
      <c r="F1389" s="131">
        <v>889</v>
      </c>
      <c r="G1389" s="607">
        <f ca="1">IF(OR(INDIRECT("'update Helper'!E"&amp;Q1389)="",F1389&lt;&gt;0,F1390&lt;&gt;0),IF(IFERROR((F1389/F1390),"")="","",(F1389/F1390)),INDIRECT("'update Helper'!E"&amp;Q1389)/100)</f>
        <v>0.97907488986784141</v>
      </c>
      <c r="H1389" s="597">
        <v>2021</v>
      </c>
      <c r="I1389" s="599" t="s">
        <v>766</v>
      </c>
      <c r="J1389" s="531" t="s">
        <v>2264</v>
      </c>
      <c r="K1389" s="130">
        <f>IF(AND(EXACT(C1389,C1387),C1387&lt;&gt;0),K1387+1,0)</f>
        <v>4</v>
      </c>
      <c r="L1389" s="130" t="str">
        <f t="shared" ref="L1389" si="1579">IF(C1389&lt;&gt;"",C1389&amp;"-"&amp;K1389,"")</f>
        <v>DRTB-2⁽ᴹ⁾ Number of people with confirmed RR-TB and/or MDR-TB notified-4</v>
      </c>
      <c r="M1389" s="130" t="str">
        <f t="array" ref="M1389">IFERROR(IF(INDEX('Disaggregation Records'!$E$152:$E$513,MATCH(RIGHT(L1389,255),RIGHT('Disaggregation Records'!$D$152:$D$513,255),0))="","",INDEX('Disaggregation Records'!$E$152:$E$513,MATCH(RIGHT(L1389,255),RIGHT('Disaggregation Records'!$D$152:$D$513,255),0))),"")</f>
        <v>HIV status</v>
      </c>
      <c r="N1389" s="130" t="str">
        <f t="array" ref="N1389">IFERROR(IF(INDEX('Disaggregation Records'!$F$152:$F$513,MATCH(RIGHT(L1389,255),RIGHT('Disaggregation Records'!$D$152:$D$513,255),0))="","",INDEX('Disaggregation Records'!$F$152:$F$513,MATCH(RIGHT(L1389,255),RIGHT('Disaggregation Records'!$D$152:$D$513,255),0))),"")</f>
        <v>Negative</v>
      </c>
      <c r="O1389" s="130" t="str">
        <f t="array" ref="O1389">IFERROR(IF(INDEX('Disaggregation Records'!$H$152:$H$513,MATCH(RIGHT(L1389,255),RIGHT('Disaggregation Records'!$D$152:$D$513,255),0))="","",INDEX('Disaggregation Records'!$H$152:$H$513,MATCH(RIGHT(L1389,255),RIGHT('Disaggregation Records'!$D$152:$D$513,255),0))),"")</f>
        <v>IDR-01374</v>
      </c>
      <c r="Q1389" s="52">
        <f t="shared" ref="Q1389" si="1580">Q1387+1</f>
        <v>1879</v>
      </c>
    </row>
    <row r="1390" spans="1:17" ht="20.100000000000001" customHeight="1" x14ac:dyDescent="0.25">
      <c r="A1390" s="130"/>
      <c r="B1390" s="602"/>
      <c r="C1390" s="604"/>
      <c r="D1390" s="606"/>
      <c r="E1390" s="606"/>
      <c r="F1390" s="132">
        <v>908</v>
      </c>
      <c r="G1390" s="608"/>
      <c r="H1390" s="598"/>
      <c r="I1390" s="600"/>
      <c r="J1390" s="532"/>
      <c r="L1390" s="130"/>
      <c r="N1390" s="130"/>
      <c r="O1390" s="130"/>
    </row>
    <row r="1391" spans="1:17" ht="20.100000000000001" customHeight="1" x14ac:dyDescent="0.25">
      <c r="A1391" s="130" t="str">
        <f t="shared" ca="1" si="1520"/>
        <v>a16Dm000000LZfjIAG</v>
      </c>
      <c r="B1391" s="601">
        <v>20</v>
      </c>
      <c r="C1391" s="603" t="str">
        <f>IFERROR(VLOOKUP(B1391,'Coverage Indicators - Section D'!$A$9:$AO$70,41,FALSE),"")</f>
        <v>DRTB-2⁽ᴹ⁾ Number of people with confirmed RR-TB and/or MDR-TB notified</v>
      </c>
      <c r="D1391" s="605" t="str">
        <f>M1391</f>
        <v>Gender</v>
      </c>
      <c r="E1391" s="605" t="str">
        <f>N1391</f>
        <v>Female</v>
      </c>
      <c r="F1391" s="131"/>
      <c r="G1391" s="607" t="str">
        <f ca="1">IF(OR(INDIRECT("'update Helper'!E"&amp;Q1391)="",F1391&lt;&gt;0,F1392&lt;&gt;0),IF(IFERROR((F1391/F1392),"")="","",(F1391/F1392)),INDIRECT("'update Helper'!E"&amp;Q1391)/100)</f>
        <v/>
      </c>
      <c r="H1391" s="597">
        <v>2021</v>
      </c>
      <c r="I1391" s="599" t="s">
        <v>766</v>
      </c>
      <c r="J1391" s="531" t="s">
        <v>2266</v>
      </c>
      <c r="K1391" s="130">
        <f>IF(AND(EXACT(C1391,C1389),C1389&lt;&gt;0),K1389+1,0)</f>
        <v>5</v>
      </c>
      <c r="L1391" s="130" t="str">
        <f t="shared" ref="L1391" si="1581">IF(C1391&lt;&gt;"",C1391&amp;"-"&amp;K1391,"")</f>
        <v>DRTB-2⁽ᴹ⁾ Number of people with confirmed RR-TB and/or MDR-TB notified-5</v>
      </c>
      <c r="M1391" s="130" t="str">
        <f t="array" ref="M1391">IFERROR(IF(INDEX('Disaggregation Records'!$E$152:$E$513,MATCH(RIGHT(L1391,255),RIGHT('Disaggregation Records'!$D$152:$D$513,255),0))="","",INDEX('Disaggregation Records'!$E$152:$E$513,MATCH(RIGHT(L1391,255),RIGHT('Disaggregation Records'!$D$152:$D$513,255),0))),"")</f>
        <v>Gender</v>
      </c>
      <c r="N1391" s="130" t="str">
        <f t="array" ref="N1391">IFERROR(IF(INDEX('Disaggregation Records'!$F$152:$F$513,MATCH(RIGHT(L1391,255),RIGHT('Disaggregation Records'!$D$152:$D$513,255),0))="","",INDEX('Disaggregation Records'!$F$152:$F$513,MATCH(RIGHT(L1391,255),RIGHT('Disaggregation Records'!$D$152:$D$513,255),0))),"")</f>
        <v>Female</v>
      </c>
      <c r="O1391" s="130" t="str">
        <f t="array" ref="O1391">IFERROR(IF(INDEX('Disaggregation Records'!$H$152:$H$513,MATCH(RIGHT(L1391,255),RIGHT('Disaggregation Records'!$D$152:$D$513,255),0))="","",INDEX('Disaggregation Records'!$H$152:$H$513,MATCH(RIGHT(L1391,255),RIGHT('Disaggregation Records'!$D$152:$D$513,255),0))),"")</f>
        <v>IDR-01373</v>
      </c>
      <c r="P1391" s="130"/>
      <c r="Q1391" s="52">
        <f t="shared" ref="Q1391" si="1582">Q1389+1</f>
        <v>1880</v>
      </c>
    </row>
    <row r="1392" spans="1:17" ht="20.100000000000001" customHeight="1" x14ac:dyDescent="0.25">
      <c r="B1392" s="602"/>
      <c r="C1392" s="604"/>
      <c r="D1392" s="606"/>
      <c r="E1392" s="606"/>
      <c r="F1392" s="132"/>
      <c r="G1392" s="608"/>
      <c r="H1392" s="598"/>
      <c r="I1392" s="600"/>
      <c r="J1392" s="532"/>
      <c r="K1392" s="130"/>
      <c r="L1392" s="130"/>
      <c r="M1392" s="130"/>
      <c r="N1392" s="130"/>
      <c r="O1392" s="130"/>
      <c r="P1392" s="130"/>
    </row>
    <row r="1393" spans="1:17" ht="20.100000000000001" customHeight="1" x14ac:dyDescent="0.25">
      <c r="A1393" s="130" t="str">
        <f t="shared" ref="A1393:A1453" ca="1" si="1583">INDIRECT("'update Helper'!C"&amp;Q1393)</f>
        <v>a16Dm000000LZfkIAG</v>
      </c>
      <c r="B1393" s="601">
        <v>20</v>
      </c>
      <c r="C1393" s="603" t="str">
        <f>IFERROR(VLOOKUP(B1393,'Coverage Indicators - Section D'!$A$9:$AO$70,41,FALSE),"")</f>
        <v>DRTB-2⁽ᴹ⁾ Number of people with confirmed RR-TB and/or MDR-TB notified</v>
      </c>
      <c r="D1393" s="605" t="str">
        <f>M1393</f>
        <v>HIV status</v>
      </c>
      <c r="E1393" s="605" t="str">
        <f>N1393</f>
        <v>Positive</v>
      </c>
      <c r="F1393" s="131">
        <v>29</v>
      </c>
      <c r="G1393" s="607">
        <f ca="1">IF(OR(INDIRECT("'update Helper'!E"&amp;Q1393)="",F1393&lt;&gt;0,F1394&lt;&gt;0),IF(IFERROR((F1393/F1394),"")="","",(F1393/F1394)),INDIRECT("'update Helper'!E"&amp;Q1393)/100)</f>
        <v>3.1938325991189426E-2</v>
      </c>
      <c r="H1393" s="597">
        <v>2021</v>
      </c>
      <c r="I1393" s="599" t="s">
        <v>766</v>
      </c>
      <c r="J1393" s="531" t="s">
        <v>2264</v>
      </c>
      <c r="K1393" s="130">
        <f>IF(AND(EXACT(C1393,C1391),C1391&lt;&gt;0),K1391+1,0)</f>
        <v>6</v>
      </c>
      <c r="L1393" s="130" t="str">
        <f t="shared" ref="L1393" si="1584">IF(C1393&lt;&gt;"",C1393&amp;"-"&amp;K1393,"")</f>
        <v>DRTB-2⁽ᴹ⁾ Number of people with confirmed RR-TB and/or MDR-TB notified-6</v>
      </c>
      <c r="M1393" s="130" t="str">
        <f t="array" ref="M1393">IFERROR(IF(INDEX('Disaggregation Records'!$E$152:$E$513,MATCH(RIGHT(L1393,255),RIGHT('Disaggregation Records'!$D$152:$D$513,255),0))="","",INDEX('Disaggregation Records'!$E$152:$E$513,MATCH(RIGHT(L1393,255),RIGHT('Disaggregation Records'!$D$152:$D$513,255),0))),"")</f>
        <v>HIV status</v>
      </c>
      <c r="N1393" s="130" t="str">
        <f t="array" ref="N1393">IFERROR(IF(INDEX('Disaggregation Records'!$F$152:$F$513,MATCH(RIGHT(L1393,255),RIGHT('Disaggregation Records'!$D$152:$D$513,255),0))="","",INDEX('Disaggregation Records'!$F$152:$F$513,MATCH(RIGHT(L1393,255),RIGHT('Disaggregation Records'!$D$152:$D$513,255),0))),"")</f>
        <v>Positive</v>
      </c>
      <c r="O1393" s="130" t="str">
        <f t="array" ref="O1393">IFERROR(IF(INDEX('Disaggregation Records'!$H$152:$H$513,MATCH(RIGHT(L1393,255),RIGHT('Disaggregation Records'!$D$152:$D$513,255),0))="","",INDEX('Disaggregation Records'!$H$152:$H$513,MATCH(RIGHT(L1393,255),RIGHT('Disaggregation Records'!$D$152:$D$513,255),0))),"")</f>
        <v>IDR-01372</v>
      </c>
      <c r="P1393" s="130"/>
      <c r="Q1393" s="52">
        <f t="shared" ref="Q1393" si="1585">Q1391+1</f>
        <v>1881</v>
      </c>
    </row>
    <row r="1394" spans="1:17" ht="20.100000000000001" customHeight="1" x14ac:dyDescent="0.25">
      <c r="A1394" s="130"/>
      <c r="B1394" s="602"/>
      <c r="C1394" s="604"/>
      <c r="D1394" s="606"/>
      <c r="E1394" s="606"/>
      <c r="F1394" s="132">
        <v>908</v>
      </c>
      <c r="G1394" s="608"/>
      <c r="H1394" s="598"/>
      <c r="I1394" s="600"/>
      <c r="J1394" s="532"/>
      <c r="K1394" s="130"/>
      <c r="L1394" s="130"/>
      <c r="M1394" s="130"/>
      <c r="N1394" s="130"/>
      <c r="O1394" s="130"/>
      <c r="P1394" s="130"/>
    </row>
    <row r="1395" spans="1:17" ht="20.100000000000001" customHeight="1" x14ac:dyDescent="0.25">
      <c r="A1395" s="130" t="str">
        <f t="shared" ref="A1395:A1455" ca="1" si="1586">INDIRECT("'update Helper'!C"&amp;Q1395)</f>
        <v>a16Dm000000LZflIAG</v>
      </c>
      <c r="B1395" s="601">
        <v>20</v>
      </c>
      <c r="C1395" s="603" t="str">
        <f>IFERROR(VLOOKUP(B1395,'Coverage Indicators - Section D'!$A$9:$AO$70,41,FALSE),"")</f>
        <v>DRTB-2⁽ᴹ⁾ Number of people with confirmed RR-TB and/or MDR-TB notified</v>
      </c>
      <c r="D1395" s="605" t="str">
        <f>M1395</f>
        <v/>
      </c>
      <c r="E1395" s="605" t="str">
        <f>N1395</f>
        <v/>
      </c>
      <c r="F1395" s="131"/>
      <c r="G1395" s="607" t="str">
        <f ca="1">IF(OR(INDIRECT("'update Helper'!E"&amp;Q1395)="",F1395&lt;&gt;0,F1396&lt;&gt;0),IF(IFERROR((F1395/F1396),"")="","",(F1395/F1396)),INDIRECT("'update Helper'!E"&amp;Q1395)/100)</f>
        <v/>
      </c>
      <c r="H1395" s="597">
        <v>2022</v>
      </c>
      <c r="I1395" s="599" t="s">
        <v>2247</v>
      </c>
      <c r="J1395" s="531"/>
      <c r="K1395" s="130">
        <f>IF(AND(EXACT(C1395,C1393),C1393&lt;&gt;0),K1393+1,0)</f>
        <v>7</v>
      </c>
      <c r="L1395" s="130" t="str">
        <f t="shared" ref="L1395" si="1587">IF(C1395&lt;&gt;"",C1395&amp;"-"&amp;K1395,"")</f>
        <v>DRTB-2⁽ᴹ⁾ Number of people with confirmed RR-TB and/or MDR-TB notified-7</v>
      </c>
      <c r="M1395" s="130" t="str">
        <f t="array" ref="M1395">IFERROR(IF(INDEX('Disaggregation Records'!$E$152:$E$513,MATCH(RIGHT(L1395,255),RIGHT('Disaggregation Records'!$D$152:$D$513,255),0))="","",INDEX('Disaggregation Records'!$E$152:$E$513,MATCH(RIGHT(L1395,255),RIGHT('Disaggregation Records'!$D$152:$D$513,255),0))),"")</f>
        <v/>
      </c>
      <c r="N1395" s="130" t="str">
        <f t="array" ref="N1395">IFERROR(IF(INDEX('Disaggregation Records'!$F$152:$F$513,MATCH(RIGHT(L1395,255),RIGHT('Disaggregation Records'!$D$152:$D$513,255),0))="","",INDEX('Disaggregation Records'!$F$152:$F$513,MATCH(RIGHT(L1395,255),RIGHT('Disaggregation Records'!$D$152:$D$513,255),0))),"")</f>
        <v/>
      </c>
      <c r="O1395" s="130" t="str">
        <f t="array" ref="O1395">IFERROR(IF(INDEX('Disaggregation Records'!$H$152:$H$513,MATCH(RIGHT(L1395,255),RIGHT('Disaggregation Records'!$D$152:$D$513,255),0))="","",INDEX('Disaggregation Records'!$H$152:$H$513,MATCH(RIGHT(L1395,255),RIGHT('Disaggregation Records'!$D$152:$D$513,255),0))),"")</f>
        <v/>
      </c>
      <c r="Q1395" s="52">
        <f t="shared" ref="Q1395" si="1588">Q1393+1</f>
        <v>1882</v>
      </c>
    </row>
    <row r="1396" spans="1:17" ht="20.100000000000001" customHeight="1" x14ac:dyDescent="0.25">
      <c r="B1396" s="602"/>
      <c r="C1396" s="604"/>
      <c r="D1396" s="606"/>
      <c r="E1396" s="606"/>
      <c r="F1396" s="132"/>
      <c r="G1396" s="608"/>
      <c r="H1396" s="598"/>
      <c r="I1396" s="600"/>
      <c r="J1396" s="532"/>
      <c r="L1396" s="130"/>
      <c r="N1396" s="130"/>
      <c r="O1396" s="130"/>
    </row>
    <row r="1397" spans="1:17" ht="20.100000000000001" customHeight="1" x14ac:dyDescent="0.25">
      <c r="A1397" s="130" t="str">
        <f t="shared" ca="1" si="1583"/>
        <v>a16Dm000000LZfmIAG</v>
      </c>
      <c r="B1397" s="601">
        <v>20</v>
      </c>
      <c r="C1397" s="603" t="str">
        <f>IFERROR(VLOOKUP(B1397,'Coverage Indicators - Section D'!$A$9:$AO$70,41,FALSE),"")</f>
        <v>DRTB-2⁽ᴹ⁾ Number of people with confirmed RR-TB and/or MDR-TB notified</v>
      </c>
      <c r="D1397" s="605" t="str">
        <f>M1397</f>
        <v/>
      </c>
      <c r="E1397" s="605" t="str">
        <f>N1397</f>
        <v/>
      </c>
      <c r="F1397" s="131"/>
      <c r="G1397" s="607" t="str">
        <f ca="1">IF(OR(INDIRECT("'update Helper'!E"&amp;Q1397)="",F1397&lt;&gt;0,F1398&lt;&gt;0),IF(IFERROR((F1397/F1398),"")="","",(F1397/F1398)),INDIRECT("'update Helper'!E"&amp;Q1397)/100)</f>
        <v/>
      </c>
      <c r="H1397" s="597">
        <v>2022</v>
      </c>
      <c r="I1397" s="599" t="s">
        <v>2247</v>
      </c>
      <c r="J1397" s="531"/>
      <c r="K1397" s="130">
        <f>IF(AND(EXACT(C1397,C1395),C1395&lt;&gt;0),K1395+1,0)</f>
        <v>8</v>
      </c>
      <c r="L1397" s="130" t="str">
        <f t="shared" ref="L1397" si="1589">IF(C1397&lt;&gt;"",C1397&amp;"-"&amp;K1397,"")</f>
        <v>DRTB-2⁽ᴹ⁾ Number of people with confirmed RR-TB and/or MDR-TB notified-8</v>
      </c>
      <c r="M1397" s="130" t="str">
        <f t="array" ref="M1397">IFERROR(IF(INDEX('Disaggregation Records'!$E$152:$E$513,MATCH(RIGHT(L1397,255),RIGHT('Disaggregation Records'!$D$152:$D$513,255),0))="","",INDEX('Disaggregation Records'!$E$152:$E$513,MATCH(RIGHT(L1397,255),RIGHT('Disaggregation Records'!$D$152:$D$513,255),0))),"")</f>
        <v/>
      </c>
      <c r="N1397" s="130" t="str">
        <f t="array" ref="N1397">IFERROR(IF(INDEX('Disaggregation Records'!$F$152:$F$513,MATCH(RIGHT(L1397,255),RIGHT('Disaggregation Records'!$D$152:$D$513,255),0))="","",INDEX('Disaggregation Records'!$F$152:$F$513,MATCH(RIGHT(L1397,255),RIGHT('Disaggregation Records'!$D$152:$D$513,255),0))),"")</f>
        <v/>
      </c>
      <c r="O1397" s="130" t="str">
        <f t="array" ref="O1397">IFERROR(IF(INDEX('Disaggregation Records'!$H$152:$H$513,MATCH(RIGHT(L1397,255),RIGHT('Disaggregation Records'!$D$152:$D$513,255),0))="","",INDEX('Disaggregation Records'!$H$152:$H$513,MATCH(RIGHT(L1397,255),RIGHT('Disaggregation Records'!$D$152:$D$513,255),0))),"")</f>
        <v/>
      </c>
      <c r="Q1397" s="52">
        <f t="shared" ref="Q1397" si="1590">Q1395+1</f>
        <v>1883</v>
      </c>
    </row>
    <row r="1398" spans="1:17" ht="20.100000000000001" customHeight="1" x14ac:dyDescent="0.25">
      <c r="A1398" s="130"/>
      <c r="B1398" s="602"/>
      <c r="C1398" s="604"/>
      <c r="D1398" s="606"/>
      <c r="E1398" s="606"/>
      <c r="F1398" s="132"/>
      <c r="G1398" s="608"/>
      <c r="H1398" s="598"/>
      <c r="I1398" s="600"/>
      <c r="J1398" s="532"/>
      <c r="L1398" s="130"/>
      <c r="N1398" s="130"/>
      <c r="O1398" s="130"/>
    </row>
    <row r="1399" spans="1:17" ht="20.100000000000001" customHeight="1" x14ac:dyDescent="0.25">
      <c r="A1399" s="130" t="str">
        <f t="shared" ca="1" si="1586"/>
        <v>a16Dm000000LZfnIAG</v>
      </c>
      <c r="B1399" s="601">
        <v>20</v>
      </c>
      <c r="C1399" s="603" t="str">
        <f>IFERROR(VLOOKUP(B1399,'Coverage Indicators - Section D'!$A$9:$AO$70,41,FALSE),"")</f>
        <v>DRTB-2⁽ᴹ⁾ Number of people with confirmed RR-TB and/or MDR-TB notified</v>
      </c>
      <c r="D1399" s="605" t="str">
        <f>M1399</f>
        <v/>
      </c>
      <c r="E1399" s="605" t="str">
        <f>N1399</f>
        <v/>
      </c>
      <c r="F1399" s="131"/>
      <c r="G1399" s="607" t="str">
        <f ca="1">IF(OR(INDIRECT("'update Helper'!E"&amp;Q1399)="",F1399&lt;&gt;0,F1400&lt;&gt;0),IF(IFERROR((F1399/F1400),"")="","",(F1399/F1400)),INDIRECT("'update Helper'!E"&amp;Q1399)/100)</f>
        <v/>
      </c>
      <c r="H1399" s="597">
        <v>2022</v>
      </c>
      <c r="I1399" s="599" t="s">
        <v>2247</v>
      </c>
      <c r="J1399" s="531"/>
      <c r="K1399" s="130">
        <f>IF(AND(EXACT(C1399,C1397),C1397&lt;&gt;0),K1397+1,0)</f>
        <v>9</v>
      </c>
      <c r="L1399" s="130" t="str">
        <f t="shared" ref="L1399" si="1591">IF(C1399&lt;&gt;"",C1399&amp;"-"&amp;K1399,"")</f>
        <v>DRTB-2⁽ᴹ⁾ Number of people with confirmed RR-TB and/or MDR-TB notified-9</v>
      </c>
      <c r="M1399" s="130" t="str">
        <f t="array" ref="M1399">IFERROR(IF(INDEX('Disaggregation Records'!$E$152:$E$513,MATCH(RIGHT(L1399,255),RIGHT('Disaggregation Records'!$D$152:$D$513,255),0))="","",INDEX('Disaggregation Records'!$E$152:$E$513,MATCH(RIGHT(L1399,255),RIGHT('Disaggregation Records'!$D$152:$D$513,255),0))),"")</f>
        <v/>
      </c>
      <c r="N1399" s="130" t="str">
        <f t="array" ref="N1399">IFERROR(IF(INDEX('Disaggregation Records'!$F$152:$F$513,MATCH(RIGHT(L1399,255),RIGHT('Disaggregation Records'!$D$152:$D$513,255),0))="","",INDEX('Disaggregation Records'!$F$152:$F$513,MATCH(RIGHT(L1399,255),RIGHT('Disaggregation Records'!$D$152:$D$513,255),0))),"")</f>
        <v/>
      </c>
      <c r="O1399" s="130" t="str">
        <f t="array" ref="O1399">IFERROR(IF(INDEX('Disaggregation Records'!$H$152:$H$513,MATCH(RIGHT(L1399,255),RIGHT('Disaggregation Records'!$D$152:$D$513,255),0))="","",INDEX('Disaggregation Records'!$H$152:$H$513,MATCH(RIGHT(L1399,255),RIGHT('Disaggregation Records'!$D$152:$D$513,255),0))),"")</f>
        <v/>
      </c>
      <c r="Q1399" s="52">
        <f t="shared" ref="Q1399" si="1592">Q1397+1</f>
        <v>1884</v>
      </c>
    </row>
    <row r="1400" spans="1:17" ht="20.100000000000001" customHeight="1" x14ac:dyDescent="0.25">
      <c r="B1400" s="602"/>
      <c r="C1400" s="604"/>
      <c r="D1400" s="606"/>
      <c r="E1400" s="606"/>
      <c r="F1400" s="132"/>
      <c r="G1400" s="608"/>
      <c r="H1400" s="598"/>
      <c r="I1400" s="600"/>
      <c r="J1400" s="532"/>
      <c r="L1400" s="130"/>
      <c r="N1400" s="130"/>
      <c r="O1400" s="130"/>
    </row>
    <row r="1401" spans="1:17" ht="20.100000000000001" customHeight="1" x14ac:dyDescent="0.25">
      <c r="A1401" s="130" t="str">
        <f t="shared" ca="1" si="1583"/>
        <v>a16Dm000000LZfoIAG</v>
      </c>
      <c r="B1401" s="601">
        <v>20</v>
      </c>
      <c r="C1401" s="603" t="str">
        <f>IFERROR(VLOOKUP(B1401,'Coverage Indicators - Section D'!$A$9:$AO$70,41,FALSE),"")</f>
        <v>DRTB-2⁽ᴹ⁾ Number of people with confirmed RR-TB and/or MDR-TB notified</v>
      </c>
      <c r="D1401" s="605" t="str">
        <f>M1401</f>
        <v/>
      </c>
      <c r="E1401" s="605" t="str">
        <f>N1401</f>
        <v/>
      </c>
      <c r="F1401" s="131"/>
      <c r="G1401" s="607" t="str">
        <f ca="1">IF(OR(INDIRECT("'update Helper'!E"&amp;Q1401)="",F1401&lt;&gt;0,F1402&lt;&gt;0),IF(IFERROR((F1401/F1402),"")="","",(F1401/F1402)),INDIRECT("'update Helper'!E"&amp;Q1401)/100)</f>
        <v/>
      </c>
      <c r="H1401" s="597"/>
      <c r="I1401" s="599"/>
      <c r="J1401" s="531"/>
      <c r="K1401" s="130">
        <f>IF(AND(EXACT(C1401,C1399),C1399&lt;&gt;0),K1399+1,0)</f>
        <v>10</v>
      </c>
      <c r="L1401" s="130" t="str">
        <f t="shared" ref="L1401" si="1593">IF(C1401&lt;&gt;"",C1401&amp;"-"&amp;K1401,"")</f>
        <v>DRTB-2⁽ᴹ⁾ Number of people with confirmed RR-TB and/or MDR-TB notified-10</v>
      </c>
      <c r="M1401" s="130" t="str">
        <f t="array" ref="M1401">IFERROR(IF(INDEX('Disaggregation Records'!$E$152:$E$513,MATCH(RIGHT(L1401,255),RIGHT('Disaggregation Records'!$D$152:$D$513,255),0))="","",INDEX('Disaggregation Records'!$E$152:$E$513,MATCH(RIGHT(L1401,255),RIGHT('Disaggregation Records'!$D$152:$D$513,255),0))),"")</f>
        <v/>
      </c>
      <c r="N1401" s="130" t="str">
        <f t="array" ref="N1401">IFERROR(IF(INDEX('Disaggregation Records'!$F$152:$F$513,MATCH(RIGHT(L1401,255),RIGHT('Disaggregation Records'!$D$152:$D$513,255),0))="","",INDEX('Disaggregation Records'!$F$152:$F$513,MATCH(RIGHT(L1401,255),RIGHT('Disaggregation Records'!$D$152:$D$513,255),0))),"")</f>
        <v/>
      </c>
      <c r="O1401" s="130" t="str">
        <f t="array" ref="O1401">IFERROR(IF(INDEX('Disaggregation Records'!$H$152:$H$513,MATCH(RIGHT(L1401,255),RIGHT('Disaggregation Records'!$D$152:$D$513,255),0))="","",INDEX('Disaggregation Records'!$H$152:$H$513,MATCH(RIGHT(L1401,255),RIGHT('Disaggregation Records'!$D$152:$D$513,255),0))),"")</f>
        <v/>
      </c>
      <c r="P1401" s="130"/>
      <c r="Q1401" s="52">
        <f t="shared" ref="Q1401" si="1594">Q1399+1</f>
        <v>1885</v>
      </c>
    </row>
    <row r="1402" spans="1:17" ht="20.100000000000001" customHeight="1" x14ac:dyDescent="0.25">
      <c r="A1402" s="130"/>
      <c r="B1402" s="602"/>
      <c r="C1402" s="604"/>
      <c r="D1402" s="606"/>
      <c r="E1402" s="606"/>
      <c r="F1402" s="132"/>
      <c r="G1402" s="608"/>
      <c r="H1402" s="598"/>
      <c r="I1402" s="600"/>
      <c r="J1402" s="532"/>
      <c r="K1402" s="130"/>
      <c r="L1402" s="130"/>
      <c r="M1402" s="130"/>
      <c r="N1402" s="130"/>
      <c r="O1402" s="130"/>
      <c r="P1402" s="130"/>
    </row>
    <row r="1403" spans="1:17" ht="20.100000000000001" customHeight="1" x14ac:dyDescent="0.25">
      <c r="A1403" s="130" t="str">
        <f t="shared" ca="1" si="1586"/>
        <v>a16Dm000000LZfpIAG</v>
      </c>
      <c r="B1403" s="601">
        <v>20</v>
      </c>
      <c r="C1403" s="603" t="str">
        <f>IFERROR(VLOOKUP(B1403,'Coverage Indicators - Section D'!$A$9:$AO$70,41,FALSE),"")</f>
        <v>DRTB-2⁽ᴹ⁾ Number of people with confirmed RR-TB and/or MDR-TB notified</v>
      </c>
      <c r="D1403" s="605" t="str">
        <f>M1403</f>
        <v/>
      </c>
      <c r="E1403" s="605" t="str">
        <f>N1403</f>
        <v/>
      </c>
      <c r="F1403" s="131"/>
      <c r="G1403" s="607" t="str">
        <f ca="1">IF(OR(INDIRECT("'update Helper'!E"&amp;Q1403)="",F1403&lt;&gt;0,F1404&lt;&gt;0),IF(IFERROR((F1403/F1404),"")="","",(F1403/F1404)),INDIRECT("'update Helper'!E"&amp;Q1403)/100)</f>
        <v/>
      </c>
      <c r="H1403" s="597"/>
      <c r="I1403" s="599"/>
      <c r="J1403" s="531"/>
      <c r="K1403" s="130">
        <f>IF(AND(EXACT(C1403,C1401),C1401&lt;&gt;0),K1401+1,0)</f>
        <v>11</v>
      </c>
      <c r="L1403" s="130" t="str">
        <f t="shared" ref="L1403" si="1595">IF(C1403&lt;&gt;"",C1403&amp;"-"&amp;K1403,"")</f>
        <v>DRTB-2⁽ᴹ⁾ Number of people with confirmed RR-TB and/or MDR-TB notified-11</v>
      </c>
      <c r="M1403" s="130" t="str">
        <f t="array" ref="M1403">IFERROR(IF(INDEX('Disaggregation Records'!$E$152:$E$513,MATCH(RIGHT(L1403,255),RIGHT('Disaggregation Records'!$D$152:$D$513,255),0))="","",INDEX('Disaggregation Records'!$E$152:$E$513,MATCH(RIGHT(L1403,255),RIGHT('Disaggregation Records'!$D$152:$D$513,255),0))),"")</f>
        <v/>
      </c>
      <c r="N1403" s="130" t="str">
        <f t="array" ref="N1403">IFERROR(IF(INDEX('Disaggregation Records'!$F$152:$F$513,MATCH(RIGHT(L1403,255),RIGHT('Disaggregation Records'!$D$152:$D$513,255),0))="","",INDEX('Disaggregation Records'!$F$152:$F$513,MATCH(RIGHT(L1403,255),RIGHT('Disaggregation Records'!$D$152:$D$513,255),0))),"")</f>
        <v/>
      </c>
      <c r="O1403" s="130" t="str">
        <f t="array" ref="O1403">IFERROR(IF(INDEX('Disaggregation Records'!$H$152:$H$513,MATCH(RIGHT(L1403,255),RIGHT('Disaggregation Records'!$D$152:$D$513,255),0))="","",INDEX('Disaggregation Records'!$H$152:$H$513,MATCH(RIGHT(L1403,255),RIGHT('Disaggregation Records'!$D$152:$D$513,255),0))),"")</f>
        <v/>
      </c>
      <c r="P1403" s="130"/>
      <c r="Q1403" s="52">
        <f t="shared" ref="Q1403" si="1596">Q1401+1</f>
        <v>1886</v>
      </c>
    </row>
    <row r="1404" spans="1:17" ht="20.100000000000001" customHeight="1" x14ac:dyDescent="0.25">
      <c r="B1404" s="602"/>
      <c r="C1404" s="604"/>
      <c r="D1404" s="606"/>
      <c r="E1404" s="606"/>
      <c r="F1404" s="132"/>
      <c r="G1404" s="608"/>
      <c r="H1404" s="598"/>
      <c r="I1404" s="600"/>
      <c r="J1404" s="532"/>
      <c r="K1404" s="130"/>
      <c r="L1404" s="130"/>
      <c r="M1404" s="130"/>
      <c r="N1404" s="130"/>
      <c r="O1404" s="130"/>
      <c r="P1404" s="130"/>
    </row>
    <row r="1405" spans="1:17" ht="20.100000000000001" customHeight="1" x14ac:dyDescent="0.25">
      <c r="A1405" s="130" t="str">
        <f t="shared" ca="1" si="1583"/>
        <v>a16Dm000000LZfqIAG</v>
      </c>
      <c r="B1405" s="601">
        <v>20</v>
      </c>
      <c r="C1405" s="603" t="str">
        <f>IFERROR(VLOOKUP(B1405,'Coverage Indicators - Section D'!$A$9:$AO$70,41,FALSE),"")</f>
        <v>DRTB-2⁽ᴹ⁾ Number of people with confirmed RR-TB and/or MDR-TB notified</v>
      </c>
      <c r="D1405" s="605" t="str">
        <f>M1405</f>
        <v/>
      </c>
      <c r="E1405" s="605" t="str">
        <f>N1405</f>
        <v/>
      </c>
      <c r="F1405" s="131"/>
      <c r="G1405" s="607" t="str">
        <f ca="1">IF(OR(INDIRECT("'update Helper'!E"&amp;Q1405)="",F1405&lt;&gt;0,F1406&lt;&gt;0),IF(IFERROR((F1405/F1406),"")="","",(F1405/F1406)),INDIRECT("'update Helper'!E"&amp;Q1405)/100)</f>
        <v/>
      </c>
      <c r="H1405" s="597"/>
      <c r="I1405" s="599"/>
      <c r="J1405" s="531"/>
      <c r="K1405" s="130">
        <f>IF(AND(EXACT(C1405,C1403),C1403&lt;&gt;0),K1403+1,0)</f>
        <v>12</v>
      </c>
      <c r="L1405" s="130" t="str">
        <f t="shared" ref="L1405" si="1597">IF(C1405&lt;&gt;"",C1405&amp;"-"&amp;K1405,"")</f>
        <v>DRTB-2⁽ᴹ⁾ Number of people with confirmed RR-TB and/or MDR-TB notified-12</v>
      </c>
      <c r="M1405" s="130" t="str">
        <f t="array" ref="M1405">IFERROR(IF(INDEX('Disaggregation Records'!$E$152:$E$513,MATCH(RIGHT(L1405,255),RIGHT('Disaggregation Records'!$D$152:$D$513,255),0))="","",INDEX('Disaggregation Records'!$E$152:$E$513,MATCH(RIGHT(L1405,255),RIGHT('Disaggregation Records'!$D$152:$D$513,255),0))),"")</f>
        <v/>
      </c>
      <c r="N1405" s="130" t="str">
        <f t="array" ref="N1405">IFERROR(IF(INDEX('Disaggregation Records'!$F$152:$F$513,MATCH(RIGHT(L1405,255),RIGHT('Disaggregation Records'!$D$152:$D$513,255),0))="","",INDEX('Disaggregation Records'!$F$152:$F$513,MATCH(RIGHT(L1405,255),RIGHT('Disaggregation Records'!$D$152:$D$513,255),0))),"")</f>
        <v/>
      </c>
      <c r="O1405" s="130" t="str">
        <f t="array" ref="O1405">IFERROR(IF(INDEX('Disaggregation Records'!$H$152:$H$513,MATCH(RIGHT(L1405,255),RIGHT('Disaggregation Records'!$D$152:$D$513,255),0))="","",INDEX('Disaggregation Records'!$H$152:$H$513,MATCH(RIGHT(L1405,255),RIGHT('Disaggregation Records'!$D$152:$D$513,255),0))),"")</f>
        <v/>
      </c>
      <c r="Q1405" s="52">
        <f t="shared" ref="Q1405" si="1598">Q1403+1</f>
        <v>1887</v>
      </c>
    </row>
    <row r="1406" spans="1:17" ht="20.100000000000001" customHeight="1" x14ac:dyDescent="0.25">
      <c r="A1406" s="130"/>
      <c r="B1406" s="602"/>
      <c r="C1406" s="604"/>
      <c r="D1406" s="606"/>
      <c r="E1406" s="606"/>
      <c r="F1406" s="132"/>
      <c r="G1406" s="608"/>
      <c r="H1406" s="598"/>
      <c r="I1406" s="600"/>
      <c r="J1406" s="532"/>
      <c r="L1406" s="130"/>
      <c r="N1406" s="130"/>
      <c r="O1406" s="130"/>
    </row>
    <row r="1407" spans="1:17" ht="20.100000000000001" customHeight="1" x14ac:dyDescent="0.25">
      <c r="A1407" s="130" t="str">
        <f t="shared" ca="1" si="1586"/>
        <v>a16Dm000000LZfrIAG</v>
      </c>
      <c r="B1407" s="601">
        <v>20</v>
      </c>
      <c r="C1407" s="603" t="str">
        <f>IFERROR(VLOOKUP(B1407,'Coverage Indicators - Section D'!$A$9:$AO$70,41,FALSE),"")</f>
        <v>DRTB-2⁽ᴹ⁾ Number of people with confirmed RR-TB and/or MDR-TB notified</v>
      </c>
      <c r="D1407" s="605" t="str">
        <f>M1407</f>
        <v/>
      </c>
      <c r="E1407" s="605" t="str">
        <f>N1407</f>
        <v/>
      </c>
      <c r="F1407" s="131"/>
      <c r="G1407" s="607" t="str">
        <f ca="1">IF(OR(INDIRECT("'update Helper'!E"&amp;Q1407)="",F1407&lt;&gt;0,F1408&lt;&gt;0),IF(IFERROR((F1407/F1408),"")="","",(F1407/F1408)),INDIRECT("'update Helper'!E"&amp;Q1407)/100)</f>
        <v/>
      </c>
      <c r="H1407" s="597"/>
      <c r="I1407" s="599"/>
      <c r="J1407" s="531"/>
      <c r="K1407" s="130">
        <f>IF(AND(EXACT(C1407,C1405),C1405&lt;&gt;0),K1405+1,0)</f>
        <v>13</v>
      </c>
      <c r="L1407" s="130" t="str">
        <f t="shared" ref="L1407" si="1599">IF(C1407&lt;&gt;"",C1407&amp;"-"&amp;K1407,"")</f>
        <v>DRTB-2⁽ᴹ⁾ Number of people with confirmed RR-TB and/or MDR-TB notified-13</v>
      </c>
      <c r="M1407" s="130" t="str">
        <f t="array" ref="M1407">IFERROR(IF(INDEX('Disaggregation Records'!$E$152:$E$513,MATCH(RIGHT(L1407,255),RIGHT('Disaggregation Records'!$D$152:$D$513,255),0))="","",INDEX('Disaggregation Records'!$E$152:$E$513,MATCH(RIGHT(L1407,255),RIGHT('Disaggregation Records'!$D$152:$D$513,255),0))),"")</f>
        <v/>
      </c>
      <c r="N1407" s="130" t="str">
        <f t="array" ref="N1407">IFERROR(IF(INDEX('Disaggregation Records'!$F$152:$F$513,MATCH(RIGHT(L1407,255),RIGHT('Disaggregation Records'!$D$152:$D$513,255),0))="","",INDEX('Disaggregation Records'!$F$152:$F$513,MATCH(RIGHT(L1407,255),RIGHT('Disaggregation Records'!$D$152:$D$513,255),0))),"")</f>
        <v/>
      </c>
      <c r="O1407" s="130" t="str">
        <f t="array" ref="O1407">IFERROR(IF(INDEX('Disaggregation Records'!$H$152:$H$513,MATCH(RIGHT(L1407,255),RIGHT('Disaggregation Records'!$D$152:$D$513,255),0))="","",INDEX('Disaggregation Records'!$H$152:$H$513,MATCH(RIGHT(L1407,255),RIGHT('Disaggregation Records'!$D$152:$D$513,255),0))),"")</f>
        <v/>
      </c>
      <c r="Q1407" s="52">
        <f t="shared" ref="Q1407" si="1600">Q1405+1</f>
        <v>1888</v>
      </c>
    </row>
    <row r="1408" spans="1:17" ht="20.100000000000001" customHeight="1" x14ac:dyDescent="0.25">
      <c r="B1408" s="602"/>
      <c r="C1408" s="604"/>
      <c r="D1408" s="606"/>
      <c r="E1408" s="606"/>
      <c r="F1408" s="132"/>
      <c r="G1408" s="608"/>
      <c r="H1408" s="598"/>
      <c r="I1408" s="600"/>
      <c r="J1408" s="532"/>
      <c r="L1408" s="130"/>
      <c r="N1408" s="130"/>
      <c r="O1408" s="130"/>
    </row>
    <row r="1409" spans="1:17" ht="20.100000000000001" customHeight="1" x14ac:dyDescent="0.25">
      <c r="A1409" s="130" t="str">
        <f t="shared" ca="1" si="1583"/>
        <v>a16Dm000000LZfsIAG</v>
      </c>
      <c r="B1409" s="601">
        <v>20</v>
      </c>
      <c r="C1409" s="603" t="str">
        <f>IFERROR(VLOOKUP(B1409,'Coverage Indicators - Section D'!$A$9:$AO$70,41,FALSE),"")</f>
        <v>DRTB-2⁽ᴹ⁾ Number of people with confirmed RR-TB and/or MDR-TB notified</v>
      </c>
      <c r="D1409" s="605" t="str">
        <f>M1409</f>
        <v/>
      </c>
      <c r="E1409" s="605" t="str">
        <f>N1409</f>
        <v/>
      </c>
      <c r="F1409" s="131"/>
      <c r="G1409" s="607" t="str">
        <f ca="1">IF(OR(INDIRECT("'update Helper'!E"&amp;Q1409)="",F1409&lt;&gt;0,F1410&lt;&gt;0),IF(IFERROR((F1409/F1410),"")="","",(F1409/F1410)),INDIRECT("'update Helper'!E"&amp;Q1409)/100)</f>
        <v/>
      </c>
      <c r="H1409" s="597"/>
      <c r="I1409" s="599"/>
      <c r="J1409" s="531"/>
      <c r="K1409" s="130">
        <f>IF(AND(EXACT(C1409,C1407),C1407&lt;&gt;0),K1407+1,0)</f>
        <v>14</v>
      </c>
      <c r="L1409" s="130" t="str">
        <f t="shared" ref="L1409" si="1601">IF(C1409&lt;&gt;"",C1409&amp;"-"&amp;K1409,"")</f>
        <v>DRTB-2⁽ᴹ⁾ Number of people with confirmed RR-TB and/or MDR-TB notified-14</v>
      </c>
      <c r="M1409" s="130" t="str">
        <f t="array" ref="M1409">IFERROR(IF(INDEX('Disaggregation Records'!$E$152:$E$513,MATCH(RIGHT(L1409,255),RIGHT('Disaggregation Records'!$D$152:$D$513,255),0))="","",INDEX('Disaggregation Records'!$E$152:$E$513,MATCH(RIGHT(L1409,255),RIGHT('Disaggregation Records'!$D$152:$D$513,255),0))),"")</f>
        <v/>
      </c>
      <c r="N1409" s="130" t="str">
        <f t="array" ref="N1409">IFERROR(IF(INDEX('Disaggregation Records'!$F$152:$F$513,MATCH(RIGHT(L1409,255),RIGHT('Disaggregation Records'!$D$152:$D$513,255),0))="","",INDEX('Disaggregation Records'!$F$152:$F$513,MATCH(RIGHT(L1409,255),RIGHT('Disaggregation Records'!$D$152:$D$513,255),0))),"")</f>
        <v/>
      </c>
      <c r="O1409" s="130" t="str">
        <f t="array" ref="O1409">IFERROR(IF(INDEX('Disaggregation Records'!$H$152:$H$513,MATCH(RIGHT(L1409,255),RIGHT('Disaggregation Records'!$D$152:$D$513,255),0))="","",INDEX('Disaggregation Records'!$H$152:$H$513,MATCH(RIGHT(L1409,255),RIGHT('Disaggregation Records'!$D$152:$D$513,255),0))),"")</f>
        <v/>
      </c>
      <c r="Q1409" s="52">
        <f t="shared" ref="Q1409" si="1602">Q1407+1</f>
        <v>1889</v>
      </c>
    </row>
    <row r="1410" spans="1:17" ht="20.100000000000001" customHeight="1" x14ac:dyDescent="0.25">
      <c r="A1410" s="130"/>
      <c r="B1410" s="602"/>
      <c r="C1410" s="604"/>
      <c r="D1410" s="606"/>
      <c r="E1410" s="606"/>
      <c r="F1410" s="132"/>
      <c r="G1410" s="608"/>
      <c r="H1410" s="598"/>
      <c r="I1410" s="600"/>
      <c r="J1410" s="532"/>
      <c r="L1410" s="130"/>
      <c r="N1410" s="130"/>
      <c r="O1410" s="130"/>
    </row>
    <row r="1411" spans="1:17" ht="20.100000000000001" customHeight="1" x14ac:dyDescent="0.25">
      <c r="A1411" s="130" t="str">
        <f t="shared" ca="1" si="1586"/>
        <v>a16Dm000000LZftIAG</v>
      </c>
      <c r="B1411" s="601">
        <v>20</v>
      </c>
      <c r="C1411" s="603" t="str">
        <f>IFERROR(VLOOKUP(B1411,'Coverage Indicators - Section D'!$A$9:$AO$70,41,FALSE),"")</f>
        <v>DRTB-2⁽ᴹ⁾ Number of people with confirmed RR-TB and/or MDR-TB notified</v>
      </c>
      <c r="D1411" s="605" t="str">
        <f>M1411</f>
        <v/>
      </c>
      <c r="E1411" s="605" t="str">
        <f>N1411</f>
        <v/>
      </c>
      <c r="F1411" s="131"/>
      <c r="G1411" s="607" t="str">
        <f ca="1">IF(OR(INDIRECT("'update Helper'!E"&amp;Q1411)="",F1411&lt;&gt;0,F1412&lt;&gt;0),IF(IFERROR((F1411/F1412),"")="","",(F1411/F1412)),INDIRECT("'update Helper'!E"&amp;Q1411)/100)</f>
        <v/>
      </c>
      <c r="H1411" s="597"/>
      <c r="I1411" s="599"/>
      <c r="J1411" s="531"/>
      <c r="K1411" s="130">
        <f>IF(AND(EXACT(C1411,C1409),C1409&lt;&gt;0),K1409+1,0)</f>
        <v>15</v>
      </c>
      <c r="L1411" s="130" t="str">
        <f t="shared" ref="L1411" si="1603">IF(C1411&lt;&gt;"",C1411&amp;"-"&amp;K1411,"")</f>
        <v>DRTB-2⁽ᴹ⁾ Number of people with confirmed RR-TB and/or MDR-TB notified-15</v>
      </c>
      <c r="M1411" s="130" t="str">
        <f t="array" ref="M1411">IFERROR(IF(INDEX('Disaggregation Records'!$E$152:$E$513,MATCH(RIGHT(L1411,255),RIGHT('Disaggregation Records'!$D$152:$D$513,255),0))="","",INDEX('Disaggregation Records'!$E$152:$E$513,MATCH(RIGHT(L1411,255),RIGHT('Disaggregation Records'!$D$152:$D$513,255),0))),"")</f>
        <v/>
      </c>
      <c r="N1411" s="130" t="str">
        <f t="array" ref="N1411">IFERROR(IF(INDEX('Disaggregation Records'!$F$152:$F$513,MATCH(RIGHT(L1411,255),RIGHT('Disaggregation Records'!$D$152:$D$513,255),0))="","",INDEX('Disaggregation Records'!$F$152:$F$513,MATCH(RIGHT(L1411,255),RIGHT('Disaggregation Records'!$D$152:$D$513,255),0))),"")</f>
        <v/>
      </c>
      <c r="O1411" s="130" t="str">
        <f t="array" ref="O1411">IFERROR(IF(INDEX('Disaggregation Records'!$H$152:$H$513,MATCH(RIGHT(L1411,255),RIGHT('Disaggregation Records'!$D$152:$D$513,255),0))="","",INDEX('Disaggregation Records'!$H$152:$H$513,MATCH(RIGHT(L1411,255),RIGHT('Disaggregation Records'!$D$152:$D$513,255),0))),"")</f>
        <v/>
      </c>
      <c r="P1411" s="130"/>
      <c r="Q1411" s="52">
        <f t="shared" ref="Q1411" si="1604">Q1409+1</f>
        <v>1890</v>
      </c>
    </row>
    <row r="1412" spans="1:17" ht="20.100000000000001" customHeight="1" x14ac:dyDescent="0.25">
      <c r="B1412" s="602"/>
      <c r="C1412" s="604"/>
      <c r="D1412" s="606"/>
      <c r="E1412" s="606"/>
      <c r="F1412" s="132"/>
      <c r="G1412" s="608"/>
      <c r="H1412" s="598"/>
      <c r="I1412" s="600"/>
      <c r="J1412" s="532"/>
      <c r="K1412" s="130"/>
      <c r="L1412" s="130"/>
      <c r="M1412" s="130"/>
      <c r="N1412" s="130"/>
      <c r="O1412" s="130"/>
      <c r="P1412" s="130"/>
    </row>
    <row r="1413" spans="1:17" ht="20.100000000000001" customHeight="1" x14ac:dyDescent="0.25">
      <c r="A1413" s="130" t="str">
        <f t="shared" ca="1" si="1583"/>
        <v>a16Dm000000LZfuIAG</v>
      </c>
      <c r="B1413" s="601">
        <v>20</v>
      </c>
      <c r="C1413" s="603" t="str">
        <f>IFERROR(VLOOKUP(B1413,'Coverage Indicators - Section D'!$A$9:$AO$70,41,FALSE),"")</f>
        <v>DRTB-2⁽ᴹ⁾ Number of people with confirmed RR-TB and/or MDR-TB notified</v>
      </c>
      <c r="D1413" s="605" t="str">
        <f>M1413</f>
        <v/>
      </c>
      <c r="E1413" s="605" t="str">
        <f>N1413</f>
        <v/>
      </c>
      <c r="F1413" s="131"/>
      <c r="G1413" s="607" t="str">
        <f ca="1">IF(OR(INDIRECT("'update Helper'!E"&amp;Q1413)="",F1413&lt;&gt;0,F1414&lt;&gt;0),IF(IFERROR((F1413/F1414),"")="","",(F1413/F1414)),INDIRECT("'update Helper'!E"&amp;Q1413)/100)</f>
        <v/>
      </c>
      <c r="H1413" s="597"/>
      <c r="I1413" s="599"/>
      <c r="J1413" s="531"/>
      <c r="K1413" s="130">
        <f>IF(AND(EXACT(C1413,C1411),C1411&lt;&gt;0),K1411+1,0)</f>
        <v>16</v>
      </c>
      <c r="L1413" s="130" t="str">
        <f t="shared" ref="L1413" si="1605">IF(C1413&lt;&gt;"",C1413&amp;"-"&amp;K1413,"")</f>
        <v>DRTB-2⁽ᴹ⁾ Number of people with confirmed RR-TB and/or MDR-TB notified-16</v>
      </c>
      <c r="M1413" s="130" t="str">
        <f t="array" ref="M1413">IFERROR(IF(INDEX('Disaggregation Records'!$E$152:$E$513,MATCH(RIGHT(L1413,255),RIGHT('Disaggregation Records'!$D$152:$D$513,255),0))="","",INDEX('Disaggregation Records'!$E$152:$E$513,MATCH(RIGHT(L1413,255),RIGHT('Disaggregation Records'!$D$152:$D$513,255),0))),"")</f>
        <v/>
      </c>
      <c r="N1413" s="130" t="str">
        <f t="array" ref="N1413">IFERROR(IF(INDEX('Disaggregation Records'!$F$152:$F$513,MATCH(RIGHT(L1413,255),RIGHT('Disaggregation Records'!$D$152:$D$513,255),0))="","",INDEX('Disaggregation Records'!$F$152:$F$513,MATCH(RIGHT(L1413,255),RIGHT('Disaggregation Records'!$D$152:$D$513,255),0))),"")</f>
        <v/>
      </c>
      <c r="O1413" s="130" t="str">
        <f t="array" ref="O1413">IFERROR(IF(INDEX('Disaggregation Records'!$H$152:$H$513,MATCH(RIGHT(L1413,255),RIGHT('Disaggregation Records'!$D$152:$D$513,255),0))="","",INDEX('Disaggregation Records'!$H$152:$H$513,MATCH(RIGHT(L1413,255),RIGHT('Disaggregation Records'!$D$152:$D$513,255),0))),"")</f>
        <v/>
      </c>
      <c r="P1413" s="130"/>
      <c r="Q1413" s="52">
        <f t="shared" ref="Q1413" si="1606">Q1411+1</f>
        <v>1891</v>
      </c>
    </row>
    <row r="1414" spans="1:17" ht="20.100000000000001" customHeight="1" x14ac:dyDescent="0.25">
      <c r="A1414" s="130"/>
      <c r="B1414" s="602"/>
      <c r="C1414" s="604"/>
      <c r="D1414" s="606"/>
      <c r="E1414" s="606"/>
      <c r="F1414" s="132"/>
      <c r="G1414" s="608"/>
      <c r="H1414" s="598"/>
      <c r="I1414" s="600"/>
      <c r="J1414" s="532"/>
      <c r="K1414" s="130"/>
      <c r="L1414" s="130"/>
      <c r="M1414" s="130"/>
      <c r="N1414" s="130"/>
      <c r="O1414" s="130"/>
      <c r="P1414" s="130"/>
    </row>
    <row r="1415" spans="1:17" ht="20.100000000000001" customHeight="1" x14ac:dyDescent="0.25">
      <c r="A1415" s="130" t="str">
        <f t="shared" ca="1" si="1586"/>
        <v>a16Dm000000LZfvIAG</v>
      </c>
      <c r="B1415" s="601">
        <v>20</v>
      </c>
      <c r="C1415" s="603" t="str">
        <f>IFERROR(VLOOKUP(B1415,'Coverage Indicators - Section D'!$A$9:$AO$70,41,FALSE),"")</f>
        <v>DRTB-2⁽ᴹ⁾ Number of people with confirmed RR-TB and/or MDR-TB notified</v>
      </c>
      <c r="D1415" s="605" t="str">
        <f>M1415</f>
        <v/>
      </c>
      <c r="E1415" s="605" t="str">
        <f>N1415</f>
        <v/>
      </c>
      <c r="F1415" s="131"/>
      <c r="G1415" s="607" t="str">
        <f ca="1">IF(OR(INDIRECT("'update Helper'!E"&amp;Q1415)="",F1415&lt;&gt;0,F1416&lt;&gt;0),IF(IFERROR((F1415/F1416),"")="","",(F1415/F1416)),INDIRECT("'update Helper'!E"&amp;Q1415)/100)</f>
        <v/>
      </c>
      <c r="H1415" s="597"/>
      <c r="I1415" s="599"/>
      <c r="J1415" s="531"/>
      <c r="K1415" s="130">
        <f>IF(AND(EXACT(C1415,C1413),C1413&lt;&gt;0),K1413+1,0)</f>
        <v>17</v>
      </c>
      <c r="L1415" s="130" t="str">
        <f t="shared" ref="L1415" si="1607">IF(C1415&lt;&gt;"",C1415&amp;"-"&amp;K1415,"")</f>
        <v>DRTB-2⁽ᴹ⁾ Number of people with confirmed RR-TB and/or MDR-TB notified-17</v>
      </c>
      <c r="M1415" s="130" t="str">
        <f t="array" ref="M1415">IFERROR(IF(INDEX('Disaggregation Records'!$E$152:$E$513,MATCH(RIGHT(L1415,255),RIGHT('Disaggregation Records'!$D$152:$D$513,255),0))="","",INDEX('Disaggregation Records'!$E$152:$E$513,MATCH(RIGHT(L1415,255),RIGHT('Disaggregation Records'!$D$152:$D$513,255),0))),"")</f>
        <v/>
      </c>
      <c r="N1415" s="130" t="str">
        <f t="array" ref="N1415">IFERROR(IF(INDEX('Disaggregation Records'!$F$152:$F$513,MATCH(RIGHT(L1415,255),RIGHT('Disaggregation Records'!$D$152:$D$513,255),0))="","",INDEX('Disaggregation Records'!$F$152:$F$513,MATCH(RIGHT(L1415,255),RIGHT('Disaggregation Records'!$D$152:$D$513,255),0))),"")</f>
        <v/>
      </c>
      <c r="O1415" s="130" t="str">
        <f t="array" ref="O1415">IFERROR(IF(INDEX('Disaggregation Records'!$H$152:$H$513,MATCH(RIGHT(L1415,255),RIGHT('Disaggregation Records'!$D$152:$D$513,255),0))="","",INDEX('Disaggregation Records'!$H$152:$H$513,MATCH(RIGHT(L1415,255),RIGHT('Disaggregation Records'!$D$152:$D$513,255),0))),"")</f>
        <v/>
      </c>
      <c r="Q1415" s="52">
        <f t="shared" ref="Q1415" si="1608">Q1413+1</f>
        <v>1892</v>
      </c>
    </row>
    <row r="1416" spans="1:17" ht="20.100000000000001" customHeight="1" x14ac:dyDescent="0.25">
      <c r="B1416" s="602"/>
      <c r="C1416" s="604"/>
      <c r="D1416" s="606"/>
      <c r="E1416" s="606"/>
      <c r="F1416" s="132"/>
      <c r="G1416" s="608"/>
      <c r="H1416" s="598"/>
      <c r="I1416" s="600"/>
      <c r="J1416" s="532"/>
      <c r="L1416" s="130"/>
      <c r="N1416" s="130"/>
      <c r="O1416" s="130"/>
    </row>
    <row r="1417" spans="1:17" ht="20.100000000000001" customHeight="1" x14ac:dyDescent="0.25">
      <c r="A1417" s="130" t="str">
        <f t="shared" ca="1" si="1583"/>
        <v>a16Dm000000LZfwIAG</v>
      </c>
      <c r="B1417" s="601">
        <v>20</v>
      </c>
      <c r="C1417" s="603" t="str">
        <f>IFERROR(VLOOKUP(B1417,'Coverage Indicators - Section D'!$A$9:$AO$70,41,FALSE),"")</f>
        <v>DRTB-2⁽ᴹ⁾ Number of people with confirmed RR-TB and/or MDR-TB notified</v>
      </c>
      <c r="D1417" s="605" t="str">
        <f>M1417</f>
        <v/>
      </c>
      <c r="E1417" s="605" t="str">
        <f>N1417</f>
        <v/>
      </c>
      <c r="F1417" s="131"/>
      <c r="G1417" s="607" t="str">
        <f ca="1">IF(OR(INDIRECT("'update Helper'!E"&amp;Q1417)="",F1417&lt;&gt;0,F1418&lt;&gt;0),IF(IFERROR((F1417/F1418),"")="","",(F1417/F1418)),INDIRECT("'update Helper'!E"&amp;Q1417)/100)</f>
        <v/>
      </c>
      <c r="H1417" s="597"/>
      <c r="I1417" s="599"/>
      <c r="J1417" s="531"/>
      <c r="K1417" s="130">
        <f>IF(AND(EXACT(C1417,C1415),C1415&lt;&gt;0),K1415+1,0)</f>
        <v>18</v>
      </c>
      <c r="L1417" s="130" t="str">
        <f t="shared" ref="L1417" si="1609">IF(C1417&lt;&gt;"",C1417&amp;"-"&amp;K1417,"")</f>
        <v>DRTB-2⁽ᴹ⁾ Number of people with confirmed RR-TB and/or MDR-TB notified-18</v>
      </c>
      <c r="M1417" s="130" t="str">
        <f t="array" ref="M1417">IFERROR(IF(INDEX('Disaggregation Records'!$E$152:$E$513,MATCH(RIGHT(L1417,255),RIGHT('Disaggregation Records'!$D$152:$D$513,255),0))="","",INDEX('Disaggregation Records'!$E$152:$E$513,MATCH(RIGHT(L1417,255),RIGHT('Disaggregation Records'!$D$152:$D$513,255),0))),"")</f>
        <v/>
      </c>
      <c r="N1417" s="130" t="str">
        <f t="array" ref="N1417">IFERROR(IF(INDEX('Disaggregation Records'!$F$152:$F$513,MATCH(RIGHT(L1417,255),RIGHT('Disaggregation Records'!$D$152:$D$513,255),0))="","",INDEX('Disaggregation Records'!$F$152:$F$513,MATCH(RIGHT(L1417,255),RIGHT('Disaggregation Records'!$D$152:$D$513,255),0))),"")</f>
        <v/>
      </c>
      <c r="O1417" s="130" t="str">
        <f t="array" ref="O1417">IFERROR(IF(INDEX('Disaggregation Records'!$H$152:$H$513,MATCH(RIGHT(L1417,255),RIGHT('Disaggregation Records'!$D$152:$D$513,255),0))="","",INDEX('Disaggregation Records'!$H$152:$H$513,MATCH(RIGHT(L1417,255),RIGHT('Disaggregation Records'!$D$152:$D$513,255),0))),"")</f>
        <v/>
      </c>
      <c r="Q1417" s="52">
        <f t="shared" ref="Q1417" si="1610">Q1415+1</f>
        <v>1893</v>
      </c>
    </row>
    <row r="1418" spans="1:17" ht="20.100000000000001" customHeight="1" x14ac:dyDescent="0.25">
      <c r="A1418" s="130"/>
      <c r="B1418" s="602"/>
      <c r="C1418" s="604"/>
      <c r="D1418" s="606"/>
      <c r="E1418" s="606"/>
      <c r="F1418" s="132"/>
      <c r="G1418" s="608"/>
      <c r="H1418" s="598"/>
      <c r="I1418" s="600"/>
      <c r="J1418" s="532"/>
      <c r="L1418" s="130"/>
      <c r="N1418" s="130"/>
      <c r="O1418" s="130"/>
    </row>
    <row r="1419" spans="1:17" ht="20.100000000000001" customHeight="1" x14ac:dyDescent="0.25">
      <c r="A1419" s="130" t="str">
        <f t="shared" ca="1" si="1586"/>
        <v>a16Dm000000LZfxIAG</v>
      </c>
      <c r="B1419" s="601">
        <v>20</v>
      </c>
      <c r="C1419" s="603" t="str">
        <f>IFERROR(VLOOKUP(B1419,'Coverage Indicators - Section D'!$A$9:$AO$70,41,FALSE),"")</f>
        <v>DRTB-2⁽ᴹ⁾ Number of people with confirmed RR-TB and/or MDR-TB notified</v>
      </c>
      <c r="D1419" s="605" t="str">
        <f>M1419</f>
        <v/>
      </c>
      <c r="E1419" s="605" t="str">
        <f>N1419</f>
        <v/>
      </c>
      <c r="F1419" s="131"/>
      <c r="G1419" s="607" t="str">
        <f ca="1">IF(OR(INDIRECT("'update Helper'!E"&amp;Q1419)="",F1419&lt;&gt;0,F1420&lt;&gt;0),IF(IFERROR((F1419/F1420),"")="","",(F1419/F1420)),INDIRECT("'update Helper'!E"&amp;Q1419)/100)</f>
        <v/>
      </c>
      <c r="H1419" s="597"/>
      <c r="I1419" s="599"/>
      <c r="J1419" s="531"/>
      <c r="K1419" s="130">
        <f>IF(AND(EXACT(C1419,C1417),C1417&lt;&gt;0),K1417+1,0)</f>
        <v>19</v>
      </c>
      <c r="L1419" s="130" t="str">
        <f t="shared" ref="L1419" si="1611">IF(C1419&lt;&gt;"",C1419&amp;"-"&amp;K1419,"")</f>
        <v>DRTB-2⁽ᴹ⁾ Number of people with confirmed RR-TB and/or MDR-TB notified-19</v>
      </c>
      <c r="M1419" s="130" t="str">
        <f t="array" ref="M1419">IFERROR(IF(INDEX('Disaggregation Records'!$E$152:$E$513,MATCH(RIGHT(L1419,255),RIGHT('Disaggregation Records'!$D$152:$D$513,255),0))="","",INDEX('Disaggregation Records'!$E$152:$E$513,MATCH(RIGHT(L1419,255),RIGHT('Disaggregation Records'!$D$152:$D$513,255),0))),"")</f>
        <v/>
      </c>
      <c r="N1419" s="130" t="str">
        <f t="array" ref="N1419">IFERROR(IF(INDEX('Disaggregation Records'!$F$152:$F$513,MATCH(RIGHT(L1419,255),RIGHT('Disaggregation Records'!$D$152:$D$513,255),0))="","",INDEX('Disaggregation Records'!$F$152:$F$513,MATCH(RIGHT(L1419,255),RIGHT('Disaggregation Records'!$D$152:$D$513,255),0))),"")</f>
        <v/>
      </c>
      <c r="O1419" s="130" t="str">
        <f t="array" ref="O1419">IFERROR(IF(INDEX('Disaggregation Records'!$H$152:$H$513,MATCH(RIGHT(L1419,255),RIGHT('Disaggregation Records'!$D$152:$D$513,255),0))="","",INDEX('Disaggregation Records'!$H$152:$H$513,MATCH(RIGHT(L1419,255),RIGHT('Disaggregation Records'!$D$152:$D$513,255),0))),"")</f>
        <v/>
      </c>
      <c r="Q1419" s="52">
        <f t="shared" ref="Q1419" si="1612">Q1417+1</f>
        <v>1894</v>
      </c>
    </row>
    <row r="1420" spans="1:17" ht="20.100000000000001" customHeight="1" x14ac:dyDescent="0.25">
      <c r="B1420" s="602"/>
      <c r="C1420" s="604"/>
      <c r="D1420" s="606"/>
      <c r="E1420" s="606"/>
      <c r="F1420" s="132"/>
      <c r="G1420" s="608"/>
      <c r="H1420" s="598"/>
      <c r="I1420" s="600"/>
      <c r="J1420" s="532"/>
      <c r="L1420" s="130"/>
      <c r="N1420" s="130"/>
      <c r="O1420" s="130"/>
    </row>
    <row r="1421" spans="1:17" ht="20.100000000000001" customHeight="1" x14ac:dyDescent="0.25">
      <c r="A1421" s="130" t="str">
        <f t="shared" ca="1" si="1583"/>
        <v>a16Dm000000LZfyIAG</v>
      </c>
      <c r="B1421" s="601">
        <v>21</v>
      </c>
      <c r="C1421" s="603" t="str">
        <f>IFERROR(VLOOKUP(B1421,'Coverage Indicators - Section D'!$A$9:$AO$70,41,FALSE),"")</f>
        <v>DRTB-3⁽ᴹ⁾ Percentage of people with confirmed RR-TB and/or MDR-TB that began second-line treatment</v>
      </c>
      <c r="D1421" s="605" t="str">
        <f>M1421</f>
        <v>Age</v>
      </c>
      <c r="E1421" s="605" t="str">
        <f>N1421</f>
        <v>15+</v>
      </c>
      <c r="F1421" s="131"/>
      <c r="G1421" s="607" t="str">
        <f ca="1">IF(OR(INDIRECT("'update Helper'!E"&amp;Q1421)="",F1421&lt;&gt;0,F1422&lt;&gt;0),IF(IFERROR((F1421/F1422),"")="","",(F1421/F1422)),INDIRECT("'update Helper'!E"&amp;Q1421)/100)</f>
        <v/>
      </c>
      <c r="H1421" s="597"/>
      <c r="I1421" s="599"/>
      <c r="J1421" s="531"/>
      <c r="K1421" s="130">
        <f>IF(AND(EXACT(C1421,C1419),C1419&lt;&gt;0),K1419+1,0)</f>
        <v>0</v>
      </c>
      <c r="L1421" s="130" t="str">
        <f t="shared" ref="L1421" si="1613">IF(C1421&lt;&gt;"",C1421&amp;"-"&amp;K1421,"")</f>
        <v>DRTB-3⁽ᴹ⁾ Percentage of people with confirmed RR-TB and/or MDR-TB that began second-line treatment-0</v>
      </c>
      <c r="M1421" s="130" t="str">
        <f t="array" ref="M1421">IFERROR(IF(INDEX('Disaggregation Records'!$E$152:$E$513,MATCH(RIGHT(L1421,255),RIGHT('Disaggregation Records'!$D$152:$D$513,255),0))="","",INDEX('Disaggregation Records'!$E$152:$E$513,MATCH(RIGHT(L1421,255),RIGHT('Disaggregation Records'!$D$152:$D$513,255),0))),"")</f>
        <v>Age</v>
      </c>
      <c r="N1421" s="130" t="str">
        <f t="array" ref="N1421">IFERROR(IF(INDEX('Disaggregation Records'!$F$152:$F$513,MATCH(RIGHT(L1421,255),RIGHT('Disaggregation Records'!$D$152:$D$513,255),0))="","",INDEX('Disaggregation Records'!$F$152:$F$513,MATCH(RIGHT(L1421,255),RIGHT('Disaggregation Records'!$D$152:$D$513,255),0))),"")</f>
        <v>15+</v>
      </c>
      <c r="O1421" s="130" t="str">
        <f t="array" ref="O1421">IFERROR(IF(INDEX('Disaggregation Records'!$H$152:$H$513,MATCH(RIGHT(L1421,255),RIGHT('Disaggregation Records'!$D$152:$D$513,255),0))="","",INDEX('Disaggregation Records'!$H$152:$H$513,MATCH(RIGHT(L1421,255),RIGHT('Disaggregation Records'!$D$152:$D$513,255),0))),"")</f>
        <v>IDR-01384</v>
      </c>
      <c r="P1421" s="130"/>
      <c r="Q1421" s="52">
        <f t="shared" ref="Q1421" si="1614">Q1419+1</f>
        <v>1895</v>
      </c>
    </row>
    <row r="1422" spans="1:17" ht="20.100000000000001" customHeight="1" x14ac:dyDescent="0.25">
      <c r="A1422" s="130"/>
      <c r="B1422" s="602"/>
      <c r="C1422" s="604"/>
      <c r="D1422" s="606"/>
      <c r="E1422" s="606"/>
      <c r="F1422" s="132"/>
      <c r="G1422" s="608"/>
      <c r="H1422" s="598"/>
      <c r="I1422" s="600"/>
      <c r="J1422" s="532"/>
      <c r="K1422" s="130"/>
      <c r="L1422" s="130"/>
      <c r="M1422" s="130"/>
      <c r="N1422" s="130"/>
      <c r="O1422" s="130"/>
      <c r="P1422" s="130"/>
    </row>
    <row r="1423" spans="1:17" ht="20.100000000000001" customHeight="1" x14ac:dyDescent="0.25">
      <c r="A1423" s="130" t="str">
        <f t="shared" ca="1" si="1586"/>
        <v>a16Dm000000LZfzIAG</v>
      </c>
      <c r="B1423" s="601">
        <v>21</v>
      </c>
      <c r="C1423" s="603" t="str">
        <f>IFERROR(VLOOKUP(B1423,'Coverage Indicators - Section D'!$A$9:$AO$70,T41,FALSE),"")</f>
        <v/>
      </c>
      <c r="D1423" s="605" t="str">
        <f>M1423</f>
        <v/>
      </c>
      <c r="E1423" s="605" t="str">
        <f>N1423</f>
        <v/>
      </c>
      <c r="F1423" s="131"/>
      <c r="G1423" s="607" t="str">
        <f ca="1">IF(OR(INDIRECT("'update Helper'!E"&amp;Q1423)="",F1423&lt;&gt;0,F1424&lt;&gt;0),IF(IFERROR((F1423/F1424),"")="","",(F1423/F1424)),INDIRECT("'update Helper'!E"&amp;Q1423)/100)</f>
        <v/>
      </c>
      <c r="H1423" s="597"/>
      <c r="I1423" s="599"/>
      <c r="J1423" s="531"/>
      <c r="K1423" s="130">
        <f>IF(AND(EXACT(C1423,C1421),C1421&lt;&gt;0),K1421+1,0)</f>
        <v>0</v>
      </c>
      <c r="L1423" s="130" t="str">
        <f t="shared" ref="L1423" si="1615">IF(C1423&lt;&gt;"",C1423&amp;"-"&amp;K1423,"")</f>
        <v/>
      </c>
      <c r="M1423" s="130" t="str">
        <f t="array" ref="M1423">IFERROR(IF(INDEX('Disaggregation Records'!$E$152:$E$513,MATCH(RIGHT(L1423,255),RIGHT('Disaggregation Records'!$D$152:$D$513,255),0))="","",INDEX('Disaggregation Records'!$E$152:$E$513,MATCH(RIGHT(L1423,255),RIGHT('Disaggregation Records'!$D$152:$D$513,255),0))),"")</f>
        <v/>
      </c>
      <c r="N1423" s="130" t="str">
        <f t="array" ref="N1423">IFERROR(IF(INDEX('Disaggregation Records'!$F$152:$F$513,MATCH(RIGHT(L1423,255),RIGHT('Disaggregation Records'!$D$152:$D$513,255),0))="","",INDEX('Disaggregation Records'!$F$152:$F$513,MATCH(RIGHT(L1423,255),RIGHT('Disaggregation Records'!$D$152:$D$513,255),0))),"")</f>
        <v/>
      </c>
      <c r="O1423" s="130" t="str">
        <f t="array" ref="O1423">IFERROR(IF(INDEX('Disaggregation Records'!$H$152:$H$513,MATCH(RIGHT(L1423,255),RIGHT('Disaggregation Records'!$D$152:$D$513,255),0))="","",INDEX('Disaggregation Records'!$H$152:$H$513,MATCH(RIGHT(L1423,255),RIGHT('Disaggregation Records'!$D$152:$D$513,255),0))),"")</f>
        <v/>
      </c>
      <c r="P1423" s="130"/>
      <c r="Q1423" s="52">
        <f t="shared" ref="Q1423" si="1616">Q1421+1</f>
        <v>1896</v>
      </c>
    </row>
    <row r="1424" spans="1:17" ht="20.100000000000001" customHeight="1" x14ac:dyDescent="0.25">
      <c r="B1424" s="602"/>
      <c r="C1424" s="604"/>
      <c r="D1424" s="606"/>
      <c r="E1424" s="606"/>
      <c r="F1424" s="132"/>
      <c r="G1424" s="608"/>
      <c r="H1424" s="598"/>
      <c r="I1424" s="600"/>
      <c r="J1424" s="532"/>
      <c r="K1424" s="130"/>
      <c r="L1424" s="130"/>
      <c r="M1424" s="130"/>
      <c r="N1424" s="130"/>
      <c r="O1424" s="130"/>
      <c r="P1424" s="130"/>
    </row>
    <row r="1425" spans="1:17" ht="20.100000000000001" customHeight="1" x14ac:dyDescent="0.25">
      <c r="A1425" s="130" t="str">
        <f t="shared" ca="1" si="1583"/>
        <v>a16Dm000000LZg0IAG</v>
      </c>
      <c r="B1425" s="601">
        <v>21</v>
      </c>
      <c r="C1425" s="603" t="str">
        <f>IFERROR(VLOOKUP(B1425,'Coverage Indicators - Section D'!$A$9:$AO$70,41,FALSE),"")</f>
        <v>DRTB-3⁽ᴹ⁾ Percentage of people with confirmed RR-TB and/or MDR-TB that began second-line treatment</v>
      </c>
      <c r="D1425" s="605" t="str">
        <f>M1425</f>
        <v>Age</v>
      </c>
      <c r="E1425" s="605" t="str">
        <f>N1425</f>
        <v>15+</v>
      </c>
      <c r="F1425" s="131"/>
      <c r="G1425" s="607" t="str">
        <f ca="1">IF(OR(INDIRECT("'update Helper'!E"&amp;Q1425)="",F1425&lt;&gt;0,F1426&lt;&gt;0),IF(IFERROR((F1425/F1426),"")="","",(F1425/F1426)),INDIRECT("'update Helper'!E"&amp;Q1425)/100)</f>
        <v/>
      </c>
      <c r="H1425" s="597"/>
      <c r="I1425" s="599"/>
      <c r="J1425" s="531" t="s">
        <v>2267</v>
      </c>
      <c r="K1425" s="130">
        <f>IF(AND(EXACT(C1425,C1423),C1423&lt;&gt;0),K1423+1,0)</f>
        <v>0</v>
      </c>
      <c r="L1425" s="130" t="str">
        <f t="shared" ref="L1425" si="1617">IF(C1425&lt;&gt;"",C1425&amp;"-"&amp;K1425,"")</f>
        <v>DRTB-3⁽ᴹ⁾ Percentage of people with confirmed RR-TB and/or MDR-TB that began second-line treatment-0</v>
      </c>
      <c r="M1425" s="130" t="str">
        <f t="array" ref="M1425">IFERROR(IF(INDEX('Disaggregation Records'!$E$152:$E$513,MATCH(RIGHT(L1425,255),RIGHT('Disaggregation Records'!$D$152:$D$513,255),0))="","",INDEX('Disaggregation Records'!$E$152:$E$513,MATCH(RIGHT(L1425,255),RIGHT('Disaggregation Records'!$D$152:$D$513,255),0))),"")</f>
        <v>Age</v>
      </c>
      <c r="N1425" s="130" t="str">
        <f t="array" ref="N1425">IFERROR(IF(INDEX('Disaggregation Records'!$F$152:$F$513,MATCH(RIGHT(L1425,255),RIGHT('Disaggregation Records'!$D$152:$D$513,255),0))="","",INDEX('Disaggregation Records'!$F$152:$F$513,MATCH(RIGHT(L1425,255),RIGHT('Disaggregation Records'!$D$152:$D$513,255),0))),"")</f>
        <v>15+</v>
      </c>
      <c r="O1425" s="130" t="str">
        <f t="array" ref="O1425">IFERROR(IF(INDEX('Disaggregation Records'!$H$152:$H$513,MATCH(RIGHT(L1425,255),RIGHT('Disaggregation Records'!$D$152:$D$513,255),0))="","",INDEX('Disaggregation Records'!$H$152:$H$513,MATCH(RIGHT(L1425,255),RIGHT('Disaggregation Records'!$D$152:$D$513,255),0))),"")</f>
        <v>IDR-01384</v>
      </c>
      <c r="Q1425" s="52">
        <f t="shared" ref="Q1425" si="1618">Q1423+1</f>
        <v>1897</v>
      </c>
    </row>
    <row r="1426" spans="1:17" ht="20.100000000000001" customHeight="1" x14ac:dyDescent="0.25">
      <c r="A1426" s="130"/>
      <c r="B1426" s="602"/>
      <c r="C1426" s="604"/>
      <c r="D1426" s="606"/>
      <c r="E1426" s="606"/>
      <c r="F1426" s="132"/>
      <c r="G1426" s="608"/>
      <c r="H1426" s="598"/>
      <c r="I1426" s="600"/>
      <c r="J1426" s="532"/>
      <c r="L1426" s="130"/>
      <c r="N1426" s="130"/>
      <c r="O1426" s="130"/>
    </row>
    <row r="1427" spans="1:17" ht="20.100000000000001" customHeight="1" x14ac:dyDescent="0.25">
      <c r="A1427" s="130" t="str">
        <f t="shared" ca="1" si="1586"/>
        <v>a16Dm000000LZg1IAG</v>
      </c>
      <c r="B1427" s="601">
        <v>21</v>
      </c>
      <c r="C1427" s="603" t="str">
        <f>IFERROR(VLOOKUP(B1427,'Coverage Indicators - Section D'!$A$9:$AO$70,41,FALSE),"")</f>
        <v>DRTB-3⁽ᴹ⁾ Percentage of people with confirmed RR-TB and/or MDR-TB that began second-line treatment</v>
      </c>
      <c r="D1427" s="605" t="str">
        <f>M1427</f>
        <v>Age</v>
      </c>
      <c r="E1427" s="605" t="str">
        <f>N1427</f>
        <v>&lt;15</v>
      </c>
      <c r="F1427" s="131"/>
      <c r="G1427" s="607" t="str">
        <f ca="1">IF(OR(INDIRECT("'update Helper'!E"&amp;Q1427)="",F1427&lt;&gt;0,F1428&lt;&gt;0),IF(IFERROR((F1427/F1428),"")="","",(F1427/F1428)),INDIRECT("'update Helper'!E"&amp;Q1427)/100)</f>
        <v/>
      </c>
      <c r="H1427" s="597"/>
      <c r="I1427" s="599"/>
      <c r="J1427" s="531" t="s">
        <v>2267</v>
      </c>
      <c r="K1427" s="130">
        <f>IF(AND(EXACT(C1427,C1425),C1425&lt;&gt;0),K1425+1,0)</f>
        <v>1</v>
      </c>
      <c r="L1427" s="130" t="str">
        <f t="shared" ref="L1427" si="1619">IF(C1427&lt;&gt;"",C1427&amp;"-"&amp;K1427,"")</f>
        <v>DRTB-3⁽ᴹ⁾ Percentage of people with confirmed RR-TB and/or MDR-TB that began second-line treatment-1</v>
      </c>
      <c r="M1427" s="130" t="str">
        <f t="array" ref="M1427">IFERROR(IF(INDEX('Disaggregation Records'!$E$152:$E$513,MATCH(RIGHT(L1427,255),RIGHT('Disaggregation Records'!$D$152:$D$513,255),0))="","",INDEX('Disaggregation Records'!$E$152:$E$513,MATCH(RIGHT(L1427,255),RIGHT('Disaggregation Records'!$D$152:$D$513,255),0))),"")</f>
        <v>Age</v>
      </c>
      <c r="N1427" s="130" t="str">
        <f t="array" ref="N1427">IFERROR(IF(INDEX('Disaggregation Records'!$F$152:$F$513,MATCH(RIGHT(L1427,255),RIGHT('Disaggregation Records'!$D$152:$D$513,255),0))="","",INDEX('Disaggregation Records'!$F$152:$F$513,MATCH(RIGHT(L1427,255),RIGHT('Disaggregation Records'!$D$152:$D$513,255),0))),"")</f>
        <v>&lt;15</v>
      </c>
      <c r="O1427" s="130" t="str">
        <f t="array" ref="O1427">IFERROR(IF(INDEX('Disaggregation Records'!$H$152:$H$513,MATCH(RIGHT(L1427,255),RIGHT('Disaggregation Records'!$D$152:$D$513,255),0))="","",INDEX('Disaggregation Records'!$H$152:$H$513,MATCH(RIGHT(L1427,255),RIGHT('Disaggregation Records'!$D$152:$D$513,255),0))),"")</f>
        <v>IDR-01383</v>
      </c>
      <c r="Q1427" s="52">
        <f t="shared" ref="Q1427" si="1620">Q1425+1</f>
        <v>1898</v>
      </c>
    </row>
    <row r="1428" spans="1:17" ht="20.100000000000001" customHeight="1" x14ac:dyDescent="0.25">
      <c r="B1428" s="602"/>
      <c r="C1428" s="604"/>
      <c r="D1428" s="606"/>
      <c r="E1428" s="606"/>
      <c r="F1428" s="132"/>
      <c r="G1428" s="608"/>
      <c r="H1428" s="598"/>
      <c r="I1428" s="600"/>
      <c r="J1428" s="532"/>
      <c r="L1428" s="130"/>
      <c r="N1428" s="130"/>
      <c r="O1428" s="130"/>
    </row>
    <row r="1429" spans="1:17" ht="20.100000000000001" customHeight="1" x14ac:dyDescent="0.25">
      <c r="A1429" s="130" t="str">
        <f t="shared" ca="1" si="1583"/>
        <v>a16Dm000000LZg2IAG</v>
      </c>
      <c r="B1429" s="601">
        <v>21</v>
      </c>
      <c r="C1429" s="603" t="str">
        <f>IFERROR(VLOOKUP(B1429,'Coverage Indicators - Section D'!$A$9:$AO$70,41,FALSE),"")</f>
        <v>DRTB-3⁽ᴹ⁾ Percentage of people with confirmed RR-TB and/or MDR-TB that began second-line treatment</v>
      </c>
      <c r="D1429" s="605" t="str">
        <f>M1429</f>
        <v>Gender</v>
      </c>
      <c r="E1429" s="605" t="str">
        <f>N1429</f>
        <v>Male</v>
      </c>
      <c r="F1429" s="131"/>
      <c r="G1429" s="607" t="str">
        <f ca="1">IF(OR(INDIRECT("'update Helper'!E"&amp;Q1429)="",F1429&lt;&gt;0,F1430&lt;&gt;0),IF(IFERROR((F1429/F1430),"")="","",(F1429/F1430)),INDIRECT("'update Helper'!E"&amp;Q1429)/100)</f>
        <v/>
      </c>
      <c r="H1429" s="597"/>
      <c r="I1429" s="599"/>
      <c r="J1429" s="531" t="s">
        <v>2268</v>
      </c>
      <c r="K1429" s="130">
        <f>IF(AND(EXACT(C1429,C1427),C1427&lt;&gt;0),K1427+1,0)</f>
        <v>2</v>
      </c>
      <c r="L1429" s="130" t="str">
        <f t="shared" ref="L1429" si="1621">IF(C1429&lt;&gt;"",C1429&amp;"-"&amp;K1429,"")</f>
        <v>DRTB-3⁽ᴹ⁾ Percentage of people with confirmed RR-TB and/or MDR-TB that began second-line treatment-2</v>
      </c>
      <c r="M1429" s="130" t="str">
        <f t="array" ref="M1429">IFERROR(IF(INDEX('Disaggregation Records'!$E$152:$E$513,MATCH(RIGHT(L1429,255),RIGHT('Disaggregation Records'!$D$152:$D$513,255),0))="","",INDEX('Disaggregation Records'!$E$152:$E$513,MATCH(RIGHT(L1429,255),RIGHT('Disaggregation Records'!$D$152:$D$513,255),0))),"")</f>
        <v>Gender</v>
      </c>
      <c r="N1429" s="130" t="str">
        <f t="array" ref="N1429">IFERROR(IF(INDEX('Disaggregation Records'!$F$152:$F$513,MATCH(RIGHT(L1429,255),RIGHT('Disaggregation Records'!$D$152:$D$513,255),0))="","",INDEX('Disaggregation Records'!$F$152:$F$513,MATCH(RIGHT(L1429,255),RIGHT('Disaggregation Records'!$D$152:$D$513,255),0))),"")</f>
        <v>Male</v>
      </c>
      <c r="O1429" s="130" t="str">
        <f t="array" ref="O1429">IFERROR(IF(INDEX('Disaggregation Records'!$H$152:$H$513,MATCH(RIGHT(L1429,255),RIGHT('Disaggregation Records'!$D$152:$D$513,255),0))="","",INDEX('Disaggregation Records'!$H$152:$H$513,MATCH(RIGHT(L1429,255),RIGHT('Disaggregation Records'!$D$152:$D$513,255),0))),"")</f>
        <v>IDR-01382</v>
      </c>
      <c r="Q1429" s="52">
        <f t="shared" ref="Q1429" si="1622">Q1427+1</f>
        <v>1899</v>
      </c>
    </row>
    <row r="1430" spans="1:17" ht="20.100000000000001" customHeight="1" x14ac:dyDescent="0.25">
      <c r="A1430" s="130"/>
      <c r="B1430" s="602"/>
      <c r="C1430" s="604"/>
      <c r="D1430" s="606"/>
      <c r="E1430" s="606"/>
      <c r="F1430" s="132"/>
      <c r="G1430" s="608"/>
      <c r="H1430" s="598"/>
      <c r="I1430" s="600"/>
      <c r="J1430" s="532"/>
      <c r="L1430" s="130"/>
      <c r="N1430" s="130"/>
      <c r="O1430" s="130"/>
    </row>
    <row r="1431" spans="1:17" ht="20.100000000000001" customHeight="1" x14ac:dyDescent="0.25">
      <c r="A1431" s="130" t="str">
        <f t="shared" ca="1" si="1586"/>
        <v>a16Dm000000LZg3IAG</v>
      </c>
      <c r="B1431" s="601">
        <v>21</v>
      </c>
      <c r="C1431" s="603" t="str">
        <f>IFERROR(VLOOKUP(B1431,'Coverage Indicators - Section D'!$A$9:$AO$70,41,FALSE),"")</f>
        <v>DRTB-3⁽ᴹ⁾ Percentage of people with confirmed RR-TB and/or MDR-TB that began second-line treatment</v>
      </c>
      <c r="D1431" s="605" t="str">
        <f>M1431</f>
        <v>Treatment regimen</v>
      </c>
      <c r="E1431" s="605" t="str">
        <f>N1431</f>
        <v>Longer individualized</v>
      </c>
      <c r="F1431" s="131">
        <v>716</v>
      </c>
      <c r="G1431" s="607">
        <f ca="1">IF(OR(INDIRECT("'update Helper'!E"&amp;Q1431)="",F1431&lt;&gt;0,F1432&lt;&gt;0),IF(IFERROR((F1431/F1432),"")="","",(F1431/F1432)),INDIRECT("'update Helper'!E"&amp;Q1431)/100)</f>
        <v>0.82298850574712645</v>
      </c>
      <c r="H1431" s="597">
        <v>2021</v>
      </c>
      <c r="I1431" s="599" t="s">
        <v>766</v>
      </c>
      <c r="J1431" s="531" t="s">
        <v>2269</v>
      </c>
      <c r="K1431" s="130">
        <f>IF(AND(EXACT(C1431,C1429),C1429&lt;&gt;0),K1429+1,0)</f>
        <v>3</v>
      </c>
      <c r="L1431" s="130" t="str">
        <f t="shared" ref="L1431" si="1623">IF(C1431&lt;&gt;"",C1431&amp;"-"&amp;K1431,"")</f>
        <v>DRTB-3⁽ᴹ⁾ Percentage of people with confirmed RR-TB and/or MDR-TB that began second-line treatment-3</v>
      </c>
      <c r="M1431" s="130" t="str">
        <f t="array" ref="M1431">IFERROR(IF(INDEX('Disaggregation Records'!$E$152:$E$513,MATCH(RIGHT(L1431,255),RIGHT('Disaggregation Records'!$D$152:$D$513,255),0))="","",INDEX('Disaggregation Records'!$E$152:$E$513,MATCH(RIGHT(L1431,255),RIGHT('Disaggregation Records'!$D$152:$D$513,255),0))),"")</f>
        <v>Treatment regimen</v>
      </c>
      <c r="N1431" s="130" t="str">
        <f t="array" ref="N1431">IFERROR(IF(INDEX('Disaggregation Records'!$F$152:$F$513,MATCH(RIGHT(L1431,255),RIGHT('Disaggregation Records'!$D$152:$D$513,255),0))="","",INDEX('Disaggregation Records'!$F$152:$F$513,MATCH(RIGHT(L1431,255),RIGHT('Disaggregation Records'!$D$152:$D$513,255),0))),"")</f>
        <v>Longer individualized</v>
      </c>
      <c r="O1431" s="130" t="str">
        <f t="array" ref="O1431">IFERROR(IF(INDEX('Disaggregation Records'!$H$152:$H$513,MATCH(RIGHT(L1431,255),RIGHT('Disaggregation Records'!$D$152:$D$513,255),0))="","",INDEX('Disaggregation Records'!$H$152:$H$513,MATCH(RIGHT(L1431,255),RIGHT('Disaggregation Records'!$D$152:$D$513,255),0))),"")</f>
        <v>IDR-01381</v>
      </c>
      <c r="P1431" s="130"/>
      <c r="Q1431" s="52">
        <f t="shared" ref="Q1431" si="1624">Q1429+1</f>
        <v>1900</v>
      </c>
    </row>
    <row r="1432" spans="1:17" ht="20.100000000000001" customHeight="1" x14ac:dyDescent="0.25">
      <c r="B1432" s="602"/>
      <c r="C1432" s="604"/>
      <c r="D1432" s="606"/>
      <c r="E1432" s="606"/>
      <c r="F1432" s="132">
        <v>870</v>
      </c>
      <c r="G1432" s="608"/>
      <c r="H1432" s="598"/>
      <c r="I1432" s="600"/>
      <c r="J1432" s="532"/>
      <c r="K1432" s="130"/>
      <c r="L1432" s="130"/>
      <c r="M1432" s="130"/>
      <c r="N1432" s="130"/>
      <c r="O1432" s="130"/>
      <c r="P1432" s="130"/>
    </row>
    <row r="1433" spans="1:17" ht="20.100000000000001" customHeight="1" x14ac:dyDescent="0.25">
      <c r="A1433" s="130" t="str">
        <f t="shared" ca="1" si="1583"/>
        <v>a16Dm000000LZg4IAG</v>
      </c>
      <c r="B1433" s="601">
        <v>21</v>
      </c>
      <c r="C1433" s="603" t="str">
        <f>IFERROR(VLOOKUP(B1433,'Coverage Indicators - Section D'!$A$9:$AO$70,41,FALSE),"")</f>
        <v>DRTB-3⁽ᴹ⁾ Percentage of people with confirmed RR-TB and/or MDR-TB that began second-line treatment</v>
      </c>
      <c r="D1433" s="605" t="str">
        <f>M1433</f>
        <v>Gender</v>
      </c>
      <c r="E1433" s="605" t="str">
        <f>N1433</f>
        <v>Female</v>
      </c>
      <c r="F1433" s="131"/>
      <c r="G1433" s="607" t="str">
        <f ca="1">IF(OR(INDIRECT("'update Helper'!E"&amp;Q1433)="",F1433&lt;&gt;0,F1434&lt;&gt;0),IF(IFERROR((F1433/F1434),"")="","",(F1433/F1434)),INDIRECT("'update Helper'!E"&amp;Q1433)/100)</f>
        <v/>
      </c>
      <c r="H1433" s="597"/>
      <c r="I1433" s="599"/>
      <c r="J1433" s="531" t="s">
        <v>2268</v>
      </c>
      <c r="K1433" s="130">
        <f>IF(AND(EXACT(C1433,C1431),C1431&lt;&gt;0),K1431+1,0)</f>
        <v>4</v>
      </c>
      <c r="L1433" s="130" t="str">
        <f t="shared" ref="L1433" si="1625">IF(C1433&lt;&gt;"",C1433&amp;"-"&amp;K1433,"")</f>
        <v>DRTB-3⁽ᴹ⁾ Percentage of people with confirmed RR-TB and/or MDR-TB that began second-line treatment-4</v>
      </c>
      <c r="M1433" s="130" t="str">
        <f t="array" ref="M1433">IFERROR(IF(INDEX('Disaggregation Records'!$E$152:$E$513,MATCH(RIGHT(L1433,255),RIGHT('Disaggregation Records'!$D$152:$D$513,255),0))="","",INDEX('Disaggregation Records'!$E$152:$E$513,MATCH(RIGHT(L1433,255),RIGHT('Disaggregation Records'!$D$152:$D$513,255),0))),"")</f>
        <v>Gender</v>
      </c>
      <c r="N1433" s="130" t="str">
        <f t="array" ref="N1433">IFERROR(IF(INDEX('Disaggregation Records'!$F$152:$F$513,MATCH(RIGHT(L1433,255),RIGHT('Disaggregation Records'!$D$152:$D$513,255),0))="","",INDEX('Disaggregation Records'!$F$152:$F$513,MATCH(RIGHT(L1433,255),RIGHT('Disaggregation Records'!$D$152:$D$513,255),0))),"")</f>
        <v>Female</v>
      </c>
      <c r="O1433" s="130" t="str">
        <f t="array" ref="O1433">IFERROR(IF(INDEX('Disaggregation Records'!$H$152:$H$513,MATCH(RIGHT(L1433,255),RIGHT('Disaggregation Records'!$D$152:$D$513,255),0))="","",INDEX('Disaggregation Records'!$H$152:$H$513,MATCH(RIGHT(L1433,255),RIGHT('Disaggregation Records'!$D$152:$D$513,255),0))),"")</f>
        <v>IDR-01380</v>
      </c>
      <c r="P1433" s="130"/>
      <c r="Q1433" s="52">
        <f t="shared" ref="Q1433" si="1626">Q1431+1</f>
        <v>1901</v>
      </c>
    </row>
    <row r="1434" spans="1:17" ht="20.100000000000001" customHeight="1" x14ac:dyDescent="0.25">
      <c r="A1434" s="130"/>
      <c r="B1434" s="602"/>
      <c r="C1434" s="604"/>
      <c r="D1434" s="606"/>
      <c r="E1434" s="606"/>
      <c r="F1434" s="132"/>
      <c r="G1434" s="608"/>
      <c r="H1434" s="598"/>
      <c r="I1434" s="600"/>
      <c r="J1434" s="532"/>
      <c r="K1434" s="130"/>
      <c r="L1434" s="130"/>
      <c r="M1434" s="130"/>
      <c r="N1434" s="130"/>
      <c r="O1434" s="130"/>
      <c r="P1434" s="130"/>
    </row>
    <row r="1435" spans="1:17" ht="20.100000000000001" customHeight="1" x14ac:dyDescent="0.25">
      <c r="A1435" s="130" t="str">
        <f t="shared" ca="1" si="1586"/>
        <v>a16Dm000000LZg5IAG</v>
      </c>
      <c r="B1435" s="601">
        <v>21</v>
      </c>
      <c r="C1435" s="603" t="str">
        <f>IFERROR(VLOOKUP(B1435,'Coverage Indicators - Section D'!$A$9:$AO$70,41,FALSE),"")</f>
        <v>DRTB-3⁽ᴹ⁾ Percentage of people with confirmed RR-TB and/or MDR-TB that began second-line treatment</v>
      </c>
      <c r="D1435" s="605" t="str">
        <f>M1435</f>
        <v>Treatment regimen</v>
      </c>
      <c r="E1435" s="605" t="str">
        <f>N1435</f>
        <v>Shorter 6-9 month</v>
      </c>
      <c r="F1435" s="131">
        <v>154</v>
      </c>
      <c r="G1435" s="607">
        <f ca="1">IF(OR(INDIRECT("'update Helper'!E"&amp;Q1435)="",F1435&lt;&gt;0,F1436&lt;&gt;0),IF(IFERROR((F1435/F1436),"")="","",(F1435/F1436)),INDIRECT("'update Helper'!E"&amp;Q1435)/100)</f>
        <v>0.17701149425287357</v>
      </c>
      <c r="H1435" s="597">
        <v>2021</v>
      </c>
      <c r="I1435" s="599" t="s">
        <v>766</v>
      </c>
      <c r="J1435" s="531" t="s">
        <v>2270</v>
      </c>
      <c r="K1435" s="130">
        <f>IF(AND(EXACT(C1435,C1433),C1433&lt;&gt;0),K1433+1,0)</f>
        <v>5</v>
      </c>
      <c r="L1435" s="130" t="str">
        <f t="shared" ref="L1435" si="1627">IF(C1435&lt;&gt;"",C1435&amp;"-"&amp;K1435,"")</f>
        <v>DRTB-3⁽ᴹ⁾ Percentage of people with confirmed RR-TB and/or MDR-TB that began second-line treatment-5</v>
      </c>
      <c r="M1435" s="130" t="str">
        <f t="array" ref="M1435">IFERROR(IF(INDEX('Disaggregation Records'!$E$152:$E$513,MATCH(RIGHT(L1435,255),RIGHT('Disaggregation Records'!$D$152:$D$513,255),0))="","",INDEX('Disaggregation Records'!$E$152:$E$513,MATCH(RIGHT(L1435,255),RIGHT('Disaggregation Records'!$D$152:$D$513,255),0))),"")</f>
        <v>Treatment regimen</v>
      </c>
      <c r="N1435" s="130" t="str">
        <f t="array" ref="N1435">IFERROR(IF(INDEX('Disaggregation Records'!$F$152:$F$513,MATCH(RIGHT(L1435,255),RIGHT('Disaggregation Records'!$D$152:$D$513,255),0))="","",INDEX('Disaggregation Records'!$F$152:$F$513,MATCH(RIGHT(L1435,255),RIGHT('Disaggregation Records'!$D$152:$D$513,255),0))),"")</f>
        <v>Shorter 6-9 month</v>
      </c>
      <c r="O1435" s="130" t="str">
        <f t="array" ref="O1435">IFERROR(IF(INDEX('Disaggregation Records'!$H$152:$H$513,MATCH(RIGHT(L1435,255),RIGHT('Disaggregation Records'!$D$152:$D$513,255),0))="","",INDEX('Disaggregation Records'!$H$152:$H$513,MATCH(RIGHT(L1435,255),RIGHT('Disaggregation Records'!$D$152:$D$513,255),0))),"")</f>
        <v>IDR-01379</v>
      </c>
      <c r="Q1435" s="52">
        <f t="shared" ref="Q1435" si="1628">Q1433+1</f>
        <v>1902</v>
      </c>
    </row>
    <row r="1436" spans="1:17" ht="20.100000000000001" customHeight="1" x14ac:dyDescent="0.25">
      <c r="B1436" s="602"/>
      <c r="C1436" s="604"/>
      <c r="D1436" s="606"/>
      <c r="E1436" s="606"/>
      <c r="F1436" s="132">
        <v>870</v>
      </c>
      <c r="G1436" s="608"/>
      <c r="H1436" s="598"/>
      <c r="I1436" s="600"/>
      <c r="J1436" s="532"/>
      <c r="L1436" s="130"/>
      <c r="N1436" s="130"/>
      <c r="O1436" s="130"/>
    </row>
    <row r="1437" spans="1:17" ht="20.100000000000001" customHeight="1" x14ac:dyDescent="0.25">
      <c r="A1437" s="130" t="str">
        <f t="shared" ca="1" si="1583"/>
        <v>a16Dm000000LZg6IAG</v>
      </c>
      <c r="B1437" s="601">
        <v>21</v>
      </c>
      <c r="C1437" s="603" t="str">
        <f>IFERROR(VLOOKUP(B1437,'Coverage Indicators - Section D'!$A$9:$AO$70,41,FALSE),"")</f>
        <v>DRTB-3⁽ᴹ⁾ Percentage of people with confirmed RR-TB and/or MDR-TB that began second-line treatment</v>
      </c>
      <c r="D1437" s="605" t="str">
        <f>M1437</f>
        <v/>
      </c>
      <c r="E1437" s="605" t="str">
        <f>N1437</f>
        <v/>
      </c>
      <c r="F1437" s="131"/>
      <c r="G1437" s="607" t="str">
        <f ca="1">IF(OR(INDIRECT("'update Helper'!E"&amp;Q1437)="",F1437&lt;&gt;0,F1438&lt;&gt;0),IF(IFERROR((F1437/F1438),"")="","",(F1437/F1438)),INDIRECT("'update Helper'!E"&amp;Q1437)/100)</f>
        <v/>
      </c>
      <c r="H1437" s="597"/>
      <c r="I1437" s="599"/>
      <c r="J1437" s="531"/>
      <c r="K1437" s="130">
        <f>IF(AND(EXACT(C1437,C1435),C1435&lt;&gt;0),K1435+1,0)</f>
        <v>6</v>
      </c>
      <c r="L1437" s="130" t="str">
        <f t="shared" ref="L1437" si="1629">IF(C1437&lt;&gt;"",C1437&amp;"-"&amp;K1437,"")</f>
        <v>DRTB-3⁽ᴹ⁾ Percentage of people with confirmed RR-TB and/or MDR-TB that began second-line treatment-6</v>
      </c>
      <c r="M1437" s="130" t="str">
        <f t="array" ref="M1437">IFERROR(IF(INDEX('Disaggregation Records'!$E$152:$E$513,MATCH(RIGHT(L1437,255),RIGHT('Disaggregation Records'!$D$152:$D$513,255),0))="","",INDEX('Disaggregation Records'!$E$152:$E$513,MATCH(RIGHT(L1437,255),RIGHT('Disaggregation Records'!$D$152:$D$513,255),0))),"")</f>
        <v/>
      </c>
      <c r="N1437" s="130" t="str">
        <f t="array" ref="N1437">IFERROR(IF(INDEX('Disaggregation Records'!$F$152:$F$513,MATCH(RIGHT(L1437,255),RIGHT('Disaggregation Records'!$D$152:$D$513,255),0))="","",INDEX('Disaggregation Records'!$F$152:$F$513,MATCH(RIGHT(L1437,255),RIGHT('Disaggregation Records'!$D$152:$D$513,255),0))),"")</f>
        <v/>
      </c>
      <c r="O1437" s="130" t="str">
        <f t="array" ref="O1437">IFERROR(IF(INDEX('Disaggregation Records'!$H$152:$H$513,MATCH(RIGHT(L1437,255),RIGHT('Disaggregation Records'!$D$152:$D$513,255),0))="","",INDEX('Disaggregation Records'!$H$152:$H$513,MATCH(RIGHT(L1437,255),RIGHT('Disaggregation Records'!$D$152:$D$513,255),0))),"")</f>
        <v/>
      </c>
      <c r="Q1437" s="52">
        <f t="shared" ref="Q1437" si="1630">Q1435+1</f>
        <v>1903</v>
      </c>
    </row>
    <row r="1438" spans="1:17" ht="20.100000000000001" customHeight="1" x14ac:dyDescent="0.25">
      <c r="A1438" s="130"/>
      <c r="B1438" s="602"/>
      <c r="C1438" s="604"/>
      <c r="D1438" s="606"/>
      <c r="E1438" s="606"/>
      <c r="F1438" s="132"/>
      <c r="G1438" s="608"/>
      <c r="H1438" s="598"/>
      <c r="I1438" s="600"/>
      <c r="J1438" s="532"/>
      <c r="L1438" s="130"/>
      <c r="N1438" s="130"/>
      <c r="O1438" s="130"/>
    </row>
    <row r="1439" spans="1:17" ht="20.100000000000001" customHeight="1" x14ac:dyDescent="0.25">
      <c r="A1439" s="130" t="str">
        <f t="shared" ca="1" si="1586"/>
        <v>a16Dm000000LZg7IAG</v>
      </c>
      <c r="B1439" s="601">
        <v>21</v>
      </c>
      <c r="C1439" s="603" t="str">
        <f>IFERROR(VLOOKUP(B1439,'Coverage Indicators - Section D'!$A$9:$AO$70,41,FALSE),"")</f>
        <v>DRTB-3⁽ᴹ⁾ Percentage of people with confirmed RR-TB and/or MDR-TB that began second-line treatment</v>
      </c>
      <c r="D1439" s="605" t="str">
        <f>M1439</f>
        <v/>
      </c>
      <c r="E1439" s="605" t="str">
        <f>N1439</f>
        <v/>
      </c>
      <c r="F1439" s="131"/>
      <c r="G1439" s="607" t="str">
        <f ca="1">IF(OR(INDIRECT("'update Helper'!E"&amp;Q1439)="",F1439&lt;&gt;0,F1440&lt;&gt;0),IF(IFERROR((F1439/F1440),"")="","",(F1439/F1440)),INDIRECT("'update Helper'!E"&amp;Q1439)/100)</f>
        <v/>
      </c>
      <c r="H1439" s="597"/>
      <c r="I1439" s="599"/>
      <c r="J1439" s="531"/>
      <c r="K1439" s="130">
        <f>IF(AND(EXACT(C1439,C1437),C1437&lt;&gt;0),K1437+1,0)</f>
        <v>7</v>
      </c>
      <c r="L1439" s="130" t="str">
        <f t="shared" ref="L1439" si="1631">IF(C1439&lt;&gt;"",C1439&amp;"-"&amp;K1439,"")</f>
        <v>DRTB-3⁽ᴹ⁾ Percentage of people with confirmed RR-TB and/or MDR-TB that began second-line treatment-7</v>
      </c>
      <c r="M1439" s="130" t="str">
        <f t="array" ref="M1439">IFERROR(IF(INDEX('Disaggregation Records'!$E$152:$E$513,MATCH(RIGHT(L1439,255),RIGHT('Disaggregation Records'!$D$152:$D$513,255),0))="","",INDEX('Disaggregation Records'!$E$152:$E$513,MATCH(RIGHT(L1439,255),RIGHT('Disaggregation Records'!$D$152:$D$513,255),0))),"")</f>
        <v/>
      </c>
      <c r="N1439" s="130" t="str">
        <f t="array" ref="N1439">IFERROR(IF(INDEX('Disaggregation Records'!$F$152:$F$513,MATCH(RIGHT(L1439,255),RIGHT('Disaggregation Records'!$D$152:$D$513,255),0))="","",INDEX('Disaggregation Records'!$F$152:$F$513,MATCH(RIGHT(L1439,255),RIGHT('Disaggregation Records'!$D$152:$D$513,255),0))),"")</f>
        <v/>
      </c>
      <c r="O1439" s="130" t="str">
        <f t="array" ref="O1439">IFERROR(IF(INDEX('Disaggregation Records'!$H$152:$H$513,MATCH(RIGHT(L1439,255),RIGHT('Disaggregation Records'!$D$152:$D$513,255),0))="","",INDEX('Disaggregation Records'!$H$152:$H$513,MATCH(RIGHT(L1439,255),RIGHT('Disaggregation Records'!$D$152:$D$513,255),0))),"")</f>
        <v/>
      </c>
      <c r="Q1439" s="52">
        <f t="shared" ref="Q1439" si="1632">Q1437+1</f>
        <v>1904</v>
      </c>
    </row>
    <row r="1440" spans="1:17" ht="20.100000000000001" customHeight="1" x14ac:dyDescent="0.25">
      <c r="B1440" s="602"/>
      <c r="C1440" s="604"/>
      <c r="D1440" s="606"/>
      <c r="E1440" s="606"/>
      <c r="F1440" s="132"/>
      <c r="G1440" s="608"/>
      <c r="H1440" s="598"/>
      <c r="I1440" s="600"/>
      <c r="J1440" s="532"/>
      <c r="L1440" s="130"/>
      <c r="N1440" s="130"/>
      <c r="O1440" s="130"/>
    </row>
    <row r="1441" spans="1:17" ht="20.100000000000001" customHeight="1" x14ac:dyDescent="0.25">
      <c r="A1441" s="130" t="str">
        <f t="shared" ca="1" si="1583"/>
        <v>a16Dm000000LZg8IAG</v>
      </c>
      <c r="B1441" s="601">
        <v>21</v>
      </c>
      <c r="C1441" s="603" t="str">
        <f>IFERROR(VLOOKUP(B1441,'Coverage Indicators - Section D'!$A$9:$AO$70,41,FALSE),"")</f>
        <v>DRTB-3⁽ᴹ⁾ Percentage of people with confirmed RR-TB and/or MDR-TB that began second-line treatment</v>
      </c>
      <c r="D1441" s="605" t="str">
        <f>M1441</f>
        <v/>
      </c>
      <c r="E1441" s="605" t="str">
        <f>N1441</f>
        <v/>
      </c>
      <c r="F1441" s="131"/>
      <c r="G1441" s="607" t="str">
        <f ca="1">IF(OR(INDIRECT("'update Helper'!E"&amp;Q1441)="",F1441&lt;&gt;0,F1442&lt;&gt;0),IF(IFERROR((F1441/F1442),"")="","",(F1441/F1442)),INDIRECT("'update Helper'!E"&amp;Q1441)/100)</f>
        <v/>
      </c>
      <c r="H1441" s="597"/>
      <c r="I1441" s="599"/>
      <c r="J1441" s="531"/>
      <c r="K1441" s="130">
        <f>IF(AND(EXACT(C1441,C1439),C1439&lt;&gt;0),K1439+1,0)</f>
        <v>8</v>
      </c>
      <c r="L1441" s="130" t="str">
        <f t="shared" ref="L1441" si="1633">IF(C1441&lt;&gt;"",C1441&amp;"-"&amp;K1441,"")</f>
        <v>DRTB-3⁽ᴹ⁾ Percentage of people with confirmed RR-TB and/or MDR-TB that began second-line treatment-8</v>
      </c>
      <c r="M1441" s="130" t="str">
        <f t="array" ref="M1441">IFERROR(IF(INDEX('Disaggregation Records'!$E$152:$E$513,MATCH(RIGHT(L1441,255),RIGHT('Disaggregation Records'!$D$152:$D$513,255),0))="","",INDEX('Disaggregation Records'!$E$152:$E$513,MATCH(RIGHT(L1441,255),RIGHT('Disaggregation Records'!$D$152:$D$513,255),0))),"")</f>
        <v/>
      </c>
      <c r="N1441" s="130" t="str">
        <f t="array" ref="N1441">IFERROR(IF(INDEX('Disaggregation Records'!$F$152:$F$513,MATCH(RIGHT(L1441,255),RIGHT('Disaggregation Records'!$D$152:$D$513,255),0))="","",INDEX('Disaggregation Records'!$F$152:$F$513,MATCH(RIGHT(L1441,255),RIGHT('Disaggregation Records'!$D$152:$D$513,255),0))),"")</f>
        <v/>
      </c>
      <c r="O1441" s="130" t="str">
        <f t="array" ref="O1441">IFERROR(IF(INDEX('Disaggregation Records'!$H$152:$H$513,MATCH(RIGHT(L1441,255),RIGHT('Disaggregation Records'!$D$152:$D$513,255),0))="","",INDEX('Disaggregation Records'!$H$152:$H$513,MATCH(RIGHT(L1441,255),RIGHT('Disaggregation Records'!$D$152:$D$513,255),0))),"")</f>
        <v/>
      </c>
      <c r="P1441" s="130"/>
      <c r="Q1441" s="52">
        <f t="shared" ref="Q1441" si="1634">Q1439+1</f>
        <v>1905</v>
      </c>
    </row>
    <row r="1442" spans="1:17" ht="20.100000000000001" customHeight="1" x14ac:dyDescent="0.25">
      <c r="A1442" s="130"/>
      <c r="B1442" s="602"/>
      <c r="C1442" s="604"/>
      <c r="D1442" s="606"/>
      <c r="E1442" s="606"/>
      <c r="F1442" s="132"/>
      <c r="G1442" s="608"/>
      <c r="H1442" s="598"/>
      <c r="I1442" s="600"/>
      <c r="J1442" s="532"/>
      <c r="K1442" s="130"/>
      <c r="L1442" s="130"/>
      <c r="M1442" s="130"/>
      <c r="N1442" s="130"/>
      <c r="O1442" s="130"/>
      <c r="P1442" s="130"/>
    </row>
    <row r="1443" spans="1:17" ht="20.100000000000001" customHeight="1" x14ac:dyDescent="0.25">
      <c r="A1443" s="130" t="str">
        <f t="shared" ca="1" si="1586"/>
        <v>a16Dm000000LZg9IAG</v>
      </c>
      <c r="B1443" s="601">
        <v>21</v>
      </c>
      <c r="C1443" s="603" t="str">
        <f>IFERROR(VLOOKUP(B1443,'Coverage Indicators - Section D'!$A$9:$AO$70,41,FALSE),"")</f>
        <v>DRTB-3⁽ᴹ⁾ Percentage of people with confirmed RR-TB and/or MDR-TB that began second-line treatment</v>
      </c>
      <c r="D1443" s="605" t="str">
        <f>M1443</f>
        <v/>
      </c>
      <c r="E1443" s="605" t="str">
        <f>N1443</f>
        <v/>
      </c>
      <c r="F1443" s="131"/>
      <c r="G1443" s="607" t="str">
        <f ca="1">IF(OR(INDIRECT("'update Helper'!E"&amp;Q1443)="",F1443&lt;&gt;0,F1444&lt;&gt;0),IF(IFERROR((F1443/F1444),"")="","",(F1443/F1444)),INDIRECT("'update Helper'!E"&amp;Q1443)/100)</f>
        <v/>
      </c>
      <c r="H1443" s="597"/>
      <c r="I1443" s="599"/>
      <c r="J1443" s="531"/>
      <c r="K1443" s="130">
        <f>IF(AND(EXACT(C1443,C1441),C1441&lt;&gt;0),K1441+1,0)</f>
        <v>9</v>
      </c>
      <c r="L1443" s="130" t="str">
        <f t="shared" ref="L1443" si="1635">IF(C1443&lt;&gt;"",C1443&amp;"-"&amp;K1443,"")</f>
        <v>DRTB-3⁽ᴹ⁾ Percentage of people with confirmed RR-TB and/or MDR-TB that began second-line treatment-9</v>
      </c>
      <c r="M1443" s="130" t="str">
        <f t="array" ref="M1443">IFERROR(IF(INDEX('Disaggregation Records'!$E$152:$E$513,MATCH(RIGHT(L1443,255),RIGHT('Disaggregation Records'!$D$152:$D$513,255),0))="","",INDEX('Disaggregation Records'!$E$152:$E$513,MATCH(RIGHT(L1443,255),RIGHT('Disaggregation Records'!$D$152:$D$513,255),0))),"")</f>
        <v/>
      </c>
      <c r="N1443" s="130" t="str">
        <f t="array" ref="N1443">IFERROR(IF(INDEX('Disaggregation Records'!$F$152:$F$513,MATCH(RIGHT(L1443,255),RIGHT('Disaggregation Records'!$D$152:$D$513,255),0))="","",INDEX('Disaggregation Records'!$F$152:$F$513,MATCH(RIGHT(L1443,255),RIGHT('Disaggregation Records'!$D$152:$D$513,255),0))),"")</f>
        <v/>
      </c>
      <c r="O1443" s="130" t="str">
        <f t="array" ref="O1443">IFERROR(IF(INDEX('Disaggregation Records'!$H$152:$H$513,MATCH(RIGHT(L1443,255),RIGHT('Disaggregation Records'!$D$152:$D$513,255),0))="","",INDEX('Disaggregation Records'!$H$152:$H$513,MATCH(RIGHT(L1443,255),RIGHT('Disaggregation Records'!$D$152:$D$513,255),0))),"")</f>
        <v/>
      </c>
      <c r="P1443" s="130"/>
      <c r="Q1443" s="52">
        <f t="shared" ref="Q1443" si="1636">Q1441+1</f>
        <v>1906</v>
      </c>
    </row>
    <row r="1444" spans="1:17" ht="20.100000000000001" customHeight="1" x14ac:dyDescent="0.25">
      <c r="B1444" s="602"/>
      <c r="C1444" s="604"/>
      <c r="D1444" s="606"/>
      <c r="E1444" s="606"/>
      <c r="F1444" s="132"/>
      <c r="G1444" s="608"/>
      <c r="H1444" s="598"/>
      <c r="I1444" s="600"/>
      <c r="J1444" s="532"/>
      <c r="K1444" s="130"/>
      <c r="L1444" s="130"/>
      <c r="M1444" s="130"/>
      <c r="N1444" s="130"/>
      <c r="O1444" s="130"/>
      <c r="P1444" s="130"/>
    </row>
    <row r="1445" spans="1:17" ht="20.100000000000001" customHeight="1" x14ac:dyDescent="0.25">
      <c r="A1445" s="130" t="str">
        <f t="shared" ca="1" si="1583"/>
        <v>a16Dm000000LZgAIAW</v>
      </c>
      <c r="B1445" s="601">
        <v>21</v>
      </c>
      <c r="C1445" s="603" t="str">
        <f>IFERROR(VLOOKUP(B1445,'Coverage Indicators - Section D'!$A$9:$AO$70,41,FALSE),"")</f>
        <v>DRTB-3⁽ᴹ⁾ Percentage of people with confirmed RR-TB and/or MDR-TB that began second-line treatment</v>
      </c>
      <c r="D1445" s="605" t="str">
        <f>M1445</f>
        <v/>
      </c>
      <c r="E1445" s="605" t="str">
        <f>N1445</f>
        <v/>
      </c>
      <c r="F1445" s="131"/>
      <c r="G1445" s="607" t="str">
        <f ca="1">IF(OR(INDIRECT("'update Helper'!E"&amp;Q1445)="",F1445&lt;&gt;0,F1446&lt;&gt;0),IF(IFERROR((F1445/F1446),"")="","",(F1445/F1446)),INDIRECT("'update Helper'!E"&amp;Q1445)/100)</f>
        <v/>
      </c>
      <c r="H1445" s="597"/>
      <c r="I1445" s="599"/>
      <c r="J1445" s="531"/>
      <c r="K1445" s="130">
        <f>IF(AND(EXACT(C1445,C1443),C1443&lt;&gt;0),K1443+1,0)</f>
        <v>10</v>
      </c>
      <c r="L1445" s="130" t="str">
        <f t="shared" ref="L1445" si="1637">IF(C1445&lt;&gt;"",C1445&amp;"-"&amp;K1445,"")</f>
        <v>DRTB-3⁽ᴹ⁾ Percentage of people with confirmed RR-TB and/or MDR-TB that began second-line treatment-10</v>
      </c>
      <c r="M1445" s="130" t="str">
        <f t="array" ref="M1445">IFERROR(IF(INDEX('Disaggregation Records'!$E$152:$E$513,MATCH(RIGHT(L1445,255),RIGHT('Disaggregation Records'!$D$152:$D$513,255),0))="","",INDEX('Disaggregation Records'!$E$152:$E$513,MATCH(RIGHT(L1445,255),RIGHT('Disaggregation Records'!$D$152:$D$513,255),0))),"")</f>
        <v/>
      </c>
      <c r="N1445" s="130" t="str">
        <f t="array" ref="N1445">IFERROR(IF(INDEX('Disaggregation Records'!$F$152:$F$513,MATCH(RIGHT(L1445,255),RIGHT('Disaggregation Records'!$D$152:$D$513,255),0))="","",INDEX('Disaggregation Records'!$F$152:$F$513,MATCH(RIGHT(L1445,255),RIGHT('Disaggregation Records'!$D$152:$D$513,255),0))),"")</f>
        <v/>
      </c>
      <c r="O1445" s="130" t="str">
        <f t="array" ref="O1445">IFERROR(IF(INDEX('Disaggregation Records'!$H$152:$H$513,MATCH(RIGHT(L1445,255),RIGHT('Disaggregation Records'!$D$152:$D$513,255),0))="","",INDEX('Disaggregation Records'!$H$152:$H$513,MATCH(RIGHT(L1445,255),RIGHT('Disaggregation Records'!$D$152:$D$513,255),0))),"")</f>
        <v/>
      </c>
      <c r="Q1445" s="52">
        <f t="shared" ref="Q1445" si="1638">Q1443+1</f>
        <v>1907</v>
      </c>
    </row>
    <row r="1446" spans="1:17" ht="20.100000000000001" customHeight="1" x14ac:dyDescent="0.25">
      <c r="A1446" s="130"/>
      <c r="B1446" s="602"/>
      <c r="C1446" s="604"/>
      <c r="D1446" s="606"/>
      <c r="E1446" s="606"/>
      <c r="F1446" s="132"/>
      <c r="G1446" s="608"/>
      <c r="H1446" s="598"/>
      <c r="I1446" s="600"/>
      <c r="J1446" s="532"/>
      <c r="L1446" s="130"/>
      <c r="N1446" s="130"/>
      <c r="O1446" s="130"/>
    </row>
    <row r="1447" spans="1:17" ht="20.100000000000001" customHeight="1" x14ac:dyDescent="0.25">
      <c r="A1447" s="130" t="str">
        <f t="shared" ca="1" si="1586"/>
        <v>a16Dm000000LZgBIAW</v>
      </c>
      <c r="B1447" s="601">
        <v>21</v>
      </c>
      <c r="C1447" s="603" t="str">
        <f>IFERROR(VLOOKUP(B1447,'Coverage Indicators - Section D'!$A$9:$AO$70,41,FALSE),"")</f>
        <v>DRTB-3⁽ᴹ⁾ Percentage of people with confirmed RR-TB and/or MDR-TB that began second-line treatment</v>
      </c>
      <c r="D1447" s="605" t="str">
        <f>M1447</f>
        <v/>
      </c>
      <c r="E1447" s="605" t="str">
        <f>N1447</f>
        <v/>
      </c>
      <c r="F1447" s="131"/>
      <c r="G1447" s="607" t="str">
        <f ca="1">IF(OR(INDIRECT("'update Helper'!E"&amp;Q1447)="",F1447&lt;&gt;0,F1448&lt;&gt;0),IF(IFERROR((F1447/F1448),"")="","",(F1447/F1448)),INDIRECT("'update Helper'!E"&amp;Q1447)/100)</f>
        <v/>
      </c>
      <c r="H1447" s="597"/>
      <c r="I1447" s="599"/>
      <c r="J1447" s="531"/>
      <c r="K1447" s="130">
        <f>IF(AND(EXACT(C1447,C1445),C1445&lt;&gt;0),K1445+1,0)</f>
        <v>11</v>
      </c>
      <c r="L1447" s="130" t="str">
        <f t="shared" ref="L1447" si="1639">IF(C1447&lt;&gt;"",C1447&amp;"-"&amp;K1447,"")</f>
        <v>DRTB-3⁽ᴹ⁾ Percentage of people with confirmed RR-TB and/or MDR-TB that began second-line treatment-11</v>
      </c>
      <c r="M1447" s="130" t="str">
        <f t="array" ref="M1447">IFERROR(IF(INDEX('Disaggregation Records'!$E$152:$E$513,MATCH(RIGHT(L1447,255),RIGHT('Disaggregation Records'!$D$152:$D$513,255),0))="","",INDEX('Disaggregation Records'!$E$152:$E$513,MATCH(RIGHT(L1447,255),RIGHT('Disaggregation Records'!$D$152:$D$513,255),0))),"")</f>
        <v/>
      </c>
      <c r="N1447" s="130" t="str">
        <f t="array" ref="N1447">IFERROR(IF(INDEX('Disaggregation Records'!$F$152:$F$513,MATCH(RIGHT(L1447,255),RIGHT('Disaggregation Records'!$D$152:$D$513,255),0))="","",INDEX('Disaggregation Records'!$F$152:$F$513,MATCH(RIGHT(L1447,255),RIGHT('Disaggregation Records'!$D$152:$D$513,255),0))),"")</f>
        <v/>
      </c>
      <c r="O1447" s="130" t="str">
        <f t="array" ref="O1447">IFERROR(IF(INDEX('Disaggregation Records'!$H$152:$H$513,MATCH(RIGHT(L1447,255),RIGHT('Disaggregation Records'!$D$152:$D$513,255),0))="","",INDEX('Disaggregation Records'!$H$152:$H$513,MATCH(RIGHT(L1447,255),RIGHT('Disaggregation Records'!$D$152:$D$513,255),0))),"")</f>
        <v/>
      </c>
      <c r="Q1447" s="52">
        <f t="shared" ref="Q1447" si="1640">Q1445+1</f>
        <v>1908</v>
      </c>
    </row>
    <row r="1448" spans="1:17" ht="20.100000000000001" customHeight="1" x14ac:dyDescent="0.25">
      <c r="B1448" s="602"/>
      <c r="C1448" s="604"/>
      <c r="D1448" s="606"/>
      <c r="E1448" s="606"/>
      <c r="F1448" s="132"/>
      <c r="G1448" s="608"/>
      <c r="H1448" s="598"/>
      <c r="I1448" s="600"/>
      <c r="J1448" s="532"/>
      <c r="L1448" s="130"/>
      <c r="N1448" s="130"/>
      <c r="O1448" s="130"/>
    </row>
    <row r="1449" spans="1:17" ht="20.100000000000001" customHeight="1" x14ac:dyDescent="0.25">
      <c r="A1449" s="130" t="str">
        <f t="shared" ca="1" si="1583"/>
        <v>a16Dm000000LZgCIAW</v>
      </c>
      <c r="B1449" s="601">
        <v>21</v>
      </c>
      <c r="C1449" s="603" t="str">
        <f>IFERROR(VLOOKUP(B1449,'Coverage Indicators - Section D'!$A$9:$AO$70,41,FALSE),"")</f>
        <v>DRTB-3⁽ᴹ⁾ Percentage of people with confirmed RR-TB and/or MDR-TB that began second-line treatment</v>
      </c>
      <c r="D1449" s="605" t="str">
        <f>M1449</f>
        <v/>
      </c>
      <c r="E1449" s="605" t="str">
        <f>N1449</f>
        <v/>
      </c>
      <c r="F1449" s="131"/>
      <c r="G1449" s="607" t="str">
        <f ca="1">IF(OR(INDIRECT("'update Helper'!E"&amp;Q1449)="",F1449&lt;&gt;0,F1450&lt;&gt;0),IF(IFERROR((F1449/F1450),"")="","",(F1449/F1450)),INDIRECT("'update Helper'!E"&amp;Q1449)/100)</f>
        <v/>
      </c>
      <c r="H1449" s="597"/>
      <c r="I1449" s="599"/>
      <c r="J1449" s="531"/>
      <c r="K1449" s="130">
        <f>IF(AND(EXACT(C1449,C1447),C1447&lt;&gt;0),K1447+1,0)</f>
        <v>12</v>
      </c>
      <c r="L1449" s="130" t="str">
        <f t="shared" ref="L1449" si="1641">IF(C1449&lt;&gt;"",C1449&amp;"-"&amp;K1449,"")</f>
        <v>DRTB-3⁽ᴹ⁾ Percentage of people with confirmed RR-TB and/or MDR-TB that began second-line treatment-12</v>
      </c>
      <c r="M1449" s="130" t="str">
        <f t="array" ref="M1449">IFERROR(IF(INDEX('Disaggregation Records'!$E$152:$E$513,MATCH(RIGHT(L1449,255),RIGHT('Disaggregation Records'!$D$152:$D$513,255),0))="","",INDEX('Disaggregation Records'!$E$152:$E$513,MATCH(RIGHT(L1449,255),RIGHT('Disaggregation Records'!$D$152:$D$513,255),0))),"")</f>
        <v/>
      </c>
      <c r="N1449" s="130" t="str">
        <f t="array" ref="N1449">IFERROR(IF(INDEX('Disaggregation Records'!$F$152:$F$513,MATCH(RIGHT(L1449,255),RIGHT('Disaggregation Records'!$D$152:$D$513,255),0))="","",INDEX('Disaggregation Records'!$F$152:$F$513,MATCH(RIGHT(L1449,255),RIGHT('Disaggregation Records'!$D$152:$D$513,255),0))),"")</f>
        <v/>
      </c>
      <c r="O1449" s="130" t="str">
        <f t="array" ref="O1449">IFERROR(IF(INDEX('Disaggregation Records'!$H$152:$H$513,MATCH(RIGHT(L1449,255),RIGHT('Disaggregation Records'!$D$152:$D$513,255),0))="","",INDEX('Disaggregation Records'!$H$152:$H$513,MATCH(RIGHT(L1449,255),RIGHT('Disaggregation Records'!$D$152:$D$513,255),0))),"")</f>
        <v/>
      </c>
      <c r="Q1449" s="52">
        <f t="shared" ref="Q1449" si="1642">Q1447+1</f>
        <v>1909</v>
      </c>
    </row>
    <row r="1450" spans="1:17" ht="20.100000000000001" customHeight="1" x14ac:dyDescent="0.25">
      <c r="A1450" s="130"/>
      <c r="B1450" s="602"/>
      <c r="C1450" s="604"/>
      <c r="D1450" s="606"/>
      <c r="E1450" s="606"/>
      <c r="F1450" s="132"/>
      <c r="G1450" s="608"/>
      <c r="H1450" s="598"/>
      <c r="I1450" s="600"/>
      <c r="J1450" s="532"/>
      <c r="L1450" s="130"/>
      <c r="N1450" s="130"/>
      <c r="O1450" s="130"/>
    </row>
    <row r="1451" spans="1:17" ht="20.100000000000001" customHeight="1" x14ac:dyDescent="0.25">
      <c r="A1451" s="130" t="str">
        <f t="shared" ca="1" si="1586"/>
        <v>a16Dm000000LZgDIAW</v>
      </c>
      <c r="B1451" s="601">
        <v>21</v>
      </c>
      <c r="C1451" s="603" t="str">
        <f>IFERROR(VLOOKUP(B1451,'Coverage Indicators - Section D'!$A$9:$AO$70,41,FALSE),"")</f>
        <v>DRTB-3⁽ᴹ⁾ Percentage of people with confirmed RR-TB and/or MDR-TB that began second-line treatment</v>
      </c>
      <c r="D1451" s="605" t="str">
        <f>M1451</f>
        <v/>
      </c>
      <c r="E1451" s="605" t="str">
        <f>N1451</f>
        <v/>
      </c>
      <c r="F1451" s="131"/>
      <c r="G1451" s="607" t="str">
        <f ca="1">IF(OR(INDIRECT("'update Helper'!E"&amp;Q1451)="",F1451&lt;&gt;0,F1452&lt;&gt;0),IF(IFERROR((F1451/F1452),"")="","",(F1451/F1452)),INDIRECT("'update Helper'!E"&amp;Q1451)/100)</f>
        <v/>
      </c>
      <c r="H1451" s="597"/>
      <c r="I1451" s="599"/>
      <c r="J1451" s="531"/>
      <c r="K1451" s="130">
        <f>IF(AND(EXACT(C1451,C1449),C1449&lt;&gt;0),K1449+1,0)</f>
        <v>13</v>
      </c>
      <c r="L1451" s="130" t="str">
        <f t="shared" ref="L1451" si="1643">IF(C1451&lt;&gt;"",C1451&amp;"-"&amp;K1451,"")</f>
        <v>DRTB-3⁽ᴹ⁾ Percentage of people with confirmed RR-TB and/or MDR-TB that began second-line treatment-13</v>
      </c>
      <c r="M1451" s="130" t="str">
        <f t="array" ref="M1451">IFERROR(IF(INDEX('Disaggregation Records'!$E$152:$E$513,MATCH(RIGHT(L1451,255),RIGHT('Disaggregation Records'!$D$152:$D$513,255),0))="","",INDEX('Disaggregation Records'!$E$152:$E$513,MATCH(RIGHT(L1451,255),RIGHT('Disaggregation Records'!$D$152:$D$513,255),0))),"")</f>
        <v/>
      </c>
      <c r="N1451" s="130" t="str">
        <f t="array" ref="N1451">IFERROR(IF(INDEX('Disaggregation Records'!$F$152:$F$513,MATCH(RIGHT(L1451,255),RIGHT('Disaggregation Records'!$D$152:$D$513,255),0))="","",INDEX('Disaggregation Records'!$F$152:$F$513,MATCH(RIGHT(L1451,255),RIGHT('Disaggregation Records'!$D$152:$D$513,255),0))),"")</f>
        <v/>
      </c>
      <c r="O1451" s="130" t="str">
        <f t="array" ref="O1451">IFERROR(IF(INDEX('Disaggregation Records'!$H$152:$H$513,MATCH(RIGHT(L1451,255),RIGHT('Disaggregation Records'!$D$152:$D$513,255),0))="","",INDEX('Disaggregation Records'!$H$152:$H$513,MATCH(RIGHT(L1451,255),RIGHT('Disaggregation Records'!$D$152:$D$513,255),0))),"")</f>
        <v/>
      </c>
      <c r="P1451" s="130"/>
      <c r="Q1451" s="52">
        <f t="shared" ref="Q1451" si="1644">Q1449+1</f>
        <v>1910</v>
      </c>
    </row>
    <row r="1452" spans="1:17" ht="20.100000000000001" customHeight="1" x14ac:dyDescent="0.25">
      <c r="B1452" s="602"/>
      <c r="C1452" s="604"/>
      <c r="D1452" s="606"/>
      <c r="E1452" s="606"/>
      <c r="F1452" s="132"/>
      <c r="G1452" s="608"/>
      <c r="H1452" s="598"/>
      <c r="I1452" s="600"/>
      <c r="J1452" s="532"/>
      <c r="K1452" s="130"/>
      <c r="L1452" s="130"/>
      <c r="M1452" s="130"/>
      <c r="N1452" s="130"/>
      <c r="O1452" s="130"/>
      <c r="P1452" s="130"/>
    </row>
    <row r="1453" spans="1:17" ht="20.100000000000001" customHeight="1" x14ac:dyDescent="0.25">
      <c r="A1453" s="130" t="str">
        <f t="shared" ca="1" si="1583"/>
        <v>a16Dm000000LZgEIAW</v>
      </c>
      <c r="B1453" s="601">
        <v>21</v>
      </c>
      <c r="C1453" s="603" t="str">
        <f>IFERROR(VLOOKUP(B1453,'Coverage Indicators - Section D'!$A$9:$AO$70,41,FALSE),"")</f>
        <v>DRTB-3⁽ᴹ⁾ Percentage of people with confirmed RR-TB and/or MDR-TB that began second-line treatment</v>
      </c>
      <c r="D1453" s="605" t="str">
        <f>M1453</f>
        <v/>
      </c>
      <c r="E1453" s="605" t="str">
        <f>N1453</f>
        <v/>
      </c>
      <c r="F1453" s="131"/>
      <c r="G1453" s="607" t="str">
        <f ca="1">IF(OR(INDIRECT("'update Helper'!E"&amp;Q1453)="",F1453&lt;&gt;0,F1454&lt;&gt;0),IF(IFERROR((F1453/F1454),"")="","",(F1453/F1454)),INDIRECT("'update Helper'!E"&amp;Q1453)/100)</f>
        <v/>
      </c>
      <c r="H1453" s="597"/>
      <c r="I1453" s="599"/>
      <c r="J1453" s="531"/>
      <c r="K1453" s="130">
        <f>IF(AND(EXACT(C1453,C1451),C1451&lt;&gt;0),K1451+1,0)</f>
        <v>14</v>
      </c>
      <c r="L1453" s="130" t="str">
        <f t="shared" ref="L1453" si="1645">IF(C1453&lt;&gt;"",C1453&amp;"-"&amp;K1453,"")</f>
        <v>DRTB-3⁽ᴹ⁾ Percentage of people with confirmed RR-TB and/or MDR-TB that began second-line treatment-14</v>
      </c>
      <c r="M1453" s="130" t="str">
        <f t="array" ref="M1453">IFERROR(IF(INDEX('Disaggregation Records'!$E$152:$E$513,MATCH(RIGHT(L1453,255),RIGHT('Disaggregation Records'!$D$152:$D$513,255),0))="","",INDEX('Disaggregation Records'!$E$152:$E$513,MATCH(RIGHT(L1453,255),RIGHT('Disaggregation Records'!$D$152:$D$513,255),0))),"")</f>
        <v/>
      </c>
      <c r="N1453" s="130" t="str">
        <f t="array" ref="N1453">IFERROR(IF(INDEX('Disaggregation Records'!$F$152:$F$513,MATCH(RIGHT(L1453,255),RIGHT('Disaggregation Records'!$D$152:$D$513,255),0))="","",INDEX('Disaggregation Records'!$F$152:$F$513,MATCH(RIGHT(L1453,255),RIGHT('Disaggregation Records'!$D$152:$D$513,255),0))),"")</f>
        <v/>
      </c>
      <c r="O1453" s="130" t="str">
        <f t="array" ref="O1453">IFERROR(IF(INDEX('Disaggregation Records'!$H$152:$H$513,MATCH(RIGHT(L1453,255),RIGHT('Disaggregation Records'!$D$152:$D$513,255),0))="","",INDEX('Disaggregation Records'!$H$152:$H$513,MATCH(RIGHT(L1453,255),RIGHT('Disaggregation Records'!$D$152:$D$513,255),0))),"")</f>
        <v/>
      </c>
      <c r="P1453" s="130"/>
      <c r="Q1453" s="52">
        <f t="shared" ref="Q1453" si="1646">Q1451+1</f>
        <v>1911</v>
      </c>
    </row>
    <row r="1454" spans="1:17" ht="20.100000000000001" customHeight="1" x14ac:dyDescent="0.25">
      <c r="A1454" s="130"/>
      <c r="B1454" s="602"/>
      <c r="C1454" s="604"/>
      <c r="D1454" s="606"/>
      <c r="E1454" s="606"/>
      <c r="F1454" s="132"/>
      <c r="G1454" s="608"/>
      <c r="H1454" s="598"/>
      <c r="I1454" s="600"/>
      <c r="J1454" s="532"/>
      <c r="K1454" s="130"/>
      <c r="L1454" s="130"/>
      <c r="M1454" s="130"/>
      <c r="N1454" s="130"/>
      <c r="O1454" s="130"/>
      <c r="P1454" s="130"/>
    </row>
    <row r="1455" spans="1:17" ht="20.100000000000001" customHeight="1" x14ac:dyDescent="0.25">
      <c r="A1455" s="130" t="str">
        <f t="shared" ca="1" si="1586"/>
        <v>a16Dm000000LZgFIAW</v>
      </c>
      <c r="B1455" s="601">
        <v>21</v>
      </c>
      <c r="C1455" s="603" t="str">
        <f>IFERROR(VLOOKUP(B1455,'Coverage Indicators - Section D'!$A$9:$AO$70,41,FALSE),"")</f>
        <v>DRTB-3⁽ᴹ⁾ Percentage of people with confirmed RR-TB and/or MDR-TB that began second-line treatment</v>
      </c>
      <c r="D1455" s="605" t="str">
        <f>M1455</f>
        <v/>
      </c>
      <c r="E1455" s="605" t="str">
        <f>N1455</f>
        <v/>
      </c>
      <c r="F1455" s="131"/>
      <c r="G1455" s="607" t="str">
        <f ca="1">IF(OR(INDIRECT("'update Helper'!E"&amp;Q1455)="",F1455&lt;&gt;0,F1456&lt;&gt;0),IF(IFERROR((F1455/F1456),"")="","",(F1455/F1456)),INDIRECT("'update Helper'!E"&amp;Q1455)/100)</f>
        <v/>
      </c>
      <c r="H1455" s="597"/>
      <c r="I1455" s="599"/>
      <c r="J1455" s="531"/>
      <c r="K1455" s="130">
        <f>IF(AND(EXACT(C1455,C1453),C1453&lt;&gt;0),K1453+1,0)</f>
        <v>15</v>
      </c>
      <c r="L1455" s="130" t="str">
        <f t="shared" ref="L1455" si="1647">IF(C1455&lt;&gt;"",C1455&amp;"-"&amp;K1455,"")</f>
        <v>DRTB-3⁽ᴹ⁾ Percentage of people with confirmed RR-TB and/or MDR-TB that began second-line treatment-15</v>
      </c>
      <c r="M1455" s="130" t="str">
        <f t="array" ref="M1455">IFERROR(IF(INDEX('Disaggregation Records'!$E$152:$E$513,MATCH(RIGHT(L1455,255),RIGHT('Disaggregation Records'!$D$152:$D$513,255),0))="","",INDEX('Disaggregation Records'!$E$152:$E$513,MATCH(RIGHT(L1455,255),RIGHT('Disaggregation Records'!$D$152:$D$513,255),0))),"")</f>
        <v/>
      </c>
      <c r="N1455" s="130" t="str">
        <f t="array" ref="N1455">IFERROR(IF(INDEX('Disaggregation Records'!$F$152:$F$513,MATCH(RIGHT(L1455,255),RIGHT('Disaggregation Records'!$D$152:$D$513,255),0))="","",INDEX('Disaggregation Records'!$F$152:$F$513,MATCH(RIGHT(L1455,255),RIGHT('Disaggregation Records'!$D$152:$D$513,255),0))),"")</f>
        <v/>
      </c>
      <c r="O1455" s="130" t="str">
        <f t="array" ref="O1455">IFERROR(IF(INDEX('Disaggregation Records'!$H$152:$H$513,MATCH(RIGHT(L1455,255),RIGHT('Disaggregation Records'!$D$152:$D$513,255),0))="","",INDEX('Disaggregation Records'!$H$152:$H$513,MATCH(RIGHT(L1455,255),RIGHT('Disaggregation Records'!$D$152:$D$513,255),0))),"")</f>
        <v/>
      </c>
      <c r="Q1455" s="52">
        <f t="shared" ref="Q1455" si="1648">Q1453+1</f>
        <v>1912</v>
      </c>
    </row>
    <row r="1456" spans="1:17" ht="20.100000000000001" customHeight="1" x14ac:dyDescent="0.25">
      <c r="B1456" s="602"/>
      <c r="C1456" s="604"/>
      <c r="D1456" s="606"/>
      <c r="E1456" s="606"/>
      <c r="F1456" s="132"/>
      <c r="G1456" s="608"/>
      <c r="H1456" s="598"/>
      <c r="I1456" s="600"/>
      <c r="J1456" s="532"/>
      <c r="L1456" s="130"/>
      <c r="N1456" s="130"/>
      <c r="O1456" s="130"/>
    </row>
    <row r="1457" spans="1:17" ht="20.100000000000001" customHeight="1" x14ac:dyDescent="0.25">
      <c r="A1457" s="130" t="str">
        <f t="shared" ref="A1457:A1517" ca="1" si="1649">INDIRECT("'update Helper'!C"&amp;Q1457)</f>
        <v>a16Dm000000LZgGIAW</v>
      </c>
      <c r="B1457" s="601">
        <v>21</v>
      </c>
      <c r="C1457" s="603" t="str">
        <f>IFERROR(VLOOKUP(B1457,'Coverage Indicators - Section D'!$A$9:$AO$70,41,FALSE),"")</f>
        <v>DRTB-3⁽ᴹ⁾ Percentage of people with confirmed RR-TB and/or MDR-TB that began second-line treatment</v>
      </c>
      <c r="D1457" s="605" t="str">
        <f>M1457</f>
        <v/>
      </c>
      <c r="E1457" s="605" t="str">
        <f>N1457</f>
        <v/>
      </c>
      <c r="F1457" s="131"/>
      <c r="G1457" s="607" t="str">
        <f ca="1">IF(OR(INDIRECT("'update Helper'!E"&amp;Q1457)="",F1457&lt;&gt;0,F1458&lt;&gt;0),IF(IFERROR((F1457/F1458),"")="","",(F1457/F1458)),INDIRECT("'update Helper'!E"&amp;Q1457)/100)</f>
        <v/>
      </c>
      <c r="H1457" s="597"/>
      <c r="I1457" s="599"/>
      <c r="J1457" s="531"/>
      <c r="K1457" s="130">
        <f>IF(AND(EXACT(C1457,C1455),C1455&lt;&gt;0),K1455+1,0)</f>
        <v>16</v>
      </c>
      <c r="L1457" s="130" t="str">
        <f t="shared" ref="L1457" si="1650">IF(C1457&lt;&gt;"",C1457&amp;"-"&amp;K1457,"")</f>
        <v>DRTB-3⁽ᴹ⁾ Percentage of people with confirmed RR-TB and/or MDR-TB that began second-line treatment-16</v>
      </c>
      <c r="M1457" s="130" t="str">
        <f t="array" ref="M1457">IFERROR(IF(INDEX('Disaggregation Records'!$E$152:$E$513,MATCH(RIGHT(L1457,255),RIGHT('Disaggregation Records'!$D$152:$D$513,255),0))="","",INDEX('Disaggregation Records'!$E$152:$E$513,MATCH(RIGHT(L1457,255),RIGHT('Disaggregation Records'!$D$152:$D$513,255),0))),"")</f>
        <v/>
      </c>
      <c r="N1457" s="130" t="str">
        <f t="array" ref="N1457">IFERROR(IF(INDEX('Disaggregation Records'!$F$152:$F$513,MATCH(RIGHT(L1457,255),RIGHT('Disaggregation Records'!$D$152:$D$513,255),0))="","",INDEX('Disaggregation Records'!$F$152:$F$513,MATCH(RIGHT(L1457,255),RIGHT('Disaggregation Records'!$D$152:$D$513,255),0))),"")</f>
        <v/>
      </c>
      <c r="O1457" s="130" t="str">
        <f t="array" ref="O1457">IFERROR(IF(INDEX('Disaggregation Records'!$H$152:$H$513,MATCH(RIGHT(L1457,255),RIGHT('Disaggregation Records'!$D$152:$D$513,255),0))="","",INDEX('Disaggregation Records'!$H$152:$H$513,MATCH(RIGHT(L1457,255),RIGHT('Disaggregation Records'!$D$152:$D$513,255),0))),"")</f>
        <v/>
      </c>
      <c r="Q1457" s="52">
        <f t="shared" ref="Q1457" si="1651">Q1455+1</f>
        <v>1913</v>
      </c>
    </row>
    <row r="1458" spans="1:17" ht="20.100000000000001" customHeight="1" x14ac:dyDescent="0.25">
      <c r="A1458" s="130"/>
      <c r="B1458" s="602"/>
      <c r="C1458" s="604"/>
      <c r="D1458" s="606"/>
      <c r="E1458" s="606"/>
      <c r="F1458" s="132"/>
      <c r="G1458" s="608"/>
      <c r="H1458" s="598"/>
      <c r="I1458" s="600"/>
      <c r="J1458" s="532"/>
      <c r="L1458" s="130"/>
      <c r="N1458" s="130"/>
      <c r="O1458" s="130"/>
    </row>
    <row r="1459" spans="1:17" ht="20.100000000000001" customHeight="1" x14ac:dyDescent="0.25">
      <c r="A1459" s="130" t="str">
        <f t="shared" ref="A1459:A1519" ca="1" si="1652">INDIRECT("'update Helper'!C"&amp;Q1459)</f>
        <v>a16Dm000000LZgHIAW</v>
      </c>
      <c r="B1459" s="601">
        <v>21</v>
      </c>
      <c r="C1459" s="603" t="str">
        <f>IFERROR(VLOOKUP(B1459,'Coverage Indicators - Section D'!$A$9:$AO$70,41,FALSE),"")</f>
        <v>DRTB-3⁽ᴹ⁾ Percentage of people with confirmed RR-TB and/or MDR-TB that began second-line treatment</v>
      </c>
      <c r="D1459" s="605" t="str">
        <f>M1459</f>
        <v/>
      </c>
      <c r="E1459" s="605" t="str">
        <f>N1459</f>
        <v/>
      </c>
      <c r="F1459" s="131"/>
      <c r="G1459" s="607" t="str">
        <f ca="1">IF(OR(INDIRECT("'update Helper'!E"&amp;Q1459)="",F1459&lt;&gt;0,F1460&lt;&gt;0),IF(IFERROR((F1459/F1460),"")="","",(F1459/F1460)),INDIRECT("'update Helper'!E"&amp;Q1459)/100)</f>
        <v/>
      </c>
      <c r="H1459" s="597"/>
      <c r="I1459" s="599"/>
      <c r="J1459" s="531"/>
      <c r="K1459" s="130">
        <f>IF(AND(EXACT(C1459,C1457),C1457&lt;&gt;0),K1457+1,0)</f>
        <v>17</v>
      </c>
      <c r="L1459" s="130" t="str">
        <f t="shared" ref="L1459" si="1653">IF(C1459&lt;&gt;"",C1459&amp;"-"&amp;K1459,"")</f>
        <v>DRTB-3⁽ᴹ⁾ Percentage of people with confirmed RR-TB and/or MDR-TB that began second-line treatment-17</v>
      </c>
      <c r="M1459" s="130" t="str">
        <f t="array" ref="M1459">IFERROR(IF(INDEX('Disaggregation Records'!$E$152:$E$513,MATCH(RIGHT(L1459,255),RIGHT('Disaggregation Records'!$D$152:$D$513,255),0))="","",INDEX('Disaggregation Records'!$E$152:$E$513,MATCH(RIGHT(L1459,255),RIGHT('Disaggregation Records'!$D$152:$D$513,255),0))),"")</f>
        <v/>
      </c>
      <c r="N1459" s="130" t="str">
        <f t="array" ref="N1459">IFERROR(IF(INDEX('Disaggregation Records'!$F$152:$F$513,MATCH(RIGHT(L1459,255),RIGHT('Disaggregation Records'!$D$152:$D$513,255),0))="","",INDEX('Disaggregation Records'!$F$152:$F$513,MATCH(RIGHT(L1459,255),RIGHT('Disaggregation Records'!$D$152:$D$513,255),0))),"")</f>
        <v/>
      </c>
      <c r="O1459" s="130" t="str">
        <f t="array" ref="O1459">IFERROR(IF(INDEX('Disaggregation Records'!$H$152:$H$513,MATCH(RIGHT(L1459,255),RIGHT('Disaggregation Records'!$D$152:$D$513,255),0))="","",INDEX('Disaggregation Records'!$H$152:$H$513,MATCH(RIGHT(L1459,255),RIGHT('Disaggregation Records'!$D$152:$D$513,255),0))),"")</f>
        <v/>
      </c>
      <c r="Q1459" s="52">
        <f t="shared" ref="Q1459" si="1654">Q1457+1</f>
        <v>1914</v>
      </c>
    </row>
    <row r="1460" spans="1:17" ht="20.100000000000001" customHeight="1" x14ac:dyDescent="0.25">
      <c r="B1460" s="602"/>
      <c r="C1460" s="604"/>
      <c r="D1460" s="606"/>
      <c r="E1460" s="606"/>
      <c r="F1460" s="132"/>
      <c r="G1460" s="608"/>
      <c r="H1460" s="598"/>
      <c r="I1460" s="600"/>
      <c r="J1460" s="532"/>
      <c r="L1460" s="130"/>
      <c r="N1460" s="130"/>
      <c r="O1460" s="130"/>
    </row>
    <row r="1461" spans="1:17" ht="20.100000000000001" customHeight="1" x14ac:dyDescent="0.25">
      <c r="A1461" s="130" t="str">
        <f t="shared" ca="1" si="1649"/>
        <v>a16Dm000000LZgIIAW</v>
      </c>
      <c r="B1461" s="601">
        <v>22</v>
      </c>
      <c r="C1461" s="603" t="str">
        <f>IFERROR(VLOOKUP(B1461,'Coverage Indicators - Section D'!$A$9:$AO$70,41,FALSE),"")</f>
        <v>DRTB-6 Percentage of TB patients with DST result for at least Rifampicin among the total number of notified (new and retreatment) patients during the reporting period</v>
      </c>
      <c r="D1461" s="605" t="str">
        <f>M1461</f>
        <v/>
      </c>
      <c r="E1461" s="605" t="str">
        <f>N1461</f>
        <v/>
      </c>
      <c r="F1461" s="131"/>
      <c r="G1461" s="607" t="str">
        <f ca="1">IF(OR(INDIRECT("'update Helper'!E"&amp;Q1461)="",F1461&lt;&gt;0,F1462&lt;&gt;0),IF(IFERROR((F1461/F1462),"")="","",(F1461/F1462)),INDIRECT("'update Helper'!E"&amp;Q1461)/100)</f>
        <v/>
      </c>
      <c r="H1461" s="597"/>
      <c r="I1461" s="599"/>
      <c r="J1461" s="531"/>
      <c r="K1461" s="130">
        <f>IF(AND(EXACT(C1461,C1459),C1459&lt;&gt;0),K1459+1,0)</f>
        <v>0</v>
      </c>
      <c r="L1461" s="130" t="str">
        <f t="shared" ref="L1461" si="1655">IF(C1461&lt;&gt;"",C1461&amp;"-"&amp;K1461,"")</f>
        <v>DRTB-6 Percentage of TB patients with DST result for at least Rifampicin among the total number of notified (new and retreatment) patients during the reporting period-0</v>
      </c>
      <c r="M1461" s="130" t="str">
        <f t="array" ref="M1461">IFERROR(IF(INDEX('Disaggregation Records'!$E$152:$E$513,MATCH(RIGHT(L1461,255),RIGHT('Disaggregation Records'!$D$152:$D$513,255),0))="","",INDEX('Disaggregation Records'!$E$152:$E$513,MATCH(RIGHT(L1461,255),RIGHT('Disaggregation Records'!$D$152:$D$513,255),0))),"")</f>
        <v/>
      </c>
      <c r="N1461" s="130" t="str">
        <f t="array" ref="N1461">IFERROR(IF(INDEX('Disaggregation Records'!$F$152:$F$513,MATCH(RIGHT(L1461,255),RIGHT('Disaggregation Records'!$D$152:$D$513,255),0))="","",INDEX('Disaggregation Records'!$F$152:$F$513,MATCH(RIGHT(L1461,255),RIGHT('Disaggregation Records'!$D$152:$D$513,255),0))),"")</f>
        <v/>
      </c>
      <c r="O1461" s="130" t="str">
        <f t="array" ref="O1461">IFERROR(IF(INDEX('Disaggregation Records'!$H$152:$H$513,MATCH(RIGHT(L1461,255),RIGHT('Disaggregation Records'!$D$152:$D$513,255),0))="","",INDEX('Disaggregation Records'!$H$152:$H$513,MATCH(RIGHT(L1461,255),RIGHT('Disaggregation Records'!$D$152:$D$513,255),0))),"")</f>
        <v/>
      </c>
      <c r="P1461" s="130"/>
      <c r="Q1461" s="52">
        <f t="shared" ref="Q1461" si="1656">Q1459+1</f>
        <v>1915</v>
      </c>
    </row>
    <row r="1462" spans="1:17" ht="20.100000000000001" customHeight="1" x14ac:dyDescent="0.25">
      <c r="A1462" s="130"/>
      <c r="B1462" s="602"/>
      <c r="C1462" s="604"/>
      <c r="D1462" s="606"/>
      <c r="E1462" s="606"/>
      <c r="F1462" s="132"/>
      <c r="G1462" s="608"/>
      <c r="H1462" s="598"/>
      <c r="I1462" s="600"/>
      <c r="J1462" s="532"/>
      <c r="K1462" s="130"/>
      <c r="L1462" s="130"/>
      <c r="M1462" s="130"/>
      <c r="N1462" s="130"/>
      <c r="O1462" s="130"/>
      <c r="P1462" s="130"/>
    </row>
    <row r="1463" spans="1:17" ht="20.100000000000001" customHeight="1" x14ac:dyDescent="0.25">
      <c r="A1463" s="130" t="str">
        <f t="shared" ca="1" si="1652"/>
        <v>a16Dm000000LZgJIAW</v>
      </c>
      <c r="B1463" s="601">
        <v>22</v>
      </c>
      <c r="C1463" s="603" t="str">
        <f>IFERROR(VLOOKUP(B1463,'Coverage Indicators - Section D'!$A$9:$AO$70,41,FALSE),"")</f>
        <v>DRTB-6 Percentage of TB patients with DST result for at least Rifampicin among the total number of notified (new and retreatment) patients during the reporting period</v>
      </c>
      <c r="D1463" s="605" t="str">
        <f>M1463</f>
        <v/>
      </c>
      <c r="E1463" s="605" t="str">
        <f>N1463</f>
        <v/>
      </c>
      <c r="F1463" s="131"/>
      <c r="G1463" s="607" t="str">
        <f ca="1">IF(OR(INDIRECT("'update Helper'!E"&amp;Q1463)="",F1463&lt;&gt;0,F1464&lt;&gt;0),IF(IFERROR((F1463/F1464),"")="","",(F1463/F1464)),INDIRECT("'update Helper'!E"&amp;Q1463)/100)</f>
        <v/>
      </c>
      <c r="H1463" s="597"/>
      <c r="I1463" s="599"/>
      <c r="J1463" s="531"/>
      <c r="K1463" s="130">
        <f>IF(AND(EXACT(C1463,C1461),C1461&lt;&gt;0),K1461+1,0)</f>
        <v>1</v>
      </c>
      <c r="L1463" s="130" t="str">
        <f t="shared" ref="L1463" si="1657">IF(C1463&lt;&gt;"",C1463&amp;"-"&amp;K1463,"")</f>
        <v>DRTB-6 Percentage of TB patients with DST result for at least Rifampicin among the total number of notified (new and retreatment) patients during the reporting period-1</v>
      </c>
      <c r="M1463" s="130" t="str">
        <f t="array" ref="M1463">IFERROR(IF(INDEX('Disaggregation Records'!$E$152:$E$513,MATCH(RIGHT(L1463,255),RIGHT('Disaggregation Records'!$D$152:$D$513,255),0))="","",INDEX('Disaggregation Records'!$E$152:$E$513,MATCH(RIGHT(L1463,255),RIGHT('Disaggregation Records'!$D$152:$D$513,255),0))),"")</f>
        <v/>
      </c>
      <c r="N1463" s="130" t="str">
        <f t="array" ref="N1463">IFERROR(IF(INDEX('Disaggregation Records'!$F$152:$F$513,MATCH(RIGHT(L1463,255),RIGHT('Disaggregation Records'!$D$152:$D$513,255),0))="","",INDEX('Disaggregation Records'!$F$152:$F$513,MATCH(RIGHT(L1463,255),RIGHT('Disaggregation Records'!$D$152:$D$513,255),0))),"")</f>
        <v/>
      </c>
      <c r="O1463" s="130" t="str">
        <f t="array" ref="O1463">IFERROR(IF(INDEX('Disaggregation Records'!$H$152:$H$513,MATCH(RIGHT(L1463,255),RIGHT('Disaggregation Records'!$D$152:$D$513,255),0))="","",INDEX('Disaggregation Records'!$H$152:$H$513,MATCH(RIGHT(L1463,255),RIGHT('Disaggregation Records'!$D$152:$D$513,255),0))),"")</f>
        <v/>
      </c>
      <c r="P1463" s="130"/>
      <c r="Q1463" s="52">
        <f t="shared" ref="Q1463" si="1658">Q1461+1</f>
        <v>1916</v>
      </c>
    </row>
    <row r="1464" spans="1:17" ht="20.100000000000001" customHeight="1" x14ac:dyDescent="0.25">
      <c r="B1464" s="602"/>
      <c r="C1464" s="604"/>
      <c r="D1464" s="606"/>
      <c r="E1464" s="606"/>
      <c r="F1464" s="132"/>
      <c r="G1464" s="608"/>
      <c r="H1464" s="598"/>
      <c r="I1464" s="600"/>
      <c r="J1464" s="532"/>
      <c r="K1464" s="130"/>
      <c r="L1464" s="130"/>
      <c r="M1464" s="130"/>
      <c r="N1464" s="130"/>
      <c r="O1464" s="130"/>
      <c r="P1464" s="130"/>
    </row>
    <row r="1465" spans="1:17" ht="20.100000000000001" customHeight="1" x14ac:dyDescent="0.25">
      <c r="A1465" s="130" t="str">
        <f t="shared" ca="1" si="1649"/>
        <v>a16Dm000000LZgKIAW</v>
      </c>
      <c r="B1465" s="601">
        <v>22</v>
      </c>
      <c r="C1465" s="603" t="str">
        <f>IFERROR(VLOOKUP(B1465,'Coverage Indicators - Section D'!$A$9:$AO$70,41,FALSE),"")</f>
        <v>DRTB-6 Percentage of TB patients with DST result for at least Rifampicin among the total number of notified (new and retreatment) patients during the reporting period</v>
      </c>
      <c r="D1465" s="605" t="str">
        <f>M1465</f>
        <v/>
      </c>
      <c r="E1465" s="605" t="str">
        <f>N1465</f>
        <v/>
      </c>
      <c r="F1465" s="131"/>
      <c r="G1465" s="607" t="str">
        <f ca="1">IF(OR(INDIRECT("'update Helper'!E"&amp;Q1465)="",F1465&lt;&gt;0,F1466&lt;&gt;0),IF(IFERROR((F1465/F1466),"")="","",(F1465/F1466)),INDIRECT("'update Helper'!E"&amp;Q1465)/100)</f>
        <v/>
      </c>
      <c r="H1465" s="597"/>
      <c r="I1465" s="599"/>
      <c r="J1465" s="531"/>
      <c r="K1465" s="130">
        <f>IF(AND(EXACT(C1465,C1463),C1463&lt;&gt;0),K1463+1,0)</f>
        <v>2</v>
      </c>
      <c r="L1465" s="130" t="str">
        <f t="shared" ref="L1465" si="1659">IF(C1465&lt;&gt;"",C1465&amp;"-"&amp;K1465,"")</f>
        <v>DRTB-6 Percentage of TB patients with DST result for at least Rifampicin among the total number of notified (new and retreatment) patients during the reporting period-2</v>
      </c>
      <c r="M1465" s="130" t="str">
        <f t="array" ref="M1465">IFERROR(IF(INDEX('Disaggregation Records'!$E$152:$E$513,MATCH(RIGHT(L1465,255),RIGHT('Disaggregation Records'!$D$152:$D$513,255),0))="","",INDEX('Disaggregation Records'!$E$152:$E$513,MATCH(RIGHT(L1465,255),RIGHT('Disaggregation Records'!$D$152:$D$513,255),0))),"")</f>
        <v/>
      </c>
      <c r="N1465" s="130" t="str">
        <f t="array" ref="N1465">IFERROR(IF(INDEX('Disaggregation Records'!$F$152:$F$513,MATCH(RIGHT(L1465,255),RIGHT('Disaggregation Records'!$D$152:$D$513,255),0))="","",INDEX('Disaggregation Records'!$F$152:$F$513,MATCH(RIGHT(L1465,255),RIGHT('Disaggregation Records'!$D$152:$D$513,255),0))),"")</f>
        <v/>
      </c>
      <c r="O1465" s="130" t="str">
        <f t="array" ref="O1465">IFERROR(IF(INDEX('Disaggregation Records'!$H$152:$H$513,MATCH(RIGHT(L1465,255),RIGHT('Disaggregation Records'!$D$152:$D$513,255),0))="","",INDEX('Disaggregation Records'!$H$152:$H$513,MATCH(RIGHT(L1465,255),RIGHT('Disaggregation Records'!$D$152:$D$513,255),0))),"")</f>
        <v/>
      </c>
      <c r="Q1465" s="52">
        <f t="shared" ref="Q1465" si="1660">Q1463+1</f>
        <v>1917</v>
      </c>
    </row>
    <row r="1466" spans="1:17" ht="20.100000000000001" customHeight="1" x14ac:dyDescent="0.25">
      <c r="A1466" s="130"/>
      <c r="B1466" s="602"/>
      <c r="C1466" s="604"/>
      <c r="D1466" s="606"/>
      <c r="E1466" s="606"/>
      <c r="F1466" s="132"/>
      <c r="G1466" s="608"/>
      <c r="H1466" s="598"/>
      <c r="I1466" s="600"/>
      <c r="J1466" s="532"/>
      <c r="L1466" s="130"/>
      <c r="N1466" s="130"/>
      <c r="O1466" s="130"/>
    </row>
    <row r="1467" spans="1:17" ht="20.100000000000001" customHeight="1" x14ac:dyDescent="0.25">
      <c r="A1467" s="130" t="str">
        <f t="shared" ca="1" si="1652"/>
        <v>a16Dm000000LZgLIAW</v>
      </c>
      <c r="B1467" s="601">
        <v>22</v>
      </c>
      <c r="C1467" s="603" t="str">
        <f>IFERROR(VLOOKUP(B1467,'Coverage Indicators - Section D'!$A$9:$AO$70,41,FALSE),"")</f>
        <v>DRTB-6 Percentage of TB patients with DST result for at least Rifampicin among the total number of notified (new and retreatment) patients during the reporting period</v>
      </c>
      <c r="D1467" s="605" t="str">
        <f>M1467</f>
        <v/>
      </c>
      <c r="E1467" s="605" t="str">
        <f>N1467</f>
        <v/>
      </c>
      <c r="F1467" s="131"/>
      <c r="G1467" s="607" t="str">
        <f ca="1">IF(OR(INDIRECT("'update Helper'!E"&amp;Q1467)="",F1467&lt;&gt;0,F1468&lt;&gt;0),IF(IFERROR((F1467/F1468),"")="","",(F1467/F1468)),INDIRECT("'update Helper'!E"&amp;Q1467)/100)</f>
        <v/>
      </c>
      <c r="H1467" s="597"/>
      <c r="I1467" s="599"/>
      <c r="J1467" s="531"/>
      <c r="K1467" s="130">
        <f>IF(AND(EXACT(C1467,C1465),C1465&lt;&gt;0),K1465+1,0)</f>
        <v>3</v>
      </c>
      <c r="L1467" s="130" t="str">
        <f t="shared" ref="L1467" si="1661">IF(C1467&lt;&gt;"",C1467&amp;"-"&amp;K1467,"")</f>
        <v>DRTB-6 Percentage of TB patients with DST result for at least Rifampicin among the total number of notified (new and retreatment) patients during the reporting period-3</v>
      </c>
      <c r="M1467" s="130" t="str">
        <f t="array" ref="M1467">IFERROR(IF(INDEX('Disaggregation Records'!$E$152:$E$513,MATCH(RIGHT(L1467,255),RIGHT('Disaggregation Records'!$D$152:$D$513,255),0))="","",INDEX('Disaggregation Records'!$E$152:$E$513,MATCH(RIGHT(L1467,255),RIGHT('Disaggregation Records'!$D$152:$D$513,255),0))),"")</f>
        <v/>
      </c>
      <c r="N1467" s="130" t="str">
        <f t="array" ref="N1467">IFERROR(IF(INDEX('Disaggregation Records'!$F$152:$F$513,MATCH(RIGHT(L1467,255),RIGHT('Disaggregation Records'!$D$152:$D$513,255),0))="","",INDEX('Disaggregation Records'!$F$152:$F$513,MATCH(RIGHT(L1467,255),RIGHT('Disaggregation Records'!$D$152:$D$513,255),0))),"")</f>
        <v/>
      </c>
      <c r="O1467" s="130" t="str">
        <f t="array" ref="O1467">IFERROR(IF(INDEX('Disaggregation Records'!$H$152:$H$513,MATCH(RIGHT(L1467,255),RIGHT('Disaggregation Records'!$D$152:$D$513,255),0))="","",INDEX('Disaggregation Records'!$H$152:$H$513,MATCH(RIGHT(L1467,255),RIGHT('Disaggregation Records'!$D$152:$D$513,255),0))),"")</f>
        <v/>
      </c>
      <c r="Q1467" s="52">
        <f t="shared" ref="Q1467" si="1662">Q1465+1</f>
        <v>1918</v>
      </c>
    </row>
    <row r="1468" spans="1:17" ht="20.100000000000001" customHeight="1" x14ac:dyDescent="0.25">
      <c r="B1468" s="602"/>
      <c r="C1468" s="604"/>
      <c r="D1468" s="606"/>
      <c r="E1468" s="606"/>
      <c r="F1468" s="132"/>
      <c r="G1468" s="608"/>
      <c r="H1468" s="598"/>
      <c r="I1468" s="600"/>
      <c r="J1468" s="532"/>
      <c r="L1468" s="130"/>
      <c r="N1468" s="130"/>
      <c r="O1468" s="130"/>
    </row>
    <row r="1469" spans="1:17" ht="20.100000000000001" customHeight="1" x14ac:dyDescent="0.25">
      <c r="A1469" s="130" t="str">
        <f t="shared" ca="1" si="1649"/>
        <v>a16Dm000000LZgMIAW</v>
      </c>
      <c r="B1469" s="601">
        <v>22</v>
      </c>
      <c r="C1469" s="603" t="str">
        <f>IFERROR(VLOOKUP(B1469,'Coverage Indicators - Section D'!$A$9:$AO$70,41,FALSE),"")</f>
        <v>DRTB-6 Percentage of TB patients with DST result for at least Rifampicin among the total number of notified (new and retreatment) patients during the reporting period</v>
      </c>
      <c r="D1469" s="605" t="str">
        <f>M1469</f>
        <v/>
      </c>
      <c r="E1469" s="605" t="str">
        <f>N1469</f>
        <v/>
      </c>
      <c r="F1469" s="131"/>
      <c r="G1469" s="607" t="str">
        <f ca="1">IF(OR(INDIRECT("'update Helper'!E"&amp;Q1469)="",F1469&lt;&gt;0,F1470&lt;&gt;0),IF(IFERROR((F1469/F1470),"")="","",(F1469/F1470)),INDIRECT("'update Helper'!E"&amp;Q1469)/100)</f>
        <v/>
      </c>
      <c r="H1469" s="597"/>
      <c r="I1469" s="599"/>
      <c r="J1469" s="531"/>
      <c r="K1469" s="130">
        <f>IF(AND(EXACT(C1469,C1467),C1467&lt;&gt;0),K1467+1,0)</f>
        <v>4</v>
      </c>
      <c r="L1469" s="130" t="str">
        <f t="shared" ref="L1469" si="1663">IF(C1469&lt;&gt;"",C1469&amp;"-"&amp;K1469,"")</f>
        <v>DRTB-6 Percentage of TB patients with DST result for at least Rifampicin among the total number of notified (new and retreatment) patients during the reporting period-4</v>
      </c>
      <c r="M1469" s="130" t="str">
        <f t="array" ref="M1469">IFERROR(IF(INDEX('Disaggregation Records'!$E$152:$E$513,MATCH(RIGHT(L1469,255),RIGHT('Disaggregation Records'!$D$152:$D$513,255),0))="","",INDEX('Disaggregation Records'!$E$152:$E$513,MATCH(RIGHT(L1469,255),RIGHT('Disaggregation Records'!$D$152:$D$513,255),0))),"")</f>
        <v/>
      </c>
      <c r="N1469" s="130" t="str">
        <f t="array" ref="N1469">IFERROR(IF(INDEX('Disaggregation Records'!$F$152:$F$513,MATCH(RIGHT(L1469,255),RIGHT('Disaggregation Records'!$D$152:$D$513,255),0))="","",INDEX('Disaggregation Records'!$F$152:$F$513,MATCH(RIGHT(L1469,255),RIGHT('Disaggregation Records'!$D$152:$D$513,255),0))),"")</f>
        <v/>
      </c>
      <c r="O1469" s="130" t="str">
        <f t="array" ref="O1469">IFERROR(IF(INDEX('Disaggregation Records'!$H$152:$H$513,MATCH(RIGHT(L1469,255),RIGHT('Disaggregation Records'!$D$152:$D$513,255),0))="","",INDEX('Disaggregation Records'!$H$152:$H$513,MATCH(RIGHT(L1469,255),RIGHT('Disaggregation Records'!$D$152:$D$513,255),0))),"")</f>
        <v/>
      </c>
      <c r="Q1469" s="52">
        <f t="shared" ref="Q1469" si="1664">Q1467+1</f>
        <v>1919</v>
      </c>
    </row>
    <row r="1470" spans="1:17" ht="20.100000000000001" customHeight="1" x14ac:dyDescent="0.25">
      <c r="A1470" s="130"/>
      <c r="B1470" s="602"/>
      <c r="C1470" s="604"/>
      <c r="D1470" s="606"/>
      <c r="E1470" s="606"/>
      <c r="F1470" s="132"/>
      <c r="G1470" s="608"/>
      <c r="H1470" s="598"/>
      <c r="I1470" s="600"/>
      <c r="J1470" s="532"/>
      <c r="L1470" s="130"/>
      <c r="N1470" s="130"/>
      <c r="O1470" s="130"/>
    </row>
    <row r="1471" spans="1:17" ht="20.100000000000001" customHeight="1" x14ac:dyDescent="0.25">
      <c r="A1471" s="130" t="str">
        <f t="shared" ca="1" si="1652"/>
        <v>a16Dm000000LZgNIAW</v>
      </c>
      <c r="B1471" s="601">
        <v>22</v>
      </c>
      <c r="C1471" s="603" t="str">
        <f>IFERROR(VLOOKUP(B1471,'Coverage Indicators - Section D'!$A$9:$AO$70,41,FALSE),"")</f>
        <v>DRTB-6 Percentage of TB patients with DST result for at least Rifampicin among the total number of notified (new and retreatment) patients during the reporting period</v>
      </c>
      <c r="D1471" s="605" t="str">
        <f>M1471</f>
        <v/>
      </c>
      <c r="E1471" s="605" t="str">
        <f>N1471</f>
        <v/>
      </c>
      <c r="F1471" s="131"/>
      <c r="G1471" s="607" t="str">
        <f ca="1">IF(OR(INDIRECT("'update Helper'!E"&amp;Q1471)="",F1471&lt;&gt;0,F1472&lt;&gt;0),IF(IFERROR((F1471/F1472),"")="","",(F1471/F1472)),INDIRECT("'update Helper'!E"&amp;Q1471)/100)</f>
        <v/>
      </c>
      <c r="H1471" s="597"/>
      <c r="I1471" s="599"/>
      <c r="J1471" s="531"/>
      <c r="K1471" s="130">
        <f>IF(AND(EXACT(C1471,C1469),C1469&lt;&gt;0),K1469+1,0)</f>
        <v>5</v>
      </c>
      <c r="L1471" s="130" t="str">
        <f t="shared" ref="L1471" si="1665">IF(C1471&lt;&gt;"",C1471&amp;"-"&amp;K1471,"")</f>
        <v>DRTB-6 Percentage of TB patients with DST result for at least Rifampicin among the total number of notified (new and retreatment) patients during the reporting period-5</v>
      </c>
      <c r="M1471" s="130" t="str">
        <f t="array" ref="M1471">IFERROR(IF(INDEX('Disaggregation Records'!$E$152:$E$513,MATCH(RIGHT(L1471,255),RIGHT('Disaggregation Records'!$D$152:$D$513,255),0))="","",INDEX('Disaggregation Records'!$E$152:$E$513,MATCH(RIGHT(L1471,255),RIGHT('Disaggregation Records'!$D$152:$D$513,255),0))),"")</f>
        <v/>
      </c>
      <c r="N1471" s="130" t="str">
        <f t="array" ref="N1471">IFERROR(IF(INDEX('Disaggregation Records'!$F$152:$F$513,MATCH(RIGHT(L1471,255),RIGHT('Disaggregation Records'!$D$152:$D$513,255),0))="","",INDEX('Disaggregation Records'!$F$152:$F$513,MATCH(RIGHT(L1471,255),RIGHT('Disaggregation Records'!$D$152:$D$513,255),0))),"")</f>
        <v/>
      </c>
      <c r="O1471" s="130" t="str">
        <f t="array" ref="O1471">IFERROR(IF(INDEX('Disaggregation Records'!$H$152:$H$513,MATCH(RIGHT(L1471,255),RIGHT('Disaggregation Records'!$D$152:$D$513,255),0))="","",INDEX('Disaggregation Records'!$H$152:$H$513,MATCH(RIGHT(L1471,255),RIGHT('Disaggregation Records'!$D$152:$D$513,255),0))),"")</f>
        <v/>
      </c>
      <c r="P1471" s="130"/>
      <c r="Q1471" s="52">
        <f t="shared" ref="Q1471" si="1666">Q1469+1</f>
        <v>1920</v>
      </c>
    </row>
    <row r="1472" spans="1:17" ht="20.100000000000001" customHeight="1" x14ac:dyDescent="0.25">
      <c r="B1472" s="602"/>
      <c r="C1472" s="604"/>
      <c r="D1472" s="606"/>
      <c r="E1472" s="606"/>
      <c r="F1472" s="132"/>
      <c r="G1472" s="608"/>
      <c r="H1472" s="598"/>
      <c r="I1472" s="600"/>
      <c r="J1472" s="532"/>
      <c r="K1472" s="130"/>
      <c r="L1472" s="130"/>
      <c r="M1472" s="130"/>
      <c r="N1472" s="130"/>
      <c r="O1472" s="130"/>
      <c r="P1472" s="130"/>
    </row>
    <row r="1473" spans="1:17" ht="20.100000000000001" customHeight="1" x14ac:dyDescent="0.25">
      <c r="A1473" s="130" t="str">
        <f t="shared" ca="1" si="1649"/>
        <v>a16Dm000000LZgOIAW</v>
      </c>
      <c r="B1473" s="601">
        <v>22</v>
      </c>
      <c r="C1473" s="603" t="str">
        <f>IFERROR(VLOOKUP(B1473,'Coverage Indicators - Section D'!$A$9:$AO$70,41,FALSE),"")</f>
        <v>DRTB-6 Percentage of TB patients with DST result for at least Rifampicin among the total number of notified (new and retreatment) patients during the reporting period</v>
      </c>
      <c r="D1473" s="605" t="str">
        <f>M1473</f>
        <v/>
      </c>
      <c r="E1473" s="605" t="str">
        <f>N1473</f>
        <v/>
      </c>
      <c r="F1473" s="131"/>
      <c r="G1473" s="607" t="str">
        <f ca="1">IF(OR(INDIRECT("'update Helper'!E"&amp;Q1473)="",F1473&lt;&gt;0,F1474&lt;&gt;0),IF(IFERROR((F1473/F1474),"")="","",(F1473/F1474)),INDIRECT("'update Helper'!E"&amp;Q1473)/100)</f>
        <v/>
      </c>
      <c r="H1473" s="597"/>
      <c r="I1473" s="599"/>
      <c r="J1473" s="531"/>
      <c r="K1473" s="130">
        <f>IF(AND(EXACT(C1473,C1471),C1471&lt;&gt;0),K1471+1,0)</f>
        <v>6</v>
      </c>
      <c r="L1473" s="130" t="str">
        <f t="shared" ref="L1473" si="1667">IF(C1473&lt;&gt;"",C1473&amp;"-"&amp;K1473,"")</f>
        <v>DRTB-6 Percentage of TB patients with DST result for at least Rifampicin among the total number of notified (new and retreatment) patients during the reporting period-6</v>
      </c>
      <c r="M1473" s="130" t="str">
        <f t="array" ref="M1473">IFERROR(IF(INDEX('Disaggregation Records'!$E$152:$E$513,MATCH(RIGHT(L1473,255),RIGHT('Disaggregation Records'!$D$152:$D$513,255),0))="","",INDEX('Disaggregation Records'!$E$152:$E$513,MATCH(RIGHT(L1473,255),RIGHT('Disaggregation Records'!$D$152:$D$513,255),0))),"")</f>
        <v/>
      </c>
      <c r="N1473" s="130" t="str">
        <f t="array" ref="N1473">IFERROR(IF(INDEX('Disaggregation Records'!$F$152:$F$513,MATCH(RIGHT(L1473,255),RIGHT('Disaggregation Records'!$D$152:$D$513,255),0))="","",INDEX('Disaggregation Records'!$F$152:$F$513,MATCH(RIGHT(L1473,255),RIGHT('Disaggregation Records'!$D$152:$D$513,255),0))),"")</f>
        <v/>
      </c>
      <c r="O1473" s="130" t="str">
        <f t="array" ref="O1473">IFERROR(IF(INDEX('Disaggregation Records'!$H$152:$H$513,MATCH(RIGHT(L1473,255),RIGHT('Disaggregation Records'!$D$152:$D$513,255),0))="","",INDEX('Disaggregation Records'!$H$152:$H$513,MATCH(RIGHT(L1473,255),RIGHT('Disaggregation Records'!$D$152:$D$513,255),0))),"")</f>
        <v/>
      </c>
      <c r="P1473" s="130"/>
      <c r="Q1473" s="52">
        <f t="shared" ref="Q1473" si="1668">Q1471+1</f>
        <v>1921</v>
      </c>
    </row>
    <row r="1474" spans="1:17" ht="20.100000000000001" customHeight="1" x14ac:dyDescent="0.25">
      <c r="A1474" s="130"/>
      <c r="B1474" s="602"/>
      <c r="C1474" s="604"/>
      <c r="D1474" s="606"/>
      <c r="E1474" s="606"/>
      <c r="F1474" s="132"/>
      <c r="G1474" s="608"/>
      <c r="H1474" s="598"/>
      <c r="I1474" s="600"/>
      <c r="J1474" s="532"/>
      <c r="K1474" s="130"/>
      <c r="L1474" s="130"/>
      <c r="M1474" s="130"/>
      <c r="N1474" s="130"/>
      <c r="O1474" s="130"/>
      <c r="P1474" s="130"/>
    </row>
    <row r="1475" spans="1:17" ht="20.100000000000001" customHeight="1" x14ac:dyDescent="0.25">
      <c r="A1475" s="130" t="str">
        <f t="shared" ca="1" si="1652"/>
        <v>a16Dm000000LZgPIAW</v>
      </c>
      <c r="B1475" s="601">
        <v>22</v>
      </c>
      <c r="C1475" s="603" t="str">
        <f>IFERROR(VLOOKUP(B1475,'Coverage Indicators - Section D'!$A$9:$AO$70,41,FALSE),"")</f>
        <v>DRTB-6 Percentage of TB patients with DST result for at least Rifampicin among the total number of notified (new and retreatment) patients during the reporting period</v>
      </c>
      <c r="D1475" s="605" t="str">
        <f>M1475</f>
        <v/>
      </c>
      <c r="E1475" s="605" t="str">
        <f>N1475</f>
        <v/>
      </c>
      <c r="F1475" s="131"/>
      <c r="G1475" s="607" t="str">
        <f ca="1">IF(OR(INDIRECT("'update Helper'!E"&amp;Q1475)="",F1475&lt;&gt;0,F1476&lt;&gt;0),IF(IFERROR((F1475/F1476),"")="","",(F1475/F1476)),INDIRECT("'update Helper'!E"&amp;Q1475)/100)</f>
        <v/>
      </c>
      <c r="H1475" s="597"/>
      <c r="I1475" s="599"/>
      <c r="J1475" s="531"/>
      <c r="K1475" s="130">
        <f>IF(AND(EXACT(C1475,C1473),C1473&lt;&gt;0),K1473+1,0)</f>
        <v>7</v>
      </c>
      <c r="L1475" s="130" t="str">
        <f t="shared" ref="L1475" si="1669">IF(C1475&lt;&gt;"",C1475&amp;"-"&amp;K1475,"")</f>
        <v>DRTB-6 Percentage of TB patients with DST result for at least Rifampicin among the total number of notified (new and retreatment) patients during the reporting period-7</v>
      </c>
      <c r="M1475" s="130" t="str">
        <f t="array" ref="M1475">IFERROR(IF(INDEX('Disaggregation Records'!$E$152:$E$513,MATCH(RIGHT(L1475,255),RIGHT('Disaggregation Records'!$D$152:$D$513,255),0))="","",INDEX('Disaggregation Records'!$E$152:$E$513,MATCH(RIGHT(L1475,255),RIGHT('Disaggregation Records'!$D$152:$D$513,255),0))),"")</f>
        <v/>
      </c>
      <c r="N1475" s="130" t="str">
        <f t="array" ref="N1475">IFERROR(IF(INDEX('Disaggregation Records'!$F$152:$F$513,MATCH(RIGHT(L1475,255),RIGHT('Disaggregation Records'!$D$152:$D$513,255),0))="","",INDEX('Disaggregation Records'!$F$152:$F$513,MATCH(RIGHT(L1475,255),RIGHT('Disaggregation Records'!$D$152:$D$513,255),0))),"")</f>
        <v/>
      </c>
      <c r="O1475" s="130" t="str">
        <f t="array" ref="O1475">IFERROR(IF(INDEX('Disaggregation Records'!$H$152:$H$513,MATCH(RIGHT(L1475,255),RIGHT('Disaggregation Records'!$D$152:$D$513,255),0))="","",INDEX('Disaggregation Records'!$H$152:$H$513,MATCH(RIGHT(L1475,255),RIGHT('Disaggregation Records'!$D$152:$D$513,255),0))),"")</f>
        <v/>
      </c>
      <c r="Q1475" s="52">
        <f t="shared" ref="Q1475" si="1670">Q1473+1</f>
        <v>1922</v>
      </c>
    </row>
    <row r="1476" spans="1:17" ht="20.100000000000001" customHeight="1" x14ac:dyDescent="0.25">
      <c r="B1476" s="602"/>
      <c r="C1476" s="604"/>
      <c r="D1476" s="606"/>
      <c r="E1476" s="606"/>
      <c r="F1476" s="132"/>
      <c r="G1476" s="608"/>
      <c r="H1476" s="598"/>
      <c r="I1476" s="600"/>
      <c r="J1476" s="532"/>
      <c r="L1476" s="130"/>
      <c r="N1476" s="130"/>
      <c r="O1476" s="130"/>
    </row>
    <row r="1477" spans="1:17" ht="20.100000000000001" customHeight="1" x14ac:dyDescent="0.25">
      <c r="A1477" s="130" t="str">
        <f t="shared" ca="1" si="1649"/>
        <v>a16Dm000000LZgQIAW</v>
      </c>
      <c r="B1477" s="601">
        <v>22</v>
      </c>
      <c r="C1477" s="603" t="str">
        <f>IFERROR(VLOOKUP(B1477,'Coverage Indicators - Section D'!$A$9:$AO$70,41,FALSE),"")</f>
        <v>DRTB-6 Percentage of TB patients with DST result for at least Rifampicin among the total number of notified (new and retreatment) patients during the reporting period</v>
      </c>
      <c r="D1477" s="605" t="str">
        <f>M1477</f>
        <v/>
      </c>
      <c r="E1477" s="605" t="str">
        <f>N1477</f>
        <v/>
      </c>
      <c r="F1477" s="131"/>
      <c r="G1477" s="607" t="str">
        <f ca="1">IF(OR(INDIRECT("'update Helper'!E"&amp;Q1477)="",F1477&lt;&gt;0,F1478&lt;&gt;0),IF(IFERROR((F1477/F1478),"")="","",(F1477/F1478)),INDIRECT("'update Helper'!E"&amp;Q1477)/100)</f>
        <v/>
      </c>
      <c r="H1477" s="597"/>
      <c r="I1477" s="599"/>
      <c r="J1477" s="531"/>
      <c r="K1477" s="130">
        <f>IF(AND(EXACT(C1477,C1475),C1475&lt;&gt;0),K1475+1,0)</f>
        <v>8</v>
      </c>
      <c r="L1477" s="130" t="str">
        <f t="shared" ref="L1477" si="1671">IF(C1477&lt;&gt;"",C1477&amp;"-"&amp;K1477,"")</f>
        <v>DRTB-6 Percentage of TB patients with DST result for at least Rifampicin among the total number of notified (new and retreatment) patients during the reporting period-8</v>
      </c>
      <c r="M1477" s="130" t="str">
        <f t="array" ref="M1477">IFERROR(IF(INDEX('Disaggregation Records'!$E$152:$E$513,MATCH(RIGHT(L1477,255),RIGHT('Disaggregation Records'!$D$152:$D$513,255),0))="","",INDEX('Disaggregation Records'!$E$152:$E$513,MATCH(RIGHT(L1477,255),RIGHT('Disaggregation Records'!$D$152:$D$513,255),0))),"")</f>
        <v/>
      </c>
      <c r="N1477" s="130" t="str">
        <f t="array" ref="N1477">IFERROR(IF(INDEX('Disaggregation Records'!$F$152:$F$513,MATCH(RIGHT(L1477,255),RIGHT('Disaggregation Records'!$D$152:$D$513,255),0))="","",INDEX('Disaggregation Records'!$F$152:$F$513,MATCH(RIGHT(L1477,255),RIGHT('Disaggregation Records'!$D$152:$D$513,255),0))),"")</f>
        <v/>
      </c>
      <c r="O1477" s="130" t="str">
        <f t="array" ref="O1477">IFERROR(IF(INDEX('Disaggregation Records'!$H$152:$H$513,MATCH(RIGHT(L1477,255),RIGHT('Disaggregation Records'!$D$152:$D$513,255),0))="","",INDEX('Disaggregation Records'!$H$152:$H$513,MATCH(RIGHT(L1477,255),RIGHT('Disaggregation Records'!$D$152:$D$513,255),0))),"")</f>
        <v/>
      </c>
      <c r="Q1477" s="52">
        <f t="shared" ref="Q1477" si="1672">Q1475+1</f>
        <v>1923</v>
      </c>
    </row>
    <row r="1478" spans="1:17" ht="20.100000000000001" customHeight="1" x14ac:dyDescent="0.25">
      <c r="A1478" s="130"/>
      <c r="B1478" s="602"/>
      <c r="C1478" s="604"/>
      <c r="D1478" s="606"/>
      <c r="E1478" s="606"/>
      <c r="F1478" s="132"/>
      <c r="G1478" s="608"/>
      <c r="H1478" s="598"/>
      <c r="I1478" s="600"/>
      <c r="J1478" s="532"/>
      <c r="L1478" s="130"/>
      <c r="N1478" s="130"/>
      <c r="O1478" s="130"/>
    </row>
    <row r="1479" spans="1:17" ht="20.100000000000001" customHeight="1" x14ac:dyDescent="0.25">
      <c r="A1479" s="130" t="str">
        <f t="shared" ca="1" si="1652"/>
        <v>a16Dm000000LZgRIAW</v>
      </c>
      <c r="B1479" s="601">
        <v>22</v>
      </c>
      <c r="C1479" s="603" t="str">
        <f>IFERROR(VLOOKUP(B1479,'Coverage Indicators - Section D'!$A$9:$AO$70,41,FALSE),"")</f>
        <v>DRTB-6 Percentage of TB patients with DST result for at least Rifampicin among the total number of notified (new and retreatment) patients during the reporting period</v>
      </c>
      <c r="D1479" s="605" t="str">
        <f>M1479</f>
        <v/>
      </c>
      <c r="E1479" s="605" t="str">
        <f>N1479</f>
        <v/>
      </c>
      <c r="F1479" s="131"/>
      <c r="G1479" s="607" t="str">
        <f ca="1">IF(OR(INDIRECT("'update Helper'!E"&amp;Q1479)="",F1479&lt;&gt;0,F1480&lt;&gt;0),IF(IFERROR((F1479/F1480),"")="","",(F1479/F1480)),INDIRECT("'update Helper'!E"&amp;Q1479)/100)</f>
        <v/>
      </c>
      <c r="H1479" s="597"/>
      <c r="I1479" s="599"/>
      <c r="J1479" s="531"/>
      <c r="K1479" s="130">
        <f>IF(AND(EXACT(C1479,C1477),C1477&lt;&gt;0),K1477+1,0)</f>
        <v>9</v>
      </c>
      <c r="L1479" s="130" t="str">
        <f t="shared" ref="L1479" si="1673">IF(C1479&lt;&gt;"",C1479&amp;"-"&amp;K1479,"")</f>
        <v>DRTB-6 Percentage of TB patients with DST result for at least Rifampicin among the total number of notified (new and retreatment) patients during the reporting period-9</v>
      </c>
      <c r="M1479" s="130" t="str">
        <f t="array" ref="M1479">IFERROR(IF(INDEX('Disaggregation Records'!$E$152:$E$513,MATCH(RIGHT(L1479,255),RIGHT('Disaggregation Records'!$D$152:$D$513,255),0))="","",INDEX('Disaggregation Records'!$E$152:$E$513,MATCH(RIGHT(L1479,255),RIGHT('Disaggregation Records'!$D$152:$D$513,255),0))),"")</f>
        <v/>
      </c>
      <c r="N1479" s="130" t="str">
        <f t="array" ref="N1479">IFERROR(IF(INDEX('Disaggregation Records'!$F$152:$F$513,MATCH(RIGHT(L1479,255),RIGHT('Disaggregation Records'!$D$152:$D$513,255),0))="","",INDEX('Disaggregation Records'!$F$152:$F$513,MATCH(RIGHT(L1479,255),RIGHT('Disaggregation Records'!$D$152:$D$513,255),0))),"")</f>
        <v/>
      </c>
      <c r="O1479" s="130" t="str">
        <f t="array" ref="O1479">IFERROR(IF(INDEX('Disaggregation Records'!$H$152:$H$513,MATCH(RIGHT(L1479,255),RIGHT('Disaggregation Records'!$D$152:$D$513,255),0))="","",INDEX('Disaggregation Records'!$H$152:$H$513,MATCH(RIGHT(L1479,255),RIGHT('Disaggregation Records'!$D$152:$D$513,255),0))),"")</f>
        <v/>
      </c>
      <c r="Q1479" s="52">
        <f t="shared" ref="Q1479" si="1674">Q1477+1</f>
        <v>1924</v>
      </c>
    </row>
    <row r="1480" spans="1:17" ht="20.100000000000001" customHeight="1" x14ac:dyDescent="0.25">
      <c r="B1480" s="602"/>
      <c r="C1480" s="604"/>
      <c r="D1480" s="606"/>
      <c r="E1480" s="606"/>
      <c r="F1480" s="132"/>
      <c r="G1480" s="608"/>
      <c r="H1480" s="598"/>
      <c r="I1480" s="600"/>
      <c r="J1480" s="532"/>
      <c r="L1480" s="130"/>
      <c r="N1480" s="130"/>
      <c r="O1480" s="130"/>
    </row>
    <row r="1481" spans="1:17" ht="20.100000000000001" customHeight="1" x14ac:dyDescent="0.25">
      <c r="A1481" s="130" t="str">
        <f t="shared" ca="1" si="1649"/>
        <v>a16Dm000000LZgSIAW</v>
      </c>
      <c r="B1481" s="601">
        <v>22</v>
      </c>
      <c r="C1481" s="603" t="str">
        <f>IFERROR(VLOOKUP(B1481,'Coverage Indicators - Section D'!$A$9:$AO$70,41,FALSE),"")</f>
        <v>DRTB-6 Percentage of TB patients with DST result for at least Rifampicin among the total number of notified (new and retreatment) patients during the reporting period</v>
      </c>
      <c r="D1481" s="605" t="str">
        <f>M1481</f>
        <v/>
      </c>
      <c r="E1481" s="605" t="str">
        <f>N1481</f>
        <v/>
      </c>
      <c r="F1481" s="131"/>
      <c r="G1481" s="607" t="str">
        <f ca="1">IF(OR(INDIRECT("'update Helper'!E"&amp;Q1481)="",F1481&lt;&gt;0,F1482&lt;&gt;0),IF(IFERROR((F1481/F1482),"")="","",(F1481/F1482)),INDIRECT("'update Helper'!E"&amp;Q1481)/100)</f>
        <v/>
      </c>
      <c r="H1481" s="597"/>
      <c r="I1481" s="599"/>
      <c r="J1481" s="531"/>
      <c r="K1481" s="130">
        <f>IF(AND(EXACT(C1481,C1479),C1479&lt;&gt;0),K1479+1,0)</f>
        <v>10</v>
      </c>
      <c r="L1481" s="130" t="str">
        <f t="shared" ref="L1481" si="1675">IF(C1481&lt;&gt;"",C1481&amp;"-"&amp;K1481,"")</f>
        <v>DRTB-6 Percentage of TB patients with DST result for at least Rifampicin among the total number of notified (new and retreatment) patients during the reporting period-10</v>
      </c>
      <c r="M1481" s="130" t="str">
        <f t="array" ref="M1481">IFERROR(IF(INDEX('Disaggregation Records'!$E$152:$E$513,MATCH(RIGHT(L1481,255),RIGHT('Disaggregation Records'!$D$152:$D$513,255),0))="","",INDEX('Disaggregation Records'!$E$152:$E$513,MATCH(RIGHT(L1481,255),RIGHT('Disaggregation Records'!$D$152:$D$513,255),0))),"")</f>
        <v/>
      </c>
      <c r="N1481" s="130" t="str">
        <f t="array" ref="N1481">IFERROR(IF(INDEX('Disaggregation Records'!$F$152:$F$513,MATCH(RIGHT(L1481,255),RIGHT('Disaggregation Records'!$D$152:$D$513,255),0))="","",INDEX('Disaggregation Records'!$F$152:$F$513,MATCH(RIGHT(L1481,255),RIGHT('Disaggregation Records'!$D$152:$D$513,255),0))),"")</f>
        <v/>
      </c>
      <c r="O1481" s="130" t="str">
        <f t="array" ref="O1481">IFERROR(IF(INDEX('Disaggregation Records'!$H$152:$H$513,MATCH(RIGHT(L1481,255),RIGHT('Disaggregation Records'!$D$152:$D$513,255),0))="","",INDEX('Disaggregation Records'!$H$152:$H$513,MATCH(RIGHT(L1481,255),RIGHT('Disaggregation Records'!$D$152:$D$513,255),0))),"")</f>
        <v/>
      </c>
      <c r="P1481" s="130"/>
      <c r="Q1481" s="52">
        <f t="shared" ref="Q1481" si="1676">Q1479+1</f>
        <v>1925</v>
      </c>
    </row>
    <row r="1482" spans="1:17" ht="20.100000000000001" customHeight="1" x14ac:dyDescent="0.25">
      <c r="A1482" s="130"/>
      <c r="B1482" s="602"/>
      <c r="C1482" s="604"/>
      <c r="D1482" s="606"/>
      <c r="E1482" s="606"/>
      <c r="F1482" s="132"/>
      <c r="G1482" s="608"/>
      <c r="H1482" s="598"/>
      <c r="I1482" s="600"/>
      <c r="J1482" s="532"/>
      <c r="K1482" s="130"/>
      <c r="L1482" s="130"/>
      <c r="M1482" s="130"/>
      <c r="N1482" s="130"/>
      <c r="O1482" s="130"/>
      <c r="P1482" s="130"/>
    </row>
    <row r="1483" spans="1:17" ht="20.100000000000001" customHeight="1" x14ac:dyDescent="0.25">
      <c r="A1483" s="130" t="str">
        <f t="shared" ca="1" si="1652"/>
        <v>a16Dm000000LZgTIAW</v>
      </c>
      <c r="B1483" s="601">
        <v>22</v>
      </c>
      <c r="C1483" s="603" t="str">
        <f>IFERROR(VLOOKUP(B1483,'Coverage Indicators - Section D'!$A$9:$AO$70,41,FALSE),"")</f>
        <v>DRTB-6 Percentage of TB patients with DST result for at least Rifampicin among the total number of notified (new and retreatment) patients during the reporting period</v>
      </c>
      <c r="D1483" s="605" t="str">
        <f>M1483</f>
        <v/>
      </c>
      <c r="E1483" s="605" t="str">
        <f>N1483</f>
        <v/>
      </c>
      <c r="F1483" s="131"/>
      <c r="G1483" s="607" t="str">
        <f ca="1">IF(OR(INDIRECT("'update Helper'!E"&amp;Q1483)="",F1483&lt;&gt;0,F1484&lt;&gt;0),IF(IFERROR((F1483/F1484),"")="","",(F1483/F1484)),INDIRECT("'update Helper'!E"&amp;Q1483)/100)</f>
        <v/>
      </c>
      <c r="H1483" s="597"/>
      <c r="I1483" s="599"/>
      <c r="J1483" s="531"/>
      <c r="K1483" s="130">
        <f>IF(AND(EXACT(C1483,C1481),C1481&lt;&gt;0),K1481+1,0)</f>
        <v>11</v>
      </c>
      <c r="L1483" s="130" t="str">
        <f t="shared" ref="L1483" si="1677">IF(C1483&lt;&gt;"",C1483&amp;"-"&amp;K1483,"")</f>
        <v>DRTB-6 Percentage of TB patients with DST result for at least Rifampicin among the total number of notified (new and retreatment) patients during the reporting period-11</v>
      </c>
      <c r="M1483" s="130" t="str">
        <f t="array" ref="M1483">IFERROR(IF(INDEX('Disaggregation Records'!$E$152:$E$513,MATCH(RIGHT(L1483,255),RIGHT('Disaggregation Records'!$D$152:$D$513,255),0))="","",INDEX('Disaggregation Records'!$E$152:$E$513,MATCH(RIGHT(L1483,255),RIGHT('Disaggregation Records'!$D$152:$D$513,255),0))),"")</f>
        <v/>
      </c>
      <c r="N1483" s="130" t="str">
        <f t="array" ref="N1483">IFERROR(IF(INDEX('Disaggregation Records'!$F$152:$F$513,MATCH(RIGHT(L1483,255),RIGHT('Disaggregation Records'!$D$152:$D$513,255),0))="","",INDEX('Disaggregation Records'!$F$152:$F$513,MATCH(RIGHT(L1483,255),RIGHT('Disaggregation Records'!$D$152:$D$513,255),0))),"")</f>
        <v/>
      </c>
      <c r="O1483" s="130" t="str">
        <f t="array" ref="O1483">IFERROR(IF(INDEX('Disaggregation Records'!$H$152:$H$513,MATCH(RIGHT(L1483,255),RIGHT('Disaggregation Records'!$D$152:$D$513,255),0))="","",INDEX('Disaggregation Records'!$H$152:$H$513,MATCH(RIGHT(L1483,255),RIGHT('Disaggregation Records'!$D$152:$D$513,255),0))),"")</f>
        <v/>
      </c>
      <c r="P1483" s="130"/>
      <c r="Q1483" s="52">
        <f t="shared" ref="Q1483" si="1678">Q1481+1</f>
        <v>1926</v>
      </c>
    </row>
    <row r="1484" spans="1:17" ht="20.100000000000001" customHeight="1" x14ac:dyDescent="0.25">
      <c r="B1484" s="602"/>
      <c r="C1484" s="604"/>
      <c r="D1484" s="606"/>
      <c r="E1484" s="606"/>
      <c r="F1484" s="132"/>
      <c r="G1484" s="608"/>
      <c r="H1484" s="598"/>
      <c r="I1484" s="600"/>
      <c r="J1484" s="532"/>
      <c r="K1484" s="130"/>
      <c r="L1484" s="130"/>
      <c r="M1484" s="130"/>
      <c r="N1484" s="130"/>
      <c r="O1484" s="130"/>
      <c r="P1484" s="130"/>
    </row>
    <row r="1485" spans="1:17" ht="20.100000000000001" customHeight="1" x14ac:dyDescent="0.25">
      <c r="A1485" s="130" t="str">
        <f t="shared" ca="1" si="1649"/>
        <v>a16Dm000000LZgUIAW</v>
      </c>
      <c r="B1485" s="601">
        <v>22</v>
      </c>
      <c r="C1485" s="603" t="str">
        <f>IFERROR(VLOOKUP(B1485,'Coverage Indicators - Section D'!$A$9:$AO$70,41,FALSE),"")</f>
        <v>DRTB-6 Percentage of TB patients with DST result for at least Rifampicin among the total number of notified (new and retreatment) patients during the reporting period</v>
      </c>
      <c r="D1485" s="605" t="str">
        <f>M1485</f>
        <v/>
      </c>
      <c r="E1485" s="605" t="str">
        <f>N1485</f>
        <v/>
      </c>
      <c r="F1485" s="131"/>
      <c r="G1485" s="607" t="str">
        <f ca="1">IF(OR(INDIRECT("'update Helper'!E"&amp;Q1485)="",F1485&lt;&gt;0,F1486&lt;&gt;0),IF(IFERROR((F1485/F1486),"")="","",(F1485/F1486)),INDIRECT("'update Helper'!E"&amp;Q1485)/100)</f>
        <v/>
      </c>
      <c r="H1485" s="597"/>
      <c r="I1485" s="599"/>
      <c r="J1485" s="531"/>
      <c r="K1485" s="130">
        <f>IF(AND(EXACT(C1485,C1483),C1483&lt;&gt;0),K1483+1,0)</f>
        <v>12</v>
      </c>
      <c r="L1485" s="130" t="str">
        <f t="shared" ref="L1485" si="1679">IF(C1485&lt;&gt;"",C1485&amp;"-"&amp;K1485,"")</f>
        <v>DRTB-6 Percentage of TB patients with DST result for at least Rifampicin among the total number of notified (new and retreatment) patients during the reporting period-12</v>
      </c>
      <c r="M1485" s="130" t="str">
        <f t="array" ref="M1485">IFERROR(IF(INDEX('Disaggregation Records'!$E$152:$E$513,MATCH(RIGHT(L1485,255),RIGHT('Disaggregation Records'!$D$152:$D$513,255),0))="","",INDEX('Disaggregation Records'!$E$152:$E$513,MATCH(RIGHT(L1485,255),RIGHT('Disaggregation Records'!$D$152:$D$513,255),0))),"")</f>
        <v/>
      </c>
      <c r="N1485" s="130" t="str">
        <f t="array" ref="N1485">IFERROR(IF(INDEX('Disaggregation Records'!$F$152:$F$513,MATCH(RIGHT(L1485,255),RIGHT('Disaggregation Records'!$D$152:$D$513,255),0))="","",INDEX('Disaggregation Records'!$F$152:$F$513,MATCH(RIGHT(L1485,255),RIGHT('Disaggregation Records'!$D$152:$D$513,255),0))),"")</f>
        <v/>
      </c>
      <c r="O1485" s="130" t="str">
        <f t="array" ref="O1485">IFERROR(IF(INDEX('Disaggregation Records'!$H$152:$H$513,MATCH(RIGHT(L1485,255),RIGHT('Disaggregation Records'!$D$152:$D$513,255),0))="","",INDEX('Disaggregation Records'!$H$152:$H$513,MATCH(RIGHT(L1485,255),RIGHT('Disaggregation Records'!$D$152:$D$513,255),0))),"")</f>
        <v/>
      </c>
      <c r="Q1485" s="52">
        <f t="shared" ref="Q1485" si="1680">Q1483+1</f>
        <v>1927</v>
      </c>
    </row>
    <row r="1486" spans="1:17" ht="20.100000000000001" customHeight="1" x14ac:dyDescent="0.25">
      <c r="A1486" s="130"/>
      <c r="B1486" s="602"/>
      <c r="C1486" s="604"/>
      <c r="D1486" s="606"/>
      <c r="E1486" s="606"/>
      <c r="F1486" s="132"/>
      <c r="G1486" s="608"/>
      <c r="H1486" s="598"/>
      <c r="I1486" s="600"/>
      <c r="J1486" s="532"/>
      <c r="L1486" s="130"/>
      <c r="N1486" s="130"/>
      <c r="O1486" s="130"/>
    </row>
    <row r="1487" spans="1:17" ht="20.100000000000001" customHeight="1" x14ac:dyDescent="0.25">
      <c r="A1487" s="130" t="str">
        <f t="shared" ca="1" si="1652"/>
        <v>a16Dm000000LZgVIAW</v>
      </c>
      <c r="B1487" s="601">
        <v>22</v>
      </c>
      <c r="C1487" s="603" t="str">
        <f>IFERROR(VLOOKUP(B1487,'Coverage Indicators - Section D'!$A$9:$AO$70,41,FALSE),"")</f>
        <v>DRTB-6 Percentage of TB patients with DST result for at least Rifampicin among the total number of notified (new and retreatment) patients during the reporting period</v>
      </c>
      <c r="D1487" s="605" t="str">
        <f>M1487</f>
        <v/>
      </c>
      <c r="E1487" s="605" t="str">
        <f>N1487</f>
        <v/>
      </c>
      <c r="F1487" s="131"/>
      <c r="G1487" s="607" t="str">
        <f ca="1">IF(OR(INDIRECT("'update Helper'!E"&amp;Q1487)="",F1487&lt;&gt;0,F1488&lt;&gt;0),IF(IFERROR((F1487/F1488),"")="","",(F1487/F1488)),INDIRECT("'update Helper'!E"&amp;Q1487)/100)</f>
        <v/>
      </c>
      <c r="H1487" s="597"/>
      <c r="I1487" s="599"/>
      <c r="J1487" s="531"/>
      <c r="K1487" s="130">
        <f>IF(AND(EXACT(C1487,C1485),C1485&lt;&gt;0),K1485+1,0)</f>
        <v>13</v>
      </c>
      <c r="L1487" s="130" t="str">
        <f t="shared" ref="L1487" si="1681">IF(C1487&lt;&gt;"",C1487&amp;"-"&amp;K1487,"")</f>
        <v>DRTB-6 Percentage of TB patients with DST result for at least Rifampicin among the total number of notified (new and retreatment) patients during the reporting period-13</v>
      </c>
      <c r="M1487" s="130" t="str">
        <f t="array" ref="M1487">IFERROR(IF(INDEX('Disaggregation Records'!$E$152:$E$513,MATCH(RIGHT(L1487,255),RIGHT('Disaggregation Records'!$D$152:$D$513,255),0))="","",INDEX('Disaggregation Records'!$E$152:$E$513,MATCH(RIGHT(L1487,255),RIGHT('Disaggregation Records'!$D$152:$D$513,255),0))),"")</f>
        <v/>
      </c>
      <c r="N1487" s="130" t="str">
        <f t="array" ref="N1487">IFERROR(IF(INDEX('Disaggregation Records'!$F$152:$F$513,MATCH(RIGHT(L1487,255),RIGHT('Disaggregation Records'!$D$152:$D$513,255),0))="","",INDEX('Disaggregation Records'!$F$152:$F$513,MATCH(RIGHT(L1487,255),RIGHT('Disaggregation Records'!$D$152:$D$513,255),0))),"")</f>
        <v/>
      </c>
      <c r="O1487" s="130" t="str">
        <f t="array" ref="O1487">IFERROR(IF(INDEX('Disaggregation Records'!$H$152:$H$513,MATCH(RIGHT(L1487,255),RIGHT('Disaggregation Records'!$D$152:$D$513,255),0))="","",INDEX('Disaggregation Records'!$H$152:$H$513,MATCH(RIGHT(L1487,255),RIGHT('Disaggregation Records'!$D$152:$D$513,255),0))),"")</f>
        <v/>
      </c>
      <c r="Q1487" s="52">
        <f t="shared" ref="Q1487" si="1682">Q1485+1</f>
        <v>1928</v>
      </c>
    </row>
    <row r="1488" spans="1:17" ht="20.100000000000001" customHeight="1" x14ac:dyDescent="0.25">
      <c r="B1488" s="602"/>
      <c r="C1488" s="604"/>
      <c r="D1488" s="606"/>
      <c r="E1488" s="606"/>
      <c r="F1488" s="132"/>
      <c r="G1488" s="608"/>
      <c r="H1488" s="598"/>
      <c r="I1488" s="600"/>
      <c r="J1488" s="532"/>
      <c r="L1488" s="130"/>
      <c r="N1488" s="130"/>
      <c r="O1488" s="130"/>
    </row>
    <row r="1489" spans="1:17" ht="20.100000000000001" customHeight="1" x14ac:dyDescent="0.25">
      <c r="A1489" s="130" t="str">
        <f t="shared" ca="1" si="1649"/>
        <v>a16Dm000000LZgWIAW</v>
      </c>
      <c r="B1489" s="601">
        <v>22</v>
      </c>
      <c r="C1489" s="603" t="str">
        <f>IFERROR(VLOOKUP(B1489,'Coverage Indicators - Section D'!$A$9:$AO$70,41,FALSE),"")</f>
        <v>DRTB-6 Percentage of TB patients with DST result for at least Rifampicin among the total number of notified (new and retreatment) patients during the reporting period</v>
      </c>
      <c r="D1489" s="605" t="str">
        <f>M1489</f>
        <v/>
      </c>
      <c r="E1489" s="605" t="str">
        <f>N1489</f>
        <v/>
      </c>
      <c r="F1489" s="131"/>
      <c r="G1489" s="607" t="str">
        <f ca="1">IF(OR(INDIRECT("'update Helper'!E"&amp;Q1489)="",F1489&lt;&gt;0,F1490&lt;&gt;0),IF(IFERROR((F1489/F1490),"")="","",(F1489/F1490)),INDIRECT("'update Helper'!E"&amp;Q1489)/100)</f>
        <v/>
      </c>
      <c r="H1489" s="597"/>
      <c r="I1489" s="599"/>
      <c r="J1489" s="531"/>
      <c r="K1489" s="130">
        <f>IF(AND(EXACT(C1489,C1487),C1487&lt;&gt;0),K1487+1,0)</f>
        <v>14</v>
      </c>
      <c r="L1489" s="130" t="str">
        <f t="shared" ref="L1489" si="1683">IF(C1489&lt;&gt;"",C1489&amp;"-"&amp;K1489,"")</f>
        <v>DRTB-6 Percentage of TB patients with DST result for at least Rifampicin among the total number of notified (new and retreatment) patients during the reporting period-14</v>
      </c>
      <c r="M1489" s="130" t="str">
        <f t="array" ref="M1489">IFERROR(IF(INDEX('Disaggregation Records'!$E$152:$E$513,MATCH(RIGHT(L1489,255),RIGHT('Disaggregation Records'!$D$152:$D$513,255),0))="","",INDEX('Disaggregation Records'!$E$152:$E$513,MATCH(RIGHT(L1489,255),RIGHT('Disaggregation Records'!$D$152:$D$513,255),0))),"")</f>
        <v/>
      </c>
      <c r="N1489" s="130" t="str">
        <f t="array" ref="N1489">IFERROR(IF(INDEX('Disaggregation Records'!$F$152:$F$513,MATCH(RIGHT(L1489,255),RIGHT('Disaggregation Records'!$D$152:$D$513,255),0))="","",INDEX('Disaggregation Records'!$F$152:$F$513,MATCH(RIGHT(L1489,255),RIGHT('Disaggregation Records'!$D$152:$D$513,255),0))),"")</f>
        <v/>
      </c>
      <c r="O1489" s="130" t="str">
        <f t="array" ref="O1489">IFERROR(IF(INDEX('Disaggregation Records'!$H$152:$H$513,MATCH(RIGHT(L1489,255),RIGHT('Disaggregation Records'!$D$152:$D$513,255),0))="","",INDEX('Disaggregation Records'!$H$152:$H$513,MATCH(RIGHT(L1489,255),RIGHT('Disaggregation Records'!$D$152:$D$513,255),0))),"")</f>
        <v/>
      </c>
      <c r="Q1489" s="52">
        <f t="shared" ref="Q1489" si="1684">Q1487+1</f>
        <v>1929</v>
      </c>
    </row>
    <row r="1490" spans="1:17" ht="20.100000000000001" customHeight="1" x14ac:dyDescent="0.25">
      <c r="A1490" s="130"/>
      <c r="B1490" s="602"/>
      <c r="C1490" s="604"/>
      <c r="D1490" s="606"/>
      <c r="E1490" s="606"/>
      <c r="F1490" s="132"/>
      <c r="G1490" s="608"/>
      <c r="H1490" s="598"/>
      <c r="I1490" s="600"/>
      <c r="J1490" s="532"/>
      <c r="L1490" s="130"/>
      <c r="N1490" s="130"/>
      <c r="O1490" s="130"/>
    </row>
    <row r="1491" spans="1:17" ht="20.100000000000001" customHeight="1" x14ac:dyDescent="0.25">
      <c r="A1491" s="130" t="str">
        <f t="shared" ca="1" si="1652"/>
        <v>a16Dm000000LZgXIAW</v>
      </c>
      <c r="B1491" s="601">
        <v>22</v>
      </c>
      <c r="C1491" s="603" t="str">
        <f>IFERROR(VLOOKUP(B1491,'Coverage Indicators - Section D'!$A$9:$AO$70,41,FALSE),"")</f>
        <v>DRTB-6 Percentage of TB patients with DST result for at least Rifampicin among the total number of notified (new and retreatment) patients during the reporting period</v>
      </c>
      <c r="D1491" s="605" t="str">
        <f>M1491</f>
        <v/>
      </c>
      <c r="E1491" s="605" t="str">
        <f>N1491</f>
        <v/>
      </c>
      <c r="F1491" s="131"/>
      <c r="G1491" s="607" t="str">
        <f ca="1">IF(OR(INDIRECT("'update Helper'!E"&amp;Q1491)="",F1491&lt;&gt;0,F1492&lt;&gt;0),IF(IFERROR((F1491/F1492),"")="","",(F1491/F1492)),INDIRECT("'update Helper'!E"&amp;Q1491)/100)</f>
        <v/>
      </c>
      <c r="H1491" s="597"/>
      <c r="I1491" s="599"/>
      <c r="J1491" s="531"/>
      <c r="K1491" s="130">
        <f>IF(AND(EXACT(C1491,C1489),C1489&lt;&gt;0),K1489+1,0)</f>
        <v>15</v>
      </c>
      <c r="L1491" s="130" t="str">
        <f t="shared" ref="L1491" si="1685">IF(C1491&lt;&gt;"",C1491&amp;"-"&amp;K1491,"")</f>
        <v>DRTB-6 Percentage of TB patients with DST result for at least Rifampicin among the total number of notified (new and retreatment) patients during the reporting period-15</v>
      </c>
      <c r="M1491" s="130" t="str">
        <f t="array" ref="M1491">IFERROR(IF(INDEX('Disaggregation Records'!$E$152:$E$513,MATCH(RIGHT(L1491,255),RIGHT('Disaggregation Records'!$D$152:$D$513,255),0))="","",INDEX('Disaggregation Records'!$E$152:$E$513,MATCH(RIGHT(L1491,255),RIGHT('Disaggregation Records'!$D$152:$D$513,255),0))),"")</f>
        <v/>
      </c>
      <c r="N1491" s="130" t="str">
        <f t="array" ref="N1491">IFERROR(IF(INDEX('Disaggregation Records'!$F$152:$F$513,MATCH(RIGHT(L1491,255),RIGHT('Disaggregation Records'!$D$152:$D$513,255),0))="","",INDEX('Disaggregation Records'!$F$152:$F$513,MATCH(RIGHT(L1491,255),RIGHT('Disaggregation Records'!$D$152:$D$513,255),0))),"")</f>
        <v/>
      </c>
      <c r="O1491" s="130" t="str">
        <f t="array" ref="O1491">IFERROR(IF(INDEX('Disaggregation Records'!$H$152:$H$513,MATCH(RIGHT(L1491,255),RIGHT('Disaggregation Records'!$D$152:$D$513,255),0))="","",INDEX('Disaggregation Records'!$H$152:$H$513,MATCH(RIGHT(L1491,255),RIGHT('Disaggregation Records'!$D$152:$D$513,255),0))),"")</f>
        <v/>
      </c>
      <c r="P1491" s="130"/>
      <c r="Q1491" s="52">
        <f t="shared" ref="Q1491" si="1686">Q1489+1</f>
        <v>1930</v>
      </c>
    </row>
    <row r="1492" spans="1:17" ht="20.100000000000001" customHeight="1" x14ac:dyDescent="0.25">
      <c r="B1492" s="602"/>
      <c r="C1492" s="604"/>
      <c r="D1492" s="606"/>
      <c r="E1492" s="606"/>
      <c r="F1492" s="132"/>
      <c r="G1492" s="608"/>
      <c r="H1492" s="598"/>
      <c r="I1492" s="600"/>
      <c r="J1492" s="532"/>
      <c r="K1492" s="130"/>
      <c r="L1492" s="130"/>
      <c r="M1492" s="130"/>
      <c r="N1492" s="130"/>
      <c r="O1492" s="130"/>
      <c r="P1492" s="130"/>
    </row>
    <row r="1493" spans="1:17" ht="20.100000000000001" customHeight="1" x14ac:dyDescent="0.25">
      <c r="A1493" s="130" t="str">
        <f t="shared" ca="1" si="1649"/>
        <v>a16Dm000000LZgYIAW</v>
      </c>
      <c r="B1493" s="601">
        <v>22</v>
      </c>
      <c r="C1493" s="603" t="str">
        <f>IFERROR(VLOOKUP(B1493,'Coverage Indicators - Section D'!$A$9:$AO$70,41,FALSE),"")</f>
        <v>DRTB-6 Percentage of TB patients with DST result for at least Rifampicin among the total number of notified (new and retreatment) patients during the reporting period</v>
      </c>
      <c r="D1493" s="605" t="str">
        <f>M1493</f>
        <v/>
      </c>
      <c r="E1493" s="605" t="str">
        <f>N1493</f>
        <v/>
      </c>
      <c r="F1493" s="131"/>
      <c r="G1493" s="607" t="str">
        <f ca="1">IF(OR(INDIRECT("'update Helper'!E"&amp;Q1493)="",F1493&lt;&gt;0,F1494&lt;&gt;0),IF(IFERROR((F1493/F1494),"")="","",(F1493/F1494)),INDIRECT("'update Helper'!E"&amp;Q1493)/100)</f>
        <v/>
      </c>
      <c r="H1493" s="597"/>
      <c r="I1493" s="599"/>
      <c r="J1493" s="531"/>
      <c r="K1493" s="130">
        <f>IF(AND(EXACT(C1493,C1491),C1491&lt;&gt;0),K1491+1,0)</f>
        <v>16</v>
      </c>
      <c r="L1493" s="130" t="str">
        <f t="shared" ref="L1493" si="1687">IF(C1493&lt;&gt;"",C1493&amp;"-"&amp;K1493,"")</f>
        <v>DRTB-6 Percentage of TB patients with DST result for at least Rifampicin among the total number of notified (new and retreatment) patients during the reporting period-16</v>
      </c>
      <c r="M1493" s="130" t="str">
        <f t="array" ref="M1493">IFERROR(IF(INDEX('Disaggregation Records'!$E$152:$E$513,MATCH(RIGHT(L1493,255),RIGHT('Disaggregation Records'!$D$152:$D$513,255),0))="","",INDEX('Disaggregation Records'!$E$152:$E$513,MATCH(RIGHT(L1493,255),RIGHT('Disaggregation Records'!$D$152:$D$513,255),0))),"")</f>
        <v/>
      </c>
      <c r="N1493" s="130" t="str">
        <f t="array" ref="N1493">IFERROR(IF(INDEX('Disaggregation Records'!$F$152:$F$513,MATCH(RIGHT(L1493,255),RIGHT('Disaggregation Records'!$D$152:$D$513,255),0))="","",INDEX('Disaggregation Records'!$F$152:$F$513,MATCH(RIGHT(L1493,255),RIGHT('Disaggregation Records'!$D$152:$D$513,255),0))),"")</f>
        <v/>
      </c>
      <c r="O1493" s="130" t="str">
        <f t="array" ref="O1493">IFERROR(IF(INDEX('Disaggregation Records'!$H$152:$H$513,MATCH(RIGHT(L1493,255),RIGHT('Disaggregation Records'!$D$152:$D$513,255),0))="","",INDEX('Disaggregation Records'!$H$152:$H$513,MATCH(RIGHT(L1493,255),RIGHT('Disaggregation Records'!$D$152:$D$513,255),0))),"")</f>
        <v/>
      </c>
      <c r="P1493" s="130"/>
      <c r="Q1493" s="52">
        <f t="shared" ref="Q1493" si="1688">Q1491+1</f>
        <v>1931</v>
      </c>
    </row>
    <row r="1494" spans="1:17" ht="20.100000000000001" customHeight="1" x14ac:dyDescent="0.25">
      <c r="A1494" s="130"/>
      <c r="B1494" s="602"/>
      <c r="C1494" s="604"/>
      <c r="D1494" s="606"/>
      <c r="E1494" s="606"/>
      <c r="F1494" s="132"/>
      <c r="G1494" s="608"/>
      <c r="H1494" s="598"/>
      <c r="I1494" s="600"/>
      <c r="J1494" s="532"/>
      <c r="K1494" s="130"/>
      <c r="L1494" s="130"/>
      <c r="M1494" s="130"/>
      <c r="N1494" s="130"/>
      <c r="O1494" s="130"/>
      <c r="P1494" s="130"/>
    </row>
    <row r="1495" spans="1:17" ht="20.100000000000001" customHeight="1" x14ac:dyDescent="0.25">
      <c r="A1495" s="130" t="str">
        <f t="shared" ca="1" si="1652"/>
        <v>a16Dm000000LZgZIAW</v>
      </c>
      <c r="B1495" s="601">
        <v>22</v>
      </c>
      <c r="C1495" s="603" t="str">
        <f>IFERROR(VLOOKUP(B1495,'Coverage Indicators - Section D'!$A$9:$AO$70,41,FALSE),"")</f>
        <v>DRTB-6 Percentage of TB patients with DST result for at least Rifampicin among the total number of notified (new and retreatment) patients during the reporting period</v>
      </c>
      <c r="D1495" s="605" t="str">
        <f>M1495</f>
        <v/>
      </c>
      <c r="E1495" s="605" t="str">
        <f>N1495</f>
        <v/>
      </c>
      <c r="F1495" s="131"/>
      <c r="G1495" s="607" t="str">
        <f ca="1">IF(OR(INDIRECT("'update Helper'!E"&amp;Q1495)="",F1495&lt;&gt;0,F1496&lt;&gt;0),IF(IFERROR((F1495/F1496),"")="","",(F1495/F1496)),INDIRECT("'update Helper'!E"&amp;Q1495)/100)</f>
        <v/>
      </c>
      <c r="H1495" s="597"/>
      <c r="I1495" s="599"/>
      <c r="J1495" s="531"/>
      <c r="K1495" s="130">
        <f>IF(AND(EXACT(C1495,C1493),C1493&lt;&gt;0),K1493+1,0)</f>
        <v>17</v>
      </c>
      <c r="L1495" s="130" t="str">
        <f t="shared" ref="L1495" si="1689">IF(C1495&lt;&gt;"",C1495&amp;"-"&amp;K1495,"")</f>
        <v>DRTB-6 Percentage of TB patients with DST result for at least Rifampicin among the total number of notified (new and retreatment) patients during the reporting period-17</v>
      </c>
      <c r="M1495" s="130" t="str">
        <f t="array" ref="M1495">IFERROR(IF(INDEX('Disaggregation Records'!$E$152:$E$513,MATCH(RIGHT(L1495,255),RIGHT('Disaggregation Records'!$D$152:$D$513,255),0))="","",INDEX('Disaggregation Records'!$E$152:$E$513,MATCH(RIGHT(L1495,255),RIGHT('Disaggregation Records'!$D$152:$D$513,255),0))),"")</f>
        <v/>
      </c>
      <c r="N1495" s="130" t="str">
        <f t="array" ref="N1495">IFERROR(IF(INDEX('Disaggregation Records'!$F$152:$F$513,MATCH(RIGHT(L1495,255),RIGHT('Disaggregation Records'!$D$152:$D$513,255),0))="","",INDEX('Disaggregation Records'!$F$152:$F$513,MATCH(RIGHT(L1495,255),RIGHT('Disaggregation Records'!$D$152:$D$513,255),0))),"")</f>
        <v/>
      </c>
      <c r="O1495" s="130" t="str">
        <f t="array" ref="O1495">IFERROR(IF(INDEX('Disaggregation Records'!$H$152:$H$513,MATCH(RIGHT(L1495,255),RIGHT('Disaggregation Records'!$D$152:$D$513,255),0))="","",INDEX('Disaggregation Records'!$H$152:$H$513,MATCH(RIGHT(L1495,255),RIGHT('Disaggregation Records'!$D$152:$D$513,255),0))),"")</f>
        <v/>
      </c>
      <c r="Q1495" s="52">
        <f t="shared" ref="Q1495" si="1690">Q1493+1</f>
        <v>1932</v>
      </c>
    </row>
    <row r="1496" spans="1:17" ht="20.100000000000001" customHeight="1" x14ac:dyDescent="0.25">
      <c r="B1496" s="602"/>
      <c r="C1496" s="604"/>
      <c r="D1496" s="606"/>
      <c r="E1496" s="606"/>
      <c r="F1496" s="132"/>
      <c r="G1496" s="608"/>
      <c r="H1496" s="598"/>
      <c r="I1496" s="600"/>
      <c r="J1496" s="532"/>
      <c r="L1496" s="130"/>
      <c r="N1496" s="130"/>
      <c r="O1496" s="130"/>
    </row>
    <row r="1497" spans="1:17" ht="20.100000000000001" customHeight="1" x14ac:dyDescent="0.25">
      <c r="A1497" s="130" t="str">
        <f t="shared" ca="1" si="1649"/>
        <v>a16Dm000000LZgaIAG</v>
      </c>
      <c r="B1497" s="601">
        <v>22</v>
      </c>
      <c r="C1497" s="603" t="str">
        <f>IFERROR(VLOOKUP(B1497,'Coverage Indicators - Section D'!$A$9:$AO$70,41,FALSE),"")</f>
        <v>DRTB-6 Percentage of TB patients with DST result for at least Rifampicin among the total number of notified (new and retreatment) patients during the reporting period</v>
      </c>
      <c r="D1497" s="605" t="str">
        <f>M1497</f>
        <v/>
      </c>
      <c r="E1497" s="605" t="str">
        <f>N1497</f>
        <v/>
      </c>
      <c r="F1497" s="131"/>
      <c r="G1497" s="607" t="str">
        <f ca="1">IF(OR(INDIRECT("'update Helper'!E"&amp;Q1497)="",F1497&lt;&gt;0,F1498&lt;&gt;0),IF(IFERROR((F1497/F1498),"")="","",(F1497/F1498)),INDIRECT("'update Helper'!E"&amp;Q1497)/100)</f>
        <v/>
      </c>
      <c r="H1497" s="597"/>
      <c r="I1497" s="599"/>
      <c r="J1497" s="531"/>
      <c r="K1497" s="130">
        <f>IF(AND(EXACT(C1497,C1495),C1495&lt;&gt;0),K1495+1,0)</f>
        <v>18</v>
      </c>
      <c r="L1497" s="130" t="str">
        <f t="shared" ref="L1497" si="1691">IF(C1497&lt;&gt;"",C1497&amp;"-"&amp;K1497,"")</f>
        <v>DRTB-6 Percentage of TB patients with DST result for at least Rifampicin among the total number of notified (new and retreatment) patients during the reporting period-18</v>
      </c>
      <c r="M1497" s="130" t="str">
        <f t="array" ref="M1497">IFERROR(IF(INDEX('Disaggregation Records'!$E$152:$E$513,MATCH(RIGHT(L1497,255),RIGHT('Disaggregation Records'!$D$152:$D$513,255),0))="","",INDEX('Disaggregation Records'!$E$152:$E$513,MATCH(RIGHT(L1497,255),RIGHT('Disaggregation Records'!$D$152:$D$513,255),0))),"")</f>
        <v/>
      </c>
      <c r="N1497" s="130" t="str">
        <f t="array" ref="N1497">IFERROR(IF(INDEX('Disaggregation Records'!$F$152:$F$513,MATCH(RIGHT(L1497,255),RIGHT('Disaggregation Records'!$D$152:$D$513,255),0))="","",INDEX('Disaggregation Records'!$F$152:$F$513,MATCH(RIGHT(L1497,255),RIGHT('Disaggregation Records'!$D$152:$D$513,255),0))),"")</f>
        <v/>
      </c>
      <c r="O1497" s="130" t="str">
        <f t="array" ref="O1497">IFERROR(IF(INDEX('Disaggregation Records'!$H$152:$H$513,MATCH(RIGHT(L1497,255),RIGHT('Disaggregation Records'!$D$152:$D$513,255),0))="","",INDEX('Disaggregation Records'!$H$152:$H$513,MATCH(RIGHT(L1497,255),RIGHT('Disaggregation Records'!$D$152:$D$513,255),0))),"")</f>
        <v/>
      </c>
      <c r="Q1497" s="52">
        <f t="shared" ref="Q1497" si="1692">Q1495+1</f>
        <v>1933</v>
      </c>
    </row>
    <row r="1498" spans="1:17" ht="20.100000000000001" customHeight="1" x14ac:dyDescent="0.25">
      <c r="A1498" s="130"/>
      <c r="B1498" s="602"/>
      <c r="C1498" s="604"/>
      <c r="D1498" s="606"/>
      <c r="E1498" s="606"/>
      <c r="F1498" s="132"/>
      <c r="G1498" s="608"/>
      <c r="H1498" s="598"/>
      <c r="I1498" s="600"/>
      <c r="J1498" s="532"/>
      <c r="L1498" s="130"/>
      <c r="N1498" s="130"/>
      <c r="O1498" s="130"/>
    </row>
    <row r="1499" spans="1:17" ht="20.100000000000001" customHeight="1" x14ac:dyDescent="0.25">
      <c r="A1499" s="130" t="str">
        <f t="shared" ca="1" si="1652"/>
        <v>a16Dm000000LZgbIAG</v>
      </c>
      <c r="B1499" s="601">
        <v>22</v>
      </c>
      <c r="C1499" s="603" t="str">
        <f>IFERROR(VLOOKUP(B1499,'Coverage Indicators - Section D'!$A$9:$AO$70,41,FALSE),"")</f>
        <v>DRTB-6 Percentage of TB patients with DST result for at least Rifampicin among the total number of notified (new and retreatment) patients during the reporting period</v>
      </c>
      <c r="D1499" s="605" t="str">
        <f>M1499</f>
        <v/>
      </c>
      <c r="E1499" s="605" t="str">
        <f>N1499</f>
        <v/>
      </c>
      <c r="F1499" s="131"/>
      <c r="G1499" s="607" t="str">
        <f ca="1">IF(OR(INDIRECT("'update Helper'!E"&amp;Q1499)="",F1499&lt;&gt;0,F1500&lt;&gt;0),IF(IFERROR((F1499/F1500),"")="","",(F1499/F1500)),INDIRECT("'update Helper'!E"&amp;Q1499)/100)</f>
        <v/>
      </c>
      <c r="H1499" s="597"/>
      <c r="I1499" s="599"/>
      <c r="J1499" s="531"/>
      <c r="K1499" s="130">
        <f>IF(AND(EXACT(C1499,C1497),C1497&lt;&gt;0),K1497+1,0)</f>
        <v>19</v>
      </c>
      <c r="L1499" s="130" t="str">
        <f t="shared" ref="L1499" si="1693">IF(C1499&lt;&gt;"",C1499&amp;"-"&amp;K1499,"")</f>
        <v>DRTB-6 Percentage of TB patients with DST result for at least Rifampicin among the total number of notified (new and retreatment) patients during the reporting period-19</v>
      </c>
      <c r="M1499" s="130" t="str">
        <f t="array" ref="M1499">IFERROR(IF(INDEX('Disaggregation Records'!$E$152:$E$513,MATCH(RIGHT(L1499,255),RIGHT('Disaggregation Records'!$D$152:$D$513,255),0))="","",INDEX('Disaggregation Records'!$E$152:$E$513,MATCH(RIGHT(L1499,255),RIGHT('Disaggregation Records'!$D$152:$D$513,255),0))),"")</f>
        <v/>
      </c>
      <c r="N1499" s="130" t="str">
        <f t="array" ref="N1499">IFERROR(IF(INDEX('Disaggregation Records'!$F$152:$F$513,MATCH(RIGHT(L1499,255),RIGHT('Disaggregation Records'!$D$152:$D$513,255),0))="","",INDEX('Disaggregation Records'!$F$152:$F$513,MATCH(RIGHT(L1499,255),RIGHT('Disaggregation Records'!$D$152:$D$513,255),0))),"")</f>
        <v/>
      </c>
      <c r="O1499" s="130" t="str">
        <f t="array" ref="O1499">IFERROR(IF(INDEX('Disaggregation Records'!$H$152:$H$513,MATCH(RIGHT(L1499,255),RIGHT('Disaggregation Records'!$D$152:$D$513,255),0))="","",INDEX('Disaggregation Records'!$H$152:$H$513,MATCH(RIGHT(L1499,255),RIGHT('Disaggregation Records'!$D$152:$D$513,255),0))),"")</f>
        <v/>
      </c>
      <c r="Q1499" s="52">
        <f t="shared" ref="Q1499" si="1694">Q1497+1</f>
        <v>1934</v>
      </c>
    </row>
    <row r="1500" spans="1:17" ht="20.100000000000001" customHeight="1" x14ac:dyDescent="0.25">
      <c r="B1500" s="602"/>
      <c r="C1500" s="604"/>
      <c r="D1500" s="606"/>
      <c r="E1500" s="606"/>
      <c r="F1500" s="132"/>
      <c r="G1500" s="608"/>
      <c r="H1500" s="598"/>
      <c r="I1500" s="600"/>
      <c r="J1500" s="532"/>
      <c r="L1500" s="130"/>
      <c r="N1500" s="130"/>
      <c r="O1500" s="130"/>
    </row>
    <row r="1501" spans="1:17" ht="20.100000000000001" customHeight="1" x14ac:dyDescent="0.25">
      <c r="A1501" s="130" t="str">
        <f t="shared" ca="1" si="1649"/>
        <v>a16Dm000000LZgcIAG</v>
      </c>
      <c r="B1501" s="601">
        <v>23</v>
      </c>
      <c r="C1501" s="603" t="str">
        <f>IFERROR(VLOOKUP(B1501,'Coverage Indicators - Section D'!$A$9:$AO$70,41,FALSE),"")</f>
        <v>DRTB-7 Percentage of RR/MDR-TB patients with DST results for Fluoroquinolone among the total number of notified RR/MDR-TB patients during the reporting period</v>
      </c>
      <c r="D1501" s="605" t="str">
        <f>M1501</f>
        <v/>
      </c>
      <c r="E1501" s="605" t="str">
        <f>N1501</f>
        <v/>
      </c>
      <c r="F1501" s="131"/>
      <c r="G1501" s="607" t="str">
        <f ca="1">IF(OR(INDIRECT("'update Helper'!E"&amp;Q1501)="",F1501&lt;&gt;0,F1502&lt;&gt;0),IF(IFERROR((F1501/F1502),"")="","",(F1501/F1502)),INDIRECT("'update Helper'!E"&amp;Q1501)/100)</f>
        <v/>
      </c>
      <c r="H1501" s="597"/>
      <c r="I1501" s="599"/>
      <c r="J1501" s="531"/>
      <c r="K1501" s="130">
        <f>IF(AND(EXACT(C1501,C1499),C1499&lt;&gt;0),K1499+1,0)</f>
        <v>0</v>
      </c>
      <c r="L1501" s="130" t="str">
        <f t="shared" ref="L1501" si="1695">IF(C1501&lt;&gt;"",C1501&amp;"-"&amp;K1501,"")</f>
        <v>DRTB-7 Percentage of RR/MDR-TB patients with DST results for Fluoroquinolone among the total number of notified RR/MDR-TB patients during the reporting period-0</v>
      </c>
      <c r="M1501" s="130" t="str">
        <f t="array" ref="M1501">IFERROR(IF(INDEX('Disaggregation Records'!$E$152:$E$513,MATCH(RIGHT(L1501,255),RIGHT('Disaggregation Records'!$D$152:$D$513,255),0))="","",INDEX('Disaggregation Records'!$E$152:$E$513,MATCH(RIGHT(L1501,255),RIGHT('Disaggregation Records'!$D$152:$D$513,255),0))),"")</f>
        <v/>
      </c>
      <c r="N1501" s="130" t="str">
        <f t="array" ref="N1501">IFERROR(IF(INDEX('Disaggregation Records'!$F$152:$F$513,MATCH(RIGHT(L1501,255),RIGHT('Disaggregation Records'!$D$152:$D$513,255),0))="","",INDEX('Disaggregation Records'!$F$152:$F$513,MATCH(RIGHT(L1501,255),RIGHT('Disaggregation Records'!$D$152:$D$513,255),0))),"")</f>
        <v/>
      </c>
      <c r="O1501" s="130" t="str">
        <f t="array" ref="O1501">IFERROR(IF(INDEX('Disaggregation Records'!$H$152:$H$513,MATCH(RIGHT(L1501,255),RIGHT('Disaggregation Records'!$D$152:$D$513,255),0))="","",INDEX('Disaggregation Records'!$H$152:$H$513,MATCH(RIGHT(L1501,255),RIGHT('Disaggregation Records'!$D$152:$D$513,255),0))),"")</f>
        <v/>
      </c>
      <c r="P1501" s="130"/>
      <c r="Q1501" s="52">
        <f t="shared" ref="Q1501" si="1696">Q1499+1</f>
        <v>1935</v>
      </c>
    </row>
    <row r="1502" spans="1:17" ht="20.100000000000001" customHeight="1" x14ac:dyDescent="0.25">
      <c r="A1502" s="130"/>
      <c r="B1502" s="602"/>
      <c r="C1502" s="604"/>
      <c r="D1502" s="606"/>
      <c r="E1502" s="606"/>
      <c r="F1502" s="132"/>
      <c r="G1502" s="608"/>
      <c r="H1502" s="598"/>
      <c r="I1502" s="600"/>
      <c r="J1502" s="532"/>
      <c r="K1502" s="130"/>
      <c r="L1502" s="130"/>
      <c r="M1502" s="130"/>
      <c r="N1502" s="130"/>
      <c r="O1502" s="130"/>
      <c r="P1502" s="130"/>
    </row>
    <row r="1503" spans="1:17" ht="20.100000000000001" customHeight="1" x14ac:dyDescent="0.25">
      <c r="A1503" s="130" t="str">
        <f t="shared" ca="1" si="1652"/>
        <v>a16Dm000000LZgdIAG</v>
      </c>
      <c r="B1503" s="601">
        <v>23</v>
      </c>
      <c r="C1503" s="603" t="str">
        <f>IFERROR(VLOOKUP(B1503,'Coverage Indicators - Section D'!$A$9:$AO$70,41,FALSE),"")</f>
        <v>DRTB-7 Percentage of RR/MDR-TB patients with DST results for Fluoroquinolone among the total number of notified RR/MDR-TB patients during the reporting period</v>
      </c>
      <c r="D1503" s="605" t="str">
        <f>M1503</f>
        <v/>
      </c>
      <c r="E1503" s="605" t="str">
        <f>N1503</f>
        <v/>
      </c>
      <c r="F1503" s="131"/>
      <c r="G1503" s="607" t="str">
        <f ca="1">IF(OR(INDIRECT("'update Helper'!E"&amp;Q1503)="",F1503&lt;&gt;0,F1504&lt;&gt;0),IF(IFERROR((F1503/F1504),"")="","",(F1503/F1504)),INDIRECT("'update Helper'!E"&amp;Q1503)/100)</f>
        <v/>
      </c>
      <c r="H1503" s="597"/>
      <c r="I1503" s="599"/>
      <c r="J1503" s="531"/>
      <c r="K1503" s="130">
        <f>IF(AND(EXACT(C1503,C1501),C1501&lt;&gt;0),K1501+1,0)</f>
        <v>1</v>
      </c>
      <c r="L1503" s="130" t="str">
        <f t="shared" ref="L1503" si="1697">IF(C1503&lt;&gt;"",C1503&amp;"-"&amp;K1503,"")</f>
        <v>DRTB-7 Percentage of RR/MDR-TB patients with DST results for Fluoroquinolone among the total number of notified RR/MDR-TB patients during the reporting period-1</v>
      </c>
      <c r="M1503" s="130" t="str">
        <f t="array" ref="M1503">IFERROR(IF(INDEX('Disaggregation Records'!$E$152:$E$513,MATCH(RIGHT(L1503,255),RIGHT('Disaggregation Records'!$D$152:$D$513,255),0))="","",INDEX('Disaggregation Records'!$E$152:$E$513,MATCH(RIGHT(L1503,255),RIGHT('Disaggregation Records'!$D$152:$D$513,255),0))),"")</f>
        <v/>
      </c>
      <c r="N1503" s="130" t="str">
        <f t="array" ref="N1503">IFERROR(IF(INDEX('Disaggregation Records'!$F$152:$F$513,MATCH(RIGHT(L1503,255),RIGHT('Disaggregation Records'!$D$152:$D$513,255),0))="","",INDEX('Disaggregation Records'!$F$152:$F$513,MATCH(RIGHT(L1503,255),RIGHT('Disaggregation Records'!$D$152:$D$513,255),0))),"")</f>
        <v/>
      </c>
      <c r="O1503" s="130" t="str">
        <f t="array" ref="O1503">IFERROR(IF(INDEX('Disaggregation Records'!$H$152:$H$513,MATCH(RIGHT(L1503,255),RIGHT('Disaggregation Records'!$D$152:$D$513,255),0))="","",INDEX('Disaggregation Records'!$H$152:$H$513,MATCH(RIGHT(L1503,255),RIGHT('Disaggregation Records'!$D$152:$D$513,255),0))),"")</f>
        <v/>
      </c>
      <c r="P1503" s="130"/>
      <c r="Q1503" s="52">
        <f t="shared" ref="Q1503" si="1698">Q1501+1</f>
        <v>1936</v>
      </c>
    </row>
    <row r="1504" spans="1:17" ht="20.100000000000001" customHeight="1" x14ac:dyDescent="0.25">
      <c r="B1504" s="602"/>
      <c r="C1504" s="604"/>
      <c r="D1504" s="606"/>
      <c r="E1504" s="606"/>
      <c r="F1504" s="132"/>
      <c r="G1504" s="608"/>
      <c r="H1504" s="598"/>
      <c r="I1504" s="600"/>
      <c r="J1504" s="532"/>
      <c r="K1504" s="130"/>
      <c r="L1504" s="130"/>
      <c r="M1504" s="130"/>
      <c r="N1504" s="130"/>
      <c r="O1504" s="130"/>
      <c r="P1504" s="130"/>
    </row>
    <row r="1505" spans="1:17" ht="20.100000000000001" customHeight="1" x14ac:dyDescent="0.25">
      <c r="A1505" s="130" t="str">
        <f t="shared" ca="1" si="1649"/>
        <v>a16Dm000000LZgeIAG</v>
      </c>
      <c r="B1505" s="601">
        <v>23</v>
      </c>
      <c r="C1505" s="603" t="str">
        <f>IFERROR(VLOOKUP(B1505,'Coverage Indicators - Section D'!$A$9:$AO$70,41,FALSE),"")</f>
        <v>DRTB-7 Percentage of RR/MDR-TB patients with DST results for Fluoroquinolone among the total number of notified RR/MDR-TB patients during the reporting period</v>
      </c>
      <c r="D1505" s="605" t="str">
        <f>M1505</f>
        <v/>
      </c>
      <c r="E1505" s="605" t="str">
        <f>N1505</f>
        <v/>
      </c>
      <c r="F1505" s="131"/>
      <c r="G1505" s="607" t="str">
        <f ca="1">IF(OR(INDIRECT("'update Helper'!E"&amp;Q1505)="",F1505&lt;&gt;0,F1506&lt;&gt;0),IF(IFERROR((F1505/F1506),"")="","",(F1505/F1506)),INDIRECT("'update Helper'!E"&amp;Q1505)/100)</f>
        <v/>
      </c>
      <c r="H1505" s="597"/>
      <c r="I1505" s="599"/>
      <c r="J1505" s="531"/>
      <c r="K1505" s="130">
        <f>IF(AND(EXACT(C1505,C1503),C1503&lt;&gt;0),K1503+1,0)</f>
        <v>2</v>
      </c>
      <c r="L1505" s="130" t="str">
        <f t="shared" ref="L1505" si="1699">IF(C1505&lt;&gt;"",C1505&amp;"-"&amp;K1505,"")</f>
        <v>DRTB-7 Percentage of RR/MDR-TB patients with DST results for Fluoroquinolone among the total number of notified RR/MDR-TB patients during the reporting period-2</v>
      </c>
      <c r="M1505" s="130" t="str">
        <f t="array" ref="M1505">IFERROR(IF(INDEX('Disaggregation Records'!$E$152:$E$513,MATCH(RIGHT(L1505,255),RIGHT('Disaggregation Records'!$D$152:$D$513,255),0))="","",INDEX('Disaggregation Records'!$E$152:$E$513,MATCH(RIGHT(L1505,255),RIGHT('Disaggregation Records'!$D$152:$D$513,255),0))),"")</f>
        <v/>
      </c>
      <c r="N1505" s="130" t="str">
        <f t="array" ref="N1505">IFERROR(IF(INDEX('Disaggregation Records'!$F$152:$F$513,MATCH(RIGHT(L1505,255),RIGHT('Disaggregation Records'!$D$152:$D$513,255),0))="","",INDEX('Disaggregation Records'!$F$152:$F$513,MATCH(RIGHT(L1505,255),RIGHT('Disaggregation Records'!$D$152:$D$513,255),0))),"")</f>
        <v/>
      </c>
      <c r="O1505" s="130" t="str">
        <f t="array" ref="O1505">IFERROR(IF(INDEX('Disaggregation Records'!$H$152:$H$513,MATCH(RIGHT(L1505,255),RIGHT('Disaggregation Records'!$D$152:$D$513,255),0))="","",INDEX('Disaggregation Records'!$H$152:$H$513,MATCH(RIGHT(L1505,255),RIGHT('Disaggregation Records'!$D$152:$D$513,255),0))),"")</f>
        <v/>
      </c>
      <c r="Q1505" s="52">
        <f t="shared" ref="Q1505" si="1700">Q1503+1</f>
        <v>1937</v>
      </c>
    </row>
    <row r="1506" spans="1:17" ht="20.100000000000001" customHeight="1" x14ac:dyDescent="0.25">
      <c r="A1506" s="130"/>
      <c r="B1506" s="602"/>
      <c r="C1506" s="604"/>
      <c r="D1506" s="606"/>
      <c r="E1506" s="606"/>
      <c r="F1506" s="132"/>
      <c r="G1506" s="608"/>
      <c r="H1506" s="598"/>
      <c r="I1506" s="600"/>
      <c r="J1506" s="532"/>
      <c r="L1506" s="130"/>
      <c r="N1506" s="130"/>
      <c r="O1506" s="130"/>
    </row>
    <row r="1507" spans="1:17" ht="20.100000000000001" customHeight="1" x14ac:dyDescent="0.25">
      <c r="A1507" s="130" t="str">
        <f t="shared" ca="1" si="1652"/>
        <v>a16Dm000000LZgfIAG</v>
      </c>
      <c r="B1507" s="601">
        <v>23</v>
      </c>
      <c r="C1507" s="603" t="str">
        <f>IFERROR(VLOOKUP(B1507,'Coverage Indicators - Section D'!$A$9:$AO$70,41,FALSE),"")</f>
        <v>DRTB-7 Percentage of RR/MDR-TB patients with DST results for Fluoroquinolone among the total number of notified RR/MDR-TB patients during the reporting period</v>
      </c>
      <c r="D1507" s="605" t="str">
        <f>M1507</f>
        <v/>
      </c>
      <c r="E1507" s="605" t="str">
        <f>N1507</f>
        <v/>
      </c>
      <c r="F1507" s="131"/>
      <c r="G1507" s="607" t="str">
        <f ca="1">IF(OR(INDIRECT("'update Helper'!E"&amp;Q1507)="",F1507&lt;&gt;0,F1508&lt;&gt;0),IF(IFERROR((F1507/F1508),"")="","",(F1507/F1508)),INDIRECT("'update Helper'!E"&amp;Q1507)/100)</f>
        <v/>
      </c>
      <c r="H1507" s="597"/>
      <c r="I1507" s="599"/>
      <c r="J1507" s="531"/>
      <c r="K1507" s="130">
        <f>IF(AND(EXACT(C1507,C1505),C1505&lt;&gt;0),K1505+1,0)</f>
        <v>3</v>
      </c>
      <c r="L1507" s="130" t="str">
        <f t="shared" ref="L1507" si="1701">IF(C1507&lt;&gt;"",C1507&amp;"-"&amp;K1507,"")</f>
        <v>DRTB-7 Percentage of RR/MDR-TB patients with DST results for Fluoroquinolone among the total number of notified RR/MDR-TB patients during the reporting period-3</v>
      </c>
      <c r="M1507" s="130" t="str">
        <f t="array" ref="M1507">IFERROR(IF(INDEX('Disaggregation Records'!$E$152:$E$513,MATCH(RIGHT(L1507,255),RIGHT('Disaggregation Records'!$D$152:$D$513,255),0))="","",INDEX('Disaggregation Records'!$E$152:$E$513,MATCH(RIGHT(L1507,255),RIGHT('Disaggregation Records'!$D$152:$D$513,255),0))),"")</f>
        <v/>
      </c>
      <c r="N1507" s="130" t="str">
        <f t="array" ref="N1507">IFERROR(IF(INDEX('Disaggregation Records'!$F$152:$F$513,MATCH(RIGHT(L1507,255),RIGHT('Disaggregation Records'!$D$152:$D$513,255),0))="","",INDEX('Disaggregation Records'!$F$152:$F$513,MATCH(RIGHT(L1507,255),RIGHT('Disaggregation Records'!$D$152:$D$513,255),0))),"")</f>
        <v/>
      </c>
      <c r="O1507" s="130" t="str">
        <f t="array" ref="O1507">IFERROR(IF(INDEX('Disaggregation Records'!$H$152:$H$513,MATCH(RIGHT(L1507,255),RIGHT('Disaggregation Records'!$D$152:$D$513,255),0))="","",INDEX('Disaggregation Records'!$H$152:$H$513,MATCH(RIGHT(L1507,255),RIGHT('Disaggregation Records'!$D$152:$D$513,255),0))),"")</f>
        <v/>
      </c>
      <c r="Q1507" s="52">
        <f t="shared" ref="Q1507" si="1702">Q1505+1</f>
        <v>1938</v>
      </c>
    </row>
    <row r="1508" spans="1:17" ht="20.100000000000001" customHeight="1" x14ac:dyDescent="0.25">
      <c r="B1508" s="602"/>
      <c r="C1508" s="604"/>
      <c r="D1508" s="606"/>
      <c r="E1508" s="606"/>
      <c r="F1508" s="132"/>
      <c r="G1508" s="608"/>
      <c r="H1508" s="598"/>
      <c r="I1508" s="600"/>
      <c r="J1508" s="532"/>
      <c r="L1508" s="130"/>
      <c r="N1508" s="130"/>
      <c r="O1508" s="130"/>
    </row>
    <row r="1509" spans="1:17" ht="20.100000000000001" customHeight="1" x14ac:dyDescent="0.25">
      <c r="A1509" s="130" t="str">
        <f t="shared" ca="1" si="1649"/>
        <v>a16Dm000000LZggIAG</v>
      </c>
      <c r="B1509" s="601">
        <v>23</v>
      </c>
      <c r="C1509" s="603" t="str">
        <f>IFERROR(VLOOKUP(B1509,'Coverage Indicators - Section D'!$A$9:$AO$70,41,FALSE),"")</f>
        <v>DRTB-7 Percentage of RR/MDR-TB patients with DST results for Fluoroquinolone among the total number of notified RR/MDR-TB patients during the reporting period</v>
      </c>
      <c r="D1509" s="605" t="str">
        <f>M1509</f>
        <v/>
      </c>
      <c r="E1509" s="605" t="str">
        <f>N1509</f>
        <v/>
      </c>
      <c r="F1509" s="131"/>
      <c r="G1509" s="607" t="str">
        <f ca="1">IF(OR(INDIRECT("'update Helper'!E"&amp;Q1509)="",F1509&lt;&gt;0,F1510&lt;&gt;0),IF(IFERROR((F1509/F1510),"")="","",(F1509/F1510)),INDIRECT("'update Helper'!E"&amp;Q1509)/100)</f>
        <v/>
      </c>
      <c r="H1509" s="597"/>
      <c r="I1509" s="599"/>
      <c r="J1509" s="531"/>
      <c r="K1509" s="130">
        <f>IF(AND(EXACT(C1509,C1507),C1507&lt;&gt;0),K1507+1,0)</f>
        <v>4</v>
      </c>
      <c r="L1509" s="130" t="str">
        <f t="shared" ref="L1509" si="1703">IF(C1509&lt;&gt;"",C1509&amp;"-"&amp;K1509,"")</f>
        <v>DRTB-7 Percentage of RR/MDR-TB patients with DST results for Fluoroquinolone among the total number of notified RR/MDR-TB patients during the reporting period-4</v>
      </c>
      <c r="M1509" s="130" t="str">
        <f t="array" ref="M1509">IFERROR(IF(INDEX('Disaggregation Records'!$E$152:$E$513,MATCH(RIGHT(L1509,255),RIGHT('Disaggregation Records'!$D$152:$D$513,255),0))="","",INDEX('Disaggregation Records'!$E$152:$E$513,MATCH(RIGHT(L1509,255),RIGHT('Disaggregation Records'!$D$152:$D$513,255),0))),"")</f>
        <v/>
      </c>
      <c r="N1509" s="130" t="str">
        <f t="array" ref="N1509">IFERROR(IF(INDEX('Disaggregation Records'!$F$152:$F$513,MATCH(RIGHT(L1509,255),RIGHT('Disaggregation Records'!$D$152:$D$513,255),0))="","",INDEX('Disaggregation Records'!$F$152:$F$513,MATCH(RIGHT(L1509,255),RIGHT('Disaggregation Records'!$D$152:$D$513,255),0))),"")</f>
        <v/>
      </c>
      <c r="O1509" s="130" t="str">
        <f t="array" ref="O1509">IFERROR(IF(INDEX('Disaggregation Records'!$H$152:$H$513,MATCH(RIGHT(L1509,255),RIGHT('Disaggregation Records'!$D$152:$D$513,255),0))="","",INDEX('Disaggregation Records'!$H$152:$H$513,MATCH(RIGHT(L1509,255),RIGHT('Disaggregation Records'!$D$152:$D$513,255),0))),"")</f>
        <v/>
      </c>
      <c r="Q1509" s="52">
        <f t="shared" ref="Q1509" si="1704">Q1507+1</f>
        <v>1939</v>
      </c>
    </row>
    <row r="1510" spans="1:17" ht="20.100000000000001" customHeight="1" x14ac:dyDescent="0.25">
      <c r="A1510" s="130"/>
      <c r="B1510" s="602"/>
      <c r="C1510" s="604"/>
      <c r="D1510" s="606"/>
      <c r="E1510" s="606"/>
      <c r="F1510" s="132"/>
      <c r="G1510" s="608"/>
      <c r="H1510" s="598"/>
      <c r="I1510" s="600"/>
      <c r="J1510" s="532"/>
      <c r="L1510" s="130"/>
      <c r="N1510" s="130"/>
      <c r="O1510" s="130"/>
    </row>
    <row r="1511" spans="1:17" ht="20.100000000000001" customHeight="1" x14ac:dyDescent="0.25">
      <c r="A1511" s="130" t="str">
        <f t="shared" ca="1" si="1652"/>
        <v>a16Dm000000LZghIAG</v>
      </c>
      <c r="B1511" s="601">
        <v>23</v>
      </c>
      <c r="C1511" s="603" t="str">
        <f>IFERROR(VLOOKUP(B1511,'Coverage Indicators - Section D'!$A$9:$AO$70,41,FALSE),"")</f>
        <v>DRTB-7 Percentage of RR/MDR-TB patients with DST results for Fluoroquinolone among the total number of notified RR/MDR-TB patients during the reporting period</v>
      </c>
      <c r="D1511" s="605" t="str">
        <f>M1511</f>
        <v/>
      </c>
      <c r="E1511" s="605" t="str">
        <f>N1511</f>
        <v/>
      </c>
      <c r="F1511" s="131"/>
      <c r="G1511" s="607" t="str">
        <f ca="1">IF(OR(INDIRECT("'update Helper'!E"&amp;Q1511)="",F1511&lt;&gt;0,F1512&lt;&gt;0),IF(IFERROR((F1511/F1512),"")="","",(F1511/F1512)),INDIRECT("'update Helper'!E"&amp;Q1511)/100)</f>
        <v/>
      </c>
      <c r="H1511" s="597"/>
      <c r="I1511" s="599"/>
      <c r="J1511" s="531"/>
      <c r="K1511" s="130">
        <f>IF(AND(EXACT(C1511,C1509),C1509&lt;&gt;0),K1509+1,0)</f>
        <v>5</v>
      </c>
      <c r="L1511" s="130" t="str">
        <f t="shared" ref="L1511" si="1705">IF(C1511&lt;&gt;"",C1511&amp;"-"&amp;K1511,"")</f>
        <v>DRTB-7 Percentage of RR/MDR-TB patients with DST results for Fluoroquinolone among the total number of notified RR/MDR-TB patients during the reporting period-5</v>
      </c>
      <c r="M1511" s="130" t="str">
        <f t="array" ref="M1511">IFERROR(IF(INDEX('Disaggregation Records'!$E$152:$E$513,MATCH(RIGHT(L1511,255),RIGHT('Disaggregation Records'!$D$152:$D$513,255),0))="","",INDEX('Disaggregation Records'!$E$152:$E$513,MATCH(RIGHT(L1511,255),RIGHT('Disaggregation Records'!$D$152:$D$513,255),0))),"")</f>
        <v/>
      </c>
      <c r="N1511" s="130" t="str">
        <f t="array" ref="N1511">IFERROR(IF(INDEX('Disaggregation Records'!$F$152:$F$513,MATCH(RIGHT(L1511,255),RIGHT('Disaggregation Records'!$D$152:$D$513,255),0))="","",INDEX('Disaggregation Records'!$F$152:$F$513,MATCH(RIGHT(L1511,255),RIGHT('Disaggregation Records'!$D$152:$D$513,255),0))),"")</f>
        <v/>
      </c>
      <c r="O1511" s="130" t="str">
        <f t="array" ref="O1511">IFERROR(IF(INDEX('Disaggregation Records'!$H$152:$H$513,MATCH(RIGHT(L1511,255),RIGHT('Disaggregation Records'!$D$152:$D$513,255),0))="","",INDEX('Disaggregation Records'!$H$152:$H$513,MATCH(RIGHT(L1511,255),RIGHT('Disaggregation Records'!$D$152:$D$513,255),0))),"")</f>
        <v/>
      </c>
      <c r="P1511" s="130"/>
      <c r="Q1511" s="52">
        <f t="shared" ref="Q1511" si="1706">Q1509+1</f>
        <v>1940</v>
      </c>
    </row>
    <row r="1512" spans="1:17" ht="20.100000000000001" customHeight="1" x14ac:dyDescent="0.25">
      <c r="B1512" s="602"/>
      <c r="C1512" s="604"/>
      <c r="D1512" s="606"/>
      <c r="E1512" s="606"/>
      <c r="F1512" s="132"/>
      <c r="G1512" s="608"/>
      <c r="H1512" s="598"/>
      <c r="I1512" s="600"/>
      <c r="J1512" s="532"/>
      <c r="K1512" s="130"/>
      <c r="L1512" s="130"/>
      <c r="M1512" s="130"/>
      <c r="N1512" s="130"/>
      <c r="O1512" s="130"/>
      <c r="P1512" s="130"/>
    </row>
    <row r="1513" spans="1:17" ht="20.100000000000001" customHeight="1" x14ac:dyDescent="0.25">
      <c r="A1513" s="130" t="str">
        <f t="shared" ca="1" si="1649"/>
        <v>a16Dm000000LZgiIAG</v>
      </c>
      <c r="B1513" s="601">
        <v>23</v>
      </c>
      <c r="C1513" s="603" t="str">
        <f>IFERROR(VLOOKUP(B1513,'Coverage Indicators - Section D'!$A$9:$AO$70,41,FALSE),"")</f>
        <v>DRTB-7 Percentage of RR/MDR-TB patients with DST results for Fluoroquinolone among the total number of notified RR/MDR-TB patients during the reporting period</v>
      </c>
      <c r="D1513" s="605" t="str">
        <f>M1513</f>
        <v/>
      </c>
      <c r="E1513" s="605" t="str">
        <f>N1513</f>
        <v/>
      </c>
      <c r="F1513" s="131"/>
      <c r="G1513" s="607" t="str">
        <f ca="1">IF(OR(INDIRECT("'update Helper'!E"&amp;Q1513)="",F1513&lt;&gt;0,F1514&lt;&gt;0),IF(IFERROR((F1513/F1514),"")="","",(F1513/F1514)),INDIRECT("'update Helper'!E"&amp;Q1513)/100)</f>
        <v/>
      </c>
      <c r="H1513" s="597"/>
      <c r="I1513" s="599"/>
      <c r="J1513" s="531"/>
      <c r="K1513" s="130">
        <f>IF(AND(EXACT(C1513,C1511),C1511&lt;&gt;0),K1511+1,0)</f>
        <v>6</v>
      </c>
      <c r="L1513" s="130" t="str">
        <f t="shared" ref="L1513" si="1707">IF(C1513&lt;&gt;"",C1513&amp;"-"&amp;K1513,"")</f>
        <v>DRTB-7 Percentage of RR/MDR-TB patients with DST results for Fluoroquinolone among the total number of notified RR/MDR-TB patients during the reporting period-6</v>
      </c>
      <c r="M1513" s="130" t="str">
        <f t="array" ref="M1513">IFERROR(IF(INDEX('Disaggregation Records'!$E$152:$E$513,MATCH(RIGHT(L1513,255),RIGHT('Disaggregation Records'!$D$152:$D$513,255),0))="","",INDEX('Disaggregation Records'!$E$152:$E$513,MATCH(RIGHT(L1513,255),RIGHT('Disaggregation Records'!$D$152:$D$513,255),0))),"")</f>
        <v/>
      </c>
      <c r="N1513" s="130" t="str">
        <f t="array" ref="N1513">IFERROR(IF(INDEX('Disaggregation Records'!$F$152:$F$513,MATCH(RIGHT(L1513,255),RIGHT('Disaggregation Records'!$D$152:$D$513,255),0))="","",INDEX('Disaggregation Records'!$F$152:$F$513,MATCH(RIGHT(L1513,255),RIGHT('Disaggregation Records'!$D$152:$D$513,255),0))),"")</f>
        <v/>
      </c>
      <c r="O1513" s="130" t="str">
        <f t="array" ref="O1513">IFERROR(IF(INDEX('Disaggregation Records'!$H$152:$H$513,MATCH(RIGHT(L1513,255),RIGHT('Disaggregation Records'!$D$152:$D$513,255),0))="","",INDEX('Disaggregation Records'!$H$152:$H$513,MATCH(RIGHT(L1513,255),RIGHT('Disaggregation Records'!$D$152:$D$513,255),0))),"")</f>
        <v/>
      </c>
      <c r="P1513" s="130"/>
      <c r="Q1513" s="52">
        <f t="shared" ref="Q1513" si="1708">Q1511+1</f>
        <v>1941</v>
      </c>
    </row>
    <row r="1514" spans="1:17" ht="20.100000000000001" customHeight="1" x14ac:dyDescent="0.25">
      <c r="A1514" s="130"/>
      <c r="B1514" s="602"/>
      <c r="C1514" s="604"/>
      <c r="D1514" s="606"/>
      <c r="E1514" s="606"/>
      <c r="F1514" s="132"/>
      <c r="G1514" s="608"/>
      <c r="H1514" s="598"/>
      <c r="I1514" s="600"/>
      <c r="J1514" s="532"/>
      <c r="K1514" s="130"/>
      <c r="L1514" s="130"/>
      <c r="M1514" s="130"/>
      <c r="N1514" s="130"/>
      <c r="O1514" s="130"/>
      <c r="P1514" s="130"/>
    </row>
    <row r="1515" spans="1:17" ht="20.100000000000001" customHeight="1" x14ac:dyDescent="0.25">
      <c r="A1515" s="130" t="str">
        <f t="shared" ca="1" si="1652"/>
        <v>a16Dm000000LZgjIAG</v>
      </c>
      <c r="B1515" s="601">
        <v>23</v>
      </c>
      <c r="C1515" s="603" t="str">
        <f>IFERROR(VLOOKUP(B1515,'Coverage Indicators - Section D'!$A$9:$AO$70,41,FALSE),"")</f>
        <v>DRTB-7 Percentage of RR/MDR-TB patients with DST results for Fluoroquinolone among the total number of notified RR/MDR-TB patients during the reporting period</v>
      </c>
      <c r="D1515" s="605" t="str">
        <f>M1515</f>
        <v/>
      </c>
      <c r="E1515" s="605" t="str">
        <f>N1515</f>
        <v/>
      </c>
      <c r="F1515" s="131"/>
      <c r="G1515" s="607" t="str">
        <f ca="1">IF(OR(INDIRECT("'update Helper'!E"&amp;Q1515)="",F1515&lt;&gt;0,F1516&lt;&gt;0),IF(IFERROR((F1515/F1516),"")="","",(F1515/F1516)),INDIRECT("'update Helper'!E"&amp;Q1515)/100)</f>
        <v/>
      </c>
      <c r="H1515" s="597"/>
      <c r="I1515" s="599"/>
      <c r="J1515" s="531"/>
      <c r="K1515" s="130">
        <f>IF(AND(EXACT(C1515,C1513),C1513&lt;&gt;0),K1513+1,0)</f>
        <v>7</v>
      </c>
      <c r="L1515" s="130" t="str">
        <f t="shared" ref="L1515" si="1709">IF(C1515&lt;&gt;"",C1515&amp;"-"&amp;K1515,"")</f>
        <v>DRTB-7 Percentage of RR/MDR-TB patients with DST results for Fluoroquinolone among the total number of notified RR/MDR-TB patients during the reporting period-7</v>
      </c>
      <c r="M1515" s="130" t="str">
        <f t="array" ref="M1515">IFERROR(IF(INDEX('Disaggregation Records'!$E$152:$E$513,MATCH(RIGHT(L1515,255),RIGHT('Disaggregation Records'!$D$152:$D$513,255),0))="","",INDEX('Disaggregation Records'!$E$152:$E$513,MATCH(RIGHT(L1515,255),RIGHT('Disaggregation Records'!$D$152:$D$513,255),0))),"")</f>
        <v/>
      </c>
      <c r="N1515" s="130" t="str">
        <f t="array" ref="N1515">IFERROR(IF(INDEX('Disaggregation Records'!$F$152:$F$513,MATCH(RIGHT(L1515,255),RIGHT('Disaggregation Records'!$D$152:$D$513,255),0))="","",INDEX('Disaggregation Records'!$F$152:$F$513,MATCH(RIGHT(L1515,255),RIGHT('Disaggregation Records'!$D$152:$D$513,255),0))),"")</f>
        <v/>
      </c>
      <c r="O1515" s="130" t="str">
        <f t="array" ref="O1515">IFERROR(IF(INDEX('Disaggregation Records'!$H$152:$H$513,MATCH(RIGHT(L1515,255),RIGHT('Disaggregation Records'!$D$152:$D$513,255),0))="","",INDEX('Disaggregation Records'!$H$152:$H$513,MATCH(RIGHT(L1515,255),RIGHT('Disaggregation Records'!$D$152:$D$513,255),0))),"")</f>
        <v/>
      </c>
      <c r="Q1515" s="52">
        <f t="shared" ref="Q1515" si="1710">Q1513+1</f>
        <v>1942</v>
      </c>
    </row>
    <row r="1516" spans="1:17" ht="20.100000000000001" customHeight="1" x14ac:dyDescent="0.25">
      <c r="B1516" s="602"/>
      <c r="C1516" s="604"/>
      <c r="D1516" s="606"/>
      <c r="E1516" s="606"/>
      <c r="F1516" s="132"/>
      <c r="G1516" s="608"/>
      <c r="H1516" s="598"/>
      <c r="I1516" s="600"/>
      <c r="J1516" s="532"/>
      <c r="L1516" s="130"/>
      <c r="N1516" s="130"/>
      <c r="O1516" s="130"/>
    </row>
    <row r="1517" spans="1:17" ht="20.100000000000001" customHeight="1" x14ac:dyDescent="0.25">
      <c r="A1517" s="130" t="str">
        <f t="shared" ca="1" si="1649"/>
        <v>a16Dm000000LZgkIAG</v>
      </c>
      <c r="B1517" s="601">
        <v>23</v>
      </c>
      <c r="C1517" s="603" t="str">
        <f>IFERROR(VLOOKUP(B1517,'Coverage Indicators - Section D'!$A$9:$AO$70,41,FALSE),"")</f>
        <v>DRTB-7 Percentage of RR/MDR-TB patients with DST results for Fluoroquinolone among the total number of notified RR/MDR-TB patients during the reporting period</v>
      </c>
      <c r="D1517" s="605" t="str">
        <f>M1517</f>
        <v/>
      </c>
      <c r="E1517" s="605" t="str">
        <f>N1517</f>
        <v/>
      </c>
      <c r="F1517" s="131"/>
      <c r="G1517" s="607" t="str">
        <f ca="1">IF(OR(INDIRECT("'update Helper'!E"&amp;Q1517)="",F1517&lt;&gt;0,F1518&lt;&gt;0),IF(IFERROR((F1517/F1518),"")="","",(F1517/F1518)),INDIRECT("'update Helper'!E"&amp;Q1517)/100)</f>
        <v/>
      </c>
      <c r="H1517" s="597"/>
      <c r="I1517" s="599"/>
      <c r="J1517" s="531"/>
      <c r="K1517" s="130">
        <f>IF(AND(EXACT(C1517,C1515),C1515&lt;&gt;0),K1515+1,0)</f>
        <v>8</v>
      </c>
      <c r="L1517" s="130" t="str">
        <f t="shared" ref="L1517" si="1711">IF(C1517&lt;&gt;"",C1517&amp;"-"&amp;K1517,"")</f>
        <v>DRTB-7 Percentage of RR/MDR-TB patients with DST results for Fluoroquinolone among the total number of notified RR/MDR-TB patients during the reporting period-8</v>
      </c>
      <c r="M1517" s="130" t="str">
        <f t="array" ref="M1517">IFERROR(IF(INDEX('Disaggregation Records'!$E$152:$E$513,MATCH(RIGHT(L1517,255),RIGHT('Disaggregation Records'!$D$152:$D$513,255),0))="","",INDEX('Disaggregation Records'!$E$152:$E$513,MATCH(RIGHT(L1517,255),RIGHT('Disaggregation Records'!$D$152:$D$513,255),0))),"")</f>
        <v/>
      </c>
      <c r="N1517" s="130" t="str">
        <f t="array" ref="N1517">IFERROR(IF(INDEX('Disaggregation Records'!$F$152:$F$513,MATCH(RIGHT(L1517,255),RIGHT('Disaggregation Records'!$D$152:$D$513,255),0))="","",INDEX('Disaggregation Records'!$F$152:$F$513,MATCH(RIGHT(L1517,255),RIGHT('Disaggregation Records'!$D$152:$D$513,255),0))),"")</f>
        <v/>
      </c>
      <c r="O1517" s="130" t="str">
        <f t="array" ref="O1517">IFERROR(IF(INDEX('Disaggregation Records'!$H$152:$H$513,MATCH(RIGHT(L1517,255),RIGHT('Disaggregation Records'!$D$152:$D$513,255),0))="","",INDEX('Disaggregation Records'!$H$152:$H$513,MATCH(RIGHT(L1517,255),RIGHT('Disaggregation Records'!$D$152:$D$513,255),0))),"")</f>
        <v/>
      </c>
      <c r="Q1517" s="52">
        <f t="shared" ref="Q1517" si="1712">Q1515+1</f>
        <v>1943</v>
      </c>
    </row>
    <row r="1518" spans="1:17" ht="20.100000000000001" customHeight="1" x14ac:dyDescent="0.25">
      <c r="A1518" s="130"/>
      <c r="B1518" s="602"/>
      <c r="C1518" s="604"/>
      <c r="D1518" s="606"/>
      <c r="E1518" s="606"/>
      <c r="F1518" s="132"/>
      <c r="G1518" s="608"/>
      <c r="H1518" s="598"/>
      <c r="I1518" s="600"/>
      <c r="J1518" s="532"/>
      <c r="L1518" s="130"/>
      <c r="N1518" s="130"/>
      <c r="O1518" s="130"/>
    </row>
    <row r="1519" spans="1:17" ht="20.100000000000001" customHeight="1" x14ac:dyDescent="0.25">
      <c r="A1519" s="130" t="str">
        <f t="shared" ca="1" si="1652"/>
        <v>a16Dm000000LZglIAG</v>
      </c>
      <c r="B1519" s="601">
        <v>23</v>
      </c>
      <c r="C1519" s="603" t="str">
        <f>IFERROR(VLOOKUP(B1519,'Coverage Indicators - Section D'!$A$9:$AO$70,41,FALSE),"")</f>
        <v>DRTB-7 Percentage of RR/MDR-TB patients with DST results for Fluoroquinolone among the total number of notified RR/MDR-TB patients during the reporting period</v>
      </c>
      <c r="D1519" s="605" t="str">
        <f>M1519</f>
        <v/>
      </c>
      <c r="E1519" s="605" t="str">
        <f>N1519</f>
        <v/>
      </c>
      <c r="F1519" s="131"/>
      <c r="G1519" s="607" t="str">
        <f ca="1">IF(OR(INDIRECT("'update Helper'!E"&amp;Q1519)="",F1519&lt;&gt;0,F1520&lt;&gt;0),IF(IFERROR((F1519/F1520),"")="","",(F1519/F1520)),INDIRECT("'update Helper'!E"&amp;Q1519)/100)</f>
        <v/>
      </c>
      <c r="H1519" s="597"/>
      <c r="I1519" s="599"/>
      <c r="J1519" s="531"/>
      <c r="K1519" s="130">
        <f>IF(AND(EXACT(C1519,C1517),C1517&lt;&gt;0),K1517+1,0)</f>
        <v>9</v>
      </c>
      <c r="L1519" s="130" t="str">
        <f t="shared" ref="L1519" si="1713">IF(C1519&lt;&gt;"",C1519&amp;"-"&amp;K1519,"")</f>
        <v>DRTB-7 Percentage of RR/MDR-TB patients with DST results for Fluoroquinolone among the total number of notified RR/MDR-TB patients during the reporting period-9</v>
      </c>
      <c r="M1519" s="130" t="str">
        <f t="array" ref="M1519">IFERROR(IF(INDEX('Disaggregation Records'!$E$152:$E$513,MATCH(RIGHT(L1519,255),RIGHT('Disaggregation Records'!$D$152:$D$513,255),0))="","",INDEX('Disaggregation Records'!$E$152:$E$513,MATCH(RIGHT(L1519,255),RIGHT('Disaggregation Records'!$D$152:$D$513,255),0))),"")</f>
        <v/>
      </c>
      <c r="N1519" s="130" t="str">
        <f t="array" ref="N1519">IFERROR(IF(INDEX('Disaggregation Records'!$F$152:$F$513,MATCH(RIGHT(L1519,255),RIGHT('Disaggregation Records'!$D$152:$D$513,255),0))="","",INDEX('Disaggregation Records'!$F$152:$F$513,MATCH(RIGHT(L1519,255),RIGHT('Disaggregation Records'!$D$152:$D$513,255),0))),"")</f>
        <v/>
      </c>
      <c r="O1519" s="130" t="str">
        <f t="array" ref="O1519">IFERROR(IF(INDEX('Disaggregation Records'!$H$152:$H$513,MATCH(RIGHT(L1519,255),RIGHT('Disaggregation Records'!$D$152:$D$513,255),0))="","",INDEX('Disaggregation Records'!$H$152:$H$513,MATCH(RIGHT(L1519,255),RIGHT('Disaggregation Records'!$D$152:$D$513,255),0))),"")</f>
        <v/>
      </c>
      <c r="Q1519" s="52">
        <f t="shared" ref="Q1519" si="1714">Q1517+1</f>
        <v>1944</v>
      </c>
    </row>
    <row r="1520" spans="1:17" ht="20.100000000000001" customHeight="1" x14ac:dyDescent="0.25">
      <c r="B1520" s="602"/>
      <c r="C1520" s="604"/>
      <c r="D1520" s="606"/>
      <c r="E1520" s="606"/>
      <c r="F1520" s="132"/>
      <c r="G1520" s="608"/>
      <c r="H1520" s="598"/>
      <c r="I1520" s="600"/>
      <c r="J1520" s="532"/>
      <c r="L1520" s="130"/>
      <c r="N1520" s="130"/>
      <c r="O1520" s="130"/>
    </row>
    <row r="1521" spans="1:17" ht="20.100000000000001" customHeight="1" x14ac:dyDescent="0.25">
      <c r="A1521" s="130" t="str">
        <f t="shared" ref="A1521:A1581" ca="1" si="1715">INDIRECT("'update Helper'!C"&amp;Q1521)</f>
        <v>a16Dm000000LZgmIAG</v>
      </c>
      <c r="B1521" s="601">
        <v>23</v>
      </c>
      <c r="C1521" s="603" t="str">
        <f>IFERROR(VLOOKUP(B1521,'Coverage Indicators - Section D'!$A$9:$AO$70,41,FALSE),"")</f>
        <v>DRTB-7 Percentage of RR/MDR-TB patients with DST results for Fluoroquinolone among the total number of notified RR/MDR-TB patients during the reporting period</v>
      </c>
      <c r="D1521" s="605" t="str">
        <f>M1521</f>
        <v/>
      </c>
      <c r="E1521" s="605" t="str">
        <f>N1521</f>
        <v/>
      </c>
      <c r="F1521" s="131"/>
      <c r="G1521" s="607" t="str">
        <f ca="1">IF(OR(INDIRECT("'update Helper'!E"&amp;Q1521)="",F1521&lt;&gt;0,F1522&lt;&gt;0),IF(IFERROR((F1521/F1522),"")="","",(F1521/F1522)),INDIRECT("'update Helper'!E"&amp;Q1521)/100)</f>
        <v/>
      </c>
      <c r="H1521" s="597"/>
      <c r="I1521" s="599"/>
      <c r="J1521" s="531"/>
      <c r="K1521" s="130">
        <f>IF(AND(EXACT(C1521,C1519),C1519&lt;&gt;0),K1519+1,0)</f>
        <v>10</v>
      </c>
      <c r="L1521" s="130" t="str">
        <f t="shared" ref="L1521" si="1716">IF(C1521&lt;&gt;"",C1521&amp;"-"&amp;K1521,"")</f>
        <v>DRTB-7 Percentage of RR/MDR-TB patients with DST results for Fluoroquinolone among the total number of notified RR/MDR-TB patients during the reporting period-10</v>
      </c>
      <c r="M1521" s="130" t="str">
        <f t="array" ref="M1521">IFERROR(IF(INDEX('Disaggregation Records'!$E$152:$E$513,MATCH(RIGHT(L1521,255),RIGHT('Disaggregation Records'!$D$152:$D$513,255),0))="","",INDEX('Disaggregation Records'!$E$152:$E$513,MATCH(RIGHT(L1521,255),RIGHT('Disaggregation Records'!$D$152:$D$513,255),0))),"")</f>
        <v/>
      </c>
      <c r="N1521" s="130" t="str">
        <f t="array" ref="N1521">IFERROR(IF(INDEX('Disaggregation Records'!$F$152:$F$513,MATCH(RIGHT(L1521,255),RIGHT('Disaggregation Records'!$D$152:$D$513,255),0))="","",INDEX('Disaggregation Records'!$F$152:$F$513,MATCH(RIGHT(L1521,255),RIGHT('Disaggregation Records'!$D$152:$D$513,255),0))),"")</f>
        <v/>
      </c>
      <c r="O1521" s="130" t="str">
        <f t="array" ref="O1521">IFERROR(IF(INDEX('Disaggregation Records'!$H$152:$H$513,MATCH(RIGHT(L1521,255),RIGHT('Disaggregation Records'!$D$152:$D$513,255),0))="","",INDEX('Disaggregation Records'!$H$152:$H$513,MATCH(RIGHT(L1521,255),RIGHT('Disaggregation Records'!$D$152:$D$513,255),0))),"")</f>
        <v/>
      </c>
      <c r="P1521" s="130"/>
      <c r="Q1521" s="52">
        <f t="shared" ref="Q1521" si="1717">Q1519+1</f>
        <v>1945</v>
      </c>
    </row>
    <row r="1522" spans="1:17" ht="20.100000000000001" customHeight="1" x14ac:dyDescent="0.25">
      <c r="A1522" s="130"/>
      <c r="B1522" s="602"/>
      <c r="C1522" s="604"/>
      <c r="D1522" s="606"/>
      <c r="E1522" s="606"/>
      <c r="F1522" s="132"/>
      <c r="G1522" s="608"/>
      <c r="H1522" s="598"/>
      <c r="I1522" s="600"/>
      <c r="J1522" s="532"/>
      <c r="K1522" s="130"/>
      <c r="L1522" s="130"/>
      <c r="M1522" s="130"/>
      <c r="N1522" s="130"/>
      <c r="O1522" s="130"/>
      <c r="P1522" s="130"/>
    </row>
    <row r="1523" spans="1:17" ht="20.100000000000001" customHeight="1" x14ac:dyDescent="0.25">
      <c r="A1523" s="130" t="str">
        <f t="shared" ref="A1523:A1583" ca="1" si="1718">INDIRECT("'update Helper'!C"&amp;Q1523)</f>
        <v>a16Dm000000LZgnIAG</v>
      </c>
      <c r="B1523" s="601">
        <v>23</v>
      </c>
      <c r="C1523" s="603" t="str">
        <f>IFERROR(VLOOKUP(B1523,'Coverage Indicators - Section D'!$A$9:$AO$70,41,FALSE),"")</f>
        <v>DRTB-7 Percentage of RR/MDR-TB patients with DST results for Fluoroquinolone among the total number of notified RR/MDR-TB patients during the reporting period</v>
      </c>
      <c r="D1523" s="605" t="str">
        <f>M1523</f>
        <v/>
      </c>
      <c r="E1523" s="605" t="str">
        <f>N1523</f>
        <v/>
      </c>
      <c r="F1523" s="131"/>
      <c r="G1523" s="607" t="str">
        <f ca="1">IF(OR(INDIRECT("'update Helper'!E"&amp;Q1523)="",F1523&lt;&gt;0,F1524&lt;&gt;0),IF(IFERROR((F1523/F1524),"")="","",(F1523/F1524)),INDIRECT("'update Helper'!E"&amp;Q1523)/100)</f>
        <v/>
      </c>
      <c r="H1523" s="597"/>
      <c r="I1523" s="599"/>
      <c r="J1523" s="531"/>
      <c r="K1523" s="130">
        <f>IF(AND(EXACT(C1523,C1521),C1521&lt;&gt;0),K1521+1,0)</f>
        <v>11</v>
      </c>
      <c r="L1523" s="130" t="str">
        <f t="shared" ref="L1523" si="1719">IF(C1523&lt;&gt;"",C1523&amp;"-"&amp;K1523,"")</f>
        <v>DRTB-7 Percentage of RR/MDR-TB patients with DST results for Fluoroquinolone among the total number of notified RR/MDR-TB patients during the reporting period-11</v>
      </c>
      <c r="M1523" s="130" t="str">
        <f t="array" ref="M1523">IFERROR(IF(INDEX('Disaggregation Records'!$E$152:$E$513,MATCH(RIGHT(L1523,255),RIGHT('Disaggregation Records'!$D$152:$D$513,255),0))="","",INDEX('Disaggregation Records'!$E$152:$E$513,MATCH(RIGHT(L1523,255),RIGHT('Disaggregation Records'!$D$152:$D$513,255),0))),"")</f>
        <v/>
      </c>
      <c r="N1523" s="130" t="str">
        <f t="array" ref="N1523">IFERROR(IF(INDEX('Disaggregation Records'!$F$152:$F$513,MATCH(RIGHT(L1523,255),RIGHT('Disaggregation Records'!$D$152:$D$513,255),0))="","",INDEX('Disaggregation Records'!$F$152:$F$513,MATCH(RIGHT(L1523,255),RIGHT('Disaggregation Records'!$D$152:$D$513,255),0))),"")</f>
        <v/>
      </c>
      <c r="O1523" s="130" t="str">
        <f t="array" ref="O1523">IFERROR(IF(INDEX('Disaggregation Records'!$H$152:$H$513,MATCH(RIGHT(L1523,255),RIGHT('Disaggregation Records'!$D$152:$D$513,255),0))="","",INDEX('Disaggregation Records'!$H$152:$H$513,MATCH(RIGHT(L1523,255),RIGHT('Disaggregation Records'!$D$152:$D$513,255),0))),"")</f>
        <v/>
      </c>
      <c r="P1523" s="130"/>
      <c r="Q1523" s="52">
        <f t="shared" ref="Q1523" si="1720">Q1521+1</f>
        <v>1946</v>
      </c>
    </row>
    <row r="1524" spans="1:17" ht="20.100000000000001" customHeight="1" x14ac:dyDescent="0.25">
      <c r="B1524" s="602"/>
      <c r="C1524" s="604"/>
      <c r="D1524" s="606"/>
      <c r="E1524" s="606"/>
      <c r="F1524" s="132"/>
      <c r="G1524" s="608"/>
      <c r="H1524" s="598"/>
      <c r="I1524" s="600"/>
      <c r="J1524" s="532"/>
      <c r="K1524" s="130"/>
      <c r="L1524" s="130"/>
      <c r="M1524" s="130"/>
      <c r="N1524" s="130"/>
      <c r="O1524" s="130"/>
      <c r="P1524" s="130"/>
    </row>
    <row r="1525" spans="1:17" ht="20.100000000000001" customHeight="1" x14ac:dyDescent="0.25">
      <c r="A1525" s="130" t="str">
        <f t="shared" ca="1" si="1715"/>
        <v>a16Dm000000LZgoIAG</v>
      </c>
      <c r="B1525" s="601">
        <v>23</v>
      </c>
      <c r="C1525" s="603" t="str">
        <f>IFERROR(VLOOKUP(B1525,'Coverage Indicators - Section D'!$A$9:$AO$70,41,FALSE),"")</f>
        <v>DRTB-7 Percentage of RR/MDR-TB patients with DST results for Fluoroquinolone among the total number of notified RR/MDR-TB patients during the reporting period</v>
      </c>
      <c r="D1525" s="605" t="str">
        <f>M1525</f>
        <v/>
      </c>
      <c r="E1525" s="605" t="str">
        <f>N1525</f>
        <v/>
      </c>
      <c r="F1525" s="131"/>
      <c r="G1525" s="607" t="str">
        <f ca="1">IF(OR(INDIRECT("'update Helper'!E"&amp;Q1525)="",F1525&lt;&gt;0,F1526&lt;&gt;0),IF(IFERROR((F1525/F1526),"")="","",(F1525/F1526)),INDIRECT("'update Helper'!E"&amp;Q1525)/100)</f>
        <v/>
      </c>
      <c r="H1525" s="597"/>
      <c r="I1525" s="599"/>
      <c r="J1525" s="531"/>
      <c r="K1525" s="130">
        <f>IF(AND(EXACT(C1525,C1523),C1523&lt;&gt;0),K1523+1,0)</f>
        <v>12</v>
      </c>
      <c r="L1525" s="130" t="str">
        <f t="shared" ref="L1525" si="1721">IF(C1525&lt;&gt;"",C1525&amp;"-"&amp;K1525,"")</f>
        <v>DRTB-7 Percentage of RR/MDR-TB patients with DST results for Fluoroquinolone among the total number of notified RR/MDR-TB patients during the reporting period-12</v>
      </c>
      <c r="M1525" s="130" t="str">
        <f t="array" ref="M1525">IFERROR(IF(INDEX('Disaggregation Records'!$E$152:$E$513,MATCH(RIGHT(L1525,255),RIGHT('Disaggregation Records'!$D$152:$D$513,255),0))="","",INDEX('Disaggregation Records'!$E$152:$E$513,MATCH(RIGHT(L1525,255),RIGHT('Disaggregation Records'!$D$152:$D$513,255),0))),"")</f>
        <v/>
      </c>
      <c r="N1525" s="130" t="str">
        <f t="array" ref="N1525">IFERROR(IF(INDEX('Disaggregation Records'!$F$152:$F$513,MATCH(RIGHT(L1525,255),RIGHT('Disaggregation Records'!$D$152:$D$513,255),0))="","",INDEX('Disaggregation Records'!$F$152:$F$513,MATCH(RIGHT(L1525,255),RIGHT('Disaggregation Records'!$D$152:$D$513,255),0))),"")</f>
        <v/>
      </c>
      <c r="O1525" s="130" t="str">
        <f t="array" ref="O1525">IFERROR(IF(INDEX('Disaggregation Records'!$H$152:$H$513,MATCH(RIGHT(L1525,255),RIGHT('Disaggregation Records'!$D$152:$D$513,255),0))="","",INDEX('Disaggregation Records'!$H$152:$H$513,MATCH(RIGHT(L1525,255),RIGHT('Disaggregation Records'!$D$152:$D$513,255),0))),"")</f>
        <v/>
      </c>
      <c r="Q1525" s="52">
        <f t="shared" ref="Q1525" si="1722">Q1523+1</f>
        <v>1947</v>
      </c>
    </row>
    <row r="1526" spans="1:17" ht="20.100000000000001" customHeight="1" x14ac:dyDescent="0.25">
      <c r="A1526" s="130"/>
      <c r="B1526" s="602"/>
      <c r="C1526" s="604"/>
      <c r="D1526" s="606"/>
      <c r="E1526" s="606"/>
      <c r="F1526" s="132"/>
      <c r="G1526" s="608"/>
      <c r="H1526" s="598"/>
      <c r="I1526" s="600"/>
      <c r="J1526" s="532"/>
      <c r="L1526" s="130"/>
      <c r="N1526" s="130"/>
      <c r="O1526" s="130"/>
    </row>
    <row r="1527" spans="1:17" ht="20.100000000000001" customHeight="1" x14ac:dyDescent="0.25">
      <c r="A1527" s="130" t="str">
        <f t="shared" ca="1" si="1718"/>
        <v>a16Dm000000LZgpIAG</v>
      </c>
      <c r="B1527" s="601">
        <v>23</v>
      </c>
      <c r="C1527" s="603" t="str">
        <f>IFERROR(VLOOKUP(B1527,'Coverage Indicators - Section D'!$A$9:$AO$70,41,FALSE),"")</f>
        <v>DRTB-7 Percentage of RR/MDR-TB patients with DST results for Fluoroquinolone among the total number of notified RR/MDR-TB patients during the reporting period</v>
      </c>
      <c r="D1527" s="605" t="str">
        <f>M1527</f>
        <v/>
      </c>
      <c r="E1527" s="605" t="str">
        <f>N1527</f>
        <v/>
      </c>
      <c r="F1527" s="131"/>
      <c r="G1527" s="607" t="str">
        <f ca="1">IF(OR(INDIRECT("'update Helper'!E"&amp;Q1527)="",F1527&lt;&gt;0,F1528&lt;&gt;0),IF(IFERROR((F1527/F1528),"")="","",(F1527/F1528)),INDIRECT("'update Helper'!E"&amp;Q1527)/100)</f>
        <v/>
      </c>
      <c r="H1527" s="597"/>
      <c r="I1527" s="599"/>
      <c r="J1527" s="531"/>
      <c r="K1527" s="130">
        <f>IF(AND(EXACT(C1527,C1525),C1525&lt;&gt;0),K1525+1,0)</f>
        <v>13</v>
      </c>
      <c r="L1527" s="130" t="str">
        <f t="shared" ref="L1527" si="1723">IF(C1527&lt;&gt;"",C1527&amp;"-"&amp;K1527,"")</f>
        <v>DRTB-7 Percentage of RR/MDR-TB patients with DST results for Fluoroquinolone among the total number of notified RR/MDR-TB patients during the reporting period-13</v>
      </c>
      <c r="M1527" s="130" t="str">
        <f t="array" ref="M1527">IFERROR(IF(INDEX('Disaggregation Records'!$E$152:$E$513,MATCH(RIGHT(L1527,255),RIGHT('Disaggregation Records'!$D$152:$D$513,255),0))="","",INDEX('Disaggregation Records'!$E$152:$E$513,MATCH(RIGHT(L1527,255),RIGHT('Disaggregation Records'!$D$152:$D$513,255),0))),"")</f>
        <v/>
      </c>
      <c r="N1527" s="130" t="str">
        <f t="array" ref="N1527">IFERROR(IF(INDEX('Disaggregation Records'!$F$152:$F$513,MATCH(RIGHT(L1527,255),RIGHT('Disaggregation Records'!$D$152:$D$513,255),0))="","",INDEX('Disaggregation Records'!$F$152:$F$513,MATCH(RIGHT(L1527,255),RIGHT('Disaggregation Records'!$D$152:$D$513,255),0))),"")</f>
        <v/>
      </c>
      <c r="O1527" s="130" t="str">
        <f t="array" ref="O1527">IFERROR(IF(INDEX('Disaggregation Records'!$H$152:$H$513,MATCH(RIGHT(L1527,255),RIGHT('Disaggregation Records'!$D$152:$D$513,255),0))="","",INDEX('Disaggregation Records'!$H$152:$H$513,MATCH(RIGHT(L1527,255),RIGHT('Disaggregation Records'!$D$152:$D$513,255),0))),"")</f>
        <v/>
      </c>
      <c r="Q1527" s="52">
        <f t="shared" ref="Q1527" si="1724">Q1525+1</f>
        <v>1948</v>
      </c>
    </row>
    <row r="1528" spans="1:17" ht="20.100000000000001" customHeight="1" x14ac:dyDescent="0.25">
      <c r="B1528" s="602"/>
      <c r="C1528" s="604"/>
      <c r="D1528" s="606"/>
      <c r="E1528" s="606"/>
      <c r="F1528" s="132"/>
      <c r="G1528" s="608"/>
      <c r="H1528" s="598"/>
      <c r="I1528" s="600"/>
      <c r="J1528" s="532"/>
      <c r="L1528" s="130"/>
      <c r="N1528" s="130"/>
      <c r="O1528" s="130"/>
    </row>
    <row r="1529" spans="1:17" ht="20.100000000000001" customHeight="1" x14ac:dyDescent="0.25">
      <c r="A1529" s="130" t="str">
        <f t="shared" ca="1" si="1715"/>
        <v>a16Dm000000LZgqIAG</v>
      </c>
      <c r="B1529" s="601">
        <v>23</v>
      </c>
      <c r="C1529" s="603" t="str">
        <f>IFERROR(VLOOKUP(B1529,'Coverage Indicators - Section D'!$A$9:$AO$70,41,FALSE),"")</f>
        <v>DRTB-7 Percentage of RR/MDR-TB patients with DST results for Fluoroquinolone among the total number of notified RR/MDR-TB patients during the reporting period</v>
      </c>
      <c r="D1529" s="605" t="str">
        <f>M1529</f>
        <v/>
      </c>
      <c r="E1529" s="605" t="str">
        <f>N1529</f>
        <v/>
      </c>
      <c r="F1529" s="131"/>
      <c r="G1529" s="607" t="str">
        <f ca="1">IF(OR(INDIRECT("'update Helper'!E"&amp;Q1529)="",F1529&lt;&gt;0,F1530&lt;&gt;0),IF(IFERROR((F1529/F1530),"")="","",(F1529/F1530)),INDIRECT("'update Helper'!E"&amp;Q1529)/100)</f>
        <v/>
      </c>
      <c r="H1529" s="597"/>
      <c r="I1529" s="599"/>
      <c r="J1529" s="531"/>
      <c r="K1529" s="130">
        <f>IF(AND(EXACT(C1529,C1527),C1527&lt;&gt;0),K1527+1,0)</f>
        <v>14</v>
      </c>
      <c r="L1529" s="130" t="str">
        <f t="shared" ref="L1529" si="1725">IF(C1529&lt;&gt;"",C1529&amp;"-"&amp;K1529,"")</f>
        <v>DRTB-7 Percentage of RR/MDR-TB patients with DST results for Fluoroquinolone among the total number of notified RR/MDR-TB patients during the reporting period-14</v>
      </c>
      <c r="M1529" s="130" t="str">
        <f t="array" ref="M1529">IFERROR(IF(INDEX('Disaggregation Records'!$E$152:$E$513,MATCH(RIGHT(L1529,255),RIGHT('Disaggregation Records'!$D$152:$D$513,255),0))="","",INDEX('Disaggregation Records'!$E$152:$E$513,MATCH(RIGHT(L1529,255),RIGHT('Disaggregation Records'!$D$152:$D$513,255),0))),"")</f>
        <v/>
      </c>
      <c r="N1529" s="130" t="str">
        <f t="array" ref="N1529">IFERROR(IF(INDEX('Disaggregation Records'!$F$152:$F$513,MATCH(RIGHT(L1529,255),RIGHT('Disaggregation Records'!$D$152:$D$513,255),0))="","",INDEX('Disaggregation Records'!$F$152:$F$513,MATCH(RIGHT(L1529,255),RIGHT('Disaggregation Records'!$D$152:$D$513,255),0))),"")</f>
        <v/>
      </c>
      <c r="O1529" s="130" t="str">
        <f t="array" ref="O1529">IFERROR(IF(INDEX('Disaggregation Records'!$H$152:$H$513,MATCH(RIGHT(L1529,255),RIGHT('Disaggregation Records'!$D$152:$D$513,255),0))="","",INDEX('Disaggregation Records'!$H$152:$H$513,MATCH(RIGHT(L1529,255),RIGHT('Disaggregation Records'!$D$152:$D$513,255),0))),"")</f>
        <v/>
      </c>
      <c r="Q1529" s="52">
        <f t="shared" ref="Q1529" si="1726">Q1527+1</f>
        <v>1949</v>
      </c>
    </row>
    <row r="1530" spans="1:17" ht="20.100000000000001" customHeight="1" x14ac:dyDescent="0.25">
      <c r="A1530" s="130"/>
      <c r="B1530" s="602"/>
      <c r="C1530" s="604"/>
      <c r="D1530" s="606"/>
      <c r="E1530" s="606"/>
      <c r="F1530" s="132"/>
      <c r="G1530" s="608"/>
      <c r="H1530" s="598"/>
      <c r="I1530" s="600"/>
      <c r="J1530" s="532"/>
      <c r="L1530" s="130"/>
      <c r="N1530" s="130"/>
      <c r="O1530" s="130"/>
    </row>
    <row r="1531" spans="1:17" ht="20.100000000000001" customHeight="1" x14ac:dyDescent="0.25">
      <c r="A1531" s="130" t="str">
        <f t="shared" ca="1" si="1718"/>
        <v>a16Dm000000LZgrIAG</v>
      </c>
      <c r="B1531" s="601">
        <v>23</v>
      </c>
      <c r="C1531" s="603" t="str">
        <f>IFERROR(VLOOKUP(B1531,'Coverage Indicators - Section D'!$A$9:$AO$70,41,FALSE),"")</f>
        <v>DRTB-7 Percentage of RR/MDR-TB patients with DST results for Fluoroquinolone among the total number of notified RR/MDR-TB patients during the reporting period</v>
      </c>
      <c r="D1531" s="605" t="str">
        <f>M1531</f>
        <v/>
      </c>
      <c r="E1531" s="605" t="str">
        <f>N1531</f>
        <v/>
      </c>
      <c r="F1531" s="131"/>
      <c r="G1531" s="607" t="str">
        <f ca="1">IF(OR(INDIRECT("'update Helper'!E"&amp;Q1531)="",F1531&lt;&gt;0,F1532&lt;&gt;0),IF(IFERROR((F1531/F1532),"")="","",(F1531/F1532)),INDIRECT("'update Helper'!E"&amp;Q1531)/100)</f>
        <v/>
      </c>
      <c r="H1531" s="597"/>
      <c r="I1531" s="599"/>
      <c r="J1531" s="531"/>
      <c r="K1531" s="130">
        <f>IF(AND(EXACT(C1531,C1529),C1529&lt;&gt;0),K1529+1,0)</f>
        <v>15</v>
      </c>
      <c r="L1531" s="130" t="str">
        <f t="shared" ref="L1531" si="1727">IF(C1531&lt;&gt;"",C1531&amp;"-"&amp;K1531,"")</f>
        <v>DRTB-7 Percentage of RR/MDR-TB patients with DST results for Fluoroquinolone among the total number of notified RR/MDR-TB patients during the reporting period-15</v>
      </c>
      <c r="M1531" s="130" t="str">
        <f t="array" ref="M1531">IFERROR(IF(INDEX('Disaggregation Records'!$E$152:$E$513,MATCH(RIGHT(L1531,255),RIGHT('Disaggregation Records'!$D$152:$D$513,255),0))="","",INDEX('Disaggregation Records'!$E$152:$E$513,MATCH(RIGHT(L1531,255),RIGHT('Disaggregation Records'!$D$152:$D$513,255),0))),"")</f>
        <v/>
      </c>
      <c r="N1531" s="130" t="str">
        <f t="array" ref="N1531">IFERROR(IF(INDEX('Disaggregation Records'!$F$152:$F$513,MATCH(RIGHT(L1531,255),RIGHT('Disaggregation Records'!$D$152:$D$513,255),0))="","",INDEX('Disaggregation Records'!$F$152:$F$513,MATCH(RIGHT(L1531,255),RIGHT('Disaggregation Records'!$D$152:$D$513,255),0))),"")</f>
        <v/>
      </c>
      <c r="O1531" s="130" t="str">
        <f t="array" ref="O1531">IFERROR(IF(INDEX('Disaggregation Records'!$H$152:$H$513,MATCH(RIGHT(L1531,255),RIGHT('Disaggregation Records'!$D$152:$D$513,255),0))="","",INDEX('Disaggregation Records'!$H$152:$H$513,MATCH(RIGHT(L1531,255),RIGHT('Disaggregation Records'!$D$152:$D$513,255),0))),"")</f>
        <v/>
      </c>
      <c r="P1531" s="130"/>
      <c r="Q1531" s="52">
        <f t="shared" ref="Q1531" si="1728">Q1529+1</f>
        <v>1950</v>
      </c>
    </row>
    <row r="1532" spans="1:17" ht="20.100000000000001" customHeight="1" x14ac:dyDescent="0.25">
      <c r="B1532" s="602"/>
      <c r="C1532" s="604"/>
      <c r="D1532" s="606"/>
      <c r="E1532" s="606"/>
      <c r="F1532" s="132"/>
      <c r="G1532" s="608"/>
      <c r="H1532" s="598"/>
      <c r="I1532" s="600"/>
      <c r="J1532" s="532"/>
      <c r="K1532" s="130"/>
      <c r="L1532" s="130"/>
      <c r="M1532" s="130"/>
      <c r="N1532" s="130"/>
      <c r="O1532" s="130"/>
      <c r="P1532" s="130"/>
    </row>
    <row r="1533" spans="1:17" ht="20.100000000000001" customHeight="1" x14ac:dyDescent="0.25">
      <c r="A1533" s="130" t="str">
        <f t="shared" ca="1" si="1715"/>
        <v>a16Dm000000LZgsIAG</v>
      </c>
      <c r="B1533" s="601">
        <v>23</v>
      </c>
      <c r="C1533" s="603" t="str">
        <f>IFERROR(VLOOKUP(B1533,'Coverage Indicators - Section D'!$A$9:$AO$70,41,FALSE),"")</f>
        <v>DRTB-7 Percentage of RR/MDR-TB patients with DST results for Fluoroquinolone among the total number of notified RR/MDR-TB patients during the reporting period</v>
      </c>
      <c r="D1533" s="605" t="str">
        <f>M1533</f>
        <v/>
      </c>
      <c r="E1533" s="605" t="str">
        <f>N1533</f>
        <v/>
      </c>
      <c r="F1533" s="131"/>
      <c r="G1533" s="607" t="str">
        <f ca="1">IF(OR(INDIRECT("'update Helper'!E"&amp;Q1533)="",F1533&lt;&gt;0,F1534&lt;&gt;0),IF(IFERROR((F1533/F1534),"")="","",(F1533/F1534)),INDIRECT("'update Helper'!E"&amp;Q1533)/100)</f>
        <v/>
      </c>
      <c r="H1533" s="597"/>
      <c r="I1533" s="599"/>
      <c r="J1533" s="531"/>
      <c r="K1533" s="130">
        <f>IF(AND(EXACT(C1533,C1531),C1531&lt;&gt;0),K1531+1,0)</f>
        <v>16</v>
      </c>
      <c r="L1533" s="130" t="str">
        <f t="shared" ref="L1533" si="1729">IF(C1533&lt;&gt;"",C1533&amp;"-"&amp;K1533,"")</f>
        <v>DRTB-7 Percentage of RR/MDR-TB patients with DST results for Fluoroquinolone among the total number of notified RR/MDR-TB patients during the reporting period-16</v>
      </c>
      <c r="M1533" s="130" t="str">
        <f t="array" ref="M1533">IFERROR(IF(INDEX('Disaggregation Records'!$E$152:$E$513,MATCH(RIGHT(L1533,255),RIGHT('Disaggregation Records'!$D$152:$D$513,255),0))="","",INDEX('Disaggregation Records'!$E$152:$E$513,MATCH(RIGHT(L1533,255),RIGHT('Disaggregation Records'!$D$152:$D$513,255),0))),"")</f>
        <v/>
      </c>
      <c r="N1533" s="130" t="str">
        <f t="array" ref="N1533">IFERROR(IF(INDEX('Disaggregation Records'!$F$152:$F$513,MATCH(RIGHT(L1533,255),RIGHT('Disaggregation Records'!$D$152:$D$513,255),0))="","",INDEX('Disaggregation Records'!$F$152:$F$513,MATCH(RIGHT(L1533,255),RIGHT('Disaggregation Records'!$D$152:$D$513,255),0))),"")</f>
        <v/>
      </c>
      <c r="O1533" s="130" t="str">
        <f t="array" ref="O1533">IFERROR(IF(INDEX('Disaggregation Records'!$H$152:$H$513,MATCH(RIGHT(L1533,255),RIGHT('Disaggregation Records'!$D$152:$D$513,255),0))="","",INDEX('Disaggregation Records'!$H$152:$H$513,MATCH(RIGHT(L1533,255),RIGHT('Disaggregation Records'!$D$152:$D$513,255),0))),"")</f>
        <v/>
      </c>
      <c r="P1533" s="130"/>
      <c r="Q1533" s="52">
        <f t="shared" ref="Q1533" si="1730">Q1531+1</f>
        <v>1951</v>
      </c>
    </row>
    <row r="1534" spans="1:17" ht="20.100000000000001" customHeight="1" x14ac:dyDescent="0.25">
      <c r="A1534" s="130"/>
      <c r="B1534" s="602"/>
      <c r="C1534" s="604"/>
      <c r="D1534" s="606"/>
      <c r="E1534" s="606"/>
      <c r="F1534" s="132"/>
      <c r="G1534" s="608"/>
      <c r="H1534" s="598"/>
      <c r="I1534" s="600"/>
      <c r="J1534" s="532"/>
      <c r="K1534" s="130"/>
      <c r="L1534" s="130"/>
      <c r="M1534" s="130"/>
      <c r="N1534" s="130"/>
      <c r="O1534" s="130"/>
      <c r="P1534" s="130"/>
    </row>
    <row r="1535" spans="1:17" ht="20.100000000000001" customHeight="1" x14ac:dyDescent="0.25">
      <c r="A1535" s="130" t="str">
        <f t="shared" ca="1" si="1718"/>
        <v>a16Dm000000LZgtIAG</v>
      </c>
      <c r="B1535" s="601">
        <v>23</v>
      </c>
      <c r="C1535" s="603" t="str">
        <f>IFERROR(VLOOKUP(B1535,'Coverage Indicators - Section D'!$A$9:$AO$70,41,FALSE),"")</f>
        <v>DRTB-7 Percentage of RR/MDR-TB patients with DST results for Fluoroquinolone among the total number of notified RR/MDR-TB patients during the reporting period</v>
      </c>
      <c r="D1535" s="605" t="str">
        <f>M1535</f>
        <v/>
      </c>
      <c r="E1535" s="605" t="str">
        <f>N1535</f>
        <v/>
      </c>
      <c r="F1535" s="131"/>
      <c r="G1535" s="607" t="str">
        <f ca="1">IF(OR(INDIRECT("'update Helper'!E"&amp;Q1535)="",F1535&lt;&gt;0,F1536&lt;&gt;0),IF(IFERROR((F1535/F1536),"")="","",(F1535/F1536)),INDIRECT("'update Helper'!E"&amp;Q1535)/100)</f>
        <v/>
      </c>
      <c r="H1535" s="597"/>
      <c r="I1535" s="599"/>
      <c r="J1535" s="531"/>
      <c r="K1535" s="130">
        <f>IF(AND(EXACT(C1535,C1533),C1533&lt;&gt;0),K1533+1,0)</f>
        <v>17</v>
      </c>
      <c r="L1535" s="130" t="str">
        <f t="shared" ref="L1535" si="1731">IF(C1535&lt;&gt;"",C1535&amp;"-"&amp;K1535,"")</f>
        <v>DRTB-7 Percentage of RR/MDR-TB patients with DST results for Fluoroquinolone among the total number of notified RR/MDR-TB patients during the reporting period-17</v>
      </c>
      <c r="M1535" s="130" t="str">
        <f t="array" ref="M1535">IFERROR(IF(INDEX('Disaggregation Records'!$E$152:$E$513,MATCH(RIGHT(L1535,255),RIGHT('Disaggregation Records'!$D$152:$D$513,255),0))="","",INDEX('Disaggregation Records'!$E$152:$E$513,MATCH(RIGHT(L1535,255),RIGHT('Disaggregation Records'!$D$152:$D$513,255),0))),"")</f>
        <v/>
      </c>
      <c r="N1535" s="130" t="str">
        <f t="array" ref="N1535">IFERROR(IF(INDEX('Disaggregation Records'!$F$152:$F$513,MATCH(RIGHT(L1535,255),RIGHT('Disaggregation Records'!$D$152:$D$513,255),0))="","",INDEX('Disaggregation Records'!$F$152:$F$513,MATCH(RIGHT(L1535,255),RIGHT('Disaggregation Records'!$D$152:$D$513,255),0))),"")</f>
        <v/>
      </c>
      <c r="O1535" s="130" t="str">
        <f t="array" ref="O1535">IFERROR(IF(INDEX('Disaggregation Records'!$H$152:$H$513,MATCH(RIGHT(L1535,255),RIGHT('Disaggregation Records'!$D$152:$D$513,255),0))="","",INDEX('Disaggregation Records'!$H$152:$H$513,MATCH(RIGHT(L1535,255),RIGHT('Disaggregation Records'!$D$152:$D$513,255),0))),"")</f>
        <v/>
      </c>
      <c r="Q1535" s="52">
        <f t="shared" ref="Q1535" si="1732">Q1533+1</f>
        <v>1952</v>
      </c>
    </row>
    <row r="1536" spans="1:17" ht="20.100000000000001" customHeight="1" x14ac:dyDescent="0.25">
      <c r="B1536" s="602"/>
      <c r="C1536" s="604"/>
      <c r="D1536" s="606"/>
      <c r="E1536" s="606"/>
      <c r="F1536" s="132"/>
      <c r="G1536" s="608"/>
      <c r="H1536" s="598"/>
      <c r="I1536" s="600"/>
      <c r="J1536" s="532"/>
      <c r="L1536" s="130"/>
      <c r="N1536" s="130"/>
      <c r="O1536" s="130"/>
    </row>
    <row r="1537" spans="1:17" ht="20.100000000000001" customHeight="1" x14ac:dyDescent="0.25">
      <c r="A1537" s="130" t="str">
        <f t="shared" ca="1" si="1715"/>
        <v>a16Dm000000LZguIAG</v>
      </c>
      <c r="B1537" s="601">
        <v>23</v>
      </c>
      <c r="C1537" s="603" t="str">
        <f>IFERROR(VLOOKUP(B1537,'Coverage Indicators - Section D'!$A$9:$AO$70,41,FALSE),"")</f>
        <v>DRTB-7 Percentage of RR/MDR-TB patients with DST results for Fluoroquinolone among the total number of notified RR/MDR-TB patients during the reporting period</v>
      </c>
      <c r="D1537" s="605" t="str">
        <f>M1537</f>
        <v/>
      </c>
      <c r="E1537" s="605" t="str">
        <f>N1537</f>
        <v/>
      </c>
      <c r="F1537" s="131"/>
      <c r="G1537" s="607" t="str">
        <f ca="1">IF(OR(INDIRECT("'update Helper'!E"&amp;Q1537)="",F1537&lt;&gt;0,F1538&lt;&gt;0),IF(IFERROR((F1537/F1538),"")="","",(F1537/F1538)),INDIRECT("'update Helper'!E"&amp;Q1537)/100)</f>
        <v/>
      </c>
      <c r="H1537" s="597"/>
      <c r="I1537" s="599"/>
      <c r="J1537" s="531"/>
      <c r="K1537" s="130">
        <f>IF(AND(EXACT(C1537,C1535),C1535&lt;&gt;0),K1535+1,0)</f>
        <v>18</v>
      </c>
      <c r="L1537" s="130" t="str">
        <f t="shared" ref="L1537" si="1733">IF(C1537&lt;&gt;"",C1537&amp;"-"&amp;K1537,"")</f>
        <v>DRTB-7 Percentage of RR/MDR-TB patients with DST results for Fluoroquinolone among the total number of notified RR/MDR-TB patients during the reporting period-18</v>
      </c>
      <c r="M1537" s="130" t="str">
        <f t="array" ref="M1537">IFERROR(IF(INDEX('Disaggregation Records'!$E$152:$E$513,MATCH(RIGHT(L1537,255),RIGHT('Disaggregation Records'!$D$152:$D$513,255),0))="","",INDEX('Disaggregation Records'!$E$152:$E$513,MATCH(RIGHT(L1537,255),RIGHT('Disaggregation Records'!$D$152:$D$513,255),0))),"")</f>
        <v/>
      </c>
      <c r="N1537" s="130" t="str">
        <f t="array" ref="N1537">IFERROR(IF(INDEX('Disaggregation Records'!$F$152:$F$513,MATCH(RIGHT(L1537,255),RIGHT('Disaggregation Records'!$D$152:$D$513,255),0))="","",INDEX('Disaggregation Records'!$F$152:$F$513,MATCH(RIGHT(L1537,255),RIGHT('Disaggregation Records'!$D$152:$D$513,255),0))),"")</f>
        <v/>
      </c>
      <c r="O1537" s="130" t="str">
        <f t="array" ref="O1537">IFERROR(IF(INDEX('Disaggregation Records'!$H$152:$H$513,MATCH(RIGHT(L1537,255),RIGHT('Disaggregation Records'!$D$152:$D$513,255),0))="","",INDEX('Disaggregation Records'!$H$152:$H$513,MATCH(RIGHT(L1537,255),RIGHT('Disaggregation Records'!$D$152:$D$513,255),0))),"")</f>
        <v/>
      </c>
      <c r="Q1537" s="52">
        <f t="shared" ref="Q1537" si="1734">Q1535+1</f>
        <v>1953</v>
      </c>
    </row>
    <row r="1538" spans="1:17" ht="20.100000000000001" customHeight="1" x14ac:dyDescent="0.25">
      <c r="A1538" s="130"/>
      <c r="B1538" s="602"/>
      <c r="C1538" s="604"/>
      <c r="D1538" s="606"/>
      <c r="E1538" s="606"/>
      <c r="F1538" s="132"/>
      <c r="G1538" s="608"/>
      <c r="H1538" s="598"/>
      <c r="I1538" s="600"/>
      <c r="J1538" s="532"/>
      <c r="L1538" s="130"/>
      <c r="N1538" s="130"/>
      <c r="O1538" s="130"/>
    </row>
    <row r="1539" spans="1:17" ht="20.100000000000001" customHeight="1" x14ac:dyDescent="0.25">
      <c r="A1539" s="130" t="str">
        <f t="shared" ca="1" si="1718"/>
        <v>a16Dm000000LZgvIAG</v>
      </c>
      <c r="B1539" s="601">
        <v>23</v>
      </c>
      <c r="C1539" s="603" t="str">
        <f>IFERROR(VLOOKUP(B1539,'Coverage Indicators - Section D'!$A$9:$AO$70,41,FALSE),"")</f>
        <v>DRTB-7 Percentage of RR/MDR-TB patients with DST results for Fluoroquinolone among the total number of notified RR/MDR-TB patients during the reporting period</v>
      </c>
      <c r="D1539" s="605" t="str">
        <f>M1539</f>
        <v/>
      </c>
      <c r="E1539" s="605" t="str">
        <f>N1539</f>
        <v/>
      </c>
      <c r="F1539" s="131"/>
      <c r="G1539" s="607" t="str">
        <f ca="1">IF(OR(INDIRECT("'update Helper'!E"&amp;Q1539)="",F1539&lt;&gt;0,F1540&lt;&gt;0),IF(IFERROR((F1539/F1540),"")="","",(F1539/F1540)),INDIRECT("'update Helper'!E"&amp;Q1539)/100)</f>
        <v/>
      </c>
      <c r="H1539" s="597"/>
      <c r="I1539" s="599"/>
      <c r="J1539" s="531"/>
      <c r="K1539" s="130">
        <f>IF(AND(EXACT(C1539,C1537),C1537&lt;&gt;0),K1537+1,0)</f>
        <v>19</v>
      </c>
      <c r="L1539" s="130" t="str">
        <f t="shared" ref="L1539" si="1735">IF(C1539&lt;&gt;"",C1539&amp;"-"&amp;K1539,"")</f>
        <v>DRTB-7 Percentage of RR/MDR-TB patients with DST results for Fluoroquinolone among the total number of notified RR/MDR-TB patients during the reporting period-19</v>
      </c>
      <c r="M1539" s="130" t="str">
        <f t="array" ref="M1539">IFERROR(IF(INDEX('Disaggregation Records'!$E$152:$E$513,MATCH(RIGHT(L1539,255),RIGHT('Disaggregation Records'!$D$152:$D$513,255),0))="","",INDEX('Disaggregation Records'!$E$152:$E$513,MATCH(RIGHT(L1539,255),RIGHT('Disaggregation Records'!$D$152:$D$513,255),0))),"")</f>
        <v/>
      </c>
      <c r="N1539" s="130" t="str">
        <f t="array" ref="N1539">IFERROR(IF(INDEX('Disaggregation Records'!$F$152:$F$513,MATCH(RIGHT(L1539,255),RIGHT('Disaggregation Records'!$D$152:$D$513,255),0))="","",INDEX('Disaggregation Records'!$F$152:$F$513,MATCH(RIGHT(L1539,255),RIGHT('Disaggregation Records'!$D$152:$D$513,255),0))),"")</f>
        <v/>
      </c>
      <c r="O1539" s="130" t="str">
        <f t="array" ref="O1539">IFERROR(IF(INDEX('Disaggregation Records'!$H$152:$H$513,MATCH(RIGHT(L1539,255),RIGHT('Disaggregation Records'!$D$152:$D$513,255),0))="","",INDEX('Disaggregation Records'!$H$152:$H$513,MATCH(RIGHT(L1539,255),RIGHT('Disaggregation Records'!$D$152:$D$513,255),0))),"")</f>
        <v/>
      </c>
      <c r="Q1539" s="52">
        <f t="shared" ref="Q1539" si="1736">Q1537+1</f>
        <v>1954</v>
      </c>
    </row>
    <row r="1540" spans="1:17" ht="20.100000000000001" customHeight="1" x14ac:dyDescent="0.25">
      <c r="B1540" s="602"/>
      <c r="C1540" s="604"/>
      <c r="D1540" s="606"/>
      <c r="E1540" s="606"/>
      <c r="F1540" s="132"/>
      <c r="G1540" s="608"/>
      <c r="H1540" s="598"/>
      <c r="I1540" s="600"/>
      <c r="J1540" s="532"/>
      <c r="L1540" s="130"/>
      <c r="N1540" s="130"/>
      <c r="O1540" s="130"/>
    </row>
    <row r="1541" spans="1:17" ht="20.100000000000001" customHeight="1" x14ac:dyDescent="0.25">
      <c r="A1541" s="130" t="str">
        <f t="shared" ca="1" si="1715"/>
        <v>a16Dm000000LZgwIAG</v>
      </c>
      <c r="B1541" s="601">
        <v>24</v>
      </c>
      <c r="C1541" s="603" t="str">
        <f>IFERROR(VLOOKUP(B1541,'Coverage Indicators - Section D'!$A$9:$AO$70,41,FALSE),"")</f>
        <v>DRTB-9 Treatment success rate of RR-TB and/or MDR-TB: Percentage of patients with RR and/or MDR-TB successfully treated</v>
      </c>
      <c r="D1541" s="605" t="str">
        <f>M1541</f>
        <v>Age</v>
      </c>
      <c r="E1541" s="605" t="str">
        <f>N1541</f>
        <v>15+</v>
      </c>
      <c r="F1541" s="131">
        <v>873</v>
      </c>
      <c r="G1541" s="607">
        <f ca="1">IF(OR(INDIRECT("'update Helper'!E"&amp;Q1541)="",F1541&lt;&gt;0,F1542&lt;&gt;0),IF(IFERROR((F1541/F1542),"")="","",(F1541/F1542)),INDIRECT("'update Helper'!E"&amp;Q1541)/100)</f>
        <v>0.70403225806451608</v>
      </c>
      <c r="H1541" s="597"/>
      <c r="I1541" s="599"/>
      <c r="J1541" s="531"/>
      <c r="K1541" s="130">
        <f>IF(AND(EXACT(C1541,C1539),C1539&lt;&gt;0),K1539+1,0)</f>
        <v>0</v>
      </c>
      <c r="L1541" s="130" t="str">
        <f t="shared" ref="L1541" si="1737">IF(C1541&lt;&gt;"",C1541&amp;"-"&amp;K1541,"")</f>
        <v>DRTB-9 Treatment success rate of RR-TB and/or MDR-TB: Percentage of patients with RR and/or MDR-TB successfully treated-0</v>
      </c>
      <c r="M1541" s="130" t="str">
        <f t="array" ref="M1541">IFERROR(IF(INDEX('Disaggregation Records'!$E$152:$E$513,MATCH(RIGHT(L1541,255),RIGHT('Disaggregation Records'!$D$152:$D$513,255),0))="","",INDEX('Disaggregation Records'!$E$152:$E$513,MATCH(RIGHT(L1541,255),RIGHT('Disaggregation Records'!$D$152:$D$513,255),0))),"")</f>
        <v>Age</v>
      </c>
      <c r="N1541" s="130" t="str">
        <f t="array" ref="N1541">IFERROR(IF(INDEX('Disaggregation Records'!$F$152:$F$513,MATCH(RIGHT(L1541,255),RIGHT('Disaggregation Records'!$D$152:$D$513,255),0))="","",INDEX('Disaggregation Records'!$F$152:$F$513,MATCH(RIGHT(L1541,255),RIGHT('Disaggregation Records'!$D$152:$D$513,255),0))),"")</f>
        <v>15+</v>
      </c>
      <c r="O1541" s="130" t="str">
        <f t="array" ref="O1541">IFERROR(IF(INDEX('Disaggregation Records'!$H$152:$H$513,MATCH(RIGHT(L1541,255),RIGHT('Disaggregation Records'!$D$152:$D$513,255),0))="","",INDEX('Disaggregation Records'!$H$152:$H$513,MATCH(RIGHT(L1541,255),RIGHT('Disaggregation Records'!$D$152:$D$513,255),0))),"")</f>
        <v>IDR-01395</v>
      </c>
      <c r="P1541" s="130"/>
      <c r="Q1541" s="52">
        <f t="shared" ref="Q1541" si="1738">Q1539+1</f>
        <v>1955</v>
      </c>
    </row>
    <row r="1542" spans="1:17" ht="33" customHeight="1" x14ac:dyDescent="0.25">
      <c r="A1542" s="130"/>
      <c r="B1542" s="602"/>
      <c r="C1542" s="604"/>
      <c r="D1542" s="606"/>
      <c r="E1542" s="606"/>
      <c r="F1542" s="132">
        <v>1240</v>
      </c>
      <c r="G1542" s="608"/>
      <c r="H1542" s="598"/>
      <c r="I1542" s="600"/>
      <c r="J1542" s="532"/>
      <c r="K1542" s="130"/>
      <c r="L1542" s="130"/>
      <c r="M1542" s="130"/>
      <c r="N1542" s="130"/>
      <c r="O1542" s="130"/>
      <c r="P1542" s="130"/>
    </row>
    <row r="1543" spans="1:17" ht="20.100000000000001" customHeight="1" x14ac:dyDescent="0.25">
      <c r="A1543" s="130" t="str">
        <f t="shared" ca="1" si="1718"/>
        <v>a16Dm000000LZgxIAG</v>
      </c>
      <c r="B1543" s="601">
        <v>24</v>
      </c>
      <c r="C1543" s="603" t="str">
        <f>IFERROR(VLOOKUP(B1543,'Coverage Indicators - Section D'!$A$9:$AO$70,41,FALSE),"")</f>
        <v>DRTB-9 Treatment success rate of RR-TB and/or MDR-TB: Percentage of patients with RR and/or MDR-TB successfully treated</v>
      </c>
      <c r="D1543" s="605" t="str">
        <f>M1543</f>
        <v>Age</v>
      </c>
      <c r="E1543" s="605" t="str">
        <f>N1543</f>
        <v>&lt;15</v>
      </c>
      <c r="F1543" s="131">
        <v>28</v>
      </c>
      <c r="G1543" s="607">
        <f ca="1">IF(OR(INDIRECT("'update Helper'!E"&amp;Q1543)="",F1543&lt;&gt;0,F1544&lt;&gt;0),IF(IFERROR((F1543/F1544),"")="","",(F1543/F1544)),INDIRECT("'update Helper'!E"&amp;Q1543)/100)</f>
        <v>0.93333333333333335</v>
      </c>
      <c r="H1543" s="597"/>
      <c r="I1543" s="599"/>
      <c r="J1543" s="531"/>
      <c r="K1543" s="130">
        <f>IF(AND(EXACT(C1543,C1541),C1541&lt;&gt;0),K1541+1,0)</f>
        <v>1</v>
      </c>
      <c r="L1543" s="130" t="str">
        <f t="shared" ref="L1543" si="1739">IF(C1543&lt;&gt;"",C1543&amp;"-"&amp;K1543,"")</f>
        <v>DRTB-9 Treatment success rate of RR-TB and/or MDR-TB: Percentage of patients with RR and/or MDR-TB successfully treated-1</v>
      </c>
      <c r="M1543" s="130" t="str">
        <f t="array" ref="M1543">IFERROR(IF(INDEX('Disaggregation Records'!$E$152:$E$513,MATCH(RIGHT(L1543,255),RIGHT('Disaggregation Records'!$D$152:$D$513,255),0))="","",INDEX('Disaggregation Records'!$E$152:$E$513,MATCH(RIGHT(L1543,255),RIGHT('Disaggregation Records'!$D$152:$D$513,255),0))),"")</f>
        <v>Age</v>
      </c>
      <c r="N1543" s="130" t="str">
        <f t="array" ref="N1543">IFERROR(IF(INDEX('Disaggregation Records'!$F$152:$F$513,MATCH(RIGHT(L1543,255),RIGHT('Disaggregation Records'!$D$152:$D$513,255),0))="","",INDEX('Disaggregation Records'!$F$152:$F$513,MATCH(RIGHT(L1543,255),RIGHT('Disaggregation Records'!$D$152:$D$513,255),0))),"")</f>
        <v>&lt;15</v>
      </c>
      <c r="O1543" s="130" t="str">
        <f t="array" ref="O1543">IFERROR(IF(INDEX('Disaggregation Records'!$H$152:$H$513,MATCH(RIGHT(L1543,255),RIGHT('Disaggregation Records'!$D$152:$D$513,255),0))="","",INDEX('Disaggregation Records'!$H$152:$H$513,MATCH(RIGHT(L1543,255),RIGHT('Disaggregation Records'!$D$152:$D$513,255),0))),"")</f>
        <v>IDR-01394</v>
      </c>
      <c r="P1543" s="130"/>
      <c r="Q1543" s="52">
        <f t="shared" ref="Q1543" si="1740">Q1541+1</f>
        <v>1956</v>
      </c>
    </row>
    <row r="1544" spans="1:17" ht="20.100000000000001" customHeight="1" x14ac:dyDescent="0.25">
      <c r="B1544" s="602"/>
      <c r="C1544" s="604"/>
      <c r="D1544" s="606"/>
      <c r="E1544" s="606"/>
      <c r="F1544" s="132">
        <v>30</v>
      </c>
      <c r="G1544" s="608"/>
      <c r="H1544" s="598"/>
      <c r="I1544" s="600"/>
      <c r="J1544" s="532"/>
      <c r="K1544" s="130"/>
      <c r="L1544" s="130"/>
      <c r="M1544" s="130"/>
      <c r="N1544" s="130"/>
      <c r="O1544" s="130"/>
      <c r="P1544" s="130"/>
    </row>
    <row r="1545" spans="1:17" ht="20.100000000000001" customHeight="1" x14ac:dyDescent="0.25">
      <c r="A1545" s="130" t="str">
        <f t="shared" ca="1" si="1715"/>
        <v>a16Dm000000LZgyIAG</v>
      </c>
      <c r="B1545" s="601">
        <v>24</v>
      </c>
      <c r="C1545" s="603" t="str">
        <f>IFERROR(VLOOKUP(B1545,'Coverage Indicators - Section D'!$A$9:$AO$70,41,FALSE),"")</f>
        <v>DRTB-9 Treatment success rate of RR-TB and/or MDR-TB: Percentage of patients with RR and/or MDR-TB successfully treated</v>
      </c>
      <c r="D1545" s="605" t="str">
        <f>M1545</f>
        <v>HIV status</v>
      </c>
      <c r="E1545" s="605" t="str">
        <f>N1545</f>
        <v>Unknown</v>
      </c>
      <c r="F1545" s="131"/>
      <c r="G1545" s="607" t="str">
        <f ca="1">IF(OR(INDIRECT("'update Helper'!E"&amp;Q1545)="",F1545&lt;&gt;0,F1546&lt;&gt;0),IF(IFERROR((F1545/F1546),"")="","",(F1545/F1546)),INDIRECT("'update Helper'!E"&amp;Q1545)/100)</f>
        <v/>
      </c>
      <c r="H1545" s="597"/>
      <c r="I1545" s="599"/>
      <c r="J1545" s="531" t="s">
        <v>2264</v>
      </c>
      <c r="K1545" s="130">
        <f>IF(AND(EXACT(C1545,C1543),C1543&lt;&gt;0),K1543+1,0)</f>
        <v>2</v>
      </c>
      <c r="L1545" s="130" t="str">
        <f t="shared" ref="L1545" si="1741">IF(C1545&lt;&gt;"",C1545&amp;"-"&amp;K1545,"")</f>
        <v>DRTB-9 Treatment success rate of RR-TB and/or MDR-TB: Percentage of patients with RR and/or MDR-TB successfully treated-2</v>
      </c>
      <c r="M1545" s="130" t="str">
        <f t="array" ref="M1545">IFERROR(IF(INDEX('Disaggregation Records'!$E$152:$E$513,MATCH(RIGHT(L1545,255),RIGHT('Disaggregation Records'!$D$152:$D$513,255),0))="","",INDEX('Disaggregation Records'!$E$152:$E$513,MATCH(RIGHT(L1545,255),RIGHT('Disaggregation Records'!$D$152:$D$513,255),0))),"")</f>
        <v>HIV status</v>
      </c>
      <c r="N1545" s="130" t="str">
        <f t="array" ref="N1545">IFERROR(IF(INDEX('Disaggregation Records'!$F$152:$F$513,MATCH(RIGHT(L1545,255),RIGHT('Disaggregation Records'!$D$152:$D$513,255),0))="","",INDEX('Disaggregation Records'!$F$152:$F$513,MATCH(RIGHT(L1545,255),RIGHT('Disaggregation Records'!$D$152:$D$513,255),0))),"")</f>
        <v>Unknown</v>
      </c>
      <c r="O1545" s="130" t="str">
        <f t="array" ref="O1545">IFERROR(IF(INDEX('Disaggregation Records'!$H$152:$H$513,MATCH(RIGHT(L1545,255),RIGHT('Disaggregation Records'!$D$152:$D$513,255),0))="","",INDEX('Disaggregation Records'!$H$152:$H$513,MATCH(RIGHT(L1545,255),RIGHT('Disaggregation Records'!$D$152:$D$513,255),0))),"")</f>
        <v>IDR-01393</v>
      </c>
      <c r="Q1545" s="52">
        <f t="shared" ref="Q1545" si="1742">Q1543+1</f>
        <v>1957</v>
      </c>
    </row>
    <row r="1546" spans="1:17" ht="20.100000000000001" customHeight="1" x14ac:dyDescent="0.25">
      <c r="A1546" s="130"/>
      <c r="B1546" s="602"/>
      <c r="C1546" s="604"/>
      <c r="D1546" s="606"/>
      <c r="E1546" s="606"/>
      <c r="F1546" s="132"/>
      <c r="G1546" s="608"/>
      <c r="H1546" s="598"/>
      <c r="I1546" s="600"/>
      <c r="J1546" s="532"/>
      <c r="L1546" s="130"/>
      <c r="N1546" s="130"/>
      <c r="O1546" s="130"/>
    </row>
    <row r="1547" spans="1:17" ht="20.100000000000001" customHeight="1" x14ac:dyDescent="0.25">
      <c r="A1547" s="130" t="str">
        <f t="shared" ca="1" si="1718"/>
        <v>a16Dm000000LZgzIAG</v>
      </c>
      <c r="B1547" s="601">
        <v>24</v>
      </c>
      <c r="C1547" s="603" t="str">
        <f>IFERROR(VLOOKUP(B1547,'Coverage Indicators - Section D'!$A$9:$AO$70,41,FALSE),"")</f>
        <v>DRTB-9 Treatment success rate of RR-TB and/or MDR-TB: Percentage of patients with RR and/or MDR-TB successfully treated</v>
      </c>
      <c r="D1547" s="605" t="str">
        <f>M1547</f>
        <v>Treatment regimen</v>
      </c>
      <c r="E1547" s="605" t="str">
        <f>N1547</f>
        <v>Longer individualized</v>
      </c>
      <c r="F1547" s="131">
        <v>672</v>
      </c>
      <c r="G1547" s="607">
        <f ca="1">IF(OR(INDIRECT("'update Helper'!E"&amp;Q1547)="",F1547&lt;&gt;0,F1548&lt;&gt;0),IF(IFERROR((F1547/F1548),"")="","",(F1547/F1548)),INDIRECT("'update Helper'!E"&amp;Q1547)/100)</f>
        <v>0.69493278179937956</v>
      </c>
      <c r="H1547" s="597"/>
      <c r="I1547" s="599"/>
      <c r="J1547" s="531"/>
      <c r="K1547" s="130">
        <f>IF(AND(EXACT(C1547,C1545),C1545&lt;&gt;0),K1545+1,0)</f>
        <v>3</v>
      </c>
      <c r="L1547" s="130" t="str">
        <f t="shared" ref="L1547" si="1743">IF(C1547&lt;&gt;"",C1547&amp;"-"&amp;K1547,"")</f>
        <v>DRTB-9 Treatment success rate of RR-TB and/or MDR-TB: Percentage of patients with RR and/or MDR-TB successfully treated-3</v>
      </c>
      <c r="M1547" s="130" t="str">
        <f t="array" ref="M1547">IFERROR(IF(INDEX('Disaggregation Records'!$E$152:$E$513,MATCH(RIGHT(L1547,255),RIGHT('Disaggregation Records'!$D$152:$D$513,255),0))="","",INDEX('Disaggregation Records'!$E$152:$E$513,MATCH(RIGHT(L1547,255),RIGHT('Disaggregation Records'!$D$152:$D$513,255),0))),"")</f>
        <v>Treatment regimen</v>
      </c>
      <c r="N1547" s="130" t="str">
        <f t="array" ref="N1547">IFERROR(IF(INDEX('Disaggregation Records'!$F$152:$F$513,MATCH(RIGHT(L1547,255),RIGHT('Disaggregation Records'!$D$152:$D$513,255),0))="","",INDEX('Disaggregation Records'!$F$152:$F$513,MATCH(RIGHT(L1547,255),RIGHT('Disaggregation Records'!$D$152:$D$513,255),0))),"")</f>
        <v>Longer individualized</v>
      </c>
      <c r="O1547" s="130" t="str">
        <f t="array" ref="O1547">IFERROR(IF(INDEX('Disaggregation Records'!$H$152:$H$513,MATCH(RIGHT(L1547,255),RIGHT('Disaggregation Records'!$D$152:$D$513,255),0))="","",INDEX('Disaggregation Records'!$H$152:$H$513,MATCH(RIGHT(L1547,255),RIGHT('Disaggregation Records'!$D$152:$D$513,255),0))),"")</f>
        <v>IDR-01392</v>
      </c>
      <c r="Q1547" s="52">
        <f t="shared" ref="Q1547" si="1744">Q1545+1</f>
        <v>1958</v>
      </c>
    </row>
    <row r="1548" spans="1:17" ht="20.100000000000001" customHeight="1" x14ac:dyDescent="0.25">
      <c r="B1548" s="602"/>
      <c r="C1548" s="604"/>
      <c r="D1548" s="606"/>
      <c r="E1548" s="606"/>
      <c r="F1548" s="132">
        <v>967</v>
      </c>
      <c r="G1548" s="608"/>
      <c r="H1548" s="598"/>
      <c r="I1548" s="600"/>
      <c r="J1548" s="532"/>
      <c r="L1548" s="130"/>
      <c r="N1548" s="130"/>
      <c r="O1548" s="130"/>
    </row>
    <row r="1549" spans="1:17" ht="20.100000000000001" customHeight="1" x14ac:dyDescent="0.25">
      <c r="A1549" s="130" t="str">
        <f t="shared" ca="1" si="1715"/>
        <v>a16Dm000000LZh0IAG</v>
      </c>
      <c r="B1549" s="601">
        <v>24</v>
      </c>
      <c r="C1549" s="603" t="str">
        <f>IFERROR(VLOOKUP(B1549,'Coverage Indicators - Section D'!$A$9:$AO$70,41,FALSE),"")</f>
        <v>DRTB-9 Treatment success rate of RR-TB and/or MDR-TB: Percentage of patients with RR and/or MDR-TB successfully treated</v>
      </c>
      <c r="D1549" s="605" t="str">
        <f>M1549</f>
        <v>HIV status</v>
      </c>
      <c r="E1549" s="605" t="str">
        <f>N1549</f>
        <v>Negative</v>
      </c>
      <c r="F1549" s="131">
        <v>875</v>
      </c>
      <c r="G1549" s="607">
        <f ca="1">IF(OR(INDIRECT("'update Helper'!E"&amp;Q1549)="",F1549&lt;&gt;0,F1550&lt;&gt;0),IF(IFERROR((F1549/F1550),"")="","",(F1549/F1550)),INDIRECT("'update Helper'!E"&amp;Q1549)/100)</f>
        <v>0.7142857142857143</v>
      </c>
      <c r="H1549" s="597"/>
      <c r="I1549" s="599"/>
      <c r="J1549" s="531"/>
      <c r="K1549" s="130">
        <f>IF(AND(EXACT(C1549,C1547),C1547&lt;&gt;0),K1547+1,0)</f>
        <v>4</v>
      </c>
      <c r="L1549" s="130" t="str">
        <f t="shared" ref="L1549" si="1745">IF(C1549&lt;&gt;"",C1549&amp;"-"&amp;K1549,"")</f>
        <v>DRTB-9 Treatment success rate of RR-TB and/or MDR-TB: Percentage of patients with RR and/or MDR-TB successfully treated-4</v>
      </c>
      <c r="M1549" s="130" t="str">
        <f t="array" ref="M1549">IFERROR(IF(INDEX('Disaggregation Records'!$E$152:$E$513,MATCH(RIGHT(L1549,255),RIGHT('Disaggregation Records'!$D$152:$D$513,255),0))="","",INDEX('Disaggregation Records'!$E$152:$E$513,MATCH(RIGHT(L1549,255),RIGHT('Disaggregation Records'!$D$152:$D$513,255),0))),"")</f>
        <v>HIV status</v>
      </c>
      <c r="N1549" s="130" t="str">
        <f t="array" ref="N1549">IFERROR(IF(INDEX('Disaggregation Records'!$F$152:$F$513,MATCH(RIGHT(L1549,255),RIGHT('Disaggregation Records'!$D$152:$D$513,255),0))="","",INDEX('Disaggregation Records'!$F$152:$F$513,MATCH(RIGHT(L1549,255),RIGHT('Disaggregation Records'!$D$152:$D$513,255),0))),"")</f>
        <v>Negative</v>
      </c>
      <c r="O1549" s="130" t="str">
        <f t="array" ref="O1549">IFERROR(IF(INDEX('Disaggregation Records'!$H$152:$H$513,MATCH(RIGHT(L1549,255),RIGHT('Disaggregation Records'!$D$152:$D$513,255),0))="","",INDEX('Disaggregation Records'!$H$152:$H$513,MATCH(RIGHT(L1549,255),RIGHT('Disaggregation Records'!$D$152:$D$513,255),0))),"")</f>
        <v>IDR-01391</v>
      </c>
      <c r="Q1549" s="52">
        <f t="shared" ref="Q1549" si="1746">Q1547+1</f>
        <v>1959</v>
      </c>
    </row>
    <row r="1550" spans="1:17" ht="20.100000000000001" customHeight="1" x14ac:dyDescent="0.25">
      <c r="A1550" s="130"/>
      <c r="B1550" s="602"/>
      <c r="C1550" s="604"/>
      <c r="D1550" s="606"/>
      <c r="E1550" s="606"/>
      <c r="F1550" s="132">
        <v>1225</v>
      </c>
      <c r="G1550" s="608"/>
      <c r="H1550" s="598"/>
      <c r="I1550" s="600"/>
      <c r="J1550" s="532"/>
      <c r="L1550" s="130"/>
      <c r="N1550" s="130"/>
      <c r="O1550" s="130"/>
    </row>
    <row r="1551" spans="1:17" ht="20.100000000000001" customHeight="1" x14ac:dyDescent="0.25">
      <c r="A1551" s="130" t="str">
        <f t="shared" ca="1" si="1718"/>
        <v>a16Dm000000LZh1IAG</v>
      </c>
      <c r="B1551" s="601">
        <v>24</v>
      </c>
      <c r="C1551" s="603" t="str">
        <f>IFERROR(VLOOKUP(B1551,'Coverage Indicators - Section D'!$A$9:$AO$70,41,FALSE),"")</f>
        <v>DRTB-9 Treatment success rate of RR-TB and/or MDR-TB: Percentage of patients with RR and/or MDR-TB successfully treated</v>
      </c>
      <c r="D1551" s="605" t="str">
        <f>M1551</f>
        <v>Gender</v>
      </c>
      <c r="E1551" s="605" t="str">
        <f>N1551</f>
        <v>Male</v>
      </c>
      <c r="F1551" s="131"/>
      <c r="G1551" s="607" t="str">
        <f ca="1">IF(OR(INDIRECT("'update Helper'!E"&amp;Q1551)="",F1551&lt;&gt;0,F1552&lt;&gt;0),IF(IFERROR((F1551/F1552),"")="","",(F1551/F1552)),INDIRECT("'update Helper'!E"&amp;Q1551)/100)</f>
        <v/>
      </c>
      <c r="H1551" s="597"/>
      <c r="I1551" s="599"/>
      <c r="J1551" s="531" t="s">
        <v>2271</v>
      </c>
      <c r="K1551" s="130">
        <f>IF(AND(EXACT(C1551,C1549),C1549&lt;&gt;0),K1549+1,0)</f>
        <v>5</v>
      </c>
      <c r="L1551" s="130" t="str">
        <f t="shared" ref="L1551" si="1747">IF(C1551&lt;&gt;"",C1551&amp;"-"&amp;K1551,"")</f>
        <v>DRTB-9 Treatment success rate of RR-TB and/or MDR-TB: Percentage of patients with RR and/or MDR-TB successfully treated-5</v>
      </c>
      <c r="M1551" s="130" t="str">
        <f t="array" ref="M1551">IFERROR(IF(INDEX('Disaggregation Records'!$E$152:$E$513,MATCH(RIGHT(L1551,255),RIGHT('Disaggregation Records'!$D$152:$D$513,255),0))="","",INDEX('Disaggregation Records'!$E$152:$E$513,MATCH(RIGHT(L1551,255),RIGHT('Disaggregation Records'!$D$152:$D$513,255),0))),"")</f>
        <v>Gender</v>
      </c>
      <c r="N1551" s="130" t="str">
        <f t="array" ref="N1551">IFERROR(IF(INDEX('Disaggregation Records'!$F$152:$F$513,MATCH(RIGHT(L1551,255),RIGHT('Disaggregation Records'!$D$152:$D$513,255),0))="","",INDEX('Disaggregation Records'!$F$152:$F$513,MATCH(RIGHT(L1551,255),RIGHT('Disaggregation Records'!$D$152:$D$513,255),0))),"")</f>
        <v>Male</v>
      </c>
      <c r="O1551" s="130" t="str">
        <f t="array" ref="O1551">IFERROR(IF(INDEX('Disaggregation Records'!$H$152:$H$513,MATCH(RIGHT(L1551,255),RIGHT('Disaggregation Records'!$D$152:$D$513,255),0))="","",INDEX('Disaggregation Records'!$H$152:$H$513,MATCH(RIGHT(L1551,255),RIGHT('Disaggregation Records'!$D$152:$D$513,255),0))),"")</f>
        <v>IDR-01390</v>
      </c>
      <c r="P1551" s="130"/>
      <c r="Q1551" s="52">
        <f t="shared" ref="Q1551" si="1748">Q1549+1</f>
        <v>1960</v>
      </c>
    </row>
    <row r="1552" spans="1:17" ht="20.100000000000001" customHeight="1" x14ac:dyDescent="0.25">
      <c r="B1552" s="602"/>
      <c r="C1552" s="604"/>
      <c r="D1552" s="606"/>
      <c r="E1552" s="606"/>
      <c r="F1552" s="132"/>
      <c r="G1552" s="608"/>
      <c r="H1552" s="598"/>
      <c r="I1552" s="600"/>
      <c r="J1552" s="532"/>
      <c r="K1552" s="130"/>
      <c r="L1552" s="130"/>
      <c r="M1552" s="130"/>
      <c r="N1552" s="130"/>
      <c r="O1552" s="130"/>
      <c r="P1552" s="130"/>
    </row>
    <row r="1553" spans="1:17" ht="20.100000000000001" customHeight="1" x14ac:dyDescent="0.25">
      <c r="A1553" s="130" t="str">
        <f t="shared" ca="1" si="1715"/>
        <v>a16Dm000000LZh2IAG</v>
      </c>
      <c r="B1553" s="601">
        <v>24</v>
      </c>
      <c r="C1553" s="603" t="str">
        <f>IFERROR(VLOOKUP(B1553,'Coverage Indicators - Section D'!$A$9:$AO$70,41,FALSE),"")</f>
        <v>DRTB-9 Treatment success rate of RR-TB and/or MDR-TB: Percentage of patients with RR and/or MDR-TB successfully treated</v>
      </c>
      <c r="D1553" s="605" t="str">
        <f>M1553</f>
        <v>Provider type</v>
      </c>
      <c r="E1553" s="605" t="str">
        <f>N1553</f>
        <v>Private</v>
      </c>
      <c r="F1553" s="131"/>
      <c r="G1553" s="607" t="str">
        <f ca="1">IF(OR(INDIRECT("'update Helper'!E"&amp;Q1553)="",F1553&lt;&gt;0,F1554&lt;&gt;0),IF(IFERROR((F1553/F1554),"")="","",(F1553/F1554)),INDIRECT("'update Helper'!E"&amp;Q1553)/100)</f>
        <v/>
      </c>
      <c r="H1553" s="597"/>
      <c r="I1553" s="599"/>
      <c r="J1553" s="531" t="s">
        <v>2272</v>
      </c>
      <c r="K1553" s="130">
        <f>IF(AND(EXACT(C1553,C1551),C1551&lt;&gt;0),K1551+1,0)</f>
        <v>6</v>
      </c>
      <c r="L1553" s="130" t="str">
        <f t="shared" ref="L1553" si="1749">IF(C1553&lt;&gt;"",C1553&amp;"-"&amp;K1553,"")</f>
        <v>DRTB-9 Treatment success rate of RR-TB and/or MDR-TB: Percentage of patients with RR and/or MDR-TB successfully treated-6</v>
      </c>
      <c r="M1553" s="130" t="str">
        <f t="array" ref="M1553">IFERROR(IF(INDEX('Disaggregation Records'!$E$152:$E$513,MATCH(RIGHT(L1553,255),RIGHT('Disaggregation Records'!$D$152:$D$513,255),0))="","",INDEX('Disaggregation Records'!$E$152:$E$513,MATCH(RIGHT(L1553,255),RIGHT('Disaggregation Records'!$D$152:$D$513,255),0))),"")</f>
        <v>Provider type</v>
      </c>
      <c r="N1553" s="130" t="str">
        <f t="array" ref="N1553">IFERROR(IF(INDEX('Disaggregation Records'!$F$152:$F$513,MATCH(RIGHT(L1553,255),RIGHT('Disaggregation Records'!$D$152:$D$513,255),0))="","",INDEX('Disaggregation Records'!$F$152:$F$513,MATCH(RIGHT(L1553,255),RIGHT('Disaggregation Records'!$D$152:$D$513,255),0))),"")</f>
        <v>Private</v>
      </c>
      <c r="O1553" s="130" t="str">
        <f t="array" ref="O1553">IFERROR(IF(INDEX('Disaggregation Records'!$H$152:$H$513,MATCH(RIGHT(L1553,255),RIGHT('Disaggregation Records'!$D$152:$D$513,255),0))="","",INDEX('Disaggregation Records'!$H$152:$H$513,MATCH(RIGHT(L1553,255),RIGHT('Disaggregation Records'!$D$152:$D$513,255),0))),"")</f>
        <v>IDR-01389</v>
      </c>
      <c r="P1553" s="130"/>
      <c r="Q1553" s="52">
        <f t="shared" ref="Q1553" si="1750">Q1551+1</f>
        <v>1961</v>
      </c>
    </row>
    <row r="1554" spans="1:17" ht="20.100000000000001" customHeight="1" x14ac:dyDescent="0.25">
      <c r="A1554" s="130"/>
      <c r="B1554" s="602"/>
      <c r="C1554" s="604"/>
      <c r="D1554" s="606"/>
      <c r="E1554" s="606"/>
      <c r="F1554" s="132"/>
      <c r="G1554" s="608"/>
      <c r="H1554" s="598"/>
      <c r="I1554" s="600"/>
      <c r="J1554" s="532"/>
      <c r="K1554" s="130"/>
      <c r="L1554" s="130"/>
      <c r="M1554" s="130"/>
      <c r="N1554" s="130"/>
      <c r="O1554" s="130"/>
      <c r="P1554" s="130"/>
    </row>
    <row r="1555" spans="1:17" ht="20.100000000000001" customHeight="1" x14ac:dyDescent="0.25">
      <c r="A1555" s="130" t="str">
        <f t="shared" ca="1" si="1718"/>
        <v>a16Dm000000LZh3IAG</v>
      </c>
      <c r="B1555" s="601">
        <v>24</v>
      </c>
      <c r="C1555" s="603" t="str">
        <f>IFERROR(VLOOKUP(B1555,'Coverage Indicators - Section D'!$A$9:$AO$70,41,FALSE),"")</f>
        <v>DRTB-9 Treatment success rate of RR-TB and/or MDR-TB: Percentage of patients with RR and/or MDR-TB successfully treated</v>
      </c>
      <c r="D1555" s="605" t="str">
        <f>M1555</f>
        <v>Provider type</v>
      </c>
      <c r="E1555" s="605" t="str">
        <f>N1555</f>
        <v>Public</v>
      </c>
      <c r="F1555" s="131">
        <v>901</v>
      </c>
      <c r="G1555" s="607">
        <f ca="1">IF(OR(INDIRECT("'update Helper'!E"&amp;Q1555)="",F1555&lt;&gt;0,F1556&lt;&gt;0),IF(IFERROR((F1555/F1556),"")="","",(F1555/F1556)),INDIRECT("'update Helper'!E"&amp;Q1555)/100)</f>
        <v>0.70944881889763778</v>
      </c>
      <c r="H1555" s="597"/>
      <c r="I1555" s="599"/>
      <c r="J1555" s="531"/>
      <c r="K1555" s="130">
        <f>IF(AND(EXACT(C1555,C1553),C1553&lt;&gt;0),K1553+1,0)</f>
        <v>7</v>
      </c>
      <c r="L1555" s="130" t="str">
        <f t="shared" ref="L1555" si="1751">IF(C1555&lt;&gt;"",C1555&amp;"-"&amp;K1555,"")</f>
        <v>DRTB-9 Treatment success rate of RR-TB and/or MDR-TB: Percentage of patients with RR and/or MDR-TB successfully treated-7</v>
      </c>
      <c r="M1555" s="130" t="str">
        <f t="array" ref="M1555">IFERROR(IF(INDEX('Disaggregation Records'!$E$152:$E$513,MATCH(RIGHT(L1555,255),RIGHT('Disaggregation Records'!$D$152:$D$513,255),0))="","",INDEX('Disaggregation Records'!$E$152:$E$513,MATCH(RIGHT(L1555,255),RIGHT('Disaggregation Records'!$D$152:$D$513,255),0))),"")</f>
        <v>Provider type</v>
      </c>
      <c r="N1555" s="130" t="str">
        <f t="array" ref="N1555">IFERROR(IF(INDEX('Disaggregation Records'!$F$152:$F$513,MATCH(RIGHT(L1555,255),RIGHT('Disaggregation Records'!$D$152:$D$513,255),0))="","",INDEX('Disaggregation Records'!$F$152:$F$513,MATCH(RIGHT(L1555,255),RIGHT('Disaggregation Records'!$D$152:$D$513,255),0))),"")</f>
        <v>Public</v>
      </c>
      <c r="O1555" s="130" t="str">
        <f t="array" ref="O1555">IFERROR(IF(INDEX('Disaggregation Records'!$H$152:$H$513,MATCH(RIGHT(L1555,255),RIGHT('Disaggregation Records'!$D$152:$D$513,255),0))="","",INDEX('Disaggregation Records'!$H$152:$H$513,MATCH(RIGHT(L1555,255),RIGHT('Disaggregation Records'!$D$152:$D$513,255),0))),"")</f>
        <v>IDR-01388</v>
      </c>
      <c r="Q1555" s="52">
        <f t="shared" ref="Q1555" si="1752">Q1553+1</f>
        <v>1962</v>
      </c>
    </row>
    <row r="1556" spans="1:17" ht="20.100000000000001" customHeight="1" x14ac:dyDescent="0.25">
      <c r="B1556" s="602"/>
      <c r="C1556" s="604"/>
      <c r="D1556" s="606"/>
      <c r="E1556" s="606"/>
      <c r="F1556" s="132">
        <v>1270</v>
      </c>
      <c r="G1556" s="608"/>
      <c r="H1556" s="598"/>
      <c r="I1556" s="600"/>
      <c r="J1556" s="532"/>
      <c r="L1556" s="130"/>
      <c r="N1556" s="130"/>
      <c r="O1556" s="130"/>
    </row>
    <row r="1557" spans="1:17" ht="20.100000000000001" customHeight="1" x14ac:dyDescent="0.25">
      <c r="A1557" s="130" t="str">
        <f t="shared" ca="1" si="1715"/>
        <v>a16Dm000000LZh4IAG</v>
      </c>
      <c r="B1557" s="601">
        <v>24</v>
      </c>
      <c r="C1557" s="603" t="str">
        <f>IFERROR(VLOOKUP(B1557,'Coverage Indicators - Section D'!$A$9:$AO$70,41,FALSE),"")</f>
        <v>DRTB-9 Treatment success rate of RR-TB and/or MDR-TB: Percentage of patients with RR and/or MDR-TB successfully treated</v>
      </c>
      <c r="D1557" s="605" t="str">
        <f>M1557</f>
        <v>Gender</v>
      </c>
      <c r="E1557" s="605" t="str">
        <f>N1557</f>
        <v>Female</v>
      </c>
      <c r="F1557" s="131"/>
      <c r="G1557" s="607" t="str">
        <f ca="1">IF(OR(INDIRECT("'update Helper'!E"&amp;Q1557)="",F1557&lt;&gt;0,F1558&lt;&gt;0),IF(IFERROR((F1557/F1558),"")="","",(F1557/F1558)),INDIRECT("'update Helper'!E"&amp;Q1557)/100)</f>
        <v/>
      </c>
      <c r="H1557" s="597"/>
      <c r="I1557" s="599"/>
      <c r="J1557" s="531" t="s">
        <v>2257</v>
      </c>
      <c r="K1557" s="130">
        <f>IF(AND(EXACT(C1557,C1555),C1555&lt;&gt;0),K1555+1,0)</f>
        <v>8</v>
      </c>
      <c r="L1557" s="130" t="str">
        <f t="shared" ref="L1557" si="1753">IF(C1557&lt;&gt;"",C1557&amp;"-"&amp;K1557,"")</f>
        <v>DRTB-9 Treatment success rate of RR-TB and/or MDR-TB: Percentage of patients with RR and/or MDR-TB successfully treated-8</v>
      </c>
      <c r="M1557" s="130" t="str">
        <f t="array" ref="M1557">IFERROR(IF(INDEX('Disaggregation Records'!$E$152:$E$513,MATCH(RIGHT(L1557,255),RIGHT('Disaggregation Records'!$D$152:$D$513,255),0))="","",INDEX('Disaggregation Records'!$E$152:$E$513,MATCH(RIGHT(L1557,255),RIGHT('Disaggregation Records'!$D$152:$D$513,255),0))),"")</f>
        <v>Gender</v>
      </c>
      <c r="N1557" s="130" t="str">
        <f t="array" ref="N1557">IFERROR(IF(INDEX('Disaggregation Records'!$F$152:$F$513,MATCH(RIGHT(L1557,255),RIGHT('Disaggregation Records'!$D$152:$D$513,255),0))="","",INDEX('Disaggregation Records'!$F$152:$F$513,MATCH(RIGHT(L1557,255),RIGHT('Disaggregation Records'!$D$152:$D$513,255),0))),"")</f>
        <v>Female</v>
      </c>
      <c r="O1557" s="130" t="str">
        <f t="array" ref="O1557">IFERROR(IF(INDEX('Disaggregation Records'!$H$152:$H$513,MATCH(RIGHT(L1557,255),RIGHT('Disaggregation Records'!$D$152:$D$513,255),0))="","",INDEX('Disaggregation Records'!$H$152:$H$513,MATCH(RIGHT(L1557,255),RIGHT('Disaggregation Records'!$D$152:$D$513,255),0))),"")</f>
        <v>IDR-01387</v>
      </c>
      <c r="Q1557" s="52">
        <f t="shared" ref="Q1557" si="1754">Q1555+1</f>
        <v>1963</v>
      </c>
    </row>
    <row r="1558" spans="1:17" ht="20.100000000000001" customHeight="1" x14ac:dyDescent="0.25">
      <c r="A1558" s="130"/>
      <c r="B1558" s="602"/>
      <c r="C1558" s="604"/>
      <c r="D1558" s="606"/>
      <c r="E1558" s="606"/>
      <c r="F1558" s="132"/>
      <c r="G1558" s="608"/>
      <c r="H1558" s="598"/>
      <c r="I1558" s="600"/>
      <c r="J1558" s="532"/>
      <c r="L1558" s="130"/>
      <c r="N1558" s="130"/>
      <c r="O1558" s="130"/>
    </row>
    <row r="1559" spans="1:17" ht="20.100000000000001" customHeight="1" x14ac:dyDescent="0.25">
      <c r="A1559" s="130" t="str">
        <f t="shared" ca="1" si="1718"/>
        <v>a16Dm000000LZh5IAG</v>
      </c>
      <c r="B1559" s="601">
        <v>24</v>
      </c>
      <c r="C1559" s="603" t="str">
        <f>IFERROR(VLOOKUP(B1559,'Coverage Indicators - Section D'!$A$9:$AO$70,41,FALSE),"")</f>
        <v>DRTB-9 Treatment success rate of RR-TB and/or MDR-TB: Percentage of patients with RR and/or MDR-TB successfully treated</v>
      </c>
      <c r="D1559" s="605" t="str">
        <f>M1559</f>
        <v>Treatment regimen</v>
      </c>
      <c r="E1559" s="605" t="str">
        <f>N1559</f>
        <v>Shorter 6-9 month</v>
      </c>
      <c r="F1559" s="131">
        <v>169</v>
      </c>
      <c r="G1559" s="607">
        <f ca="1">IF(OR(INDIRECT("'update Helper'!E"&amp;Q1559)="",F1559&lt;&gt;0,F1560&lt;&gt;0),IF(IFERROR((F1559/F1560),"")="","",(F1559/F1560)),INDIRECT("'update Helper'!E"&amp;Q1559)/100)</f>
        <v>0.83251231527093594</v>
      </c>
      <c r="H1559" s="597"/>
      <c r="I1559" s="599"/>
      <c r="J1559" s="531"/>
      <c r="K1559" s="130">
        <f>IF(AND(EXACT(C1559,C1557),C1557&lt;&gt;0),K1557+1,0)</f>
        <v>9</v>
      </c>
      <c r="L1559" s="130" t="str">
        <f t="shared" ref="L1559" si="1755">IF(C1559&lt;&gt;"",C1559&amp;"-"&amp;K1559,"")</f>
        <v>DRTB-9 Treatment success rate of RR-TB and/or MDR-TB: Percentage of patients with RR and/or MDR-TB successfully treated-9</v>
      </c>
      <c r="M1559" s="130" t="str">
        <f t="array" ref="M1559">IFERROR(IF(INDEX('Disaggregation Records'!$E$152:$E$513,MATCH(RIGHT(L1559,255),RIGHT('Disaggregation Records'!$D$152:$D$513,255),0))="","",INDEX('Disaggregation Records'!$E$152:$E$513,MATCH(RIGHT(L1559,255),RIGHT('Disaggregation Records'!$D$152:$D$513,255),0))),"")</f>
        <v>Treatment regimen</v>
      </c>
      <c r="N1559" s="130" t="str">
        <f t="array" ref="N1559">IFERROR(IF(INDEX('Disaggregation Records'!$F$152:$F$513,MATCH(RIGHT(L1559,255),RIGHT('Disaggregation Records'!$D$152:$D$513,255),0))="","",INDEX('Disaggregation Records'!$F$152:$F$513,MATCH(RIGHT(L1559,255),RIGHT('Disaggregation Records'!$D$152:$D$513,255),0))),"")</f>
        <v>Shorter 6-9 month</v>
      </c>
      <c r="O1559" s="130" t="str">
        <f t="array" ref="O1559">IFERROR(IF(INDEX('Disaggregation Records'!$H$152:$H$513,MATCH(RIGHT(L1559,255),RIGHT('Disaggregation Records'!$D$152:$D$513,255),0))="","",INDEX('Disaggregation Records'!$H$152:$H$513,MATCH(RIGHT(L1559,255),RIGHT('Disaggregation Records'!$D$152:$D$513,255),0))),"")</f>
        <v>IDR-01386</v>
      </c>
      <c r="Q1559" s="52">
        <f t="shared" ref="Q1559" si="1756">Q1557+1</f>
        <v>1964</v>
      </c>
    </row>
    <row r="1560" spans="1:17" ht="20.100000000000001" customHeight="1" x14ac:dyDescent="0.25">
      <c r="B1560" s="602"/>
      <c r="C1560" s="604"/>
      <c r="D1560" s="606"/>
      <c r="E1560" s="606"/>
      <c r="F1560" s="132">
        <v>203</v>
      </c>
      <c r="G1560" s="608"/>
      <c r="H1560" s="598"/>
      <c r="I1560" s="600"/>
      <c r="J1560" s="532"/>
      <c r="L1560" s="130"/>
      <c r="N1560" s="130"/>
      <c r="O1560" s="130"/>
    </row>
    <row r="1561" spans="1:17" ht="20.100000000000001" customHeight="1" x14ac:dyDescent="0.25">
      <c r="A1561" s="130" t="str">
        <f t="shared" ca="1" si="1715"/>
        <v>a16Dm000000LZh6IAG</v>
      </c>
      <c r="B1561" s="601">
        <v>24</v>
      </c>
      <c r="C1561" s="603" t="str">
        <f>IFERROR(VLOOKUP(B1561,'Coverage Indicators - Section D'!$A$9:$AO$70,41,FALSE),"")</f>
        <v>DRTB-9 Treatment success rate of RR-TB and/or MDR-TB: Percentage of patients with RR and/or MDR-TB successfully treated</v>
      </c>
      <c r="D1561" s="605" t="str">
        <f>M1561</f>
        <v>HIV status</v>
      </c>
      <c r="E1561" s="605" t="str">
        <f>N1561</f>
        <v>Positive</v>
      </c>
      <c r="F1561" s="131">
        <v>26</v>
      </c>
      <c r="G1561" s="607">
        <f ca="1">IF(OR(INDIRECT("'update Helper'!E"&amp;Q1561)="",F1561&lt;&gt;0,F1562&lt;&gt;0),IF(IFERROR((F1561/F1562),"")="","",(F1561/F1562)),INDIRECT("'update Helper'!E"&amp;Q1561)/100)</f>
        <v>0.57777777777777772</v>
      </c>
      <c r="H1561" s="597"/>
      <c r="I1561" s="599"/>
      <c r="J1561" s="531"/>
      <c r="K1561" s="130">
        <f>IF(AND(EXACT(C1561,C1559),C1559&lt;&gt;0),K1559+1,0)</f>
        <v>10</v>
      </c>
      <c r="L1561" s="130" t="str">
        <f t="shared" ref="L1561" si="1757">IF(C1561&lt;&gt;"",C1561&amp;"-"&amp;K1561,"")</f>
        <v>DRTB-9 Treatment success rate of RR-TB and/or MDR-TB: Percentage of patients with RR and/or MDR-TB successfully treated-10</v>
      </c>
      <c r="M1561" s="130" t="str">
        <f t="array" ref="M1561">IFERROR(IF(INDEX('Disaggregation Records'!$E$152:$E$513,MATCH(RIGHT(L1561,255),RIGHT('Disaggregation Records'!$D$152:$D$513,255),0))="","",INDEX('Disaggregation Records'!$E$152:$E$513,MATCH(RIGHT(L1561,255),RIGHT('Disaggregation Records'!$D$152:$D$513,255),0))),"")</f>
        <v>HIV status</v>
      </c>
      <c r="N1561" s="130" t="str">
        <f t="array" ref="N1561">IFERROR(IF(INDEX('Disaggregation Records'!$F$152:$F$513,MATCH(RIGHT(L1561,255),RIGHT('Disaggregation Records'!$D$152:$D$513,255),0))="","",INDEX('Disaggregation Records'!$F$152:$F$513,MATCH(RIGHT(L1561,255),RIGHT('Disaggregation Records'!$D$152:$D$513,255),0))),"")</f>
        <v>Positive</v>
      </c>
      <c r="O1561" s="130" t="str">
        <f t="array" ref="O1561">IFERROR(IF(INDEX('Disaggregation Records'!$H$152:$H$513,MATCH(RIGHT(L1561,255),RIGHT('Disaggregation Records'!$D$152:$D$513,255),0))="","",INDEX('Disaggregation Records'!$H$152:$H$513,MATCH(RIGHT(L1561,255),RIGHT('Disaggregation Records'!$D$152:$D$513,255),0))),"")</f>
        <v>IDR-01385</v>
      </c>
      <c r="P1561" s="130"/>
      <c r="Q1561" s="52">
        <f t="shared" ref="Q1561" si="1758">Q1559+1</f>
        <v>1965</v>
      </c>
    </row>
    <row r="1562" spans="1:17" ht="20.100000000000001" customHeight="1" x14ac:dyDescent="0.25">
      <c r="A1562" s="130"/>
      <c r="B1562" s="602"/>
      <c r="C1562" s="604"/>
      <c r="D1562" s="606"/>
      <c r="E1562" s="606"/>
      <c r="F1562" s="132">
        <v>45</v>
      </c>
      <c r="G1562" s="608"/>
      <c r="H1562" s="598"/>
      <c r="I1562" s="600"/>
      <c r="J1562" s="532"/>
      <c r="K1562" s="130"/>
      <c r="L1562" s="130"/>
      <c r="M1562" s="130"/>
      <c r="N1562" s="130"/>
      <c r="O1562" s="130"/>
      <c r="P1562" s="130"/>
    </row>
    <row r="1563" spans="1:17" ht="20.100000000000001" customHeight="1" x14ac:dyDescent="0.25">
      <c r="A1563" s="130" t="str">
        <f t="shared" ca="1" si="1718"/>
        <v>a16Dm000000LZh7IAG</v>
      </c>
      <c r="B1563" s="601">
        <v>24</v>
      </c>
      <c r="C1563" s="603" t="str">
        <f>IFERROR(VLOOKUP(B1563,'Coverage Indicators - Section D'!$A$9:$AO$70,41,FALSE),"")</f>
        <v>DRTB-9 Treatment success rate of RR-TB and/or MDR-TB: Percentage of patients with RR and/or MDR-TB successfully treated</v>
      </c>
      <c r="D1563" s="605" t="str">
        <f>M1563</f>
        <v/>
      </c>
      <c r="E1563" s="605" t="str">
        <f>N1563</f>
        <v/>
      </c>
      <c r="F1563" s="131"/>
      <c r="G1563" s="607" t="str">
        <f ca="1">IF(OR(INDIRECT("'update Helper'!E"&amp;Q1563)="",F1563&lt;&gt;0,F1564&lt;&gt;0),IF(IFERROR((F1563/F1564),"")="","",(F1563/F1564)),INDIRECT("'update Helper'!E"&amp;Q1563)/100)</f>
        <v/>
      </c>
      <c r="H1563" s="597"/>
      <c r="I1563" s="599"/>
      <c r="J1563" s="531"/>
      <c r="K1563" s="130">
        <f>IF(AND(EXACT(C1563,C1561),C1561&lt;&gt;0),K1561+1,0)</f>
        <v>11</v>
      </c>
      <c r="L1563" s="130" t="str">
        <f t="shared" ref="L1563" si="1759">IF(C1563&lt;&gt;"",C1563&amp;"-"&amp;K1563,"")</f>
        <v>DRTB-9 Treatment success rate of RR-TB and/or MDR-TB: Percentage of patients with RR and/or MDR-TB successfully treated-11</v>
      </c>
      <c r="M1563" s="130" t="str">
        <f t="array" ref="M1563">IFERROR(IF(INDEX('Disaggregation Records'!$E$152:$E$513,MATCH(RIGHT(L1563,255),RIGHT('Disaggregation Records'!$D$152:$D$513,255),0))="","",INDEX('Disaggregation Records'!$E$152:$E$513,MATCH(RIGHT(L1563,255),RIGHT('Disaggregation Records'!$D$152:$D$513,255),0))),"")</f>
        <v/>
      </c>
      <c r="N1563" s="130" t="str">
        <f t="array" ref="N1563">IFERROR(IF(INDEX('Disaggregation Records'!$F$152:$F$513,MATCH(RIGHT(L1563,255),RIGHT('Disaggregation Records'!$D$152:$D$513,255),0))="","",INDEX('Disaggregation Records'!$F$152:$F$513,MATCH(RIGHT(L1563,255),RIGHT('Disaggregation Records'!$D$152:$D$513,255),0))),"")</f>
        <v/>
      </c>
      <c r="O1563" s="130" t="str">
        <f t="array" ref="O1563">IFERROR(IF(INDEX('Disaggregation Records'!$H$152:$H$513,MATCH(RIGHT(L1563,255),RIGHT('Disaggregation Records'!$D$152:$D$513,255),0))="","",INDEX('Disaggregation Records'!$H$152:$H$513,MATCH(RIGHT(L1563,255),RIGHT('Disaggregation Records'!$D$152:$D$513,255),0))),"")</f>
        <v/>
      </c>
      <c r="P1563" s="130"/>
      <c r="Q1563" s="52">
        <f t="shared" ref="Q1563" si="1760">Q1561+1</f>
        <v>1966</v>
      </c>
    </row>
    <row r="1564" spans="1:17" ht="20.100000000000001" customHeight="1" x14ac:dyDescent="0.25">
      <c r="B1564" s="602"/>
      <c r="C1564" s="604"/>
      <c r="D1564" s="606"/>
      <c r="E1564" s="606"/>
      <c r="F1564" s="132"/>
      <c r="G1564" s="608"/>
      <c r="H1564" s="598"/>
      <c r="I1564" s="600"/>
      <c r="J1564" s="532"/>
      <c r="K1564" s="130"/>
      <c r="L1564" s="130"/>
      <c r="M1564" s="130"/>
      <c r="N1564" s="130"/>
      <c r="O1564" s="130"/>
      <c r="P1564" s="130"/>
    </row>
    <row r="1565" spans="1:17" ht="20.100000000000001" customHeight="1" x14ac:dyDescent="0.25">
      <c r="A1565" s="130" t="str">
        <f t="shared" ca="1" si="1715"/>
        <v>a16Dm000000LZh8IAG</v>
      </c>
      <c r="B1565" s="601">
        <v>24</v>
      </c>
      <c r="C1565" s="603" t="str">
        <f>IFERROR(VLOOKUP(B1565,'Coverage Indicators - Section D'!$A$9:$AO$70,41,FALSE),"")</f>
        <v>DRTB-9 Treatment success rate of RR-TB and/or MDR-TB: Percentage of patients with RR and/or MDR-TB successfully treated</v>
      </c>
      <c r="D1565" s="605" t="str">
        <f>M1565</f>
        <v/>
      </c>
      <c r="E1565" s="605" t="str">
        <f>N1565</f>
        <v/>
      </c>
      <c r="F1565" s="131"/>
      <c r="G1565" s="607" t="str">
        <f ca="1">IF(OR(INDIRECT("'update Helper'!E"&amp;Q1565)="",F1565&lt;&gt;0,F1566&lt;&gt;0),IF(IFERROR((F1565/F1566),"")="","",(F1565/F1566)),INDIRECT("'update Helper'!E"&amp;Q1565)/100)</f>
        <v/>
      </c>
      <c r="H1565" s="597"/>
      <c r="I1565" s="599"/>
      <c r="J1565" s="531"/>
      <c r="K1565" s="130">
        <f>IF(AND(EXACT(C1565,C1563),C1563&lt;&gt;0),K1563+1,0)</f>
        <v>12</v>
      </c>
      <c r="L1565" s="130" t="str">
        <f t="shared" ref="L1565" si="1761">IF(C1565&lt;&gt;"",C1565&amp;"-"&amp;K1565,"")</f>
        <v>DRTB-9 Treatment success rate of RR-TB and/or MDR-TB: Percentage of patients with RR and/or MDR-TB successfully treated-12</v>
      </c>
      <c r="M1565" s="130" t="str">
        <f t="array" ref="M1565">IFERROR(IF(INDEX('Disaggregation Records'!$E$152:$E$513,MATCH(RIGHT(L1565,255),RIGHT('Disaggregation Records'!$D$152:$D$513,255),0))="","",INDEX('Disaggregation Records'!$E$152:$E$513,MATCH(RIGHT(L1565,255),RIGHT('Disaggregation Records'!$D$152:$D$513,255),0))),"")</f>
        <v/>
      </c>
      <c r="N1565" s="130" t="str">
        <f t="array" ref="N1565">IFERROR(IF(INDEX('Disaggregation Records'!$F$152:$F$513,MATCH(RIGHT(L1565,255),RIGHT('Disaggregation Records'!$D$152:$D$513,255),0))="","",INDEX('Disaggregation Records'!$F$152:$F$513,MATCH(RIGHT(L1565,255),RIGHT('Disaggregation Records'!$D$152:$D$513,255),0))),"")</f>
        <v/>
      </c>
      <c r="O1565" s="130" t="str">
        <f t="array" ref="O1565">IFERROR(IF(INDEX('Disaggregation Records'!$H$152:$H$513,MATCH(RIGHT(L1565,255),RIGHT('Disaggregation Records'!$D$152:$D$513,255),0))="","",INDEX('Disaggregation Records'!$H$152:$H$513,MATCH(RIGHT(L1565,255),RIGHT('Disaggregation Records'!$D$152:$D$513,255),0))),"")</f>
        <v/>
      </c>
      <c r="Q1565" s="52">
        <f t="shared" ref="Q1565" si="1762">Q1563+1</f>
        <v>1967</v>
      </c>
    </row>
    <row r="1566" spans="1:17" ht="20.100000000000001" customHeight="1" x14ac:dyDescent="0.25">
      <c r="A1566" s="130"/>
      <c r="B1566" s="602"/>
      <c r="C1566" s="604"/>
      <c r="D1566" s="606"/>
      <c r="E1566" s="606"/>
      <c r="F1566" s="132"/>
      <c r="G1566" s="608"/>
      <c r="H1566" s="598"/>
      <c r="I1566" s="600"/>
      <c r="J1566" s="532"/>
      <c r="L1566" s="130"/>
      <c r="N1566" s="130"/>
      <c r="O1566" s="130"/>
    </row>
    <row r="1567" spans="1:17" ht="20.100000000000001" customHeight="1" x14ac:dyDescent="0.25">
      <c r="A1567" s="130" t="str">
        <f t="shared" ca="1" si="1718"/>
        <v>a16Dm000000LZh9IAG</v>
      </c>
      <c r="B1567" s="601">
        <v>24</v>
      </c>
      <c r="C1567" s="603" t="str">
        <f>IFERROR(VLOOKUP(B1567,'Coverage Indicators - Section D'!$A$9:$AO$70,41,FALSE),"")</f>
        <v>DRTB-9 Treatment success rate of RR-TB and/or MDR-TB: Percentage of patients with RR and/or MDR-TB successfully treated</v>
      </c>
      <c r="D1567" s="605" t="str">
        <f>M1567</f>
        <v/>
      </c>
      <c r="E1567" s="605" t="str">
        <f>N1567</f>
        <v/>
      </c>
      <c r="F1567" s="131"/>
      <c r="G1567" s="607" t="str">
        <f ca="1">IF(OR(INDIRECT("'update Helper'!E"&amp;Q1567)="",F1567&lt;&gt;0,F1568&lt;&gt;0),IF(IFERROR((F1567/F1568),"")="","",(F1567/F1568)),INDIRECT("'update Helper'!E"&amp;Q1567)/100)</f>
        <v/>
      </c>
      <c r="H1567" s="597"/>
      <c r="I1567" s="599"/>
      <c r="J1567" s="531"/>
      <c r="K1567" s="130">
        <f>IF(AND(EXACT(C1567,C1565),C1565&lt;&gt;0),K1565+1,0)</f>
        <v>13</v>
      </c>
      <c r="L1567" s="130" t="str">
        <f t="shared" ref="L1567" si="1763">IF(C1567&lt;&gt;"",C1567&amp;"-"&amp;K1567,"")</f>
        <v>DRTB-9 Treatment success rate of RR-TB and/or MDR-TB: Percentage of patients with RR and/or MDR-TB successfully treated-13</v>
      </c>
      <c r="M1567" s="130" t="str">
        <f t="array" ref="M1567">IFERROR(IF(INDEX('Disaggregation Records'!$E$152:$E$513,MATCH(RIGHT(L1567,255),RIGHT('Disaggregation Records'!$D$152:$D$513,255),0))="","",INDEX('Disaggregation Records'!$E$152:$E$513,MATCH(RIGHT(L1567,255),RIGHT('Disaggregation Records'!$D$152:$D$513,255),0))),"")</f>
        <v/>
      </c>
      <c r="N1567" s="130" t="str">
        <f t="array" ref="N1567">IFERROR(IF(INDEX('Disaggregation Records'!$F$152:$F$513,MATCH(RIGHT(L1567,255),RIGHT('Disaggregation Records'!$D$152:$D$513,255),0))="","",INDEX('Disaggregation Records'!$F$152:$F$513,MATCH(RIGHT(L1567,255),RIGHT('Disaggregation Records'!$D$152:$D$513,255),0))),"")</f>
        <v/>
      </c>
      <c r="O1567" s="130" t="str">
        <f t="array" ref="O1567">IFERROR(IF(INDEX('Disaggregation Records'!$H$152:$H$513,MATCH(RIGHT(L1567,255),RIGHT('Disaggregation Records'!$D$152:$D$513,255),0))="","",INDEX('Disaggregation Records'!$H$152:$H$513,MATCH(RIGHT(L1567,255),RIGHT('Disaggregation Records'!$D$152:$D$513,255),0))),"")</f>
        <v/>
      </c>
      <c r="Q1567" s="52">
        <f t="shared" ref="Q1567" si="1764">Q1565+1</f>
        <v>1968</v>
      </c>
    </row>
    <row r="1568" spans="1:17" ht="20.100000000000001" customHeight="1" x14ac:dyDescent="0.25">
      <c r="B1568" s="602"/>
      <c r="C1568" s="604"/>
      <c r="D1568" s="606"/>
      <c r="E1568" s="606"/>
      <c r="F1568" s="132"/>
      <c r="G1568" s="608"/>
      <c r="H1568" s="598"/>
      <c r="I1568" s="600"/>
      <c r="J1568" s="532"/>
      <c r="L1568" s="130"/>
      <c r="N1568" s="130"/>
      <c r="O1568" s="130"/>
    </row>
    <row r="1569" spans="1:17" ht="20.100000000000001" customHeight="1" x14ac:dyDescent="0.25">
      <c r="A1569" s="130" t="str">
        <f t="shared" ca="1" si="1715"/>
        <v>a16Dm000000LZhAIAW</v>
      </c>
      <c r="B1569" s="601">
        <v>24</v>
      </c>
      <c r="C1569" s="603" t="str">
        <f>IFERROR(VLOOKUP(B1569,'Coverage Indicators - Section D'!$A$9:$AO$70,41,FALSE),"")</f>
        <v>DRTB-9 Treatment success rate of RR-TB and/or MDR-TB: Percentage of patients with RR and/or MDR-TB successfully treated</v>
      </c>
      <c r="D1569" s="605" t="str">
        <f>M1569</f>
        <v/>
      </c>
      <c r="E1569" s="605" t="str">
        <f>N1569</f>
        <v/>
      </c>
      <c r="F1569" s="131"/>
      <c r="G1569" s="607" t="str">
        <f ca="1">IF(OR(INDIRECT("'update Helper'!E"&amp;Q1569)="",F1569&lt;&gt;0,F1570&lt;&gt;0),IF(IFERROR((F1569/F1570),"")="","",(F1569/F1570)),INDIRECT("'update Helper'!E"&amp;Q1569)/100)</f>
        <v/>
      </c>
      <c r="H1569" s="597"/>
      <c r="I1569" s="599"/>
      <c r="J1569" s="531"/>
      <c r="K1569" s="130">
        <f>IF(AND(EXACT(C1569,C1567),C1567&lt;&gt;0),K1567+1,0)</f>
        <v>14</v>
      </c>
      <c r="L1569" s="130" t="str">
        <f t="shared" ref="L1569" si="1765">IF(C1569&lt;&gt;"",C1569&amp;"-"&amp;K1569,"")</f>
        <v>DRTB-9 Treatment success rate of RR-TB and/or MDR-TB: Percentage of patients with RR and/or MDR-TB successfully treated-14</v>
      </c>
      <c r="M1569" s="130" t="str">
        <f t="array" ref="M1569">IFERROR(IF(INDEX('Disaggregation Records'!$E$152:$E$513,MATCH(RIGHT(L1569,255),RIGHT('Disaggregation Records'!$D$152:$D$513,255),0))="","",INDEX('Disaggregation Records'!$E$152:$E$513,MATCH(RIGHT(L1569,255),RIGHT('Disaggregation Records'!$D$152:$D$513,255),0))),"")</f>
        <v/>
      </c>
      <c r="N1569" s="130" t="str">
        <f t="array" ref="N1569">IFERROR(IF(INDEX('Disaggregation Records'!$F$152:$F$513,MATCH(RIGHT(L1569,255),RIGHT('Disaggregation Records'!$D$152:$D$513,255),0))="","",INDEX('Disaggregation Records'!$F$152:$F$513,MATCH(RIGHT(L1569,255),RIGHT('Disaggregation Records'!$D$152:$D$513,255),0))),"")</f>
        <v/>
      </c>
      <c r="O1569" s="130" t="str">
        <f t="array" ref="O1569">IFERROR(IF(INDEX('Disaggregation Records'!$H$152:$H$513,MATCH(RIGHT(L1569,255),RIGHT('Disaggregation Records'!$D$152:$D$513,255),0))="","",INDEX('Disaggregation Records'!$H$152:$H$513,MATCH(RIGHT(L1569,255),RIGHT('Disaggregation Records'!$D$152:$D$513,255),0))),"")</f>
        <v/>
      </c>
      <c r="Q1569" s="52">
        <f t="shared" ref="Q1569" si="1766">Q1567+1</f>
        <v>1969</v>
      </c>
    </row>
    <row r="1570" spans="1:17" ht="20.100000000000001" customHeight="1" x14ac:dyDescent="0.25">
      <c r="A1570" s="130"/>
      <c r="B1570" s="602"/>
      <c r="C1570" s="604"/>
      <c r="D1570" s="606"/>
      <c r="E1570" s="606"/>
      <c r="F1570" s="132"/>
      <c r="G1570" s="608"/>
      <c r="H1570" s="598"/>
      <c r="I1570" s="600"/>
      <c r="J1570" s="532"/>
      <c r="L1570" s="130"/>
      <c r="N1570" s="130"/>
      <c r="O1570" s="130"/>
    </row>
    <row r="1571" spans="1:17" ht="20.100000000000001" customHeight="1" x14ac:dyDescent="0.25">
      <c r="A1571" s="130" t="str">
        <f t="shared" ca="1" si="1718"/>
        <v>a16Dm000000LZhBIAW</v>
      </c>
      <c r="B1571" s="601">
        <v>24</v>
      </c>
      <c r="C1571" s="603" t="str">
        <f>IFERROR(VLOOKUP(B1571,'Coverage Indicators - Section D'!$A$9:$AO$70,41,FALSE),"")</f>
        <v>DRTB-9 Treatment success rate of RR-TB and/or MDR-TB: Percentage of patients with RR and/or MDR-TB successfully treated</v>
      </c>
      <c r="D1571" s="605" t="str">
        <f>M1571</f>
        <v/>
      </c>
      <c r="E1571" s="605" t="str">
        <f>N1571</f>
        <v/>
      </c>
      <c r="F1571" s="131"/>
      <c r="G1571" s="607" t="str">
        <f ca="1">IF(OR(INDIRECT("'update Helper'!E"&amp;Q1571)="",F1571&lt;&gt;0,F1572&lt;&gt;0),IF(IFERROR((F1571/F1572),"")="","",(F1571/F1572)),INDIRECT("'update Helper'!E"&amp;Q1571)/100)</f>
        <v/>
      </c>
      <c r="H1571" s="597"/>
      <c r="I1571" s="599"/>
      <c r="J1571" s="531"/>
      <c r="K1571" s="130">
        <f>IF(AND(EXACT(C1571,C1569),C1569&lt;&gt;0),K1569+1,0)</f>
        <v>15</v>
      </c>
      <c r="L1571" s="130" t="str">
        <f t="shared" ref="L1571" si="1767">IF(C1571&lt;&gt;"",C1571&amp;"-"&amp;K1571,"")</f>
        <v>DRTB-9 Treatment success rate of RR-TB and/or MDR-TB: Percentage of patients with RR and/or MDR-TB successfully treated-15</v>
      </c>
      <c r="M1571" s="130" t="str">
        <f t="array" ref="M1571">IFERROR(IF(INDEX('Disaggregation Records'!$E$152:$E$513,MATCH(RIGHT(L1571,255),RIGHT('Disaggregation Records'!$D$152:$D$513,255),0))="","",INDEX('Disaggregation Records'!$E$152:$E$513,MATCH(RIGHT(L1571,255),RIGHT('Disaggregation Records'!$D$152:$D$513,255),0))),"")</f>
        <v/>
      </c>
      <c r="N1571" s="130" t="str">
        <f t="array" ref="N1571">IFERROR(IF(INDEX('Disaggregation Records'!$F$152:$F$513,MATCH(RIGHT(L1571,255),RIGHT('Disaggregation Records'!$D$152:$D$513,255),0))="","",INDEX('Disaggregation Records'!$F$152:$F$513,MATCH(RIGHT(L1571,255),RIGHT('Disaggregation Records'!$D$152:$D$513,255),0))),"")</f>
        <v/>
      </c>
      <c r="O1571" s="130" t="str">
        <f t="array" ref="O1571">IFERROR(IF(INDEX('Disaggregation Records'!$H$152:$H$513,MATCH(RIGHT(L1571,255),RIGHT('Disaggregation Records'!$D$152:$D$513,255),0))="","",INDEX('Disaggregation Records'!$H$152:$H$513,MATCH(RIGHT(L1571,255),RIGHT('Disaggregation Records'!$D$152:$D$513,255),0))),"")</f>
        <v/>
      </c>
      <c r="P1571" s="130"/>
      <c r="Q1571" s="52">
        <f t="shared" ref="Q1571" si="1768">Q1569+1</f>
        <v>1970</v>
      </c>
    </row>
    <row r="1572" spans="1:17" ht="20.100000000000001" customHeight="1" x14ac:dyDescent="0.25">
      <c r="B1572" s="602"/>
      <c r="C1572" s="604"/>
      <c r="D1572" s="606"/>
      <c r="E1572" s="606"/>
      <c r="F1572" s="132"/>
      <c r="G1572" s="608"/>
      <c r="H1572" s="598"/>
      <c r="I1572" s="600"/>
      <c r="J1572" s="532"/>
      <c r="K1572" s="130"/>
      <c r="L1572" s="130"/>
      <c r="M1572" s="130"/>
      <c r="N1572" s="130"/>
      <c r="O1572" s="130"/>
      <c r="P1572" s="130"/>
    </row>
    <row r="1573" spans="1:17" ht="20.100000000000001" customHeight="1" x14ac:dyDescent="0.25">
      <c r="A1573" s="130" t="str">
        <f t="shared" ca="1" si="1715"/>
        <v>a16Dm000000LZhCIAW</v>
      </c>
      <c r="B1573" s="601">
        <v>24</v>
      </c>
      <c r="C1573" s="603" t="str">
        <f>IFERROR(VLOOKUP(B1573,'Coverage Indicators - Section D'!$A$9:$AO$70,41,FALSE),"")</f>
        <v>DRTB-9 Treatment success rate of RR-TB and/or MDR-TB: Percentage of patients with RR and/or MDR-TB successfully treated</v>
      </c>
      <c r="D1573" s="605" t="str">
        <f>M1573</f>
        <v/>
      </c>
      <c r="E1573" s="605" t="str">
        <f>N1573</f>
        <v/>
      </c>
      <c r="F1573" s="131"/>
      <c r="G1573" s="607" t="str">
        <f ca="1">IF(OR(INDIRECT("'update Helper'!E"&amp;Q1573)="",F1573&lt;&gt;0,F1574&lt;&gt;0),IF(IFERROR((F1573/F1574),"")="","",(F1573/F1574)),INDIRECT("'update Helper'!E"&amp;Q1573)/100)</f>
        <v/>
      </c>
      <c r="H1573" s="597"/>
      <c r="I1573" s="599"/>
      <c r="J1573" s="531"/>
      <c r="K1573" s="130">
        <f>IF(AND(EXACT(C1573,C1571),C1571&lt;&gt;0),K1571+1,0)</f>
        <v>16</v>
      </c>
      <c r="L1573" s="130" t="str">
        <f t="shared" ref="L1573" si="1769">IF(C1573&lt;&gt;"",C1573&amp;"-"&amp;K1573,"")</f>
        <v>DRTB-9 Treatment success rate of RR-TB and/or MDR-TB: Percentage of patients with RR and/or MDR-TB successfully treated-16</v>
      </c>
      <c r="M1573" s="130" t="str">
        <f t="array" ref="M1573">IFERROR(IF(INDEX('Disaggregation Records'!$E$152:$E$513,MATCH(RIGHT(L1573,255),RIGHT('Disaggregation Records'!$D$152:$D$513,255),0))="","",INDEX('Disaggregation Records'!$E$152:$E$513,MATCH(RIGHT(L1573,255),RIGHT('Disaggregation Records'!$D$152:$D$513,255),0))),"")</f>
        <v/>
      </c>
      <c r="N1573" s="130" t="str">
        <f t="array" ref="N1573">IFERROR(IF(INDEX('Disaggregation Records'!$F$152:$F$513,MATCH(RIGHT(L1573,255),RIGHT('Disaggregation Records'!$D$152:$D$513,255),0))="","",INDEX('Disaggregation Records'!$F$152:$F$513,MATCH(RIGHT(L1573,255),RIGHT('Disaggregation Records'!$D$152:$D$513,255),0))),"")</f>
        <v/>
      </c>
      <c r="O1573" s="130" t="str">
        <f t="array" ref="O1573">IFERROR(IF(INDEX('Disaggregation Records'!$H$152:$H$513,MATCH(RIGHT(L1573,255),RIGHT('Disaggregation Records'!$D$152:$D$513,255),0))="","",INDEX('Disaggregation Records'!$H$152:$H$513,MATCH(RIGHT(L1573,255),RIGHT('Disaggregation Records'!$D$152:$D$513,255),0))),"")</f>
        <v/>
      </c>
      <c r="P1573" s="130"/>
      <c r="Q1573" s="52">
        <f t="shared" ref="Q1573" si="1770">Q1571+1</f>
        <v>1971</v>
      </c>
    </row>
    <row r="1574" spans="1:17" ht="20.100000000000001" customHeight="1" x14ac:dyDescent="0.25">
      <c r="A1574" s="130"/>
      <c r="B1574" s="602"/>
      <c r="C1574" s="604"/>
      <c r="D1574" s="606"/>
      <c r="E1574" s="606"/>
      <c r="F1574" s="132"/>
      <c r="G1574" s="608"/>
      <c r="H1574" s="598"/>
      <c r="I1574" s="600"/>
      <c r="J1574" s="532"/>
      <c r="K1574" s="130"/>
      <c r="L1574" s="130"/>
      <c r="M1574" s="130"/>
      <c r="N1574" s="130"/>
      <c r="O1574" s="130"/>
      <c r="P1574" s="130"/>
    </row>
    <row r="1575" spans="1:17" ht="20.100000000000001" customHeight="1" x14ac:dyDescent="0.25">
      <c r="A1575" s="130" t="str">
        <f t="shared" ca="1" si="1718"/>
        <v>a16Dm000000LZhDIAW</v>
      </c>
      <c r="B1575" s="601">
        <v>24</v>
      </c>
      <c r="C1575" s="603" t="str">
        <f>IFERROR(VLOOKUP(B1575,'Coverage Indicators - Section D'!$A$9:$AO$70,41,FALSE),"")</f>
        <v>DRTB-9 Treatment success rate of RR-TB and/or MDR-TB: Percentage of patients with RR and/or MDR-TB successfully treated</v>
      </c>
      <c r="D1575" s="605" t="str">
        <f>M1575</f>
        <v/>
      </c>
      <c r="E1575" s="605" t="str">
        <f>N1575</f>
        <v/>
      </c>
      <c r="F1575" s="131"/>
      <c r="G1575" s="607" t="str">
        <f ca="1">IF(OR(INDIRECT("'update Helper'!E"&amp;Q1575)="",F1575&lt;&gt;0,F1576&lt;&gt;0),IF(IFERROR((F1575/F1576),"")="","",(F1575/F1576)),INDIRECT("'update Helper'!E"&amp;Q1575)/100)</f>
        <v/>
      </c>
      <c r="H1575" s="597"/>
      <c r="I1575" s="599"/>
      <c r="J1575" s="531"/>
      <c r="K1575" s="130">
        <f>IF(AND(EXACT(C1575,C1573),C1573&lt;&gt;0),K1573+1,0)</f>
        <v>17</v>
      </c>
      <c r="L1575" s="130" t="str">
        <f t="shared" ref="L1575" si="1771">IF(C1575&lt;&gt;"",C1575&amp;"-"&amp;K1575,"")</f>
        <v>DRTB-9 Treatment success rate of RR-TB and/or MDR-TB: Percentage of patients with RR and/or MDR-TB successfully treated-17</v>
      </c>
      <c r="M1575" s="130" t="str">
        <f t="array" ref="M1575">IFERROR(IF(INDEX('Disaggregation Records'!$E$152:$E$513,MATCH(RIGHT(L1575,255),RIGHT('Disaggregation Records'!$D$152:$D$513,255),0))="","",INDEX('Disaggregation Records'!$E$152:$E$513,MATCH(RIGHT(L1575,255),RIGHT('Disaggregation Records'!$D$152:$D$513,255),0))),"")</f>
        <v/>
      </c>
      <c r="N1575" s="130" t="str">
        <f t="array" ref="N1575">IFERROR(IF(INDEX('Disaggregation Records'!$F$152:$F$513,MATCH(RIGHT(L1575,255),RIGHT('Disaggregation Records'!$D$152:$D$513,255),0))="","",INDEX('Disaggregation Records'!$F$152:$F$513,MATCH(RIGHT(L1575,255),RIGHT('Disaggregation Records'!$D$152:$D$513,255),0))),"")</f>
        <v/>
      </c>
      <c r="O1575" s="130" t="str">
        <f t="array" ref="O1575">IFERROR(IF(INDEX('Disaggregation Records'!$H$152:$H$513,MATCH(RIGHT(L1575,255),RIGHT('Disaggregation Records'!$D$152:$D$513,255),0))="","",INDEX('Disaggregation Records'!$H$152:$H$513,MATCH(RIGHT(L1575,255),RIGHT('Disaggregation Records'!$D$152:$D$513,255),0))),"")</f>
        <v/>
      </c>
      <c r="Q1575" s="52">
        <f t="shared" ref="Q1575" si="1772">Q1573+1</f>
        <v>1972</v>
      </c>
    </row>
    <row r="1576" spans="1:17" ht="20.100000000000001" customHeight="1" x14ac:dyDescent="0.25">
      <c r="B1576" s="602"/>
      <c r="C1576" s="604"/>
      <c r="D1576" s="606"/>
      <c r="E1576" s="606"/>
      <c r="F1576" s="132"/>
      <c r="G1576" s="608"/>
      <c r="H1576" s="598"/>
      <c r="I1576" s="600"/>
      <c r="J1576" s="532"/>
      <c r="L1576" s="130"/>
      <c r="N1576" s="130"/>
      <c r="O1576" s="130"/>
    </row>
    <row r="1577" spans="1:17" ht="20.100000000000001" customHeight="1" x14ac:dyDescent="0.25">
      <c r="A1577" s="130" t="str">
        <f t="shared" ca="1" si="1715"/>
        <v>a16Dm000000LZhEIAW</v>
      </c>
      <c r="B1577" s="601">
        <v>24</v>
      </c>
      <c r="C1577" s="603" t="str">
        <f>IFERROR(VLOOKUP(B1577,'Coverage Indicators - Section D'!$A$9:$AO$70,41,FALSE),"")</f>
        <v>DRTB-9 Treatment success rate of RR-TB and/or MDR-TB: Percentage of patients with RR and/or MDR-TB successfully treated</v>
      </c>
      <c r="D1577" s="605" t="str">
        <f>M1577</f>
        <v/>
      </c>
      <c r="E1577" s="605" t="str">
        <f>N1577</f>
        <v/>
      </c>
      <c r="F1577" s="131"/>
      <c r="G1577" s="607" t="str">
        <f ca="1">IF(OR(INDIRECT("'update Helper'!E"&amp;Q1577)="",F1577&lt;&gt;0,F1578&lt;&gt;0),IF(IFERROR((F1577/F1578),"")="","",(F1577/F1578)),INDIRECT("'update Helper'!E"&amp;Q1577)/100)</f>
        <v/>
      </c>
      <c r="H1577" s="597"/>
      <c r="I1577" s="599"/>
      <c r="J1577" s="531"/>
      <c r="K1577" s="130">
        <f>IF(AND(EXACT(C1577,C1575),C1575&lt;&gt;0),K1575+1,0)</f>
        <v>18</v>
      </c>
      <c r="L1577" s="130" t="str">
        <f t="shared" ref="L1577" si="1773">IF(C1577&lt;&gt;"",C1577&amp;"-"&amp;K1577,"")</f>
        <v>DRTB-9 Treatment success rate of RR-TB and/or MDR-TB: Percentage of patients with RR and/or MDR-TB successfully treated-18</v>
      </c>
      <c r="M1577" s="130" t="str">
        <f t="array" ref="M1577">IFERROR(IF(INDEX('Disaggregation Records'!$E$152:$E$513,MATCH(RIGHT(L1577,255),RIGHT('Disaggregation Records'!$D$152:$D$513,255),0))="","",INDEX('Disaggregation Records'!$E$152:$E$513,MATCH(RIGHT(L1577,255),RIGHT('Disaggregation Records'!$D$152:$D$513,255),0))),"")</f>
        <v/>
      </c>
      <c r="N1577" s="130" t="str">
        <f t="array" ref="N1577">IFERROR(IF(INDEX('Disaggregation Records'!$F$152:$F$513,MATCH(RIGHT(L1577,255),RIGHT('Disaggregation Records'!$D$152:$D$513,255),0))="","",INDEX('Disaggregation Records'!$F$152:$F$513,MATCH(RIGHT(L1577,255),RIGHT('Disaggregation Records'!$D$152:$D$513,255),0))),"")</f>
        <v/>
      </c>
      <c r="O1577" s="130" t="str">
        <f t="array" ref="O1577">IFERROR(IF(INDEX('Disaggregation Records'!$H$152:$H$513,MATCH(RIGHT(L1577,255),RIGHT('Disaggregation Records'!$D$152:$D$513,255),0))="","",INDEX('Disaggregation Records'!$H$152:$H$513,MATCH(RIGHT(L1577,255),RIGHT('Disaggregation Records'!$D$152:$D$513,255),0))),"")</f>
        <v/>
      </c>
      <c r="Q1577" s="52">
        <f t="shared" ref="Q1577" si="1774">Q1575+1</f>
        <v>1973</v>
      </c>
    </row>
    <row r="1578" spans="1:17" ht="20.100000000000001" customHeight="1" x14ac:dyDescent="0.25">
      <c r="A1578" s="130"/>
      <c r="B1578" s="602"/>
      <c r="C1578" s="604"/>
      <c r="D1578" s="606"/>
      <c r="E1578" s="606"/>
      <c r="F1578" s="132"/>
      <c r="G1578" s="608"/>
      <c r="H1578" s="598"/>
      <c r="I1578" s="600"/>
      <c r="J1578" s="532"/>
      <c r="L1578" s="130"/>
      <c r="N1578" s="130"/>
      <c r="O1578" s="130"/>
    </row>
    <row r="1579" spans="1:17" ht="20.100000000000001" customHeight="1" x14ac:dyDescent="0.25">
      <c r="A1579" s="130" t="str">
        <f t="shared" ca="1" si="1718"/>
        <v>a16Dm000000LZhFIAW</v>
      </c>
      <c r="B1579" s="601">
        <v>24</v>
      </c>
      <c r="C1579" s="603" t="str">
        <f>IFERROR(VLOOKUP(B1579,'Coverage Indicators - Section D'!$A$9:$AO$70,41,FALSE),"")</f>
        <v>DRTB-9 Treatment success rate of RR-TB and/or MDR-TB: Percentage of patients with RR and/or MDR-TB successfully treated</v>
      </c>
      <c r="D1579" s="605" t="str">
        <f>M1579</f>
        <v/>
      </c>
      <c r="E1579" s="605" t="str">
        <f>N1579</f>
        <v/>
      </c>
      <c r="F1579" s="131"/>
      <c r="G1579" s="607" t="str">
        <f ca="1">IF(OR(INDIRECT("'update Helper'!E"&amp;Q1579)="",F1579&lt;&gt;0,F1580&lt;&gt;0),IF(IFERROR((F1579/F1580),"")="","",(F1579/F1580)),INDIRECT("'update Helper'!E"&amp;Q1579)/100)</f>
        <v/>
      </c>
      <c r="H1579" s="597"/>
      <c r="I1579" s="599"/>
      <c r="J1579" s="531"/>
      <c r="K1579" s="130">
        <f>IF(AND(EXACT(C1579,C1577),C1577&lt;&gt;0),K1577+1,0)</f>
        <v>19</v>
      </c>
      <c r="L1579" s="130" t="str">
        <f t="shared" ref="L1579" si="1775">IF(C1579&lt;&gt;"",C1579&amp;"-"&amp;K1579,"")</f>
        <v>DRTB-9 Treatment success rate of RR-TB and/or MDR-TB: Percentage of patients with RR and/or MDR-TB successfully treated-19</v>
      </c>
      <c r="M1579" s="130" t="str">
        <f t="array" ref="M1579">IFERROR(IF(INDEX('Disaggregation Records'!$E$152:$E$513,MATCH(RIGHT(L1579,255),RIGHT('Disaggregation Records'!$D$152:$D$513,255),0))="","",INDEX('Disaggregation Records'!$E$152:$E$513,MATCH(RIGHT(L1579,255),RIGHT('Disaggregation Records'!$D$152:$D$513,255),0))),"")</f>
        <v/>
      </c>
      <c r="N1579" s="130" t="str">
        <f t="array" ref="N1579">IFERROR(IF(INDEX('Disaggregation Records'!$F$152:$F$513,MATCH(RIGHT(L1579,255),RIGHT('Disaggregation Records'!$D$152:$D$513,255),0))="","",INDEX('Disaggregation Records'!$F$152:$F$513,MATCH(RIGHT(L1579,255),RIGHT('Disaggregation Records'!$D$152:$D$513,255),0))),"")</f>
        <v/>
      </c>
      <c r="O1579" s="130" t="str">
        <f t="array" ref="O1579">IFERROR(IF(INDEX('Disaggregation Records'!$H$152:$H$513,MATCH(RIGHT(L1579,255),RIGHT('Disaggregation Records'!$D$152:$D$513,255),0))="","",INDEX('Disaggregation Records'!$H$152:$H$513,MATCH(RIGHT(L1579,255),RIGHT('Disaggregation Records'!$D$152:$D$513,255),0))),"")</f>
        <v/>
      </c>
      <c r="Q1579" s="52">
        <f t="shared" ref="Q1579" si="1776">Q1577+1</f>
        <v>1974</v>
      </c>
    </row>
    <row r="1580" spans="1:17" ht="20.100000000000001" customHeight="1" x14ac:dyDescent="0.25">
      <c r="B1580" s="602"/>
      <c r="C1580" s="604"/>
      <c r="D1580" s="606"/>
      <c r="E1580" s="606"/>
      <c r="F1580" s="132"/>
      <c r="G1580" s="608"/>
      <c r="H1580" s="598"/>
      <c r="I1580" s="600"/>
      <c r="J1580" s="532"/>
      <c r="L1580" s="130"/>
      <c r="N1580" s="130"/>
      <c r="O1580" s="130"/>
    </row>
    <row r="1581" spans="1:17" ht="20.100000000000001" customHeight="1" x14ac:dyDescent="0.25">
      <c r="A1581" s="130" t="str">
        <f t="shared" ca="1" si="1715"/>
        <v>a16Dm000000LZhGIAW</v>
      </c>
      <c r="B1581" s="601">
        <v>25</v>
      </c>
      <c r="C1581" s="603" t="str">
        <f>IFERROR(VLOOKUP(B1581,'Coverage Indicators - Section D'!$A$9:$AO$70,41,FALSE),"")</f>
        <v/>
      </c>
      <c r="D1581" s="605" t="str">
        <f>M1581</f>
        <v/>
      </c>
      <c r="E1581" s="605" t="str">
        <f>N1581</f>
        <v/>
      </c>
      <c r="F1581" s="131"/>
      <c r="G1581" s="607" t="str">
        <f ca="1">IF(OR(INDIRECT("'update Helper'!E"&amp;Q1581)="",F1581&lt;&gt;0,F1582&lt;&gt;0),IF(IFERROR((F1581/F1582),"")="","",(F1581/F1582)),INDIRECT("'update Helper'!E"&amp;Q1581)/100)</f>
        <v/>
      </c>
      <c r="H1581" s="597"/>
      <c r="I1581" s="599"/>
      <c r="J1581" s="531"/>
      <c r="K1581" s="130">
        <f>IF(AND(EXACT(C1581,C1579),C1579&lt;&gt;0),K1579+1,0)</f>
        <v>0</v>
      </c>
      <c r="L1581" s="130" t="str">
        <f t="shared" ref="L1581" si="1777">IF(C1581&lt;&gt;"",C1581&amp;"-"&amp;K1581,"")</f>
        <v/>
      </c>
      <c r="M1581" s="130" t="str">
        <f t="array" ref="M1581">IFERROR(IF(INDEX('Disaggregation Records'!$E$152:$E$513,MATCH(RIGHT(L1581,255),RIGHT('Disaggregation Records'!$D$152:$D$513,255),0))="","",INDEX('Disaggregation Records'!$E$152:$E$513,MATCH(RIGHT(L1581,255),RIGHT('Disaggregation Records'!$D$152:$D$513,255),0))),"")</f>
        <v/>
      </c>
      <c r="N1581" s="130" t="str">
        <f t="array" ref="N1581">IFERROR(IF(INDEX('Disaggregation Records'!$F$152:$F$513,MATCH(RIGHT(L1581,255),RIGHT('Disaggregation Records'!$D$152:$D$513,255),0))="","",INDEX('Disaggregation Records'!$F$152:$F$513,MATCH(RIGHT(L1581,255),RIGHT('Disaggregation Records'!$D$152:$D$513,255),0))),"")</f>
        <v/>
      </c>
      <c r="O1581" s="130" t="str">
        <f t="array" ref="O1581">IFERROR(IF(INDEX('Disaggregation Records'!$H$152:$H$513,MATCH(RIGHT(L1581,255),RIGHT('Disaggregation Records'!$D$152:$D$513,255),0))="","",INDEX('Disaggregation Records'!$H$152:$H$513,MATCH(RIGHT(L1581,255),RIGHT('Disaggregation Records'!$D$152:$D$513,255),0))),"")</f>
        <v/>
      </c>
      <c r="P1581" s="130"/>
      <c r="Q1581" s="52">
        <f t="shared" ref="Q1581" si="1778">Q1579+1</f>
        <v>1975</v>
      </c>
    </row>
    <row r="1582" spans="1:17" ht="20.100000000000001" customHeight="1" x14ac:dyDescent="0.25">
      <c r="A1582" s="130"/>
      <c r="B1582" s="602"/>
      <c r="C1582" s="604"/>
      <c r="D1582" s="606"/>
      <c r="E1582" s="606"/>
      <c r="F1582" s="132"/>
      <c r="G1582" s="608"/>
      <c r="H1582" s="598"/>
      <c r="I1582" s="600"/>
      <c r="J1582" s="532"/>
      <c r="K1582" s="130"/>
      <c r="L1582" s="130"/>
      <c r="M1582" s="130"/>
      <c r="N1582" s="130"/>
      <c r="O1582" s="130"/>
      <c r="P1582" s="130"/>
    </row>
    <row r="1583" spans="1:17" ht="20.100000000000001" customHeight="1" x14ac:dyDescent="0.25">
      <c r="A1583" s="130" t="str">
        <f t="shared" ca="1" si="1718"/>
        <v>a16Dm000000LZhHIAW</v>
      </c>
      <c r="B1583" s="601">
        <v>25</v>
      </c>
      <c r="C1583" s="603" t="str">
        <f>IFERROR(VLOOKUP(B1583,'Coverage Indicators - Section D'!$A$9:$AO$70,41,FALSE),"")</f>
        <v/>
      </c>
      <c r="D1583" s="605" t="str">
        <f>M1583</f>
        <v/>
      </c>
      <c r="E1583" s="605" t="str">
        <f>N1583</f>
        <v/>
      </c>
      <c r="F1583" s="131"/>
      <c r="G1583" s="607" t="str">
        <f ca="1">IF(OR(INDIRECT("'update Helper'!E"&amp;Q1583)="",F1583&lt;&gt;0,F1584&lt;&gt;0),IF(IFERROR((F1583/F1584),"")="","",(F1583/F1584)),INDIRECT("'update Helper'!E"&amp;Q1583)/100)</f>
        <v/>
      </c>
      <c r="H1583" s="597"/>
      <c r="I1583" s="599"/>
      <c r="J1583" s="531"/>
      <c r="K1583" s="130">
        <f>IF(AND(EXACT(C1583,C1581),C1581&lt;&gt;0),K1581+1,0)</f>
        <v>1</v>
      </c>
      <c r="L1583" s="130" t="str">
        <f t="shared" ref="L1583" si="1779">IF(C1583&lt;&gt;"",C1583&amp;"-"&amp;K1583,"")</f>
        <v/>
      </c>
      <c r="M1583" s="130" t="str">
        <f t="array" ref="M1583">IFERROR(IF(INDEX('Disaggregation Records'!$E$152:$E$513,MATCH(RIGHT(L1583,255),RIGHT('Disaggregation Records'!$D$152:$D$513,255),0))="","",INDEX('Disaggregation Records'!$E$152:$E$513,MATCH(RIGHT(L1583,255),RIGHT('Disaggregation Records'!$D$152:$D$513,255),0))),"")</f>
        <v/>
      </c>
      <c r="N1583" s="130" t="str">
        <f t="array" ref="N1583">IFERROR(IF(INDEX('Disaggregation Records'!$F$152:$F$513,MATCH(RIGHT(L1583,255),RIGHT('Disaggregation Records'!$D$152:$D$513,255),0))="","",INDEX('Disaggregation Records'!$F$152:$F$513,MATCH(RIGHT(L1583,255),RIGHT('Disaggregation Records'!$D$152:$D$513,255),0))),"")</f>
        <v/>
      </c>
      <c r="O1583" s="130" t="str">
        <f t="array" ref="O1583">IFERROR(IF(INDEX('Disaggregation Records'!$H$152:$H$513,MATCH(RIGHT(L1583,255),RIGHT('Disaggregation Records'!$D$152:$D$513,255),0))="","",INDEX('Disaggregation Records'!$H$152:$H$513,MATCH(RIGHT(L1583,255),RIGHT('Disaggregation Records'!$D$152:$D$513,255),0))),"")</f>
        <v/>
      </c>
      <c r="P1583" s="130"/>
      <c r="Q1583" s="52">
        <f t="shared" ref="Q1583" si="1780">Q1581+1</f>
        <v>1976</v>
      </c>
    </row>
    <row r="1584" spans="1:17" ht="20.100000000000001" customHeight="1" x14ac:dyDescent="0.25">
      <c r="B1584" s="602"/>
      <c r="C1584" s="604"/>
      <c r="D1584" s="606"/>
      <c r="E1584" s="606"/>
      <c r="F1584" s="132"/>
      <c r="G1584" s="608"/>
      <c r="H1584" s="598"/>
      <c r="I1584" s="600"/>
      <c r="J1584" s="532"/>
      <c r="K1584" s="130"/>
      <c r="L1584" s="130"/>
      <c r="M1584" s="130"/>
      <c r="N1584" s="130"/>
      <c r="O1584" s="130"/>
      <c r="P1584" s="130"/>
    </row>
    <row r="1585" spans="1:17" ht="20.100000000000001" customHeight="1" x14ac:dyDescent="0.25">
      <c r="A1585" s="130" t="str">
        <f t="shared" ref="A1585:A1645" ca="1" si="1781">INDIRECT("'update Helper'!C"&amp;Q1585)</f>
        <v>a16Dm000000LZhIIAW</v>
      </c>
      <c r="B1585" s="601">
        <v>25</v>
      </c>
      <c r="C1585" s="603" t="str">
        <f>IFERROR(VLOOKUP(B1585,'Coverage Indicators - Section D'!$A$9:$AO$70,41,FALSE),"")</f>
        <v/>
      </c>
      <c r="D1585" s="605" t="str">
        <f>M1585</f>
        <v/>
      </c>
      <c r="E1585" s="605" t="str">
        <f>N1585</f>
        <v/>
      </c>
      <c r="F1585" s="131"/>
      <c r="G1585" s="607" t="str">
        <f ca="1">IF(OR(INDIRECT("'update Helper'!E"&amp;Q1585)="",F1585&lt;&gt;0,F1586&lt;&gt;0),IF(IFERROR((F1585/F1586),"")="","",(F1585/F1586)),INDIRECT("'update Helper'!E"&amp;Q1585)/100)</f>
        <v/>
      </c>
      <c r="H1585" s="597"/>
      <c r="I1585" s="599"/>
      <c r="J1585" s="531"/>
      <c r="K1585" s="130">
        <f>IF(AND(EXACT(C1585,C1583),C1583&lt;&gt;0),K1583+1,0)</f>
        <v>2</v>
      </c>
      <c r="L1585" s="130" t="str">
        <f t="shared" ref="L1585" si="1782">IF(C1585&lt;&gt;"",C1585&amp;"-"&amp;K1585,"")</f>
        <v/>
      </c>
      <c r="M1585" s="130" t="str">
        <f t="array" ref="M1585">IFERROR(IF(INDEX('Disaggregation Records'!$E$152:$E$513,MATCH(RIGHT(L1585,255),RIGHT('Disaggregation Records'!$D$152:$D$513,255),0))="","",INDEX('Disaggregation Records'!$E$152:$E$513,MATCH(RIGHT(L1585,255),RIGHT('Disaggregation Records'!$D$152:$D$513,255),0))),"")</f>
        <v/>
      </c>
      <c r="N1585" s="130" t="str">
        <f t="array" ref="N1585">IFERROR(IF(INDEX('Disaggregation Records'!$F$152:$F$513,MATCH(RIGHT(L1585,255),RIGHT('Disaggregation Records'!$D$152:$D$513,255),0))="","",INDEX('Disaggregation Records'!$F$152:$F$513,MATCH(RIGHT(L1585,255),RIGHT('Disaggregation Records'!$D$152:$D$513,255),0))),"")</f>
        <v/>
      </c>
      <c r="O1585" s="130" t="str">
        <f t="array" ref="O1585">IFERROR(IF(INDEX('Disaggregation Records'!$H$152:$H$513,MATCH(RIGHT(L1585,255),RIGHT('Disaggregation Records'!$D$152:$D$513,255),0))="","",INDEX('Disaggregation Records'!$H$152:$H$513,MATCH(RIGHT(L1585,255),RIGHT('Disaggregation Records'!$D$152:$D$513,255),0))),"")</f>
        <v/>
      </c>
      <c r="Q1585" s="52">
        <f t="shared" ref="Q1585" si="1783">Q1583+1</f>
        <v>1977</v>
      </c>
    </row>
    <row r="1586" spans="1:17" ht="20.100000000000001" customHeight="1" x14ac:dyDescent="0.25">
      <c r="A1586" s="130"/>
      <c r="B1586" s="602"/>
      <c r="C1586" s="604"/>
      <c r="D1586" s="606"/>
      <c r="E1586" s="606"/>
      <c r="F1586" s="132"/>
      <c r="G1586" s="608"/>
      <c r="H1586" s="598"/>
      <c r="I1586" s="600"/>
      <c r="J1586" s="532"/>
      <c r="L1586" s="130"/>
      <c r="N1586" s="130"/>
      <c r="O1586" s="130"/>
    </row>
    <row r="1587" spans="1:17" ht="20.100000000000001" customHeight="1" x14ac:dyDescent="0.25">
      <c r="A1587" s="130" t="str">
        <f t="shared" ref="A1587:A1647" ca="1" si="1784">INDIRECT("'update Helper'!C"&amp;Q1587)</f>
        <v>a16Dm000000LZhJIAW</v>
      </c>
      <c r="B1587" s="601">
        <v>25</v>
      </c>
      <c r="C1587" s="603" t="str">
        <f>IFERROR(VLOOKUP(B1587,'Coverage Indicators - Section D'!$A$9:$AO$70,41,FALSE),"")</f>
        <v/>
      </c>
      <c r="D1587" s="605" t="str">
        <f>M1587</f>
        <v/>
      </c>
      <c r="E1587" s="605" t="str">
        <f>N1587</f>
        <v/>
      </c>
      <c r="F1587" s="131"/>
      <c r="G1587" s="607" t="str">
        <f ca="1">IF(OR(INDIRECT("'update Helper'!E"&amp;Q1587)="",F1587&lt;&gt;0,F1588&lt;&gt;0),IF(IFERROR((F1587/F1588),"")="","",(F1587/F1588)),INDIRECT("'update Helper'!E"&amp;Q1587)/100)</f>
        <v/>
      </c>
      <c r="H1587" s="597"/>
      <c r="I1587" s="599"/>
      <c r="J1587" s="531"/>
      <c r="K1587" s="130">
        <f>IF(AND(EXACT(C1587,C1585),C1585&lt;&gt;0),K1585+1,0)</f>
        <v>3</v>
      </c>
      <c r="L1587" s="130" t="str">
        <f t="shared" ref="L1587" si="1785">IF(C1587&lt;&gt;"",C1587&amp;"-"&amp;K1587,"")</f>
        <v/>
      </c>
      <c r="M1587" s="130" t="str">
        <f t="array" ref="M1587">IFERROR(IF(INDEX('Disaggregation Records'!$E$152:$E$513,MATCH(RIGHT(L1587,255),RIGHT('Disaggregation Records'!$D$152:$D$513,255),0))="","",INDEX('Disaggregation Records'!$E$152:$E$513,MATCH(RIGHT(L1587,255),RIGHT('Disaggregation Records'!$D$152:$D$513,255),0))),"")</f>
        <v/>
      </c>
      <c r="N1587" s="130" t="str">
        <f t="array" ref="N1587">IFERROR(IF(INDEX('Disaggregation Records'!$F$152:$F$513,MATCH(RIGHT(L1587,255),RIGHT('Disaggregation Records'!$D$152:$D$513,255),0))="","",INDEX('Disaggregation Records'!$F$152:$F$513,MATCH(RIGHT(L1587,255),RIGHT('Disaggregation Records'!$D$152:$D$513,255),0))),"")</f>
        <v/>
      </c>
      <c r="O1587" s="130" t="str">
        <f t="array" ref="O1587">IFERROR(IF(INDEX('Disaggregation Records'!$H$152:$H$513,MATCH(RIGHT(L1587,255),RIGHT('Disaggregation Records'!$D$152:$D$513,255),0))="","",INDEX('Disaggregation Records'!$H$152:$H$513,MATCH(RIGHT(L1587,255),RIGHT('Disaggregation Records'!$D$152:$D$513,255),0))),"")</f>
        <v/>
      </c>
      <c r="Q1587" s="52">
        <f t="shared" ref="Q1587" si="1786">Q1585+1</f>
        <v>1978</v>
      </c>
    </row>
    <row r="1588" spans="1:17" ht="20.100000000000001" customHeight="1" x14ac:dyDescent="0.25">
      <c r="B1588" s="602"/>
      <c r="C1588" s="604"/>
      <c r="D1588" s="606"/>
      <c r="E1588" s="606"/>
      <c r="F1588" s="132"/>
      <c r="G1588" s="608"/>
      <c r="H1588" s="598"/>
      <c r="I1588" s="600"/>
      <c r="J1588" s="532"/>
      <c r="L1588" s="130"/>
      <c r="N1588" s="130"/>
      <c r="O1588" s="130"/>
    </row>
    <row r="1589" spans="1:17" ht="20.100000000000001" customHeight="1" x14ac:dyDescent="0.25">
      <c r="A1589" s="130" t="str">
        <f t="shared" ca="1" si="1781"/>
        <v>a16Dm000000LZhKIAW</v>
      </c>
      <c r="B1589" s="601">
        <v>25</v>
      </c>
      <c r="C1589" s="603" t="str">
        <f>IFERROR(VLOOKUP(B1589,'Coverage Indicators - Section D'!$A$9:$AO$70,41,FALSE),"")</f>
        <v/>
      </c>
      <c r="D1589" s="605" t="str">
        <f>M1589</f>
        <v/>
      </c>
      <c r="E1589" s="605" t="str">
        <f>N1589</f>
        <v/>
      </c>
      <c r="F1589" s="131"/>
      <c r="G1589" s="607" t="str">
        <f ca="1">IF(OR(INDIRECT("'update Helper'!E"&amp;Q1589)="",F1589&lt;&gt;0,F1590&lt;&gt;0),IF(IFERROR((F1589/F1590),"")="","",(F1589/F1590)),INDIRECT("'update Helper'!E"&amp;Q1589)/100)</f>
        <v/>
      </c>
      <c r="H1589" s="597"/>
      <c r="I1589" s="599"/>
      <c r="J1589" s="531"/>
      <c r="K1589" s="130">
        <f>IF(AND(EXACT(C1589,C1587),C1587&lt;&gt;0),K1587+1,0)</f>
        <v>4</v>
      </c>
      <c r="L1589" s="130" t="str">
        <f t="shared" ref="L1589" si="1787">IF(C1589&lt;&gt;"",C1589&amp;"-"&amp;K1589,"")</f>
        <v/>
      </c>
      <c r="M1589" s="130" t="str">
        <f t="array" ref="M1589">IFERROR(IF(INDEX('Disaggregation Records'!$E$152:$E$513,MATCH(RIGHT(L1589,255),RIGHT('Disaggregation Records'!$D$152:$D$513,255),0))="","",INDEX('Disaggregation Records'!$E$152:$E$513,MATCH(RIGHT(L1589,255),RIGHT('Disaggregation Records'!$D$152:$D$513,255),0))),"")</f>
        <v/>
      </c>
      <c r="N1589" s="130" t="str">
        <f t="array" ref="N1589">IFERROR(IF(INDEX('Disaggregation Records'!$F$152:$F$513,MATCH(RIGHT(L1589,255),RIGHT('Disaggregation Records'!$D$152:$D$513,255),0))="","",INDEX('Disaggregation Records'!$F$152:$F$513,MATCH(RIGHT(L1589,255),RIGHT('Disaggregation Records'!$D$152:$D$513,255),0))),"")</f>
        <v/>
      </c>
      <c r="O1589" s="130" t="str">
        <f t="array" ref="O1589">IFERROR(IF(INDEX('Disaggregation Records'!$H$152:$H$513,MATCH(RIGHT(L1589,255),RIGHT('Disaggregation Records'!$D$152:$D$513,255),0))="","",INDEX('Disaggregation Records'!$H$152:$H$513,MATCH(RIGHT(L1589,255),RIGHT('Disaggregation Records'!$D$152:$D$513,255),0))),"")</f>
        <v/>
      </c>
      <c r="Q1589" s="52">
        <f t="shared" ref="Q1589" si="1788">Q1587+1</f>
        <v>1979</v>
      </c>
    </row>
    <row r="1590" spans="1:17" ht="20.100000000000001" customHeight="1" x14ac:dyDescent="0.25">
      <c r="A1590" s="130"/>
      <c r="B1590" s="602"/>
      <c r="C1590" s="604"/>
      <c r="D1590" s="606"/>
      <c r="E1590" s="606"/>
      <c r="F1590" s="132"/>
      <c r="G1590" s="608"/>
      <c r="H1590" s="598"/>
      <c r="I1590" s="600"/>
      <c r="J1590" s="532"/>
      <c r="L1590" s="130"/>
      <c r="N1590" s="130"/>
      <c r="O1590" s="130"/>
    </row>
    <row r="1591" spans="1:17" ht="20.100000000000001" customHeight="1" x14ac:dyDescent="0.25">
      <c r="A1591" s="130" t="str">
        <f t="shared" ca="1" si="1784"/>
        <v>a16Dm000000LZhLIAW</v>
      </c>
      <c r="B1591" s="601">
        <v>25</v>
      </c>
      <c r="C1591" s="603" t="str">
        <f>IFERROR(VLOOKUP(B1591,'Coverage Indicators - Section D'!$A$9:$AO$70,41,FALSE),"")</f>
        <v/>
      </c>
      <c r="D1591" s="605" t="str">
        <f>M1591</f>
        <v/>
      </c>
      <c r="E1591" s="605" t="str">
        <f>N1591</f>
        <v/>
      </c>
      <c r="F1591" s="131"/>
      <c r="G1591" s="607" t="str">
        <f ca="1">IF(OR(INDIRECT("'update Helper'!E"&amp;Q1591)="",F1591&lt;&gt;0,F1592&lt;&gt;0),IF(IFERROR((F1591/F1592),"")="","",(F1591/F1592)),INDIRECT("'update Helper'!E"&amp;Q1591)/100)</f>
        <v/>
      </c>
      <c r="H1591" s="597"/>
      <c r="I1591" s="599"/>
      <c r="J1591" s="531"/>
      <c r="K1591" s="130">
        <f>IF(AND(EXACT(C1591,C1589),C1589&lt;&gt;0),K1589+1,0)</f>
        <v>5</v>
      </c>
      <c r="L1591" s="130" t="str">
        <f t="shared" ref="L1591" si="1789">IF(C1591&lt;&gt;"",C1591&amp;"-"&amp;K1591,"")</f>
        <v/>
      </c>
      <c r="M1591" s="130" t="str">
        <f t="array" ref="M1591">IFERROR(IF(INDEX('Disaggregation Records'!$E$152:$E$513,MATCH(RIGHT(L1591,255),RIGHT('Disaggregation Records'!$D$152:$D$513,255),0))="","",INDEX('Disaggregation Records'!$E$152:$E$513,MATCH(RIGHT(L1591,255),RIGHT('Disaggregation Records'!$D$152:$D$513,255),0))),"")</f>
        <v/>
      </c>
      <c r="N1591" s="130" t="str">
        <f t="array" ref="N1591">IFERROR(IF(INDEX('Disaggregation Records'!$F$152:$F$513,MATCH(RIGHT(L1591,255),RIGHT('Disaggregation Records'!$D$152:$D$513,255),0))="","",INDEX('Disaggregation Records'!$F$152:$F$513,MATCH(RIGHT(L1591,255),RIGHT('Disaggregation Records'!$D$152:$D$513,255),0))),"")</f>
        <v/>
      </c>
      <c r="O1591" s="130" t="str">
        <f t="array" ref="O1591">IFERROR(IF(INDEX('Disaggregation Records'!$H$152:$H$513,MATCH(RIGHT(L1591,255),RIGHT('Disaggregation Records'!$D$152:$D$513,255),0))="","",INDEX('Disaggregation Records'!$H$152:$H$513,MATCH(RIGHT(L1591,255),RIGHT('Disaggregation Records'!$D$152:$D$513,255),0))),"")</f>
        <v/>
      </c>
      <c r="P1591" s="130"/>
      <c r="Q1591" s="52">
        <f t="shared" ref="Q1591" si="1790">Q1589+1</f>
        <v>1980</v>
      </c>
    </row>
    <row r="1592" spans="1:17" ht="20.100000000000001" customHeight="1" x14ac:dyDescent="0.25">
      <c r="B1592" s="602"/>
      <c r="C1592" s="604"/>
      <c r="D1592" s="606"/>
      <c r="E1592" s="606"/>
      <c r="F1592" s="132"/>
      <c r="G1592" s="608"/>
      <c r="H1592" s="598"/>
      <c r="I1592" s="600"/>
      <c r="J1592" s="532"/>
      <c r="K1592" s="130"/>
      <c r="L1592" s="130"/>
      <c r="M1592" s="130"/>
      <c r="N1592" s="130"/>
      <c r="O1592" s="130"/>
      <c r="P1592" s="130"/>
    </row>
    <row r="1593" spans="1:17" ht="20.100000000000001" customHeight="1" x14ac:dyDescent="0.25">
      <c r="A1593" s="130" t="str">
        <f t="shared" ca="1" si="1781"/>
        <v>a16Dm000000LZhMIAW</v>
      </c>
      <c r="B1593" s="601">
        <v>25</v>
      </c>
      <c r="C1593" s="603" t="str">
        <f>IFERROR(VLOOKUP(B1593,'Coverage Indicators - Section D'!$A$9:$AO$70,41,FALSE),"")</f>
        <v/>
      </c>
      <c r="D1593" s="605" t="str">
        <f>M1593</f>
        <v/>
      </c>
      <c r="E1593" s="605" t="str">
        <f>N1593</f>
        <v/>
      </c>
      <c r="F1593" s="131"/>
      <c r="G1593" s="607" t="str">
        <f ca="1">IF(OR(INDIRECT("'update Helper'!E"&amp;Q1593)="",F1593&lt;&gt;0,F1594&lt;&gt;0),IF(IFERROR((F1593/F1594),"")="","",(F1593/F1594)),INDIRECT("'update Helper'!E"&amp;Q1593)/100)</f>
        <v/>
      </c>
      <c r="H1593" s="597"/>
      <c r="I1593" s="599"/>
      <c r="J1593" s="531"/>
      <c r="K1593" s="130">
        <f>IF(AND(EXACT(C1593,C1591),C1591&lt;&gt;0),K1591+1,0)</f>
        <v>6</v>
      </c>
      <c r="L1593" s="130" t="str">
        <f t="shared" ref="L1593" si="1791">IF(C1593&lt;&gt;"",C1593&amp;"-"&amp;K1593,"")</f>
        <v/>
      </c>
      <c r="M1593" s="130" t="str">
        <f t="array" ref="M1593">IFERROR(IF(INDEX('Disaggregation Records'!$E$152:$E$513,MATCH(RIGHT(L1593,255),RIGHT('Disaggregation Records'!$D$152:$D$513,255),0))="","",INDEX('Disaggregation Records'!$E$152:$E$513,MATCH(RIGHT(L1593,255),RIGHT('Disaggregation Records'!$D$152:$D$513,255),0))),"")</f>
        <v/>
      </c>
      <c r="N1593" s="130" t="str">
        <f t="array" ref="N1593">IFERROR(IF(INDEX('Disaggregation Records'!$F$152:$F$513,MATCH(RIGHT(L1593,255),RIGHT('Disaggregation Records'!$D$152:$D$513,255),0))="","",INDEX('Disaggregation Records'!$F$152:$F$513,MATCH(RIGHT(L1593,255),RIGHT('Disaggregation Records'!$D$152:$D$513,255),0))),"")</f>
        <v/>
      </c>
      <c r="O1593" s="130" t="str">
        <f t="array" ref="O1593">IFERROR(IF(INDEX('Disaggregation Records'!$H$152:$H$513,MATCH(RIGHT(L1593,255),RIGHT('Disaggregation Records'!$D$152:$D$513,255),0))="","",INDEX('Disaggregation Records'!$H$152:$H$513,MATCH(RIGHT(L1593,255),RIGHT('Disaggregation Records'!$D$152:$D$513,255),0))),"")</f>
        <v/>
      </c>
      <c r="P1593" s="130"/>
      <c r="Q1593" s="52">
        <f t="shared" ref="Q1593" si="1792">Q1591+1</f>
        <v>1981</v>
      </c>
    </row>
    <row r="1594" spans="1:17" ht="20.100000000000001" customHeight="1" x14ac:dyDescent="0.25">
      <c r="A1594" s="130"/>
      <c r="B1594" s="602"/>
      <c r="C1594" s="604"/>
      <c r="D1594" s="606"/>
      <c r="E1594" s="606"/>
      <c r="F1594" s="132"/>
      <c r="G1594" s="608"/>
      <c r="H1594" s="598"/>
      <c r="I1594" s="600"/>
      <c r="J1594" s="532"/>
      <c r="K1594" s="130"/>
      <c r="L1594" s="130"/>
      <c r="M1594" s="130"/>
      <c r="N1594" s="130"/>
      <c r="O1594" s="130"/>
      <c r="P1594" s="130"/>
    </row>
    <row r="1595" spans="1:17" ht="20.100000000000001" customHeight="1" x14ac:dyDescent="0.25">
      <c r="A1595" s="130" t="str">
        <f t="shared" ca="1" si="1784"/>
        <v>a16Dm000000LZhNIAW</v>
      </c>
      <c r="B1595" s="601">
        <v>25</v>
      </c>
      <c r="C1595" s="603" t="str">
        <f>IFERROR(VLOOKUP(B1595,'Coverage Indicators - Section D'!$A$9:$AO$70,41,FALSE),"")</f>
        <v/>
      </c>
      <c r="D1595" s="605" t="str">
        <f>M1595</f>
        <v/>
      </c>
      <c r="E1595" s="605" t="str">
        <f>N1595</f>
        <v/>
      </c>
      <c r="F1595" s="131"/>
      <c r="G1595" s="607" t="str">
        <f ca="1">IF(OR(INDIRECT("'update Helper'!E"&amp;Q1595)="",F1595&lt;&gt;0,F1596&lt;&gt;0),IF(IFERROR((F1595/F1596),"")="","",(F1595/F1596)),INDIRECT("'update Helper'!E"&amp;Q1595)/100)</f>
        <v/>
      </c>
      <c r="H1595" s="597"/>
      <c r="I1595" s="599"/>
      <c r="J1595" s="531"/>
      <c r="K1595" s="130">
        <f>IF(AND(EXACT(C1595,C1593),C1593&lt;&gt;0),K1593+1,0)</f>
        <v>7</v>
      </c>
      <c r="L1595" s="130" t="str">
        <f t="shared" ref="L1595" si="1793">IF(C1595&lt;&gt;"",C1595&amp;"-"&amp;K1595,"")</f>
        <v/>
      </c>
      <c r="M1595" s="130" t="str">
        <f t="array" ref="M1595">IFERROR(IF(INDEX('Disaggregation Records'!$E$152:$E$513,MATCH(RIGHT(L1595,255),RIGHT('Disaggregation Records'!$D$152:$D$513,255),0))="","",INDEX('Disaggregation Records'!$E$152:$E$513,MATCH(RIGHT(L1595,255),RIGHT('Disaggregation Records'!$D$152:$D$513,255),0))),"")</f>
        <v/>
      </c>
      <c r="N1595" s="130" t="str">
        <f t="array" ref="N1595">IFERROR(IF(INDEX('Disaggregation Records'!$F$152:$F$513,MATCH(RIGHT(L1595,255),RIGHT('Disaggregation Records'!$D$152:$D$513,255),0))="","",INDEX('Disaggregation Records'!$F$152:$F$513,MATCH(RIGHT(L1595,255),RIGHT('Disaggregation Records'!$D$152:$D$513,255),0))),"")</f>
        <v/>
      </c>
      <c r="O1595" s="130" t="str">
        <f t="array" ref="O1595">IFERROR(IF(INDEX('Disaggregation Records'!$H$152:$H$513,MATCH(RIGHT(L1595,255),RIGHT('Disaggregation Records'!$D$152:$D$513,255),0))="","",INDEX('Disaggregation Records'!$H$152:$H$513,MATCH(RIGHT(L1595,255),RIGHT('Disaggregation Records'!$D$152:$D$513,255),0))),"")</f>
        <v/>
      </c>
      <c r="Q1595" s="52">
        <f t="shared" ref="Q1595" si="1794">Q1593+1</f>
        <v>1982</v>
      </c>
    </row>
    <row r="1596" spans="1:17" ht="20.100000000000001" customHeight="1" x14ac:dyDescent="0.25">
      <c r="B1596" s="602"/>
      <c r="C1596" s="604"/>
      <c r="D1596" s="606"/>
      <c r="E1596" s="606"/>
      <c r="F1596" s="132"/>
      <c r="G1596" s="608"/>
      <c r="H1596" s="598"/>
      <c r="I1596" s="600"/>
      <c r="J1596" s="532"/>
      <c r="L1596" s="130"/>
      <c r="N1596" s="130"/>
      <c r="O1596" s="130"/>
    </row>
    <row r="1597" spans="1:17" ht="20.100000000000001" customHeight="1" x14ac:dyDescent="0.25">
      <c r="A1597" s="130" t="str">
        <f t="shared" ca="1" si="1781"/>
        <v>a16Dm000000LZhOIAW</v>
      </c>
      <c r="B1597" s="601">
        <v>25</v>
      </c>
      <c r="C1597" s="603" t="str">
        <f>IFERROR(VLOOKUP(B1597,'Coverage Indicators - Section D'!$A$9:$AO$70,41,FALSE),"")</f>
        <v/>
      </c>
      <c r="D1597" s="605" t="str">
        <f>M1597</f>
        <v/>
      </c>
      <c r="E1597" s="605" t="str">
        <f>N1597</f>
        <v/>
      </c>
      <c r="F1597" s="131"/>
      <c r="G1597" s="607" t="str">
        <f ca="1">IF(OR(INDIRECT("'update Helper'!E"&amp;Q1597)="",F1597&lt;&gt;0,F1598&lt;&gt;0),IF(IFERROR((F1597/F1598),"")="","",(F1597/F1598)),INDIRECT("'update Helper'!E"&amp;Q1597)/100)</f>
        <v/>
      </c>
      <c r="H1597" s="597"/>
      <c r="I1597" s="599"/>
      <c r="J1597" s="531"/>
      <c r="K1597" s="130">
        <f>IF(AND(EXACT(C1597,C1595),C1595&lt;&gt;0),K1595+1,0)</f>
        <v>8</v>
      </c>
      <c r="L1597" s="130" t="str">
        <f t="shared" ref="L1597" si="1795">IF(C1597&lt;&gt;"",C1597&amp;"-"&amp;K1597,"")</f>
        <v/>
      </c>
      <c r="M1597" s="130" t="str">
        <f t="array" ref="M1597">IFERROR(IF(INDEX('Disaggregation Records'!$E$152:$E$513,MATCH(RIGHT(L1597,255),RIGHT('Disaggregation Records'!$D$152:$D$513,255),0))="","",INDEX('Disaggregation Records'!$E$152:$E$513,MATCH(RIGHT(L1597,255),RIGHT('Disaggregation Records'!$D$152:$D$513,255),0))),"")</f>
        <v/>
      </c>
      <c r="N1597" s="130" t="str">
        <f t="array" ref="N1597">IFERROR(IF(INDEX('Disaggregation Records'!$F$152:$F$513,MATCH(RIGHT(L1597,255),RIGHT('Disaggregation Records'!$D$152:$D$513,255),0))="","",INDEX('Disaggregation Records'!$F$152:$F$513,MATCH(RIGHT(L1597,255),RIGHT('Disaggregation Records'!$D$152:$D$513,255),0))),"")</f>
        <v/>
      </c>
      <c r="O1597" s="130" t="str">
        <f t="array" ref="O1597">IFERROR(IF(INDEX('Disaggregation Records'!$H$152:$H$513,MATCH(RIGHT(L1597,255),RIGHT('Disaggregation Records'!$D$152:$D$513,255),0))="","",INDEX('Disaggregation Records'!$H$152:$H$513,MATCH(RIGHT(L1597,255),RIGHT('Disaggregation Records'!$D$152:$D$513,255),0))),"")</f>
        <v/>
      </c>
      <c r="Q1597" s="52">
        <f t="shared" ref="Q1597" si="1796">Q1595+1</f>
        <v>1983</v>
      </c>
    </row>
    <row r="1598" spans="1:17" ht="20.100000000000001" customHeight="1" x14ac:dyDescent="0.25">
      <c r="A1598" s="130"/>
      <c r="B1598" s="602"/>
      <c r="C1598" s="604"/>
      <c r="D1598" s="606"/>
      <c r="E1598" s="606"/>
      <c r="F1598" s="132"/>
      <c r="G1598" s="608"/>
      <c r="H1598" s="598"/>
      <c r="I1598" s="600"/>
      <c r="J1598" s="532"/>
      <c r="L1598" s="130"/>
      <c r="N1598" s="130"/>
      <c r="O1598" s="130"/>
    </row>
    <row r="1599" spans="1:17" ht="20.100000000000001" customHeight="1" x14ac:dyDescent="0.25">
      <c r="A1599" s="130" t="str">
        <f t="shared" ca="1" si="1784"/>
        <v>a16Dm000000LZhPIAW</v>
      </c>
      <c r="B1599" s="601">
        <v>25</v>
      </c>
      <c r="C1599" s="603" t="str">
        <f>IFERROR(VLOOKUP(B1599,'Coverage Indicators - Section D'!$A$9:$AO$70,41,FALSE),"")</f>
        <v/>
      </c>
      <c r="D1599" s="605" t="str">
        <f>M1599</f>
        <v/>
      </c>
      <c r="E1599" s="605" t="str">
        <f>N1599</f>
        <v/>
      </c>
      <c r="F1599" s="131"/>
      <c r="G1599" s="607" t="str">
        <f ca="1">IF(OR(INDIRECT("'update Helper'!E"&amp;Q1599)="",F1599&lt;&gt;0,F1600&lt;&gt;0),IF(IFERROR((F1599/F1600),"")="","",(F1599/F1600)),INDIRECT("'update Helper'!E"&amp;Q1599)/100)</f>
        <v/>
      </c>
      <c r="H1599" s="597"/>
      <c r="I1599" s="599"/>
      <c r="J1599" s="531"/>
      <c r="K1599" s="130">
        <f>IF(AND(EXACT(C1599,C1597),C1597&lt;&gt;0),K1597+1,0)</f>
        <v>9</v>
      </c>
      <c r="L1599" s="130" t="str">
        <f t="shared" ref="L1599" si="1797">IF(C1599&lt;&gt;"",C1599&amp;"-"&amp;K1599,"")</f>
        <v/>
      </c>
      <c r="M1599" s="130" t="str">
        <f t="array" ref="M1599">IFERROR(IF(INDEX('Disaggregation Records'!$E$152:$E$513,MATCH(RIGHT(L1599,255),RIGHT('Disaggregation Records'!$D$152:$D$513,255),0))="","",INDEX('Disaggregation Records'!$E$152:$E$513,MATCH(RIGHT(L1599,255),RIGHT('Disaggregation Records'!$D$152:$D$513,255),0))),"")</f>
        <v/>
      </c>
      <c r="N1599" s="130" t="str">
        <f t="array" ref="N1599">IFERROR(IF(INDEX('Disaggregation Records'!$F$152:$F$513,MATCH(RIGHT(L1599,255),RIGHT('Disaggregation Records'!$D$152:$D$513,255),0))="","",INDEX('Disaggregation Records'!$F$152:$F$513,MATCH(RIGHT(L1599,255),RIGHT('Disaggregation Records'!$D$152:$D$513,255),0))),"")</f>
        <v/>
      </c>
      <c r="O1599" s="130" t="str">
        <f t="array" ref="O1599">IFERROR(IF(INDEX('Disaggregation Records'!$H$152:$H$513,MATCH(RIGHT(L1599,255),RIGHT('Disaggregation Records'!$D$152:$D$513,255),0))="","",INDEX('Disaggregation Records'!$H$152:$H$513,MATCH(RIGHT(L1599,255),RIGHT('Disaggregation Records'!$D$152:$D$513,255),0))),"")</f>
        <v/>
      </c>
      <c r="Q1599" s="52">
        <f t="shared" ref="Q1599" si="1798">Q1597+1</f>
        <v>1984</v>
      </c>
    </row>
    <row r="1600" spans="1:17" ht="20.100000000000001" customHeight="1" x14ac:dyDescent="0.25">
      <c r="B1600" s="602"/>
      <c r="C1600" s="604"/>
      <c r="D1600" s="606"/>
      <c r="E1600" s="606"/>
      <c r="F1600" s="132"/>
      <c r="G1600" s="608"/>
      <c r="H1600" s="598"/>
      <c r="I1600" s="600"/>
      <c r="J1600" s="532"/>
      <c r="L1600" s="130"/>
      <c r="N1600" s="130"/>
      <c r="O1600" s="130"/>
    </row>
    <row r="1601" spans="1:17" ht="20.100000000000001" customHeight="1" x14ac:dyDescent="0.25">
      <c r="A1601" s="130" t="str">
        <f t="shared" ca="1" si="1781"/>
        <v>a16Dm000000LZhQIAW</v>
      </c>
      <c r="B1601" s="601">
        <v>25</v>
      </c>
      <c r="C1601" s="603" t="str">
        <f>IFERROR(VLOOKUP(B1601,'Coverage Indicators - Section D'!$A$9:$AO$70,41,FALSE),"")</f>
        <v/>
      </c>
      <c r="D1601" s="605" t="str">
        <f>M1601</f>
        <v/>
      </c>
      <c r="E1601" s="605" t="str">
        <f>N1601</f>
        <v/>
      </c>
      <c r="F1601" s="131"/>
      <c r="G1601" s="607" t="str">
        <f ca="1">IF(OR(INDIRECT("'update Helper'!E"&amp;Q1601)="",F1601&lt;&gt;0,F1602&lt;&gt;0),IF(IFERROR((F1601/F1602),"")="","",(F1601/F1602)),INDIRECT("'update Helper'!E"&amp;Q1601)/100)</f>
        <v/>
      </c>
      <c r="H1601" s="597"/>
      <c r="I1601" s="599"/>
      <c r="J1601" s="531"/>
      <c r="K1601" s="130">
        <f>IF(AND(EXACT(C1601,C1599),C1599&lt;&gt;0),K1599+1,0)</f>
        <v>10</v>
      </c>
      <c r="L1601" s="130" t="str">
        <f t="shared" ref="L1601" si="1799">IF(C1601&lt;&gt;"",C1601&amp;"-"&amp;K1601,"")</f>
        <v/>
      </c>
      <c r="M1601" s="130" t="str">
        <f t="array" ref="M1601">IFERROR(IF(INDEX('Disaggregation Records'!$E$152:$E$513,MATCH(RIGHT(L1601,255),RIGHT('Disaggregation Records'!$D$152:$D$513,255),0))="","",INDEX('Disaggregation Records'!$E$152:$E$513,MATCH(RIGHT(L1601,255),RIGHT('Disaggregation Records'!$D$152:$D$513,255),0))),"")</f>
        <v/>
      </c>
      <c r="N1601" s="130" t="str">
        <f t="array" ref="N1601">IFERROR(IF(INDEX('Disaggregation Records'!$F$152:$F$513,MATCH(RIGHT(L1601,255),RIGHT('Disaggregation Records'!$D$152:$D$513,255),0))="","",INDEX('Disaggregation Records'!$F$152:$F$513,MATCH(RIGHT(L1601,255),RIGHT('Disaggregation Records'!$D$152:$D$513,255),0))),"")</f>
        <v/>
      </c>
      <c r="O1601" s="130" t="str">
        <f t="array" ref="O1601">IFERROR(IF(INDEX('Disaggregation Records'!$H$152:$H$513,MATCH(RIGHT(L1601,255),RIGHT('Disaggregation Records'!$D$152:$D$513,255),0))="","",INDEX('Disaggregation Records'!$H$152:$H$513,MATCH(RIGHT(L1601,255),RIGHT('Disaggregation Records'!$D$152:$D$513,255),0))),"")</f>
        <v/>
      </c>
      <c r="P1601" s="130"/>
      <c r="Q1601" s="52">
        <f t="shared" ref="Q1601" si="1800">Q1599+1</f>
        <v>1985</v>
      </c>
    </row>
    <row r="1602" spans="1:17" ht="20.100000000000001" customHeight="1" x14ac:dyDescent="0.25">
      <c r="A1602" s="130"/>
      <c r="B1602" s="602"/>
      <c r="C1602" s="604"/>
      <c r="D1602" s="606"/>
      <c r="E1602" s="606"/>
      <c r="F1602" s="132"/>
      <c r="G1602" s="608"/>
      <c r="H1602" s="598"/>
      <c r="I1602" s="600"/>
      <c r="J1602" s="532"/>
      <c r="K1602" s="130"/>
      <c r="L1602" s="130"/>
      <c r="M1602" s="130"/>
      <c r="N1602" s="130"/>
      <c r="O1602" s="130"/>
      <c r="P1602" s="130"/>
    </row>
    <row r="1603" spans="1:17" ht="20.100000000000001" customHeight="1" x14ac:dyDescent="0.25">
      <c r="A1603" s="130" t="str">
        <f t="shared" ca="1" si="1784"/>
        <v>a16Dm000000LZhRIAW</v>
      </c>
      <c r="B1603" s="601">
        <v>25</v>
      </c>
      <c r="C1603" s="603" t="str">
        <f>IFERROR(VLOOKUP(B1603,'Coverage Indicators - Section D'!$A$9:$AO$70,41,FALSE),"")</f>
        <v/>
      </c>
      <c r="D1603" s="605" t="str">
        <f>M1603</f>
        <v/>
      </c>
      <c r="E1603" s="605" t="str">
        <f>N1603</f>
        <v/>
      </c>
      <c r="F1603" s="131"/>
      <c r="G1603" s="607" t="str">
        <f ca="1">IF(OR(INDIRECT("'update Helper'!E"&amp;Q1603)="",F1603&lt;&gt;0,F1604&lt;&gt;0),IF(IFERROR((F1603/F1604),"")="","",(F1603/F1604)),INDIRECT("'update Helper'!E"&amp;Q1603)/100)</f>
        <v/>
      </c>
      <c r="H1603" s="597"/>
      <c r="I1603" s="599"/>
      <c r="J1603" s="531"/>
      <c r="K1603" s="130">
        <f>IF(AND(EXACT(C1603,C1601),C1601&lt;&gt;0),K1601+1,0)</f>
        <v>11</v>
      </c>
      <c r="L1603" s="130" t="str">
        <f t="shared" ref="L1603" si="1801">IF(C1603&lt;&gt;"",C1603&amp;"-"&amp;K1603,"")</f>
        <v/>
      </c>
      <c r="M1603" s="130" t="str">
        <f t="array" ref="M1603">IFERROR(IF(INDEX('Disaggregation Records'!$E$152:$E$513,MATCH(RIGHT(L1603,255),RIGHT('Disaggregation Records'!$D$152:$D$513,255),0))="","",INDEX('Disaggregation Records'!$E$152:$E$513,MATCH(RIGHT(L1603,255),RIGHT('Disaggregation Records'!$D$152:$D$513,255),0))),"")</f>
        <v/>
      </c>
      <c r="N1603" s="130" t="str">
        <f t="array" ref="N1603">IFERROR(IF(INDEX('Disaggregation Records'!$F$152:$F$513,MATCH(RIGHT(L1603,255),RIGHT('Disaggregation Records'!$D$152:$D$513,255),0))="","",INDEX('Disaggregation Records'!$F$152:$F$513,MATCH(RIGHT(L1603,255),RIGHT('Disaggregation Records'!$D$152:$D$513,255),0))),"")</f>
        <v/>
      </c>
      <c r="O1603" s="130" t="str">
        <f t="array" ref="O1603">IFERROR(IF(INDEX('Disaggregation Records'!$H$152:$H$513,MATCH(RIGHT(L1603,255),RIGHT('Disaggregation Records'!$D$152:$D$513,255),0))="","",INDEX('Disaggregation Records'!$H$152:$H$513,MATCH(RIGHT(L1603,255),RIGHT('Disaggregation Records'!$D$152:$D$513,255),0))),"")</f>
        <v/>
      </c>
      <c r="P1603" s="130"/>
      <c r="Q1603" s="52">
        <f t="shared" ref="Q1603" si="1802">Q1601+1</f>
        <v>1986</v>
      </c>
    </row>
    <row r="1604" spans="1:17" ht="20.100000000000001" customHeight="1" x14ac:dyDescent="0.25">
      <c r="B1604" s="602"/>
      <c r="C1604" s="604"/>
      <c r="D1604" s="606"/>
      <c r="E1604" s="606"/>
      <c r="F1604" s="132"/>
      <c r="G1604" s="608"/>
      <c r="H1604" s="598"/>
      <c r="I1604" s="600"/>
      <c r="J1604" s="532"/>
      <c r="K1604" s="130"/>
      <c r="L1604" s="130"/>
      <c r="M1604" s="130"/>
      <c r="N1604" s="130"/>
      <c r="O1604" s="130"/>
      <c r="P1604" s="130"/>
    </row>
    <row r="1605" spans="1:17" ht="20.100000000000001" customHeight="1" x14ac:dyDescent="0.25">
      <c r="A1605" s="130" t="str">
        <f t="shared" ca="1" si="1781"/>
        <v>a16Dm000000LZhSIAW</v>
      </c>
      <c r="B1605" s="601">
        <v>25</v>
      </c>
      <c r="C1605" s="603" t="str">
        <f>IFERROR(VLOOKUP(B1605,'Coverage Indicators - Section D'!$A$9:$AO$70,41,FALSE),"")</f>
        <v/>
      </c>
      <c r="D1605" s="605" t="str">
        <f>M1605</f>
        <v/>
      </c>
      <c r="E1605" s="605" t="str">
        <f>N1605</f>
        <v/>
      </c>
      <c r="F1605" s="131"/>
      <c r="G1605" s="607" t="str">
        <f ca="1">IF(OR(INDIRECT("'update Helper'!E"&amp;Q1605)="",F1605&lt;&gt;0,F1606&lt;&gt;0),IF(IFERROR((F1605/F1606),"")="","",(F1605/F1606)),INDIRECT("'update Helper'!E"&amp;Q1605)/100)</f>
        <v/>
      </c>
      <c r="H1605" s="597"/>
      <c r="I1605" s="599"/>
      <c r="J1605" s="531"/>
      <c r="K1605" s="130">
        <f>IF(AND(EXACT(C1605,C1603),C1603&lt;&gt;0),K1603+1,0)</f>
        <v>12</v>
      </c>
      <c r="L1605" s="130" t="str">
        <f t="shared" ref="L1605" si="1803">IF(C1605&lt;&gt;"",C1605&amp;"-"&amp;K1605,"")</f>
        <v/>
      </c>
      <c r="M1605" s="130" t="str">
        <f t="array" ref="M1605">IFERROR(IF(INDEX('Disaggregation Records'!$E$152:$E$513,MATCH(RIGHT(L1605,255),RIGHT('Disaggregation Records'!$D$152:$D$513,255),0))="","",INDEX('Disaggregation Records'!$E$152:$E$513,MATCH(RIGHT(L1605,255),RIGHT('Disaggregation Records'!$D$152:$D$513,255),0))),"")</f>
        <v/>
      </c>
      <c r="N1605" s="130" t="str">
        <f t="array" ref="N1605">IFERROR(IF(INDEX('Disaggregation Records'!$F$152:$F$513,MATCH(RIGHT(L1605,255),RIGHT('Disaggregation Records'!$D$152:$D$513,255),0))="","",INDEX('Disaggregation Records'!$F$152:$F$513,MATCH(RIGHT(L1605,255),RIGHT('Disaggregation Records'!$D$152:$D$513,255),0))),"")</f>
        <v/>
      </c>
      <c r="O1605" s="130" t="str">
        <f t="array" ref="O1605">IFERROR(IF(INDEX('Disaggregation Records'!$H$152:$H$513,MATCH(RIGHT(L1605,255),RIGHT('Disaggregation Records'!$D$152:$D$513,255),0))="","",INDEX('Disaggregation Records'!$H$152:$H$513,MATCH(RIGHT(L1605,255),RIGHT('Disaggregation Records'!$D$152:$D$513,255),0))),"")</f>
        <v/>
      </c>
      <c r="Q1605" s="52">
        <f t="shared" ref="Q1605" si="1804">Q1603+1</f>
        <v>1987</v>
      </c>
    </row>
    <row r="1606" spans="1:17" ht="20.100000000000001" customHeight="1" x14ac:dyDescent="0.25">
      <c r="A1606" s="130"/>
      <c r="B1606" s="602"/>
      <c r="C1606" s="604"/>
      <c r="D1606" s="606"/>
      <c r="E1606" s="606"/>
      <c r="F1606" s="132"/>
      <c r="G1606" s="608"/>
      <c r="H1606" s="598"/>
      <c r="I1606" s="600"/>
      <c r="J1606" s="532"/>
      <c r="L1606" s="130"/>
      <c r="N1606" s="130"/>
      <c r="O1606" s="130"/>
    </row>
    <row r="1607" spans="1:17" ht="20.100000000000001" customHeight="1" x14ac:dyDescent="0.25">
      <c r="A1607" s="130" t="str">
        <f t="shared" ca="1" si="1784"/>
        <v>a16Dm000000LZhTIAW</v>
      </c>
      <c r="B1607" s="601">
        <v>25</v>
      </c>
      <c r="C1607" s="603" t="str">
        <f>IFERROR(VLOOKUP(B1607,'Coverage Indicators - Section D'!$A$9:$AO$70,41,FALSE),"")</f>
        <v/>
      </c>
      <c r="D1607" s="605" t="str">
        <f>M1607</f>
        <v/>
      </c>
      <c r="E1607" s="605" t="str">
        <f>N1607</f>
        <v/>
      </c>
      <c r="F1607" s="131"/>
      <c r="G1607" s="607" t="str">
        <f ca="1">IF(OR(INDIRECT("'update Helper'!E"&amp;Q1607)="",F1607&lt;&gt;0,F1608&lt;&gt;0),IF(IFERROR((F1607/F1608),"")="","",(F1607/F1608)),INDIRECT("'update Helper'!E"&amp;Q1607)/100)</f>
        <v/>
      </c>
      <c r="H1607" s="597"/>
      <c r="I1607" s="599"/>
      <c r="J1607" s="531"/>
      <c r="K1607" s="130">
        <f>IF(AND(EXACT(C1607,C1605),C1605&lt;&gt;0),K1605+1,0)</f>
        <v>13</v>
      </c>
      <c r="L1607" s="130" t="str">
        <f t="shared" ref="L1607" si="1805">IF(C1607&lt;&gt;"",C1607&amp;"-"&amp;K1607,"")</f>
        <v/>
      </c>
      <c r="M1607" s="130" t="str">
        <f t="array" ref="M1607">IFERROR(IF(INDEX('Disaggregation Records'!$E$152:$E$513,MATCH(RIGHT(L1607,255),RIGHT('Disaggregation Records'!$D$152:$D$513,255),0))="","",INDEX('Disaggregation Records'!$E$152:$E$513,MATCH(RIGHT(L1607,255),RIGHT('Disaggregation Records'!$D$152:$D$513,255),0))),"")</f>
        <v/>
      </c>
      <c r="N1607" s="130" t="str">
        <f t="array" ref="N1607">IFERROR(IF(INDEX('Disaggregation Records'!$F$152:$F$513,MATCH(RIGHT(L1607,255),RIGHT('Disaggregation Records'!$D$152:$D$513,255),0))="","",INDEX('Disaggregation Records'!$F$152:$F$513,MATCH(RIGHT(L1607,255),RIGHT('Disaggregation Records'!$D$152:$D$513,255),0))),"")</f>
        <v/>
      </c>
      <c r="O1607" s="130" t="str">
        <f t="array" ref="O1607">IFERROR(IF(INDEX('Disaggregation Records'!$H$152:$H$513,MATCH(RIGHT(L1607,255),RIGHT('Disaggregation Records'!$D$152:$D$513,255),0))="","",INDEX('Disaggregation Records'!$H$152:$H$513,MATCH(RIGHT(L1607,255),RIGHT('Disaggregation Records'!$D$152:$D$513,255),0))),"")</f>
        <v/>
      </c>
      <c r="Q1607" s="52">
        <f t="shared" ref="Q1607" si="1806">Q1605+1</f>
        <v>1988</v>
      </c>
    </row>
    <row r="1608" spans="1:17" ht="20.100000000000001" customHeight="1" x14ac:dyDescent="0.25">
      <c r="B1608" s="602"/>
      <c r="C1608" s="604"/>
      <c r="D1608" s="606"/>
      <c r="E1608" s="606"/>
      <c r="F1608" s="132"/>
      <c r="G1608" s="608"/>
      <c r="H1608" s="598"/>
      <c r="I1608" s="600"/>
      <c r="J1608" s="532"/>
      <c r="L1608" s="130"/>
      <c r="N1608" s="130"/>
      <c r="O1608" s="130"/>
    </row>
    <row r="1609" spans="1:17" ht="20.100000000000001" customHeight="1" x14ac:dyDescent="0.25">
      <c r="A1609" s="130" t="str">
        <f t="shared" ca="1" si="1781"/>
        <v>a16Dm000000LZhUIAW</v>
      </c>
      <c r="B1609" s="601">
        <v>25</v>
      </c>
      <c r="C1609" s="603" t="str">
        <f>IFERROR(VLOOKUP(B1609,'Coverage Indicators - Section D'!$A$9:$AO$70,41,FALSE),"")</f>
        <v/>
      </c>
      <c r="D1609" s="605" t="str">
        <f>M1609</f>
        <v/>
      </c>
      <c r="E1609" s="605" t="str">
        <f>N1609</f>
        <v/>
      </c>
      <c r="F1609" s="131"/>
      <c r="G1609" s="607" t="str">
        <f ca="1">IF(OR(INDIRECT("'update Helper'!E"&amp;Q1609)="",F1609&lt;&gt;0,F1610&lt;&gt;0),IF(IFERROR((F1609/F1610),"")="","",(F1609/F1610)),INDIRECT("'update Helper'!E"&amp;Q1609)/100)</f>
        <v/>
      </c>
      <c r="H1609" s="597"/>
      <c r="I1609" s="599"/>
      <c r="J1609" s="531"/>
      <c r="K1609" s="130">
        <f>IF(AND(EXACT(C1609,C1607),C1607&lt;&gt;0),K1607+1,0)</f>
        <v>14</v>
      </c>
      <c r="L1609" s="130" t="str">
        <f t="shared" ref="L1609" si="1807">IF(C1609&lt;&gt;"",C1609&amp;"-"&amp;K1609,"")</f>
        <v/>
      </c>
      <c r="M1609" s="130" t="str">
        <f t="array" ref="M1609">IFERROR(IF(INDEX('Disaggregation Records'!$E$152:$E$513,MATCH(RIGHT(L1609,255),RIGHT('Disaggregation Records'!$D$152:$D$513,255),0))="","",INDEX('Disaggregation Records'!$E$152:$E$513,MATCH(RIGHT(L1609,255),RIGHT('Disaggregation Records'!$D$152:$D$513,255),0))),"")</f>
        <v/>
      </c>
      <c r="N1609" s="130" t="str">
        <f t="array" ref="N1609">IFERROR(IF(INDEX('Disaggregation Records'!$F$152:$F$513,MATCH(RIGHT(L1609,255),RIGHT('Disaggregation Records'!$D$152:$D$513,255),0))="","",INDEX('Disaggregation Records'!$F$152:$F$513,MATCH(RIGHT(L1609,255),RIGHT('Disaggregation Records'!$D$152:$D$513,255),0))),"")</f>
        <v/>
      </c>
      <c r="O1609" s="130" t="str">
        <f t="array" ref="O1609">IFERROR(IF(INDEX('Disaggregation Records'!$H$152:$H$513,MATCH(RIGHT(L1609,255),RIGHT('Disaggregation Records'!$D$152:$D$513,255),0))="","",INDEX('Disaggregation Records'!$H$152:$H$513,MATCH(RIGHT(L1609,255),RIGHT('Disaggregation Records'!$D$152:$D$513,255),0))),"")</f>
        <v/>
      </c>
      <c r="Q1609" s="52">
        <f t="shared" ref="Q1609" si="1808">Q1607+1</f>
        <v>1989</v>
      </c>
    </row>
    <row r="1610" spans="1:17" ht="20.100000000000001" customHeight="1" x14ac:dyDescent="0.25">
      <c r="A1610" s="130"/>
      <c r="B1610" s="602"/>
      <c r="C1610" s="604"/>
      <c r="D1610" s="606"/>
      <c r="E1610" s="606"/>
      <c r="F1610" s="132"/>
      <c r="G1610" s="608"/>
      <c r="H1610" s="598"/>
      <c r="I1610" s="600"/>
      <c r="J1610" s="532"/>
      <c r="L1610" s="130"/>
      <c r="N1610" s="130"/>
      <c r="O1610" s="130"/>
    </row>
    <row r="1611" spans="1:17" ht="20.100000000000001" customHeight="1" x14ac:dyDescent="0.25">
      <c r="A1611" s="130" t="str">
        <f t="shared" ca="1" si="1784"/>
        <v>a16Dm000000LZhVIAW</v>
      </c>
      <c r="B1611" s="601">
        <v>25</v>
      </c>
      <c r="C1611" s="603" t="str">
        <f>IFERROR(VLOOKUP(B1611,'Coverage Indicators - Section D'!$A$9:$AO$70,41,FALSE),"")</f>
        <v/>
      </c>
      <c r="D1611" s="605" t="str">
        <f>M1611</f>
        <v/>
      </c>
      <c r="E1611" s="605" t="str">
        <f>N1611</f>
        <v/>
      </c>
      <c r="F1611" s="131"/>
      <c r="G1611" s="607" t="str">
        <f ca="1">IF(OR(INDIRECT("'update Helper'!E"&amp;Q1611)="",F1611&lt;&gt;0,F1612&lt;&gt;0),IF(IFERROR((F1611/F1612),"")="","",(F1611/F1612)),INDIRECT("'update Helper'!E"&amp;Q1611)/100)</f>
        <v/>
      </c>
      <c r="H1611" s="597"/>
      <c r="I1611" s="599"/>
      <c r="J1611" s="531"/>
      <c r="K1611" s="130">
        <f>IF(AND(EXACT(C1611,C1609),C1609&lt;&gt;0),K1609+1,0)</f>
        <v>15</v>
      </c>
      <c r="L1611" s="130" t="str">
        <f t="shared" ref="L1611" si="1809">IF(C1611&lt;&gt;"",C1611&amp;"-"&amp;K1611,"")</f>
        <v/>
      </c>
      <c r="M1611" s="130" t="str">
        <f t="array" ref="M1611">IFERROR(IF(INDEX('Disaggregation Records'!$E$152:$E$513,MATCH(RIGHT(L1611,255),RIGHT('Disaggregation Records'!$D$152:$D$513,255),0))="","",INDEX('Disaggregation Records'!$E$152:$E$513,MATCH(RIGHT(L1611,255),RIGHT('Disaggregation Records'!$D$152:$D$513,255),0))),"")</f>
        <v/>
      </c>
      <c r="N1611" s="130" t="str">
        <f t="array" ref="N1611">IFERROR(IF(INDEX('Disaggregation Records'!$F$152:$F$513,MATCH(RIGHT(L1611,255),RIGHT('Disaggregation Records'!$D$152:$D$513,255),0))="","",INDEX('Disaggregation Records'!$F$152:$F$513,MATCH(RIGHT(L1611,255),RIGHT('Disaggregation Records'!$D$152:$D$513,255),0))),"")</f>
        <v/>
      </c>
      <c r="O1611" s="130" t="str">
        <f t="array" ref="O1611">IFERROR(IF(INDEX('Disaggregation Records'!$H$152:$H$513,MATCH(RIGHT(L1611,255),RIGHT('Disaggregation Records'!$D$152:$D$513,255),0))="","",INDEX('Disaggregation Records'!$H$152:$H$513,MATCH(RIGHT(L1611,255),RIGHT('Disaggregation Records'!$D$152:$D$513,255),0))),"")</f>
        <v/>
      </c>
      <c r="P1611" s="130"/>
      <c r="Q1611" s="52">
        <f t="shared" ref="Q1611" si="1810">Q1609+1</f>
        <v>1990</v>
      </c>
    </row>
    <row r="1612" spans="1:17" ht="20.100000000000001" customHeight="1" x14ac:dyDescent="0.25">
      <c r="B1612" s="602"/>
      <c r="C1612" s="604"/>
      <c r="D1612" s="606"/>
      <c r="E1612" s="606"/>
      <c r="F1612" s="132"/>
      <c r="G1612" s="608"/>
      <c r="H1612" s="598"/>
      <c r="I1612" s="600"/>
      <c r="J1612" s="532"/>
      <c r="K1612" s="130"/>
      <c r="L1612" s="130"/>
      <c r="M1612" s="130"/>
      <c r="N1612" s="130"/>
      <c r="O1612" s="130"/>
      <c r="P1612" s="130"/>
    </row>
    <row r="1613" spans="1:17" ht="20.100000000000001" customHeight="1" x14ac:dyDescent="0.25">
      <c r="A1613" s="130" t="str">
        <f t="shared" ca="1" si="1781"/>
        <v>a16Dm000000LZhWIAW</v>
      </c>
      <c r="B1613" s="601">
        <v>25</v>
      </c>
      <c r="C1613" s="603" t="str">
        <f>IFERROR(VLOOKUP(B1613,'Coverage Indicators - Section D'!$A$9:$AO$70,41,FALSE),"")</f>
        <v/>
      </c>
      <c r="D1613" s="605" t="str">
        <f>M1613</f>
        <v/>
      </c>
      <c r="E1613" s="605" t="str">
        <f>N1613</f>
        <v/>
      </c>
      <c r="F1613" s="131"/>
      <c r="G1613" s="607" t="str">
        <f ca="1">IF(OR(INDIRECT("'update Helper'!E"&amp;Q1613)="",F1613&lt;&gt;0,F1614&lt;&gt;0),IF(IFERROR((F1613/F1614),"")="","",(F1613/F1614)),INDIRECT("'update Helper'!E"&amp;Q1613)/100)</f>
        <v/>
      </c>
      <c r="H1613" s="597"/>
      <c r="I1613" s="599"/>
      <c r="J1613" s="531"/>
      <c r="K1613" s="130">
        <f>IF(AND(EXACT(C1613,C1611),C1611&lt;&gt;0),K1611+1,0)</f>
        <v>16</v>
      </c>
      <c r="L1613" s="130" t="str">
        <f t="shared" ref="L1613" si="1811">IF(C1613&lt;&gt;"",C1613&amp;"-"&amp;K1613,"")</f>
        <v/>
      </c>
      <c r="M1613" s="130" t="str">
        <f t="array" ref="M1613">IFERROR(IF(INDEX('Disaggregation Records'!$E$152:$E$513,MATCH(RIGHT(L1613,255),RIGHT('Disaggregation Records'!$D$152:$D$513,255),0))="","",INDEX('Disaggregation Records'!$E$152:$E$513,MATCH(RIGHT(L1613,255),RIGHT('Disaggregation Records'!$D$152:$D$513,255),0))),"")</f>
        <v/>
      </c>
      <c r="N1613" s="130" t="str">
        <f t="array" ref="N1613">IFERROR(IF(INDEX('Disaggregation Records'!$F$152:$F$513,MATCH(RIGHT(L1613,255),RIGHT('Disaggregation Records'!$D$152:$D$513,255),0))="","",INDEX('Disaggregation Records'!$F$152:$F$513,MATCH(RIGHT(L1613,255),RIGHT('Disaggregation Records'!$D$152:$D$513,255),0))),"")</f>
        <v/>
      </c>
      <c r="O1613" s="130" t="str">
        <f t="array" ref="O1613">IFERROR(IF(INDEX('Disaggregation Records'!$H$152:$H$513,MATCH(RIGHT(L1613,255),RIGHT('Disaggregation Records'!$D$152:$D$513,255),0))="","",INDEX('Disaggregation Records'!$H$152:$H$513,MATCH(RIGHT(L1613,255),RIGHT('Disaggregation Records'!$D$152:$D$513,255),0))),"")</f>
        <v/>
      </c>
      <c r="P1613" s="130"/>
      <c r="Q1613" s="52">
        <f t="shared" ref="Q1613" si="1812">Q1611+1</f>
        <v>1991</v>
      </c>
    </row>
    <row r="1614" spans="1:17" ht="20.100000000000001" customHeight="1" x14ac:dyDescent="0.25">
      <c r="A1614" s="130"/>
      <c r="B1614" s="602"/>
      <c r="C1614" s="604"/>
      <c r="D1614" s="606"/>
      <c r="E1614" s="606"/>
      <c r="F1614" s="132"/>
      <c r="G1614" s="608"/>
      <c r="H1614" s="598"/>
      <c r="I1614" s="600"/>
      <c r="J1614" s="532"/>
      <c r="K1614" s="130"/>
      <c r="L1614" s="130"/>
      <c r="M1614" s="130"/>
      <c r="N1614" s="130"/>
      <c r="O1614" s="130"/>
      <c r="P1614" s="130"/>
    </row>
    <row r="1615" spans="1:17" ht="20.100000000000001" customHeight="1" x14ac:dyDescent="0.25">
      <c r="A1615" s="130" t="str">
        <f t="shared" ca="1" si="1784"/>
        <v>a16Dm000000LZhXIAW</v>
      </c>
      <c r="B1615" s="601">
        <v>25</v>
      </c>
      <c r="C1615" s="603" t="str">
        <f>IFERROR(VLOOKUP(B1615,'Coverage Indicators - Section D'!$A$9:$AO$70,41,FALSE),"")</f>
        <v/>
      </c>
      <c r="D1615" s="605" t="str">
        <f>M1615</f>
        <v/>
      </c>
      <c r="E1615" s="605" t="str">
        <f>N1615</f>
        <v/>
      </c>
      <c r="F1615" s="131"/>
      <c r="G1615" s="607" t="str">
        <f ca="1">IF(OR(INDIRECT("'update Helper'!E"&amp;Q1615)="",F1615&lt;&gt;0,F1616&lt;&gt;0),IF(IFERROR((F1615/F1616),"")="","",(F1615/F1616)),INDIRECT("'update Helper'!E"&amp;Q1615)/100)</f>
        <v/>
      </c>
      <c r="H1615" s="597"/>
      <c r="I1615" s="599"/>
      <c r="J1615" s="531"/>
      <c r="K1615" s="130">
        <f>IF(AND(EXACT(C1615,C1613),C1613&lt;&gt;0),K1613+1,0)</f>
        <v>17</v>
      </c>
      <c r="L1615" s="130" t="str">
        <f t="shared" ref="L1615" si="1813">IF(C1615&lt;&gt;"",C1615&amp;"-"&amp;K1615,"")</f>
        <v/>
      </c>
      <c r="M1615" s="130" t="str">
        <f t="array" ref="M1615">IFERROR(IF(INDEX('Disaggregation Records'!$E$152:$E$513,MATCH(RIGHT(L1615,255),RIGHT('Disaggregation Records'!$D$152:$D$513,255),0))="","",INDEX('Disaggregation Records'!$E$152:$E$513,MATCH(RIGHT(L1615,255),RIGHT('Disaggregation Records'!$D$152:$D$513,255),0))),"")</f>
        <v/>
      </c>
      <c r="N1615" s="130" t="str">
        <f t="array" ref="N1615">IFERROR(IF(INDEX('Disaggregation Records'!$F$152:$F$513,MATCH(RIGHT(L1615,255),RIGHT('Disaggregation Records'!$D$152:$D$513,255),0))="","",INDEX('Disaggregation Records'!$F$152:$F$513,MATCH(RIGHT(L1615,255),RIGHT('Disaggregation Records'!$D$152:$D$513,255),0))),"")</f>
        <v/>
      </c>
      <c r="O1615" s="130" t="str">
        <f t="array" ref="O1615">IFERROR(IF(INDEX('Disaggregation Records'!$H$152:$H$513,MATCH(RIGHT(L1615,255),RIGHT('Disaggregation Records'!$D$152:$D$513,255),0))="","",INDEX('Disaggregation Records'!$H$152:$H$513,MATCH(RIGHT(L1615,255),RIGHT('Disaggregation Records'!$D$152:$D$513,255),0))),"")</f>
        <v/>
      </c>
      <c r="Q1615" s="52">
        <f t="shared" ref="Q1615" si="1814">Q1613+1</f>
        <v>1992</v>
      </c>
    </row>
    <row r="1616" spans="1:17" ht="20.100000000000001" customHeight="1" x14ac:dyDescent="0.25">
      <c r="B1616" s="602"/>
      <c r="C1616" s="604"/>
      <c r="D1616" s="606"/>
      <c r="E1616" s="606"/>
      <c r="F1616" s="132"/>
      <c r="G1616" s="608"/>
      <c r="H1616" s="598"/>
      <c r="I1616" s="600"/>
      <c r="J1616" s="532"/>
      <c r="L1616" s="130"/>
      <c r="N1616" s="130"/>
      <c r="O1616" s="130"/>
    </row>
    <row r="1617" spans="1:17" ht="20.100000000000001" customHeight="1" x14ac:dyDescent="0.25">
      <c r="A1617" s="130" t="str">
        <f t="shared" ca="1" si="1781"/>
        <v>a16Dm000000LZhYIAW</v>
      </c>
      <c r="B1617" s="601">
        <v>25</v>
      </c>
      <c r="C1617" s="603" t="str">
        <f>IFERROR(VLOOKUP(B1617,'Coverage Indicators - Section D'!$A$9:$AO$70,41,FALSE),"")</f>
        <v/>
      </c>
      <c r="D1617" s="605" t="str">
        <f>M1617</f>
        <v/>
      </c>
      <c r="E1617" s="605" t="str">
        <f>N1617</f>
        <v/>
      </c>
      <c r="F1617" s="131"/>
      <c r="G1617" s="607" t="str">
        <f ca="1">IF(OR(INDIRECT("'update Helper'!E"&amp;Q1617)="",F1617&lt;&gt;0,F1618&lt;&gt;0),IF(IFERROR((F1617/F1618),"")="","",(F1617/F1618)),INDIRECT("'update Helper'!E"&amp;Q1617)/100)</f>
        <v/>
      </c>
      <c r="H1617" s="597"/>
      <c r="I1617" s="599"/>
      <c r="J1617" s="531"/>
      <c r="K1617" s="130">
        <f>IF(AND(EXACT(C1617,C1615),C1615&lt;&gt;0),K1615+1,0)</f>
        <v>18</v>
      </c>
      <c r="L1617" s="130" t="str">
        <f t="shared" ref="L1617" si="1815">IF(C1617&lt;&gt;"",C1617&amp;"-"&amp;K1617,"")</f>
        <v/>
      </c>
      <c r="M1617" s="130" t="str">
        <f t="array" ref="M1617">IFERROR(IF(INDEX('Disaggregation Records'!$E$152:$E$513,MATCH(RIGHT(L1617,255),RIGHT('Disaggregation Records'!$D$152:$D$513,255),0))="","",INDEX('Disaggregation Records'!$E$152:$E$513,MATCH(RIGHT(L1617,255),RIGHT('Disaggregation Records'!$D$152:$D$513,255),0))),"")</f>
        <v/>
      </c>
      <c r="N1617" s="130" t="str">
        <f t="array" ref="N1617">IFERROR(IF(INDEX('Disaggregation Records'!$F$152:$F$513,MATCH(RIGHT(L1617,255),RIGHT('Disaggregation Records'!$D$152:$D$513,255),0))="","",INDEX('Disaggregation Records'!$F$152:$F$513,MATCH(RIGHT(L1617,255),RIGHT('Disaggregation Records'!$D$152:$D$513,255),0))),"")</f>
        <v/>
      </c>
      <c r="O1617" s="130" t="str">
        <f t="array" ref="O1617">IFERROR(IF(INDEX('Disaggregation Records'!$H$152:$H$513,MATCH(RIGHT(L1617,255),RIGHT('Disaggregation Records'!$D$152:$D$513,255),0))="","",INDEX('Disaggregation Records'!$H$152:$H$513,MATCH(RIGHT(L1617,255),RIGHT('Disaggregation Records'!$D$152:$D$513,255),0))),"")</f>
        <v/>
      </c>
      <c r="Q1617" s="52">
        <f t="shared" ref="Q1617" si="1816">Q1615+1</f>
        <v>1993</v>
      </c>
    </row>
    <row r="1618" spans="1:17" ht="20.100000000000001" customHeight="1" x14ac:dyDescent="0.25">
      <c r="A1618" s="130"/>
      <c r="B1618" s="602"/>
      <c r="C1618" s="604"/>
      <c r="D1618" s="606"/>
      <c r="E1618" s="606"/>
      <c r="F1618" s="132"/>
      <c r="G1618" s="608"/>
      <c r="H1618" s="598"/>
      <c r="I1618" s="600"/>
      <c r="J1618" s="532"/>
      <c r="L1618" s="130"/>
      <c r="N1618" s="130"/>
      <c r="O1618" s="130"/>
    </row>
    <row r="1619" spans="1:17" ht="20.100000000000001" customHeight="1" x14ac:dyDescent="0.25">
      <c r="A1619" s="130" t="str">
        <f t="shared" ca="1" si="1784"/>
        <v>a16Dm000000LZhZIAW</v>
      </c>
      <c r="B1619" s="601">
        <v>25</v>
      </c>
      <c r="C1619" s="603" t="str">
        <f>IFERROR(VLOOKUP(B1619,'Coverage Indicators - Section D'!$A$9:$AO$70,41,FALSE),"")</f>
        <v/>
      </c>
      <c r="D1619" s="605" t="str">
        <f>M1619</f>
        <v/>
      </c>
      <c r="E1619" s="605" t="str">
        <f>N1619</f>
        <v/>
      </c>
      <c r="F1619" s="131"/>
      <c r="G1619" s="607" t="str">
        <f ca="1">IF(OR(INDIRECT("'update Helper'!E"&amp;Q1619)="",F1619&lt;&gt;0,F1620&lt;&gt;0),IF(IFERROR((F1619/F1620),"")="","",(F1619/F1620)),INDIRECT("'update Helper'!E"&amp;Q1619)/100)</f>
        <v/>
      </c>
      <c r="H1619" s="597"/>
      <c r="I1619" s="599"/>
      <c r="J1619" s="531"/>
      <c r="K1619" s="130">
        <f>IF(AND(EXACT(C1619,C1617),C1617&lt;&gt;0),K1617+1,0)</f>
        <v>19</v>
      </c>
      <c r="L1619" s="130" t="str">
        <f t="shared" ref="L1619" si="1817">IF(C1619&lt;&gt;"",C1619&amp;"-"&amp;K1619,"")</f>
        <v/>
      </c>
      <c r="M1619" s="130" t="str">
        <f t="array" ref="M1619">IFERROR(IF(INDEX('Disaggregation Records'!$E$152:$E$513,MATCH(RIGHT(L1619,255),RIGHT('Disaggregation Records'!$D$152:$D$513,255),0))="","",INDEX('Disaggregation Records'!$E$152:$E$513,MATCH(RIGHT(L1619,255),RIGHT('Disaggregation Records'!$D$152:$D$513,255),0))),"")</f>
        <v/>
      </c>
      <c r="N1619" s="130" t="str">
        <f t="array" ref="N1619">IFERROR(IF(INDEX('Disaggregation Records'!$F$152:$F$513,MATCH(RIGHT(L1619,255),RIGHT('Disaggregation Records'!$D$152:$D$513,255),0))="","",INDEX('Disaggregation Records'!$F$152:$F$513,MATCH(RIGHT(L1619,255),RIGHT('Disaggregation Records'!$D$152:$D$513,255),0))),"")</f>
        <v/>
      </c>
      <c r="O1619" s="130" t="str">
        <f t="array" ref="O1619">IFERROR(IF(INDEX('Disaggregation Records'!$H$152:$H$513,MATCH(RIGHT(L1619,255),RIGHT('Disaggregation Records'!$D$152:$D$513,255),0))="","",INDEX('Disaggregation Records'!$H$152:$H$513,MATCH(RIGHT(L1619,255),RIGHT('Disaggregation Records'!$D$152:$D$513,255),0))),"")</f>
        <v/>
      </c>
      <c r="Q1619" s="52">
        <f t="shared" ref="Q1619" si="1818">Q1617+1</f>
        <v>1994</v>
      </c>
    </row>
    <row r="1620" spans="1:17" ht="20.100000000000001" customHeight="1" x14ac:dyDescent="0.25">
      <c r="B1620" s="602"/>
      <c r="C1620" s="604"/>
      <c r="D1620" s="606"/>
      <c r="E1620" s="606"/>
      <c r="F1620" s="132"/>
      <c r="G1620" s="608"/>
      <c r="H1620" s="598"/>
      <c r="I1620" s="600"/>
      <c r="J1620" s="532"/>
      <c r="L1620" s="130"/>
      <c r="N1620" s="130"/>
      <c r="O1620" s="130"/>
    </row>
    <row r="1621" spans="1:17" ht="20.100000000000001" customHeight="1" x14ac:dyDescent="0.25">
      <c r="A1621" s="130" t="str">
        <f t="shared" ca="1" si="1781"/>
        <v>a16Dm000000LZhaIAG</v>
      </c>
      <c r="B1621" s="601">
        <v>26</v>
      </c>
      <c r="C1621" s="603" t="str">
        <f>IFERROR(VLOOKUP(B1621,'Coverage Indicators - Section D'!$A$9:$AO$70,41,FALSE),"")</f>
        <v/>
      </c>
      <c r="D1621" s="605" t="str">
        <f>M1621</f>
        <v/>
      </c>
      <c r="E1621" s="605" t="str">
        <f>N1621</f>
        <v/>
      </c>
      <c r="F1621" s="131"/>
      <c r="G1621" s="607" t="str">
        <f ca="1">IF(OR(INDIRECT("'update Helper'!E"&amp;Q1621)="",F1621&lt;&gt;0,F1622&lt;&gt;0),IF(IFERROR((F1621/F1622),"")="","",(F1621/F1622)),INDIRECT("'update Helper'!E"&amp;Q1621)/100)</f>
        <v/>
      </c>
      <c r="H1621" s="597"/>
      <c r="I1621" s="599"/>
      <c r="J1621" s="531"/>
      <c r="K1621" s="130">
        <f>IF(AND(EXACT(C1621,C1619),C1619&lt;&gt;0),K1619+1,0)</f>
        <v>20</v>
      </c>
      <c r="L1621" s="130" t="str">
        <f t="shared" ref="L1621" si="1819">IF(C1621&lt;&gt;"",C1621&amp;"-"&amp;K1621,"")</f>
        <v/>
      </c>
      <c r="M1621" s="130" t="str">
        <f t="array" ref="M1621">IFERROR(IF(INDEX('Disaggregation Records'!$E$152:$E$513,MATCH(RIGHT(L1621,255),RIGHT('Disaggregation Records'!$D$152:$D$513,255),0))="","",INDEX('Disaggregation Records'!$E$152:$E$513,MATCH(RIGHT(L1621,255),RIGHT('Disaggregation Records'!$D$152:$D$513,255),0))),"")</f>
        <v/>
      </c>
      <c r="N1621" s="130" t="str">
        <f t="array" ref="N1621">IFERROR(IF(INDEX('Disaggregation Records'!$F$152:$F$513,MATCH(RIGHT(L1621,255),RIGHT('Disaggregation Records'!$D$152:$D$513,255),0))="","",INDEX('Disaggregation Records'!$F$152:$F$513,MATCH(RIGHT(L1621,255),RIGHT('Disaggregation Records'!$D$152:$D$513,255),0))),"")</f>
        <v/>
      </c>
      <c r="O1621" s="130" t="str">
        <f t="array" ref="O1621">IFERROR(IF(INDEX('Disaggregation Records'!$H$152:$H$513,MATCH(RIGHT(L1621,255),RIGHT('Disaggregation Records'!$D$152:$D$513,255),0))="","",INDEX('Disaggregation Records'!$H$152:$H$513,MATCH(RIGHT(L1621,255),RIGHT('Disaggregation Records'!$D$152:$D$513,255),0))),"")</f>
        <v/>
      </c>
      <c r="P1621" s="130"/>
      <c r="Q1621" s="52">
        <f t="shared" ref="Q1621" si="1820">Q1619+1</f>
        <v>1995</v>
      </c>
    </row>
    <row r="1622" spans="1:17" ht="20.100000000000001" customHeight="1" x14ac:dyDescent="0.25">
      <c r="A1622" s="130"/>
      <c r="B1622" s="602"/>
      <c r="C1622" s="604"/>
      <c r="D1622" s="606"/>
      <c r="E1622" s="606"/>
      <c r="F1622" s="132"/>
      <c r="G1622" s="608"/>
      <c r="H1622" s="598"/>
      <c r="I1622" s="600"/>
      <c r="J1622" s="532"/>
      <c r="K1622" s="130"/>
      <c r="L1622" s="130"/>
      <c r="M1622" s="130"/>
      <c r="N1622" s="130"/>
      <c r="O1622" s="130"/>
      <c r="P1622" s="130"/>
    </row>
    <row r="1623" spans="1:17" ht="20.100000000000001" customHeight="1" x14ac:dyDescent="0.25">
      <c r="A1623" s="130" t="str">
        <f t="shared" ca="1" si="1784"/>
        <v>a16Dm000000LZhbIAG</v>
      </c>
      <c r="B1623" s="601">
        <v>26</v>
      </c>
      <c r="C1623" s="603" t="str">
        <f>IFERROR(VLOOKUP(B1623,'Coverage Indicators - Section D'!$A$9:$AO$70,41,FALSE),"")</f>
        <v/>
      </c>
      <c r="D1623" s="605" t="str">
        <f>M1623</f>
        <v/>
      </c>
      <c r="E1623" s="605" t="str">
        <f>N1623</f>
        <v/>
      </c>
      <c r="F1623" s="131"/>
      <c r="G1623" s="607" t="str">
        <f ca="1">IF(OR(INDIRECT("'update Helper'!E"&amp;Q1623)="",F1623&lt;&gt;0,F1624&lt;&gt;0),IF(IFERROR((F1623/F1624),"")="","",(F1623/F1624)),INDIRECT("'update Helper'!E"&amp;Q1623)/100)</f>
        <v/>
      </c>
      <c r="H1623" s="597"/>
      <c r="I1623" s="599"/>
      <c r="J1623" s="531"/>
      <c r="K1623" s="130">
        <f>IF(AND(EXACT(C1623,C1621),C1621&lt;&gt;0),K1621+1,0)</f>
        <v>21</v>
      </c>
      <c r="L1623" s="130" t="str">
        <f t="shared" ref="L1623" si="1821">IF(C1623&lt;&gt;"",C1623&amp;"-"&amp;K1623,"")</f>
        <v/>
      </c>
      <c r="M1623" s="130" t="str">
        <f t="array" ref="M1623">IFERROR(IF(INDEX('Disaggregation Records'!$E$152:$E$513,MATCH(RIGHT(L1623,255),RIGHT('Disaggregation Records'!$D$152:$D$513,255),0))="","",INDEX('Disaggregation Records'!$E$152:$E$513,MATCH(RIGHT(L1623,255),RIGHT('Disaggregation Records'!$D$152:$D$513,255),0))),"")</f>
        <v/>
      </c>
      <c r="N1623" s="130" t="str">
        <f t="array" ref="N1623">IFERROR(IF(INDEX('Disaggregation Records'!$F$152:$F$513,MATCH(RIGHT(L1623,255),RIGHT('Disaggregation Records'!$D$152:$D$513,255),0))="","",INDEX('Disaggregation Records'!$F$152:$F$513,MATCH(RIGHT(L1623,255),RIGHT('Disaggregation Records'!$D$152:$D$513,255),0))),"")</f>
        <v/>
      </c>
      <c r="O1623" s="130" t="str">
        <f t="array" ref="O1623">IFERROR(IF(INDEX('Disaggregation Records'!$H$152:$H$513,MATCH(RIGHT(L1623,255),RIGHT('Disaggregation Records'!$D$152:$D$513,255),0))="","",INDEX('Disaggregation Records'!$H$152:$H$513,MATCH(RIGHT(L1623,255),RIGHT('Disaggregation Records'!$D$152:$D$513,255),0))),"")</f>
        <v/>
      </c>
      <c r="P1623" s="130"/>
      <c r="Q1623" s="52">
        <f t="shared" ref="Q1623" si="1822">Q1621+1</f>
        <v>1996</v>
      </c>
    </row>
    <row r="1624" spans="1:17" ht="20.100000000000001" customHeight="1" x14ac:dyDescent="0.25">
      <c r="B1624" s="602"/>
      <c r="C1624" s="604"/>
      <c r="D1624" s="606"/>
      <c r="E1624" s="606"/>
      <c r="F1624" s="132"/>
      <c r="G1624" s="608"/>
      <c r="H1624" s="598"/>
      <c r="I1624" s="600"/>
      <c r="J1624" s="532"/>
      <c r="K1624" s="130"/>
      <c r="L1624" s="130"/>
      <c r="M1624" s="130"/>
      <c r="N1624" s="130"/>
      <c r="O1624" s="130"/>
      <c r="P1624" s="130"/>
    </row>
    <row r="1625" spans="1:17" ht="20.100000000000001" customHeight="1" x14ac:dyDescent="0.25">
      <c r="A1625" s="130" t="str">
        <f t="shared" ca="1" si="1781"/>
        <v>a16Dm000000LZhcIAG</v>
      </c>
      <c r="B1625" s="601">
        <v>26</v>
      </c>
      <c r="C1625" s="603" t="str">
        <f>IFERROR(VLOOKUP(B1625,'Coverage Indicators - Section D'!$A$9:$AO$70,41,FALSE),"")</f>
        <v/>
      </c>
      <c r="D1625" s="605" t="str">
        <f>M1625</f>
        <v/>
      </c>
      <c r="E1625" s="605" t="str">
        <f>N1625</f>
        <v/>
      </c>
      <c r="F1625" s="131"/>
      <c r="G1625" s="607" t="str">
        <f ca="1">IF(OR(INDIRECT("'update Helper'!E"&amp;Q1625)="",F1625&lt;&gt;0,F1626&lt;&gt;0),IF(IFERROR((F1625/F1626),"")="","",(F1625/F1626)),INDIRECT("'update Helper'!E"&amp;Q1625)/100)</f>
        <v/>
      </c>
      <c r="H1625" s="597"/>
      <c r="I1625" s="599"/>
      <c r="J1625" s="531"/>
      <c r="K1625" s="130">
        <f>IF(AND(EXACT(C1625,C1623),C1623&lt;&gt;0),K1623+1,0)</f>
        <v>22</v>
      </c>
      <c r="L1625" s="130" t="str">
        <f t="shared" ref="L1625" si="1823">IF(C1625&lt;&gt;"",C1625&amp;"-"&amp;K1625,"")</f>
        <v/>
      </c>
      <c r="M1625" s="130" t="str">
        <f t="array" ref="M1625">IFERROR(IF(INDEX('Disaggregation Records'!$E$152:$E$513,MATCH(RIGHT(L1625,255),RIGHT('Disaggregation Records'!$D$152:$D$513,255),0))="","",INDEX('Disaggregation Records'!$E$152:$E$513,MATCH(RIGHT(L1625,255),RIGHT('Disaggregation Records'!$D$152:$D$513,255),0))),"")</f>
        <v/>
      </c>
      <c r="N1625" s="130" t="str">
        <f t="array" ref="N1625">IFERROR(IF(INDEX('Disaggregation Records'!$F$152:$F$513,MATCH(RIGHT(L1625,255),RIGHT('Disaggregation Records'!$D$152:$D$513,255),0))="","",INDEX('Disaggregation Records'!$F$152:$F$513,MATCH(RIGHT(L1625,255),RIGHT('Disaggregation Records'!$D$152:$D$513,255),0))),"")</f>
        <v/>
      </c>
      <c r="O1625" s="130" t="str">
        <f t="array" ref="O1625">IFERROR(IF(INDEX('Disaggregation Records'!$H$152:$H$513,MATCH(RIGHT(L1625,255),RIGHT('Disaggregation Records'!$D$152:$D$513,255),0))="","",INDEX('Disaggregation Records'!$H$152:$H$513,MATCH(RIGHT(L1625,255),RIGHT('Disaggregation Records'!$D$152:$D$513,255),0))),"")</f>
        <v/>
      </c>
      <c r="Q1625" s="52">
        <f t="shared" ref="Q1625" si="1824">Q1623+1</f>
        <v>1997</v>
      </c>
    </row>
    <row r="1626" spans="1:17" ht="20.100000000000001" customHeight="1" x14ac:dyDescent="0.25">
      <c r="A1626" s="130"/>
      <c r="B1626" s="602"/>
      <c r="C1626" s="604"/>
      <c r="D1626" s="606"/>
      <c r="E1626" s="606"/>
      <c r="F1626" s="132"/>
      <c r="G1626" s="608"/>
      <c r="H1626" s="598"/>
      <c r="I1626" s="600"/>
      <c r="J1626" s="532"/>
      <c r="L1626" s="130"/>
      <c r="N1626" s="130"/>
      <c r="O1626" s="130"/>
    </row>
    <row r="1627" spans="1:17" ht="20.100000000000001" customHeight="1" x14ac:dyDescent="0.25">
      <c r="A1627" s="130" t="str">
        <f t="shared" ca="1" si="1784"/>
        <v>a16Dm000000LZhdIAG</v>
      </c>
      <c r="B1627" s="601">
        <v>26</v>
      </c>
      <c r="C1627" s="603" t="str">
        <f>IFERROR(VLOOKUP(B1627,'Coverage Indicators - Section D'!$A$9:$AO$70,41,FALSE),"")</f>
        <v/>
      </c>
      <c r="D1627" s="605" t="str">
        <f>M1627</f>
        <v/>
      </c>
      <c r="E1627" s="605" t="str">
        <f>N1627</f>
        <v/>
      </c>
      <c r="F1627" s="131"/>
      <c r="G1627" s="607" t="str">
        <f ca="1">IF(OR(INDIRECT("'update Helper'!E"&amp;Q1627)="",F1627&lt;&gt;0,F1628&lt;&gt;0),IF(IFERROR((F1627/F1628),"")="","",(F1627/F1628)),INDIRECT("'update Helper'!E"&amp;Q1627)/100)</f>
        <v/>
      </c>
      <c r="H1627" s="597"/>
      <c r="I1627" s="599"/>
      <c r="J1627" s="531"/>
      <c r="K1627" s="130">
        <f>IF(AND(EXACT(C1627,C1625),C1625&lt;&gt;0),K1625+1,0)</f>
        <v>23</v>
      </c>
      <c r="L1627" s="130" t="str">
        <f t="shared" ref="L1627" si="1825">IF(C1627&lt;&gt;"",C1627&amp;"-"&amp;K1627,"")</f>
        <v/>
      </c>
      <c r="M1627" s="130" t="str">
        <f t="array" ref="M1627">IFERROR(IF(INDEX('Disaggregation Records'!$E$152:$E$513,MATCH(RIGHT(L1627,255),RIGHT('Disaggregation Records'!$D$152:$D$513,255),0))="","",INDEX('Disaggregation Records'!$E$152:$E$513,MATCH(RIGHT(L1627,255),RIGHT('Disaggregation Records'!$D$152:$D$513,255),0))),"")</f>
        <v/>
      </c>
      <c r="N1627" s="130" t="str">
        <f t="array" ref="N1627">IFERROR(IF(INDEX('Disaggregation Records'!$F$152:$F$513,MATCH(RIGHT(L1627,255),RIGHT('Disaggregation Records'!$D$152:$D$513,255),0))="","",INDEX('Disaggregation Records'!$F$152:$F$513,MATCH(RIGHT(L1627,255),RIGHT('Disaggregation Records'!$D$152:$D$513,255),0))),"")</f>
        <v/>
      </c>
      <c r="O1627" s="130" t="str">
        <f t="array" ref="O1627">IFERROR(IF(INDEX('Disaggregation Records'!$H$152:$H$513,MATCH(RIGHT(L1627,255),RIGHT('Disaggregation Records'!$D$152:$D$513,255),0))="","",INDEX('Disaggregation Records'!$H$152:$H$513,MATCH(RIGHT(L1627,255),RIGHT('Disaggregation Records'!$D$152:$D$513,255),0))),"")</f>
        <v/>
      </c>
      <c r="Q1627" s="52">
        <f t="shared" ref="Q1627" si="1826">Q1625+1</f>
        <v>1998</v>
      </c>
    </row>
    <row r="1628" spans="1:17" ht="20.100000000000001" customHeight="1" x14ac:dyDescent="0.25">
      <c r="B1628" s="602"/>
      <c r="C1628" s="604"/>
      <c r="D1628" s="606"/>
      <c r="E1628" s="606"/>
      <c r="F1628" s="132"/>
      <c r="G1628" s="608"/>
      <c r="H1628" s="598"/>
      <c r="I1628" s="600"/>
      <c r="J1628" s="532"/>
      <c r="L1628" s="130"/>
      <c r="N1628" s="130"/>
      <c r="O1628" s="130"/>
    </row>
    <row r="1629" spans="1:17" ht="20.100000000000001" customHeight="1" x14ac:dyDescent="0.25">
      <c r="A1629" s="130" t="str">
        <f t="shared" ca="1" si="1781"/>
        <v>a16Dm000000LZheIAG</v>
      </c>
      <c r="B1629" s="601">
        <v>26</v>
      </c>
      <c r="C1629" s="603" t="str">
        <f>IFERROR(VLOOKUP(B1629,'Coverage Indicators - Section D'!$A$9:$AO$70,41,FALSE),"")</f>
        <v/>
      </c>
      <c r="D1629" s="605" t="str">
        <f>M1629</f>
        <v/>
      </c>
      <c r="E1629" s="605" t="str">
        <f>N1629</f>
        <v/>
      </c>
      <c r="F1629" s="131"/>
      <c r="G1629" s="607" t="str">
        <f ca="1">IF(OR(INDIRECT("'update Helper'!E"&amp;Q1629)="",F1629&lt;&gt;0,F1630&lt;&gt;0),IF(IFERROR((F1629/F1630),"")="","",(F1629/F1630)),INDIRECT("'update Helper'!E"&amp;Q1629)/100)</f>
        <v/>
      </c>
      <c r="H1629" s="597"/>
      <c r="I1629" s="599"/>
      <c r="J1629" s="531"/>
      <c r="K1629" s="130">
        <f>IF(AND(EXACT(C1629,C1627),C1627&lt;&gt;0),K1627+1,0)</f>
        <v>24</v>
      </c>
      <c r="L1629" s="130" t="str">
        <f t="shared" ref="L1629" si="1827">IF(C1629&lt;&gt;"",C1629&amp;"-"&amp;K1629,"")</f>
        <v/>
      </c>
      <c r="M1629" s="130" t="str">
        <f t="array" ref="M1629">IFERROR(IF(INDEX('Disaggregation Records'!$E$152:$E$513,MATCH(RIGHT(L1629,255),RIGHT('Disaggregation Records'!$D$152:$D$513,255),0))="","",INDEX('Disaggregation Records'!$E$152:$E$513,MATCH(RIGHT(L1629,255),RIGHT('Disaggregation Records'!$D$152:$D$513,255),0))),"")</f>
        <v/>
      </c>
      <c r="N1629" s="130" t="str">
        <f t="array" ref="N1629">IFERROR(IF(INDEX('Disaggregation Records'!$F$152:$F$513,MATCH(RIGHT(L1629,255),RIGHT('Disaggregation Records'!$D$152:$D$513,255),0))="","",INDEX('Disaggregation Records'!$F$152:$F$513,MATCH(RIGHT(L1629,255),RIGHT('Disaggregation Records'!$D$152:$D$513,255),0))),"")</f>
        <v/>
      </c>
      <c r="O1629" s="130" t="str">
        <f t="array" ref="O1629">IFERROR(IF(INDEX('Disaggregation Records'!$H$152:$H$513,MATCH(RIGHT(L1629,255),RIGHT('Disaggregation Records'!$D$152:$D$513,255),0))="","",INDEX('Disaggregation Records'!$H$152:$H$513,MATCH(RIGHT(L1629,255),RIGHT('Disaggregation Records'!$D$152:$D$513,255),0))),"")</f>
        <v/>
      </c>
      <c r="Q1629" s="52">
        <f t="shared" ref="Q1629" si="1828">Q1627+1</f>
        <v>1999</v>
      </c>
    </row>
    <row r="1630" spans="1:17" ht="20.100000000000001" customHeight="1" x14ac:dyDescent="0.25">
      <c r="A1630" s="130"/>
      <c r="B1630" s="602"/>
      <c r="C1630" s="604"/>
      <c r="D1630" s="606"/>
      <c r="E1630" s="606"/>
      <c r="F1630" s="132"/>
      <c r="G1630" s="608"/>
      <c r="H1630" s="598"/>
      <c r="I1630" s="600"/>
      <c r="J1630" s="532"/>
      <c r="L1630" s="130"/>
      <c r="N1630" s="130"/>
      <c r="O1630" s="130"/>
    </row>
    <row r="1631" spans="1:17" ht="20.100000000000001" customHeight="1" x14ac:dyDescent="0.25">
      <c r="A1631" s="130" t="str">
        <f t="shared" ca="1" si="1784"/>
        <v>a16Dm000000LZhfIAG</v>
      </c>
      <c r="B1631" s="601">
        <v>26</v>
      </c>
      <c r="C1631" s="603" t="str">
        <f>IFERROR(VLOOKUP(B1631,'Coverage Indicators - Section D'!$A$9:$AO$70,41,FALSE),"")</f>
        <v/>
      </c>
      <c r="D1631" s="605" t="str">
        <f>M1631</f>
        <v/>
      </c>
      <c r="E1631" s="605" t="str">
        <f>N1631</f>
        <v/>
      </c>
      <c r="F1631" s="131"/>
      <c r="G1631" s="607" t="str">
        <f ca="1">IF(OR(INDIRECT("'update Helper'!E"&amp;Q1631)="",F1631&lt;&gt;0,F1632&lt;&gt;0),IF(IFERROR((F1631/F1632),"")="","",(F1631/F1632)),INDIRECT("'update Helper'!E"&amp;Q1631)/100)</f>
        <v/>
      </c>
      <c r="H1631" s="597"/>
      <c r="I1631" s="599"/>
      <c r="J1631" s="531"/>
      <c r="K1631" s="130">
        <f>IF(AND(EXACT(C1631,C1629),C1629&lt;&gt;0),K1629+1,0)</f>
        <v>25</v>
      </c>
      <c r="L1631" s="130" t="str">
        <f t="shared" ref="L1631" si="1829">IF(C1631&lt;&gt;"",C1631&amp;"-"&amp;K1631,"")</f>
        <v/>
      </c>
      <c r="M1631" s="130" t="str">
        <f t="array" ref="M1631">IFERROR(IF(INDEX('Disaggregation Records'!$E$152:$E$513,MATCH(RIGHT(L1631,255),RIGHT('Disaggregation Records'!$D$152:$D$513,255),0))="","",INDEX('Disaggregation Records'!$E$152:$E$513,MATCH(RIGHT(L1631,255),RIGHT('Disaggregation Records'!$D$152:$D$513,255),0))),"")</f>
        <v/>
      </c>
      <c r="N1631" s="130" t="str">
        <f t="array" ref="N1631">IFERROR(IF(INDEX('Disaggregation Records'!$F$152:$F$513,MATCH(RIGHT(L1631,255),RIGHT('Disaggregation Records'!$D$152:$D$513,255),0))="","",INDEX('Disaggregation Records'!$F$152:$F$513,MATCH(RIGHT(L1631,255),RIGHT('Disaggregation Records'!$D$152:$D$513,255),0))),"")</f>
        <v/>
      </c>
      <c r="O1631" s="130" t="str">
        <f t="array" ref="O1631">IFERROR(IF(INDEX('Disaggregation Records'!$H$152:$H$513,MATCH(RIGHT(L1631,255),RIGHT('Disaggregation Records'!$D$152:$D$513,255),0))="","",INDEX('Disaggregation Records'!$H$152:$H$513,MATCH(RIGHT(L1631,255),RIGHT('Disaggregation Records'!$D$152:$D$513,255),0))),"")</f>
        <v/>
      </c>
      <c r="P1631" s="130"/>
      <c r="Q1631" s="52">
        <f t="shared" ref="Q1631" si="1830">Q1629+1</f>
        <v>2000</v>
      </c>
    </row>
    <row r="1632" spans="1:17" ht="20.100000000000001" customHeight="1" x14ac:dyDescent="0.25">
      <c r="B1632" s="602"/>
      <c r="C1632" s="604"/>
      <c r="D1632" s="606"/>
      <c r="E1632" s="606"/>
      <c r="F1632" s="132"/>
      <c r="G1632" s="608"/>
      <c r="H1632" s="598"/>
      <c r="I1632" s="600"/>
      <c r="J1632" s="532"/>
      <c r="K1632" s="130"/>
      <c r="L1632" s="130"/>
      <c r="M1632" s="130"/>
      <c r="N1632" s="130"/>
      <c r="O1632" s="130"/>
      <c r="P1632" s="130"/>
    </row>
    <row r="1633" spans="1:17" ht="20.100000000000001" customHeight="1" x14ac:dyDescent="0.25">
      <c r="A1633" s="130" t="str">
        <f t="shared" ca="1" si="1781"/>
        <v>a16Dm000000LZhgIAG</v>
      </c>
      <c r="B1633" s="601">
        <v>26</v>
      </c>
      <c r="C1633" s="603" t="str">
        <f>IFERROR(VLOOKUP(B1633,'Coverage Indicators - Section D'!$A$9:$AO$70,41,FALSE),"")</f>
        <v/>
      </c>
      <c r="D1633" s="605" t="str">
        <f>M1633</f>
        <v/>
      </c>
      <c r="E1633" s="605" t="str">
        <f>N1633</f>
        <v/>
      </c>
      <c r="F1633" s="131"/>
      <c r="G1633" s="607" t="str">
        <f ca="1">IF(OR(INDIRECT("'update Helper'!E"&amp;Q1633)="",F1633&lt;&gt;0,F1634&lt;&gt;0),IF(IFERROR((F1633/F1634),"")="","",(F1633/F1634)),INDIRECT("'update Helper'!E"&amp;Q1633)/100)</f>
        <v/>
      </c>
      <c r="H1633" s="597"/>
      <c r="I1633" s="599"/>
      <c r="J1633" s="531"/>
      <c r="K1633" s="130">
        <f>IF(AND(EXACT(C1633,C1631),C1631&lt;&gt;0),K1631+1,0)</f>
        <v>26</v>
      </c>
      <c r="L1633" s="130" t="str">
        <f t="shared" ref="L1633" si="1831">IF(C1633&lt;&gt;"",C1633&amp;"-"&amp;K1633,"")</f>
        <v/>
      </c>
      <c r="M1633" s="130" t="str">
        <f t="array" ref="M1633">IFERROR(IF(INDEX('Disaggregation Records'!$E$152:$E$513,MATCH(RIGHT(L1633,255),RIGHT('Disaggregation Records'!$D$152:$D$513,255),0))="","",INDEX('Disaggregation Records'!$E$152:$E$513,MATCH(RIGHT(L1633,255),RIGHT('Disaggregation Records'!$D$152:$D$513,255),0))),"")</f>
        <v/>
      </c>
      <c r="N1633" s="130" t="str">
        <f t="array" ref="N1633">IFERROR(IF(INDEX('Disaggregation Records'!$F$152:$F$513,MATCH(RIGHT(L1633,255),RIGHT('Disaggregation Records'!$D$152:$D$513,255),0))="","",INDEX('Disaggregation Records'!$F$152:$F$513,MATCH(RIGHT(L1633,255),RIGHT('Disaggregation Records'!$D$152:$D$513,255),0))),"")</f>
        <v/>
      </c>
      <c r="O1633" s="130" t="str">
        <f t="array" ref="O1633">IFERROR(IF(INDEX('Disaggregation Records'!$H$152:$H$513,MATCH(RIGHT(L1633,255),RIGHT('Disaggregation Records'!$D$152:$D$513,255),0))="","",INDEX('Disaggregation Records'!$H$152:$H$513,MATCH(RIGHT(L1633,255),RIGHT('Disaggregation Records'!$D$152:$D$513,255),0))),"")</f>
        <v/>
      </c>
      <c r="P1633" s="130"/>
      <c r="Q1633" s="52">
        <f t="shared" ref="Q1633" si="1832">Q1631+1</f>
        <v>2001</v>
      </c>
    </row>
    <row r="1634" spans="1:17" ht="20.100000000000001" customHeight="1" x14ac:dyDescent="0.25">
      <c r="A1634" s="130"/>
      <c r="B1634" s="602"/>
      <c r="C1634" s="604"/>
      <c r="D1634" s="606"/>
      <c r="E1634" s="606"/>
      <c r="F1634" s="132"/>
      <c r="G1634" s="608"/>
      <c r="H1634" s="598"/>
      <c r="I1634" s="600"/>
      <c r="J1634" s="532"/>
      <c r="K1634" s="130"/>
      <c r="L1634" s="130"/>
      <c r="M1634" s="130"/>
      <c r="N1634" s="130"/>
      <c r="O1634" s="130"/>
      <c r="P1634" s="130"/>
    </row>
    <row r="1635" spans="1:17" ht="20.100000000000001" customHeight="1" x14ac:dyDescent="0.25">
      <c r="A1635" s="130" t="str">
        <f t="shared" ca="1" si="1784"/>
        <v>a16Dm000000LZhhIAG</v>
      </c>
      <c r="B1635" s="601">
        <v>26</v>
      </c>
      <c r="C1635" s="603" t="str">
        <f>IFERROR(VLOOKUP(B1635,'Coverage Indicators - Section D'!$A$9:$AO$70,41,FALSE),"")</f>
        <v/>
      </c>
      <c r="D1635" s="605" t="str">
        <f>M1635</f>
        <v/>
      </c>
      <c r="E1635" s="605" t="str">
        <f>N1635</f>
        <v/>
      </c>
      <c r="F1635" s="131"/>
      <c r="G1635" s="607" t="str">
        <f ca="1">IF(OR(INDIRECT("'update Helper'!E"&amp;Q1635)="",F1635&lt;&gt;0,F1636&lt;&gt;0),IF(IFERROR((F1635/F1636),"")="","",(F1635/F1636)),INDIRECT("'update Helper'!E"&amp;Q1635)/100)</f>
        <v/>
      </c>
      <c r="H1635" s="597"/>
      <c r="I1635" s="599"/>
      <c r="J1635" s="531"/>
      <c r="K1635" s="130">
        <f>IF(AND(EXACT(C1635,C1633),C1633&lt;&gt;0),K1633+1,0)</f>
        <v>27</v>
      </c>
      <c r="L1635" s="130" t="str">
        <f t="shared" ref="L1635" si="1833">IF(C1635&lt;&gt;"",C1635&amp;"-"&amp;K1635,"")</f>
        <v/>
      </c>
      <c r="M1635" s="130" t="str">
        <f t="array" ref="M1635">IFERROR(IF(INDEX('Disaggregation Records'!$E$152:$E$513,MATCH(RIGHT(L1635,255),RIGHT('Disaggregation Records'!$D$152:$D$513,255),0))="","",INDEX('Disaggregation Records'!$E$152:$E$513,MATCH(RIGHT(L1635,255),RIGHT('Disaggregation Records'!$D$152:$D$513,255),0))),"")</f>
        <v/>
      </c>
      <c r="N1635" s="130" t="str">
        <f t="array" ref="N1635">IFERROR(IF(INDEX('Disaggregation Records'!$F$152:$F$513,MATCH(RIGHT(L1635,255),RIGHT('Disaggregation Records'!$D$152:$D$513,255),0))="","",INDEX('Disaggregation Records'!$F$152:$F$513,MATCH(RIGHT(L1635,255),RIGHT('Disaggregation Records'!$D$152:$D$513,255),0))),"")</f>
        <v/>
      </c>
      <c r="O1635" s="130" t="str">
        <f t="array" ref="O1635">IFERROR(IF(INDEX('Disaggregation Records'!$H$152:$H$513,MATCH(RIGHT(L1635,255),RIGHT('Disaggregation Records'!$D$152:$D$513,255),0))="","",INDEX('Disaggregation Records'!$H$152:$H$513,MATCH(RIGHT(L1635,255),RIGHT('Disaggregation Records'!$D$152:$D$513,255),0))),"")</f>
        <v/>
      </c>
      <c r="Q1635" s="52">
        <f t="shared" ref="Q1635" si="1834">Q1633+1</f>
        <v>2002</v>
      </c>
    </row>
    <row r="1636" spans="1:17" ht="20.100000000000001" customHeight="1" x14ac:dyDescent="0.25">
      <c r="B1636" s="602"/>
      <c r="C1636" s="604"/>
      <c r="D1636" s="606"/>
      <c r="E1636" s="606"/>
      <c r="F1636" s="132"/>
      <c r="G1636" s="608"/>
      <c r="H1636" s="598"/>
      <c r="I1636" s="600"/>
      <c r="J1636" s="532"/>
      <c r="L1636" s="130"/>
      <c r="N1636" s="130"/>
      <c r="O1636" s="130"/>
    </row>
    <row r="1637" spans="1:17" ht="20.100000000000001" customHeight="1" x14ac:dyDescent="0.25">
      <c r="A1637" s="130" t="str">
        <f t="shared" ca="1" si="1781"/>
        <v>a16Dm000000LZhiIAG</v>
      </c>
      <c r="B1637" s="601">
        <v>26</v>
      </c>
      <c r="C1637" s="603" t="str">
        <f>IFERROR(VLOOKUP(B1637,'Coverage Indicators - Section D'!$A$9:$AO$70,41,FALSE),"")</f>
        <v/>
      </c>
      <c r="D1637" s="605" t="str">
        <f>M1637</f>
        <v/>
      </c>
      <c r="E1637" s="605" t="str">
        <f>N1637</f>
        <v/>
      </c>
      <c r="F1637" s="131"/>
      <c r="G1637" s="607" t="str">
        <f ca="1">IF(OR(INDIRECT("'update Helper'!E"&amp;Q1637)="",F1637&lt;&gt;0,F1638&lt;&gt;0),IF(IFERROR((F1637/F1638),"")="","",(F1637/F1638)),INDIRECT("'update Helper'!E"&amp;Q1637)/100)</f>
        <v/>
      </c>
      <c r="H1637" s="597"/>
      <c r="I1637" s="599"/>
      <c r="J1637" s="531"/>
      <c r="K1637" s="130">
        <f>IF(AND(EXACT(C1637,C1635),C1635&lt;&gt;0),K1635+1,0)</f>
        <v>28</v>
      </c>
      <c r="L1637" s="130" t="str">
        <f t="shared" ref="L1637" si="1835">IF(C1637&lt;&gt;"",C1637&amp;"-"&amp;K1637,"")</f>
        <v/>
      </c>
      <c r="M1637" s="130" t="str">
        <f t="array" ref="M1637">IFERROR(IF(INDEX('Disaggregation Records'!$E$152:$E$513,MATCH(RIGHT(L1637,255),RIGHT('Disaggregation Records'!$D$152:$D$513,255),0))="","",INDEX('Disaggregation Records'!$E$152:$E$513,MATCH(RIGHT(L1637,255),RIGHT('Disaggregation Records'!$D$152:$D$513,255),0))),"")</f>
        <v/>
      </c>
      <c r="N1637" s="130" t="str">
        <f t="array" ref="N1637">IFERROR(IF(INDEX('Disaggregation Records'!$F$152:$F$513,MATCH(RIGHT(L1637,255),RIGHT('Disaggregation Records'!$D$152:$D$513,255),0))="","",INDEX('Disaggregation Records'!$F$152:$F$513,MATCH(RIGHT(L1637,255),RIGHT('Disaggregation Records'!$D$152:$D$513,255),0))),"")</f>
        <v/>
      </c>
      <c r="O1637" s="130" t="str">
        <f t="array" ref="O1637">IFERROR(IF(INDEX('Disaggregation Records'!$H$152:$H$513,MATCH(RIGHT(L1637,255),RIGHT('Disaggregation Records'!$D$152:$D$513,255),0))="","",INDEX('Disaggregation Records'!$H$152:$H$513,MATCH(RIGHT(L1637,255),RIGHT('Disaggregation Records'!$D$152:$D$513,255),0))),"")</f>
        <v/>
      </c>
      <c r="Q1637" s="52">
        <f t="shared" ref="Q1637" si="1836">Q1635+1</f>
        <v>2003</v>
      </c>
    </row>
    <row r="1638" spans="1:17" ht="20.100000000000001" customHeight="1" x14ac:dyDescent="0.25">
      <c r="A1638" s="130"/>
      <c r="B1638" s="602"/>
      <c r="C1638" s="604"/>
      <c r="D1638" s="606"/>
      <c r="E1638" s="606"/>
      <c r="F1638" s="132"/>
      <c r="G1638" s="608"/>
      <c r="H1638" s="598"/>
      <c r="I1638" s="600"/>
      <c r="J1638" s="532"/>
      <c r="L1638" s="130"/>
      <c r="N1638" s="130"/>
      <c r="O1638" s="130"/>
    </row>
    <row r="1639" spans="1:17" ht="20.100000000000001" customHeight="1" x14ac:dyDescent="0.25">
      <c r="A1639" s="130" t="str">
        <f t="shared" ca="1" si="1784"/>
        <v>a16Dm000000LZhjIAG</v>
      </c>
      <c r="B1639" s="601">
        <v>26</v>
      </c>
      <c r="C1639" s="603" t="str">
        <f>IFERROR(VLOOKUP(B1639,'Coverage Indicators - Section D'!$A$9:$AO$70,41,FALSE),"")</f>
        <v/>
      </c>
      <c r="D1639" s="605" t="str">
        <f>M1639</f>
        <v/>
      </c>
      <c r="E1639" s="605" t="str">
        <f>N1639</f>
        <v/>
      </c>
      <c r="F1639" s="131"/>
      <c r="G1639" s="607" t="str">
        <f ca="1">IF(OR(INDIRECT("'update Helper'!E"&amp;Q1639)="",F1639&lt;&gt;0,F1640&lt;&gt;0),IF(IFERROR((F1639/F1640),"")="","",(F1639/F1640)),INDIRECT("'update Helper'!E"&amp;Q1639)/100)</f>
        <v/>
      </c>
      <c r="H1639" s="597"/>
      <c r="I1639" s="599"/>
      <c r="J1639" s="531"/>
      <c r="K1639" s="130">
        <f>IF(AND(EXACT(C1639,C1637),C1637&lt;&gt;0),K1637+1,0)</f>
        <v>29</v>
      </c>
      <c r="L1639" s="130" t="str">
        <f t="shared" ref="L1639" si="1837">IF(C1639&lt;&gt;"",C1639&amp;"-"&amp;K1639,"")</f>
        <v/>
      </c>
      <c r="M1639" s="130" t="str">
        <f t="array" ref="M1639">IFERROR(IF(INDEX('Disaggregation Records'!$E$152:$E$513,MATCH(RIGHT(L1639,255),RIGHT('Disaggregation Records'!$D$152:$D$513,255),0))="","",INDEX('Disaggregation Records'!$E$152:$E$513,MATCH(RIGHT(L1639,255),RIGHT('Disaggregation Records'!$D$152:$D$513,255),0))),"")</f>
        <v/>
      </c>
      <c r="N1639" s="130" t="str">
        <f t="array" ref="N1639">IFERROR(IF(INDEX('Disaggregation Records'!$F$152:$F$513,MATCH(RIGHT(L1639,255),RIGHT('Disaggregation Records'!$D$152:$D$513,255),0))="","",INDEX('Disaggregation Records'!$F$152:$F$513,MATCH(RIGHT(L1639,255),RIGHT('Disaggregation Records'!$D$152:$D$513,255),0))),"")</f>
        <v/>
      </c>
      <c r="O1639" s="130" t="str">
        <f t="array" ref="O1639">IFERROR(IF(INDEX('Disaggregation Records'!$H$152:$H$513,MATCH(RIGHT(L1639,255),RIGHT('Disaggregation Records'!$D$152:$D$513,255),0))="","",INDEX('Disaggregation Records'!$H$152:$H$513,MATCH(RIGHT(L1639,255),RIGHT('Disaggregation Records'!$D$152:$D$513,255),0))),"")</f>
        <v/>
      </c>
      <c r="Q1639" s="52">
        <f t="shared" ref="Q1639" si="1838">Q1637+1</f>
        <v>2004</v>
      </c>
    </row>
    <row r="1640" spans="1:17" ht="20.100000000000001" customHeight="1" x14ac:dyDescent="0.25">
      <c r="B1640" s="602"/>
      <c r="C1640" s="604"/>
      <c r="D1640" s="606"/>
      <c r="E1640" s="606"/>
      <c r="F1640" s="132"/>
      <c r="G1640" s="608"/>
      <c r="H1640" s="598"/>
      <c r="I1640" s="600"/>
      <c r="J1640" s="532"/>
      <c r="L1640" s="130"/>
      <c r="N1640" s="130"/>
      <c r="O1640" s="130"/>
    </row>
    <row r="1641" spans="1:17" ht="20.100000000000001" customHeight="1" x14ac:dyDescent="0.25">
      <c r="A1641" s="130" t="str">
        <f t="shared" ca="1" si="1781"/>
        <v>a16Dm000000LZhkIAG</v>
      </c>
      <c r="B1641" s="601">
        <v>26</v>
      </c>
      <c r="C1641" s="603" t="str">
        <f>IFERROR(VLOOKUP(B1641,'Coverage Indicators - Section D'!$A$9:$AO$70,41,FALSE),"")</f>
        <v/>
      </c>
      <c r="D1641" s="605" t="str">
        <f>M1641</f>
        <v/>
      </c>
      <c r="E1641" s="605" t="str">
        <f>N1641</f>
        <v/>
      </c>
      <c r="F1641" s="131"/>
      <c r="G1641" s="607" t="str">
        <f ca="1">IF(OR(INDIRECT("'update Helper'!E"&amp;Q1641)="",F1641&lt;&gt;0,F1642&lt;&gt;0),IF(IFERROR((F1641/F1642),"")="","",(F1641/F1642)),INDIRECT("'update Helper'!E"&amp;Q1641)/100)</f>
        <v/>
      </c>
      <c r="H1641" s="597"/>
      <c r="I1641" s="599"/>
      <c r="J1641" s="531"/>
      <c r="K1641" s="130">
        <f>IF(AND(EXACT(C1641,C1639),C1639&lt;&gt;0),K1639+1,0)</f>
        <v>30</v>
      </c>
      <c r="L1641" s="130" t="str">
        <f t="shared" ref="L1641" si="1839">IF(C1641&lt;&gt;"",C1641&amp;"-"&amp;K1641,"")</f>
        <v/>
      </c>
      <c r="M1641" s="130" t="str">
        <f t="array" ref="M1641">IFERROR(IF(INDEX('Disaggregation Records'!$E$152:$E$513,MATCH(RIGHT(L1641,255),RIGHT('Disaggregation Records'!$D$152:$D$513,255),0))="","",INDEX('Disaggregation Records'!$E$152:$E$513,MATCH(RIGHT(L1641,255),RIGHT('Disaggregation Records'!$D$152:$D$513,255),0))),"")</f>
        <v/>
      </c>
      <c r="N1641" s="130" t="str">
        <f t="array" ref="N1641">IFERROR(IF(INDEX('Disaggregation Records'!$F$152:$F$513,MATCH(RIGHT(L1641,255),RIGHT('Disaggregation Records'!$D$152:$D$513,255),0))="","",INDEX('Disaggregation Records'!$F$152:$F$513,MATCH(RIGHT(L1641,255),RIGHT('Disaggregation Records'!$D$152:$D$513,255),0))),"")</f>
        <v/>
      </c>
      <c r="O1641" s="130" t="str">
        <f t="array" ref="O1641">IFERROR(IF(INDEX('Disaggregation Records'!$H$152:$H$513,MATCH(RIGHT(L1641,255),RIGHT('Disaggregation Records'!$D$152:$D$513,255),0))="","",INDEX('Disaggregation Records'!$H$152:$H$513,MATCH(RIGHT(L1641,255),RIGHT('Disaggregation Records'!$D$152:$D$513,255),0))),"")</f>
        <v/>
      </c>
      <c r="P1641" s="130"/>
      <c r="Q1641" s="52">
        <f t="shared" ref="Q1641" si="1840">Q1639+1</f>
        <v>2005</v>
      </c>
    </row>
    <row r="1642" spans="1:17" ht="20.100000000000001" customHeight="1" x14ac:dyDescent="0.25">
      <c r="A1642" s="130"/>
      <c r="B1642" s="602"/>
      <c r="C1642" s="604"/>
      <c r="D1642" s="606"/>
      <c r="E1642" s="606"/>
      <c r="F1642" s="132"/>
      <c r="G1642" s="608"/>
      <c r="H1642" s="598"/>
      <c r="I1642" s="600"/>
      <c r="J1642" s="532"/>
      <c r="K1642" s="130"/>
      <c r="L1642" s="130"/>
      <c r="M1642" s="130"/>
      <c r="N1642" s="130"/>
      <c r="O1642" s="130"/>
      <c r="P1642" s="130"/>
    </row>
    <row r="1643" spans="1:17" ht="20.100000000000001" customHeight="1" x14ac:dyDescent="0.25">
      <c r="A1643" s="130" t="str">
        <f t="shared" ca="1" si="1784"/>
        <v>a16Dm000000LZhlIAG</v>
      </c>
      <c r="B1643" s="601">
        <v>26</v>
      </c>
      <c r="C1643" s="603" t="str">
        <f>IFERROR(VLOOKUP(B1643,'Coverage Indicators - Section D'!$A$9:$AO$70,41,FALSE),"")</f>
        <v/>
      </c>
      <c r="D1643" s="605" t="str">
        <f>M1643</f>
        <v/>
      </c>
      <c r="E1643" s="605" t="str">
        <f>N1643</f>
        <v/>
      </c>
      <c r="F1643" s="131"/>
      <c r="G1643" s="607" t="str">
        <f ca="1">IF(OR(INDIRECT("'update Helper'!E"&amp;Q1643)="",F1643&lt;&gt;0,F1644&lt;&gt;0),IF(IFERROR((F1643/F1644),"")="","",(F1643/F1644)),INDIRECT("'update Helper'!E"&amp;Q1643)/100)</f>
        <v/>
      </c>
      <c r="H1643" s="597"/>
      <c r="I1643" s="599"/>
      <c r="J1643" s="531"/>
      <c r="K1643" s="130">
        <f>IF(AND(EXACT(C1643,C1641),C1641&lt;&gt;0),K1641+1,0)</f>
        <v>31</v>
      </c>
      <c r="L1643" s="130" t="str">
        <f t="shared" ref="L1643" si="1841">IF(C1643&lt;&gt;"",C1643&amp;"-"&amp;K1643,"")</f>
        <v/>
      </c>
      <c r="M1643" s="130" t="str">
        <f t="array" ref="M1643">IFERROR(IF(INDEX('Disaggregation Records'!$E$152:$E$513,MATCH(RIGHT(L1643,255),RIGHT('Disaggregation Records'!$D$152:$D$513,255),0))="","",INDEX('Disaggregation Records'!$E$152:$E$513,MATCH(RIGHT(L1643,255),RIGHT('Disaggregation Records'!$D$152:$D$513,255),0))),"")</f>
        <v/>
      </c>
      <c r="N1643" s="130" t="str">
        <f t="array" ref="N1643">IFERROR(IF(INDEX('Disaggregation Records'!$F$152:$F$513,MATCH(RIGHT(L1643,255),RIGHT('Disaggregation Records'!$D$152:$D$513,255),0))="","",INDEX('Disaggregation Records'!$F$152:$F$513,MATCH(RIGHT(L1643,255),RIGHT('Disaggregation Records'!$D$152:$D$513,255),0))),"")</f>
        <v/>
      </c>
      <c r="O1643" s="130" t="str">
        <f t="array" ref="O1643">IFERROR(IF(INDEX('Disaggregation Records'!$H$152:$H$513,MATCH(RIGHT(L1643,255),RIGHT('Disaggregation Records'!$D$152:$D$513,255),0))="","",INDEX('Disaggregation Records'!$H$152:$H$513,MATCH(RIGHT(L1643,255),RIGHT('Disaggregation Records'!$D$152:$D$513,255),0))),"")</f>
        <v/>
      </c>
      <c r="P1643" s="130"/>
      <c r="Q1643" s="52">
        <f t="shared" ref="Q1643" si="1842">Q1641+1</f>
        <v>2006</v>
      </c>
    </row>
    <row r="1644" spans="1:17" ht="20.100000000000001" customHeight="1" x14ac:dyDescent="0.25">
      <c r="B1644" s="602"/>
      <c r="C1644" s="604"/>
      <c r="D1644" s="606"/>
      <c r="E1644" s="606"/>
      <c r="F1644" s="132"/>
      <c r="G1644" s="608"/>
      <c r="H1644" s="598"/>
      <c r="I1644" s="600"/>
      <c r="J1644" s="532"/>
      <c r="K1644" s="130"/>
      <c r="L1644" s="130"/>
      <c r="M1644" s="130"/>
      <c r="N1644" s="130"/>
      <c r="O1644" s="130"/>
      <c r="P1644" s="130"/>
    </row>
    <row r="1645" spans="1:17" ht="20.100000000000001" customHeight="1" x14ac:dyDescent="0.25">
      <c r="A1645" s="130" t="str">
        <f t="shared" ca="1" si="1781"/>
        <v>a16Dm000000LZhmIAG</v>
      </c>
      <c r="B1645" s="601">
        <v>26</v>
      </c>
      <c r="C1645" s="603" t="str">
        <f>IFERROR(VLOOKUP(B1645,'Coverage Indicators - Section D'!$A$9:$AO$70,41,FALSE),"")</f>
        <v/>
      </c>
      <c r="D1645" s="605" t="str">
        <f>M1645</f>
        <v/>
      </c>
      <c r="E1645" s="605" t="str">
        <f>N1645</f>
        <v/>
      </c>
      <c r="F1645" s="131"/>
      <c r="G1645" s="607" t="str">
        <f ca="1">IF(OR(INDIRECT("'update Helper'!E"&amp;Q1645)="",F1645&lt;&gt;0,F1646&lt;&gt;0),IF(IFERROR((F1645/F1646),"")="","",(F1645/F1646)),INDIRECT("'update Helper'!E"&amp;Q1645)/100)</f>
        <v/>
      </c>
      <c r="H1645" s="597"/>
      <c r="I1645" s="599"/>
      <c r="J1645" s="531"/>
      <c r="K1645" s="130">
        <f>IF(AND(EXACT(C1645,C1643),C1643&lt;&gt;0),K1643+1,0)</f>
        <v>32</v>
      </c>
      <c r="L1645" s="130" t="str">
        <f t="shared" ref="L1645" si="1843">IF(C1645&lt;&gt;"",C1645&amp;"-"&amp;K1645,"")</f>
        <v/>
      </c>
      <c r="M1645" s="130" t="str">
        <f t="array" ref="M1645">IFERROR(IF(INDEX('Disaggregation Records'!$E$152:$E$513,MATCH(RIGHT(L1645,255),RIGHT('Disaggregation Records'!$D$152:$D$513,255),0))="","",INDEX('Disaggregation Records'!$E$152:$E$513,MATCH(RIGHT(L1645,255),RIGHT('Disaggregation Records'!$D$152:$D$513,255),0))),"")</f>
        <v/>
      </c>
      <c r="N1645" s="130" t="str">
        <f t="array" ref="N1645">IFERROR(IF(INDEX('Disaggregation Records'!$F$152:$F$513,MATCH(RIGHT(L1645,255),RIGHT('Disaggregation Records'!$D$152:$D$513,255),0))="","",INDEX('Disaggregation Records'!$F$152:$F$513,MATCH(RIGHT(L1645,255),RIGHT('Disaggregation Records'!$D$152:$D$513,255),0))),"")</f>
        <v/>
      </c>
      <c r="O1645" s="130" t="str">
        <f t="array" ref="O1645">IFERROR(IF(INDEX('Disaggregation Records'!$H$152:$H$513,MATCH(RIGHT(L1645,255),RIGHT('Disaggregation Records'!$D$152:$D$513,255),0))="","",INDEX('Disaggregation Records'!$H$152:$H$513,MATCH(RIGHT(L1645,255),RIGHT('Disaggregation Records'!$D$152:$D$513,255),0))),"")</f>
        <v/>
      </c>
      <c r="Q1645" s="52">
        <f t="shared" ref="Q1645" si="1844">Q1643+1</f>
        <v>2007</v>
      </c>
    </row>
    <row r="1646" spans="1:17" ht="20.100000000000001" customHeight="1" x14ac:dyDescent="0.25">
      <c r="A1646" s="130"/>
      <c r="B1646" s="602"/>
      <c r="C1646" s="604"/>
      <c r="D1646" s="606"/>
      <c r="E1646" s="606"/>
      <c r="F1646" s="132"/>
      <c r="G1646" s="608"/>
      <c r="H1646" s="598"/>
      <c r="I1646" s="600"/>
      <c r="J1646" s="532"/>
      <c r="L1646" s="130"/>
      <c r="N1646" s="130"/>
      <c r="O1646" s="130"/>
    </row>
    <row r="1647" spans="1:17" ht="20.100000000000001" customHeight="1" x14ac:dyDescent="0.25">
      <c r="A1647" s="130" t="str">
        <f t="shared" ca="1" si="1784"/>
        <v>a16Dm000000LZhnIAG</v>
      </c>
      <c r="B1647" s="601">
        <v>26</v>
      </c>
      <c r="C1647" s="603" t="str">
        <f>IFERROR(VLOOKUP(B1647,'Coverage Indicators - Section D'!$A$9:$AO$70,41,FALSE),"")</f>
        <v/>
      </c>
      <c r="D1647" s="605" t="str">
        <f>M1647</f>
        <v/>
      </c>
      <c r="E1647" s="605" t="str">
        <f>N1647</f>
        <v/>
      </c>
      <c r="F1647" s="131"/>
      <c r="G1647" s="607" t="str">
        <f ca="1">IF(OR(INDIRECT("'update Helper'!E"&amp;Q1647)="",F1647&lt;&gt;0,F1648&lt;&gt;0),IF(IFERROR((F1647/F1648),"")="","",(F1647/F1648)),INDIRECT("'update Helper'!E"&amp;Q1647)/100)</f>
        <v/>
      </c>
      <c r="H1647" s="597"/>
      <c r="I1647" s="599"/>
      <c r="J1647" s="531"/>
      <c r="K1647" s="130">
        <f>IF(AND(EXACT(C1647,C1645),C1645&lt;&gt;0),K1645+1,0)</f>
        <v>33</v>
      </c>
      <c r="L1647" s="130" t="str">
        <f t="shared" ref="L1647" si="1845">IF(C1647&lt;&gt;"",C1647&amp;"-"&amp;K1647,"")</f>
        <v/>
      </c>
      <c r="M1647" s="130" t="str">
        <f t="array" ref="M1647">IFERROR(IF(INDEX('Disaggregation Records'!$E$152:$E$513,MATCH(RIGHT(L1647,255),RIGHT('Disaggregation Records'!$D$152:$D$513,255),0))="","",INDEX('Disaggregation Records'!$E$152:$E$513,MATCH(RIGHT(L1647,255),RIGHT('Disaggregation Records'!$D$152:$D$513,255),0))),"")</f>
        <v/>
      </c>
      <c r="N1647" s="130" t="str">
        <f t="array" ref="N1647">IFERROR(IF(INDEX('Disaggregation Records'!$F$152:$F$513,MATCH(RIGHT(L1647,255),RIGHT('Disaggregation Records'!$D$152:$D$513,255),0))="","",INDEX('Disaggregation Records'!$F$152:$F$513,MATCH(RIGHT(L1647,255),RIGHT('Disaggregation Records'!$D$152:$D$513,255),0))),"")</f>
        <v/>
      </c>
      <c r="O1647" s="130" t="str">
        <f t="array" ref="O1647">IFERROR(IF(INDEX('Disaggregation Records'!$H$152:$H$513,MATCH(RIGHT(L1647,255),RIGHT('Disaggregation Records'!$D$152:$D$513,255),0))="","",INDEX('Disaggregation Records'!$H$152:$H$513,MATCH(RIGHT(L1647,255),RIGHT('Disaggregation Records'!$D$152:$D$513,255),0))),"")</f>
        <v/>
      </c>
      <c r="Q1647" s="52">
        <f t="shared" ref="Q1647" si="1846">Q1645+1</f>
        <v>2008</v>
      </c>
    </row>
    <row r="1648" spans="1:17" ht="20.100000000000001" customHeight="1" x14ac:dyDescent="0.25">
      <c r="B1648" s="602"/>
      <c r="C1648" s="604"/>
      <c r="D1648" s="606"/>
      <c r="E1648" s="606"/>
      <c r="F1648" s="132"/>
      <c r="G1648" s="608"/>
      <c r="H1648" s="598"/>
      <c r="I1648" s="600"/>
      <c r="J1648" s="532"/>
      <c r="L1648" s="130"/>
      <c r="N1648" s="130"/>
      <c r="O1648" s="130"/>
    </row>
    <row r="1649" spans="1:17" ht="20.100000000000001" customHeight="1" x14ac:dyDescent="0.25">
      <c r="A1649" s="130" t="str">
        <f t="shared" ref="A1649:A1709" ca="1" si="1847">INDIRECT("'update Helper'!C"&amp;Q1649)</f>
        <v>a16Dm000000LZhoIAG</v>
      </c>
      <c r="B1649" s="601">
        <v>26</v>
      </c>
      <c r="C1649" s="603" t="str">
        <f>IFERROR(VLOOKUP(B1649,'Coverage Indicators - Section D'!$A$9:$AO$70,41,FALSE),"")</f>
        <v/>
      </c>
      <c r="D1649" s="605" t="str">
        <f>M1649</f>
        <v/>
      </c>
      <c r="E1649" s="605" t="str">
        <f>N1649</f>
        <v/>
      </c>
      <c r="F1649" s="131"/>
      <c r="G1649" s="607" t="str">
        <f ca="1">IF(OR(INDIRECT("'update Helper'!E"&amp;Q1649)="",F1649&lt;&gt;0,F1650&lt;&gt;0),IF(IFERROR((F1649/F1650),"")="","",(F1649/F1650)),INDIRECT("'update Helper'!E"&amp;Q1649)/100)</f>
        <v/>
      </c>
      <c r="H1649" s="597"/>
      <c r="I1649" s="599"/>
      <c r="J1649" s="531"/>
      <c r="K1649" s="130">
        <f>IF(AND(EXACT(C1649,C1647),C1647&lt;&gt;0),K1647+1,0)</f>
        <v>34</v>
      </c>
      <c r="L1649" s="130" t="str">
        <f t="shared" ref="L1649" si="1848">IF(C1649&lt;&gt;"",C1649&amp;"-"&amp;K1649,"")</f>
        <v/>
      </c>
      <c r="M1649" s="130" t="str">
        <f t="array" ref="M1649">IFERROR(IF(INDEX('Disaggregation Records'!$E$152:$E$513,MATCH(RIGHT(L1649,255),RIGHT('Disaggregation Records'!$D$152:$D$513,255),0))="","",INDEX('Disaggregation Records'!$E$152:$E$513,MATCH(RIGHT(L1649,255),RIGHT('Disaggregation Records'!$D$152:$D$513,255),0))),"")</f>
        <v/>
      </c>
      <c r="N1649" s="130" t="str">
        <f t="array" ref="N1649">IFERROR(IF(INDEX('Disaggregation Records'!$F$152:$F$513,MATCH(RIGHT(L1649,255),RIGHT('Disaggregation Records'!$D$152:$D$513,255),0))="","",INDEX('Disaggregation Records'!$F$152:$F$513,MATCH(RIGHT(L1649,255),RIGHT('Disaggregation Records'!$D$152:$D$513,255),0))),"")</f>
        <v/>
      </c>
      <c r="O1649" s="130" t="str">
        <f t="array" ref="O1649">IFERROR(IF(INDEX('Disaggregation Records'!$H$152:$H$513,MATCH(RIGHT(L1649,255),RIGHT('Disaggregation Records'!$D$152:$D$513,255),0))="","",INDEX('Disaggregation Records'!$H$152:$H$513,MATCH(RIGHT(L1649,255),RIGHT('Disaggregation Records'!$D$152:$D$513,255),0))),"")</f>
        <v/>
      </c>
      <c r="Q1649" s="52">
        <f t="shared" ref="Q1649" si="1849">Q1647+1</f>
        <v>2009</v>
      </c>
    </row>
    <row r="1650" spans="1:17" ht="20.100000000000001" customHeight="1" x14ac:dyDescent="0.25">
      <c r="A1650" s="130"/>
      <c r="B1650" s="602"/>
      <c r="C1650" s="604"/>
      <c r="D1650" s="606"/>
      <c r="E1650" s="606"/>
      <c r="F1650" s="132"/>
      <c r="G1650" s="608"/>
      <c r="H1650" s="598"/>
      <c r="I1650" s="600"/>
      <c r="J1650" s="532"/>
      <c r="L1650" s="130"/>
      <c r="N1650" s="130"/>
      <c r="O1650" s="130"/>
    </row>
    <row r="1651" spans="1:17" ht="20.100000000000001" customHeight="1" x14ac:dyDescent="0.25">
      <c r="A1651" s="130" t="str">
        <f t="shared" ref="A1651:A1711" ca="1" si="1850">INDIRECT("'update Helper'!C"&amp;Q1651)</f>
        <v>a16Dm000000LZhpIAG</v>
      </c>
      <c r="B1651" s="601">
        <v>26</v>
      </c>
      <c r="C1651" s="603" t="str">
        <f>IFERROR(VLOOKUP(B1651,'Coverage Indicators - Section D'!$A$9:$AO$70,41,FALSE),"")</f>
        <v/>
      </c>
      <c r="D1651" s="605" t="str">
        <f>M1651</f>
        <v/>
      </c>
      <c r="E1651" s="605" t="str">
        <f>N1651</f>
        <v/>
      </c>
      <c r="F1651" s="131"/>
      <c r="G1651" s="607" t="str">
        <f ca="1">IF(OR(INDIRECT("'update Helper'!E"&amp;Q1651)="",F1651&lt;&gt;0,F1652&lt;&gt;0),IF(IFERROR((F1651/F1652),"")="","",(F1651/F1652)),INDIRECT("'update Helper'!E"&amp;Q1651)/100)</f>
        <v/>
      </c>
      <c r="H1651" s="597"/>
      <c r="I1651" s="599"/>
      <c r="J1651" s="531"/>
      <c r="K1651" s="130">
        <f>IF(AND(EXACT(C1651,C1649),C1649&lt;&gt;0),K1649+1,0)</f>
        <v>35</v>
      </c>
      <c r="L1651" s="130" t="str">
        <f t="shared" ref="L1651" si="1851">IF(C1651&lt;&gt;"",C1651&amp;"-"&amp;K1651,"")</f>
        <v/>
      </c>
      <c r="M1651" s="130" t="str">
        <f t="array" ref="M1651">IFERROR(IF(INDEX('Disaggregation Records'!$E$152:$E$513,MATCH(RIGHT(L1651,255),RIGHT('Disaggregation Records'!$D$152:$D$513,255),0))="","",INDEX('Disaggregation Records'!$E$152:$E$513,MATCH(RIGHT(L1651,255),RIGHT('Disaggregation Records'!$D$152:$D$513,255),0))),"")</f>
        <v/>
      </c>
      <c r="N1651" s="130" t="str">
        <f t="array" ref="N1651">IFERROR(IF(INDEX('Disaggregation Records'!$F$152:$F$513,MATCH(RIGHT(L1651,255),RIGHT('Disaggregation Records'!$D$152:$D$513,255),0))="","",INDEX('Disaggregation Records'!$F$152:$F$513,MATCH(RIGHT(L1651,255),RIGHT('Disaggregation Records'!$D$152:$D$513,255),0))),"")</f>
        <v/>
      </c>
      <c r="O1651" s="130" t="str">
        <f t="array" ref="O1651">IFERROR(IF(INDEX('Disaggregation Records'!$H$152:$H$513,MATCH(RIGHT(L1651,255),RIGHT('Disaggregation Records'!$D$152:$D$513,255),0))="","",INDEX('Disaggregation Records'!$H$152:$H$513,MATCH(RIGHT(L1651,255),RIGHT('Disaggregation Records'!$D$152:$D$513,255),0))),"")</f>
        <v/>
      </c>
      <c r="P1651" s="130"/>
      <c r="Q1651" s="52">
        <f t="shared" ref="Q1651" si="1852">Q1649+1</f>
        <v>2010</v>
      </c>
    </row>
    <row r="1652" spans="1:17" ht="20.100000000000001" customHeight="1" x14ac:dyDescent="0.25">
      <c r="B1652" s="602"/>
      <c r="C1652" s="604"/>
      <c r="D1652" s="606"/>
      <c r="E1652" s="606"/>
      <c r="F1652" s="132"/>
      <c r="G1652" s="608"/>
      <c r="H1652" s="598"/>
      <c r="I1652" s="600"/>
      <c r="J1652" s="532"/>
      <c r="K1652" s="130"/>
      <c r="L1652" s="130"/>
      <c r="M1652" s="130"/>
      <c r="N1652" s="130"/>
      <c r="O1652" s="130"/>
      <c r="P1652" s="130"/>
    </row>
    <row r="1653" spans="1:17" ht="20.100000000000001" customHeight="1" x14ac:dyDescent="0.25">
      <c r="A1653" s="130" t="str">
        <f t="shared" ca="1" si="1847"/>
        <v>a16Dm000000LZhqIAG</v>
      </c>
      <c r="B1653" s="601">
        <v>26</v>
      </c>
      <c r="C1653" s="603" t="str">
        <f>IFERROR(VLOOKUP(B1653,'Coverage Indicators - Section D'!$A$9:$AO$70,41,FALSE),"")</f>
        <v/>
      </c>
      <c r="D1653" s="605" t="str">
        <f>M1653</f>
        <v/>
      </c>
      <c r="E1653" s="605" t="str">
        <f>N1653</f>
        <v/>
      </c>
      <c r="F1653" s="131"/>
      <c r="G1653" s="607" t="str">
        <f ca="1">IF(OR(INDIRECT("'update Helper'!E"&amp;Q1653)="",F1653&lt;&gt;0,F1654&lt;&gt;0),IF(IFERROR((F1653/F1654),"")="","",(F1653/F1654)),INDIRECT("'update Helper'!E"&amp;Q1653)/100)</f>
        <v/>
      </c>
      <c r="H1653" s="597"/>
      <c r="I1653" s="599"/>
      <c r="J1653" s="531"/>
      <c r="K1653" s="130">
        <f>IF(AND(EXACT(C1653,C1651),C1651&lt;&gt;0),K1651+1,0)</f>
        <v>36</v>
      </c>
      <c r="L1653" s="130" t="str">
        <f t="shared" ref="L1653" si="1853">IF(C1653&lt;&gt;"",C1653&amp;"-"&amp;K1653,"")</f>
        <v/>
      </c>
      <c r="M1653" s="130" t="str">
        <f t="array" ref="M1653">IFERROR(IF(INDEX('Disaggregation Records'!$E$152:$E$513,MATCH(RIGHT(L1653,255),RIGHT('Disaggregation Records'!$D$152:$D$513,255),0))="","",INDEX('Disaggregation Records'!$E$152:$E$513,MATCH(RIGHT(L1653,255),RIGHT('Disaggregation Records'!$D$152:$D$513,255),0))),"")</f>
        <v/>
      </c>
      <c r="N1653" s="130" t="str">
        <f t="array" ref="N1653">IFERROR(IF(INDEX('Disaggregation Records'!$F$152:$F$513,MATCH(RIGHT(L1653,255),RIGHT('Disaggregation Records'!$D$152:$D$513,255),0))="","",INDEX('Disaggregation Records'!$F$152:$F$513,MATCH(RIGHT(L1653,255),RIGHT('Disaggregation Records'!$D$152:$D$513,255),0))),"")</f>
        <v/>
      </c>
      <c r="O1653" s="130" t="str">
        <f t="array" ref="O1653">IFERROR(IF(INDEX('Disaggregation Records'!$H$152:$H$513,MATCH(RIGHT(L1653,255),RIGHT('Disaggregation Records'!$D$152:$D$513,255),0))="","",INDEX('Disaggregation Records'!$H$152:$H$513,MATCH(RIGHT(L1653,255),RIGHT('Disaggregation Records'!$D$152:$D$513,255),0))),"")</f>
        <v/>
      </c>
      <c r="P1653" s="130"/>
      <c r="Q1653" s="52">
        <f t="shared" ref="Q1653" si="1854">Q1651+1</f>
        <v>2011</v>
      </c>
    </row>
    <row r="1654" spans="1:17" ht="20.100000000000001" customHeight="1" x14ac:dyDescent="0.25">
      <c r="A1654" s="130"/>
      <c r="B1654" s="602"/>
      <c r="C1654" s="604"/>
      <c r="D1654" s="606"/>
      <c r="E1654" s="606"/>
      <c r="F1654" s="132"/>
      <c r="G1654" s="608"/>
      <c r="H1654" s="598"/>
      <c r="I1654" s="600"/>
      <c r="J1654" s="532"/>
      <c r="K1654" s="130"/>
      <c r="L1654" s="130"/>
      <c r="M1654" s="130"/>
      <c r="N1654" s="130"/>
      <c r="O1654" s="130"/>
      <c r="P1654" s="130"/>
    </row>
    <row r="1655" spans="1:17" ht="20.100000000000001" customHeight="1" x14ac:dyDescent="0.25">
      <c r="A1655" s="130" t="str">
        <f t="shared" ca="1" si="1850"/>
        <v>a16Dm000000LZhrIAG</v>
      </c>
      <c r="B1655" s="601">
        <v>26</v>
      </c>
      <c r="C1655" s="603" t="str">
        <f>IFERROR(VLOOKUP(B1655,'Coverage Indicators - Section D'!$A$9:$AO$70,41,FALSE),"")</f>
        <v/>
      </c>
      <c r="D1655" s="605" t="str">
        <f>M1655</f>
        <v/>
      </c>
      <c r="E1655" s="605" t="str">
        <f>N1655</f>
        <v/>
      </c>
      <c r="F1655" s="131"/>
      <c r="G1655" s="607" t="str">
        <f ca="1">IF(OR(INDIRECT("'update Helper'!E"&amp;Q1655)="",F1655&lt;&gt;0,F1656&lt;&gt;0),IF(IFERROR((F1655/F1656),"")="","",(F1655/F1656)),INDIRECT("'update Helper'!E"&amp;Q1655)/100)</f>
        <v/>
      </c>
      <c r="H1655" s="597"/>
      <c r="I1655" s="599"/>
      <c r="J1655" s="531"/>
      <c r="K1655" s="130">
        <f>IF(AND(EXACT(C1655,C1653),C1653&lt;&gt;0),K1653+1,0)</f>
        <v>37</v>
      </c>
      <c r="L1655" s="130" t="str">
        <f t="shared" ref="L1655" si="1855">IF(C1655&lt;&gt;"",C1655&amp;"-"&amp;K1655,"")</f>
        <v/>
      </c>
      <c r="M1655" s="130" t="str">
        <f t="array" ref="M1655">IFERROR(IF(INDEX('Disaggregation Records'!$E$152:$E$513,MATCH(RIGHT(L1655,255),RIGHT('Disaggregation Records'!$D$152:$D$513,255),0))="","",INDEX('Disaggregation Records'!$E$152:$E$513,MATCH(RIGHT(L1655,255),RIGHT('Disaggregation Records'!$D$152:$D$513,255),0))),"")</f>
        <v/>
      </c>
      <c r="N1655" s="130" t="str">
        <f t="array" ref="N1655">IFERROR(IF(INDEX('Disaggregation Records'!$F$152:$F$513,MATCH(RIGHT(L1655,255),RIGHT('Disaggregation Records'!$D$152:$D$513,255),0))="","",INDEX('Disaggregation Records'!$F$152:$F$513,MATCH(RIGHT(L1655,255),RIGHT('Disaggregation Records'!$D$152:$D$513,255),0))),"")</f>
        <v/>
      </c>
      <c r="O1655" s="130" t="str">
        <f t="array" ref="O1655">IFERROR(IF(INDEX('Disaggregation Records'!$H$152:$H$513,MATCH(RIGHT(L1655,255),RIGHT('Disaggregation Records'!$D$152:$D$513,255),0))="","",INDEX('Disaggregation Records'!$H$152:$H$513,MATCH(RIGHT(L1655,255),RIGHT('Disaggregation Records'!$D$152:$D$513,255),0))),"")</f>
        <v/>
      </c>
      <c r="Q1655" s="52">
        <f t="shared" ref="Q1655" si="1856">Q1653+1</f>
        <v>2012</v>
      </c>
    </row>
    <row r="1656" spans="1:17" ht="20.100000000000001" customHeight="1" x14ac:dyDescent="0.25">
      <c r="B1656" s="602"/>
      <c r="C1656" s="604"/>
      <c r="D1656" s="606"/>
      <c r="E1656" s="606"/>
      <c r="F1656" s="132"/>
      <c r="G1656" s="608"/>
      <c r="H1656" s="598"/>
      <c r="I1656" s="600"/>
      <c r="J1656" s="532"/>
      <c r="L1656" s="130"/>
      <c r="N1656" s="130"/>
      <c r="O1656" s="130"/>
    </row>
    <row r="1657" spans="1:17" ht="20.100000000000001" customHeight="1" x14ac:dyDescent="0.25">
      <c r="A1657" s="130" t="str">
        <f t="shared" ca="1" si="1847"/>
        <v>a16Dm000000LZhsIAG</v>
      </c>
      <c r="B1657" s="601">
        <v>26</v>
      </c>
      <c r="C1657" s="603" t="str">
        <f>IFERROR(VLOOKUP(B1657,'Coverage Indicators - Section D'!$A$9:$AO$70,41,FALSE),"")</f>
        <v/>
      </c>
      <c r="D1657" s="605" t="str">
        <f>M1657</f>
        <v/>
      </c>
      <c r="E1657" s="605" t="str">
        <f>N1657</f>
        <v/>
      </c>
      <c r="F1657" s="131"/>
      <c r="G1657" s="607" t="str">
        <f ca="1">IF(OR(INDIRECT("'update Helper'!E"&amp;Q1657)="",F1657&lt;&gt;0,F1658&lt;&gt;0),IF(IFERROR((F1657/F1658),"")="","",(F1657/F1658)),INDIRECT("'update Helper'!E"&amp;Q1657)/100)</f>
        <v/>
      </c>
      <c r="H1657" s="597"/>
      <c r="I1657" s="599"/>
      <c r="J1657" s="531"/>
      <c r="K1657" s="130">
        <f>IF(AND(EXACT(C1657,C1655),C1655&lt;&gt;0),K1655+1,0)</f>
        <v>38</v>
      </c>
      <c r="L1657" s="130" t="str">
        <f t="shared" ref="L1657" si="1857">IF(C1657&lt;&gt;"",C1657&amp;"-"&amp;K1657,"")</f>
        <v/>
      </c>
      <c r="M1657" s="130" t="str">
        <f t="array" ref="M1657">IFERROR(IF(INDEX('Disaggregation Records'!$E$152:$E$513,MATCH(RIGHT(L1657,255),RIGHT('Disaggregation Records'!$D$152:$D$513,255),0))="","",INDEX('Disaggregation Records'!$E$152:$E$513,MATCH(RIGHT(L1657,255),RIGHT('Disaggregation Records'!$D$152:$D$513,255),0))),"")</f>
        <v/>
      </c>
      <c r="N1657" s="130" t="str">
        <f t="array" ref="N1657">IFERROR(IF(INDEX('Disaggregation Records'!$F$152:$F$513,MATCH(RIGHT(L1657,255),RIGHT('Disaggregation Records'!$D$152:$D$513,255),0))="","",INDEX('Disaggregation Records'!$F$152:$F$513,MATCH(RIGHT(L1657,255),RIGHT('Disaggregation Records'!$D$152:$D$513,255),0))),"")</f>
        <v/>
      </c>
      <c r="O1657" s="130" t="str">
        <f t="array" ref="O1657">IFERROR(IF(INDEX('Disaggregation Records'!$H$152:$H$513,MATCH(RIGHT(L1657,255),RIGHT('Disaggregation Records'!$D$152:$D$513,255),0))="","",INDEX('Disaggregation Records'!$H$152:$H$513,MATCH(RIGHT(L1657,255),RIGHT('Disaggregation Records'!$D$152:$D$513,255),0))),"")</f>
        <v/>
      </c>
      <c r="Q1657" s="52">
        <f t="shared" ref="Q1657" si="1858">Q1655+1</f>
        <v>2013</v>
      </c>
    </row>
    <row r="1658" spans="1:17" ht="20.100000000000001" customHeight="1" x14ac:dyDescent="0.25">
      <c r="A1658" s="130"/>
      <c r="B1658" s="602"/>
      <c r="C1658" s="604"/>
      <c r="D1658" s="606"/>
      <c r="E1658" s="606"/>
      <c r="F1658" s="132"/>
      <c r="G1658" s="608"/>
      <c r="H1658" s="598"/>
      <c r="I1658" s="600"/>
      <c r="J1658" s="532"/>
      <c r="L1658" s="130"/>
      <c r="N1658" s="130"/>
      <c r="O1658" s="130"/>
    </row>
    <row r="1659" spans="1:17" ht="20.100000000000001" customHeight="1" x14ac:dyDescent="0.25">
      <c r="A1659" s="130" t="str">
        <f t="shared" ca="1" si="1850"/>
        <v>a16Dm000000LZhtIAG</v>
      </c>
      <c r="B1659" s="601">
        <v>26</v>
      </c>
      <c r="C1659" s="603" t="str">
        <f>IFERROR(VLOOKUP(B1659,'Coverage Indicators - Section D'!$A$9:$AO$70,41,FALSE),"")</f>
        <v/>
      </c>
      <c r="D1659" s="605" t="str">
        <f>M1659</f>
        <v/>
      </c>
      <c r="E1659" s="605" t="str">
        <f>N1659</f>
        <v/>
      </c>
      <c r="F1659" s="131"/>
      <c r="G1659" s="607" t="str">
        <f ca="1">IF(OR(INDIRECT("'update Helper'!E"&amp;Q1659)="",F1659&lt;&gt;0,F1660&lt;&gt;0),IF(IFERROR((F1659/F1660),"")="","",(F1659/F1660)),INDIRECT("'update Helper'!E"&amp;Q1659)/100)</f>
        <v/>
      </c>
      <c r="H1659" s="597"/>
      <c r="I1659" s="599"/>
      <c r="J1659" s="531"/>
      <c r="K1659" s="130">
        <f>IF(AND(EXACT(C1659,C1657),C1657&lt;&gt;0),K1657+1,0)</f>
        <v>39</v>
      </c>
      <c r="L1659" s="130" t="str">
        <f t="shared" ref="L1659" si="1859">IF(C1659&lt;&gt;"",C1659&amp;"-"&amp;K1659,"")</f>
        <v/>
      </c>
      <c r="M1659" s="130" t="str">
        <f t="array" ref="M1659">IFERROR(IF(INDEX('Disaggregation Records'!$E$152:$E$513,MATCH(RIGHT(L1659,255),RIGHT('Disaggregation Records'!$D$152:$D$513,255),0))="","",INDEX('Disaggregation Records'!$E$152:$E$513,MATCH(RIGHT(L1659,255),RIGHT('Disaggregation Records'!$D$152:$D$513,255),0))),"")</f>
        <v/>
      </c>
      <c r="N1659" s="130" t="str">
        <f t="array" ref="N1659">IFERROR(IF(INDEX('Disaggregation Records'!$F$152:$F$513,MATCH(RIGHT(L1659,255),RIGHT('Disaggregation Records'!$D$152:$D$513,255),0))="","",INDEX('Disaggregation Records'!$F$152:$F$513,MATCH(RIGHT(L1659,255),RIGHT('Disaggregation Records'!$D$152:$D$513,255),0))),"")</f>
        <v/>
      </c>
      <c r="O1659" s="130" t="str">
        <f t="array" ref="O1659">IFERROR(IF(INDEX('Disaggregation Records'!$H$152:$H$513,MATCH(RIGHT(L1659,255),RIGHT('Disaggregation Records'!$D$152:$D$513,255),0))="","",INDEX('Disaggregation Records'!$H$152:$H$513,MATCH(RIGHT(L1659,255),RIGHT('Disaggregation Records'!$D$152:$D$513,255),0))),"")</f>
        <v/>
      </c>
      <c r="Q1659" s="52">
        <f t="shared" ref="Q1659" si="1860">Q1657+1</f>
        <v>2014</v>
      </c>
    </row>
    <row r="1660" spans="1:17" ht="20.100000000000001" customHeight="1" x14ac:dyDescent="0.25">
      <c r="B1660" s="602"/>
      <c r="C1660" s="604"/>
      <c r="D1660" s="606"/>
      <c r="E1660" s="606"/>
      <c r="F1660" s="132"/>
      <c r="G1660" s="608"/>
      <c r="H1660" s="598"/>
      <c r="I1660" s="600"/>
      <c r="J1660" s="532"/>
      <c r="L1660" s="130"/>
      <c r="N1660" s="130"/>
      <c r="O1660" s="130"/>
    </row>
    <row r="1661" spans="1:17" ht="20.100000000000001" customHeight="1" x14ac:dyDescent="0.25">
      <c r="A1661" s="130" t="str">
        <f t="shared" ca="1" si="1847"/>
        <v>a16Dm000000LZhuIAG</v>
      </c>
      <c r="B1661" s="601">
        <v>27</v>
      </c>
      <c r="C1661" s="603" t="str">
        <f>IFERROR(VLOOKUP(B1661,'Coverage Indicators - Section D'!$A$9:$AO$70,41,FALSE),"")</f>
        <v/>
      </c>
      <c r="D1661" s="605" t="str">
        <f>M1661</f>
        <v/>
      </c>
      <c r="E1661" s="605" t="str">
        <f>N1661</f>
        <v/>
      </c>
      <c r="F1661" s="131"/>
      <c r="G1661" s="607" t="str">
        <f ca="1">IF(OR(INDIRECT("'update Helper'!E"&amp;Q1661)="",F1661&lt;&gt;0,F1662&lt;&gt;0),IF(IFERROR((F1661/F1662),"")="","",(F1661/F1662)),INDIRECT("'update Helper'!E"&amp;Q1661)/100)</f>
        <v/>
      </c>
      <c r="H1661" s="597"/>
      <c r="I1661" s="599"/>
      <c r="J1661" s="531"/>
      <c r="K1661" s="130">
        <f>IF(AND(EXACT(C1661,C1659),C1659&lt;&gt;0),K1659+1,0)</f>
        <v>40</v>
      </c>
      <c r="L1661" s="130" t="str">
        <f t="shared" ref="L1661" si="1861">IF(C1661&lt;&gt;"",C1661&amp;"-"&amp;K1661,"")</f>
        <v/>
      </c>
      <c r="M1661" s="130" t="str">
        <f t="array" ref="M1661">IFERROR(IF(INDEX('Disaggregation Records'!$E$152:$E$513,MATCH(RIGHT(L1661,255),RIGHT('Disaggregation Records'!$D$152:$D$513,255),0))="","",INDEX('Disaggregation Records'!$E$152:$E$513,MATCH(RIGHT(L1661,255),RIGHT('Disaggregation Records'!$D$152:$D$513,255),0))),"")</f>
        <v/>
      </c>
      <c r="N1661" s="130" t="str">
        <f t="array" ref="N1661">IFERROR(IF(INDEX('Disaggregation Records'!$F$152:$F$513,MATCH(RIGHT(L1661,255),RIGHT('Disaggregation Records'!$D$152:$D$513,255),0))="","",INDEX('Disaggregation Records'!$F$152:$F$513,MATCH(RIGHT(L1661,255),RIGHT('Disaggregation Records'!$D$152:$D$513,255),0))),"")</f>
        <v/>
      </c>
      <c r="O1661" s="130" t="str">
        <f t="array" ref="O1661">IFERROR(IF(INDEX('Disaggregation Records'!$H$152:$H$513,MATCH(RIGHT(L1661,255),RIGHT('Disaggregation Records'!$D$152:$D$513,255),0))="","",INDEX('Disaggregation Records'!$H$152:$H$513,MATCH(RIGHT(L1661,255),RIGHT('Disaggregation Records'!$D$152:$D$513,255),0))),"")</f>
        <v/>
      </c>
      <c r="P1661" s="130"/>
      <c r="Q1661" s="52">
        <f t="shared" ref="Q1661" si="1862">Q1659+1</f>
        <v>2015</v>
      </c>
    </row>
    <row r="1662" spans="1:17" ht="20.100000000000001" customHeight="1" x14ac:dyDescent="0.25">
      <c r="A1662" s="130"/>
      <c r="B1662" s="602"/>
      <c r="C1662" s="604"/>
      <c r="D1662" s="606"/>
      <c r="E1662" s="606"/>
      <c r="F1662" s="132"/>
      <c r="G1662" s="608"/>
      <c r="H1662" s="598"/>
      <c r="I1662" s="600"/>
      <c r="J1662" s="532"/>
      <c r="K1662" s="130"/>
      <c r="L1662" s="130"/>
      <c r="M1662" s="130"/>
      <c r="N1662" s="130"/>
      <c r="O1662" s="130"/>
      <c r="P1662" s="130"/>
    </row>
    <row r="1663" spans="1:17" ht="20.100000000000001" customHeight="1" x14ac:dyDescent="0.25">
      <c r="A1663" s="130" t="str">
        <f t="shared" ca="1" si="1850"/>
        <v>a16Dm000000LZhvIAG</v>
      </c>
      <c r="B1663" s="601">
        <v>27</v>
      </c>
      <c r="C1663" s="603" t="str">
        <f>IFERROR(VLOOKUP(B1663,'Coverage Indicators - Section D'!$A$9:$AO$70,41,FALSE),"")</f>
        <v/>
      </c>
      <c r="D1663" s="605" t="str">
        <f>M1663</f>
        <v/>
      </c>
      <c r="E1663" s="605" t="str">
        <f>N1663</f>
        <v/>
      </c>
      <c r="F1663" s="131"/>
      <c r="G1663" s="607" t="str">
        <f ca="1">IF(OR(INDIRECT("'update Helper'!E"&amp;Q1663)="",F1663&lt;&gt;0,F1664&lt;&gt;0),IF(IFERROR((F1663/F1664),"")="","",(F1663/F1664)),INDIRECT("'update Helper'!E"&amp;Q1663)/100)</f>
        <v/>
      </c>
      <c r="H1663" s="597"/>
      <c r="I1663" s="599"/>
      <c r="J1663" s="531"/>
      <c r="K1663" s="130">
        <f>IF(AND(EXACT(C1663,C1661),C1661&lt;&gt;0),K1661+1,0)</f>
        <v>41</v>
      </c>
      <c r="L1663" s="130" t="str">
        <f t="shared" ref="L1663" si="1863">IF(C1663&lt;&gt;"",C1663&amp;"-"&amp;K1663,"")</f>
        <v/>
      </c>
      <c r="M1663" s="130" t="str">
        <f t="array" ref="M1663">IFERROR(IF(INDEX('Disaggregation Records'!$E$152:$E$513,MATCH(RIGHT(L1663,255),RIGHT('Disaggregation Records'!$D$152:$D$513,255),0))="","",INDEX('Disaggregation Records'!$E$152:$E$513,MATCH(RIGHT(L1663,255),RIGHT('Disaggregation Records'!$D$152:$D$513,255),0))),"")</f>
        <v/>
      </c>
      <c r="N1663" s="130" t="str">
        <f t="array" ref="N1663">IFERROR(IF(INDEX('Disaggregation Records'!$F$152:$F$513,MATCH(RIGHT(L1663,255),RIGHT('Disaggregation Records'!$D$152:$D$513,255),0))="","",INDEX('Disaggregation Records'!$F$152:$F$513,MATCH(RIGHT(L1663,255),RIGHT('Disaggregation Records'!$D$152:$D$513,255),0))),"")</f>
        <v/>
      </c>
      <c r="O1663" s="130" t="str">
        <f t="array" ref="O1663">IFERROR(IF(INDEX('Disaggregation Records'!$H$152:$H$513,MATCH(RIGHT(L1663,255),RIGHT('Disaggregation Records'!$D$152:$D$513,255),0))="","",INDEX('Disaggregation Records'!$H$152:$H$513,MATCH(RIGHT(L1663,255),RIGHT('Disaggregation Records'!$D$152:$D$513,255),0))),"")</f>
        <v/>
      </c>
      <c r="P1663" s="130"/>
      <c r="Q1663" s="52">
        <f t="shared" ref="Q1663" si="1864">Q1661+1</f>
        <v>2016</v>
      </c>
    </row>
    <row r="1664" spans="1:17" ht="20.100000000000001" customHeight="1" x14ac:dyDescent="0.25">
      <c r="B1664" s="602"/>
      <c r="C1664" s="604"/>
      <c r="D1664" s="606"/>
      <c r="E1664" s="606"/>
      <c r="F1664" s="132"/>
      <c r="G1664" s="608"/>
      <c r="H1664" s="598"/>
      <c r="I1664" s="600"/>
      <c r="J1664" s="532"/>
      <c r="K1664" s="130"/>
      <c r="L1664" s="130"/>
      <c r="M1664" s="130"/>
      <c r="N1664" s="130"/>
      <c r="O1664" s="130"/>
      <c r="P1664" s="130"/>
    </row>
    <row r="1665" spans="1:17" ht="20.100000000000001" customHeight="1" x14ac:dyDescent="0.25">
      <c r="A1665" s="130" t="str">
        <f t="shared" ca="1" si="1847"/>
        <v>a16Dm000000LZhwIAG</v>
      </c>
      <c r="B1665" s="601">
        <v>27</v>
      </c>
      <c r="C1665" s="603" t="str">
        <f>IFERROR(VLOOKUP(B1665,'Coverage Indicators - Section D'!$A$9:$AO$70,41,FALSE),"")</f>
        <v/>
      </c>
      <c r="D1665" s="605" t="str">
        <f>M1665</f>
        <v/>
      </c>
      <c r="E1665" s="605" t="str">
        <f>N1665</f>
        <v/>
      </c>
      <c r="F1665" s="131"/>
      <c r="G1665" s="607" t="str">
        <f ca="1">IF(OR(INDIRECT("'update Helper'!E"&amp;Q1665)="",F1665&lt;&gt;0,F1666&lt;&gt;0),IF(IFERROR((F1665/F1666),"")="","",(F1665/F1666)),INDIRECT("'update Helper'!E"&amp;Q1665)/100)</f>
        <v/>
      </c>
      <c r="H1665" s="597"/>
      <c r="I1665" s="599"/>
      <c r="J1665" s="531"/>
      <c r="K1665" s="130">
        <f>IF(AND(EXACT(C1665,C1663),C1663&lt;&gt;0),K1663+1,0)</f>
        <v>42</v>
      </c>
      <c r="L1665" s="130" t="str">
        <f t="shared" ref="L1665" si="1865">IF(C1665&lt;&gt;"",C1665&amp;"-"&amp;K1665,"")</f>
        <v/>
      </c>
      <c r="M1665" s="130" t="str">
        <f t="array" ref="M1665">IFERROR(IF(INDEX('Disaggregation Records'!$E$152:$E$513,MATCH(RIGHT(L1665,255),RIGHT('Disaggregation Records'!$D$152:$D$513,255),0))="","",INDEX('Disaggregation Records'!$E$152:$E$513,MATCH(RIGHT(L1665,255),RIGHT('Disaggregation Records'!$D$152:$D$513,255),0))),"")</f>
        <v/>
      </c>
      <c r="N1665" s="130" t="str">
        <f t="array" ref="N1665">IFERROR(IF(INDEX('Disaggregation Records'!$F$152:$F$513,MATCH(RIGHT(L1665,255),RIGHT('Disaggregation Records'!$D$152:$D$513,255),0))="","",INDEX('Disaggregation Records'!$F$152:$F$513,MATCH(RIGHT(L1665,255),RIGHT('Disaggregation Records'!$D$152:$D$513,255),0))),"")</f>
        <v/>
      </c>
      <c r="O1665" s="130" t="str">
        <f t="array" ref="O1665">IFERROR(IF(INDEX('Disaggregation Records'!$H$152:$H$513,MATCH(RIGHT(L1665,255),RIGHT('Disaggregation Records'!$D$152:$D$513,255),0))="","",INDEX('Disaggregation Records'!$H$152:$H$513,MATCH(RIGHT(L1665,255),RIGHT('Disaggregation Records'!$D$152:$D$513,255),0))),"")</f>
        <v/>
      </c>
      <c r="Q1665" s="52">
        <f t="shared" ref="Q1665" si="1866">Q1663+1</f>
        <v>2017</v>
      </c>
    </row>
    <row r="1666" spans="1:17" ht="20.100000000000001" customHeight="1" x14ac:dyDescent="0.25">
      <c r="A1666" s="130"/>
      <c r="B1666" s="602"/>
      <c r="C1666" s="604"/>
      <c r="D1666" s="606"/>
      <c r="E1666" s="606"/>
      <c r="F1666" s="132"/>
      <c r="G1666" s="608"/>
      <c r="H1666" s="598"/>
      <c r="I1666" s="600"/>
      <c r="J1666" s="532"/>
      <c r="L1666" s="130"/>
      <c r="N1666" s="130"/>
      <c r="O1666" s="130"/>
    </row>
    <row r="1667" spans="1:17" ht="20.100000000000001" customHeight="1" x14ac:dyDescent="0.25">
      <c r="A1667" s="130" t="str">
        <f t="shared" ca="1" si="1850"/>
        <v>a16Dm000000LZhxIAG</v>
      </c>
      <c r="B1667" s="601">
        <v>27</v>
      </c>
      <c r="C1667" s="603" t="str">
        <f>IFERROR(VLOOKUP(B1667,'Coverage Indicators - Section D'!$A$9:$AO$70,41,FALSE),"")</f>
        <v/>
      </c>
      <c r="D1667" s="605" t="str">
        <f>M1667</f>
        <v/>
      </c>
      <c r="E1667" s="605" t="str">
        <f>N1667</f>
        <v/>
      </c>
      <c r="F1667" s="131"/>
      <c r="G1667" s="607" t="str">
        <f ca="1">IF(OR(INDIRECT("'update Helper'!E"&amp;Q1667)="",F1667&lt;&gt;0,F1668&lt;&gt;0),IF(IFERROR((F1667/F1668),"")="","",(F1667/F1668)),INDIRECT("'update Helper'!E"&amp;Q1667)/100)</f>
        <v/>
      </c>
      <c r="H1667" s="597"/>
      <c r="I1667" s="599"/>
      <c r="J1667" s="531"/>
      <c r="K1667" s="130">
        <f>IF(AND(EXACT(C1667,C1665),C1665&lt;&gt;0),K1665+1,0)</f>
        <v>43</v>
      </c>
      <c r="L1667" s="130" t="str">
        <f t="shared" ref="L1667" si="1867">IF(C1667&lt;&gt;"",C1667&amp;"-"&amp;K1667,"")</f>
        <v/>
      </c>
      <c r="M1667" s="130" t="str">
        <f t="array" ref="M1667">IFERROR(IF(INDEX('Disaggregation Records'!$E$152:$E$513,MATCH(RIGHT(L1667,255),RIGHT('Disaggregation Records'!$D$152:$D$513,255),0))="","",INDEX('Disaggregation Records'!$E$152:$E$513,MATCH(RIGHT(L1667,255),RIGHT('Disaggregation Records'!$D$152:$D$513,255),0))),"")</f>
        <v/>
      </c>
      <c r="N1667" s="130" t="str">
        <f t="array" ref="N1667">IFERROR(IF(INDEX('Disaggregation Records'!$F$152:$F$513,MATCH(RIGHT(L1667,255),RIGHT('Disaggregation Records'!$D$152:$D$513,255),0))="","",INDEX('Disaggregation Records'!$F$152:$F$513,MATCH(RIGHT(L1667,255),RIGHT('Disaggregation Records'!$D$152:$D$513,255),0))),"")</f>
        <v/>
      </c>
      <c r="O1667" s="130" t="str">
        <f t="array" ref="O1667">IFERROR(IF(INDEX('Disaggregation Records'!$H$152:$H$513,MATCH(RIGHT(L1667,255),RIGHT('Disaggregation Records'!$D$152:$D$513,255),0))="","",INDEX('Disaggregation Records'!$H$152:$H$513,MATCH(RIGHT(L1667,255),RIGHT('Disaggregation Records'!$D$152:$D$513,255),0))),"")</f>
        <v/>
      </c>
      <c r="Q1667" s="52">
        <f t="shared" ref="Q1667" si="1868">Q1665+1</f>
        <v>2018</v>
      </c>
    </row>
    <row r="1668" spans="1:17" ht="20.100000000000001" customHeight="1" x14ac:dyDescent="0.25">
      <c r="B1668" s="602"/>
      <c r="C1668" s="604"/>
      <c r="D1668" s="606"/>
      <c r="E1668" s="606"/>
      <c r="F1668" s="132"/>
      <c r="G1668" s="608"/>
      <c r="H1668" s="598"/>
      <c r="I1668" s="600"/>
      <c r="J1668" s="532"/>
      <c r="L1668" s="130"/>
      <c r="N1668" s="130"/>
      <c r="O1668" s="130"/>
    </row>
    <row r="1669" spans="1:17" ht="20.100000000000001" customHeight="1" x14ac:dyDescent="0.25">
      <c r="A1669" s="130" t="str">
        <f t="shared" ca="1" si="1847"/>
        <v>a16Dm000000LZhyIAG</v>
      </c>
      <c r="B1669" s="601">
        <v>27</v>
      </c>
      <c r="C1669" s="603" t="str">
        <f>IFERROR(VLOOKUP(B1669,'Coverage Indicators - Section D'!$A$9:$AO$70,41,FALSE),"")</f>
        <v/>
      </c>
      <c r="D1669" s="605" t="str">
        <f>M1669</f>
        <v/>
      </c>
      <c r="E1669" s="605" t="str">
        <f>N1669</f>
        <v/>
      </c>
      <c r="F1669" s="131"/>
      <c r="G1669" s="607" t="str">
        <f ca="1">IF(OR(INDIRECT("'update Helper'!E"&amp;Q1669)="",F1669&lt;&gt;0,F1670&lt;&gt;0),IF(IFERROR((F1669/F1670),"")="","",(F1669/F1670)),INDIRECT("'update Helper'!E"&amp;Q1669)/100)</f>
        <v/>
      </c>
      <c r="H1669" s="597"/>
      <c r="I1669" s="599"/>
      <c r="J1669" s="531"/>
      <c r="K1669" s="130">
        <f>IF(AND(EXACT(C1669,C1667),C1667&lt;&gt;0),K1667+1,0)</f>
        <v>44</v>
      </c>
      <c r="L1669" s="130" t="str">
        <f t="shared" ref="L1669" si="1869">IF(C1669&lt;&gt;"",C1669&amp;"-"&amp;K1669,"")</f>
        <v/>
      </c>
      <c r="M1669" s="130" t="str">
        <f t="array" ref="M1669">IFERROR(IF(INDEX('Disaggregation Records'!$E$152:$E$513,MATCH(RIGHT(L1669,255),RIGHT('Disaggregation Records'!$D$152:$D$513,255),0))="","",INDEX('Disaggregation Records'!$E$152:$E$513,MATCH(RIGHT(L1669,255),RIGHT('Disaggregation Records'!$D$152:$D$513,255),0))),"")</f>
        <v/>
      </c>
      <c r="N1669" s="130" t="str">
        <f t="array" ref="N1669">IFERROR(IF(INDEX('Disaggregation Records'!$F$152:$F$513,MATCH(RIGHT(L1669,255),RIGHT('Disaggregation Records'!$D$152:$D$513,255),0))="","",INDEX('Disaggregation Records'!$F$152:$F$513,MATCH(RIGHT(L1669,255),RIGHT('Disaggregation Records'!$D$152:$D$513,255),0))),"")</f>
        <v/>
      </c>
      <c r="O1669" s="130" t="str">
        <f t="array" ref="O1669">IFERROR(IF(INDEX('Disaggregation Records'!$H$152:$H$513,MATCH(RIGHT(L1669,255),RIGHT('Disaggregation Records'!$D$152:$D$513,255),0))="","",INDEX('Disaggregation Records'!$H$152:$H$513,MATCH(RIGHT(L1669,255),RIGHT('Disaggregation Records'!$D$152:$D$513,255),0))),"")</f>
        <v/>
      </c>
      <c r="Q1669" s="52">
        <f t="shared" ref="Q1669" si="1870">Q1667+1</f>
        <v>2019</v>
      </c>
    </row>
    <row r="1670" spans="1:17" ht="20.100000000000001" customHeight="1" x14ac:dyDescent="0.25">
      <c r="A1670" s="130"/>
      <c r="B1670" s="602"/>
      <c r="C1670" s="604"/>
      <c r="D1670" s="606"/>
      <c r="E1670" s="606"/>
      <c r="F1670" s="132"/>
      <c r="G1670" s="608"/>
      <c r="H1670" s="598"/>
      <c r="I1670" s="600"/>
      <c r="J1670" s="532"/>
      <c r="L1670" s="130"/>
      <c r="N1670" s="130"/>
      <c r="O1670" s="130"/>
    </row>
    <row r="1671" spans="1:17" ht="20.100000000000001" customHeight="1" x14ac:dyDescent="0.25">
      <c r="A1671" s="130" t="str">
        <f t="shared" ca="1" si="1850"/>
        <v>a16Dm000000LZhzIAG</v>
      </c>
      <c r="B1671" s="601">
        <v>27</v>
      </c>
      <c r="C1671" s="603" t="str">
        <f>IFERROR(VLOOKUP(B1671,'Coverage Indicators - Section D'!$A$9:$AO$70,41,FALSE),"")</f>
        <v/>
      </c>
      <c r="D1671" s="605" t="str">
        <f>M1671</f>
        <v/>
      </c>
      <c r="E1671" s="605" t="str">
        <f>N1671</f>
        <v/>
      </c>
      <c r="F1671" s="131"/>
      <c r="G1671" s="607" t="str">
        <f ca="1">IF(OR(INDIRECT("'update Helper'!E"&amp;Q1671)="",F1671&lt;&gt;0,F1672&lt;&gt;0),IF(IFERROR((F1671/F1672),"")="","",(F1671/F1672)),INDIRECT("'update Helper'!E"&amp;Q1671)/100)</f>
        <v/>
      </c>
      <c r="H1671" s="597"/>
      <c r="I1671" s="599"/>
      <c r="J1671" s="531"/>
      <c r="K1671" s="130">
        <f>IF(AND(EXACT(C1671,C1669),C1669&lt;&gt;0),K1669+1,0)</f>
        <v>45</v>
      </c>
      <c r="L1671" s="130" t="str">
        <f t="shared" ref="L1671" si="1871">IF(C1671&lt;&gt;"",C1671&amp;"-"&amp;K1671,"")</f>
        <v/>
      </c>
      <c r="M1671" s="130" t="str">
        <f t="array" ref="M1671">IFERROR(IF(INDEX('Disaggregation Records'!$E$152:$E$513,MATCH(RIGHT(L1671,255),RIGHT('Disaggregation Records'!$D$152:$D$513,255),0))="","",INDEX('Disaggregation Records'!$E$152:$E$513,MATCH(RIGHT(L1671,255),RIGHT('Disaggregation Records'!$D$152:$D$513,255),0))),"")</f>
        <v/>
      </c>
      <c r="N1671" s="130" t="str">
        <f t="array" ref="N1671">IFERROR(IF(INDEX('Disaggregation Records'!$F$152:$F$513,MATCH(RIGHT(L1671,255),RIGHT('Disaggregation Records'!$D$152:$D$513,255),0))="","",INDEX('Disaggregation Records'!$F$152:$F$513,MATCH(RIGHT(L1671,255),RIGHT('Disaggregation Records'!$D$152:$D$513,255),0))),"")</f>
        <v/>
      </c>
      <c r="O1671" s="130" t="str">
        <f t="array" ref="O1671">IFERROR(IF(INDEX('Disaggregation Records'!$H$152:$H$513,MATCH(RIGHT(L1671,255),RIGHT('Disaggregation Records'!$D$152:$D$513,255),0))="","",INDEX('Disaggregation Records'!$H$152:$H$513,MATCH(RIGHT(L1671,255),RIGHT('Disaggregation Records'!$D$152:$D$513,255),0))),"")</f>
        <v/>
      </c>
      <c r="P1671" s="130"/>
      <c r="Q1671" s="52">
        <f t="shared" ref="Q1671" si="1872">Q1669+1</f>
        <v>2020</v>
      </c>
    </row>
    <row r="1672" spans="1:17" ht="20.100000000000001" customHeight="1" x14ac:dyDescent="0.25">
      <c r="B1672" s="602"/>
      <c r="C1672" s="604"/>
      <c r="D1672" s="606"/>
      <c r="E1672" s="606"/>
      <c r="F1672" s="132"/>
      <c r="G1672" s="608"/>
      <c r="H1672" s="598"/>
      <c r="I1672" s="600"/>
      <c r="J1672" s="532"/>
      <c r="K1672" s="130"/>
      <c r="L1672" s="130"/>
      <c r="M1672" s="130"/>
      <c r="N1672" s="130"/>
      <c r="O1672" s="130"/>
      <c r="P1672" s="130"/>
    </row>
    <row r="1673" spans="1:17" ht="20.100000000000001" customHeight="1" x14ac:dyDescent="0.25">
      <c r="A1673" s="130" t="str">
        <f t="shared" ca="1" si="1847"/>
        <v>a16Dm000000LZi0IAG</v>
      </c>
      <c r="B1673" s="601">
        <v>27</v>
      </c>
      <c r="C1673" s="603" t="str">
        <f>IFERROR(VLOOKUP(B1673,'Coverage Indicators - Section D'!$A$9:$AO$70,41,FALSE),"")</f>
        <v/>
      </c>
      <c r="D1673" s="605" t="str">
        <f>M1673</f>
        <v/>
      </c>
      <c r="E1673" s="605" t="str">
        <f>N1673</f>
        <v/>
      </c>
      <c r="F1673" s="131"/>
      <c r="G1673" s="607" t="str">
        <f ca="1">IF(OR(INDIRECT("'update Helper'!E"&amp;Q1673)="",F1673&lt;&gt;0,F1674&lt;&gt;0),IF(IFERROR((F1673/F1674),"")="","",(F1673/F1674)),INDIRECT("'update Helper'!E"&amp;Q1673)/100)</f>
        <v/>
      </c>
      <c r="H1673" s="597"/>
      <c r="I1673" s="599"/>
      <c r="J1673" s="531"/>
      <c r="K1673" s="130">
        <f>IF(AND(EXACT(C1673,C1671),C1671&lt;&gt;0),K1671+1,0)</f>
        <v>46</v>
      </c>
      <c r="L1673" s="130" t="str">
        <f t="shared" ref="L1673" si="1873">IF(C1673&lt;&gt;"",C1673&amp;"-"&amp;K1673,"")</f>
        <v/>
      </c>
      <c r="M1673" s="130" t="str">
        <f t="array" ref="M1673">IFERROR(IF(INDEX('Disaggregation Records'!$E$152:$E$513,MATCH(RIGHT(L1673,255),RIGHT('Disaggregation Records'!$D$152:$D$513,255),0))="","",INDEX('Disaggregation Records'!$E$152:$E$513,MATCH(RIGHT(L1673,255),RIGHT('Disaggregation Records'!$D$152:$D$513,255),0))),"")</f>
        <v/>
      </c>
      <c r="N1673" s="130" t="str">
        <f t="array" ref="N1673">IFERROR(IF(INDEX('Disaggregation Records'!$F$152:$F$513,MATCH(RIGHT(L1673,255),RIGHT('Disaggregation Records'!$D$152:$D$513,255),0))="","",INDEX('Disaggregation Records'!$F$152:$F$513,MATCH(RIGHT(L1673,255),RIGHT('Disaggregation Records'!$D$152:$D$513,255),0))),"")</f>
        <v/>
      </c>
      <c r="O1673" s="130" t="str">
        <f t="array" ref="O1673">IFERROR(IF(INDEX('Disaggregation Records'!$H$152:$H$513,MATCH(RIGHT(L1673,255),RIGHT('Disaggregation Records'!$D$152:$D$513,255),0))="","",INDEX('Disaggregation Records'!$H$152:$H$513,MATCH(RIGHT(L1673,255),RIGHT('Disaggregation Records'!$D$152:$D$513,255),0))),"")</f>
        <v/>
      </c>
      <c r="P1673" s="130"/>
      <c r="Q1673" s="52">
        <f t="shared" ref="Q1673" si="1874">Q1671+1</f>
        <v>2021</v>
      </c>
    </row>
    <row r="1674" spans="1:17" ht="20.100000000000001" customHeight="1" x14ac:dyDescent="0.25">
      <c r="A1674" s="130"/>
      <c r="B1674" s="602"/>
      <c r="C1674" s="604"/>
      <c r="D1674" s="606"/>
      <c r="E1674" s="606"/>
      <c r="F1674" s="132"/>
      <c r="G1674" s="608"/>
      <c r="H1674" s="598"/>
      <c r="I1674" s="600"/>
      <c r="J1674" s="532"/>
      <c r="K1674" s="130"/>
      <c r="L1674" s="130"/>
      <c r="M1674" s="130"/>
      <c r="N1674" s="130"/>
      <c r="O1674" s="130"/>
      <c r="P1674" s="130"/>
    </row>
    <row r="1675" spans="1:17" ht="20.100000000000001" customHeight="1" x14ac:dyDescent="0.25">
      <c r="A1675" s="130" t="str">
        <f t="shared" ca="1" si="1850"/>
        <v>a16Dm000000LZi1IAG</v>
      </c>
      <c r="B1675" s="601">
        <v>27</v>
      </c>
      <c r="C1675" s="603" t="str">
        <f>IFERROR(VLOOKUP(B1675,'Coverage Indicators - Section D'!$A$9:$AO$70,41,FALSE),"")</f>
        <v/>
      </c>
      <c r="D1675" s="605" t="str">
        <f>M1675</f>
        <v/>
      </c>
      <c r="E1675" s="605" t="str">
        <f>N1675</f>
        <v/>
      </c>
      <c r="F1675" s="131"/>
      <c r="G1675" s="607" t="str">
        <f ca="1">IF(OR(INDIRECT("'update Helper'!E"&amp;Q1675)="",F1675&lt;&gt;0,F1676&lt;&gt;0),IF(IFERROR((F1675/F1676),"")="","",(F1675/F1676)),INDIRECT("'update Helper'!E"&amp;Q1675)/100)</f>
        <v/>
      </c>
      <c r="H1675" s="597"/>
      <c r="I1675" s="599"/>
      <c r="J1675" s="531"/>
      <c r="K1675" s="130">
        <f>IF(AND(EXACT(C1675,C1673),C1673&lt;&gt;0),K1673+1,0)</f>
        <v>47</v>
      </c>
      <c r="L1675" s="130" t="str">
        <f t="shared" ref="L1675" si="1875">IF(C1675&lt;&gt;"",C1675&amp;"-"&amp;K1675,"")</f>
        <v/>
      </c>
      <c r="M1675" s="130" t="str">
        <f t="array" ref="M1675">IFERROR(IF(INDEX('Disaggregation Records'!$E$152:$E$513,MATCH(RIGHT(L1675,255),RIGHT('Disaggregation Records'!$D$152:$D$513,255),0))="","",INDEX('Disaggregation Records'!$E$152:$E$513,MATCH(RIGHT(L1675,255),RIGHT('Disaggregation Records'!$D$152:$D$513,255),0))),"")</f>
        <v/>
      </c>
      <c r="N1675" s="130" t="str">
        <f t="array" ref="N1675">IFERROR(IF(INDEX('Disaggregation Records'!$F$152:$F$513,MATCH(RIGHT(L1675,255),RIGHT('Disaggregation Records'!$D$152:$D$513,255),0))="","",INDEX('Disaggregation Records'!$F$152:$F$513,MATCH(RIGHT(L1675,255),RIGHT('Disaggregation Records'!$D$152:$D$513,255),0))),"")</f>
        <v/>
      </c>
      <c r="O1675" s="130" t="str">
        <f t="array" ref="O1675">IFERROR(IF(INDEX('Disaggregation Records'!$H$152:$H$513,MATCH(RIGHT(L1675,255),RIGHT('Disaggregation Records'!$D$152:$D$513,255),0))="","",INDEX('Disaggregation Records'!$H$152:$H$513,MATCH(RIGHT(L1675,255),RIGHT('Disaggregation Records'!$D$152:$D$513,255),0))),"")</f>
        <v/>
      </c>
      <c r="Q1675" s="52">
        <f t="shared" ref="Q1675" si="1876">Q1673+1</f>
        <v>2022</v>
      </c>
    </row>
    <row r="1676" spans="1:17" ht="20.100000000000001" customHeight="1" x14ac:dyDescent="0.25">
      <c r="B1676" s="602"/>
      <c r="C1676" s="604"/>
      <c r="D1676" s="606"/>
      <c r="E1676" s="606"/>
      <c r="F1676" s="132"/>
      <c r="G1676" s="608"/>
      <c r="H1676" s="598"/>
      <c r="I1676" s="600"/>
      <c r="J1676" s="532"/>
      <c r="L1676" s="130"/>
      <c r="N1676" s="130"/>
      <c r="O1676" s="130"/>
    </row>
    <row r="1677" spans="1:17" ht="20.100000000000001" customHeight="1" x14ac:dyDescent="0.25">
      <c r="A1677" s="130" t="str">
        <f t="shared" ca="1" si="1847"/>
        <v>a16Dm000000LZi2IAG</v>
      </c>
      <c r="B1677" s="601">
        <v>27</v>
      </c>
      <c r="C1677" s="603" t="str">
        <f>IFERROR(VLOOKUP(B1677,'Coverage Indicators - Section D'!$A$9:$AO$70,41,FALSE),"")</f>
        <v/>
      </c>
      <c r="D1677" s="605" t="str">
        <f>M1677</f>
        <v/>
      </c>
      <c r="E1677" s="605" t="str">
        <f>N1677</f>
        <v/>
      </c>
      <c r="F1677" s="131"/>
      <c r="G1677" s="607" t="str">
        <f ca="1">IF(OR(INDIRECT("'update Helper'!E"&amp;Q1677)="",F1677&lt;&gt;0,F1678&lt;&gt;0),IF(IFERROR((F1677/F1678),"")="","",(F1677/F1678)),INDIRECT("'update Helper'!E"&amp;Q1677)/100)</f>
        <v/>
      </c>
      <c r="H1677" s="597"/>
      <c r="I1677" s="599"/>
      <c r="J1677" s="531"/>
      <c r="K1677" s="130">
        <f>IF(AND(EXACT(C1677,C1675),C1675&lt;&gt;0),K1675+1,0)</f>
        <v>48</v>
      </c>
      <c r="L1677" s="130" t="str">
        <f t="shared" ref="L1677" si="1877">IF(C1677&lt;&gt;"",C1677&amp;"-"&amp;K1677,"")</f>
        <v/>
      </c>
      <c r="M1677" s="130" t="str">
        <f t="array" ref="M1677">IFERROR(IF(INDEX('Disaggregation Records'!$E$152:$E$513,MATCH(RIGHT(L1677,255),RIGHT('Disaggregation Records'!$D$152:$D$513,255),0))="","",INDEX('Disaggregation Records'!$E$152:$E$513,MATCH(RIGHT(L1677,255),RIGHT('Disaggregation Records'!$D$152:$D$513,255),0))),"")</f>
        <v/>
      </c>
      <c r="N1677" s="130" t="str">
        <f t="array" ref="N1677">IFERROR(IF(INDEX('Disaggregation Records'!$F$152:$F$513,MATCH(RIGHT(L1677,255),RIGHT('Disaggregation Records'!$D$152:$D$513,255),0))="","",INDEX('Disaggregation Records'!$F$152:$F$513,MATCH(RIGHT(L1677,255),RIGHT('Disaggregation Records'!$D$152:$D$513,255),0))),"")</f>
        <v/>
      </c>
      <c r="O1677" s="130" t="str">
        <f t="array" ref="O1677">IFERROR(IF(INDEX('Disaggregation Records'!$H$152:$H$513,MATCH(RIGHT(L1677,255),RIGHT('Disaggregation Records'!$D$152:$D$513,255),0))="","",INDEX('Disaggregation Records'!$H$152:$H$513,MATCH(RIGHT(L1677,255),RIGHT('Disaggregation Records'!$D$152:$D$513,255),0))),"")</f>
        <v/>
      </c>
      <c r="Q1677" s="52">
        <f t="shared" ref="Q1677" si="1878">Q1675+1</f>
        <v>2023</v>
      </c>
    </row>
    <row r="1678" spans="1:17" ht="20.100000000000001" customHeight="1" x14ac:dyDescent="0.25">
      <c r="A1678" s="130"/>
      <c r="B1678" s="602"/>
      <c r="C1678" s="604"/>
      <c r="D1678" s="606"/>
      <c r="E1678" s="606"/>
      <c r="F1678" s="132"/>
      <c r="G1678" s="608"/>
      <c r="H1678" s="598"/>
      <c r="I1678" s="600"/>
      <c r="J1678" s="532"/>
      <c r="L1678" s="130"/>
      <c r="N1678" s="130"/>
      <c r="O1678" s="130"/>
    </row>
    <row r="1679" spans="1:17" ht="20.100000000000001" customHeight="1" x14ac:dyDescent="0.25">
      <c r="A1679" s="130" t="str">
        <f t="shared" ca="1" si="1850"/>
        <v>a16Dm000000LZi3IAG</v>
      </c>
      <c r="B1679" s="601">
        <v>27</v>
      </c>
      <c r="C1679" s="603" t="str">
        <f>IFERROR(VLOOKUP(B1679,'Coverage Indicators - Section D'!$A$9:$AO$70,41,FALSE),"")</f>
        <v/>
      </c>
      <c r="D1679" s="605" t="str">
        <f>M1679</f>
        <v/>
      </c>
      <c r="E1679" s="605" t="str">
        <f>N1679</f>
        <v/>
      </c>
      <c r="F1679" s="131"/>
      <c r="G1679" s="607" t="str">
        <f ca="1">IF(OR(INDIRECT("'update Helper'!E"&amp;Q1679)="",F1679&lt;&gt;0,F1680&lt;&gt;0),IF(IFERROR((F1679/F1680),"")="","",(F1679/F1680)),INDIRECT("'update Helper'!E"&amp;Q1679)/100)</f>
        <v/>
      </c>
      <c r="H1679" s="597"/>
      <c r="I1679" s="599"/>
      <c r="J1679" s="531"/>
      <c r="K1679" s="130">
        <f>IF(AND(EXACT(C1679,C1677),C1677&lt;&gt;0),K1677+1,0)</f>
        <v>49</v>
      </c>
      <c r="L1679" s="130" t="str">
        <f t="shared" ref="L1679" si="1879">IF(C1679&lt;&gt;"",C1679&amp;"-"&amp;K1679,"")</f>
        <v/>
      </c>
      <c r="M1679" s="130" t="str">
        <f t="array" ref="M1679">IFERROR(IF(INDEX('Disaggregation Records'!$E$152:$E$513,MATCH(RIGHT(L1679,255),RIGHT('Disaggregation Records'!$D$152:$D$513,255),0))="","",INDEX('Disaggregation Records'!$E$152:$E$513,MATCH(RIGHT(L1679,255),RIGHT('Disaggregation Records'!$D$152:$D$513,255),0))),"")</f>
        <v/>
      </c>
      <c r="N1679" s="130" t="str">
        <f t="array" ref="N1679">IFERROR(IF(INDEX('Disaggregation Records'!$F$152:$F$513,MATCH(RIGHT(L1679,255),RIGHT('Disaggregation Records'!$D$152:$D$513,255),0))="","",INDEX('Disaggregation Records'!$F$152:$F$513,MATCH(RIGHT(L1679,255),RIGHT('Disaggregation Records'!$D$152:$D$513,255),0))),"")</f>
        <v/>
      </c>
      <c r="O1679" s="130" t="str">
        <f t="array" ref="O1679">IFERROR(IF(INDEX('Disaggregation Records'!$H$152:$H$513,MATCH(RIGHT(L1679,255),RIGHT('Disaggregation Records'!$D$152:$D$513,255),0))="","",INDEX('Disaggregation Records'!$H$152:$H$513,MATCH(RIGHT(L1679,255),RIGHT('Disaggregation Records'!$D$152:$D$513,255),0))),"")</f>
        <v/>
      </c>
      <c r="Q1679" s="52">
        <f t="shared" ref="Q1679" si="1880">Q1677+1</f>
        <v>2024</v>
      </c>
    </row>
    <row r="1680" spans="1:17" ht="20.100000000000001" customHeight="1" x14ac:dyDescent="0.25">
      <c r="B1680" s="602"/>
      <c r="C1680" s="604"/>
      <c r="D1680" s="606"/>
      <c r="E1680" s="606"/>
      <c r="F1680" s="132"/>
      <c r="G1680" s="608"/>
      <c r="H1680" s="598"/>
      <c r="I1680" s="600"/>
      <c r="J1680" s="532"/>
      <c r="L1680" s="130"/>
      <c r="N1680" s="130"/>
      <c r="O1680" s="130"/>
    </row>
    <row r="1681" spans="1:17" ht="20.100000000000001" customHeight="1" x14ac:dyDescent="0.25">
      <c r="A1681" s="130" t="str">
        <f t="shared" ca="1" si="1847"/>
        <v>a16Dm000000LZi4IAG</v>
      </c>
      <c r="B1681" s="601">
        <v>27</v>
      </c>
      <c r="C1681" s="603" t="str">
        <f>IFERROR(VLOOKUP(B1681,'Coverage Indicators - Section D'!$A$9:$AO$70,41,FALSE),"")</f>
        <v/>
      </c>
      <c r="D1681" s="605" t="str">
        <f>M1681</f>
        <v/>
      </c>
      <c r="E1681" s="605" t="str">
        <f>N1681</f>
        <v/>
      </c>
      <c r="F1681" s="131"/>
      <c r="G1681" s="607" t="str">
        <f ca="1">IF(OR(INDIRECT("'update Helper'!E"&amp;Q1681)="",F1681&lt;&gt;0,F1682&lt;&gt;0),IF(IFERROR((F1681/F1682),"")="","",(F1681/F1682)),INDIRECT("'update Helper'!E"&amp;Q1681)/100)</f>
        <v/>
      </c>
      <c r="H1681" s="597"/>
      <c r="I1681" s="599"/>
      <c r="J1681" s="531"/>
      <c r="K1681" s="130">
        <f>IF(AND(EXACT(C1681,C1679),C1679&lt;&gt;0),K1679+1,0)</f>
        <v>50</v>
      </c>
      <c r="L1681" s="130" t="str">
        <f t="shared" ref="L1681" si="1881">IF(C1681&lt;&gt;"",C1681&amp;"-"&amp;K1681,"")</f>
        <v/>
      </c>
      <c r="M1681" s="130" t="str">
        <f t="array" ref="M1681">IFERROR(IF(INDEX('Disaggregation Records'!$E$152:$E$513,MATCH(RIGHT(L1681,255),RIGHT('Disaggregation Records'!$D$152:$D$513,255),0))="","",INDEX('Disaggregation Records'!$E$152:$E$513,MATCH(RIGHT(L1681,255),RIGHT('Disaggregation Records'!$D$152:$D$513,255),0))),"")</f>
        <v/>
      </c>
      <c r="N1681" s="130" t="str">
        <f t="array" ref="N1681">IFERROR(IF(INDEX('Disaggregation Records'!$F$152:$F$513,MATCH(RIGHT(L1681,255),RIGHT('Disaggregation Records'!$D$152:$D$513,255),0))="","",INDEX('Disaggregation Records'!$F$152:$F$513,MATCH(RIGHT(L1681,255),RIGHT('Disaggregation Records'!$D$152:$D$513,255),0))),"")</f>
        <v/>
      </c>
      <c r="O1681" s="130" t="str">
        <f t="array" ref="O1681">IFERROR(IF(INDEX('Disaggregation Records'!$H$152:$H$513,MATCH(RIGHT(L1681,255),RIGHT('Disaggregation Records'!$D$152:$D$513,255),0))="","",INDEX('Disaggregation Records'!$H$152:$H$513,MATCH(RIGHT(L1681,255),RIGHT('Disaggregation Records'!$D$152:$D$513,255),0))),"")</f>
        <v/>
      </c>
      <c r="P1681" s="130"/>
      <c r="Q1681" s="52">
        <f t="shared" ref="Q1681" si="1882">Q1679+1</f>
        <v>2025</v>
      </c>
    </row>
    <row r="1682" spans="1:17" ht="20.100000000000001" customHeight="1" x14ac:dyDescent="0.25">
      <c r="A1682" s="130"/>
      <c r="B1682" s="602"/>
      <c r="C1682" s="604"/>
      <c r="D1682" s="606"/>
      <c r="E1682" s="606"/>
      <c r="F1682" s="132"/>
      <c r="G1682" s="608"/>
      <c r="H1682" s="598"/>
      <c r="I1682" s="600"/>
      <c r="J1682" s="532"/>
      <c r="K1682" s="130"/>
      <c r="L1682" s="130"/>
      <c r="M1682" s="130"/>
      <c r="N1682" s="130"/>
      <c r="O1682" s="130"/>
      <c r="P1682" s="130"/>
    </row>
    <row r="1683" spans="1:17" ht="20.100000000000001" customHeight="1" x14ac:dyDescent="0.25">
      <c r="A1683" s="130" t="str">
        <f t="shared" ca="1" si="1850"/>
        <v>a16Dm000000LZi5IAG</v>
      </c>
      <c r="B1683" s="601">
        <v>27</v>
      </c>
      <c r="C1683" s="603" t="str">
        <f>IFERROR(VLOOKUP(B1683,'Coverage Indicators - Section D'!$A$9:$AO$70,41,FALSE),"")</f>
        <v/>
      </c>
      <c r="D1683" s="605" t="str">
        <f>M1683</f>
        <v/>
      </c>
      <c r="E1683" s="605" t="str">
        <f>N1683</f>
        <v/>
      </c>
      <c r="F1683" s="131"/>
      <c r="G1683" s="607" t="str">
        <f ca="1">IF(OR(INDIRECT("'update Helper'!E"&amp;Q1683)="",F1683&lt;&gt;0,F1684&lt;&gt;0),IF(IFERROR((F1683/F1684),"")="","",(F1683/F1684)),INDIRECT("'update Helper'!E"&amp;Q1683)/100)</f>
        <v/>
      </c>
      <c r="H1683" s="597"/>
      <c r="I1683" s="599"/>
      <c r="J1683" s="531"/>
      <c r="K1683" s="130">
        <f>IF(AND(EXACT(C1683,C1681),C1681&lt;&gt;0),K1681+1,0)</f>
        <v>51</v>
      </c>
      <c r="L1683" s="130" t="str">
        <f t="shared" ref="L1683" si="1883">IF(C1683&lt;&gt;"",C1683&amp;"-"&amp;K1683,"")</f>
        <v/>
      </c>
      <c r="M1683" s="130" t="str">
        <f t="array" ref="M1683">IFERROR(IF(INDEX('Disaggregation Records'!$E$152:$E$513,MATCH(RIGHT(L1683,255),RIGHT('Disaggregation Records'!$D$152:$D$513,255),0))="","",INDEX('Disaggregation Records'!$E$152:$E$513,MATCH(RIGHT(L1683,255),RIGHT('Disaggregation Records'!$D$152:$D$513,255),0))),"")</f>
        <v/>
      </c>
      <c r="N1683" s="130" t="str">
        <f t="array" ref="N1683">IFERROR(IF(INDEX('Disaggregation Records'!$F$152:$F$513,MATCH(RIGHT(L1683,255),RIGHT('Disaggregation Records'!$D$152:$D$513,255),0))="","",INDEX('Disaggregation Records'!$F$152:$F$513,MATCH(RIGHT(L1683,255),RIGHT('Disaggregation Records'!$D$152:$D$513,255),0))),"")</f>
        <v/>
      </c>
      <c r="O1683" s="130" t="str">
        <f t="array" ref="O1683">IFERROR(IF(INDEX('Disaggregation Records'!$H$152:$H$513,MATCH(RIGHT(L1683,255),RIGHT('Disaggregation Records'!$D$152:$D$513,255),0))="","",INDEX('Disaggregation Records'!$H$152:$H$513,MATCH(RIGHT(L1683,255),RIGHT('Disaggregation Records'!$D$152:$D$513,255),0))),"")</f>
        <v/>
      </c>
      <c r="P1683" s="130"/>
      <c r="Q1683" s="52">
        <f t="shared" ref="Q1683" si="1884">Q1681+1</f>
        <v>2026</v>
      </c>
    </row>
    <row r="1684" spans="1:17" ht="20.100000000000001" customHeight="1" x14ac:dyDescent="0.25">
      <c r="B1684" s="602"/>
      <c r="C1684" s="604"/>
      <c r="D1684" s="606"/>
      <c r="E1684" s="606"/>
      <c r="F1684" s="132"/>
      <c r="G1684" s="608"/>
      <c r="H1684" s="598"/>
      <c r="I1684" s="600"/>
      <c r="J1684" s="532"/>
      <c r="K1684" s="130"/>
      <c r="L1684" s="130"/>
      <c r="M1684" s="130"/>
      <c r="N1684" s="130"/>
      <c r="O1684" s="130"/>
      <c r="P1684" s="130"/>
    </row>
    <row r="1685" spans="1:17" ht="20.100000000000001" customHeight="1" x14ac:dyDescent="0.25">
      <c r="A1685" s="130" t="str">
        <f t="shared" ca="1" si="1847"/>
        <v>a16Dm000000LZi6IAG</v>
      </c>
      <c r="B1685" s="601">
        <v>27</v>
      </c>
      <c r="C1685" s="603" t="str">
        <f>IFERROR(VLOOKUP(B1685,'Coverage Indicators - Section D'!$A$9:$AO$70,41,FALSE),"")</f>
        <v/>
      </c>
      <c r="D1685" s="605" t="str">
        <f>M1685</f>
        <v/>
      </c>
      <c r="E1685" s="605" t="str">
        <f>N1685</f>
        <v/>
      </c>
      <c r="F1685" s="131"/>
      <c r="G1685" s="607" t="str">
        <f ca="1">IF(OR(INDIRECT("'update Helper'!E"&amp;Q1685)="",F1685&lt;&gt;0,F1686&lt;&gt;0),IF(IFERROR((F1685/F1686),"")="","",(F1685/F1686)),INDIRECT("'update Helper'!E"&amp;Q1685)/100)</f>
        <v/>
      </c>
      <c r="H1685" s="597"/>
      <c r="I1685" s="599"/>
      <c r="J1685" s="531"/>
      <c r="K1685" s="130">
        <f>IF(AND(EXACT(C1685,C1683),C1683&lt;&gt;0),K1683+1,0)</f>
        <v>52</v>
      </c>
      <c r="L1685" s="130" t="str">
        <f t="shared" ref="L1685" si="1885">IF(C1685&lt;&gt;"",C1685&amp;"-"&amp;K1685,"")</f>
        <v/>
      </c>
      <c r="M1685" s="130" t="str">
        <f t="array" ref="M1685">IFERROR(IF(INDEX('Disaggregation Records'!$E$152:$E$513,MATCH(RIGHT(L1685,255),RIGHT('Disaggregation Records'!$D$152:$D$513,255),0))="","",INDEX('Disaggregation Records'!$E$152:$E$513,MATCH(RIGHT(L1685,255),RIGHT('Disaggregation Records'!$D$152:$D$513,255),0))),"")</f>
        <v/>
      </c>
      <c r="N1685" s="130" t="str">
        <f t="array" ref="N1685">IFERROR(IF(INDEX('Disaggregation Records'!$F$152:$F$513,MATCH(RIGHT(L1685,255),RIGHT('Disaggregation Records'!$D$152:$D$513,255),0))="","",INDEX('Disaggregation Records'!$F$152:$F$513,MATCH(RIGHT(L1685,255),RIGHT('Disaggregation Records'!$D$152:$D$513,255),0))),"")</f>
        <v/>
      </c>
      <c r="O1685" s="130" t="str">
        <f t="array" ref="O1685">IFERROR(IF(INDEX('Disaggregation Records'!$H$152:$H$513,MATCH(RIGHT(L1685,255),RIGHT('Disaggregation Records'!$D$152:$D$513,255),0))="","",INDEX('Disaggregation Records'!$H$152:$H$513,MATCH(RIGHT(L1685,255),RIGHT('Disaggregation Records'!$D$152:$D$513,255),0))),"")</f>
        <v/>
      </c>
      <c r="Q1685" s="52">
        <f t="shared" ref="Q1685" si="1886">Q1683+1</f>
        <v>2027</v>
      </c>
    </row>
    <row r="1686" spans="1:17" ht="20.100000000000001" customHeight="1" x14ac:dyDescent="0.25">
      <c r="A1686" s="130"/>
      <c r="B1686" s="602"/>
      <c r="C1686" s="604"/>
      <c r="D1686" s="606"/>
      <c r="E1686" s="606"/>
      <c r="F1686" s="132"/>
      <c r="G1686" s="608"/>
      <c r="H1686" s="598"/>
      <c r="I1686" s="600"/>
      <c r="J1686" s="532"/>
      <c r="L1686" s="130"/>
      <c r="N1686" s="130"/>
      <c r="O1686" s="130"/>
    </row>
    <row r="1687" spans="1:17" ht="20.100000000000001" customHeight="1" x14ac:dyDescent="0.25">
      <c r="A1687" s="130" t="str">
        <f t="shared" ca="1" si="1850"/>
        <v>a16Dm000000LZi7IAG</v>
      </c>
      <c r="B1687" s="601">
        <v>27</v>
      </c>
      <c r="C1687" s="603" t="str">
        <f>IFERROR(VLOOKUP(B1687,'Coverage Indicators - Section D'!$A$9:$AO$70,41,FALSE),"")</f>
        <v/>
      </c>
      <c r="D1687" s="605" t="str">
        <f>M1687</f>
        <v/>
      </c>
      <c r="E1687" s="605" t="str">
        <f>N1687</f>
        <v/>
      </c>
      <c r="F1687" s="131"/>
      <c r="G1687" s="607" t="str">
        <f ca="1">IF(OR(INDIRECT("'update Helper'!E"&amp;Q1687)="",F1687&lt;&gt;0,F1688&lt;&gt;0),IF(IFERROR((F1687/F1688),"")="","",(F1687/F1688)),INDIRECT("'update Helper'!E"&amp;Q1687)/100)</f>
        <v/>
      </c>
      <c r="H1687" s="597"/>
      <c r="I1687" s="599"/>
      <c r="J1687" s="531"/>
      <c r="K1687" s="130">
        <f>IF(AND(EXACT(C1687,C1685),C1685&lt;&gt;0),K1685+1,0)</f>
        <v>53</v>
      </c>
      <c r="L1687" s="130" t="str">
        <f t="shared" ref="L1687" si="1887">IF(C1687&lt;&gt;"",C1687&amp;"-"&amp;K1687,"")</f>
        <v/>
      </c>
      <c r="M1687" s="130" t="str">
        <f t="array" ref="M1687">IFERROR(IF(INDEX('Disaggregation Records'!$E$152:$E$513,MATCH(RIGHT(L1687,255),RIGHT('Disaggregation Records'!$D$152:$D$513,255),0))="","",INDEX('Disaggregation Records'!$E$152:$E$513,MATCH(RIGHT(L1687,255),RIGHT('Disaggregation Records'!$D$152:$D$513,255),0))),"")</f>
        <v/>
      </c>
      <c r="N1687" s="130" t="str">
        <f t="array" ref="N1687">IFERROR(IF(INDEX('Disaggregation Records'!$F$152:$F$513,MATCH(RIGHT(L1687,255),RIGHT('Disaggregation Records'!$D$152:$D$513,255),0))="","",INDEX('Disaggregation Records'!$F$152:$F$513,MATCH(RIGHT(L1687,255),RIGHT('Disaggregation Records'!$D$152:$D$513,255),0))),"")</f>
        <v/>
      </c>
      <c r="O1687" s="130" t="str">
        <f t="array" ref="O1687">IFERROR(IF(INDEX('Disaggregation Records'!$H$152:$H$513,MATCH(RIGHT(L1687,255),RIGHT('Disaggregation Records'!$D$152:$D$513,255),0))="","",INDEX('Disaggregation Records'!$H$152:$H$513,MATCH(RIGHT(L1687,255),RIGHT('Disaggregation Records'!$D$152:$D$513,255),0))),"")</f>
        <v/>
      </c>
      <c r="Q1687" s="52">
        <f t="shared" ref="Q1687" si="1888">Q1685+1</f>
        <v>2028</v>
      </c>
    </row>
    <row r="1688" spans="1:17" ht="20.100000000000001" customHeight="1" x14ac:dyDescent="0.25">
      <c r="B1688" s="602"/>
      <c r="C1688" s="604"/>
      <c r="D1688" s="606"/>
      <c r="E1688" s="606"/>
      <c r="F1688" s="132"/>
      <c r="G1688" s="608"/>
      <c r="H1688" s="598"/>
      <c r="I1688" s="600"/>
      <c r="J1688" s="532"/>
      <c r="L1688" s="130"/>
      <c r="N1688" s="130"/>
      <c r="O1688" s="130"/>
    </row>
    <row r="1689" spans="1:17" ht="20.100000000000001" customHeight="1" x14ac:dyDescent="0.25">
      <c r="A1689" s="130" t="str">
        <f t="shared" ca="1" si="1847"/>
        <v>a16Dm000000LZi8IAG</v>
      </c>
      <c r="B1689" s="601">
        <v>27</v>
      </c>
      <c r="C1689" s="603" t="str">
        <f>IFERROR(VLOOKUP(B1689,'Coverage Indicators - Section D'!$A$9:$AO$70,41,FALSE),"")</f>
        <v/>
      </c>
      <c r="D1689" s="605" t="str">
        <f>M1689</f>
        <v/>
      </c>
      <c r="E1689" s="605" t="str">
        <f>N1689</f>
        <v/>
      </c>
      <c r="F1689" s="131"/>
      <c r="G1689" s="607" t="str">
        <f ca="1">IF(OR(INDIRECT("'update Helper'!E"&amp;Q1689)="",F1689&lt;&gt;0,F1690&lt;&gt;0),IF(IFERROR((F1689/F1690),"")="","",(F1689/F1690)),INDIRECT("'update Helper'!E"&amp;Q1689)/100)</f>
        <v/>
      </c>
      <c r="H1689" s="597"/>
      <c r="I1689" s="599"/>
      <c r="J1689" s="531"/>
      <c r="K1689" s="130">
        <f>IF(AND(EXACT(C1689,C1687),C1687&lt;&gt;0),K1687+1,0)</f>
        <v>54</v>
      </c>
      <c r="L1689" s="130" t="str">
        <f t="shared" ref="L1689" si="1889">IF(C1689&lt;&gt;"",C1689&amp;"-"&amp;K1689,"")</f>
        <v/>
      </c>
      <c r="M1689" s="130" t="str">
        <f t="array" ref="M1689">IFERROR(IF(INDEX('Disaggregation Records'!$E$152:$E$513,MATCH(RIGHT(L1689,255),RIGHT('Disaggregation Records'!$D$152:$D$513,255),0))="","",INDEX('Disaggregation Records'!$E$152:$E$513,MATCH(RIGHT(L1689,255),RIGHT('Disaggregation Records'!$D$152:$D$513,255),0))),"")</f>
        <v/>
      </c>
      <c r="N1689" s="130" t="str">
        <f t="array" ref="N1689">IFERROR(IF(INDEX('Disaggregation Records'!$F$152:$F$513,MATCH(RIGHT(L1689,255),RIGHT('Disaggregation Records'!$D$152:$D$513,255),0))="","",INDEX('Disaggregation Records'!$F$152:$F$513,MATCH(RIGHT(L1689,255),RIGHT('Disaggregation Records'!$D$152:$D$513,255),0))),"")</f>
        <v/>
      </c>
      <c r="O1689" s="130" t="str">
        <f t="array" ref="O1689">IFERROR(IF(INDEX('Disaggregation Records'!$H$152:$H$513,MATCH(RIGHT(L1689,255),RIGHT('Disaggregation Records'!$D$152:$D$513,255),0))="","",INDEX('Disaggregation Records'!$H$152:$H$513,MATCH(RIGHT(L1689,255),RIGHT('Disaggregation Records'!$D$152:$D$513,255),0))),"")</f>
        <v/>
      </c>
      <c r="Q1689" s="52">
        <f t="shared" ref="Q1689" si="1890">Q1687+1</f>
        <v>2029</v>
      </c>
    </row>
    <row r="1690" spans="1:17" ht="20.100000000000001" customHeight="1" x14ac:dyDescent="0.25">
      <c r="A1690" s="130"/>
      <c r="B1690" s="602"/>
      <c r="C1690" s="604"/>
      <c r="D1690" s="606"/>
      <c r="E1690" s="606"/>
      <c r="F1690" s="132"/>
      <c r="G1690" s="608"/>
      <c r="H1690" s="598"/>
      <c r="I1690" s="600"/>
      <c r="J1690" s="532"/>
      <c r="L1690" s="130"/>
      <c r="N1690" s="130"/>
      <c r="O1690" s="130"/>
    </row>
    <row r="1691" spans="1:17" ht="20.100000000000001" customHeight="1" x14ac:dyDescent="0.25">
      <c r="A1691" s="130" t="str">
        <f t="shared" ca="1" si="1850"/>
        <v>a16Dm000000LZi9IAG</v>
      </c>
      <c r="B1691" s="601">
        <v>27</v>
      </c>
      <c r="C1691" s="603" t="str">
        <f>IFERROR(VLOOKUP(B1691,'Coverage Indicators - Section D'!$A$9:$AO$70,41,FALSE),"")</f>
        <v/>
      </c>
      <c r="D1691" s="605" t="str">
        <f>M1691</f>
        <v/>
      </c>
      <c r="E1691" s="605" t="str">
        <f>N1691</f>
        <v/>
      </c>
      <c r="F1691" s="131"/>
      <c r="G1691" s="607" t="str">
        <f ca="1">IF(OR(INDIRECT("'update Helper'!E"&amp;Q1691)="",F1691&lt;&gt;0,F1692&lt;&gt;0),IF(IFERROR((F1691/F1692),"")="","",(F1691/F1692)),INDIRECT("'update Helper'!E"&amp;Q1691)/100)</f>
        <v/>
      </c>
      <c r="H1691" s="597"/>
      <c r="I1691" s="599"/>
      <c r="J1691" s="531"/>
      <c r="K1691" s="130">
        <f>IF(AND(EXACT(C1691,C1689),C1689&lt;&gt;0),K1689+1,0)</f>
        <v>55</v>
      </c>
      <c r="L1691" s="130" t="str">
        <f t="shared" ref="L1691" si="1891">IF(C1691&lt;&gt;"",C1691&amp;"-"&amp;K1691,"")</f>
        <v/>
      </c>
      <c r="M1691" s="130" t="str">
        <f t="array" ref="M1691">IFERROR(IF(INDEX('Disaggregation Records'!$E$152:$E$513,MATCH(RIGHT(L1691,255),RIGHT('Disaggregation Records'!$D$152:$D$513,255),0))="","",INDEX('Disaggregation Records'!$E$152:$E$513,MATCH(RIGHT(L1691,255),RIGHT('Disaggregation Records'!$D$152:$D$513,255),0))),"")</f>
        <v/>
      </c>
      <c r="N1691" s="130" t="str">
        <f t="array" ref="N1691">IFERROR(IF(INDEX('Disaggregation Records'!$F$152:$F$513,MATCH(RIGHT(L1691,255),RIGHT('Disaggregation Records'!$D$152:$D$513,255),0))="","",INDEX('Disaggregation Records'!$F$152:$F$513,MATCH(RIGHT(L1691,255),RIGHT('Disaggregation Records'!$D$152:$D$513,255),0))),"")</f>
        <v/>
      </c>
      <c r="O1691" s="130" t="str">
        <f t="array" ref="O1691">IFERROR(IF(INDEX('Disaggregation Records'!$H$152:$H$513,MATCH(RIGHT(L1691,255),RIGHT('Disaggregation Records'!$D$152:$D$513,255),0))="","",INDEX('Disaggregation Records'!$H$152:$H$513,MATCH(RIGHT(L1691,255),RIGHT('Disaggregation Records'!$D$152:$D$513,255),0))),"")</f>
        <v/>
      </c>
      <c r="P1691" s="130"/>
      <c r="Q1691" s="52">
        <f t="shared" ref="Q1691" si="1892">Q1689+1</f>
        <v>2030</v>
      </c>
    </row>
    <row r="1692" spans="1:17" ht="20.100000000000001" customHeight="1" x14ac:dyDescent="0.25">
      <c r="B1692" s="602"/>
      <c r="C1692" s="604"/>
      <c r="D1692" s="606"/>
      <c r="E1692" s="606"/>
      <c r="F1692" s="132"/>
      <c r="G1692" s="608"/>
      <c r="H1692" s="598"/>
      <c r="I1692" s="600"/>
      <c r="J1692" s="532"/>
      <c r="K1692" s="130"/>
      <c r="L1692" s="130"/>
      <c r="M1692" s="130"/>
      <c r="N1692" s="130"/>
      <c r="O1692" s="130"/>
      <c r="P1692" s="130"/>
    </row>
    <row r="1693" spans="1:17" ht="20.100000000000001" customHeight="1" x14ac:dyDescent="0.25">
      <c r="A1693" s="130" t="str">
        <f t="shared" ca="1" si="1847"/>
        <v>a16Dm000000LZiAIAW</v>
      </c>
      <c r="B1693" s="601">
        <v>27</v>
      </c>
      <c r="C1693" s="603" t="str">
        <f>IFERROR(VLOOKUP(B1693,'Coverage Indicators - Section D'!$A$9:$AO$70,41,FALSE),"")</f>
        <v/>
      </c>
      <c r="D1693" s="605" t="str">
        <f>M1693</f>
        <v/>
      </c>
      <c r="E1693" s="605" t="str">
        <f>N1693</f>
        <v/>
      </c>
      <c r="F1693" s="131"/>
      <c r="G1693" s="607" t="str">
        <f ca="1">IF(OR(INDIRECT("'update Helper'!E"&amp;Q1693)="",F1693&lt;&gt;0,F1694&lt;&gt;0),IF(IFERROR((F1693/F1694),"")="","",(F1693/F1694)),INDIRECT("'update Helper'!E"&amp;Q1693)/100)</f>
        <v/>
      </c>
      <c r="H1693" s="597"/>
      <c r="I1693" s="599"/>
      <c r="J1693" s="531"/>
      <c r="K1693" s="130">
        <f>IF(AND(EXACT(C1693,C1691),C1691&lt;&gt;0),K1691+1,0)</f>
        <v>56</v>
      </c>
      <c r="L1693" s="130" t="str">
        <f t="shared" ref="L1693" si="1893">IF(C1693&lt;&gt;"",C1693&amp;"-"&amp;K1693,"")</f>
        <v/>
      </c>
      <c r="M1693" s="130" t="str">
        <f t="array" ref="M1693">IFERROR(IF(INDEX('Disaggregation Records'!$E$152:$E$513,MATCH(RIGHT(L1693,255),RIGHT('Disaggregation Records'!$D$152:$D$513,255),0))="","",INDEX('Disaggregation Records'!$E$152:$E$513,MATCH(RIGHT(L1693,255),RIGHT('Disaggregation Records'!$D$152:$D$513,255),0))),"")</f>
        <v/>
      </c>
      <c r="N1693" s="130" t="str">
        <f t="array" ref="N1693">IFERROR(IF(INDEX('Disaggregation Records'!$F$152:$F$513,MATCH(RIGHT(L1693,255),RIGHT('Disaggregation Records'!$D$152:$D$513,255),0))="","",INDEX('Disaggregation Records'!$F$152:$F$513,MATCH(RIGHT(L1693,255),RIGHT('Disaggregation Records'!$D$152:$D$513,255),0))),"")</f>
        <v/>
      </c>
      <c r="O1693" s="130" t="str">
        <f t="array" ref="O1693">IFERROR(IF(INDEX('Disaggregation Records'!$H$152:$H$513,MATCH(RIGHT(L1693,255),RIGHT('Disaggregation Records'!$D$152:$D$513,255),0))="","",INDEX('Disaggregation Records'!$H$152:$H$513,MATCH(RIGHT(L1693,255),RIGHT('Disaggregation Records'!$D$152:$D$513,255),0))),"")</f>
        <v/>
      </c>
      <c r="P1693" s="130"/>
      <c r="Q1693" s="52">
        <f t="shared" ref="Q1693" si="1894">Q1691+1</f>
        <v>2031</v>
      </c>
    </row>
    <row r="1694" spans="1:17" ht="20.100000000000001" customHeight="1" x14ac:dyDescent="0.25">
      <c r="A1694" s="130"/>
      <c r="B1694" s="602"/>
      <c r="C1694" s="604"/>
      <c r="D1694" s="606"/>
      <c r="E1694" s="606"/>
      <c r="F1694" s="132"/>
      <c r="G1694" s="608"/>
      <c r="H1694" s="598"/>
      <c r="I1694" s="600"/>
      <c r="J1694" s="532"/>
      <c r="K1694" s="130"/>
      <c r="L1694" s="130"/>
      <c r="M1694" s="130"/>
      <c r="N1694" s="130"/>
      <c r="O1694" s="130"/>
      <c r="P1694" s="130"/>
    </row>
    <row r="1695" spans="1:17" ht="20.100000000000001" customHeight="1" x14ac:dyDescent="0.25">
      <c r="A1695" s="130" t="str">
        <f t="shared" ca="1" si="1850"/>
        <v>a16Dm000000LZiBIAW</v>
      </c>
      <c r="B1695" s="601">
        <v>27</v>
      </c>
      <c r="C1695" s="603" t="str">
        <f>IFERROR(VLOOKUP(B1695,'Coverage Indicators - Section D'!$A$9:$AO$70,41,FALSE),"")</f>
        <v/>
      </c>
      <c r="D1695" s="605" t="str">
        <f>M1695</f>
        <v/>
      </c>
      <c r="E1695" s="605" t="str">
        <f>N1695</f>
        <v/>
      </c>
      <c r="F1695" s="131"/>
      <c r="G1695" s="607" t="str">
        <f ca="1">IF(OR(INDIRECT("'update Helper'!E"&amp;Q1695)="",F1695&lt;&gt;0,F1696&lt;&gt;0),IF(IFERROR((F1695/F1696),"")="","",(F1695/F1696)),INDIRECT("'update Helper'!E"&amp;Q1695)/100)</f>
        <v/>
      </c>
      <c r="H1695" s="597"/>
      <c r="I1695" s="599"/>
      <c r="J1695" s="531"/>
      <c r="K1695" s="130">
        <f>IF(AND(EXACT(C1695,C1693),C1693&lt;&gt;0),K1693+1,0)</f>
        <v>57</v>
      </c>
      <c r="L1695" s="130" t="str">
        <f t="shared" ref="L1695" si="1895">IF(C1695&lt;&gt;"",C1695&amp;"-"&amp;K1695,"")</f>
        <v/>
      </c>
      <c r="M1695" s="130" t="str">
        <f t="array" ref="M1695">IFERROR(IF(INDEX('Disaggregation Records'!$E$152:$E$513,MATCH(RIGHT(L1695,255),RIGHT('Disaggregation Records'!$D$152:$D$513,255),0))="","",INDEX('Disaggregation Records'!$E$152:$E$513,MATCH(RIGHT(L1695,255),RIGHT('Disaggregation Records'!$D$152:$D$513,255),0))),"")</f>
        <v/>
      </c>
      <c r="N1695" s="130" t="str">
        <f t="array" ref="N1695">IFERROR(IF(INDEX('Disaggregation Records'!$F$152:$F$513,MATCH(RIGHT(L1695,255),RIGHT('Disaggregation Records'!$D$152:$D$513,255),0))="","",INDEX('Disaggregation Records'!$F$152:$F$513,MATCH(RIGHT(L1695,255),RIGHT('Disaggregation Records'!$D$152:$D$513,255),0))),"")</f>
        <v/>
      </c>
      <c r="O1695" s="130" t="str">
        <f t="array" ref="O1695">IFERROR(IF(INDEX('Disaggregation Records'!$H$152:$H$513,MATCH(RIGHT(L1695,255),RIGHT('Disaggregation Records'!$D$152:$D$513,255),0))="","",INDEX('Disaggregation Records'!$H$152:$H$513,MATCH(RIGHT(L1695,255),RIGHT('Disaggregation Records'!$D$152:$D$513,255),0))),"")</f>
        <v/>
      </c>
      <c r="Q1695" s="52">
        <f t="shared" ref="Q1695" si="1896">Q1693+1</f>
        <v>2032</v>
      </c>
    </row>
    <row r="1696" spans="1:17" ht="20.100000000000001" customHeight="1" x14ac:dyDescent="0.25">
      <c r="B1696" s="602"/>
      <c r="C1696" s="604"/>
      <c r="D1696" s="606"/>
      <c r="E1696" s="606"/>
      <c r="F1696" s="132"/>
      <c r="G1696" s="608"/>
      <c r="H1696" s="598"/>
      <c r="I1696" s="600"/>
      <c r="J1696" s="532"/>
      <c r="L1696" s="130"/>
      <c r="N1696" s="130"/>
      <c r="O1696" s="130"/>
    </row>
    <row r="1697" spans="1:17" ht="20.100000000000001" customHeight="1" x14ac:dyDescent="0.25">
      <c r="A1697" s="130" t="str">
        <f t="shared" ca="1" si="1847"/>
        <v>a16Dm000000LZiCIAW</v>
      </c>
      <c r="B1697" s="601">
        <v>27</v>
      </c>
      <c r="C1697" s="603" t="str">
        <f>IFERROR(VLOOKUP(B1697,'Coverage Indicators - Section D'!$A$9:$AO$70,41,FALSE),"")</f>
        <v/>
      </c>
      <c r="D1697" s="605" t="str">
        <f>M1697</f>
        <v/>
      </c>
      <c r="E1697" s="605" t="str">
        <f>N1697</f>
        <v/>
      </c>
      <c r="F1697" s="131"/>
      <c r="G1697" s="607" t="str">
        <f ca="1">IF(OR(INDIRECT("'update Helper'!E"&amp;Q1697)="",F1697&lt;&gt;0,F1698&lt;&gt;0),IF(IFERROR((F1697/F1698),"")="","",(F1697/F1698)),INDIRECT("'update Helper'!E"&amp;Q1697)/100)</f>
        <v/>
      </c>
      <c r="H1697" s="597"/>
      <c r="I1697" s="599"/>
      <c r="J1697" s="531"/>
      <c r="K1697" s="130">
        <f>IF(AND(EXACT(C1697,C1695),C1695&lt;&gt;0),K1695+1,0)</f>
        <v>58</v>
      </c>
      <c r="L1697" s="130" t="str">
        <f t="shared" ref="L1697" si="1897">IF(C1697&lt;&gt;"",C1697&amp;"-"&amp;K1697,"")</f>
        <v/>
      </c>
      <c r="M1697" s="130" t="str">
        <f t="array" ref="M1697">IFERROR(IF(INDEX('Disaggregation Records'!$E$152:$E$513,MATCH(RIGHT(L1697,255),RIGHT('Disaggregation Records'!$D$152:$D$513,255),0))="","",INDEX('Disaggregation Records'!$E$152:$E$513,MATCH(RIGHT(L1697,255),RIGHT('Disaggregation Records'!$D$152:$D$513,255),0))),"")</f>
        <v/>
      </c>
      <c r="N1697" s="130" t="str">
        <f t="array" ref="N1697">IFERROR(IF(INDEX('Disaggregation Records'!$F$152:$F$513,MATCH(RIGHT(L1697,255),RIGHT('Disaggregation Records'!$D$152:$D$513,255),0))="","",INDEX('Disaggregation Records'!$F$152:$F$513,MATCH(RIGHT(L1697,255),RIGHT('Disaggregation Records'!$D$152:$D$513,255),0))),"")</f>
        <v/>
      </c>
      <c r="O1697" s="130" t="str">
        <f t="array" ref="O1697">IFERROR(IF(INDEX('Disaggregation Records'!$H$152:$H$513,MATCH(RIGHT(L1697,255),RIGHT('Disaggregation Records'!$D$152:$D$513,255),0))="","",INDEX('Disaggregation Records'!$H$152:$H$513,MATCH(RIGHT(L1697,255),RIGHT('Disaggregation Records'!$D$152:$D$513,255),0))),"")</f>
        <v/>
      </c>
      <c r="Q1697" s="52">
        <f t="shared" ref="Q1697" si="1898">Q1695+1</f>
        <v>2033</v>
      </c>
    </row>
    <row r="1698" spans="1:17" ht="20.100000000000001" customHeight="1" x14ac:dyDescent="0.25">
      <c r="A1698" s="130"/>
      <c r="B1698" s="602"/>
      <c r="C1698" s="604"/>
      <c r="D1698" s="606"/>
      <c r="E1698" s="606"/>
      <c r="F1698" s="132"/>
      <c r="G1698" s="608"/>
      <c r="H1698" s="598"/>
      <c r="I1698" s="600"/>
      <c r="J1698" s="532"/>
      <c r="L1698" s="130"/>
      <c r="N1698" s="130"/>
      <c r="O1698" s="130"/>
    </row>
    <row r="1699" spans="1:17" ht="20.100000000000001" customHeight="1" x14ac:dyDescent="0.25">
      <c r="A1699" s="130" t="str">
        <f t="shared" ca="1" si="1850"/>
        <v>a16Dm000000LZiDIAW</v>
      </c>
      <c r="B1699" s="601">
        <v>27</v>
      </c>
      <c r="C1699" s="603" t="str">
        <f>IFERROR(VLOOKUP(B1699,'Coverage Indicators - Section D'!$A$9:$AO$70,41,FALSE),"")</f>
        <v/>
      </c>
      <c r="D1699" s="605" t="str">
        <f>M1699</f>
        <v/>
      </c>
      <c r="E1699" s="605" t="str">
        <f>N1699</f>
        <v/>
      </c>
      <c r="F1699" s="131"/>
      <c r="G1699" s="607" t="str">
        <f ca="1">IF(OR(INDIRECT("'update Helper'!E"&amp;Q1699)="",F1699&lt;&gt;0,F1700&lt;&gt;0),IF(IFERROR((F1699/F1700),"")="","",(F1699/F1700)),INDIRECT("'update Helper'!E"&amp;Q1699)/100)</f>
        <v/>
      </c>
      <c r="H1699" s="597"/>
      <c r="I1699" s="599"/>
      <c r="J1699" s="531"/>
      <c r="K1699" s="130">
        <f>IF(AND(EXACT(C1699,C1697),C1697&lt;&gt;0),K1697+1,0)</f>
        <v>59</v>
      </c>
      <c r="L1699" s="130" t="str">
        <f t="shared" ref="L1699" si="1899">IF(C1699&lt;&gt;"",C1699&amp;"-"&amp;K1699,"")</f>
        <v/>
      </c>
      <c r="M1699" s="130" t="str">
        <f t="array" ref="M1699">IFERROR(IF(INDEX('Disaggregation Records'!$E$152:$E$513,MATCH(RIGHT(L1699,255),RIGHT('Disaggregation Records'!$D$152:$D$513,255),0))="","",INDEX('Disaggregation Records'!$E$152:$E$513,MATCH(RIGHT(L1699,255),RIGHT('Disaggregation Records'!$D$152:$D$513,255),0))),"")</f>
        <v/>
      </c>
      <c r="N1699" s="130" t="str">
        <f t="array" ref="N1699">IFERROR(IF(INDEX('Disaggregation Records'!$F$152:$F$513,MATCH(RIGHT(L1699,255),RIGHT('Disaggregation Records'!$D$152:$D$513,255),0))="","",INDEX('Disaggregation Records'!$F$152:$F$513,MATCH(RIGHT(L1699,255),RIGHT('Disaggregation Records'!$D$152:$D$513,255),0))),"")</f>
        <v/>
      </c>
      <c r="O1699" s="130" t="str">
        <f t="array" ref="O1699">IFERROR(IF(INDEX('Disaggregation Records'!$H$152:$H$513,MATCH(RIGHT(L1699,255),RIGHT('Disaggregation Records'!$D$152:$D$513,255),0))="","",INDEX('Disaggregation Records'!$H$152:$H$513,MATCH(RIGHT(L1699,255),RIGHT('Disaggregation Records'!$D$152:$D$513,255),0))),"")</f>
        <v/>
      </c>
      <c r="Q1699" s="52">
        <f t="shared" ref="Q1699" si="1900">Q1697+1</f>
        <v>2034</v>
      </c>
    </row>
    <row r="1700" spans="1:17" ht="20.100000000000001" customHeight="1" x14ac:dyDescent="0.25">
      <c r="B1700" s="602"/>
      <c r="C1700" s="604"/>
      <c r="D1700" s="606"/>
      <c r="E1700" s="606"/>
      <c r="F1700" s="132"/>
      <c r="G1700" s="608"/>
      <c r="H1700" s="598"/>
      <c r="I1700" s="600"/>
      <c r="J1700" s="532"/>
      <c r="L1700" s="130"/>
      <c r="N1700" s="130"/>
      <c r="O1700" s="130"/>
    </row>
    <row r="1701" spans="1:17" ht="20.100000000000001" customHeight="1" x14ac:dyDescent="0.25">
      <c r="A1701" s="130" t="str">
        <f t="shared" ca="1" si="1847"/>
        <v>a16Dm000000LZiEIAW</v>
      </c>
      <c r="B1701" s="601">
        <v>28</v>
      </c>
      <c r="C1701" s="603" t="str">
        <f>IFERROR(VLOOKUP(B1701,'Coverage Indicators - Section D'!$A$9:$AO$70,41,FALSE),"")</f>
        <v/>
      </c>
      <c r="D1701" s="605" t="str">
        <f>M1701</f>
        <v/>
      </c>
      <c r="E1701" s="605" t="str">
        <f>N1701</f>
        <v/>
      </c>
      <c r="F1701" s="131"/>
      <c r="G1701" s="607" t="str">
        <f ca="1">IF(OR(INDIRECT("'update Helper'!E"&amp;Q1701)="",F1701&lt;&gt;0,F1702&lt;&gt;0),IF(IFERROR((F1701/F1702),"")="","",(F1701/F1702)),INDIRECT("'update Helper'!E"&amp;Q1701)/100)</f>
        <v/>
      </c>
      <c r="H1701" s="597"/>
      <c r="I1701" s="599"/>
      <c r="J1701" s="531"/>
      <c r="K1701" s="130">
        <f>IF(AND(EXACT(C1701,C1699),C1699&lt;&gt;0),K1699+1,0)</f>
        <v>60</v>
      </c>
      <c r="L1701" s="130" t="str">
        <f t="shared" ref="L1701" si="1901">IF(C1701&lt;&gt;"",C1701&amp;"-"&amp;K1701,"")</f>
        <v/>
      </c>
      <c r="M1701" s="130" t="str">
        <f t="array" ref="M1701">IFERROR(IF(INDEX('Disaggregation Records'!$E$152:$E$513,MATCH(RIGHT(L1701,255),RIGHT('Disaggregation Records'!$D$152:$D$513,255),0))="","",INDEX('Disaggregation Records'!$E$152:$E$513,MATCH(RIGHT(L1701,255),RIGHT('Disaggregation Records'!$D$152:$D$513,255),0))),"")</f>
        <v/>
      </c>
      <c r="N1701" s="130" t="str">
        <f t="array" ref="N1701">IFERROR(IF(INDEX('Disaggregation Records'!$F$152:$F$513,MATCH(RIGHT(L1701,255),RIGHT('Disaggregation Records'!$D$152:$D$513,255),0))="","",INDEX('Disaggregation Records'!$F$152:$F$513,MATCH(RIGHT(L1701,255),RIGHT('Disaggregation Records'!$D$152:$D$513,255),0))),"")</f>
        <v/>
      </c>
      <c r="O1701" s="130" t="str">
        <f t="array" ref="O1701">IFERROR(IF(INDEX('Disaggregation Records'!$H$152:$H$513,MATCH(RIGHT(L1701,255),RIGHT('Disaggregation Records'!$D$152:$D$513,255),0))="","",INDEX('Disaggregation Records'!$H$152:$H$513,MATCH(RIGHT(L1701,255),RIGHT('Disaggregation Records'!$D$152:$D$513,255),0))),"")</f>
        <v/>
      </c>
      <c r="P1701" s="130"/>
      <c r="Q1701" s="52">
        <f t="shared" ref="Q1701" si="1902">Q1699+1</f>
        <v>2035</v>
      </c>
    </row>
    <row r="1702" spans="1:17" ht="20.100000000000001" customHeight="1" x14ac:dyDescent="0.25">
      <c r="A1702" s="130"/>
      <c r="B1702" s="602"/>
      <c r="C1702" s="604"/>
      <c r="D1702" s="606"/>
      <c r="E1702" s="606"/>
      <c r="F1702" s="132"/>
      <c r="G1702" s="608"/>
      <c r="H1702" s="598"/>
      <c r="I1702" s="600"/>
      <c r="J1702" s="532"/>
      <c r="K1702" s="130"/>
      <c r="L1702" s="130"/>
      <c r="M1702" s="130"/>
      <c r="N1702" s="130"/>
      <c r="O1702" s="130"/>
      <c r="P1702" s="130"/>
    </row>
    <row r="1703" spans="1:17" ht="20.100000000000001" customHeight="1" x14ac:dyDescent="0.25">
      <c r="A1703" s="130" t="str">
        <f t="shared" ca="1" si="1850"/>
        <v>a16Dm000000LZiFIAW</v>
      </c>
      <c r="B1703" s="601">
        <v>28</v>
      </c>
      <c r="C1703" s="603" t="str">
        <f>IFERROR(VLOOKUP(B1703,'Coverage Indicators - Section D'!$A$9:$AO$70,41,FALSE),"")</f>
        <v/>
      </c>
      <c r="D1703" s="605" t="str">
        <f>M1703</f>
        <v/>
      </c>
      <c r="E1703" s="605" t="str">
        <f>N1703</f>
        <v/>
      </c>
      <c r="F1703" s="131"/>
      <c r="G1703" s="607" t="str">
        <f ca="1">IF(OR(INDIRECT("'update Helper'!E"&amp;Q1703)="",F1703&lt;&gt;0,F1704&lt;&gt;0),IF(IFERROR((F1703/F1704),"")="","",(F1703/F1704)),INDIRECT("'update Helper'!E"&amp;Q1703)/100)</f>
        <v/>
      </c>
      <c r="H1703" s="597"/>
      <c r="I1703" s="599"/>
      <c r="J1703" s="531"/>
      <c r="K1703" s="130">
        <f>IF(AND(EXACT(C1703,C1701),C1701&lt;&gt;0),K1701+1,0)</f>
        <v>61</v>
      </c>
      <c r="L1703" s="130" t="str">
        <f t="shared" ref="L1703" si="1903">IF(C1703&lt;&gt;"",C1703&amp;"-"&amp;K1703,"")</f>
        <v/>
      </c>
      <c r="M1703" s="130" t="str">
        <f t="array" ref="M1703">IFERROR(IF(INDEX('Disaggregation Records'!$E$152:$E$513,MATCH(RIGHT(L1703,255),RIGHT('Disaggregation Records'!$D$152:$D$513,255),0))="","",INDEX('Disaggregation Records'!$E$152:$E$513,MATCH(RIGHT(L1703,255),RIGHT('Disaggregation Records'!$D$152:$D$513,255),0))),"")</f>
        <v/>
      </c>
      <c r="N1703" s="130" t="str">
        <f t="array" ref="N1703">IFERROR(IF(INDEX('Disaggregation Records'!$F$152:$F$513,MATCH(RIGHT(L1703,255),RIGHT('Disaggregation Records'!$D$152:$D$513,255),0))="","",INDEX('Disaggregation Records'!$F$152:$F$513,MATCH(RIGHT(L1703,255),RIGHT('Disaggregation Records'!$D$152:$D$513,255),0))),"")</f>
        <v/>
      </c>
      <c r="O1703" s="130" t="str">
        <f t="array" ref="O1703">IFERROR(IF(INDEX('Disaggregation Records'!$H$152:$H$513,MATCH(RIGHT(L1703,255),RIGHT('Disaggregation Records'!$D$152:$D$513,255),0))="","",INDEX('Disaggregation Records'!$H$152:$H$513,MATCH(RIGHT(L1703,255),RIGHT('Disaggregation Records'!$D$152:$D$513,255),0))),"")</f>
        <v/>
      </c>
      <c r="P1703" s="130"/>
      <c r="Q1703" s="52">
        <f t="shared" ref="Q1703" si="1904">Q1701+1</f>
        <v>2036</v>
      </c>
    </row>
    <row r="1704" spans="1:17" ht="20.100000000000001" customHeight="1" x14ac:dyDescent="0.25">
      <c r="B1704" s="602"/>
      <c r="C1704" s="604"/>
      <c r="D1704" s="606"/>
      <c r="E1704" s="606"/>
      <c r="F1704" s="132"/>
      <c r="G1704" s="608"/>
      <c r="H1704" s="598"/>
      <c r="I1704" s="600"/>
      <c r="J1704" s="532"/>
      <c r="K1704" s="130"/>
      <c r="L1704" s="130"/>
      <c r="M1704" s="130"/>
      <c r="N1704" s="130"/>
      <c r="O1704" s="130"/>
      <c r="P1704" s="130"/>
    </row>
    <row r="1705" spans="1:17" ht="20.100000000000001" customHeight="1" x14ac:dyDescent="0.25">
      <c r="A1705" s="130" t="str">
        <f t="shared" ca="1" si="1847"/>
        <v>a16Dm000000LZiGIAW</v>
      </c>
      <c r="B1705" s="601">
        <v>28</v>
      </c>
      <c r="C1705" s="603" t="str">
        <f>IFERROR(VLOOKUP(B1705,'Coverage Indicators - Section D'!$A$9:$AO$70,41,FALSE),"")</f>
        <v/>
      </c>
      <c r="D1705" s="605" t="str">
        <f>M1705</f>
        <v/>
      </c>
      <c r="E1705" s="605" t="str">
        <f>N1705</f>
        <v/>
      </c>
      <c r="F1705" s="131"/>
      <c r="G1705" s="607" t="str">
        <f ca="1">IF(OR(INDIRECT("'update Helper'!E"&amp;Q1705)="",F1705&lt;&gt;0,F1706&lt;&gt;0),IF(IFERROR((F1705/F1706),"")="","",(F1705/F1706)),INDIRECT("'update Helper'!E"&amp;Q1705)/100)</f>
        <v/>
      </c>
      <c r="H1705" s="597"/>
      <c r="I1705" s="599"/>
      <c r="J1705" s="531"/>
      <c r="K1705" s="130">
        <f>IF(AND(EXACT(C1705,C1703),C1703&lt;&gt;0),K1703+1,0)</f>
        <v>62</v>
      </c>
      <c r="L1705" s="130" t="str">
        <f t="shared" ref="L1705" si="1905">IF(C1705&lt;&gt;"",C1705&amp;"-"&amp;K1705,"")</f>
        <v/>
      </c>
      <c r="M1705" s="130" t="str">
        <f t="array" ref="M1705">IFERROR(IF(INDEX('Disaggregation Records'!$E$152:$E$513,MATCH(RIGHT(L1705,255),RIGHT('Disaggregation Records'!$D$152:$D$513,255),0))="","",INDEX('Disaggregation Records'!$E$152:$E$513,MATCH(RIGHT(L1705,255),RIGHT('Disaggregation Records'!$D$152:$D$513,255),0))),"")</f>
        <v/>
      </c>
      <c r="N1705" s="130" t="str">
        <f t="array" ref="N1705">IFERROR(IF(INDEX('Disaggregation Records'!$F$152:$F$513,MATCH(RIGHT(L1705,255),RIGHT('Disaggregation Records'!$D$152:$D$513,255),0))="","",INDEX('Disaggregation Records'!$F$152:$F$513,MATCH(RIGHT(L1705,255),RIGHT('Disaggregation Records'!$D$152:$D$513,255),0))),"")</f>
        <v/>
      </c>
      <c r="O1705" s="130" t="str">
        <f t="array" ref="O1705">IFERROR(IF(INDEX('Disaggregation Records'!$H$152:$H$513,MATCH(RIGHT(L1705,255),RIGHT('Disaggregation Records'!$D$152:$D$513,255),0))="","",INDEX('Disaggregation Records'!$H$152:$H$513,MATCH(RIGHT(L1705,255),RIGHT('Disaggregation Records'!$D$152:$D$513,255),0))),"")</f>
        <v/>
      </c>
      <c r="Q1705" s="52">
        <f t="shared" ref="Q1705" si="1906">Q1703+1</f>
        <v>2037</v>
      </c>
    </row>
    <row r="1706" spans="1:17" ht="20.100000000000001" customHeight="1" x14ac:dyDescent="0.25">
      <c r="A1706" s="130"/>
      <c r="B1706" s="602"/>
      <c r="C1706" s="604"/>
      <c r="D1706" s="606"/>
      <c r="E1706" s="606"/>
      <c r="F1706" s="132"/>
      <c r="G1706" s="608"/>
      <c r="H1706" s="598"/>
      <c r="I1706" s="600"/>
      <c r="J1706" s="532"/>
      <c r="L1706" s="130"/>
      <c r="N1706" s="130"/>
      <c r="O1706" s="130"/>
    </row>
    <row r="1707" spans="1:17" ht="20.100000000000001" customHeight="1" x14ac:dyDescent="0.25">
      <c r="A1707" s="130" t="str">
        <f t="shared" ca="1" si="1850"/>
        <v>a16Dm000000LZiHIAW</v>
      </c>
      <c r="B1707" s="601">
        <v>28</v>
      </c>
      <c r="C1707" s="603" t="str">
        <f>IFERROR(VLOOKUP(B1707,'Coverage Indicators - Section D'!$A$9:$AO$70,41,FALSE),"")</f>
        <v/>
      </c>
      <c r="D1707" s="605" t="str">
        <f>M1707</f>
        <v/>
      </c>
      <c r="E1707" s="605" t="str">
        <f>N1707</f>
        <v/>
      </c>
      <c r="F1707" s="131"/>
      <c r="G1707" s="607" t="str">
        <f ca="1">IF(OR(INDIRECT("'update Helper'!E"&amp;Q1707)="",F1707&lt;&gt;0,F1708&lt;&gt;0),IF(IFERROR((F1707/F1708),"")="","",(F1707/F1708)),INDIRECT("'update Helper'!E"&amp;Q1707)/100)</f>
        <v/>
      </c>
      <c r="H1707" s="597"/>
      <c r="I1707" s="599"/>
      <c r="J1707" s="531"/>
      <c r="K1707" s="130">
        <f>IF(AND(EXACT(C1707,C1705),C1705&lt;&gt;0),K1705+1,0)</f>
        <v>63</v>
      </c>
      <c r="L1707" s="130" t="str">
        <f t="shared" ref="L1707" si="1907">IF(C1707&lt;&gt;"",C1707&amp;"-"&amp;K1707,"")</f>
        <v/>
      </c>
      <c r="M1707" s="130" t="str">
        <f t="array" ref="M1707">IFERROR(IF(INDEX('Disaggregation Records'!$E$152:$E$513,MATCH(RIGHT(L1707,255),RIGHT('Disaggregation Records'!$D$152:$D$513,255),0))="","",INDEX('Disaggregation Records'!$E$152:$E$513,MATCH(RIGHT(L1707,255),RIGHT('Disaggregation Records'!$D$152:$D$513,255),0))),"")</f>
        <v/>
      </c>
      <c r="N1707" s="130" t="str">
        <f t="array" ref="N1707">IFERROR(IF(INDEX('Disaggregation Records'!$F$152:$F$513,MATCH(RIGHT(L1707,255),RIGHT('Disaggregation Records'!$D$152:$D$513,255),0))="","",INDEX('Disaggregation Records'!$F$152:$F$513,MATCH(RIGHT(L1707,255),RIGHT('Disaggregation Records'!$D$152:$D$513,255),0))),"")</f>
        <v/>
      </c>
      <c r="O1707" s="130" t="str">
        <f t="array" ref="O1707">IFERROR(IF(INDEX('Disaggregation Records'!$H$152:$H$513,MATCH(RIGHT(L1707,255),RIGHT('Disaggregation Records'!$D$152:$D$513,255),0))="","",INDEX('Disaggregation Records'!$H$152:$H$513,MATCH(RIGHT(L1707,255),RIGHT('Disaggregation Records'!$D$152:$D$513,255),0))),"")</f>
        <v/>
      </c>
      <c r="Q1707" s="52">
        <f t="shared" ref="Q1707" si="1908">Q1705+1</f>
        <v>2038</v>
      </c>
    </row>
    <row r="1708" spans="1:17" ht="20.100000000000001" customHeight="1" x14ac:dyDescent="0.25">
      <c r="B1708" s="602"/>
      <c r="C1708" s="604"/>
      <c r="D1708" s="606"/>
      <c r="E1708" s="606"/>
      <c r="F1708" s="132"/>
      <c r="G1708" s="608"/>
      <c r="H1708" s="598"/>
      <c r="I1708" s="600"/>
      <c r="J1708" s="532"/>
      <c r="L1708" s="130"/>
      <c r="N1708" s="130"/>
      <c r="O1708" s="130"/>
    </row>
    <row r="1709" spans="1:17" ht="20.100000000000001" customHeight="1" x14ac:dyDescent="0.25">
      <c r="A1709" s="130" t="str">
        <f t="shared" ca="1" si="1847"/>
        <v>a16Dm000000LZiIIAW</v>
      </c>
      <c r="B1709" s="601">
        <v>28</v>
      </c>
      <c r="C1709" s="603" t="str">
        <f>IFERROR(VLOOKUP(B1709,'Coverage Indicators - Section D'!$A$9:$AO$70,41,FALSE),"")</f>
        <v/>
      </c>
      <c r="D1709" s="605" t="str">
        <f>M1709</f>
        <v/>
      </c>
      <c r="E1709" s="605" t="str">
        <f>N1709</f>
        <v/>
      </c>
      <c r="F1709" s="131"/>
      <c r="G1709" s="607" t="str">
        <f ca="1">IF(OR(INDIRECT("'update Helper'!E"&amp;Q1709)="",F1709&lt;&gt;0,F1710&lt;&gt;0),IF(IFERROR((F1709/F1710),"")="","",(F1709/F1710)),INDIRECT("'update Helper'!E"&amp;Q1709)/100)</f>
        <v/>
      </c>
      <c r="H1709" s="597"/>
      <c r="I1709" s="599"/>
      <c r="J1709" s="531"/>
      <c r="K1709" s="130">
        <f>IF(AND(EXACT(C1709,C1707),C1707&lt;&gt;0),K1707+1,0)</f>
        <v>64</v>
      </c>
      <c r="L1709" s="130" t="str">
        <f t="shared" ref="L1709" si="1909">IF(C1709&lt;&gt;"",C1709&amp;"-"&amp;K1709,"")</f>
        <v/>
      </c>
      <c r="M1709" s="130" t="str">
        <f t="array" ref="M1709">IFERROR(IF(INDEX('Disaggregation Records'!$E$152:$E$513,MATCH(RIGHT(L1709,255),RIGHT('Disaggregation Records'!$D$152:$D$513,255),0))="","",INDEX('Disaggregation Records'!$E$152:$E$513,MATCH(RIGHT(L1709,255),RIGHT('Disaggregation Records'!$D$152:$D$513,255),0))),"")</f>
        <v/>
      </c>
      <c r="N1709" s="130" t="str">
        <f t="array" ref="N1709">IFERROR(IF(INDEX('Disaggregation Records'!$F$152:$F$513,MATCH(RIGHT(L1709,255),RIGHT('Disaggregation Records'!$D$152:$D$513,255),0))="","",INDEX('Disaggregation Records'!$F$152:$F$513,MATCH(RIGHT(L1709,255),RIGHT('Disaggregation Records'!$D$152:$D$513,255),0))),"")</f>
        <v/>
      </c>
      <c r="O1709" s="130" t="str">
        <f t="array" ref="O1709">IFERROR(IF(INDEX('Disaggregation Records'!$H$152:$H$513,MATCH(RIGHT(L1709,255),RIGHT('Disaggregation Records'!$D$152:$D$513,255),0))="","",INDEX('Disaggregation Records'!$H$152:$H$513,MATCH(RIGHT(L1709,255),RIGHT('Disaggregation Records'!$D$152:$D$513,255),0))),"")</f>
        <v/>
      </c>
      <c r="Q1709" s="52">
        <f t="shared" ref="Q1709" si="1910">Q1707+1</f>
        <v>2039</v>
      </c>
    </row>
    <row r="1710" spans="1:17" ht="20.100000000000001" customHeight="1" x14ac:dyDescent="0.25">
      <c r="A1710" s="130"/>
      <c r="B1710" s="602"/>
      <c r="C1710" s="604"/>
      <c r="D1710" s="606"/>
      <c r="E1710" s="606"/>
      <c r="F1710" s="132"/>
      <c r="G1710" s="608"/>
      <c r="H1710" s="598"/>
      <c r="I1710" s="600"/>
      <c r="J1710" s="532"/>
      <c r="L1710" s="130"/>
      <c r="N1710" s="130"/>
      <c r="O1710" s="130"/>
    </row>
    <row r="1711" spans="1:17" ht="20.100000000000001" customHeight="1" x14ac:dyDescent="0.25">
      <c r="A1711" s="130" t="str">
        <f t="shared" ca="1" si="1850"/>
        <v>a16Dm000000LZiJIAW</v>
      </c>
      <c r="B1711" s="601">
        <v>28</v>
      </c>
      <c r="C1711" s="603" t="str">
        <f>IFERROR(VLOOKUP(B1711,'Coverage Indicators - Section D'!$A$9:$AO$70,41,FALSE),"")</f>
        <v/>
      </c>
      <c r="D1711" s="605" t="str">
        <f>M1711</f>
        <v/>
      </c>
      <c r="E1711" s="605" t="str">
        <f>N1711</f>
        <v/>
      </c>
      <c r="F1711" s="131"/>
      <c r="G1711" s="607" t="str">
        <f ca="1">IF(OR(INDIRECT("'update Helper'!E"&amp;Q1711)="",F1711&lt;&gt;0,F1712&lt;&gt;0),IF(IFERROR((F1711/F1712),"")="","",(F1711/F1712)),INDIRECT("'update Helper'!E"&amp;Q1711)/100)</f>
        <v/>
      </c>
      <c r="H1711" s="597"/>
      <c r="I1711" s="599"/>
      <c r="J1711" s="531"/>
      <c r="K1711" s="130">
        <f>IF(AND(EXACT(C1711,C1709),C1709&lt;&gt;0),K1709+1,0)</f>
        <v>65</v>
      </c>
      <c r="L1711" s="130" t="str">
        <f t="shared" ref="L1711" si="1911">IF(C1711&lt;&gt;"",C1711&amp;"-"&amp;K1711,"")</f>
        <v/>
      </c>
      <c r="M1711" s="130" t="str">
        <f t="array" ref="M1711">IFERROR(IF(INDEX('Disaggregation Records'!$E$152:$E$513,MATCH(RIGHT(L1711,255),RIGHT('Disaggregation Records'!$D$152:$D$513,255),0))="","",INDEX('Disaggregation Records'!$E$152:$E$513,MATCH(RIGHT(L1711,255),RIGHT('Disaggregation Records'!$D$152:$D$513,255),0))),"")</f>
        <v/>
      </c>
      <c r="N1711" s="130" t="str">
        <f t="array" ref="N1711">IFERROR(IF(INDEX('Disaggregation Records'!$F$152:$F$513,MATCH(RIGHT(L1711,255),RIGHT('Disaggregation Records'!$D$152:$D$513,255),0))="","",INDEX('Disaggregation Records'!$F$152:$F$513,MATCH(RIGHT(L1711,255),RIGHT('Disaggregation Records'!$D$152:$D$513,255),0))),"")</f>
        <v/>
      </c>
      <c r="O1711" s="130" t="str">
        <f t="array" ref="O1711">IFERROR(IF(INDEX('Disaggregation Records'!$H$152:$H$513,MATCH(RIGHT(L1711,255),RIGHT('Disaggregation Records'!$D$152:$D$513,255),0))="","",INDEX('Disaggregation Records'!$H$152:$H$513,MATCH(RIGHT(L1711,255),RIGHT('Disaggregation Records'!$D$152:$D$513,255),0))),"")</f>
        <v/>
      </c>
      <c r="P1711" s="130"/>
      <c r="Q1711" s="52">
        <f t="shared" ref="Q1711" si="1912">Q1709+1</f>
        <v>2040</v>
      </c>
    </row>
    <row r="1712" spans="1:17" ht="20.100000000000001" customHeight="1" x14ac:dyDescent="0.25">
      <c r="B1712" s="602"/>
      <c r="C1712" s="604"/>
      <c r="D1712" s="606"/>
      <c r="E1712" s="606"/>
      <c r="F1712" s="132"/>
      <c r="G1712" s="608"/>
      <c r="H1712" s="598"/>
      <c r="I1712" s="600"/>
      <c r="J1712" s="532"/>
      <c r="K1712" s="130"/>
      <c r="L1712" s="130"/>
      <c r="M1712" s="130"/>
      <c r="N1712" s="130"/>
      <c r="O1712" s="130"/>
      <c r="P1712" s="130"/>
    </row>
    <row r="1713" spans="1:17" ht="20.100000000000001" customHeight="1" x14ac:dyDescent="0.25">
      <c r="A1713" s="130" t="str">
        <f t="shared" ref="A1713:A1773" ca="1" si="1913">INDIRECT("'update Helper'!C"&amp;Q1713)</f>
        <v>a16Dm000000LZiKIAW</v>
      </c>
      <c r="B1713" s="601">
        <v>28</v>
      </c>
      <c r="C1713" s="603" t="str">
        <f>IFERROR(VLOOKUP(B1713,'Coverage Indicators - Section D'!$A$9:$AO$70,41,FALSE),"")</f>
        <v/>
      </c>
      <c r="D1713" s="605" t="str">
        <f>M1713</f>
        <v/>
      </c>
      <c r="E1713" s="605" t="str">
        <f>N1713</f>
        <v/>
      </c>
      <c r="F1713" s="131"/>
      <c r="G1713" s="607" t="str">
        <f ca="1">IF(OR(INDIRECT("'update Helper'!E"&amp;Q1713)="",F1713&lt;&gt;0,F1714&lt;&gt;0),IF(IFERROR((F1713/F1714),"")="","",(F1713/F1714)),INDIRECT("'update Helper'!E"&amp;Q1713)/100)</f>
        <v/>
      </c>
      <c r="H1713" s="597"/>
      <c r="I1713" s="599"/>
      <c r="J1713" s="531"/>
      <c r="K1713" s="130">
        <f>IF(AND(EXACT(C1713,C1711),C1711&lt;&gt;0),K1711+1,0)</f>
        <v>66</v>
      </c>
      <c r="L1713" s="130" t="str">
        <f t="shared" ref="L1713" si="1914">IF(C1713&lt;&gt;"",C1713&amp;"-"&amp;K1713,"")</f>
        <v/>
      </c>
      <c r="M1713" s="130" t="str">
        <f t="array" ref="M1713">IFERROR(IF(INDEX('Disaggregation Records'!$E$152:$E$513,MATCH(RIGHT(L1713,255),RIGHT('Disaggregation Records'!$D$152:$D$513,255),0))="","",INDEX('Disaggregation Records'!$E$152:$E$513,MATCH(RIGHT(L1713,255),RIGHT('Disaggregation Records'!$D$152:$D$513,255),0))),"")</f>
        <v/>
      </c>
      <c r="N1713" s="130" t="str">
        <f t="array" ref="N1713">IFERROR(IF(INDEX('Disaggregation Records'!$F$152:$F$513,MATCH(RIGHT(L1713,255),RIGHT('Disaggregation Records'!$D$152:$D$513,255),0))="","",INDEX('Disaggregation Records'!$F$152:$F$513,MATCH(RIGHT(L1713,255),RIGHT('Disaggregation Records'!$D$152:$D$513,255),0))),"")</f>
        <v/>
      </c>
      <c r="O1713" s="130" t="str">
        <f t="array" ref="O1713">IFERROR(IF(INDEX('Disaggregation Records'!$H$152:$H$513,MATCH(RIGHT(L1713,255),RIGHT('Disaggregation Records'!$D$152:$D$513,255),0))="","",INDEX('Disaggregation Records'!$H$152:$H$513,MATCH(RIGHT(L1713,255),RIGHT('Disaggregation Records'!$D$152:$D$513,255),0))),"")</f>
        <v/>
      </c>
      <c r="P1713" s="130"/>
      <c r="Q1713" s="52">
        <f t="shared" ref="Q1713" si="1915">Q1711+1</f>
        <v>2041</v>
      </c>
    </row>
    <row r="1714" spans="1:17" ht="20.100000000000001" customHeight="1" x14ac:dyDescent="0.25">
      <c r="A1714" s="130"/>
      <c r="B1714" s="602"/>
      <c r="C1714" s="604"/>
      <c r="D1714" s="606"/>
      <c r="E1714" s="606"/>
      <c r="F1714" s="132"/>
      <c r="G1714" s="608"/>
      <c r="H1714" s="598"/>
      <c r="I1714" s="600"/>
      <c r="J1714" s="532"/>
      <c r="K1714" s="130"/>
      <c r="L1714" s="130"/>
      <c r="M1714" s="130"/>
      <c r="N1714" s="130"/>
      <c r="O1714" s="130"/>
      <c r="P1714" s="130"/>
    </row>
    <row r="1715" spans="1:17" ht="20.100000000000001" customHeight="1" x14ac:dyDescent="0.25">
      <c r="A1715" s="130" t="str">
        <f t="shared" ref="A1715:A1775" ca="1" si="1916">INDIRECT("'update Helper'!C"&amp;Q1715)</f>
        <v>a16Dm000000LZiLIAW</v>
      </c>
      <c r="B1715" s="601">
        <v>28</v>
      </c>
      <c r="C1715" s="603" t="str">
        <f>IFERROR(VLOOKUP(B1715,'Coverage Indicators - Section D'!$A$9:$AO$70,41,FALSE),"")</f>
        <v/>
      </c>
      <c r="D1715" s="605" t="str">
        <f>M1715</f>
        <v/>
      </c>
      <c r="E1715" s="605" t="str">
        <f>N1715</f>
        <v/>
      </c>
      <c r="F1715" s="131"/>
      <c r="G1715" s="607" t="str">
        <f ca="1">IF(OR(INDIRECT("'update Helper'!E"&amp;Q1715)="",F1715&lt;&gt;0,F1716&lt;&gt;0),IF(IFERROR((F1715/F1716),"")="","",(F1715/F1716)),INDIRECT("'update Helper'!E"&amp;Q1715)/100)</f>
        <v/>
      </c>
      <c r="H1715" s="597"/>
      <c r="I1715" s="599"/>
      <c r="J1715" s="531"/>
      <c r="K1715" s="130">
        <f>IF(AND(EXACT(C1715,C1713),C1713&lt;&gt;0),K1713+1,0)</f>
        <v>67</v>
      </c>
      <c r="L1715" s="130" t="str">
        <f t="shared" ref="L1715" si="1917">IF(C1715&lt;&gt;"",C1715&amp;"-"&amp;K1715,"")</f>
        <v/>
      </c>
      <c r="M1715" s="130" t="str">
        <f t="array" ref="M1715">IFERROR(IF(INDEX('Disaggregation Records'!$E$152:$E$513,MATCH(RIGHT(L1715,255),RIGHT('Disaggregation Records'!$D$152:$D$513,255),0))="","",INDEX('Disaggregation Records'!$E$152:$E$513,MATCH(RIGHT(L1715,255),RIGHT('Disaggregation Records'!$D$152:$D$513,255),0))),"")</f>
        <v/>
      </c>
      <c r="N1715" s="130" t="str">
        <f t="array" ref="N1715">IFERROR(IF(INDEX('Disaggregation Records'!$F$152:$F$513,MATCH(RIGHT(L1715,255),RIGHT('Disaggregation Records'!$D$152:$D$513,255),0))="","",INDEX('Disaggregation Records'!$F$152:$F$513,MATCH(RIGHT(L1715,255),RIGHT('Disaggregation Records'!$D$152:$D$513,255),0))),"")</f>
        <v/>
      </c>
      <c r="O1715" s="130" t="str">
        <f t="array" ref="O1715">IFERROR(IF(INDEX('Disaggregation Records'!$H$152:$H$513,MATCH(RIGHT(L1715,255),RIGHT('Disaggregation Records'!$D$152:$D$513,255),0))="","",INDEX('Disaggregation Records'!$H$152:$H$513,MATCH(RIGHT(L1715,255),RIGHT('Disaggregation Records'!$D$152:$D$513,255),0))),"")</f>
        <v/>
      </c>
      <c r="Q1715" s="52">
        <f t="shared" ref="Q1715" si="1918">Q1713+1</f>
        <v>2042</v>
      </c>
    </row>
    <row r="1716" spans="1:17" ht="20.100000000000001" customHeight="1" x14ac:dyDescent="0.25">
      <c r="B1716" s="602"/>
      <c r="C1716" s="604"/>
      <c r="D1716" s="606"/>
      <c r="E1716" s="606"/>
      <c r="F1716" s="132"/>
      <c r="G1716" s="608"/>
      <c r="H1716" s="598"/>
      <c r="I1716" s="600"/>
      <c r="J1716" s="532"/>
      <c r="L1716" s="130"/>
      <c r="N1716" s="130"/>
      <c r="O1716" s="130"/>
    </row>
    <row r="1717" spans="1:17" ht="20.100000000000001" customHeight="1" x14ac:dyDescent="0.25">
      <c r="A1717" s="130" t="str">
        <f t="shared" ca="1" si="1913"/>
        <v>a16Dm000000LZiMIAW</v>
      </c>
      <c r="B1717" s="601">
        <v>28</v>
      </c>
      <c r="C1717" s="603" t="str">
        <f>IFERROR(VLOOKUP(B1717,'Coverage Indicators - Section D'!$A$9:$AO$70,41,FALSE),"")</f>
        <v/>
      </c>
      <c r="D1717" s="605" t="str">
        <f>M1717</f>
        <v/>
      </c>
      <c r="E1717" s="605" t="str">
        <f>N1717</f>
        <v/>
      </c>
      <c r="F1717" s="131"/>
      <c r="G1717" s="607" t="str">
        <f ca="1">IF(OR(INDIRECT("'update Helper'!E"&amp;Q1717)="",F1717&lt;&gt;0,F1718&lt;&gt;0),IF(IFERROR((F1717/F1718),"")="","",(F1717/F1718)),INDIRECT("'update Helper'!E"&amp;Q1717)/100)</f>
        <v/>
      </c>
      <c r="H1717" s="597"/>
      <c r="I1717" s="599"/>
      <c r="J1717" s="531"/>
      <c r="K1717" s="130">
        <f>IF(AND(EXACT(C1717,C1715),C1715&lt;&gt;0),K1715+1,0)</f>
        <v>68</v>
      </c>
      <c r="L1717" s="130" t="str">
        <f t="shared" ref="L1717" si="1919">IF(C1717&lt;&gt;"",C1717&amp;"-"&amp;K1717,"")</f>
        <v/>
      </c>
      <c r="M1717" s="130" t="str">
        <f t="array" ref="M1717">IFERROR(IF(INDEX('Disaggregation Records'!$E$152:$E$513,MATCH(RIGHT(L1717,255),RIGHT('Disaggregation Records'!$D$152:$D$513,255),0))="","",INDEX('Disaggregation Records'!$E$152:$E$513,MATCH(RIGHT(L1717,255),RIGHT('Disaggregation Records'!$D$152:$D$513,255),0))),"")</f>
        <v/>
      </c>
      <c r="N1717" s="130" t="str">
        <f t="array" ref="N1717">IFERROR(IF(INDEX('Disaggregation Records'!$F$152:$F$513,MATCH(RIGHT(L1717,255),RIGHT('Disaggregation Records'!$D$152:$D$513,255),0))="","",INDEX('Disaggregation Records'!$F$152:$F$513,MATCH(RIGHT(L1717,255),RIGHT('Disaggregation Records'!$D$152:$D$513,255),0))),"")</f>
        <v/>
      </c>
      <c r="O1717" s="130" t="str">
        <f t="array" ref="O1717">IFERROR(IF(INDEX('Disaggregation Records'!$H$152:$H$513,MATCH(RIGHT(L1717,255),RIGHT('Disaggregation Records'!$D$152:$D$513,255),0))="","",INDEX('Disaggregation Records'!$H$152:$H$513,MATCH(RIGHT(L1717,255),RIGHT('Disaggregation Records'!$D$152:$D$513,255),0))),"")</f>
        <v/>
      </c>
      <c r="Q1717" s="52">
        <f t="shared" ref="Q1717" si="1920">Q1715+1</f>
        <v>2043</v>
      </c>
    </row>
    <row r="1718" spans="1:17" ht="20.100000000000001" customHeight="1" x14ac:dyDescent="0.25">
      <c r="A1718" s="130"/>
      <c r="B1718" s="602"/>
      <c r="C1718" s="604"/>
      <c r="D1718" s="606"/>
      <c r="E1718" s="606"/>
      <c r="F1718" s="132"/>
      <c r="G1718" s="608"/>
      <c r="H1718" s="598"/>
      <c r="I1718" s="600"/>
      <c r="J1718" s="532"/>
      <c r="L1718" s="130"/>
      <c r="N1718" s="130"/>
      <c r="O1718" s="130"/>
    </row>
    <row r="1719" spans="1:17" ht="20.100000000000001" customHeight="1" x14ac:dyDescent="0.25">
      <c r="A1719" s="130" t="str">
        <f t="shared" ca="1" si="1916"/>
        <v>a16Dm000000LZiNIAW</v>
      </c>
      <c r="B1719" s="601">
        <v>28</v>
      </c>
      <c r="C1719" s="603" t="str">
        <f>IFERROR(VLOOKUP(B1719,'Coverage Indicators - Section D'!$A$9:$AO$70,41,FALSE),"")</f>
        <v/>
      </c>
      <c r="D1719" s="605" t="str">
        <f>M1719</f>
        <v/>
      </c>
      <c r="E1719" s="605" t="str">
        <f>N1719</f>
        <v/>
      </c>
      <c r="F1719" s="131"/>
      <c r="G1719" s="607" t="str">
        <f ca="1">IF(OR(INDIRECT("'update Helper'!E"&amp;Q1719)="",F1719&lt;&gt;0,F1720&lt;&gt;0),IF(IFERROR((F1719/F1720),"")="","",(F1719/F1720)),INDIRECT("'update Helper'!E"&amp;Q1719)/100)</f>
        <v/>
      </c>
      <c r="H1719" s="597"/>
      <c r="I1719" s="599"/>
      <c r="J1719" s="531"/>
      <c r="K1719" s="130">
        <f>IF(AND(EXACT(C1719,C1717),C1717&lt;&gt;0),K1717+1,0)</f>
        <v>69</v>
      </c>
      <c r="L1719" s="130" t="str">
        <f t="shared" ref="L1719" si="1921">IF(C1719&lt;&gt;"",C1719&amp;"-"&amp;K1719,"")</f>
        <v/>
      </c>
      <c r="M1719" s="130" t="str">
        <f t="array" ref="M1719">IFERROR(IF(INDEX('Disaggregation Records'!$E$152:$E$513,MATCH(RIGHT(L1719,255),RIGHT('Disaggregation Records'!$D$152:$D$513,255),0))="","",INDEX('Disaggregation Records'!$E$152:$E$513,MATCH(RIGHT(L1719,255),RIGHT('Disaggregation Records'!$D$152:$D$513,255),0))),"")</f>
        <v/>
      </c>
      <c r="N1719" s="130" t="str">
        <f t="array" ref="N1719">IFERROR(IF(INDEX('Disaggregation Records'!$F$152:$F$513,MATCH(RIGHT(L1719,255),RIGHT('Disaggregation Records'!$D$152:$D$513,255),0))="","",INDEX('Disaggregation Records'!$F$152:$F$513,MATCH(RIGHT(L1719,255),RIGHT('Disaggregation Records'!$D$152:$D$513,255),0))),"")</f>
        <v/>
      </c>
      <c r="O1719" s="130" t="str">
        <f t="array" ref="O1719">IFERROR(IF(INDEX('Disaggregation Records'!$H$152:$H$513,MATCH(RIGHT(L1719,255),RIGHT('Disaggregation Records'!$D$152:$D$513,255),0))="","",INDEX('Disaggregation Records'!$H$152:$H$513,MATCH(RIGHT(L1719,255),RIGHT('Disaggregation Records'!$D$152:$D$513,255),0))),"")</f>
        <v/>
      </c>
      <c r="Q1719" s="52">
        <f t="shared" ref="Q1719" si="1922">Q1717+1</f>
        <v>2044</v>
      </c>
    </row>
    <row r="1720" spans="1:17" ht="20.100000000000001" customHeight="1" x14ac:dyDescent="0.25">
      <c r="B1720" s="602"/>
      <c r="C1720" s="604"/>
      <c r="D1720" s="606"/>
      <c r="E1720" s="606"/>
      <c r="F1720" s="132"/>
      <c r="G1720" s="608"/>
      <c r="H1720" s="598"/>
      <c r="I1720" s="600"/>
      <c r="J1720" s="532"/>
      <c r="L1720" s="130"/>
      <c r="N1720" s="130"/>
      <c r="O1720" s="130"/>
    </row>
    <row r="1721" spans="1:17" ht="20.100000000000001" customHeight="1" x14ac:dyDescent="0.25">
      <c r="A1721" s="130" t="str">
        <f t="shared" ca="1" si="1913"/>
        <v>a16Dm000000LZiOIAW</v>
      </c>
      <c r="B1721" s="601">
        <v>28</v>
      </c>
      <c r="C1721" s="603" t="str">
        <f>IFERROR(VLOOKUP(B1721,'Coverage Indicators - Section D'!$A$9:$AO$70,41,FALSE),"")</f>
        <v/>
      </c>
      <c r="D1721" s="605" t="str">
        <f>M1721</f>
        <v/>
      </c>
      <c r="E1721" s="605" t="str">
        <f>N1721</f>
        <v/>
      </c>
      <c r="F1721" s="131"/>
      <c r="G1721" s="607" t="str">
        <f ca="1">IF(OR(INDIRECT("'update Helper'!E"&amp;Q1721)="",F1721&lt;&gt;0,F1722&lt;&gt;0),IF(IFERROR((F1721/F1722),"")="","",(F1721/F1722)),INDIRECT("'update Helper'!E"&amp;Q1721)/100)</f>
        <v/>
      </c>
      <c r="H1721" s="597"/>
      <c r="I1721" s="599"/>
      <c r="J1721" s="531"/>
      <c r="K1721" s="130">
        <f>IF(AND(EXACT(C1721,C1719),C1719&lt;&gt;0),K1719+1,0)</f>
        <v>70</v>
      </c>
      <c r="L1721" s="130" t="str">
        <f t="shared" ref="L1721" si="1923">IF(C1721&lt;&gt;"",C1721&amp;"-"&amp;K1721,"")</f>
        <v/>
      </c>
      <c r="M1721" s="130" t="str">
        <f t="array" ref="M1721">IFERROR(IF(INDEX('Disaggregation Records'!$E$152:$E$513,MATCH(RIGHT(L1721,255),RIGHT('Disaggregation Records'!$D$152:$D$513,255),0))="","",INDEX('Disaggregation Records'!$E$152:$E$513,MATCH(RIGHT(L1721,255),RIGHT('Disaggregation Records'!$D$152:$D$513,255),0))),"")</f>
        <v/>
      </c>
      <c r="N1721" s="130" t="str">
        <f t="array" ref="N1721">IFERROR(IF(INDEX('Disaggregation Records'!$F$152:$F$513,MATCH(RIGHT(L1721,255),RIGHT('Disaggregation Records'!$D$152:$D$513,255),0))="","",INDEX('Disaggregation Records'!$F$152:$F$513,MATCH(RIGHT(L1721,255),RIGHT('Disaggregation Records'!$D$152:$D$513,255),0))),"")</f>
        <v/>
      </c>
      <c r="O1721" s="130" t="str">
        <f t="array" ref="O1721">IFERROR(IF(INDEX('Disaggregation Records'!$H$152:$H$513,MATCH(RIGHT(L1721,255),RIGHT('Disaggregation Records'!$D$152:$D$513,255),0))="","",INDEX('Disaggregation Records'!$H$152:$H$513,MATCH(RIGHT(L1721,255),RIGHT('Disaggregation Records'!$D$152:$D$513,255),0))),"")</f>
        <v/>
      </c>
      <c r="P1721" s="130"/>
      <c r="Q1721" s="52">
        <f t="shared" ref="Q1721" si="1924">Q1719+1</f>
        <v>2045</v>
      </c>
    </row>
    <row r="1722" spans="1:17" ht="20.100000000000001" customHeight="1" x14ac:dyDescent="0.25">
      <c r="A1722" s="130"/>
      <c r="B1722" s="602"/>
      <c r="C1722" s="604"/>
      <c r="D1722" s="606"/>
      <c r="E1722" s="606"/>
      <c r="F1722" s="132"/>
      <c r="G1722" s="608"/>
      <c r="H1722" s="598"/>
      <c r="I1722" s="600"/>
      <c r="J1722" s="532"/>
      <c r="K1722" s="130"/>
      <c r="L1722" s="130"/>
      <c r="M1722" s="130"/>
      <c r="N1722" s="130"/>
      <c r="O1722" s="130"/>
      <c r="P1722" s="130"/>
    </row>
    <row r="1723" spans="1:17" ht="20.100000000000001" customHeight="1" x14ac:dyDescent="0.25">
      <c r="A1723" s="130" t="str">
        <f t="shared" ca="1" si="1916"/>
        <v>a16Dm000000LZiPIAW</v>
      </c>
      <c r="B1723" s="601">
        <v>28</v>
      </c>
      <c r="C1723" s="603" t="str">
        <f>IFERROR(VLOOKUP(B1723,'Coverage Indicators - Section D'!$A$9:$AO$70,41,FALSE),"")</f>
        <v/>
      </c>
      <c r="D1723" s="605" t="str">
        <f>M1723</f>
        <v/>
      </c>
      <c r="E1723" s="605" t="str">
        <f>N1723</f>
        <v/>
      </c>
      <c r="F1723" s="131"/>
      <c r="G1723" s="607" t="str">
        <f ca="1">IF(OR(INDIRECT("'update Helper'!E"&amp;Q1723)="",F1723&lt;&gt;0,F1724&lt;&gt;0),IF(IFERROR((F1723/F1724),"")="","",(F1723/F1724)),INDIRECT("'update Helper'!E"&amp;Q1723)/100)</f>
        <v/>
      </c>
      <c r="H1723" s="597"/>
      <c r="I1723" s="599"/>
      <c r="J1723" s="531"/>
      <c r="K1723" s="130">
        <f>IF(AND(EXACT(C1723,C1721),C1721&lt;&gt;0),K1721+1,0)</f>
        <v>71</v>
      </c>
      <c r="L1723" s="130" t="str">
        <f t="shared" ref="L1723" si="1925">IF(C1723&lt;&gt;"",C1723&amp;"-"&amp;K1723,"")</f>
        <v/>
      </c>
      <c r="M1723" s="130" t="str">
        <f t="array" ref="M1723">IFERROR(IF(INDEX('Disaggregation Records'!$E$152:$E$513,MATCH(RIGHT(L1723,255),RIGHT('Disaggregation Records'!$D$152:$D$513,255),0))="","",INDEX('Disaggregation Records'!$E$152:$E$513,MATCH(RIGHT(L1723,255),RIGHT('Disaggregation Records'!$D$152:$D$513,255),0))),"")</f>
        <v/>
      </c>
      <c r="N1723" s="130" t="str">
        <f t="array" ref="N1723">IFERROR(IF(INDEX('Disaggregation Records'!$F$152:$F$513,MATCH(RIGHT(L1723,255),RIGHT('Disaggregation Records'!$D$152:$D$513,255),0))="","",INDEX('Disaggregation Records'!$F$152:$F$513,MATCH(RIGHT(L1723,255),RIGHT('Disaggregation Records'!$D$152:$D$513,255),0))),"")</f>
        <v/>
      </c>
      <c r="O1723" s="130" t="str">
        <f t="array" ref="O1723">IFERROR(IF(INDEX('Disaggregation Records'!$H$152:$H$513,MATCH(RIGHT(L1723,255),RIGHT('Disaggregation Records'!$D$152:$D$513,255),0))="","",INDEX('Disaggregation Records'!$H$152:$H$513,MATCH(RIGHT(L1723,255),RIGHT('Disaggregation Records'!$D$152:$D$513,255),0))),"")</f>
        <v/>
      </c>
      <c r="P1723" s="130"/>
      <c r="Q1723" s="52">
        <f t="shared" ref="Q1723" si="1926">Q1721+1</f>
        <v>2046</v>
      </c>
    </row>
    <row r="1724" spans="1:17" ht="20.100000000000001" customHeight="1" x14ac:dyDescent="0.25">
      <c r="B1724" s="602"/>
      <c r="C1724" s="604"/>
      <c r="D1724" s="606"/>
      <c r="E1724" s="606"/>
      <c r="F1724" s="132"/>
      <c r="G1724" s="608"/>
      <c r="H1724" s="598"/>
      <c r="I1724" s="600"/>
      <c r="J1724" s="532"/>
      <c r="K1724" s="130"/>
      <c r="L1724" s="130"/>
      <c r="M1724" s="130"/>
      <c r="N1724" s="130"/>
      <c r="O1724" s="130"/>
      <c r="P1724" s="130"/>
    </row>
    <row r="1725" spans="1:17" ht="20.100000000000001" customHeight="1" x14ac:dyDescent="0.25">
      <c r="A1725" s="130" t="str">
        <f t="shared" ca="1" si="1913"/>
        <v>a16Dm000000LZiQIAW</v>
      </c>
      <c r="B1725" s="601">
        <v>28</v>
      </c>
      <c r="C1725" s="603" t="str">
        <f>IFERROR(VLOOKUP(B1725,'Coverage Indicators - Section D'!$A$9:$AO$70,41,FALSE),"")</f>
        <v/>
      </c>
      <c r="D1725" s="605" t="str">
        <f>M1725</f>
        <v/>
      </c>
      <c r="E1725" s="605" t="str">
        <f>N1725</f>
        <v/>
      </c>
      <c r="F1725" s="131"/>
      <c r="G1725" s="607" t="str">
        <f ca="1">IF(OR(INDIRECT("'update Helper'!E"&amp;Q1725)="",F1725&lt;&gt;0,F1726&lt;&gt;0),IF(IFERROR((F1725/F1726),"")="","",(F1725/F1726)),INDIRECT("'update Helper'!E"&amp;Q1725)/100)</f>
        <v/>
      </c>
      <c r="H1725" s="597"/>
      <c r="I1725" s="599"/>
      <c r="J1725" s="531"/>
      <c r="K1725" s="130">
        <f>IF(AND(EXACT(C1725,C1723),C1723&lt;&gt;0),K1723+1,0)</f>
        <v>72</v>
      </c>
      <c r="L1725" s="130" t="str">
        <f t="shared" ref="L1725" si="1927">IF(C1725&lt;&gt;"",C1725&amp;"-"&amp;K1725,"")</f>
        <v/>
      </c>
      <c r="M1725" s="130" t="str">
        <f t="array" ref="M1725">IFERROR(IF(INDEX('Disaggregation Records'!$E$152:$E$513,MATCH(RIGHT(L1725,255),RIGHT('Disaggregation Records'!$D$152:$D$513,255),0))="","",INDEX('Disaggregation Records'!$E$152:$E$513,MATCH(RIGHT(L1725,255),RIGHT('Disaggregation Records'!$D$152:$D$513,255),0))),"")</f>
        <v/>
      </c>
      <c r="N1725" s="130" t="str">
        <f t="array" ref="N1725">IFERROR(IF(INDEX('Disaggregation Records'!$F$152:$F$513,MATCH(RIGHT(L1725,255),RIGHT('Disaggregation Records'!$D$152:$D$513,255),0))="","",INDEX('Disaggregation Records'!$F$152:$F$513,MATCH(RIGHT(L1725,255),RIGHT('Disaggregation Records'!$D$152:$D$513,255),0))),"")</f>
        <v/>
      </c>
      <c r="O1725" s="130" t="str">
        <f t="array" ref="O1725">IFERROR(IF(INDEX('Disaggregation Records'!$H$152:$H$513,MATCH(RIGHT(L1725,255),RIGHT('Disaggregation Records'!$D$152:$D$513,255),0))="","",INDEX('Disaggregation Records'!$H$152:$H$513,MATCH(RIGHT(L1725,255),RIGHT('Disaggregation Records'!$D$152:$D$513,255),0))),"")</f>
        <v/>
      </c>
      <c r="Q1725" s="52">
        <f t="shared" ref="Q1725" si="1928">Q1723+1</f>
        <v>2047</v>
      </c>
    </row>
    <row r="1726" spans="1:17" ht="20.100000000000001" customHeight="1" x14ac:dyDescent="0.25">
      <c r="A1726" s="130"/>
      <c r="B1726" s="602"/>
      <c r="C1726" s="604"/>
      <c r="D1726" s="606"/>
      <c r="E1726" s="606"/>
      <c r="F1726" s="132"/>
      <c r="G1726" s="608"/>
      <c r="H1726" s="598"/>
      <c r="I1726" s="600"/>
      <c r="J1726" s="532"/>
      <c r="L1726" s="130"/>
      <c r="N1726" s="130"/>
      <c r="O1726" s="130"/>
    </row>
    <row r="1727" spans="1:17" ht="20.100000000000001" customHeight="1" x14ac:dyDescent="0.25">
      <c r="A1727" s="130" t="str">
        <f t="shared" ca="1" si="1916"/>
        <v>a16Dm000000LZiRIAW</v>
      </c>
      <c r="B1727" s="601">
        <v>28</v>
      </c>
      <c r="C1727" s="603" t="str">
        <f>IFERROR(VLOOKUP(B1727,'Coverage Indicators - Section D'!$A$9:$AO$70,41,FALSE),"")</f>
        <v/>
      </c>
      <c r="D1727" s="605" t="str">
        <f>M1727</f>
        <v/>
      </c>
      <c r="E1727" s="605" t="str">
        <f>N1727</f>
        <v/>
      </c>
      <c r="F1727" s="131"/>
      <c r="G1727" s="607" t="str">
        <f ca="1">IF(OR(INDIRECT("'update Helper'!E"&amp;Q1727)="",F1727&lt;&gt;0,F1728&lt;&gt;0),IF(IFERROR((F1727/F1728),"")="","",(F1727/F1728)),INDIRECT("'update Helper'!E"&amp;Q1727)/100)</f>
        <v/>
      </c>
      <c r="H1727" s="597"/>
      <c r="I1727" s="599"/>
      <c r="J1727" s="531"/>
      <c r="K1727" s="130">
        <f>IF(AND(EXACT(C1727,C1725),C1725&lt;&gt;0),K1725+1,0)</f>
        <v>73</v>
      </c>
      <c r="L1727" s="130" t="str">
        <f t="shared" ref="L1727" si="1929">IF(C1727&lt;&gt;"",C1727&amp;"-"&amp;K1727,"")</f>
        <v/>
      </c>
      <c r="M1727" s="130" t="str">
        <f t="array" ref="M1727">IFERROR(IF(INDEX('Disaggregation Records'!$E$152:$E$513,MATCH(RIGHT(L1727,255),RIGHT('Disaggregation Records'!$D$152:$D$513,255),0))="","",INDEX('Disaggregation Records'!$E$152:$E$513,MATCH(RIGHT(L1727,255),RIGHT('Disaggregation Records'!$D$152:$D$513,255),0))),"")</f>
        <v/>
      </c>
      <c r="N1727" s="130" t="str">
        <f t="array" ref="N1727">IFERROR(IF(INDEX('Disaggregation Records'!$F$152:$F$513,MATCH(RIGHT(L1727,255),RIGHT('Disaggregation Records'!$D$152:$D$513,255),0))="","",INDEX('Disaggregation Records'!$F$152:$F$513,MATCH(RIGHT(L1727,255),RIGHT('Disaggregation Records'!$D$152:$D$513,255),0))),"")</f>
        <v/>
      </c>
      <c r="O1727" s="130" t="str">
        <f t="array" ref="O1727">IFERROR(IF(INDEX('Disaggregation Records'!$H$152:$H$513,MATCH(RIGHT(L1727,255),RIGHT('Disaggregation Records'!$D$152:$D$513,255),0))="","",INDEX('Disaggregation Records'!$H$152:$H$513,MATCH(RIGHT(L1727,255),RIGHT('Disaggregation Records'!$D$152:$D$513,255),0))),"")</f>
        <v/>
      </c>
      <c r="Q1727" s="52">
        <f t="shared" ref="Q1727" si="1930">Q1725+1</f>
        <v>2048</v>
      </c>
    </row>
    <row r="1728" spans="1:17" ht="20.100000000000001" customHeight="1" x14ac:dyDescent="0.25">
      <c r="B1728" s="602"/>
      <c r="C1728" s="604"/>
      <c r="D1728" s="606"/>
      <c r="E1728" s="606"/>
      <c r="F1728" s="132"/>
      <c r="G1728" s="608"/>
      <c r="H1728" s="598"/>
      <c r="I1728" s="600"/>
      <c r="J1728" s="532"/>
      <c r="L1728" s="130"/>
      <c r="N1728" s="130"/>
      <c r="O1728" s="130"/>
    </row>
    <row r="1729" spans="1:17" ht="20.100000000000001" customHeight="1" x14ac:dyDescent="0.25">
      <c r="A1729" s="130" t="str">
        <f t="shared" ca="1" si="1913"/>
        <v>a16Dm000000LZiSIAW</v>
      </c>
      <c r="B1729" s="601">
        <v>28</v>
      </c>
      <c r="C1729" s="603" t="str">
        <f>IFERROR(VLOOKUP(B1729,'Coverage Indicators - Section D'!$A$9:$AO$70,41,FALSE),"")</f>
        <v/>
      </c>
      <c r="D1729" s="605" t="str">
        <f>M1729</f>
        <v/>
      </c>
      <c r="E1729" s="605" t="str">
        <f>N1729</f>
        <v/>
      </c>
      <c r="F1729" s="131"/>
      <c r="G1729" s="607" t="str">
        <f ca="1">IF(OR(INDIRECT("'update Helper'!E"&amp;Q1729)="",F1729&lt;&gt;0,F1730&lt;&gt;0),IF(IFERROR((F1729/F1730),"")="","",(F1729/F1730)),INDIRECT("'update Helper'!E"&amp;Q1729)/100)</f>
        <v/>
      </c>
      <c r="H1729" s="597"/>
      <c r="I1729" s="599"/>
      <c r="J1729" s="531"/>
      <c r="K1729" s="130">
        <f>IF(AND(EXACT(C1729,C1727),C1727&lt;&gt;0),K1727+1,0)</f>
        <v>74</v>
      </c>
      <c r="L1729" s="130" t="str">
        <f t="shared" ref="L1729" si="1931">IF(C1729&lt;&gt;"",C1729&amp;"-"&amp;K1729,"")</f>
        <v/>
      </c>
      <c r="M1729" s="130" t="str">
        <f t="array" ref="M1729">IFERROR(IF(INDEX('Disaggregation Records'!$E$152:$E$513,MATCH(RIGHT(L1729,255),RIGHT('Disaggregation Records'!$D$152:$D$513,255),0))="","",INDEX('Disaggregation Records'!$E$152:$E$513,MATCH(RIGHT(L1729,255),RIGHT('Disaggregation Records'!$D$152:$D$513,255),0))),"")</f>
        <v/>
      </c>
      <c r="N1729" s="130" t="str">
        <f t="array" ref="N1729">IFERROR(IF(INDEX('Disaggregation Records'!$F$152:$F$513,MATCH(RIGHT(L1729,255),RIGHT('Disaggregation Records'!$D$152:$D$513,255),0))="","",INDEX('Disaggregation Records'!$F$152:$F$513,MATCH(RIGHT(L1729,255),RIGHT('Disaggregation Records'!$D$152:$D$513,255),0))),"")</f>
        <v/>
      </c>
      <c r="O1729" s="130" t="str">
        <f t="array" ref="O1729">IFERROR(IF(INDEX('Disaggregation Records'!$H$152:$H$513,MATCH(RIGHT(L1729,255),RIGHT('Disaggregation Records'!$D$152:$D$513,255),0))="","",INDEX('Disaggregation Records'!$H$152:$H$513,MATCH(RIGHT(L1729,255),RIGHT('Disaggregation Records'!$D$152:$D$513,255),0))),"")</f>
        <v/>
      </c>
      <c r="Q1729" s="52">
        <f t="shared" ref="Q1729" si="1932">Q1727+1</f>
        <v>2049</v>
      </c>
    </row>
    <row r="1730" spans="1:17" ht="20.100000000000001" customHeight="1" x14ac:dyDescent="0.25">
      <c r="A1730" s="130"/>
      <c r="B1730" s="602"/>
      <c r="C1730" s="604"/>
      <c r="D1730" s="606"/>
      <c r="E1730" s="606"/>
      <c r="F1730" s="132"/>
      <c r="G1730" s="608"/>
      <c r="H1730" s="598"/>
      <c r="I1730" s="600"/>
      <c r="J1730" s="532"/>
      <c r="L1730" s="130"/>
      <c r="N1730" s="130"/>
      <c r="O1730" s="130"/>
    </row>
    <row r="1731" spans="1:17" ht="20.100000000000001" customHeight="1" x14ac:dyDescent="0.25">
      <c r="A1731" s="130" t="str">
        <f t="shared" ca="1" si="1916"/>
        <v>a16Dm000000LZiTIAW</v>
      </c>
      <c r="B1731" s="601">
        <v>28</v>
      </c>
      <c r="C1731" s="603" t="str">
        <f>IFERROR(VLOOKUP(B1731,'Coverage Indicators - Section D'!$A$9:$AO$70,41,FALSE),"")</f>
        <v/>
      </c>
      <c r="D1731" s="605" t="str">
        <f>M1731</f>
        <v/>
      </c>
      <c r="E1731" s="605" t="str">
        <f>N1731</f>
        <v/>
      </c>
      <c r="F1731" s="131"/>
      <c r="G1731" s="607" t="str">
        <f ca="1">IF(OR(INDIRECT("'update Helper'!E"&amp;Q1731)="",F1731&lt;&gt;0,F1732&lt;&gt;0),IF(IFERROR((F1731/F1732),"")="","",(F1731/F1732)),INDIRECT("'update Helper'!E"&amp;Q1731)/100)</f>
        <v/>
      </c>
      <c r="H1731" s="597"/>
      <c r="I1731" s="599"/>
      <c r="J1731" s="531"/>
      <c r="K1731" s="130">
        <f>IF(AND(EXACT(C1731,C1729),C1729&lt;&gt;0),K1729+1,0)</f>
        <v>75</v>
      </c>
      <c r="L1731" s="130" t="str">
        <f t="shared" ref="L1731" si="1933">IF(C1731&lt;&gt;"",C1731&amp;"-"&amp;K1731,"")</f>
        <v/>
      </c>
      <c r="M1731" s="130" t="str">
        <f t="array" ref="M1731">IFERROR(IF(INDEX('Disaggregation Records'!$E$152:$E$513,MATCH(RIGHT(L1731,255),RIGHT('Disaggregation Records'!$D$152:$D$513,255),0))="","",INDEX('Disaggregation Records'!$E$152:$E$513,MATCH(RIGHT(L1731,255),RIGHT('Disaggregation Records'!$D$152:$D$513,255),0))),"")</f>
        <v/>
      </c>
      <c r="N1731" s="130" t="str">
        <f t="array" ref="N1731">IFERROR(IF(INDEX('Disaggregation Records'!$F$152:$F$513,MATCH(RIGHT(L1731,255),RIGHT('Disaggregation Records'!$D$152:$D$513,255),0))="","",INDEX('Disaggregation Records'!$F$152:$F$513,MATCH(RIGHT(L1731,255),RIGHT('Disaggregation Records'!$D$152:$D$513,255),0))),"")</f>
        <v/>
      </c>
      <c r="O1731" s="130" t="str">
        <f t="array" ref="O1731">IFERROR(IF(INDEX('Disaggregation Records'!$H$152:$H$513,MATCH(RIGHT(L1731,255),RIGHT('Disaggregation Records'!$D$152:$D$513,255),0))="","",INDEX('Disaggregation Records'!$H$152:$H$513,MATCH(RIGHT(L1731,255),RIGHT('Disaggregation Records'!$D$152:$D$513,255),0))),"")</f>
        <v/>
      </c>
      <c r="P1731" s="130"/>
      <c r="Q1731" s="52">
        <f t="shared" ref="Q1731" si="1934">Q1729+1</f>
        <v>2050</v>
      </c>
    </row>
    <row r="1732" spans="1:17" ht="20.100000000000001" customHeight="1" x14ac:dyDescent="0.25">
      <c r="B1732" s="602"/>
      <c r="C1732" s="604"/>
      <c r="D1732" s="606"/>
      <c r="E1732" s="606"/>
      <c r="F1732" s="132"/>
      <c r="G1732" s="608"/>
      <c r="H1732" s="598"/>
      <c r="I1732" s="600"/>
      <c r="J1732" s="532"/>
      <c r="K1732" s="130"/>
      <c r="L1732" s="130"/>
      <c r="M1732" s="130"/>
      <c r="N1732" s="130"/>
      <c r="O1732" s="130"/>
      <c r="P1732" s="130"/>
    </row>
    <row r="1733" spans="1:17" ht="20.100000000000001" customHeight="1" x14ac:dyDescent="0.25">
      <c r="A1733" s="130" t="str">
        <f t="shared" ca="1" si="1913"/>
        <v>a16Dm000000LZiUIAW</v>
      </c>
      <c r="B1733" s="601">
        <v>28</v>
      </c>
      <c r="C1733" s="603" t="str">
        <f>IFERROR(VLOOKUP(B1733,'Coverage Indicators - Section D'!$A$9:$AO$70,41,FALSE),"")</f>
        <v/>
      </c>
      <c r="D1733" s="605" t="str">
        <f>M1733</f>
        <v/>
      </c>
      <c r="E1733" s="605" t="str">
        <f>N1733</f>
        <v/>
      </c>
      <c r="F1733" s="131"/>
      <c r="G1733" s="607" t="str">
        <f ca="1">IF(OR(INDIRECT("'update Helper'!E"&amp;Q1733)="",F1733&lt;&gt;0,F1734&lt;&gt;0),IF(IFERROR((F1733/F1734),"")="","",(F1733/F1734)),INDIRECT("'update Helper'!E"&amp;Q1733)/100)</f>
        <v/>
      </c>
      <c r="H1733" s="597"/>
      <c r="I1733" s="599"/>
      <c r="J1733" s="531"/>
      <c r="K1733" s="130">
        <f>IF(AND(EXACT(C1733,C1731),C1731&lt;&gt;0),K1731+1,0)</f>
        <v>76</v>
      </c>
      <c r="L1733" s="130" t="str">
        <f t="shared" ref="L1733" si="1935">IF(C1733&lt;&gt;"",C1733&amp;"-"&amp;K1733,"")</f>
        <v/>
      </c>
      <c r="M1733" s="130" t="str">
        <f t="array" ref="M1733">IFERROR(IF(INDEX('Disaggregation Records'!$E$152:$E$513,MATCH(RIGHT(L1733,255),RIGHT('Disaggregation Records'!$D$152:$D$513,255),0))="","",INDEX('Disaggregation Records'!$E$152:$E$513,MATCH(RIGHT(L1733,255),RIGHT('Disaggregation Records'!$D$152:$D$513,255),0))),"")</f>
        <v/>
      </c>
      <c r="N1733" s="130" t="str">
        <f t="array" ref="N1733">IFERROR(IF(INDEX('Disaggregation Records'!$F$152:$F$513,MATCH(RIGHT(L1733,255),RIGHT('Disaggregation Records'!$D$152:$D$513,255),0))="","",INDEX('Disaggregation Records'!$F$152:$F$513,MATCH(RIGHT(L1733,255),RIGHT('Disaggregation Records'!$D$152:$D$513,255),0))),"")</f>
        <v/>
      </c>
      <c r="O1733" s="130" t="str">
        <f t="array" ref="O1733">IFERROR(IF(INDEX('Disaggregation Records'!$H$152:$H$513,MATCH(RIGHT(L1733,255),RIGHT('Disaggregation Records'!$D$152:$D$513,255),0))="","",INDEX('Disaggregation Records'!$H$152:$H$513,MATCH(RIGHT(L1733,255),RIGHT('Disaggregation Records'!$D$152:$D$513,255),0))),"")</f>
        <v/>
      </c>
      <c r="P1733" s="130"/>
      <c r="Q1733" s="52">
        <f t="shared" ref="Q1733" si="1936">Q1731+1</f>
        <v>2051</v>
      </c>
    </row>
    <row r="1734" spans="1:17" ht="20.100000000000001" customHeight="1" x14ac:dyDescent="0.25">
      <c r="A1734" s="130"/>
      <c r="B1734" s="602"/>
      <c r="C1734" s="604"/>
      <c r="D1734" s="606"/>
      <c r="E1734" s="606"/>
      <c r="F1734" s="132"/>
      <c r="G1734" s="608"/>
      <c r="H1734" s="598"/>
      <c r="I1734" s="600"/>
      <c r="J1734" s="532"/>
      <c r="K1734" s="130"/>
      <c r="L1734" s="130"/>
      <c r="M1734" s="130"/>
      <c r="N1734" s="130"/>
      <c r="O1734" s="130"/>
      <c r="P1734" s="130"/>
    </row>
    <row r="1735" spans="1:17" ht="20.100000000000001" customHeight="1" x14ac:dyDescent="0.25">
      <c r="A1735" s="130" t="str">
        <f t="shared" ca="1" si="1916"/>
        <v>a16Dm000000LZiVIAW</v>
      </c>
      <c r="B1735" s="601">
        <v>28</v>
      </c>
      <c r="C1735" s="603" t="str">
        <f>IFERROR(VLOOKUP(B1735,'Coverage Indicators - Section D'!$A$9:$AO$70,41,FALSE),"")</f>
        <v/>
      </c>
      <c r="D1735" s="605" t="str">
        <f>M1735</f>
        <v/>
      </c>
      <c r="E1735" s="605" t="str">
        <f>N1735</f>
        <v/>
      </c>
      <c r="F1735" s="131"/>
      <c r="G1735" s="607" t="str">
        <f ca="1">IF(OR(INDIRECT("'update Helper'!E"&amp;Q1735)="",F1735&lt;&gt;0,F1736&lt;&gt;0),IF(IFERROR((F1735/F1736),"")="","",(F1735/F1736)),INDIRECT("'update Helper'!E"&amp;Q1735)/100)</f>
        <v/>
      </c>
      <c r="H1735" s="597"/>
      <c r="I1735" s="599"/>
      <c r="J1735" s="531"/>
      <c r="K1735" s="130">
        <f>IF(AND(EXACT(C1735,C1733),C1733&lt;&gt;0),K1733+1,0)</f>
        <v>77</v>
      </c>
      <c r="L1735" s="130" t="str">
        <f t="shared" ref="L1735" si="1937">IF(C1735&lt;&gt;"",C1735&amp;"-"&amp;K1735,"")</f>
        <v/>
      </c>
      <c r="M1735" s="130" t="str">
        <f t="array" ref="M1735">IFERROR(IF(INDEX('Disaggregation Records'!$E$152:$E$513,MATCH(RIGHT(L1735,255),RIGHT('Disaggregation Records'!$D$152:$D$513,255),0))="","",INDEX('Disaggregation Records'!$E$152:$E$513,MATCH(RIGHT(L1735,255),RIGHT('Disaggregation Records'!$D$152:$D$513,255),0))),"")</f>
        <v/>
      </c>
      <c r="N1735" s="130" t="str">
        <f t="array" ref="N1735">IFERROR(IF(INDEX('Disaggregation Records'!$F$152:$F$513,MATCH(RIGHT(L1735,255),RIGHT('Disaggregation Records'!$D$152:$D$513,255),0))="","",INDEX('Disaggregation Records'!$F$152:$F$513,MATCH(RIGHT(L1735,255),RIGHT('Disaggregation Records'!$D$152:$D$513,255),0))),"")</f>
        <v/>
      </c>
      <c r="O1735" s="130" t="str">
        <f t="array" ref="O1735">IFERROR(IF(INDEX('Disaggregation Records'!$H$152:$H$513,MATCH(RIGHT(L1735,255),RIGHT('Disaggregation Records'!$D$152:$D$513,255),0))="","",INDEX('Disaggregation Records'!$H$152:$H$513,MATCH(RIGHT(L1735,255),RIGHT('Disaggregation Records'!$D$152:$D$513,255),0))),"")</f>
        <v/>
      </c>
      <c r="Q1735" s="52">
        <f t="shared" ref="Q1735" si="1938">Q1733+1</f>
        <v>2052</v>
      </c>
    </row>
    <row r="1736" spans="1:17" ht="20.100000000000001" customHeight="1" x14ac:dyDescent="0.25">
      <c r="B1736" s="602"/>
      <c r="C1736" s="604"/>
      <c r="D1736" s="606"/>
      <c r="E1736" s="606"/>
      <c r="F1736" s="132"/>
      <c r="G1736" s="608"/>
      <c r="H1736" s="598"/>
      <c r="I1736" s="600"/>
      <c r="J1736" s="532"/>
      <c r="L1736" s="130"/>
      <c r="N1736" s="130"/>
      <c r="O1736" s="130"/>
    </row>
    <row r="1737" spans="1:17" ht="20.100000000000001" customHeight="1" x14ac:dyDescent="0.25">
      <c r="A1737" s="130" t="str">
        <f t="shared" ca="1" si="1913"/>
        <v>a16Dm000000LZiWIAW</v>
      </c>
      <c r="B1737" s="601">
        <v>28</v>
      </c>
      <c r="C1737" s="603" t="str">
        <f>IFERROR(VLOOKUP(B1737,'Coverage Indicators - Section D'!$A$9:$AO$70,41,FALSE),"")</f>
        <v/>
      </c>
      <c r="D1737" s="605" t="str">
        <f>M1737</f>
        <v/>
      </c>
      <c r="E1737" s="605" t="str">
        <f>N1737</f>
        <v/>
      </c>
      <c r="F1737" s="131"/>
      <c r="G1737" s="607" t="str">
        <f ca="1">IF(OR(INDIRECT("'update Helper'!E"&amp;Q1737)="",F1737&lt;&gt;0,F1738&lt;&gt;0),IF(IFERROR((F1737/F1738),"")="","",(F1737/F1738)),INDIRECT("'update Helper'!E"&amp;Q1737)/100)</f>
        <v/>
      </c>
      <c r="H1737" s="597"/>
      <c r="I1737" s="599"/>
      <c r="J1737" s="531"/>
      <c r="K1737" s="130">
        <f>IF(AND(EXACT(C1737,C1735),C1735&lt;&gt;0),K1735+1,0)</f>
        <v>78</v>
      </c>
      <c r="L1737" s="130" t="str">
        <f t="shared" ref="L1737" si="1939">IF(C1737&lt;&gt;"",C1737&amp;"-"&amp;K1737,"")</f>
        <v/>
      </c>
      <c r="M1737" s="130" t="str">
        <f t="array" ref="M1737">IFERROR(IF(INDEX('Disaggregation Records'!$E$152:$E$513,MATCH(RIGHT(L1737,255),RIGHT('Disaggregation Records'!$D$152:$D$513,255),0))="","",INDEX('Disaggregation Records'!$E$152:$E$513,MATCH(RIGHT(L1737,255),RIGHT('Disaggregation Records'!$D$152:$D$513,255),0))),"")</f>
        <v/>
      </c>
      <c r="N1737" s="130" t="str">
        <f t="array" ref="N1737">IFERROR(IF(INDEX('Disaggregation Records'!$F$152:$F$513,MATCH(RIGHT(L1737,255),RIGHT('Disaggregation Records'!$D$152:$D$513,255),0))="","",INDEX('Disaggregation Records'!$F$152:$F$513,MATCH(RIGHT(L1737,255),RIGHT('Disaggregation Records'!$D$152:$D$513,255),0))),"")</f>
        <v/>
      </c>
      <c r="O1737" s="130" t="str">
        <f t="array" ref="O1737">IFERROR(IF(INDEX('Disaggregation Records'!$H$152:$H$513,MATCH(RIGHT(L1737,255),RIGHT('Disaggregation Records'!$D$152:$D$513,255),0))="","",INDEX('Disaggregation Records'!$H$152:$H$513,MATCH(RIGHT(L1737,255),RIGHT('Disaggregation Records'!$D$152:$D$513,255),0))),"")</f>
        <v/>
      </c>
      <c r="Q1737" s="52">
        <f t="shared" ref="Q1737" si="1940">Q1735+1</f>
        <v>2053</v>
      </c>
    </row>
    <row r="1738" spans="1:17" ht="20.100000000000001" customHeight="1" x14ac:dyDescent="0.25">
      <c r="A1738" s="130"/>
      <c r="B1738" s="602"/>
      <c r="C1738" s="604"/>
      <c r="D1738" s="606"/>
      <c r="E1738" s="606"/>
      <c r="F1738" s="132"/>
      <c r="G1738" s="608"/>
      <c r="H1738" s="598"/>
      <c r="I1738" s="600"/>
      <c r="J1738" s="532"/>
      <c r="L1738" s="130"/>
      <c r="N1738" s="130"/>
      <c r="O1738" s="130"/>
    </row>
    <row r="1739" spans="1:17" ht="20.100000000000001" customHeight="1" x14ac:dyDescent="0.25">
      <c r="A1739" s="130" t="str">
        <f t="shared" ca="1" si="1916"/>
        <v>a16Dm000000LZiXIAW</v>
      </c>
      <c r="B1739" s="601">
        <v>28</v>
      </c>
      <c r="C1739" s="603" t="str">
        <f>IFERROR(VLOOKUP(B1739,'Coverage Indicators - Section D'!$A$9:$AO$70,41,FALSE),"")</f>
        <v/>
      </c>
      <c r="D1739" s="605" t="str">
        <f>M1739</f>
        <v/>
      </c>
      <c r="E1739" s="605" t="str">
        <f>N1739</f>
        <v/>
      </c>
      <c r="F1739" s="131"/>
      <c r="G1739" s="607" t="str">
        <f ca="1">IF(OR(INDIRECT("'update Helper'!E"&amp;Q1739)="",F1739&lt;&gt;0,F1740&lt;&gt;0),IF(IFERROR((F1739/F1740),"")="","",(F1739/F1740)),INDIRECT("'update Helper'!E"&amp;Q1739)/100)</f>
        <v/>
      </c>
      <c r="H1739" s="597"/>
      <c r="I1739" s="599"/>
      <c r="J1739" s="531"/>
      <c r="K1739" s="130">
        <f>IF(AND(EXACT(C1739,C1737),C1737&lt;&gt;0),K1737+1,0)</f>
        <v>79</v>
      </c>
      <c r="L1739" s="130" t="str">
        <f t="shared" ref="L1739" si="1941">IF(C1739&lt;&gt;"",C1739&amp;"-"&amp;K1739,"")</f>
        <v/>
      </c>
      <c r="M1739" s="130" t="str">
        <f t="array" ref="M1739">IFERROR(IF(INDEX('Disaggregation Records'!$E$152:$E$513,MATCH(RIGHT(L1739,255),RIGHT('Disaggregation Records'!$D$152:$D$513,255),0))="","",INDEX('Disaggregation Records'!$E$152:$E$513,MATCH(RIGHT(L1739,255),RIGHT('Disaggregation Records'!$D$152:$D$513,255),0))),"")</f>
        <v/>
      </c>
      <c r="N1739" s="130" t="str">
        <f t="array" ref="N1739">IFERROR(IF(INDEX('Disaggregation Records'!$F$152:$F$513,MATCH(RIGHT(L1739,255),RIGHT('Disaggregation Records'!$D$152:$D$513,255),0))="","",INDEX('Disaggregation Records'!$F$152:$F$513,MATCH(RIGHT(L1739,255),RIGHT('Disaggregation Records'!$D$152:$D$513,255),0))),"")</f>
        <v/>
      </c>
      <c r="O1739" s="130" t="str">
        <f t="array" ref="O1739">IFERROR(IF(INDEX('Disaggregation Records'!$H$152:$H$513,MATCH(RIGHT(L1739,255),RIGHT('Disaggregation Records'!$D$152:$D$513,255),0))="","",INDEX('Disaggregation Records'!$H$152:$H$513,MATCH(RIGHT(L1739,255),RIGHT('Disaggregation Records'!$D$152:$D$513,255),0))),"")</f>
        <v/>
      </c>
      <c r="Q1739" s="52">
        <f t="shared" ref="Q1739" si="1942">Q1737+1</f>
        <v>2054</v>
      </c>
    </row>
    <row r="1740" spans="1:17" ht="20.100000000000001" customHeight="1" x14ac:dyDescent="0.25">
      <c r="B1740" s="602"/>
      <c r="C1740" s="604"/>
      <c r="D1740" s="606"/>
      <c r="E1740" s="606"/>
      <c r="F1740" s="132"/>
      <c r="G1740" s="608"/>
      <c r="H1740" s="598"/>
      <c r="I1740" s="600"/>
      <c r="J1740" s="532"/>
      <c r="L1740" s="130"/>
      <c r="N1740" s="130"/>
      <c r="O1740" s="130"/>
    </row>
    <row r="1741" spans="1:17" ht="20.100000000000001" customHeight="1" x14ac:dyDescent="0.25">
      <c r="A1741" s="130" t="str">
        <f t="shared" ca="1" si="1913"/>
        <v>a16Dm000000LZiYIAW</v>
      </c>
      <c r="B1741" s="601">
        <v>29</v>
      </c>
      <c r="C1741" s="603" t="str">
        <f>IFERROR(VLOOKUP(B1741,'Coverage Indicators - Section D'!$A$9:$AO$70,41,FALSE),"")</f>
        <v/>
      </c>
      <c r="D1741" s="605" t="str">
        <f>M1741</f>
        <v/>
      </c>
      <c r="E1741" s="605" t="str">
        <f>N1741</f>
        <v/>
      </c>
      <c r="F1741" s="131"/>
      <c r="G1741" s="607" t="str">
        <f ca="1">IF(OR(INDIRECT("'update Helper'!E"&amp;Q1741)="",F1741&lt;&gt;0,F1742&lt;&gt;0),IF(IFERROR((F1741/F1742),"")="","",(F1741/F1742)),INDIRECT("'update Helper'!E"&amp;Q1741)/100)</f>
        <v/>
      </c>
      <c r="H1741" s="597"/>
      <c r="I1741" s="599"/>
      <c r="J1741" s="531"/>
      <c r="K1741" s="130">
        <f>IF(AND(EXACT(C1741,C1739),C1739&lt;&gt;0),K1739+1,0)</f>
        <v>80</v>
      </c>
      <c r="L1741" s="130" t="str">
        <f t="shared" ref="L1741" si="1943">IF(C1741&lt;&gt;"",C1741&amp;"-"&amp;K1741,"")</f>
        <v/>
      </c>
      <c r="M1741" s="130" t="str">
        <f t="array" ref="M1741">IFERROR(IF(INDEX('Disaggregation Records'!$E$152:$E$513,MATCH(RIGHT(L1741,255),RIGHT('Disaggregation Records'!$D$152:$D$513,255),0))="","",INDEX('Disaggregation Records'!$E$152:$E$513,MATCH(RIGHT(L1741,255),RIGHT('Disaggregation Records'!$D$152:$D$513,255),0))),"")</f>
        <v/>
      </c>
      <c r="N1741" s="130" t="str">
        <f t="array" ref="N1741">IFERROR(IF(INDEX('Disaggregation Records'!$F$152:$F$513,MATCH(RIGHT(L1741,255),RIGHT('Disaggregation Records'!$D$152:$D$513,255),0))="","",INDEX('Disaggregation Records'!$F$152:$F$513,MATCH(RIGHT(L1741,255),RIGHT('Disaggregation Records'!$D$152:$D$513,255),0))),"")</f>
        <v/>
      </c>
      <c r="O1741" s="130" t="str">
        <f t="array" ref="O1741">IFERROR(IF(INDEX('Disaggregation Records'!$H$152:$H$513,MATCH(RIGHT(L1741,255),RIGHT('Disaggregation Records'!$D$152:$D$513,255),0))="","",INDEX('Disaggregation Records'!$H$152:$H$513,MATCH(RIGHT(L1741,255),RIGHT('Disaggregation Records'!$D$152:$D$513,255),0))),"")</f>
        <v/>
      </c>
      <c r="P1741" s="130"/>
      <c r="Q1741" s="52">
        <f t="shared" ref="Q1741" si="1944">Q1739+1</f>
        <v>2055</v>
      </c>
    </row>
    <row r="1742" spans="1:17" ht="20.100000000000001" customHeight="1" x14ac:dyDescent="0.25">
      <c r="A1742" s="130"/>
      <c r="B1742" s="602"/>
      <c r="C1742" s="604"/>
      <c r="D1742" s="606"/>
      <c r="E1742" s="606"/>
      <c r="F1742" s="132"/>
      <c r="G1742" s="608"/>
      <c r="H1742" s="598"/>
      <c r="I1742" s="600"/>
      <c r="J1742" s="532"/>
      <c r="K1742" s="130"/>
      <c r="L1742" s="130"/>
      <c r="M1742" s="130"/>
      <c r="N1742" s="130"/>
      <c r="O1742" s="130"/>
      <c r="P1742" s="130"/>
    </row>
    <row r="1743" spans="1:17" ht="20.100000000000001" customHeight="1" x14ac:dyDescent="0.25">
      <c r="A1743" s="130" t="str">
        <f t="shared" ca="1" si="1916"/>
        <v>a16Dm000000LZiZIAW</v>
      </c>
      <c r="B1743" s="601">
        <v>29</v>
      </c>
      <c r="C1743" s="603" t="str">
        <f>IFERROR(VLOOKUP(B1743,'Coverage Indicators - Section D'!$A$9:$AO$70,41,FALSE),"")</f>
        <v/>
      </c>
      <c r="D1743" s="605" t="str">
        <f>M1743</f>
        <v/>
      </c>
      <c r="E1743" s="605" t="str">
        <f>N1743</f>
        <v/>
      </c>
      <c r="F1743" s="131"/>
      <c r="G1743" s="607" t="str">
        <f ca="1">IF(OR(INDIRECT("'update Helper'!E"&amp;Q1743)="",F1743&lt;&gt;0,F1744&lt;&gt;0),IF(IFERROR((F1743/F1744),"")="","",(F1743/F1744)),INDIRECT("'update Helper'!E"&amp;Q1743)/100)</f>
        <v/>
      </c>
      <c r="H1743" s="597"/>
      <c r="I1743" s="599"/>
      <c r="J1743" s="531"/>
      <c r="K1743" s="130">
        <f>IF(AND(EXACT(C1743,C1741),C1741&lt;&gt;0),K1741+1,0)</f>
        <v>81</v>
      </c>
      <c r="L1743" s="130" t="str">
        <f t="shared" ref="L1743" si="1945">IF(C1743&lt;&gt;"",C1743&amp;"-"&amp;K1743,"")</f>
        <v/>
      </c>
      <c r="M1743" s="130" t="str">
        <f t="array" ref="M1743">IFERROR(IF(INDEX('Disaggregation Records'!$E$152:$E$513,MATCH(RIGHT(L1743,255),RIGHT('Disaggregation Records'!$D$152:$D$513,255),0))="","",INDEX('Disaggregation Records'!$E$152:$E$513,MATCH(RIGHT(L1743,255),RIGHT('Disaggregation Records'!$D$152:$D$513,255),0))),"")</f>
        <v/>
      </c>
      <c r="N1743" s="130" t="str">
        <f t="array" ref="N1743">IFERROR(IF(INDEX('Disaggregation Records'!$F$152:$F$513,MATCH(RIGHT(L1743,255),RIGHT('Disaggregation Records'!$D$152:$D$513,255),0))="","",INDEX('Disaggregation Records'!$F$152:$F$513,MATCH(RIGHT(L1743,255),RIGHT('Disaggregation Records'!$D$152:$D$513,255),0))),"")</f>
        <v/>
      </c>
      <c r="O1743" s="130" t="str">
        <f t="array" ref="O1743">IFERROR(IF(INDEX('Disaggregation Records'!$H$152:$H$513,MATCH(RIGHT(L1743,255),RIGHT('Disaggregation Records'!$D$152:$D$513,255),0))="","",INDEX('Disaggregation Records'!$H$152:$H$513,MATCH(RIGHT(L1743,255),RIGHT('Disaggregation Records'!$D$152:$D$513,255),0))),"")</f>
        <v/>
      </c>
      <c r="P1743" s="130"/>
      <c r="Q1743" s="52">
        <f t="shared" ref="Q1743" si="1946">Q1741+1</f>
        <v>2056</v>
      </c>
    </row>
    <row r="1744" spans="1:17" ht="20.100000000000001" customHeight="1" x14ac:dyDescent="0.25">
      <c r="B1744" s="602"/>
      <c r="C1744" s="604"/>
      <c r="D1744" s="606"/>
      <c r="E1744" s="606"/>
      <c r="F1744" s="132"/>
      <c r="G1744" s="608"/>
      <c r="H1744" s="598"/>
      <c r="I1744" s="600"/>
      <c r="J1744" s="532"/>
      <c r="K1744" s="130"/>
      <c r="L1744" s="130"/>
      <c r="M1744" s="130"/>
      <c r="N1744" s="130"/>
      <c r="O1744" s="130"/>
      <c r="P1744" s="130"/>
    </row>
    <row r="1745" spans="1:17" ht="20.100000000000001" customHeight="1" x14ac:dyDescent="0.25">
      <c r="A1745" s="130" t="str">
        <f t="shared" ca="1" si="1913"/>
        <v>a16Dm000000LZiaIAG</v>
      </c>
      <c r="B1745" s="601">
        <v>29</v>
      </c>
      <c r="C1745" s="603" t="str">
        <f>IFERROR(VLOOKUP(B1745,'Coverage Indicators - Section D'!$A$9:$AO$70,41,FALSE),"")</f>
        <v/>
      </c>
      <c r="D1745" s="605" t="str">
        <f>M1745</f>
        <v/>
      </c>
      <c r="E1745" s="605" t="str">
        <f>N1745</f>
        <v/>
      </c>
      <c r="F1745" s="131"/>
      <c r="G1745" s="607" t="str">
        <f ca="1">IF(OR(INDIRECT("'update Helper'!E"&amp;Q1745)="",F1745&lt;&gt;0,F1746&lt;&gt;0),IF(IFERROR((F1745/F1746),"")="","",(F1745/F1746)),INDIRECT("'update Helper'!E"&amp;Q1745)/100)</f>
        <v/>
      </c>
      <c r="H1745" s="597"/>
      <c r="I1745" s="599"/>
      <c r="J1745" s="531"/>
      <c r="K1745" s="130">
        <f>IF(AND(EXACT(C1745,C1743),C1743&lt;&gt;0),K1743+1,0)</f>
        <v>82</v>
      </c>
      <c r="L1745" s="130" t="str">
        <f t="shared" ref="L1745" si="1947">IF(C1745&lt;&gt;"",C1745&amp;"-"&amp;K1745,"")</f>
        <v/>
      </c>
      <c r="M1745" s="130" t="str">
        <f t="array" ref="M1745">IFERROR(IF(INDEX('Disaggregation Records'!$E$152:$E$513,MATCH(RIGHT(L1745,255),RIGHT('Disaggregation Records'!$D$152:$D$513,255),0))="","",INDEX('Disaggregation Records'!$E$152:$E$513,MATCH(RIGHT(L1745,255),RIGHT('Disaggregation Records'!$D$152:$D$513,255),0))),"")</f>
        <v/>
      </c>
      <c r="N1745" s="130" t="str">
        <f t="array" ref="N1745">IFERROR(IF(INDEX('Disaggregation Records'!$F$152:$F$513,MATCH(RIGHT(L1745,255),RIGHT('Disaggregation Records'!$D$152:$D$513,255),0))="","",INDEX('Disaggregation Records'!$F$152:$F$513,MATCH(RIGHT(L1745,255),RIGHT('Disaggregation Records'!$D$152:$D$513,255),0))),"")</f>
        <v/>
      </c>
      <c r="O1745" s="130" t="str">
        <f t="array" ref="O1745">IFERROR(IF(INDEX('Disaggregation Records'!$H$152:$H$513,MATCH(RIGHT(L1745,255),RIGHT('Disaggregation Records'!$D$152:$D$513,255),0))="","",INDEX('Disaggregation Records'!$H$152:$H$513,MATCH(RIGHT(L1745,255),RIGHT('Disaggregation Records'!$D$152:$D$513,255),0))),"")</f>
        <v/>
      </c>
      <c r="Q1745" s="52">
        <f t="shared" ref="Q1745" si="1948">Q1743+1</f>
        <v>2057</v>
      </c>
    </row>
    <row r="1746" spans="1:17" ht="20.100000000000001" customHeight="1" x14ac:dyDescent="0.25">
      <c r="A1746" s="130"/>
      <c r="B1746" s="602"/>
      <c r="C1746" s="604"/>
      <c r="D1746" s="606"/>
      <c r="E1746" s="606"/>
      <c r="F1746" s="132"/>
      <c r="G1746" s="608"/>
      <c r="H1746" s="598"/>
      <c r="I1746" s="600"/>
      <c r="J1746" s="532"/>
      <c r="L1746" s="130"/>
      <c r="N1746" s="130"/>
      <c r="O1746" s="130"/>
    </row>
    <row r="1747" spans="1:17" ht="20.100000000000001" customHeight="1" x14ac:dyDescent="0.25">
      <c r="A1747" s="130" t="str">
        <f t="shared" ca="1" si="1916"/>
        <v>a16Dm000000LZibIAG</v>
      </c>
      <c r="B1747" s="601">
        <v>29</v>
      </c>
      <c r="C1747" s="603" t="str">
        <f>IFERROR(VLOOKUP(B1747,'Coverage Indicators - Section D'!$A$9:$AO$70,41,FALSE),"")</f>
        <v/>
      </c>
      <c r="D1747" s="605" t="str">
        <f>M1747</f>
        <v/>
      </c>
      <c r="E1747" s="605" t="str">
        <f>N1747</f>
        <v/>
      </c>
      <c r="F1747" s="131"/>
      <c r="G1747" s="607" t="str">
        <f ca="1">IF(OR(INDIRECT("'update Helper'!E"&amp;Q1747)="",F1747&lt;&gt;0,F1748&lt;&gt;0),IF(IFERROR((F1747/F1748),"")="","",(F1747/F1748)),INDIRECT("'update Helper'!E"&amp;Q1747)/100)</f>
        <v/>
      </c>
      <c r="H1747" s="597"/>
      <c r="I1747" s="599"/>
      <c r="J1747" s="531"/>
      <c r="K1747" s="130">
        <f>IF(AND(EXACT(C1747,C1745),C1745&lt;&gt;0),K1745+1,0)</f>
        <v>83</v>
      </c>
      <c r="L1747" s="130" t="str">
        <f t="shared" ref="L1747" si="1949">IF(C1747&lt;&gt;"",C1747&amp;"-"&amp;K1747,"")</f>
        <v/>
      </c>
      <c r="M1747" s="130" t="str">
        <f t="array" ref="M1747">IFERROR(IF(INDEX('Disaggregation Records'!$E$152:$E$513,MATCH(RIGHT(L1747,255),RIGHT('Disaggregation Records'!$D$152:$D$513,255),0))="","",INDEX('Disaggregation Records'!$E$152:$E$513,MATCH(RIGHT(L1747,255),RIGHT('Disaggregation Records'!$D$152:$D$513,255),0))),"")</f>
        <v/>
      </c>
      <c r="N1747" s="130" t="str">
        <f t="array" ref="N1747">IFERROR(IF(INDEX('Disaggregation Records'!$F$152:$F$513,MATCH(RIGHT(L1747,255),RIGHT('Disaggregation Records'!$D$152:$D$513,255),0))="","",INDEX('Disaggregation Records'!$F$152:$F$513,MATCH(RIGHT(L1747,255),RIGHT('Disaggregation Records'!$D$152:$D$513,255),0))),"")</f>
        <v/>
      </c>
      <c r="O1747" s="130" t="str">
        <f t="array" ref="O1747">IFERROR(IF(INDEX('Disaggregation Records'!$H$152:$H$513,MATCH(RIGHT(L1747,255),RIGHT('Disaggregation Records'!$D$152:$D$513,255),0))="","",INDEX('Disaggregation Records'!$H$152:$H$513,MATCH(RIGHT(L1747,255),RIGHT('Disaggregation Records'!$D$152:$D$513,255),0))),"")</f>
        <v/>
      </c>
      <c r="Q1747" s="52">
        <f t="shared" ref="Q1747" si="1950">Q1745+1</f>
        <v>2058</v>
      </c>
    </row>
    <row r="1748" spans="1:17" ht="20.100000000000001" customHeight="1" x14ac:dyDescent="0.25">
      <c r="B1748" s="602"/>
      <c r="C1748" s="604"/>
      <c r="D1748" s="606"/>
      <c r="E1748" s="606"/>
      <c r="F1748" s="132"/>
      <c r="G1748" s="608"/>
      <c r="H1748" s="598"/>
      <c r="I1748" s="600"/>
      <c r="J1748" s="532"/>
      <c r="L1748" s="130"/>
      <c r="N1748" s="130"/>
      <c r="O1748" s="130"/>
    </row>
    <row r="1749" spans="1:17" ht="20.100000000000001" customHeight="1" x14ac:dyDescent="0.25">
      <c r="A1749" s="130" t="str">
        <f t="shared" ca="1" si="1913"/>
        <v>a16Dm000000LZicIAG</v>
      </c>
      <c r="B1749" s="601">
        <v>29</v>
      </c>
      <c r="C1749" s="603" t="str">
        <f>IFERROR(VLOOKUP(B1749,'Coverage Indicators - Section D'!$A$9:$AO$70,41,FALSE),"")</f>
        <v/>
      </c>
      <c r="D1749" s="605" t="str">
        <f>M1749</f>
        <v/>
      </c>
      <c r="E1749" s="605" t="str">
        <f>N1749</f>
        <v/>
      </c>
      <c r="F1749" s="131"/>
      <c r="G1749" s="607" t="str">
        <f ca="1">IF(OR(INDIRECT("'update Helper'!E"&amp;Q1749)="",F1749&lt;&gt;0,F1750&lt;&gt;0),IF(IFERROR((F1749/F1750),"")="","",(F1749/F1750)),INDIRECT("'update Helper'!E"&amp;Q1749)/100)</f>
        <v/>
      </c>
      <c r="H1749" s="597"/>
      <c r="I1749" s="599"/>
      <c r="J1749" s="531"/>
      <c r="K1749" s="130">
        <f>IF(AND(EXACT(C1749,C1747),C1747&lt;&gt;0),K1747+1,0)</f>
        <v>84</v>
      </c>
      <c r="L1749" s="130" t="str">
        <f t="shared" ref="L1749" si="1951">IF(C1749&lt;&gt;"",C1749&amp;"-"&amp;K1749,"")</f>
        <v/>
      </c>
      <c r="M1749" s="130" t="str">
        <f t="array" ref="M1749">IFERROR(IF(INDEX('Disaggregation Records'!$E$152:$E$513,MATCH(RIGHT(L1749,255),RIGHT('Disaggregation Records'!$D$152:$D$513,255),0))="","",INDEX('Disaggregation Records'!$E$152:$E$513,MATCH(RIGHT(L1749,255),RIGHT('Disaggregation Records'!$D$152:$D$513,255),0))),"")</f>
        <v/>
      </c>
      <c r="N1749" s="130" t="str">
        <f t="array" ref="N1749">IFERROR(IF(INDEX('Disaggregation Records'!$F$152:$F$513,MATCH(RIGHT(L1749,255),RIGHT('Disaggregation Records'!$D$152:$D$513,255),0))="","",INDEX('Disaggregation Records'!$F$152:$F$513,MATCH(RIGHT(L1749,255),RIGHT('Disaggregation Records'!$D$152:$D$513,255),0))),"")</f>
        <v/>
      </c>
      <c r="O1749" s="130" t="str">
        <f t="array" ref="O1749">IFERROR(IF(INDEX('Disaggregation Records'!$H$152:$H$513,MATCH(RIGHT(L1749,255),RIGHT('Disaggregation Records'!$D$152:$D$513,255),0))="","",INDEX('Disaggregation Records'!$H$152:$H$513,MATCH(RIGHT(L1749,255),RIGHT('Disaggregation Records'!$D$152:$D$513,255),0))),"")</f>
        <v/>
      </c>
      <c r="Q1749" s="52">
        <f t="shared" ref="Q1749" si="1952">Q1747+1</f>
        <v>2059</v>
      </c>
    </row>
    <row r="1750" spans="1:17" ht="20.100000000000001" customHeight="1" x14ac:dyDescent="0.25">
      <c r="A1750" s="130"/>
      <c r="B1750" s="602"/>
      <c r="C1750" s="604"/>
      <c r="D1750" s="606"/>
      <c r="E1750" s="606"/>
      <c r="F1750" s="132"/>
      <c r="G1750" s="608"/>
      <c r="H1750" s="598"/>
      <c r="I1750" s="600"/>
      <c r="J1750" s="532"/>
      <c r="L1750" s="130"/>
      <c r="N1750" s="130"/>
      <c r="O1750" s="130"/>
    </row>
    <row r="1751" spans="1:17" ht="20.100000000000001" customHeight="1" x14ac:dyDescent="0.25">
      <c r="A1751" s="130" t="str">
        <f t="shared" ca="1" si="1916"/>
        <v>a16Dm000000LZidIAG</v>
      </c>
      <c r="B1751" s="601">
        <v>29</v>
      </c>
      <c r="C1751" s="603" t="str">
        <f>IFERROR(VLOOKUP(B1751,'Coverage Indicators - Section D'!$A$9:$AO$70,41,FALSE),"")</f>
        <v/>
      </c>
      <c r="D1751" s="605" t="str">
        <f>M1751</f>
        <v/>
      </c>
      <c r="E1751" s="605" t="str">
        <f>N1751</f>
        <v/>
      </c>
      <c r="F1751" s="131"/>
      <c r="G1751" s="607" t="str">
        <f ca="1">IF(OR(INDIRECT("'update Helper'!E"&amp;Q1751)="",F1751&lt;&gt;0,F1752&lt;&gt;0),IF(IFERROR((F1751/F1752),"")="","",(F1751/F1752)),INDIRECT("'update Helper'!E"&amp;Q1751)/100)</f>
        <v/>
      </c>
      <c r="H1751" s="597"/>
      <c r="I1751" s="599"/>
      <c r="J1751" s="531"/>
      <c r="K1751" s="130">
        <f>IF(AND(EXACT(C1751,C1749),C1749&lt;&gt;0),K1749+1,0)</f>
        <v>85</v>
      </c>
      <c r="L1751" s="130" t="str">
        <f t="shared" ref="L1751" si="1953">IF(C1751&lt;&gt;"",C1751&amp;"-"&amp;K1751,"")</f>
        <v/>
      </c>
      <c r="M1751" s="130" t="str">
        <f t="array" ref="M1751">IFERROR(IF(INDEX('Disaggregation Records'!$E$152:$E$513,MATCH(RIGHT(L1751,255),RIGHT('Disaggregation Records'!$D$152:$D$513,255),0))="","",INDEX('Disaggregation Records'!$E$152:$E$513,MATCH(RIGHT(L1751,255),RIGHT('Disaggregation Records'!$D$152:$D$513,255),0))),"")</f>
        <v/>
      </c>
      <c r="N1751" s="130" t="str">
        <f t="array" ref="N1751">IFERROR(IF(INDEX('Disaggregation Records'!$F$152:$F$513,MATCH(RIGHT(L1751,255),RIGHT('Disaggregation Records'!$D$152:$D$513,255),0))="","",INDEX('Disaggregation Records'!$F$152:$F$513,MATCH(RIGHT(L1751,255),RIGHT('Disaggregation Records'!$D$152:$D$513,255),0))),"")</f>
        <v/>
      </c>
      <c r="O1751" s="130" t="str">
        <f t="array" ref="O1751">IFERROR(IF(INDEX('Disaggregation Records'!$H$152:$H$513,MATCH(RIGHT(L1751,255),RIGHT('Disaggregation Records'!$D$152:$D$513,255),0))="","",INDEX('Disaggregation Records'!$H$152:$H$513,MATCH(RIGHT(L1751,255),RIGHT('Disaggregation Records'!$D$152:$D$513,255),0))),"")</f>
        <v/>
      </c>
      <c r="P1751" s="130"/>
      <c r="Q1751" s="52">
        <f t="shared" ref="Q1751" si="1954">Q1749+1</f>
        <v>2060</v>
      </c>
    </row>
    <row r="1752" spans="1:17" ht="20.100000000000001" customHeight="1" x14ac:dyDescent="0.25">
      <c r="B1752" s="602"/>
      <c r="C1752" s="604"/>
      <c r="D1752" s="606"/>
      <c r="E1752" s="606"/>
      <c r="F1752" s="132"/>
      <c r="G1752" s="608"/>
      <c r="H1752" s="598"/>
      <c r="I1752" s="600"/>
      <c r="J1752" s="532"/>
      <c r="K1752" s="130"/>
      <c r="L1752" s="130"/>
      <c r="M1752" s="130"/>
      <c r="N1752" s="130"/>
      <c r="O1752" s="130"/>
      <c r="P1752" s="130"/>
    </row>
    <row r="1753" spans="1:17" ht="20.100000000000001" customHeight="1" x14ac:dyDescent="0.25">
      <c r="A1753" s="130" t="str">
        <f t="shared" ca="1" si="1913"/>
        <v>a16Dm000000LZieIAG</v>
      </c>
      <c r="B1753" s="601">
        <v>29</v>
      </c>
      <c r="C1753" s="603" t="str">
        <f>IFERROR(VLOOKUP(B1753,'Coverage Indicators - Section D'!$A$9:$AO$70,41,FALSE),"")</f>
        <v/>
      </c>
      <c r="D1753" s="605" t="str">
        <f>M1753</f>
        <v/>
      </c>
      <c r="E1753" s="605" t="str">
        <f>N1753</f>
        <v/>
      </c>
      <c r="F1753" s="131"/>
      <c r="G1753" s="607" t="str">
        <f ca="1">IF(OR(INDIRECT("'update Helper'!E"&amp;Q1753)="",F1753&lt;&gt;0,F1754&lt;&gt;0),IF(IFERROR((F1753/F1754),"")="","",(F1753/F1754)),INDIRECT("'update Helper'!E"&amp;Q1753)/100)</f>
        <v/>
      </c>
      <c r="H1753" s="597"/>
      <c r="I1753" s="599"/>
      <c r="J1753" s="531"/>
      <c r="K1753" s="130">
        <f>IF(AND(EXACT(C1753,C1751),C1751&lt;&gt;0),K1751+1,0)</f>
        <v>86</v>
      </c>
      <c r="L1753" s="130" t="str">
        <f t="shared" ref="L1753" si="1955">IF(C1753&lt;&gt;"",C1753&amp;"-"&amp;K1753,"")</f>
        <v/>
      </c>
      <c r="M1753" s="130" t="str">
        <f t="array" ref="M1753">IFERROR(IF(INDEX('Disaggregation Records'!$E$152:$E$513,MATCH(RIGHT(L1753,255),RIGHT('Disaggregation Records'!$D$152:$D$513,255),0))="","",INDEX('Disaggregation Records'!$E$152:$E$513,MATCH(RIGHT(L1753,255),RIGHT('Disaggregation Records'!$D$152:$D$513,255),0))),"")</f>
        <v/>
      </c>
      <c r="N1753" s="130" t="str">
        <f t="array" ref="N1753">IFERROR(IF(INDEX('Disaggregation Records'!$F$152:$F$513,MATCH(RIGHT(L1753,255),RIGHT('Disaggregation Records'!$D$152:$D$513,255),0))="","",INDEX('Disaggregation Records'!$F$152:$F$513,MATCH(RIGHT(L1753,255),RIGHT('Disaggregation Records'!$D$152:$D$513,255),0))),"")</f>
        <v/>
      </c>
      <c r="O1753" s="130" t="str">
        <f t="array" ref="O1753">IFERROR(IF(INDEX('Disaggregation Records'!$H$152:$H$513,MATCH(RIGHT(L1753,255),RIGHT('Disaggregation Records'!$D$152:$D$513,255),0))="","",INDEX('Disaggregation Records'!$H$152:$H$513,MATCH(RIGHT(L1753,255),RIGHT('Disaggregation Records'!$D$152:$D$513,255),0))),"")</f>
        <v/>
      </c>
      <c r="P1753" s="130"/>
      <c r="Q1753" s="52">
        <f t="shared" ref="Q1753" si="1956">Q1751+1</f>
        <v>2061</v>
      </c>
    </row>
    <row r="1754" spans="1:17" ht="20.100000000000001" customHeight="1" x14ac:dyDescent="0.25">
      <c r="A1754" s="130"/>
      <c r="B1754" s="602"/>
      <c r="C1754" s="604"/>
      <c r="D1754" s="606"/>
      <c r="E1754" s="606"/>
      <c r="F1754" s="132"/>
      <c r="G1754" s="608"/>
      <c r="H1754" s="598"/>
      <c r="I1754" s="600"/>
      <c r="J1754" s="532"/>
      <c r="K1754" s="130"/>
      <c r="L1754" s="130"/>
      <c r="M1754" s="130"/>
      <c r="N1754" s="130"/>
      <c r="O1754" s="130"/>
      <c r="P1754" s="130"/>
    </row>
    <row r="1755" spans="1:17" ht="20.100000000000001" customHeight="1" x14ac:dyDescent="0.25">
      <c r="A1755" s="130" t="str">
        <f t="shared" ca="1" si="1916"/>
        <v>a16Dm000000LZifIAG</v>
      </c>
      <c r="B1755" s="601">
        <v>29</v>
      </c>
      <c r="C1755" s="603" t="str">
        <f>IFERROR(VLOOKUP(B1755,'Coverage Indicators - Section D'!$A$9:$AO$70,41,FALSE),"")</f>
        <v/>
      </c>
      <c r="D1755" s="605" t="str">
        <f>M1755</f>
        <v/>
      </c>
      <c r="E1755" s="605" t="str">
        <f>N1755</f>
        <v/>
      </c>
      <c r="F1755" s="131"/>
      <c r="G1755" s="607" t="str">
        <f ca="1">IF(OR(INDIRECT("'update Helper'!E"&amp;Q1755)="",F1755&lt;&gt;0,F1756&lt;&gt;0),IF(IFERROR((F1755/F1756),"")="","",(F1755/F1756)),INDIRECT("'update Helper'!E"&amp;Q1755)/100)</f>
        <v/>
      </c>
      <c r="H1755" s="597"/>
      <c r="I1755" s="599"/>
      <c r="J1755" s="531"/>
      <c r="K1755" s="130">
        <f>IF(AND(EXACT(C1755,C1753),C1753&lt;&gt;0),K1753+1,0)</f>
        <v>87</v>
      </c>
      <c r="L1755" s="130" t="str">
        <f t="shared" ref="L1755" si="1957">IF(C1755&lt;&gt;"",C1755&amp;"-"&amp;K1755,"")</f>
        <v/>
      </c>
      <c r="M1755" s="130" t="str">
        <f t="array" ref="M1755">IFERROR(IF(INDEX('Disaggregation Records'!$E$152:$E$513,MATCH(RIGHT(L1755,255),RIGHT('Disaggregation Records'!$D$152:$D$513,255),0))="","",INDEX('Disaggregation Records'!$E$152:$E$513,MATCH(RIGHT(L1755,255),RIGHT('Disaggregation Records'!$D$152:$D$513,255),0))),"")</f>
        <v/>
      </c>
      <c r="N1755" s="130" t="str">
        <f t="array" ref="N1755">IFERROR(IF(INDEX('Disaggregation Records'!$F$152:$F$513,MATCH(RIGHT(L1755,255),RIGHT('Disaggregation Records'!$D$152:$D$513,255),0))="","",INDEX('Disaggregation Records'!$F$152:$F$513,MATCH(RIGHT(L1755,255),RIGHT('Disaggregation Records'!$D$152:$D$513,255),0))),"")</f>
        <v/>
      </c>
      <c r="O1755" s="130" t="str">
        <f t="array" ref="O1755">IFERROR(IF(INDEX('Disaggregation Records'!$H$152:$H$513,MATCH(RIGHT(L1755,255),RIGHT('Disaggregation Records'!$D$152:$D$513,255),0))="","",INDEX('Disaggregation Records'!$H$152:$H$513,MATCH(RIGHT(L1755,255),RIGHT('Disaggregation Records'!$D$152:$D$513,255),0))),"")</f>
        <v/>
      </c>
      <c r="Q1755" s="52">
        <f t="shared" ref="Q1755" si="1958">Q1753+1</f>
        <v>2062</v>
      </c>
    </row>
    <row r="1756" spans="1:17" ht="20.100000000000001" customHeight="1" x14ac:dyDescent="0.25">
      <c r="B1756" s="602"/>
      <c r="C1756" s="604"/>
      <c r="D1756" s="606"/>
      <c r="E1756" s="606"/>
      <c r="F1756" s="132"/>
      <c r="G1756" s="608"/>
      <c r="H1756" s="598"/>
      <c r="I1756" s="600"/>
      <c r="J1756" s="532"/>
      <c r="L1756" s="130"/>
      <c r="N1756" s="130"/>
      <c r="O1756" s="130"/>
    </row>
    <row r="1757" spans="1:17" ht="20.100000000000001" customHeight="1" x14ac:dyDescent="0.25">
      <c r="A1757" s="130" t="str">
        <f t="shared" ca="1" si="1913"/>
        <v>a16Dm000000LZigIAG</v>
      </c>
      <c r="B1757" s="601">
        <v>29</v>
      </c>
      <c r="C1757" s="603" t="str">
        <f>IFERROR(VLOOKUP(B1757,'Coverage Indicators - Section D'!$A$9:$AO$70,41,FALSE),"")</f>
        <v/>
      </c>
      <c r="D1757" s="605" t="str">
        <f>M1757</f>
        <v/>
      </c>
      <c r="E1757" s="605" t="str">
        <f>N1757</f>
        <v/>
      </c>
      <c r="F1757" s="131"/>
      <c r="G1757" s="607" t="str">
        <f ca="1">IF(OR(INDIRECT("'update Helper'!E"&amp;Q1757)="",F1757&lt;&gt;0,F1758&lt;&gt;0),IF(IFERROR((F1757/F1758),"")="","",(F1757/F1758)),INDIRECT("'update Helper'!E"&amp;Q1757)/100)</f>
        <v/>
      </c>
      <c r="H1757" s="597"/>
      <c r="I1757" s="599"/>
      <c r="J1757" s="531"/>
      <c r="K1757" s="130">
        <f>IF(AND(EXACT(C1757,C1755),C1755&lt;&gt;0),K1755+1,0)</f>
        <v>88</v>
      </c>
      <c r="L1757" s="130" t="str">
        <f t="shared" ref="L1757" si="1959">IF(C1757&lt;&gt;"",C1757&amp;"-"&amp;K1757,"")</f>
        <v/>
      </c>
      <c r="M1757" s="130" t="str">
        <f t="array" ref="M1757">IFERROR(IF(INDEX('Disaggregation Records'!$E$152:$E$513,MATCH(RIGHT(L1757,255),RIGHT('Disaggregation Records'!$D$152:$D$513,255),0))="","",INDEX('Disaggregation Records'!$E$152:$E$513,MATCH(RIGHT(L1757,255),RIGHT('Disaggregation Records'!$D$152:$D$513,255),0))),"")</f>
        <v/>
      </c>
      <c r="N1757" s="130" t="str">
        <f t="array" ref="N1757">IFERROR(IF(INDEX('Disaggregation Records'!$F$152:$F$513,MATCH(RIGHT(L1757,255),RIGHT('Disaggregation Records'!$D$152:$D$513,255),0))="","",INDEX('Disaggregation Records'!$F$152:$F$513,MATCH(RIGHT(L1757,255),RIGHT('Disaggregation Records'!$D$152:$D$513,255),0))),"")</f>
        <v/>
      </c>
      <c r="O1757" s="130" t="str">
        <f t="array" ref="O1757">IFERROR(IF(INDEX('Disaggregation Records'!$H$152:$H$513,MATCH(RIGHT(L1757,255),RIGHT('Disaggregation Records'!$D$152:$D$513,255),0))="","",INDEX('Disaggregation Records'!$H$152:$H$513,MATCH(RIGHT(L1757,255),RIGHT('Disaggregation Records'!$D$152:$D$513,255),0))),"")</f>
        <v/>
      </c>
      <c r="Q1757" s="52">
        <f t="shared" ref="Q1757" si="1960">Q1755+1</f>
        <v>2063</v>
      </c>
    </row>
    <row r="1758" spans="1:17" ht="20.100000000000001" customHeight="1" x14ac:dyDescent="0.25">
      <c r="A1758" s="130"/>
      <c r="B1758" s="602"/>
      <c r="C1758" s="604"/>
      <c r="D1758" s="606"/>
      <c r="E1758" s="606"/>
      <c r="F1758" s="132"/>
      <c r="G1758" s="608"/>
      <c r="H1758" s="598"/>
      <c r="I1758" s="600"/>
      <c r="J1758" s="532"/>
      <c r="L1758" s="130"/>
      <c r="N1758" s="130"/>
      <c r="O1758" s="130"/>
    </row>
    <row r="1759" spans="1:17" ht="20.100000000000001" customHeight="1" x14ac:dyDescent="0.25">
      <c r="A1759" s="130" t="str">
        <f t="shared" ca="1" si="1916"/>
        <v>a16Dm000000LZihIAG</v>
      </c>
      <c r="B1759" s="601">
        <v>29</v>
      </c>
      <c r="C1759" s="603" t="str">
        <f>IFERROR(VLOOKUP(B1759,'Coverage Indicators - Section D'!$A$9:$AO$70,41,FALSE),"")</f>
        <v/>
      </c>
      <c r="D1759" s="605" t="str">
        <f>M1759</f>
        <v/>
      </c>
      <c r="E1759" s="605" t="str">
        <f>N1759</f>
        <v/>
      </c>
      <c r="F1759" s="131"/>
      <c r="G1759" s="607" t="str">
        <f ca="1">IF(OR(INDIRECT("'update Helper'!E"&amp;Q1759)="",F1759&lt;&gt;0,F1760&lt;&gt;0),IF(IFERROR((F1759/F1760),"")="","",(F1759/F1760)),INDIRECT("'update Helper'!E"&amp;Q1759)/100)</f>
        <v/>
      </c>
      <c r="H1759" s="597"/>
      <c r="I1759" s="599"/>
      <c r="J1759" s="531"/>
      <c r="K1759" s="130">
        <f>IF(AND(EXACT(C1759,C1757),C1757&lt;&gt;0),K1757+1,0)</f>
        <v>89</v>
      </c>
      <c r="L1759" s="130" t="str">
        <f t="shared" ref="L1759" si="1961">IF(C1759&lt;&gt;"",C1759&amp;"-"&amp;K1759,"")</f>
        <v/>
      </c>
      <c r="M1759" s="130" t="str">
        <f t="array" ref="M1759">IFERROR(IF(INDEX('Disaggregation Records'!$E$152:$E$513,MATCH(RIGHT(L1759,255),RIGHT('Disaggregation Records'!$D$152:$D$513,255),0))="","",INDEX('Disaggregation Records'!$E$152:$E$513,MATCH(RIGHT(L1759,255),RIGHT('Disaggregation Records'!$D$152:$D$513,255),0))),"")</f>
        <v/>
      </c>
      <c r="N1759" s="130" t="str">
        <f t="array" ref="N1759">IFERROR(IF(INDEX('Disaggregation Records'!$F$152:$F$513,MATCH(RIGHT(L1759,255),RIGHT('Disaggregation Records'!$D$152:$D$513,255),0))="","",INDEX('Disaggregation Records'!$F$152:$F$513,MATCH(RIGHT(L1759,255),RIGHT('Disaggregation Records'!$D$152:$D$513,255),0))),"")</f>
        <v/>
      </c>
      <c r="O1759" s="130" t="str">
        <f t="array" ref="O1759">IFERROR(IF(INDEX('Disaggregation Records'!$H$152:$H$513,MATCH(RIGHT(L1759,255),RIGHT('Disaggregation Records'!$D$152:$D$513,255),0))="","",INDEX('Disaggregation Records'!$H$152:$H$513,MATCH(RIGHT(L1759,255),RIGHT('Disaggregation Records'!$D$152:$D$513,255),0))),"")</f>
        <v/>
      </c>
      <c r="Q1759" s="52">
        <f t="shared" ref="Q1759" si="1962">Q1757+1</f>
        <v>2064</v>
      </c>
    </row>
    <row r="1760" spans="1:17" ht="20.100000000000001" customHeight="1" x14ac:dyDescent="0.25">
      <c r="B1760" s="602"/>
      <c r="C1760" s="604"/>
      <c r="D1760" s="606"/>
      <c r="E1760" s="606"/>
      <c r="F1760" s="132"/>
      <c r="G1760" s="608"/>
      <c r="H1760" s="598"/>
      <c r="I1760" s="600"/>
      <c r="J1760" s="532"/>
      <c r="L1760" s="130"/>
      <c r="N1760" s="130"/>
      <c r="O1760" s="130"/>
    </row>
    <row r="1761" spans="1:17" ht="20.100000000000001" customHeight="1" x14ac:dyDescent="0.25">
      <c r="A1761" s="130" t="str">
        <f t="shared" ca="1" si="1913"/>
        <v>a16Dm000000LZiiIAG</v>
      </c>
      <c r="B1761" s="601">
        <v>29</v>
      </c>
      <c r="C1761" s="603" t="str">
        <f>IFERROR(VLOOKUP(B1761,'Coverage Indicators - Section D'!$A$9:$AO$70,41,FALSE),"")</f>
        <v/>
      </c>
      <c r="D1761" s="605" t="str">
        <f>M1761</f>
        <v/>
      </c>
      <c r="E1761" s="605" t="str">
        <f>N1761</f>
        <v/>
      </c>
      <c r="F1761" s="131"/>
      <c r="G1761" s="607" t="str">
        <f ca="1">IF(OR(INDIRECT("'update Helper'!E"&amp;Q1761)="",F1761&lt;&gt;0,F1762&lt;&gt;0),IF(IFERROR((F1761/F1762),"")="","",(F1761/F1762)),INDIRECT("'update Helper'!E"&amp;Q1761)/100)</f>
        <v/>
      </c>
      <c r="H1761" s="597"/>
      <c r="I1761" s="599"/>
      <c r="J1761" s="531"/>
      <c r="K1761" s="130">
        <f>IF(AND(EXACT(C1761,C1759),C1759&lt;&gt;0),K1759+1,0)</f>
        <v>90</v>
      </c>
      <c r="L1761" s="130" t="str">
        <f t="shared" ref="L1761" si="1963">IF(C1761&lt;&gt;"",C1761&amp;"-"&amp;K1761,"")</f>
        <v/>
      </c>
      <c r="M1761" s="130" t="str">
        <f t="array" ref="M1761">IFERROR(IF(INDEX('Disaggregation Records'!$E$152:$E$513,MATCH(RIGHT(L1761,255),RIGHT('Disaggregation Records'!$D$152:$D$513,255),0))="","",INDEX('Disaggregation Records'!$E$152:$E$513,MATCH(RIGHT(L1761,255),RIGHT('Disaggregation Records'!$D$152:$D$513,255),0))),"")</f>
        <v/>
      </c>
      <c r="N1761" s="130" t="str">
        <f t="array" ref="N1761">IFERROR(IF(INDEX('Disaggregation Records'!$F$152:$F$513,MATCH(RIGHT(L1761,255),RIGHT('Disaggregation Records'!$D$152:$D$513,255),0))="","",INDEX('Disaggregation Records'!$F$152:$F$513,MATCH(RIGHT(L1761,255),RIGHT('Disaggregation Records'!$D$152:$D$513,255),0))),"")</f>
        <v/>
      </c>
      <c r="O1761" s="130" t="str">
        <f t="array" ref="O1761">IFERROR(IF(INDEX('Disaggregation Records'!$H$152:$H$513,MATCH(RIGHT(L1761,255),RIGHT('Disaggregation Records'!$D$152:$D$513,255),0))="","",INDEX('Disaggregation Records'!$H$152:$H$513,MATCH(RIGHT(L1761,255),RIGHT('Disaggregation Records'!$D$152:$D$513,255),0))),"")</f>
        <v/>
      </c>
      <c r="P1761" s="130"/>
      <c r="Q1761" s="52">
        <f t="shared" ref="Q1761" si="1964">Q1759+1</f>
        <v>2065</v>
      </c>
    </row>
    <row r="1762" spans="1:17" ht="20.100000000000001" customHeight="1" x14ac:dyDescent="0.25">
      <c r="A1762" s="130"/>
      <c r="B1762" s="602"/>
      <c r="C1762" s="604"/>
      <c r="D1762" s="606"/>
      <c r="E1762" s="606"/>
      <c r="F1762" s="132"/>
      <c r="G1762" s="608"/>
      <c r="H1762" s="598"/>
      <c r="I1762" s="600"/>
      <c r="J1762" s="532"/>
      <c r="K1762" s="130"/>
      <c r="L1762" s="130"/>
      <c r="M1762" s="130"/>
      <c r="N1762" s="130"/>
      <c r="O1762" s="130"/>
      <c r="P1762" s="130"/>
    </row>
    <row r="1763" spans="1:17" ht="20.100000000000001" customHeight="1" x14ac:dyDescent="0.25">
      <c r="A1763" s="130" t="str">
        <f t="shared" ca="1" si="1916"/>
        <v>a16Dm000000LZijIAG</v>
      </c>
      <c r="B1763" s="601">
        <v>29</v>
      </c>
      <c r="C1763" s="603" t="str">
        <f>IFERROR(VLOOKUP(B1763,'Coverage Indicators - Section D'!$A$9:$AO$70,41,FALSE),"")</f>
        <v/>
      </c>
      <c r="D1763" s="605" t="str">
        <f>M1763</f>
        <v/>
      </c>
      <c r="E1763" s="605" t="str">
        <f>N1763</f>
        <v/>
      </c>
      <c r="F1763" s="131"/>
      <c r="G1763" s="607" t="str">
        <f ca="1">IF(OR(INDIRECT("'update Helper'!E"&amp;Q1763)="",F1763&lt;&gt;0,F1764&lt;&gt;0),IF(IFERROR((F1763/F1764),"")="","",(F1763/F1764)),INDIRECT("'update Helper'!E"&amp;Q1763)/100)</f>
        <v/>
      </c>
      <c r="H1763" s="597"/>
      <c r="I1763" s="599"/>
      <c r="J1763" s="531"/>
      <c r="K1763" s="130">
        <f>IF(AND(EXACT(C1763,C1761),C1761&lt;&gt;0),K1761+1,0)</f>
        <v>91</v>
      </c>
      <c r="L1763" s="130" t="str">
        <f t="shared" ref="L1763" si="1965">IF(C1763&lt;&gt;"",C1763&amp;"-"&amp;K1763,"")</f>
        <v/>
      </c>
      <c r="M1763" s="130" t="str">
        <f t="array" ref="M1763">IFERROR(IF(INDEX('Disaggregation Records'!$E$152:$E$513,MATCH(RIGHT(L1763,255),RIGHT('Disaggregation Records'!$D$152:$D$513,255),0))="","",INDEX('Disaggregation Records'!$E$152:$E$513,MATCH(RIGHT(L1763,255),RIGHT('Disaggregation Records'!$D$152:$D$513,255),0))),"")</f>
        <v/>
      </c>
      <c r="N1763" s="130" t="str">
        <f t="array" ref="N1763">IFERROR(IF(INDEX('Disaggregation Records'!$F$152:$F$513,MATCH(RIGHT(L1763,255),RIGHT('Disaggregation Records'!$D$152:$D$513,255),0))="","",INDEX('Disaggregation Records'!$F$152:$F$513,MATCH(RIGHT(L1763,255),RIGHT('Disaggregation Records'!$D$152:$D$513,255),0))),"")</f>
        <v/>
      </c>
      <c r="O1763" s="130" t="str">
        <f t="array" ref="O1763">IFERROR(IF(INDEX('Disaggregation Records'!$H$152:$H$513,MATCH(RIGHT(L1763,255),RIGHT('Disaggregation Records'!$D$152:$D$513,255),0))="","",INDEX('Disaggregation Records'!$H$152:$H$513,MATCH(RIGHT(L1763,255),RIGHT('Disaggregation Records'!$D$152:$D$513,255),0))),"")</f>
        <v/>
      </c>
      <c r="P1763" s="130"/>
      <c r="Q1763" s="52">
        <f t="shared" ref="Q1763" si="1966">Q1761+1</f>
        <v>2066</v>
      </c>
    </row>
    <row r="1764" spans="1:17" ht="20.100000000000001" customHeight="1" x14ac:dyDescent="0.25">
      <c r="B1764" s="602"/>
      <c r="C1764" s="604"/>
      <c r="D1764" s="606"/>
      <c r="E1764" s="606"/>
      <c r="F1764" s="132"/>
      <c r="G1764" s="608"/>
      <c r="H1764" s="598"/>
      <c r="I1764" s="600"/>
      <c r="J1764" s="532"/>
      <c r="K1764" s="130"/>
      <c r="L1764" s="130"/>
      <c r="M1764" s="130"/>
      <c r="N1764" s="130"/>
      <c r="O1764" s="130"/>
      <c r="P1764" s="130"/>
    </row>
    <row r="1765" spans="1:17" ht="20.100000000000001" customHeight="1" x14ac:dyDescent="0.25">
      <c r="A1765" s="130" t="str">
        <f t="shared" ca="1" si="1913"/>
        <v>a16Dm000000LZikIAG</v>
      </c>
      <c r="B1765" s="601">
        <v>29</v>
      </c>
      <c r="C1765" s="603" t="str">
        <f>IFERROR(VLOOKUP(B1765,'Coverage Indicators - Section D'!$A$9:$AO$70,41,FALSE),"")</f>
        <v/>
      </c>
      <c r="D1765" s="605" t="str">
        <f>M1765</f>
        <v/>
      </c>
      <c r="E1765" s="605" t="str">
        <f>N1765</f>
        <v/>
      </c>
      <c r="F1765" s="131"/>
      <c r="G1765" s="607" t="str">
        <f ca="1">IF(OR(INDIRECT("'update Helper'!E"&amp;Q1765)="",F1765&lt;&gt;0,F1766&lt;&gt;0),IF(IFERROR((F1765/F1766),"")="","",(F1765/F1766)),INDIRECT("'update Helper'!E"&amp;Q1765)/100)</f>
        <v/>
      </c>
      <c r="H1765" s="597"/>
      <c r="I1765" s="599"/>
      <c r="J1765" s="531"/>
      <c r="K1765" s="130">
        <f>IF(AND(EXACT(C1765,C1763),C1763&lt;&gt;0),K1763+1,0)</f>
        <v>92</v>
      </c>
      <c r="L1765" s="130" t="str">
        <f t="shared" ref="L1765" si="1967">IF(C1765&lt;&gt;"",C1765&amp;"-"&amp;K1765,"")</f>
        <v/>
      </c>
      <c r="M1765" s="130" t="str">
        <f t="array" ref="M1765">IFERROR(IF(INDEX('Disaggregation Records'!$E$152:$E$513,MATCH(RIGHT(L1765,255),RIGHT('Disaggregation Records'!$D$152:$D$513,255),0))="","",INDEX('Disaggregation Records'!$E$152:$E$513,MATCH(RIGHT(L1765,255),RIGHT('Disaggregation Records'!$D$152:$D$513,255),0))),"")</f>
        <v/>
      </c>
      <c r="N1765" s="130" t="str">
        <f t="array" ref="N1765">IFERROR(IF(INDEX('Disaggregation Records'!$F$152:$F$513,MATCH(RIGHT(L1765,255),RIGHT('Disaggregation Records'!$D$152:$D$513,255),0))="","",INDEX('Disaggregation Records'!$F$152:$F$513,MATCH(RIGHT(L1765,255),RIGHT('Disaggregation Records'!$D$152:$D$513,255),0))),"")</f>
        <v/>
      </c>
      <c r="O1765" s="130" t="str">
        <f t="array" ref="O1765">IFERROR(IF(INDEX('Disaggregation Records'!$H$152:$H$513,MATCH(RIGHT(L1765,255),RIGHT('Disaggregation Records'!$D$152:$D$513,255),0))="","",INDEX('Disaggregation Records'!$H$152:$H$513,MATCH(RIGHT(L1765,255),RIGHT('Disaggregation Records'!$D$152:$D$513,255),0))),"")</f>
        <v/>
      </c>
      <c r="Q1765" s="52">
        <f t="shared" ref="Q1765" si="1968">Q1763+1</f>
        <v>2067</v>
      </c>
    </row>
    <row r="1766" spans="1:17" ht="20.100000000000001" customHeight="1" x14ac:dyDescent="0.25">
      <c r="A1766" s="130"/>
      <c r="B1766" s="602"/>
      <c r="C1766" s="604"/>
      <c r="D1766" s="606"/>
      <c r="E1766" s="606"/>
      <c r="F1766" s="132"/>
      <c r="G1766" s="608"/>
      <c r="H1766" s="598"/>
      <c r="I1766" s="600"/>
      <c r="J1766" s="532"/>
      <c r="L1766" s="130"/>
      <c r="N1766" s="130"/>
      <c r="O1766" s="130"/>
    </row>
    <row r="1767" spans="1:17" ht="20.100000000000001" customHeight="1" x14ac:dyDescent="0.25">
      <c r="A1767" s="130" t="str">
        <f t="shared" ca="1" si="1916"/>
        <v>a16Dm000000LZilIAG</v>
      </c>
      <c r="B1767" s="601">
        <v>29</v>
      </c>
      <c r="C1767" s="603" t="str">
        <f>IFERROR(VLOOKUP(B1767,'Coverage Indicators - Section D'!$A$9:$AO$70,41,FALSE),"")</f>
        <v/>
      </c>
      <c r="D1767" s="605" t="str">
        <f>M1767</f>
        <v/>
      </c>
      <c r="E1767" s="605" t="str">
        <f>N1767</f>
        <v/>
      </c>
      <c r="F1767" s="131"/>
      <c r="G1767" s="607" t="str">
        <f ca="1">IF(OR(INDIRECT("'update Helper'!E"&amp;Q1767)="",F1767&lt;&gt;0,F1768&lt;&gt;0),IF(IFERROR((F1767/F1768),"")="","",(F1767/F1768)),INDIRECT("'update Helper'!E"&amp;Q1767)/100)</f>
        <v/>
      </c>
      <c r="H1767" s="597"/>
      <c r="I1767" s="599"/>
      <c r="J1767" s="531"/>
      <c r="K1767" s="130">
        <f>IF(AND(EXACT(C1767,C1765),C1765&lt;&gt;0),K1765+1,0)</f>
        <v>93</v>
      </c>
      <c r="L1767" s="130" t="str">
        <f t="shared" ref="L1767" si="1969">IF(C1767&lt;&gt;"",C1767&amp;"-"&amp;K1767,"")</f>
        <v/>
      </c>
      <c r="M1767" s="130" t="str">
        <f t="array" ref="M1767">IFERROR(IF(INDEX('Disaggregation Records'!$E$152:$E$513,MATCH(RIGHT(L1767,255),RIGHT('Disaggregation Records'!$D$152:$D$513,255),0))="","",INDEX('Disaggregation Records'!$E$152:$E$513,MATCH(RIGHT(L1767,255),RIGHT('Disaggregation Records'!$D$152:$D$513,255),0))),"")</f>
        <v/>
      </c>
      <c r="N1767" s="130" t="str">
        <f t="array" ref="N1767">IFERROR(IF(INDEX('Disaggregation Records'!$F$152:$F$513,MATCH(RIGHT(L1767,255),RIGHT('Disaggregation Records'!$D$152:$D$513,255),0))="","",INDEX('Disaggregation Records'!$F$152:$F$513,MATCH(RIGHT(L1767,255),RIGHT('Disaggregation Records'!$D$152:$D$513,255),0))),"")</f>
        <v/>
      </c>
      <c r="O1767" s="130" t="str">
        <f t="array" ref="O1767">IFERROR(IF(INDEX('Disaggregation Records'!$H$152:$H$513,MATCH(RIGHT(L1767,255),RIGHT('Disaggregation Records'!$D$152:$D$513,255),0))="","",INDEX('Disaggregation Records'!$H$152:$H$513,MATCH(RIGHT(L1767,255),RIGHT('Disaggregation Records'!$D$152:$D$513,255),0))),"")</f>
        <v/>
      </c>
      <c r="Q1767" s="52">
        <f t="shared" ref="Q1767" si="1970">Q1765+1</f>
        <v>2068</v>
      </c>
    </row>
    <row r="1768" spans="1:17" ht="20.100000000000001" customHeight="1" x14ac:dyDescent="0.25">
      <c r="B1768" s="602"/>
      <c r="C1768" s="604"/>
      <c r="D1768" s="606"/>
      <c r="E1768" s="606"/>
      <c r="F1768" s="132"/>
      <c r="G1768" s="608"/>
      <c r="H1768" s="598"/>
      <c r="I1768" s="600"/>
      <c r="J1768" s="532"/>
      <c r="L1768" s="130"/>
      <c r="N1768" s="130"/>
      <c r="O1768" s="130"/>
    </row>
    <row r="1769" spans="1:17" ht="20.100000000000001" customHeight="1" x14ac:dyDescent="0.25">
      <c r="A1769" s="130" t="str">
        <f t="shared" ca="1" si="1913"/>
        <v>a16Dm000000LZimIAG</v>
      </c>
      <c r="B1769" s="601">
        <v>29</v>
      </c>
      <c r="C1769" s="603" t="str">
        <f>IFERROR(VLOOKUP(B1769,'Coverage Indicators - Section D'!$A$9:$AO$70,41,FALSE),"")</f>
        <v/>
      </c>
      <c r="D1769" s="605" t="str">
        <f>M1769</f>
        <v/>
      </c>
      <c r="E1769" s="605" t="str">
        <f>N1769</f>
        <v/>
      </c>
      <c r="F1769" s="131"/>
      <c r="G1769" s="607" t="str">
        <f ca="1">IF(OR(INDIRECT("'update Helper'!E"&amp;Q1769)="",F1769&lt;&gt;0,F1770&lt;&gt;0),IF(IFERROR((F1769/F1770),"")="","",(F1769/F1770)),INDIRECT("'update Helper'!E"&amp;Q1769)/100)</f>
        <v/>
      </c>
      <c r="H1769" s="597"/>
      <c r="I1769" s="599"/>
      <c r="J1769" s="531"/>
      <c r="K1769" s="130">
        <f>IF(AND(EXACT(C1769,C1767),C1767&lt;&gt;0),K1767+1,0)</f>
        <v>94</v>
      </c>
      <c r="L1769" s="130" t="str">
        <f t="shared" ref="L1769" si="1971">IF(C1769&lt;&gt;"",C1769&amp;"-"&amp;K1769,"")</f>
        <v/>
      </c>
      <c r="M1769" s="130" t="str">
        <f t="array" ref="M1769">IFERROR(IF(INDEX('Disaggregation Records'!$E$152:$E$513,MATCH(RIGHT(L1769,255),RIGHT('Disaggregation Records'!$D$152:$D$513,255),0))="","",INDEX('Disaggregation Records'!$E$152:$E$513,MATCH(RIGHT(L1769,255),RIGHT('Disaggregation Records'!$D$152:$D$513,255),0))),"")</f>
        <v/>
      </c>
      <c r="N1769" s="130" t="str">
        <f t="array" ref="N1769">IFERROR(IF(INDEX('Disaggregation Records'!$F$152:$F$513,MATCH(RIGHT(L1769,255),RIGHT('Disaggregation Records'!$D$152:$D$513,255),0))="","",INDEX('Disaggregation Records'!$F$152:$F$513,MATCH(RIGHT(L1769,255),RIGHT('Disaggregation Records'!$D$152:$D$513,255),0))),"")</f>
        <v/>
      </c>
      <c r="O1769" s="130" t="str">
        <f t="array" ref="O1769">IFERROR(IF(INDEX('Disaggregation Records'!$H$152:$H$513,MATCH(RIGHT(L1769,255),RIGHT('Disaggregation Records'!$D$152:$D$513,255),0))="","",INDEX('Disaggregation Records'!$H$152:$H$513,MATCH(RIGHT(L1769,255),RIGHT('Disaggregation Records'!$D$152:$D$513,255),0))),"")</f>
        <v/>
      </c>
      <c r="Q1769" s="52">
        <f t="shared" ref="Q1769" si="1972">Q1767+1</f>
        <v>2069</v>
      </c>
    </row>
    <row r="1770" spans="1:17" ht="20.100000000000001" customHeight="1" x14ac:dyDescent="0.25">
      <c r="A1770" s="130"/>
      <c r="B1770" s="602"/>
      <c r="C1770" s="604"/>
      <c r="D1770" s="606"/>
      <c r="E1770" s="606"/>
      <c r="F1770" s="132"/>
      <c r="G1770" s="608"/>
      <c r="H1770" s="598"/>
      <c r="I1770" s="600"/>
      <c r="J1770" s="532"/>
      <c r="L1770" s="130"/>
      <c r="N1770" s="130"/>
      <c r="O1770" s="130"/>
    </row>
    <row r="1771" spans="1:17" ht="20.100000000000001" customHeight="1" x14ac:dyDescent="0.25">
      <c r="A1771" s="130" t="str">
        <f t="shared" ca="1" si="1916"/>
        <v>a16Dm000000LZinIAG</v>
      </c>
      <c r="B1771" s="601">
        <v>29</v>
      </c>
      <c r="C1771" s="603" t="str">
        <f>IFERROR(VLOOKUP(B1771,'Coverage Indicators - Section D'!$A$9:$AO$70,41,FALSE),"")</f>
        <v/>
      </c>
      <c r="D1771" s="605" t="str">
        <f>M1771</f>
        <v/>
      </c>
      <c r="E1771" s="605" t="str">
        <f>N1771</f>
        <v/>
      </c>
      <c r="F1771" s="131"/>
      <c r="G1771" s="607" t="str">
        <f ca="1">IF(OR(INDIRECT("'update Helper'!E"&amp;Q1771)="",F1771&lt;&gt;0,F1772&lt;&gt;0),IF(IFERROR((F1771/F1772),"")="","",(F1771/F1772)),INDIRECT("'update Helper'!E"&amp;Q1771)/100)</f>
        <v/>
      </c>
      <c r="H1771" s="597"/>
      <c r="I1771" s="599"/>
      <c r="J1771" s="531"/>
      <c r="K1771" s="130">
        <f>IF(AND(EXACT(C1771,C1769),C1769&lt;&gt;0),K1769+1,0)</f>
        <v>95</v>
      </c>
      <c r="L1771" s="130" t="str">
        <f t="shared" ref="L1771" si="1973">IF(C1771&lt;&gt;"",C1771&amp;"-"&amp;K1771,"")</f>
        <v/>
      </c>
      <c r="M1771" s="130" t="str">
        <f t="array" ref="M1771">IFERROR(IF(INDEX('Disaggregation Records'!$E$152:$E$513,MATCH(RIGHT(L1771,255),RIGHT('Disaggregation Records'!$D$152:$D$513,255),0))="","",INDEX('Disaggregation Records'!$E$152:$E$513,MATCH(RIGHT(L1771,255),RIGHT('Disaggregation Records'!$D$152:$D$513,255),0))),"")</f>
        <v/>
      </c>
      <c r="N1771" s="130" t="str">
        <f t="array" ref="N1771">IFERROR(IF(INDEX('Disaggregation Records'!$F$152:$F$513,MATCH(RIGHT(L1771,255),RIGHT('Disaggregation Records'!$D$152:$D$513,255),0))="","",INDEX('Disaggregation Records'!$F$152:$F$513,MATCH(RIGHT(L1771,255),RIGHT('Disaggregation Records'!$D$152:$D$513,255),0))),"")</f>
        <v/>
      </c>
      <c r="O1771" s="130" t="str">
        <f t="array" ref="O1771">IFERROR(IF(INDEX('Disaggregation Records'!$H$152:$H$513,MATCH(RIGHT(L1771,255),RIGHT('Disaggregation Records'!$D$152:$D$513,255),0))="","",INDEX('Disaggregation Records'!$H$152:$H$513,MATCH(RIGHT(L1771,255),RIGHT('Disaggregation Records'!$D$152:$D$513,255),0))),"")</f>
        <v/>
      </c>
      <c r="P1771" s="130"/>
      <c r="Q1771" s="52">
        <f t="shared" ref="Q1771" si="1974">Q1769+1</f>
        <v>2070</v>
      </c>
    </row>
    <row r="1772" spans="1:17" ht="20.100000000000001" customHeight="1" x14ac:dyDescent="0.25">
      <c r="B1772" s="602"/>
      <c r="C1772" s="604"/>
      <c r="D1772" s="606"/>
      <c r="E1772" s="606"/>
      <c r="F1772" s="132"/>
      <c r="G1772" s="608"/>
      <c r="H1772" s="598"/>
      <c r="I1772" s="600"/>
      <c r="J1772" s="532"/>
      <c r="K1772" s="130"/>
      <c r="L1772" s="130"/>
      <c r="M1772" s="130"/>
      <c r="N1772" s="130"/>
      <c r="O1772" s="130"/>
      <c r="P1772" s="130"/>
    </row>
    <row r="1773" spans="1:17" ht="20.100000000000001" customHeight="1" x14ac:dyDescent="0.25">
      <c r="A1773" s="130" t="str">
        <f t="shared" ca="1" si="1913"/>
        <v>a16Dm000000LZioIAG</v>
      </c>
      <c r="B1773" s="601">
        <v>29</v>
      </c>
      <c r="C1773" s="603" t="str">
        <f>IFERROR(VLOOKUP(B1773,'Coverage Indicators - Section D'!$A$9:$AO$70,41,FALSE),"")</f>
        <v/>
      </c>
      <c r="D1773" s="605" t="str">
        <f>M1773</f>
        <v/>
      </c>
      <c r="E1773" s="605" t="str">
        <f>N1773</f>
        <v/>
      </c>
      <c r="F1773" s="131"/>
      <c r="G1773" s="607" t="str">
        <f ca="1">IF(OR(INDIRECT("'update Helper'!E"&amp;Q1773)="",F1773&lt;&gt;0,F1774&lt;&gt;0),IF(IFERROR((F1773/F1774),"")="","",(F1773/F1774)),INDIRECT("'update Helper'!E"&amp;Q1773)/100)</f>
        <v/>
      </c>
      <c r="H1773" s="597"/>
      <c r="I1773" s="599"/>
      <c r="J1773" s="531"/>
      <c r="K1773" s="130">
        <f>IF(AND(EXACT(C1773,C1771),C1771&lt;&gt;0),K1771+1,0)</f>
        <v>96</v>
      </c>
      <c r="L1773" s="130" t="str">
        <f t="shared" ref="L1773" si="1975">IF(C1773&lt;&gt;"",C1773&amp;"-"&amp;K1773,"")</f>
        <v/>
      </c>
      <c r="M1773" s="130" t="str">
        <f t="array" ref="M1773">IFERROR(IF(INDEX('Disaggregation Records'!$E$152:$E$513,MATCH(RIGHT(L1773,255),RIGHT('Disaggregation Records'!$D$152:$D$513,255),0))="","",INDEX('Disaggregation Records'!$E$152:$E$513,MATCH(RIGHT(L1773,255),RIGHT('Disaggregation Records'!$D$152:$D$513,255),0))),"")</f>
        <v/>
      </c>
      <c r="N1773" s="130" t="str">
        <f t="array" ref="N1773">IFERROR(IF(INDEX('Disaggregation Records'!$F$152:$F$513,MATCH(RIGHT(L1773,255),RIGHT('Disaggregation Records'!$D$152:$D$513,255),0))="","",INDEX('Disaggregation Records'!$F$152:$F$513,MATCH(RIGHT(L1773,255),RIGHT('Disaggregation Records'!$D$152:$D$513,255),0))),"")</f>
        <v/>
      </c>
      <c r="O1773" s="130" t="str">
        <f t="array" ref="O1773">IFERROR(IF(INDEX('Disaggregation Records'!$H$152:$H$513,MATCH(RIGHT(L1773,255),RIGHT('Disaggregation Records'!$D$152:$D$513,255),0))="","",INDEX('Disaggregation Records'!$H$152:$H$513,MATCH(RIGHT(L1773,255),RIGHT('Disaggregation Records'!$D$152:$D$513,255),0))),"")</f>
        <v/>
      </c>
      <c r="P1773" s="130"/>
      <c r="Q1773" s="52">
        <f t="shared" ref="Q1773" si="1976">Q1771+1</f>
        <v>2071</v>
      </c>
    </row>
    <row r="1774" spans="1:17" ht="20.100000000000001" customHeight="1" x14ac:dyDescent="0.25">
      <c r="A1774" s="130"/>
      <c r="B1774" s="602"/>
      <c r="C1774" s="604"/>
      <c r="D1774" s="606"/>
      <c r="E1774" s="606"/>
      <c r="F1774" s="132"/>
      <c r="G1774" s="608"/>
      <c r="H1774" s="598"/>
      <c r="I1774" s="600"/>
      <c r="J1774" s="532"/>
      <c r="K1774" s="130"/>
      <c r="L1774" s="130"/>
      <c r="M1774" s="130"/>
      <c r="N1774" s="130"/>
      <c r="O1774" s="130"/>
      <c r="P1774" s="130"/>
    </row>
    <row r="1775" spans="1:17" ht="20.100000000000001" customHeight="1" x14ac:dyDescent="0.25">
      <c r="A1775" s="130" t="str">
        <f t="shared" ca="1" si="1916"/>
        <v>a16Dm000000LZipIAG</v>
      </c>
      <c r="B1775" s="601">
        <v>29</v>
      </c>
      <c r="C1775" s="603" t="str">
        <f>IFERROR(VLOOKUP(B1775,'Coverage Indicators - Section D'!$A$9:$AO$70,41,FALSE),"")</f>
        <v/>
      </c>
      <c r="D1775" s="605" t="str">
        <f>M1775</f>
        <v/>
      </c>
      <c r="E1775" s="605" t="str">
        <f>N1775</f>
        <v/>
      </c>
      <c r="F1775" s="131"/>
      <c r="G1775" s="607" t="str">
        <f ca="1">IF(OR(INDIRECT("'update Helper'!E"&amp;Q1775)="",F1775&lt;&gt;0,F1776&lt;&gt;0),IF(IFERROR((F1775/F1776),"")="","",(F1775/F1776)),INDIRECT("'update Helper'!E"&amp;Q1775)/100)</f>
        <v/>
      </c>
      <c r="H1775" s="597"/>
      <c r="I1775" s="599"/>
      <c r="J1775" s="531"/>
      <c r="K1775" s="130">
        <f>IF(AND(EXACT(C1775,C1773),C1773&lt;&gt;0),K1773+1,0)</f>
        <v>97</v>
      </c>
      <c r="L1775" s="130" t="str">
        <f t="shared" ref="L1775" si="1977">IF(C1775&lt;&gt;"",C1775&amp;"-"&amp;K1775,"")</f>
        <v/>
      </c>
      <c r="M1775" s="130" t="str">
        <f t="array" ref="M1775">IFERROR(IF(INDEX('Disaggregation Records'!$E$152:$E$513,MATCH(RIGHT(L1775,255),RIGHT('Disaggregation Records'!$D$152:$D$513,255),0))="","",INDEX('Disaggregation Records'!$E$152:$E$513,MATCH(RIGHT(L1775,255),RIGHT('Disaggregation Records'!$D$152:$D$513,255),0))),"")</f>
        <v/>
      </c>
      <c r="N1775" s="130" t="str">
        <f t="array" ref="N1775">IFERROR(IF(INDEX('Disaggregation Records'!$F$152:$F$513,MATCH(RIGHT(L1775,255),RIGHT('Disaggregation Records'!$D$152:$D$513,255),0))="","",INDEX('Disaggregation Records'!$F$152:$F$513,MATCH(RIGHT(L1775,255),RIGHT('Disaggregation Records'!$D$152:$D$513,255),0))),"")</f>
        <v/>
      </c>
      <c r="O1775" s="130" t="str">
        <f t="array" ref="O1775">IFERROR(IF(INDEX('Disaggregation Records'!$H$152:$H$513,MATCH(RIGHT(L1775,255),RIGHT('Disaggregation Records'!$D$152:$D$513,255),0))="","",INDEX('Disaggregation Records'!$H$152:$H$513,MATCH(RIGHT(L1775,255),RIGHT('Disaggregation Records'!$D$152:$D$513,255),0))),"")</f>
        <v/>
      </c>
      <c r="Q1775" s="52">
        <f t="shared" ref="Q1775" si="1978">Q1773+1</f>
        <v>2072</v>
      </c>
    </row>
    <row r="1776" spans="1:17" ht="20.100000000000001" customHeight="1" x14ac:dyDescent="0.25">
      <c r="B1776" s="602"/>
      <c r="C1776" s="604"/>
      <c r="D1776" s="606"/>
      <c r="E1776" s="606"/>
      <c r="F1776" s="132"/>
      <c r="G1776" s="608"/>
      <c r="H1776" s="598"/>
      <c r="I1776" s="600"/>
      <c r="J1776" s="532"/>
      <c r="L1776" s="130"/>
      <c r="N1776" s="130"/>
      <c r="O1776" s="130"/>
    </row>
    <row r="1777" spans="1:17" ht="20.100000000000001" customHeight="1" x14ac:dyDescent="0.25">
      <c r="A1777" s="130" t="str">
        <f t="shared" ref="A1777:A1817" ca="1" si="1979">INDIRECT("'update Helper'!C"&amp;Q1777)</f>
        <v>a16Dm000000LZiqIAG</v>
      </c>
      <c r="B1777" s="601">
        <v>29</v>
      </c>
      <c r="C1777" s="603" t="str">
        <f>IFERROR(VLOOKUP(B1777,'Coverage Indicators - Section D'!$A$9:$AO$70,41,FALSE),"")</f>
        <v/>
      </c>
      <c r="D1777" s="605" t="str">
        <f>M1777</f>
        <v/>
      </c>
      <c r="E1777" s="605" t="str">
        <f>N1777</f>
        <v/>
      </c>
      <c r="F1777" s="131"/>
      <c r="G1777" s="607" t="str">
        <f ca="1">IF(OR(INDIRECT("'update Helper'!E"&amp;Q1777)="",F1777&lt;&gt;0,F1778&lt;&gt;0),IF(IFERROR((F1777/F1778),"")="","",(F1777/F1778)),INDIRECT("'update Helper'!E"&amp;Q1777)/100)</f>
        <v/>
      </c>
      <c r="H1777" s="597"/>
      <c r="I1777" s="599"/>
      <c r="J1777" s="531"/>
      <c r="K1777" s="130">
        <f>IF(AND(EXACT(C1777,C1775),C1775&lt;&gt;0),K1775+1,0)</f>
        <v>98</v>
      </c>
      <c r="L1777" s="130" t="str">
        <f t="shared" ref="L1777" si="1980">IF(C1777&lt;&gt;"",C1777&amp;"-"&amp;K1777,"")</f>
        <v/>
      </c>
      <c r="M1777" s="130" t="str">
        <f t="array" ref="M1777">IFERROR(IF(INDEX('Disaggregation Records'!$E$152:$E$513,MATCH(RIGHT(L1777,255),RIGHT('Disaggregation Records'!$D$152:$D$513,255),0))="","",INDEX('Disaggregation Records'!$E$152:$E$513,MATCH(RIGHT(L1777,255),RIGHT('Disaggregation Records'!$D$152:$D$513,255),0))),"")</f>
        <v/>
      </c>
      <c r="N1777" s="130" t="str">
        <f t="array" ref="N1777">IFERROR(IF(INDEX('Disaggregation Records'!$F$152:$F$513,MATCH(RIGHT(L1777,255),RIGHT('Disaggregation Records'!$D$152:$D$513,255),0))="","",INDEX('Disaggregation Records'!$F$152:$F$513,MATCH(RIGHT(L1777,255),RIGHT('Disaggregation Records'!$D$152:$D$513,255),0))),"")</f>
        <v/>
      </c>
      <c r="O1777" s="130" t="str">
        <f t="array" ref="O1777">IFERROR(IF(INDEX('Disaggregation Records'!$H$152:$H$513,MATCH(RIGHT(L1777,255),RIGHT('Disaggregation Records'!$D$152:$D$513,255),0))="","",INDEX('Disaggregation Records'!$H$152:$H$513,MATCH(RIGHT(L1777,255),RIGHT('Disaggregation Records'!$D$152:$D$513,255),0))),"")</f>
        <v/>
      </c>
      <c r="Q1777" s="52">
        <f t="shared" ref="Q1777" si="1981">Q1775+1</f>
        <v>2073</v>
      </c>
    </row>
    <row r="1778" spans="1:17" ht="20.100000000000001" customHeight="1" x14ac:dyDescent="0.25">
      <c r="A1778" s="130"/>
      <c r="B1778" s="602"/>
      <c r="C1778" s="604"/>
      <c r="D1778" s="606"/>
      <c r="E1778" s="606"/>
      <c r="F1778" s="132"/>
      <c r="G1778" s="608"/>
      <c r="H1778" s="598"/>
      <c r="I1778" s="600"/>
      <c r="J1778" s="532"/>
      <c r="L1778" s="130"/>
      <c r="N1778" s="130"/>
      <c r="O1778" s="130"/>
    </row>
    <row r="1779" spans="1:17" ht="20.100000000000001" customHeight="1" x14ac:dyDescent="0.25">
      <c r="A1779" s="130" t="str">
        <f t="shared" ref="A1779:A1819" ca="1" si="1982">INDIRECT("'update Helper'!C"&amp;Q1779)</f>
        <v>a16Dm000000LZirIAG</v>
      </c>
      <c r="B1779" s="601">
        <v>29</v>
      </c>
      <c r="C1779" s="603" t="str">
        <f>IFERROR(VLOOKUP(B1779,'Coverage Indicators - Section D'!$A$9:$AO$70,41,FALSE),"")</f>
        <v/>
      </c>
      <c r="D1779" s="605" t="str">
        <f>M1779</f>
        <v/>
      </c>
      <c r="E1779" s="605" t="str">
        <f>N1779</f>
        <v/>
      </c>
      <c r="F1779" s="131"/>
      <c r="G1779" s="607" t="str">
        <f ca="1">IF(OR(INDIRECT("'update Helper'!E"&amp;Q1779)="",F1779&lt;&gt;0,F1780&lt;&gt;0),IF(IFERROR((F1779/F1780),"")="","",(F1779/F1780)),INDIRECT("'update Helper'!E"&amp;Q1779)/100)</f>
        <v/>
      </c>
      <c r="H1779" s="597"/>
      <c r="I1779" s="599"/>
      <c r="J1779" s="531"/>
      <c r="K1779" s="130">
        <f>IF(AND(EXACT(C1779,C1777),C1777&lt;&gt;0),K1777+1,0)</f>
        <v>99</v>
      </c>
      <c r="L1779" s="130" t="str">
        <f t="shared" ref="L1779" si="1983">IF(C1779&lt;&gt;"",C1779&amp;"-"&amp;K1779,"")</f>
        <v/>
      </c>
      <c r="M1779" s="130" t="str">
        <f t="array" ref="M1779">IFERROR(IF(INDEX('Disaggregation Records'!$E$152:$E$513,MATCH(RIGHT(L1779,255),RIGHT('Disaggregation Records'!$D$152:$D$513,255),0))="","",INDEX('Disaggregation Records'!$E$152:$E$513,MATCH(RIGHT(L1779,255),RIGHT('Disaggregation Records'!$D$152:$D$513,255),0))),"")</f>
        <v/>
      </c>
      <c r="N1779" s="130" t="str">
        <f t="array" ref="N1779">IFERROR(IF(INDEX('Disaggregation Records'!$F$152:$F$513,MATCH(RIGHT(L1779,255),RIGHT('Disaggregation Records'!$D$152:$D$513,255),0))="","",INDEX('Disaggregation Records'!$F$152:$F$513,MATCH(RIGHT(L1779,255),RIGHT('Disaggregation Records'!$D$152:$D$513,255),0))),"")</f>
        <v/>
      </c>
      <c r="O1779" s="130" t="str">
        <f t="array" ref="O1779">IFERROR(IF(INDEX('Disaggregation Records'!$H$152:$H$513,MATCH(RIGHT(L1779,255),RIGHT('Disaggregation Records'!$D$152:$D$513,255),0))="","",INDEX('Disaggregation Records'!$H$152:$H$513,MATCH(RIGHT(L1779,255),RIGHT('Disaggregation Records'!$D$152:$D$513,255),0))),"")</f>
        <v/>
      </c>
      <c r="Q1779" s="52">
        <f t="shared" ref="Q1779" si="1984">Q1777+1</f>
        <v>2074</v>
      </c>
    </row>
    <row r="1780" spans="1:17" ht="20.100000000000001" customHeight="1" x14ac:dyDescent="0.25">
      <c r="B1780" s="602"/>
      <c r="C1780" s="604"/>
      <c r="D1780" s="606"/>
      <c r="E1780" s="606"/>
      <c r="F1780" s="132"/>
      <c r="G1780" s="608"/>
      <c r="H1780" s="598"/>
      <c r="I1780" s="600"/>
      <c r="J1780" s="532"/>
      <c r="L1780" s="130"/>
      <c r="N1780" s="130"/>
      <c r="O1780" s="130"/>
    </row>
    <row r="1781" spans="1:17" ht="20.100000000000001" customHeight="1" x14ac:dyDescent="0.25">
      <c r="A1781" s="130" t="str">
        <f t="shared" ca="1" si="1979"/>
        <v>a16Dm000000LZisIAG</v>
      </c>
      <c r="B1781" s="601">
        <v>30</v>
      </c>
      <c r="C1781" s="603" t="str">
        <f>IFERROR(VLOOKUP(B1781,'Coverage Indicators - Section D'!$A$9:$AO$70,41,FALSE),"")</f>
        <v/>
      </c>
      <c r="D1781" s="605" t="str">
        <f>M1781</f>
        <v/>
      </c>
      <c r="E1781" s="605" t="str">
        <f>N1781</f>
        <v/>
      </c>
      <c r="F1781" s="131"/>
      <c r="G1781" s="607" t="str">
        <f ca="1">IF(OR(INDIRECT("'update Helper'!E"&amp;Q1781)="",F1781&lt;&gt;0,F1782&lt;&gt;0),IF(IFERROR((F1781/F1782),"")="","",(F1781/F1782)),INDIRECT("'update Helper'!E"&amp;Q1781)/100)</f>
        <v/>
      </c>
      <c r="H1781" s="597"/>
      <c r="I1781" s="599"/>
      <c r="J1781" s="531"/>
      <c r="K1781" s="130">
        <f>IF(AND(EXACT(C1781,C1779),C1779&lt;&gt;0),K1779+1,0)</f>
        <v>100</v>
      </c>
      <c r="L1781" s="130" t="str">
        <f t="shared" ref="L1781" si="1985">IF(C1781&lt;&gt;"",C1781&amp;"-"&amp;K1781,"")</f>
        <v/>
      </c>
      <c r="M1781" s="130" t="str">
        <f t="array" ref="M1781">IFERROR(IF(INDEX('Disaggregation Records'!$E$152:$E$513,MATCH(RIGHT(L1781,255),RIGHT('Disaggregation Records'!$D$152:$D$513,255),0))="","",INDEX('Disaggregation Records'!$E$152:$E$513,MATCH(RIGHT(L1781,255),RIGHT('Disaggregation Records'!$D$152:$D$513,255),0))),"")</f>
        <v/>
      </c>
      <c r="N1781" s="130" t="str">
        <f t="array" ref="N1781">IFERROR(IF(INDEX('Disaggregation Records'!$F$152:$F$513,MATCH(RIGHT(L1781,255),RIGHT('Disaggregation Records'!$D$152:$D$513,255),0))="","",INDEX('Disaggregation Records'!$F$152:$F$513,MATCH(RIGHT(L1781,255),RIGHT('Disaggregation Records'!$D$152:$D$513,255),0))),"")</f>
        <v/>
      </c>
      <c r="O1781" s="130" t="str">
        <f t="array" ref="O1781">IFERROR(IF(INDEX('Disaggregation Records'!$H$152:$H$513,MATCH(RIGHT(L1781,255),RIGHT('Disaggregation Records'!$D$152:$D$513,255),0))="","",INDEX('Disaggregation Records'!$H$152:$H$513,MATCH(RIGHT(L1781,255),RIGHT('Disaggregation Records'!$D$152:$D$513,255),0))),"")</f>
        <v/>
      </c>
      <c r="P1781" s="130"/>
      <c r="Q1781" s="52">
        <f t="shared" ref="Q1781" si="1986">Q1779+1</f>
        <v>2075</v>
      </c>
    </row>
    <row r="1782" spans="1:17" ht="20.100000000000001" customHeight="1" x14ac:dyDescent="0.25">
      <c r="A1782" s="130"/>
      <c r="B1782" s="602"/>
      <c r="C1782" s="604"/>
      <c r="D1782" s="606"/>
      <c r="E1782" s="606"/>
      <c r="F1782" s="132"/>
      <c r="G1782" s="608"/>
      <c r="H1782" s="598"/>
      <c r="I1782" s="600"/>
      <c r="J1782" s="532"/>
      <c r="K1782" s="130"/>
      <c r="L1782" s="130"/>
      <c r="M1782" s="130"/>
      <c r="N1782" s="130"/>
      <c r="O1782" s="130"/>
      <c r="P1782" s="130"/>
    </row>
    <row r="1783" spans="1:17" ht="20.100000000000001" customHeight="1" x14ac:dyDescent="0.25">
      <c r="A1783" s="130" t="str">
        <f t="shared" ca="1" si="1982"/>
        <v>a16Dm000000LZitIAG</v>
      </c>
      <c r="B1783" s="601">
        <v>30</v>
      </c>
      <c r="C1783" s="603" t="str">
        <f>IFERROR(VLOOKUP(B1783,'Coverage Indicators - Section D'!$A$9:$AO$70,41,FALSE),"")</f>
        <v/>
      </c>
      <c r="D1783" s="605" t="str">
        <f>M1783</f>
        <v/>
      </c>
      <c r="E1783" s="605" t="str">
        <f>N1783</f>
        <v/>
      </c>
      <c r="F1783" s="131"/>
      <c r="G1783" s="607" t="str">
        <f ca="1">IF(OR(INDIRECT("'update Helper'!E"&amp;Q1783)="",F1783&lt;&gt;0,F1784&lt;&gt;0),IF(IFERROR((F1783/F1784),"")="","",(F1783/F1784)),INDIRECT("'update Helper'!E"&amp;Q1783)/100)</f>
        <v/>
      </c>
      <c r="H1783" s="597"/>
      <c r="I1783" s="599"/>
      <c r="J1783" s="531"/>
      <c r="K1783" s="130">
        <f>IF(AND(EXACT(C1783,C1781),C1781&lt;&gt;0),K1781+1,0)</f>
        <v>101</v>
      </c>
      <c r="L1783" s="130" t="str">
        <f t="shared" ref="L1783" si="1987">IF(C1783&lt;&gt;"",C1783&amp;"-"&amp;K1783,"")</f>
        <v/>
      </c>
      <c r="M1783" s="130" t="str">
        <f t="array" ref="M1783">IFERROR(IF(INDEX('Disaggregation Records'!$E$152:$E$513,MATCH(RIGHT(L1783,255),RIGHT('Disaggregation Records'!$D$152:$D$513,255),0))="","",INDEX('Disaggregation Records'!$E$152:$E$513,MATCH(RIGHT(L1783,255),RIGHT('Disaggregation Records'!$D$152:$D$513,255),0))),"")</f>
        <v/>
      </c>
      <c r="N1783" s="130" t="str">
        <f t="array" ref="N1783">IFERROR(IF(INDEX('Disaggregation Records'!$F$152:$F$513,MATCH(RIGHT(L1783,255),RIGHT('Disaggregation Records'!$D$152:$D$513,255),0))="","",INDEX('Disaggregation Records'!$F$152:$F$513,MATCH(RIGHT(L1783,255),RIGHT('Disaggregation Records'!$D$152:$D$513,255),0))),"")</f>
        <v/>
      </c>
      <c r="O1783" s="130" t="str">
        <f t="array" ref="O1783">IFERROR(IF(INDEX('Disaggregation Records'!$H$152:$H$513,MATCH(RIGHT(L1783,255),RIGHT('Disaggregation Records'!$D$152:$D$513,255),0))="","",INDEX('Disaggregation Records'!$H$152:$H$513,MATCH(RIGHT(L1783,255),RIGHT('Disaggregation Records'!$D$152:$D$513,255),0))),"")</f>
        <v/>
      </c>
      <c r="P1783" s="130"/>
      <c r="Q1783" s="52">
        <f t="shared" ref="Q1783" si="1988">Q1781+1</f>
        <v>2076</v>
      </c>
    </row>
    <row r="1784" spans="1:17" ht="20.100000000000001" customHeight="1" x14ac:dyDescent="0.25">
      <c r="B1784" s="602"/>
      <c r="C1784" s="604"/>
      <c r="D1784" s="606"/>
      <c r="E1784" s="606"/>
      <c r="F1784" s="132"/>
      <c r="G1784" s="608"/>
      <c r="H1784" s="598"/>
      <c r="I1784" s="600"/>
      <c r="J1784" s="532"/>
      <c r="K1784" s="130"/>
      <c r="L1784" s="130"/>
      <c r="M1784" s="130"/>
      <c r="N1784" s="130"/>
      <c r="O1784" s="130"/>
      <c r="P1784" s="130"/>
    </row>
    <row r="1785" spans="1:17" ht="20.100000000000001" customHeight="1" x14ac:dyDescent="0.25">
      <c r="A1785" s="130" t="str">
        <f t="shared" ca="1" si="1979"/>
        <v>a16Dm000000LZiuIAG</v>
      </c>
      <c r="B1785" s="601">
        <v>30</v>
      </c>
      <c r="C1785" s="603" t="str">
        <f>IFERROR(VLOOKUP(B1785,'Coverage Indicators - Section D'!$A$9:$AO$70,41,FALSE),"")</f>
        <v/>
      </c>
      <c r="D1785" s="605" t="str">
        <f>M1785</f>
        <v/>
      </c>
      <c r="E1785" s="605" t="str">
        <f>N1785</f>
        <v/>
      </c>
      <c r="F1785" s="131"/>
      <c r="G1785" s="607" t="str">
        <f ca="1">IF(OR(INDIRECT("'update Helper'!E"&amp;Q1785)="",F1785&lt;&gt;0,F1786&lt;&gt;0),IF(IFERROR((F1785/F1786),"")="","",(F1785/F1786)),INDIRECT("'update Helper'!E"&amp;Q1785)/100)</f>
        <v/>
      </c>
      <c r="H1785" s="597"/>
      <c r="I1785" s="599"/>
      <c r="J1785" s="531"/>
      <c r="K1785" s="130">
        <f>IF(AND(EXACT(C1785,C1783),C1783&lt;&gt;0),K1783+1,0)</f>
        <v>102</v>
      </c>
      <c r="L1785" s="130" t="str">
        <f t="shared" ref="L1785" si="1989">IF(C1785&lt;&gt;"",C1785&amp;"-"&amp;K1785,"")</f>
        <v/>
      </c>
      <c r="M1785" s="130" t="str">
        <f t="array" ref="M1785">IFERROR(IF(INDEX('Disaggregation Records'!$E$152:$E$513,MATCH(RIGHT(L1785,255),RIGHT('Disaggregation Records'!$D$152:$D$513,255),0))="","",INDEX('Disaggregation Records'!$E$152:$E$513,MATCH(RIGHT(L1785,255),RIGHT('Disaggregation Records'!$D$152:$D$513,255),0))),"")</f>
        <v/>
      </c>
      <c r="N1785" s="130" t="str">
        <f t="array" ref="N1785">IFERROR(IF(INDEX('Disaggregation Records'!$F$152:$F$513,MATCH(RIGHT(L1785,255),RIGHT('Disaggregation Records'!$D$152:$D$513,255),0))="","",INDEX('Disaggregation Records'!$F$152:$F$513,MATCH(RIGHT(L1785,255),RIGHT('Disaggregation Records'!$D$152:$D$513,255),0))),"")</f>
        <v/>
      </c>
      <c r="O1785" s="130" t="str">
        <f t="array" ref="O1785">IFERROR(IF(INDEX('Disaggregation Records'!$H$152:$H$513,MATCH(RIGHT(L1785,255),RIGHT('Disaggregation Records'!$D$152:$D$513,255),0))="","",INDEX('Disaggregation Records'!$H$152:$H$513,MATCH(RIGHT(L1785,255),RIGHT('Disaggregation Records'!$D$152:$D$513,255),0))),"")</f>
        <v/>
      </c>
      <c r="Q1785" s="52">
        <f t="shared" ref="Q1785" si="1990">Q1783+1</f>
        <v>2077</v>
      </c>
    </row>
    <row r="1786" spans="1:17" ht="20.100000000000001" customHeight="1" x14ac:dyDescent="0.25">
      <c r="A1786" s="130"/>
      <c r="B1786" s="602"/>
      <c r="C1786" s="604"/>
      <c r="D1786" s="606"/>
      <c r="E1786" s="606"/>
      <c r="F1786" s="132"/>
      <c r="G1786" s="608"/>
      <c r="H1786" s="598"/>
      <c r="I1786" s="600"/>
      <c r="J1786" s="532"/>
      <c r="L1786" s="130"/>
      <c r="N1786" s="130"/>
      <c r="O1786" s="130"/>
    </row>
    <row r="1787" spans="1:17" ht="20.100000000000001" customHeight="1" x14ac:dyDescent="0.25">
      <c r="A1787" s="130" t="str">
        <f t="shared" ca="1" si="1982"/>
        <v>a16Dm000000LZivIAG</v>
      </c>
      <c r="B1787" s="601">
        <v>30</v>
      </c>
      <c r="C1787" s="603" t="str">
        <f>IFERROR(VLOOKUP(B1787,'Coverage Indicators - Section D'!$A$9:$AO$70,41,FALSE),"")</f>
        <v/>
      </c>
      <c r="D1787" s="605" t="str">
        <f>M1787</f>
        <v/>
      </c>
      <c r="E1787" s="605" t="str">
        <f>N1787</f>
        <v/>
      </c>
      <c r="F1787" s="131"/>
      <c r="G1787" s="607" t="str">
        <f ca="1">IF(OR(INDIRECT("'update Helper'!E"&amp;Q1787)="",F1787&lt;&gt;0,F1788&lt;&gt;0),IF(IFERROR((F1787/F1788),"")="","",(F1787/F1788)),INDIRECT("'update Helper'!E"&amp;Q1787)/100)</f>
        <v/>
      </c>
      <c r="H1787" s="597"/>
      <c r="I1787" s="599"/>
      <c r="J1787" s="531"/>
      <c r="K1787" s="130">
        <f>IF(AND(EXACT(C1787,C1785),C1785&lt;&gt;0),K1785+1,0)</f>
        <v>103</v>
      </c>
      <c r="L1787" s="130" t="str">
        <f t="shared" ref="L1787" si="1991">IF(C1787&lt;&gt;"",C1787&amp;"-"&amp;K1787,"")</f>
        <v/>
      </c>
      <c r="M1787" s="130" t="str">
        <f t="array" ref="M1787">IFERROR(IF(INDEX('Disaggregation Records'!$E$152:$E$513,MATCH(RIGHT(L1787,255),RIGHT('Disaggregation Records'!$D$152:$D$513,255),0))="","",INDEX('Disaggregation Records'!$E$152:$E$513,MATCH(RIGHT(L1787,255),RIGHT('Disaggregation Records'!$D$152:$D$513,255),0))),"")</f>
        <v/>
      </c>
      <c r="N1787" s="130" t="str">
        <f t="array" ref="N1787">IFERROR(IF(INDEX('Disaggregation Records'!$F$152:$F$513,MATCH(RIGHT(L1787,255),RIGHT('Disaggregation Records'!$D$152:$D$513,255),0))="","",INDEX('Disaggregation Records'!$F$152:$F$513,MATCH(RIGHT(L1787,255),RIGHT('Disaggregation Records'!$D$152:$D$513,255),0))),"")</f>
        <v/>
      </c>
      <c r="O1787" s="130" t="str">
        <f t="array" ref="O1787">IFERROR(IF(INDEX('Disaggregation Records'!$H$152:$H$513,MATCH(RIGHT(L1787,255),RIGHT('Disaggregation Records'!$D$152:$D$513,255),0))="","",INDEX('Disaggregation Records'!$H$152:$H$513,MATCH(RIGHT(L1787,255),RIGHT('Disaggregation Records'!$D$152:$D$513,255),0))),"")</f>
        <v/>
      </c>
      <c r="Q1787" s="52">
        <f t="shared" ref="Q1787" si="1992">Q1785+1</f>
        <v>2078</v>
      </c>
    </row>
    <row r="1788" spans="1:17" ht="20.100000000000001" customHeight="1" x14ac:dyDescent="0.25">
      <c r="B1788" s="602"/>
      <c r="C1788" s="604"/>
      <c r="D1788" s="606"/>
      <c r="E1788" s="606"/>
      <c r="F1788" s="132"/>
      <c r="G1788" s="608"/>
      <c r="H1788" s="598"/>
      <c r="I1788" s="600"/>
      <c r="J1788" s="532"/>
      <c r="L1788" s="130"/>
      <c r="N1788" s="130"/>
      <c r="O1788" s="130"/>
    </row>
    <row r="1789" spans="1:17" ht="20.100000000000001" customHeight="1" x14ac:dyDescent="0.25">
      <c r="A1789" s="130" t="str">
        <f t="shared" ca="1" si="1979"/>
        <v>a16Dm000000LZiwIAG</v>
      </c>
      <c r="B1789" s="601">
        <v>30</v>
      </c>
      <c r="C1789" s="603" t="str">
        <f>IFERROR(VLOOKUP(B1789,'Coverage Indicators - Section D'!$A$9:$AO$70,41,FALSE),"")</f>
        <v/>
      </c>
      <c r="D1789" s="605" t="str">
        <f>M1789</f>
        <v/>
      </c>
      <c r="E1789" s="605" t="str">
        <f>N1789</f>
        <v/>
      </c>
      <c r="F1789" s="131"/>
      <c r="G1789" s="607" t="str">
        <f ca="1">IF(OR(INDIRECT("'update Helper'!E"&amp;Q1789)="",F1789&lt;&gt;0,F1790&lt;&gt;0),IF(IFERROR((F1789/F1790),"")="","",(F1789/F1790)),INDIRECT("'update Helper'!E"&amp;Q1789)/100)</f>
        <v/>
      </c>
      <c r="H1789" s="597"/>
      <c r="I1789" s="599"/>
      <c r="J1789" s="531"/>
      <c r="K1789" s="130">
        <f>IF(AND(EXACT(C1789,C1787),C1787&lt;&gt;0),K1787+1,0)</f>
        <v>104</v>
      </c>
      <c r="L1789" s="130" t="str">
        <f t="shared" ref="L1789" si="1993">IF(C1789&lt;&gt;"",C1789&amp;"-"&amp;K1789,"")</f>
        <v/>
      </c>
      <c r="M1789" s="130" t="str">
        <f t="array" ref="M1789">IFERROR(IF(INDEX('Disaggregation Records'!$E$152:$E$513,MATCH(RIGHT(L1789,255),RIGHT('Disaggregation Records'!$D$152:$D$513,255),0))="","",INDEX('Disaggregation Records'!$E$152:$E$513,MATCH(RIGHT(L1789,255),RIGHT('Disaggregation Records'!$D$152:$D$513,255),0))),"")</f>
        <v/>
      </c>
      <c r="N1789" s="130" t="str">
        <f t="array" ref="N1789">IFERROR(IF(INDEX('Disaggregation Records'!$F$152:$F$513,MATCH(RIGHT(L1789,255),RIGHT('Disaggregation Records'!$D$152:$D$513,255),0))="","",INDEX('Disaggregation Records'!$F$152:$F$513,MATCH(RIGHT(L1789,255),RIGHT('Disaggregation Records'!$D$152:$D$513,255),0))),"")</f>
        <v/>
      </c>
      <c r="O1789" s="130" t="str">
        <f t="array" ref="O1789">IFERROR(IF(INDEX('Disaggregation Records'!$H$152:$H$513,MATCH(RIGHT(L1789,255),RIGHT('Disaggregation Records'!$D$152:$D$513,255),0))="","",INDEX('Disaggregation Records'!$H$152:$H$513,MATCH(RIGHT(L1789,255),RIGHT('Disaggregation Records'!$D$152:$D$513,255),0))),"")</f>
        <v/>
      </c>
      <c r="Q1789" s="52">
        <f t="shared" ref="Q1789" si="1994">Q1787+1</f>
        <v>2079</v>
      </c>
    </row>
    <row r="1790" spans="1:17" ht="20.100000000000001" customHeight="1" x14ac:dyDescent="0.25">
      <c r="A1790" s="130"/>
      <c r="B1790" s="602"/>
      <c r="C1790" s="604"/>
      <c r="D1790" s="606"/>
      <c r="E1790" s="606"/>
      <c r="F1790" s="132"/>
      <c r="G1790" s="608"/>
      <c r="H1790" s="598"/>
      <c r="I1790" s="600"/>
      <c r="J1790" s="532"/>
      <c r="L1790" s="130"/>
      <c r="N1790" s="130"/>
      <c r="O1790" s="130"/>
    </row>
    <row r="1791" spans="1:17" ht="20.100000000000001" customHeight="1" x14ac:dyDescent="0.25">
      <c r="A1791" s="130" t="str">
        <f t="shared" ca="1" si="1982"/>
        <v>a16Dm000000LZixIAG</v>
      </c>
      <c r="B1791" s="601">
        <v>30</v>
      </c>
      <c r="C1791" s="603" t="str">
        <f>IFERROR(VLOOKUP(B1791,'Coverage Indicators - Section D'!$A$9:$AO$70,41,FALSE),"")</f>
        <v/>
      </c>
      <c r="D1791" s="605" t="str">
        <f>M1791</f>
        <v/>
      </c>
      <c r="E1791" s="605" t="str">
        <f>N1791</f>
        <v/>
      </c>
      <c r="F1791" s="131"/>
      <c r="G1791" s="607" t="str">
        <f ca="1">IF(OR(INDIRECT("'update Helper'!E"&amp;Q1791)="",F1791&lt;&gt;0,F1792&lt;&gt;0),IF(IFERROR((F1791/F1792),"")="","",(F1791/F1792)),INDIRECT("'update Helper'!E"&amp;Q1791)/100)</f>
        <v/>
      </c>
      <c r="H1791" s="597"/>
      <c r="I1791" s="599"/>
      <c r="J1791" s="531"/>
      <c r="K1791" s="130">
        <f>IF(AND(EXACT(C1791,C1789),C1789&lt;&gt;0),K1789+1,0)</f>
        <v>105</v>
      </c>
      <c r="L1791" s="130" t="str">
        <f t="shared" ref="L1791" si="1995">IF(C1791&lt;&gt;"",C1791&amp;"-"&amp;K1791,"")</f>
        <v/>
      </c>
      <c r="M1791" s="130" t="str">
        <f t="array" ref="M1791">IFERROR(IF(INDEX('Disaggregation Records'!$E$152:$E$513,MATCH(RIGHT(L1791,255),RIGHT('Disaggregation Records'!$D$152:$D$513,255),0))="","",INDEX('Disaggregation Records'!$E$152:$E$513,MATCH(RIGHT(L1791,255),RIGHT('Disaggregation Records'!$D$152:$D$513,255),0))),"")</f>
        <v/>
      </c>
      <c r="N1791" s="130" t="str">
        <f t="array" ref="N1791">IFERROR(IF(INDEX('Disaggregation Records'!$F$152:$F$513,MATCH(RIGHT(L1791,255),RIGHT('Disaggregation Records'!$D$152:$D$513,255),0))="","",INDEX('Disaggregation Records'!$F$152:$F$513,MATCH(RIGHT(L1791,255),RIGHT('Disaggregation Records'!$D$152:$D$513,255),0))),"")</f>
        <v/>
      </c>
      <c r="O1791" s="130" t="str">
        <f t="array" ref="O1791">IFERROR(IF(INDEX('Disaggregation Records'!$H$152:$H$513,MATCH(RIGHT(L1791,255),RIGHT('Disaggregation Records'!$D$152:$D$513,255),0))="","",INDEX('Disaggregation Records'!$H$152:$H$513,MATCH(RIGHT(L1791,255),RIGHT('Disaggregation Records'!$D$152:$D$513,255),0))),"")</f>
        <v/>
      </c>
      <c r="P1791" s="130"/>
      <c r="Q1791" s="52">
        <f t="shared" ref="Q1791" si="1996">Q1789+1</f>
        <v>2080</v>
      </c>
    </row>
    <row r="1792" spans="1:17" ht="20.100000000000001" customHeight="1" x14ac:dyDescent="0.25">
      <c r="B1792" s="602"/>
      <c r="C1792" s="604"/>
      <c r="D1792" s="606"/>
      <c r="E1792" s="606"/>
      <c r="F1792" s="132"/>
      <c r="G1792" s="608"/>
      <c r="H1792" s="598"/>
      <c r="I1792" s="600"/>
      <c r="J1792" s="532"/>
      <c r="K1792" s="130"/>
      <c r="L1792" s="130"/>
      <c r="M1792" s="130"/>
      <c r="N1792" s="130"/>
      <c r="O1792" s="130"/>
      <c r="P1792" s="130"/>
    </row>
    <row r="1793" spans="1:17" ht="20.100000000000001" customHeight="1" x14ac:dyDescent="0.25">
      <c r="A1793" s="130" t="str">
        <f t="shared" ca="1" si="1979"/>
        <v>a16Dm000000LZiyIAG</v>
      </c>
      <c r="B1793" s="601">
        <v>30</v>
      </c>
      <c r="C1793" s="603" t="str">
        <f>IFERROR(VLOOKUP(B1793,'Coverage Indicators - Section D'!$A$9:$AO$70,41,FALSE),"")</f>
        <v/>
      </c>
      <c r="D1793" s="605" t="str">
        <f>M1793</f>
        <v/>
      </c>
      <c r="E1793" s="605" t="str">
        <f>N1793</f>
        <v/>
      </c>
      <c r="F1793" s="131"/>
      <c r="G1793" s="607" t="str">
        <f ca="1">IF(OR(INDIRECT("'update Helper'!E"&amp;Q1793)="",F1793&lt;&gt;0,F1794&lt;&gt;0),IF(IFERROR((F1793/F1794),"")="","",(F1793/F1794)),INDIRECT("'update Helper'!E"&amp;Q1793)/100)</f>
        <v/>
      </c>
      <c r="H1793" s="597"/>
      <c r="I1793" s="599"/>
      <c r="J1793" s="531"/>
      <c r="K1793" s="130">
        <f>IF(AND(EXACT(C1793,C1791),C1791&lt;&gt;0),K1791+1,0)</f>
        <v>106</v>
      </c>
      <c r="L1793" s="130" t="str">
        <f t="shared" ref="L1793" si="1997">IF(C1793&lt;&gt;"",C1793&amp;"-"&amp;K1793,"")</f>
        <v/>
      </c>
      <c r="M1793" s="130" t="str">
        <f t="array" ref="M1793">IFERROR(IF(INDEX('Disaggregation Records'!$E$152:$E$513,MATCH(RIGHT(L1793,255),RIGHT('Disaggregation Records'!$D$152:$D$513,255),0))="","",INDEX('Disaggregation Records'!$E$152:$E$513,MATCH(RIGHT(L1793,255),RIGHT('Disaggregation Records'!$D$152:$D$513,255),0))),"")</f>
        <v/>
      </c>
      <c r="N1793" s="130" t="str">
        <f t="array" ref="N1793">IFERROR(IF(INDEX('Disaggregation Records'!$F$152:$F$513,MATCH(RIGHT(L1793,255),RIGHT('Disaggregation Records'!$D$152:$D$513,255),0))="","",INDEX('Disaggregation Records'!$F$152:$F$513,MATCH(RIGHT(L1793,255),RIGHT('Disaggregation Records'!$D$152:$D$513,255),0))),"")</f>
        <v/>
      </c>
      <c r="O1793" s="130" t="str">
        <f t="array" ref="O1793">IFERROR(IF(INDEX('Disaggregation Records'!$H$152:$H$513,MATCH(RIGHT(L1793,255),RIGHT('Disaggregation Records'!$D$152:$D$513,255),0))="","",INDEX('Disaggregation Records'!$H$152:$H$513,MATCH(RIGHT(L1793,255),RIGHT('Disaggregation Records'!$D$152:$D$513,255),0))),"")</f>
        <v/>
      </c>
      <c r="P1793" s="130"/>
      <c r="Q1793" s="52">
        <f t="shared" ref="Q1793" si="1998">Q1791+1</f>
        <v>2081</v>
      </c>
    </row>
    <row r="1794" spans="1:17" ht="20.100000000000001" customHeight="1" x14ac:dyDescent="0.25">
      <c r="A1794" s="130"/>
      <c r="B1794" s="602"/>
      <c r="C1794" s="604"/>
      <c r="D1794" s="606"/>
      <c r="E1794" s="606"/>
      <c r="F1794" s="132"/>
      <c r="G1794" s="608"/>
      <c r="H1794" s="598"/>
      <c r="I1794" s="600"/>
      <c r="J1794" s="532"/>
      <c r="K1794" s="130"/>
      <c r="L1794" s="130"/>
      <c r="M1794" s="130"/>
      <c r="N1794" s="130"/>
      <c r="O1794" s="130"/>
      <c r="P1794" s="130"/>
    </row>
    <row r="1795" spans="1:17" ht="20.100000000000001" customHeight="1" x14ac:dyDescent="0.25">
      <c r="A1795" s="130" t="str">
        <f t="shared" ca="1" si="1982"/>
        <v>a16Dm000000LZizIAG</v>
      </c>
      <c r="B1795" s="601">
        <v>30</v>
      </c>
      <c r="C1795" s="603" t="str">
        <f>IFERROR(VLOOKUP(B1795,'Coverage Indicators - Section D'!$A$9:$AO$70,41,FALSE),"")</f>
        <v/>
      </c>
      <c r="D1795" s="605" t="str">
        <f>M1795</f>
        <v/>
      </c>
      <c r="E1795" s="605" t="str">
        <f>N1795</f>
        <v/>
      </c>
      <c r="F1795" s="131"/>
      <c r="G1795" s="607" t="str">
        <f ca="1">IF(OR(INDIRECT("'update Helper'!E"&amp;Q1795)="",F1795&lt;&gt;0,F1796&lt;&gt;0),IF(IFERROR((F1795/F1796),"")="","",(F1795/F1796)),INDIRECT("'update Helper'!E"&amp;Q1795)/100)</f>
        <v/>
      </c>
      <c r="H1795" s="597"/>
      <c r="I1795" s="599"/>
      <c r="J1795" s="531"/>
      <c r="K1795" s="130">
        <f>IF(AND(EXACT(C1795,C1793),C1793&lt;&gt;0),K1793+1,0)</f>
        <v>107</v>
      </c>
      <c r="L1795" s="130" t="str">
        <f t="shared" ref="L1795" si="1999">IF(C1795&lt;&gt;"",C1795&amp;"-"&amp;K1795,"")</f>
        <v/>
      </c>
      <c r="M1795" s="130" t="str">
        <f t="array" ref="M1795">IFERROR(IF(INDEX('Disaggregation Records'!$E$152:$E$513,MATCH(RIGHT(L1795,255),RIGHT('Disaggregation Records'!$D$152:$D$513,255),0))="","",INDEX('Disaggregation Records'!$E$152:$E$513,MATCH(RIGHT(L1795,255),RIGHT('Disaggregation Records'!$D$152:$D$513,255),0))),"")</f>
        <v/>
      </c>
      <c r="N1795" s="130" t="str">
        <f t="array" ref="N1795">IFERROR(IF(INDEX('Disaggregation Records'!$F$152:$F$513,MATCH(RIGHT(L1795,255),RIGHT('Disaggregation Records'!$D$152:$D$513,255),0))="","",INDEX('Disaggregation Records'!$F$152:$F$513,MATCH(RIGHT(L1795,255),RIGHT('Disaggregation Records'!$D$152:$D$513,255),0))),"")</f>
        <v/>
      </c>
      <c r="O1795" s="130" t="str">
        <f t="array" ref="O1795">IFERROR(IF(INDEX('Disaggregation Records'!$H$152:$H$513,MATCH(RIGHT(L1795,255),RIGHT('Disaggregation Records'!$D$152:$D$513,255),0))="","",INDEX('Disaggregation Records'!$H$152:$H$513,MATCH(RIGHT(L1795,255),RIGHT('Disaggregation Records'!$D$152:$D$513,255),0))),"")</f>
        <v/>
      </c>
      <c r="Q1795" s="52">
        <f t="shared" ref="Q1795" si="2000">Q1793+1</f>
        <v>2082</v>
      </c>
    </row>
    <row r="1796" spans="1:17" ht="20.100000000000001" customHeight="1" x14ac:dyDescent="0.25">
      <c r="B1796" s="602"/>
      <c r="C1796" s="604"/>
      <c r="D1796" s="606"/>
      <c r="E1796" s="606"/>
      <c r="F1796" s="132"/>
      <c r="G1796" s="608"/>
      <c r="H1796" s="598"/>
      <c r="I1796" s="600"/>
      <c r="J1796" s="532"/>
      <c r="L1796" s="130"/>
      <c r="N1796" s="130"/>
      <c r="O1796" s="130"/>
    </row>
    <row r="1797" spans="1:17" ht="20.100000000000001" customHeight="1" x14ac:dyDescent="0.25">
      <c r="A1797" s="130" t="str">
        <f t="shared" ca="1" si="1979"/>
        <v>a16Dm000000LZj0IAG</v>
      </c>
      <c r="B1797" s="601">
        <v>30</v>
      </c>
      <c r="C1797" s="603" t="str">
        <f>IFERROR(VLOOKUP(B1797,'Coverage Indicators - Section D'!$A$9:$AO$70,41,FALSE),"")</f>
        <v/>
      </c>
      <c r="D1797" s="605" t="str">
        <f>M1797</f>
        <v/>
      </c>
      <c r="E1797" s="605" t="str">
        <f>N1797</f>
        <v/>
      </c>
      <c r="F1797" s="131"/>
      <c r="G1797" s="607" t="str">
        <f ca="1">IF(OR(INDIRECT("'update Helper'!E"&amp;Q1797)="",F1797&lt;&gt;0,F1798&lt;&gt;0),IF(IFERROR((F1797/F1798),"")="","",(F1797/F1798)),INDIRECT("'update Helper'!E"&amp;Q1797)/100)</f>
        <v/>
      </c>
      <c r="H1797" s="597"/>
      <c r="I1797" s="599"/>
      <c r="J1797" s="531"/>
      <c r="K1797" s="130">
        <f>IF(AND(EXACT(C1797,C1795),C1795&lt;&gt;0),K1795+1,0)</f>
        <v>108</v>
      </c>
      <c r="L1797" s="130" t="str">
        <f t="shared" ref="L1797" si="2001">IF(C1797&lt;&gt;"",C1797&amp;"-"&amp;K1797,"")</f>
        <v/>
      </c>
      <c r="M1797" s="130" t="str">
        <f t="array" ref="M1797">IFERROR(IF(INDEX('Disaggregation Records'!$E$152:$E$513,MATCH(RIGHT(L1797,255),RIGHT('Disaggregation Records'!$D$152:$D$513,255),0))="","",INDEX('Disaggregation Records'!$E$152:$E$513,MATCH(RIGHT(L1797,255),RIGHT('Disaggregation Records'!$D$152:$D$513,255),0))),"")</f>
        <v/>
      </c>
      <c r="N1797" s="130" t="str">
        <f t="array" ref="N1797">IFERROR(IF(INDEX('Disaggregation Records'!$F$152:$F$513,MATCH(RIGHT(L1797,255),RIGHT('Disaggregation Records'!$D$152:$D$513,255),0))="","",INDEX('Disaggregation Records'!$F$152:$F$513,MATCH(RIGHT(L1797,255),RIGHT('Disaggregation Records'!$D$152:$D$513,255),0))),"")</f>
        <v/>
      </c>
      <c r="O1797" s="130" t="str">
        <f t="array" ref="O1797">IFERROR(IF(INDEX('Disaggregation Records'!$H$152:$H$513,MATCH(RIGHT(L1797,255),RIGHT('Disaggregation Records'!$D$152:$D$513,255),0))="","",INDEX('Disaggregation Records'!$H$152:$H$513,MATCH(RIGHT(L1797,255),RIGHT('Disaggregation Records'!$D$152:$D$513,255),0))),"")</f>
        <v/>
      </c>
      <c r="Q1797" s="52">
        <f t="shared" ref="Q1797" si="2002">Q1795+1</f>
        <v>2083</v>
      </c>
    </row>
    <row r="1798" spans="1:17" ht="20.100000000000001" customHeight="1" x14ac:dyDescent="0.25">
      <c r="A1798" s="130"/>
      <c r="B1798" s="602"/>
      <c r="C1798" s="604"/>
      <c r="D1798" s="606"/>
      <c r="E1798" s="606"/>
      <c r="F1798" s="132"/>
      <c r="G1798" s="608"/>
      <c r="H1798" s="598"/>
      <c r="I1798" s="600"/>
      <c r="J1798" s="532"/>
      <c r="L1798" s="130"/>
      <c r="N1798" s="130"/>
      <c r="O1798" s="130"/>
    </row>
    <row r="1799" spans="1:17" ht="20.100000000000001" customHeight="1" x14ac:dyDescent="0.25">
      <c r="A1799" s="130" t="str">
        <f t="shared" ca="1" si="1982"/>
        <v>a16Dm000000LZj1IAG</v>
      </c>
      <c r="B1799" s="601">
        <v>30</v>
      </c>
      <c r="C1799" s="603" t="str">
        <f>IFERROR(VLOOKUP(B1799,'Coverage Indicators - Section D'!$A$9:$AO$70,41,FALSE),"")</f>
        <v/>
      </c>
      <c r="D1799" s="605" t="str">
        <f>M1799</f>
        <v/>
      </c>
      <c r="E1799" s="605" t="str">
        <f>N1799</f>
        <v/>
      </c>
      <c r="F1799" s="131"/>
      <c r="G1799" s="607" t="str">
        <f ca="1">IF(OR(INDIRECT("'update Helper'!E"&amp;Q1799)="",F1799&lt;&gt;0,F1800&lt;&gt;0),IF(IFERROR((F1799/F1800),"")="","",(F1799/F1800)),INDIRECT("'update Helper'!E"&amp;Q1799)/100)</f>
        <v/>
      </c>
      <c r="H1799" s="597"/>
      <c r="I1799" s="599"/>
      <c r="J1799" s="531"/>
      <c r="K1799" s="130">
        <f>IF(AND(EXACT(C1799,C1797),C1797&lt;&gt;0),K1797+1,0)</f>
        <v>109</v>
      </c>
      <c r="L1799" s="130" t="str">
        <f t="shared" ref="L1799" si="2003">IF(C1799&lt;&gt;"",C1799&amp;"-"&amp;K1799,"")</f>
        <v/>
      </c>
      <c r="M1799" s="130" t="str">
        <f t="array" ref="M1799">IFERROR(IF(INDEX('Disaggregation Records'!$E$152:$E$513,MATCH(RIGHT(L1799,255),RIGHT('Disaggregation Records'!$D$152:$D$513,255),0))="","",INDEX('Disaggregation Records'!$E$152:$E$513,MATCH(RIGHT(L1799,255),RIGHT('Disaggregation Records'!$D$152:$D$513,255),0))),"")</f>
        <v/>
      </c>
      <c r="N1799" s="130" t="str">
        <f t="array" ref="N1799">IFERROR(IF(INDEX('Disaggregation Records'!$F$152:$F$513,MATCH(RIGHT(L1799,255),RIGHT('Disaggregation Records'!$D$152:$D$513,255),0))="","",INDEX('Disaggregation Records'!$F$152:$F$513,MATCH(RIGHT(L1799,255),RIGHT('Disaggregation Records'!$D$152:$D$513,255),0))),"")</f>
        <v/>
      </c>
      <c r="O1799" s="130" t="str">
        <f t="array" ref="O1799">IFERROR(IF(INDEX('Disaggregation Records'!$H$152:$H$513,MATCH(RIGHT(L1799,255),RIGHT('Disaggregation Records'!$D$152:$D$513,255),0))="","",INDEX('Disaggregation Records'!$H$152:$H$513,MATCH(RIGHT(L1799,255),RIGHT('Disaggregation Records'!$D$152:$D$513,255),0))),"")</f>
        <v/>
      </c>
      <c r="Q1799" s="52">
        <f t="shared" ref="Q1799" si="2004">Q1797+1</f>
        <v>2084</v>
      </c>
    </row>
    <row r="1800" spans="1:17" ht="20.100000000000001" customHeight="1" x14ac:dyDescent="0.25">
      <c r="B1800" s="602"/>
      <c r="C1800" s="604"/>
      <c r="D1800" s="606"/>
      <c r="E1800" s="606"/>
      <c r="F1800" s="132"/>
      <c r="G1800" s="608"/>
      <c r="H1800" s="598"/>
      <c r="I1800" s="600"/>
      <c r="J1800" s="532"/>
      <c r="L1800" s="130"/>
      <c r="N1800" s="130"/>
      <c r="O1800" s="130"/>
    </row>
    <row r="1801" spans="1:17" ht="20.100000000000001" customHeight="1" x14ac:dyDescent="0.25">
      <c r="A1801" s="130" t="str">
        <f t="shared" ca="1" si="1979"/>
        <v>a16Dm000000LZj2IAG</v>
      </c>
      <c r="B1801" s="601">
        <v>30</v>
      </c>
      <c r="C1801" s="603" t="str">
        <f>IFERROR(VLOOKUP(B1801,'Coverage Indicators - Section D'!$A$9:$AO$70,41,FALSE),"")</f>
        <v/>
      </c>
      <c r="D1801" s="605" t="str">
        <f>M1801</f>
        <v/>
      </c>
      <c r="E1801" s="605" t="str">
        <f>N1801</f>
        <v/>
      </c>
      <c r="F1801" s="131"/>
      <c r="G1801" s="607" t="str">
        <f ca="1">IF(OR(INDIRECT("'update Helper'!E"&amp;Q1801)="",F1801&lt;&gt;0,F1802&lt;&gt;0),IF(IFERROR((F1801/F1802),"")="","",(F1801/F1802)),INDIRECT("'update Helper'!E"&amp;Q1801)/100)</f>
        <v/>
      </c>
      <c r="H1801" s="597"/>
      <c r="I1801" s="599"/>
      <c r="J1801" s="531"/>
      <c r="K1801" s="130">
        <f>IF(AND(EXACT(C1801,C1799),C1799&lt;&gt;0),K1799+1,0)</f>
        <v>110</v>
      </c>
      <c r="L1801" s="130" t="str">
        <f t="shared" ref="L1801" si="2005">IF(C1801&lt;&gt;"",C1801&amp;"-"&amp;K1801,"")</f>
        <v/>
      </c>
      <c r="M1801" s="130" t="str">
        <f t="array" ref="M1801">IFERROR(IF(INDEX('Disaggregation Records'!$E$152:$E$513,MATCH(RIGHT(L1801,255),RIGHT('Disaggregation Records'!$D$152:$D$513,255),0))="","",INDEX('Disaggregation Records'!$E$152:$E$513,MATCH(RIGHT(L1801,255),RIGHT('Disaggregation Records'!$D$152:$D$513,255),0))),"")</f>
        <v/>
      </c>
      <c r="N1801" s="130" t="str">
        <f t="array" ref="N1801">IFERROR(IF(INDEX('Disaggregation Records'!$F$152:$F$513,MATCH(RIGHT(L1801,255),RIGHT('Disaggregation Records'!$D$152:$D$513,255),0))="","",INDEX('Disaggregation Records'!$F$152:$F$513,MATCH(RIGHT(L1801,255),RIGHT('Disaggregation Records'!$D$152:$D$513,255),0))),"")</f>
        <v/>
      </c>
      <c r="O1801" s="130" t="str">
        <f t="array" ref="O1801">IFERROR(IF(INDEX('Disaggregation Records'!$H$152:$H$513,MATCH(RIGHT(L1801,255),RIGHT('Disaggregation Records'!$D$152:$D$513,255),0))="","",INDEX('Disaggregation Records'!$H$152:$H$513,MATCH(RIGHT(L1801,255),RIGHT('Disaggregation Records'!$D$152:$D$513,255),0))),"")</f>
        <v/>
      </c>
      <c r="P1801" s="130"/>
      <c r="Q1801" s="52">
        <f t="shared" ref="Q1801" si="2006">Q1799+1</f>
        <v>2085</v>
      </c>
    </row>
    <row r="1802" spans="1:17" ht="20.100000000000001" customHeight="1" x14ac:dyDescent="0.25">
      <c r="A1802" s="130"/>
      <c r="B1802" s="602"/>
      <c r="C1802" s="604"/>
      <c r="D1802" s="606"/>
      <c r="E1802" s="606"/>
      <c r="F1802" s="132"/>
      <c r="G1802" s="608"/>
      <c r="H1802" s="598"/>
      <c r="I1802" s="600"/>
      <c r="J1802" s="532"/>
      <c r="K1802" s="130"/>
      <c r="L1802" s="130"/>
      <c r="M1802" s="130"/>
      <c r="N1802" s="130"/>
      <c r="O1802" s="130"/>
      <c r="P1802" s="130"/>
    </row>
    <row r="1803" spans="1:17" ht="20.100000000000001" customHeight="1" x14ac:dyDescent="0.25">
      <c r="A1803" s="130" t="str">
        <f t="shared" ca="1" si="1982"/>
        <v>a16Dm000000LZj3IAG</v>
      </c>
      <c r="B1803" s="601">
        <v>30</v>
      </c>
      <c r="C1803" s="603" t="str">
        <f>IFERROR(VLOOKUP(B1803,'Coverage Indicators - Section D'!$A$9:$AO$70,41,FALSE),"")</f>
        <v/>
      </c>
      <c r="D1803" s="605" t="str">
        <f>M1803</f>
        <v/>
      </c>
      <c r="E1803" s="605" t="str">
        <f>N1803</f>
        <v/>
      </c>
      <c r="F1803" s="131"/>
      <c r="G1803" s="607" t="str">
        <f ca="1">IF(OR(INDIRECT("'update Helper'!E"&amp;Q1803)="",F1803&lt;&gt;0,F1804&lt;&gt;0),IF(IFERROR((F1803/F1804),"")="","",(F1803/F1804)),INDIRECT("'update Helper'!E"&amp;Q1803)/100)</f>
        <v/>
      </c>
      <c r="H1803" s="597"/>
      <c r="I1803" s="599"/>
      <c r="J1803" s="531"/>
      <c r="K1803" s="130">
        <f>IF(AND(EXACT(C1803,C1801),C1801&lt;&gt;0),K1801+1,0)</f>
        <v>111</v>
      </c>
      <c r="L1803" s="130" t="str">
        <f t="shared" ref="L1803" si="2007">IF(C1803&lt;&gt;"",C1803&amp;"-"&amp;K1803,"")</f>
        <v/>
      </c>
      <c r="M1803" s="130" t="str">
        <f t="array" ref="M1803">IFERROR(IF(INDEX('Disaggregation Records'!$E$152:$E$513,MATCH(RIGHT(L1803,255),RIGHT('Disaggregation Records'!$D$152:$D$513,255),0))="","",INDEX('Disaggregation Records'!$E$152:$E$513,MATCH(RIGHT(L1803,255),RIGHT('Disaggregation Records'!$D$152:$D$513,255),0))),"")</f>
        <v/>
      </c>
      <c r="N1803" s="130" t="str">
        <f t="array" ref="N1803">IFERROR(IF(INDEX('Disaggregation Records'!$F$152:$F$513,MATCH(RIGHT(L1803,255),RIGHT('Disaggregation Records'!$D$152:$D$513,255),0))="","",INDEX('Disaggregation Records'!$F$152:$F$513,MATCH(RIGHT(L1803,255),RIGHT('Disaggregation Records'!$D$152:$D$513,255),0))),"")</f>
        <v/>
      </c>
      <c r="O1803" s="130" t="str">
        <f t="array" ref="O1803">IFERROR(IF(INDEX('Disaggregation Records'!$H$152:$H$513,MATCH(RIGHT(L1803,255),RIGHT('Disaggregation Records'!$D$152:$D$513,255),0))="","",INDEX('Disaggregation Records'!$H$152:$H$513,MATCH(RIGHT(L1803,255),RIGHT('Disaggregation Records'!$D$152:$D$513,255),0))),"")</f>
        <v/>
      </c>
      <c r="P1803" s="130"/>
      <c r="Q1803" s="52">
        <f t="shared" ref="Q1803" si="2008">Q1801+1</f>
        <v>2086</v>
      </c>
    </row>
    <row r="1804" spans="1:17" ht="20.100000000000001" customHeight="1" x14ac:dyDescent="0.25">
      <c r="B1804" s="602"/>
      <c r="C1804" s="604"/>
      <c r="D1804" s="606"/>
      <c r="E1804" s="606"/>
      <c r="F1804" s="132"/>
      <c r="G1804" s="608"/>
      <c r="H1804" s="598"/>
      <c r="I1804" s="600"/>
      <c r="J1804" s="532"/>
      <c r="K1804" s="130"/>
      <c r="L1804" s="130"/>
      <c r="M1804" s="130"/>
      <c r="N1804" s="130"/>
      <c r="O1804" s="130"/>
      <c r="P1804" s="130"/>
    </row>
    <row r="1805" spans="1:17" ht="20.100000000000001" customHeight="1" x14ac:dyDescent="0.25">
      <c r="A1805" s="130" t="str">
        <f t="shared" ca="1" si="1979"/>
        <v>a16Dm000000LZj4IAG</v>
      </c>
      <c r="B1805" s="601">
        <v>30</v>
      </c>
      <c r="C1805" s="603" t="str">
        <f>IFERROR(VLOOKUP(B1805,'Coverage Indicators - Section D'!$A$9:$AO$70,41,FALSE),"")</f>
        <v/>
      </c>
      <c r="D1805" s="605" t="str">
        <f>M1805</f>
        <v/>
      </c>
      <c r="E1805" s="605" t="str">
        <f>N1805</f>
        <v/>
      </c>
      <c r="F1805" s="131"/>
      <c r="G1805" s="607" t="str">
        <f ca="1">IF(OR(INDIRECT("'update Helper'!E"&amp;Q1805)="",F1805&lt;&gt;0,F1806&lt;&gt;0),IF(IFERROR((F1805/F1806),"")="","",(F1805/F1806)),INDIRECT("'update Helper'!E"&amp;Q1805)/100)</f>
        <v/>
      </c>
      <c r="H1805" s="597"/>
      <c r="I1805" s="599"/>
      <c r="J1805" s="531"/>
      <c r="K1805" s="130">
        <f>IF(AND(EXACT(C1805,C1803),C1803&lt;&gt;0),K1803+1,0)</f>
        <v>112</v>
      </c>
      <c r="L1805" s="130" t="str">
        <f t="shared" ref="L1805" si="2009">IF(C1805&lt;&gt;"",C1805&amp;"-"&amp;K1805,"")</f>
        <v/>
      </c>
      <c r="M1805" s="130" t="str">
        <f t="array" ref="M1805">IFERROR(IF(INDEX('Disaggregation Records'!$E$152:$E$513,MATCH(RIGHT(L1805,255),RIGHT('Disaggregation Records'!$D$152:$D$513,255),0))="","",INDEX('Disaggregation Records'!$E$152:$E$513,MATCH(RIGHT(L1805,255),RIGHT('Disaggregation Records'!$D$152:$D$513,255),0))),"")</f>
        <v/>
      </c>
      <c r="N1805" s="130" t="str">
        <f t="array" ref="N1805">IFERROR(IF(INDEX('Disaggregation Records'!$F$152:$F$513,MATCH(RIGHT(L1805,255),RIGHT('Disaggregation Records'!$D$152:$D$513,255),0))="","",INDEX('Disaggregation Records'!$F$152:$F$513,MATCH(RIGHT(L1805,255),RIGHT('Disaggregation Records'!$D$152:$D$513,255),0))),"")</f>
        <v/>
      </c>
      <c r="O1805" s="130" t="str">
        <f t="array" ref="O1805">IFERROR(IF(INDEX('Disaggregation Records'!$H$152:$H$513,MATCH(RIGHT(L1805,255),RIGHT('Disaggregation Records'!$D$152:$D$513,255),0))="","",INDEX('Disaggregation Records'!$H$152:$H$513,MATCH(RIGHT(L1805,255),RIGHT('Disaggregation Records'!$D$152:$D$513,255),0))),"")</f>
        <v/>
      </c>
      <c r="Q1805" s="52">
        <f t="shared" ref="Q1805" si="2010">Q1803+1</f>
        <v>2087</v>
      </c>
    </row>
    <row r="1806" spans="1:17" ht="20.100000000000001" customHeight="1" x14ac:dyDescent="0.25">
      <c r="A1806" s="130"/>
      <c r="B1806" s="602"/>
      <c r="C1806" s="604"/>
      <c r="D1806" s="606"/>
      <c r="E1806" s="606"/>
      <c r="F1806" s="132"/>
      <c r="G1806" s="608"/>
      <c r="H1806" s="598"/>
      <c r="I1806" s="600"/>
      <c r="J1806" s="532"/>
      <c r="L1806" s="130"/>
      <c r="N1806" s="130"/>
      <c r="O1806" s="130"/>
    </row>
    <row r="1807" spans="1:17" ht="20.100000000000001" customHeight="1" x14ac:dyDescent="0.25">
      <c r="A1807" s="130" t="str">
        <f t="shared" ca="1" si="1982"/>
        <v>a16Dm000000LZj5IAG</v>
      </c>
      <c r="B1807" s="601">
        <v>30</v>
      </c>
      <c r="C1807" s="603" t="str">
        <f>IFERROR(VLOOKUP(B1807,'Coverage Indicators - Section D'!$A$9:$AO$70,41,FALSE),"")</f>
        <v/>
      </c>
      <c r="D1807" s="605" t="str">
        <f>M1807</f>
        <v/>
      </c>
      <c r="E1807" s="605" t="str">
        <f>N1807</f>
        <v/>
      </c>
      <c r="F1807" s="131"/>
      <c r="G1807" s="607" t="str">
        <f ca="1">IF(OR(INDIRECT("'update Helper'!E"&amp;Q1807)="",F1807&lt;&gt;0,F1808&lt;&gt;0),IF(IFERROR((F1807/F1808),"")="","",(F1807/F1808)),INDIRECT("'update Helper'!E"&amp;Q1807)/100)</f>
        <v/>
      </c>
      <c r="H1807" s="597"/>
      <c r="I1807" s="599"/>
      <c r="J1807" s="531"/>
      <c r="K1807" s="130">
        <f>IF(AND(EXACT(C1807,C1805),C1805&lt;&gt;0),K1805+1,0)</f>
        <v>113</v>
      </c>
      <c r="L1807" s="130" t="str">
        <f t="shared" ref="L1807" si="2011">IF(C1807&lt;&gt;"",C1807&amp;"-"&amp;K1807,"")</f>
        <v/>
      </c>
      <c r="M1807" s="130" t="str">
        <f t="array" ref="M1807">IFERROR(IF(INDEX('Disaggregation Records'!$E$152:$E$513,MATCH(RIGHT(L1807,255),RIGHT('Disaggregation Records'!$D$152:$D$513,255),0))="","",INDEX('Disaggregation Records'!$E$152:$E$513,MATCH(RIGHT(L1807,255),RIGHT('Disaggregation Records'!$D$152:$D$513,255),0))),"")</f>
        <v/>
      </c>
      <c r="N1807" s="130" t="str">
        <f t="array" ref="N1807">IFERROR(IF(INDEX('Disaggregation Records'!$F$152:$F$513,MATCH(RIGHT(L1807,255),RIGHT('Disaggregation Records'!$D$152:$D$513,255),0))="","",INDEX('Disaggregation Records'!$F$152:$F$513,MATCH(RIGHT(L1807,255),RIGHT('Disaggregation Records'!$D$152:$D$513,255),0))),"")</f>
        <v/>
      </c>
      <c r="O1807" s="130" t="str">
        <f t="array" ref="O1807">IFERROR(IF(INDEX('Disaggregation Records'!$H$152:$H$513,MATCH(RIGHT(L1807,255),RIGHT('Disaggregation Records'!$D$152:$D$513,255),0))="","",INDEX('Disaggregation Records'!$H$152:$H$513,MATCH(RIGHT(L1807,255),RIGHT('Disaggregation Records'!$D$152:$D$513,255),0))),"")</f>
        <v/>
      </c>
      <c r="Q1807" s="52">
        <f t="shared" ref="Q1807" si="2012">Q1805+1</f>
        <v>2088</v>
      </c>
    </row>
    <row r="1808" spans="1:17" ht="20.100000000000001" customHeight="1" x14ac:dyDescent="0.25">
      <c r="B1808" s="602"/>
      <c r="C1808" s="604"/>
      <c r="D1808" s="606"/>
      <c r="E1808" s="606"/>
      <c r="F1808" s="132"/>
      <c r="G1808" s="608"/>
      <c r="H1808" s="598"/>
      <c r="I1808" s="600"/>
      <c r="J1808" s="532"/>
      <c r="L1808" s="130"/>
      <c r="N1808" s="130"/>
      <c r="O1808" s="130"/>
    </row>
    <row r="1809" spans="1:17" ht="20.100000000000001" customHeight="1" x14ac:dyDescent="0.25">
      <c r="A1809" s="130" t="str">
        <f t="shared" ca="1" si="1979"/>
        <v>a16Dm000000LZj6IAG</v>
      </c>
      <c r="B1809" s="601">
        <v>30</v>
      </c>
      <c r="C1809" s="603" t="str">
        <f>IFERROR(VLOOKUP(B1809,'Coverage Indicators - Section D'!$A$9:$AO$70,41,FALSE),"")</f>
        <v/>
      </c>
      <c r="D1809" s="605" t="str">
        <f>M1809</f>
        <v/>
      </c>
      <c r="E1809" s="605" t="str">
        <f>N1809</f>
        <v/>
      </c>
      <c r="F1809" s="131"/>
      <c r="G1809" s="607" t="str">
        <f ca="1">IF(OR(INDIRECT("'update Helper'!E"&amp;Q1809)="",F1809&lt;&gt;0,F1810&lt;&gt;0),IF(IFERROR((F1809/F1810),"")="","",(F1809/F1810)),INDIRECT("'update Helper'!E"&amp;Q1809)/100)</f>
        <v/>
      </c>
      <c r="H1809" s="597"/>
      <c r="I1809" s="599"/>
      <c r="J1809" s="531"/>
      <c r="K1809" s="130">
        <f>IF(AND(EXACT(C1809,C1807),C1807&lt;&gt;0),K1807+1,0)</f>
        <v>114</v>
      </c>
      <c r="L1809" s="130" t="str">
        <f t="shared" ref="L1809" si="2013">IF(C1809&lt;&gt;"",C1809&amp;"-"&amp;K1809,"")</f>
        <v/>
      </c>
      <c r="M1809" s="130" t="str">
        <f t="array" ref="M1809">IFERROR(IF(INDEX('Disaggregation Records'!$E$152:$E$513,MATCH(RIGHT(L1809,255),RIGHT('Disaggregation Records'!$D$152:$D$513,255),0))="","",INDEX('Disaggregation Records'!$E$152:$E$513,MATCH(RIGHT(L1809,255),RIGHT('Disaggregation Records'!$D$152:$D$513,255),0))),"")</f>
        <v/>
      </c>
      <c r="N1809" s="130" t="str">
        <f t="array" ref="N1809">IFERROR(IF(INDEX('Disaggregation Records'!$F$152:$F$513,MATCH(RIGHT(L1809,255),RIGHT('Disaggregation Records'!$D$152:$D$513,255),0))="","",INDEX('Disaggregation Records'!$F$152:$F$513,MATCH(RIGHT(L1809,255),RIGHT('Disaggregation Records'!$D$152:$D$513,255),0))),"")</f>
        <v/>
      </c>
      <c r="O1809" s="130" t="str">
        <f t="array" ref="O1809">IFERROR(IF(INDEX('Disaggregation Records'!$H$152:$H$513,MATCH(RIGHT(L1809,255),RIGHT('Disaggregation Records'!$D$152:$D$513,255),0))="","",INDEX('Disaggregation Records'!$H$152:$H$513,MATCH(RIGHT(L1809,255),RIGHT('Disaggregation Records'!$D$152:$D$513,255),0))),"")</f>
        <v/>
      </c>
      <c r="Q1809" s="52">
        <f t="shared" ref="Q1809" si="2014">Q1807+1</f>
        <v>2089</v>
      </c>
    </row>
    <row r="1810" spans="1:17" ht="20.100000000000001" customHeight="1" x14ac:dyDescent="0.25">
      <c r="A1810" s="130"/>
      <c r="B1810" s="602"/>
      <c r="C1810" s="604"/>
      <c r="D1810" s="606"/>
      <c r="E1810" s="606"/>
      <c r="F1810" s="132"/>
      <c r="G1810" s="608"/>
      <c r="H1810" s="598"/>
      <c r="I1810" s="600"/>
      <c r="J1810" s="532"/>
      <c r="L1810" s="130"/>
      <c r="N1810" s="130"/>
      <c r="O1810" s="130"/>
    </row>
    <row r="1811" spans="1:17" ht="20.100000000000001" customHeight="1" x14ac:dyDescent="0.25">
      <c r="A1811" s="130" t="str">
        <f t="shared" ca="1" si="1982"/>
        <v>a16Dm000000LZj7IAG</v>
      </c>
      <c r="B1811" s="601">
        <v>30</v>
      </c>
      <c r="C1811" s="603" t="str">
        <f>IFERROR(VLOOKUP(B1811,'Coverage Indicators - Section D'!$A$9:$AO$70,41,FALSE),"")</f>
        <v/>
      </c>
      <c r="D1811" s="605" t="str">
        <f>M1811</f>
        <v/>
      </c>
      <c r="E1811" s="605" t="str">
        <f>N1811</f>
        <v/>
      </c>
      <c r="F1811" s="131"/>
      <c r="G1811" s="607" t="str">
        <f ca="1">IF(OR(INDIRECT("'update Helper'!E"&amp;Q1811)="",F1811&lt;&gt;0,F1812&lt;&gt;0),IF(IFERROR((F1811/F1812),"")="","",(F1811/F1812)),INDIRECT("'update Helper'!E"&amp;Q1811)/100)</f>
        <v/>
      </c>
      <c r="H1811" s="597"/>
      <c r="I1811" s="599"/>
      <c r="J1811" s="531"/>
      <c r="K1811" s="130">
        <f>IF(AND(EXACT(C1811,C1809),C1809&lt;&gt;0),K1809+1,0)</f>
        <v>115</v>
      </c>
      <c r="L1811" s="130" t="str">
        <f t="shared" ref="L1811" si="2015">IF(C1811&lt;&gt;"",C1811&amp;"-"&amp;K1811,"")</f>
        <v/>
      </c>
      <c r="M1811" s="130" t="str">
        <f t="array" ref="M1811">IFERROR(IF(INDEX('Disaggregation Records'!$E$152:$E$513,MATCH(RIGHT(L1811,255),RIGHT('Disaggregation Records'!$D$152:$D$513,255),0))="","",INDEX('Disaggregation Records'!$E$152:$E$513,MATCH(RIGHT(L1811,255),RIGHT('Disaggregation Records'!$D$152:$D$513,255),0))),"")</f>
        <v/>
      </c>
      <c r="N1811" s="130" t="str">
        <f t="array" ref="N1811">IFERROR(IF(INDEX('Disaggregation Records'!$F$152:$F$513,MATCH(RIGHT(L1811,255),RIGHT('Disaggregation Records'!$D$152:$D$513,255),0))="","",INDEX('Disaggregation Records'!$F$152:$F$513,MATCH(RIGHT(L1811,255),RIGHT('Disaggregation Records'!$D$152:$D$513,255),0))),"")</f>
        <v/>
      </c>
      <c r="O1811" s="130" t="str">
        <f t="array" ref="O1811">IFERROR(IF(INDEX('Disaggregation Records'!$H$152:$H$513,MATCH(RIGHT(L1811,255),RIGHT('Disaggregation Records'!$D$152:$D$513,255),0))="","",INDEX('Disaggregation Records'!$H$152:$H$513,MATCH(RIGHT(L1811,255),RIGHT('Disaggregation Records'!$D$152:$D$513,255),0))),"")</f>
        <v/>
      </c>
      <c r="P1811" s="130"/>
      <c r="Q1811" s="52">
        <f t="shared" ref="Q1811" si="2016">Q1809+1</f>
        <v>2090</v>
      </c>
    </row>
    <row r="1812" spans="1:17" ht="20.100000000000001" customHeight="1" x14ac:dyDescent="0.25">
      <c r="B1812" s="602"/>
      <c r="C1812" s="604"/>
      <c r="D1812" s="606"/>
      <c r="E1812" s="606"/>
      <c r="F1812" s="132"/>
      <c r="G1812" s="608"/>
      <c r="H1812" s="598"/>
      <c r="I1812" s="600"/>
      <c r="J1812" s="532"/>
      <c r="K1812" s="130"/>
      <c r="L1812" s="130"/>
      <c r="M1812" s="130"/>
      <c r="N1812" s="130"/>
      <c r="O1812" s="130"/>
      <c r="P1812" s="130"/>
    </row>
    <row r="1813" spans="1:17" ht="20.100000000000001" customHeight="1" x14ac:dyDescent="0.25">
      <c r="A1813" s="130" t="str">
        <f t="shared" ca="1" si="1979"/>
        <v>a16Dm000000LZj8IAG</v>
      </c>
      <c r="B1813" s="601">
        <v>30</v>
      </c>
      <c r="C1813" s="603" t="str">
        <f>IFERROR(VLOOKUP(B1813,'Coverage Indicators - Section D'!$A$9:$AO$70,41,FALSE),"")</f>
        <v/>
      </c>
      <c r="D1813" s="605" t="str">
        <f>M1813</f>
        <v/>
      </c>
      <c r="E1813" s="605" t="str">
        <f>N1813</f>
        <v/>
      </c>
      <c r="F1813" s="131"/>
      <c r="G1813" s="607" t="str">
        <f ca="1">IF(OR(INDIRECT("'update Helper'!E"&amp;Q1813)="",F1813&lt;&gt;0,F1814&lt;&gt;0),IF(IFERROR((F1813/F1814),"")="","",(F1813/F1814)),INDIRECT("'update Helper'!E"&amp;Q1813)/100)</f>
        <v/>
      </c>
      <c r="H1813" s="597"/>
      <c r="I1813" s="599"/>
      <c r="J1813" s="531"/>
      <c r="K1813" s="130">
        <f>IF(AND(EXACT(C1813,C1811),C1811&lt;&gt;0),K1811+1,0)</f>
        <v>116</v>
      </c>
      <c r="L1813" s="130" t="str">
        <f t="shared" ref="L1813" si="2017">IF(C1813&lt;&gt;"",C1813&amp;"-"&amp;K1813,"")</f>
        <v/>
      </c>
      <c r="M1813" s="130" t="str">
        <f t="array" ref="M1813">IFERROR(IF(INDEX('Disaggregation Records'!$E$152:$E$513,MATCH(RIGHT(L1813,255),RIGHT('Disaggregation Records'!$D$152:$D$513,255),0))="","",INDEX('Disaggregation Records'!$E$152:$E$513,MATCH(RIGHT(L1813,255),RIGHT('Disaggregation Records'!$D$152:$D$513,255),0))),"")</f>
        <v/>
      </c>
      <c r="N1813" s="130" t="str">
        <f t="array" ref="N1813">IFERROR(IF(INDEX('Disaggregation Records'!$F$152:$F$513,MATCH(RIGHT(L1813,255),RIGHT('Disaggregation Records'!$D$152:$D$513,255),0))="","",INDEX('Disaggregation Records'!$F$152:$F$513,MATCH(RIGHT(L1813,255),RIGHT('Disaggregation Records'!$D$152:$D$513,255),0))),"")</f>
        <v/>
      </c>
      <c r="O1813" s="130" t="str">
        <f t="array" ref="O1813">IFERROR(IF(INDEX('Disaggregation Records'!$H$152:$H$513,MATCH(RIGHT(L1813,255),RIGHT('Disaggregation Records'!$D$152:$D$513,255),0))="","",INDEX('Disaggregation Records'!$H$152:$H$513,MATCH(RIGHT(L1813,255),RIGHT('Disaggregation Records'!$D$152:$D$513,255),0))),"")</f>
        <v/>
      </c>
      <c r="P1813" s="130"/>
      <c r="Q1813" s="52">
        <f t="shared" ref="Q1813" si="2018">Q1811+1</f>
        <v>2091</v>
      </c>
    </row>
    <row r="1814" spans="1:17" ht="20.100000000000001" customHeight="1" x14ac:dyDescent="0.25">
      <c r="A1814" s="130"/>
      <c r="B1814" s="602"/>
      <c r="C1814" s="604"/>
      <c r="D1814" s="606"/>
      <c r="E1814" s="606"/>
      <c r="F1814" s="132"/>
      <c r="G1814" s="608"/>
      <c r="H1814" s="598"/>
      <c r="I1814" s="600"/>
      <c r="J1814" s="532"/>
      <c r="K1814" s="130"/>
      <c r="L1814" s="130"/>
      <c r="M1814" s="130"/>
      <c r="N1814" s="130"/>
      <c r="O1814" s="130"/>
      <c r="P1814" s="130"/>
    </row>
    <row r="1815" spans="1:17" ht="20.100000000000001" customHeight="1" x14ac:dyDescent="0.25">
      <c r="A1815" s="130" t="str">
        <f t="shared" ca="1" si="1982"/>
        <v>a16Dm000000LZj9IAG</v>
      </c>
      <c r="B1815" s="601">
        <v>30</v>
      </c>
      <c r="C1815" s="603" t="str">
        <f>IFERROR(VLOOKUP(B1815,'Coverage Indicators - Section D'!$A$9:$AO$70,41,FALSE),"")</f>
        <v/>
      </c>
      <c r="D1815" s="605" t="str">
        <f>M1815</f>
        <v/>
      </c>
      <c r="E1815" s="605" t="str">
        <f>N1815</f>
        <v/>
      </c>
      <c r="F1815" s="131"/>
      <c r="G1815" s="607" t="str">
        <f ca="1">IF(OR(INDIRECT("'update Helper'!E"&amp;Q1815)="",F1815&lt;&gt;0,F1816&lt;&gt;0),IF(IFERROR((F1815/F1816),"")="","",(F1815/F1816)),INDIRECT("'update Helper'!E"&amp;Q1815)/100)</f>
        <v/>
      </c>
      <c r="H1815" s="597"/>
      <c r="I1815" s="599"/>
      <c r="J1815" s="531"/>
      <c r="K1815" s="130">
        <f>IF(AND(EXACT(C1815,C1813),C1813&lt;&gt;0),K1813+1,0)</f>
        <v>117</v>
      </c>
      <c r="L1815" s="130" t="str">
        <f t="shared" ref="L1815" si="2019">IF(C1815&lt;&gt;"",C1815&amp;"-"&amp;K1815,"")</f>
        <v/>
      </c>
      <c r="M1815" s="130" t="str">
        <f t="array" ref="M1815">IFERROR(IF(INDEX('Disaggregation Records'!$E$152:$E$513,MATCH(RIGHT(L1815,255),RIGHT('Disaggregation Records'!$D$152:$D$513,255),0))="","",INDEX('Disaggregation Records'!$E$152:$E$513,MATCH(RIGHT(L1815,255),RIGHT('Disaggregation Records'!$D$152:$D$513,255),0))),"")</f>
        <v/>
      </c>
      <c r="N1815" s="130" t="str">
        <f t="array" ref="N1815">IFERROR(IF(INDEX('Disaggregation Records'!$F$152:$F$513,MATCH(RIGHT(L1815,255),RIGHT('Disaggregation Records'!$D$152:$D$513,255),0))="","",INDEX('Disaggregation Records'!$F$152:$F$513,MATCH(RIGHT(L1815,255),RIGHT('Disaggregation Records'!$D$152:$D$513,255),0))),"")</f>
        <v/>
      </c>
      <c r="O1815" s="130" t="str">
        <f t="array" ref="O1815">IFERROR(IF(INDEX('Disaggregation Records'!$H$152:$H$513,MATCH(RIGHT(L1815,255),RIGHT('Disaggregation Records'!$D$152:$D$513,255),0))="","",INDEX('Disaggregation Records'!$H$152:$H$513,MATCH(RIGHT(L1815,255),RIGHT('Disaggregation Records'!$D$152:$D$513,255),0))),"")</f>
        <v/>
      </c>
      <c r="Q1815" s="52">
        <f t="shared" ref="Q1815" si="2020">Q1813+1</f>
        <v>2092</v>
      </c>
    </row>
    <row r="1816" spans="1:17" ht="20.100000000000001" customHeight="1" x14ac:dyDescent="0.25">
      <c r="B1816" s="602"/>
      <c r="C1816" s="604"/>
      <c r="D1816" s="606"/>
      <c r="E1816" s="606"/>
      <c r="F1816" s="132"/>
      <c r="G1816" s="608"/>
      <c r="H1816" s="598"/>
      <c r="I1816" s="600"/>
      <c r="J1816" s="532"/>
      <c r="L1816" s="130"/>
      <c r="N1816" s="130"/>
      <c r="O1816" s="130"/>
    </row>
    <row r="1817" spans="1:17" ht="20.100000000000001" customHeight="1" x14ac:dyDescent="0.25">
      <c r="A1817" s="130" t="str">
        <f t="shared" ca="1" si="1979"/>
        <v>a16Dm000000LZjAIAW</v>
      </c>
      <c r="B1817" s="601">
        <v>30</v>
      </c>
      <c r="C1817" s="603" t="str">
        <f>IFERROR(VLOOKUP(B1817,'Coverage Indicators - Section D'!$A$9:$AO$70,41,FALSE),"")</f>
        <v/>
      </c>
      <c r="D1817" s="605" t="str">
        <f>M1817</f>
        <v/>
      </c>
      <c r="E1817" s="605" t="str">
        <f>N1817</f>
        <v/>
      </c>
      <c r="F1817" s="131"/>
      <c r="G1817" s="607" t="str">
        <f ca="1">IF(OR(INDIRECT("'update Helper'!E"&amp;Q1817)="",F1817&lt;&gt;0,F1818&lt;&gt;0),IF(IFERROR((F1817/F1818),"")="","",(F1817/F1818)),INDIRECT("'update Helper'!E"&amp;Q1817)/100)</f>
        <v/>
      </c>
      <c r="H1817" s="597"/>
      <c r="I1817" s="599"/>
      <c r="J1817" s="531"/>
      <c r="K1817" s="130">
        <f>IF(AND(EXACT(C1817,C1815),C1815&lt;&gt;0),K1815+1,0)</f>
        <v>118</v>
      </c>
      <c r="L1817" s="130" t="str">
        <f t="shared" ref="L1817" si="2021">IF(C1817&lt;&gt;"",C1817&amp;"-"&amp;K1817,"")</f>
        <v/>
      </c>
      <c r="M1817" s="130" t="str">
        <f t="array" ref="M1817">IFERROR(IF(INDEX('Disaggregation Records'!$E$152:$E$513,MATCH(RIGHT(L1817,255),RIGHT('Disaggregation Records'!$D$152:$D$513,255),0))="","",INDEX('Disaggregation Records'!$E$152:$E$513,MATCH(RIGHT(L1817,255),RIGHT('Disaggregation Records'!$D$152:$D$513,255),0))),"")</f>
        <v/>
      </c>
      <c r="N1817" s="130" t="str">
        <f t="array" ref="N1817">IFERROR(IF(INDEX('Disaggregation Records'!$F$152:$F$513,MATCH(RIGHT(L1817,255),RIGHT('Disaggregation Records'!$D$152:$D$513,255),0))="","",INDEX('Disaggregation Records'!$F$152:$F$513,MATCH(RIGHT(L1817,255),RIGHT('Disaggregation Records'!$D$152:$D$513,255),0))),"")</f>
        <v/>
      </c>
      <c r="O1817" s="130" t="str">
        <f t="array" ref="O1817">IFERROR(IF(INDEX('Disaggregation Records'!$H$152:$H$513,MATCH(RIGHT(L1817,255),RIGHT('Disaggregation Records'!$D$152:$D$513,255),0))="","",INDEX('Disaggregation Records'!$H$152:$H$513,MATCH(RIGHT(L1817,255),RIGHT('Disaggregation Records'!$D$152:$D$513,255),0))),"")</f>
        <v/>
      </c>
      <c r="Q1817" s="52">
        <f t="shared" ref="Q1817" si="2022">Q1815+1</f>
        <v>2093</v>
      </c>
    </row>
    <row r="1818" spans="1:17" ht="20.100000000000001" customHeight="1" x14ac:dyDescent="0.25">
      <c r="A1818" s="130"/>
      <c r="B1818" s="602"/>
      <c r="C1818" s="604"/>
      <c r="D1818" s="606"/>
      <c r="E1818" s="606"/>
      <c r="F1818" s="132"/>
      <c r="G1818" s="608"/>
      <c r="H1818" s="598"/>
      <c r="I1818" s="600"/>
      <c r="J1818" s="532"/>
      <c r="L1818" s="130"/>
      <c r="N1818" s="130"/>
      <c r="O1818" s="130"/>
    </row>
    <row r="1819" spans="1:17" ht="20.100000000000001" customHeight="1" x14ac:dyDescent="0.25">
      <c r="A1819" s="130" t="str">
        <f t="shared" ca="1" si="1982"/>
        <v>a16Dm000000LZjBIAW</v>
      </c>
      <c r="B1819" s="601">
        <v>30</v>
      </c>
      <c r="C1819" s="603" t="str">
        <f>IFERROR(VLOOKUP(B1819,'Coverage Indicators - Section D'!$A$9:$AO$70,41,FALSE),"")</f>
        <v/>
      </c>
      <c r="D1819" s="605" t="str">
        <f>M1819</f>
        <v/>
      </c>
      <c r="E1819" s="605" t="str">
        <f>N1819</f>
        <v/>
      </c>
      <c r="F1819" s="131"/>
      <c r="G1819" s="607" t="str">
        <f ca="1">IF(OR(INDIRECT("'update Helper'!E"&amp;Q1819)="",F1819&lt;&gt;0,F1820&lt;&gt;0),IF(IFERROR((F1819/F1820),"")="","",(F1819/F1820)),INDIRECT("'update Helper'!E"&amp;Q1819)/100)</f>
        <v/>
      </c>
      <c r="H1819" s="597"/>
      <c r="I1819" s="599"/>
      <c r="J1819" s="531"/>
      <c r="K1819" s="130">
        <f>IF(AND(EXACT(C1819,C1817),C1817&lt;&gt;0),K1817+1,0)</f>
        <v>119</v>
      </c>
      <c r="L1819" s="130" t="str">
        <f t="shared" ref="L1819" si="2023">IF(C1819&lt;&gt;"",C1819&amp;"-"&amp;K1819,"")</f>
        <v/>
      </c>
      <c r="M1819" s="130" t="str">
        <f t="array" ref="M1819">IFERROR(IF(INDEX('Disaggregation Records'!$E$152:$E$513,MATCH(RIGHT(L1819,255),RIGHT('Disaggregation Records'!$D$152:$D$513,255),0))="","",INDEX('Disaggregation Records'!$E$152:$E$513,MATCH(RIGHT(L1819,255),RIGHT('Disaggregation Records'!$D$152:$D$513,255),0))),"")</f>
        <v/>
      </c>
      <c r="N1819" s="130" t="str">
        <f t="array" ref="N1819">IFERROR(IF(INDEX('Disaggregation Records'!$F$152:$F$513,MATCH(RIGHT(L1819,255),RIGHT('Disaggregation Records'!$D$152:$D$513,255),0))="","",INDEX('Disaggregation Records'!$F$152:$F$513,MATCH(RIGHT(L1819,255),RIGHT('Disaggregation Records'!$D$152:$D$513,255),0))),"")</f>
        <v/>
      </c>
      <c r="O1819" s="130" t="str">
        <f t="array" ref="O1819">IFERROR(IF(INDEX('Disaggregation Records'!$H$152:$H$513,MATCH(RIGHT(L1819,255),RIGHT('Disaggregation Records'!$D$152:$D$513,255),0))="","",INDEX('Disaggregation Records'!$H$152:$H$513,MATCH(RIGHT(L1819,255),RIGHT('Disaggregation Records'!$D$152:$D$513,255),0))),"")</f>
        <v/>
      </c>
      <c r="Q1819" s="52">
        <f t="shared" ref="Q1819" si="2024">Q1817+1</f>
        <v>2094</v>
      </c>
    </row>
    <row r="1820" spans="1:17" ht="20.100000000000001" customHeight="1" x14ac:dyDescent="0.25">
      <c r="B1820" s="602"/>
      <c r="C1820" s="604"/>
      <c r="D1820" s="606"/>
      <c r="E1820" s="606"/>
      <c r="F1820" s="132"/>
      <c r="G1820" s="608"/>
      <c r="H1820" s="598"/>
      <c r="I1820" s="600"/>
      <c r="J1820" s="532"/>
      <c r="L1820" s="130"/>
      <c r="N1820" s="130"/>
      <c r="O1820" s="130"/>
    </row>
    <row r="1821" spans="1:17" x14ac:dyDescent="0.25">
      <c r="B1821" s="136"/>
      <c r="C1821" s="136"/>
      <c r="D1821" s="136"/>
      <c r="E1821" s="136"/>
      <c r="N1821" s="130" t="str">
        <f t="array" ref="N1821">IFERROR(IF(INDEX('Disaggregation Records'!$F$152:$F$513,MATCH(RIGHT(L1821,255),RIGHT('Disaggregation Records'!$D$152:$D$513,255),0))="","",INDEX('Disaggregation Records'!$F$152:$F$513,MATCH(RIGHT(L1821,255),RIGHT('Disaggregation Records'!$D$152:$D$513,255),0))),"")</f>
        <v/>
      </c>
      <c r="O1821" s="130" t="str">
        <f t="array" ref="O1821">IFERROR(IF(INDEX('Disaggregation Records'!$H$152:$H$513,MATCH(RIGHT(L1821,255),RIGHT('Disaggregation Records'!$D$152:$D$513,255),0))="","",INDEX('Disaggregation Records'!$H$152:$H$513,MATCH(RIGHT(L1821,255),RIGHT('Disaggregation Records'!$D$152:$D$513,255),0))),"")</f>
        <v/>
      </c>
    </row>
    <row r="1822" spans="1:17" x14ac:dyDescent="0.25">
      <c r="B1822" s="136"/>
      <c r="C1822" s="136"/>
      <c r="D1822" s="136"/>
      <c r="E1822" s="136"/>
    </row>
    <row r="1823" spans="1:17" x14ac:dyDescent="0.25">
      <c r="B1823" s="136"/>
      <c r="C1823" s="136"/>
      <c r="D1823" s="136"/>
      <c r="E1823" s="136"/>
    </row>
    <row r="1824" spans="1:17" x14ac:dyDescent="0.25">
      <c r="B1824" s="136"/>
      <c r="C1824" s="136"/>
      <c r="D1824" s="136"/>
      <c r="E1824" s="136"/>
    </row>
    <row r="1825" spans="2:5" x14ac:dyDescent="0.25">
      <c r="B1825" s="136"/>
      <c r="C1825" s="136"/>
      <c r="D1825" s="136"/>
      <c r="E1825" s="136"/>
    </row>
    <row r="1826" spans="2:5" x14ac:dyDescent="0.25">
      <c r="B1826" s="136"/>
      <c r="C1826" s="136"/>
      <c r="D1826" s="136"/>
      <c r="E1826" s="136"/>
    </row>
    <row r="1827" spans="2:5" x14ac:dyDescent="0.25">
      <c r="B1827" s="136"/>
      <c r="C1827" s="136"/>
      <c r="D1827" s="136"/>
      <c r="E1827" s="136"/>
    </row>
    <row r="1828" spans="2:5" x14ac:dyDescent="0.25">
      <c r="B1828" s="136"/>
      <c r="C1828" s="136"/>
      <c r="D1828" s="136"/>
      <c r="E1828" s="136"/>
    </row>
    <row r="1829" spans="2:5" x14ac:dyDescent="0.25">
      <c r="B1829" s="136"/>
      <c r="C1829" s="136"/>
      <c r="D1829" s="136"/>
      <c r="E1829" s="136"/>
    </row>
    <row r="1830" spans="2:5" x14ac:dyDescent="0.25">
      <c r="B1830" s="136"/>
      <c r="C1830" s="136"/>
      <c r="D1830" s="136"/>
      <c r="E1830" s="136"/>
    </row>
    <row r="1831" spans="2:5" x14ac:dyDescent="0.25">
      <c r="B1831" s="136"/>
      <c r="C1831" s="136"/>
      <c r="D1831" s="136"/>
      <c r="E1831" s="136"/>
    </row>
    <row r="1832" spans="2:5" x14ac:dyDescent="0.25">
      <c r="B1832" s="136"/>
      <c r="C1832" s="136"/>
      <c r="D1832" s="136"/>
      <c r="E1832" s="136"/>
    </row>
    <row r="1833" spans="2:5" x14ac:dyDescent="0.25">
      <c r="B1833" s="136"/>
      <c r="C1833" s="136"/>
      <c r="D1833" s="136"/>
      <c r="E1833" s="136"/>
    </row>
    <row r="1834" spans="2:5" x14ac:dyDescent="0.25">
      <c r="B1834" s="136"/>
      <c r="C1834" s="136"/>
      <c r="D1834" s="136"/>
      <c r="E1834" s="136"/>
    </row>
    <row r="1835" spans="2:5" x14ac:dyDescent="0.25">
      <c r="B1835" s="136"/>
      <c r="C1835" s="136"/>
      <c r="D1835" s="136"/>
      <c r="E1835" s="136"/>
    </row>
    <row r="1836" spans="2:5" x14ac:dyDescent="0.25">
      <c r="B1836" s="136"/>
      <c r="C1836" s="136"/>
      <c r="D1836" s="136"/>
      <c r="E1836" s="136"/>
    </row>
    <row r="1837" spans="2:5" x14ac:dyDescent="0.25">
      <c r="B1837" s="136"/>
      <c r="C1837" s="136"/>
      <c r="D1837" s="136"/>
      <c r="E1837" s="136"/>
    </row>
    <row r="1838" spans="2:5" x14ac:dyDescent="0.25">
      <c r="B1838" s="136"/>
      <c r="C1838" s="136"/>
      <c r="D1838" s="136"/>
      <c r="E1838" s="136"/>
    </row>
    <row r="1839" spans="2:5" x14ac:dyDescent="0.25">
      <c r="B1839" s="136"/>
      <c r="C1839" s="136"/>
      <c r="D1839" s="136"/>
      <c r="E1839" s="136"/>
    </row>
    <row r="1840" spans="2:5" x14ac:dyDescent="0.25">
      <c r="B1840" s="136"/>
      <c r="C1840" s="136"/>
      <c r="D1840" s="136"/>
      <c r="E1840" s="136"/>
    </row>
    <row r="1841" spans="2:5" x14ac:dyDescent="0.25">
      <c r="B1841" s="136"/>
      <c r="C1841" s="136"/>
      <c r="D1841" s="136"/>
      <c r="E1841" s="136"/>
    </row>
    <row r="1842" spans="2:5" x14ac:dyDescent="0.25">
      <c r="B1842" s="136"/>
      <c r="C1842" s="136"/>
      <c r="D1842" s="136"/>
      <c r="E1842" s="136"/>
    </row>
    <row r="1843" spans="2:5" x14ac:dyDescent="0.25">
      <c r="B1843" s="136"/>
      <c r="C1843" s="136"/>
      <c r="D1843" s="136"/>
      <c r="E1843" s="136"/>
    </row>
    <row r="1844" spans="2:5" x14ac:dyDescent="0.25">
      <c r="B1844" s="136"/>
      <c r="C1844" s="136"/>
      <c r="D1844" s="136"/>
      <c r="E1844" s="136"/>
    </row>
    <row r="1845" spans="2:5" x14ac:dyDescent="0.25">
      <c r="B1845" s="136"/>
      <c r="C1845" s="136"/>
      <c r="D1845" s="136"/>
      <c r="E1845" s="136"/>
    </row>
    <row r="1846" spans="2:5" x14ac:dyDescent="0.25">
      <c r="B1846" s="136"/>
      <c r="C1846" s="136"/>
      <c r="D1846" s="136"/>
      <c r="E1846" s="136"/>
    </row>
    <row r="1847" spans="2:5" x14ac:dyDescent="0.25">
      <c r="B1847" s="136"/>
      <c r="C1847" s="136"/>
      <c r="D1847" s="136"/>
      <c r="E1847" s="136"/>
    </row>
    <row r="1848" spans="2:5" x14ac:dyDescent="0.25">
      <c r="B1848" s="136"/>
      <c r="C1848" s="136"/>
      <c r="D1848" s="136"/>
      <c r="E1848" s="136"/>
    </row>
    <row r="1849" spans="2:5" x14ac:dyDescent="0.25">
      <c r="B1849" s="136"/>
      <c r="C1849" s="136"/>
      <c r="D1849" s="136"/>
      <c r="E1849" s="136"/>
    </row>
    <row r="1850" spans="2:5" x14ac:dyDescent="0.25">
      <c r="B1850" s="136"/>
      <c r="C1850" s="136"/>
      <c r="D1850" s="136"/>
      <c r="E1850" s="136"/>
    </row>
    <row r="1851" spans="2:5" x14ac:dyDescent="0.25">
      <c r="B1851" s="136"/>
      <c r="C1851" s="136"/>
      <c r="D1851" s="136"/>
      <c r="E1851" s="136"/>
    </row>
    <row r="1852" spans="2:5" x14ac:dyDescent="0.25">
      <c r="B1852" s="136"/>
      <c r="C1852" s="136"/>
      <c r="D1852" s="136"/>
      <c r="E1852" s="136"/>
    </row>
    <row r="1853" spans="2:5" x14ac:dyDescent="0.25">
      <c r="B1853" s="136"/>
      <c r="C1853" s="136"/>
      <c r="D1853" s="136"/>
      <c r="E1853" s="136"/>
    </row>
    <row r="1854" spans="2:5" x14ac:dyDescent="0.25">
      <c r="B1854" s="136"/>
      <c r="C1854" s="136"/>
      <c r="D1854" s="136"/>
      <c r="E1854" s="136"/>
    </row>
    <row r="1855" spans="2:5" x14ac:dyDescent="0.25">
      <c r="B1855" s="136"/>
      <c r="C1855" s="136"/>
      <c r="D1855" s="136"/>
      <c r="E1855" s="136"/>
    </row>
    <row r="1856" spans="2:5" x14ac:dyDescent="0.25">
      <c r="B1856" s="136"/>
      <c r="C1856" s="136"/>
      <c r="D1856" s="136"/>
      <c r="E1856" s="136"/>
    </row>
    <row r="1857" spans="2:5" x14ac:dyDescent="0.25">
      <c r="B1857" s="136"/>
      <c r="C1857" s="136"/>
      <c r="D1857" s="136"/>
      <c r="E1857" s="136"/>
    </row>
    <row r="1858" spans="2:5" x14ac:dyDescent="0.25">
      <c r="B1858" s="136"/>
      <c r="C1858" s="136"/>
      <c r="D1858" s="136"/>
      <c r="E1858" s="136"/>
    </row>
    <row r="1859" spans="2:5" x14ac:dyDescent="0.25">
      <c r="B1859" s="136"/>
      <c r="C1859" s="136"/>
      <c r="D1859" s="136"/>
      <c r="E1859" s="136"/>
    </row>
    <row r="1860" spans="2:5" x14ac:dyDescent="0.25">
      <c r="B1860" s="136"/>
      <c r="C1860" s="136"/>
      <c r="D1860" s="136"/>
      <c r="E1860" s="136"/>
    </row>
    <row r="1861" spans="2:5" x14ac:dyDescent="0.25">
      <c r="B1861" s="136"/>
      <c r="C1861" s="136"/>
      <c r="D1861" s="136"/>
      <c r="E1861" s="136"/>
    </row>
    <row r="1862" spans="2:5" x14ac:dyDescent="0.25">
      <c r="B1862" s="136"/>
      <c r="C1862" s="136"/>
      <c r="D1862" s="136"/>
      <c r="E1862" s="136"/>
    </row>
    <row r="1863" spans="2:5" x14ac:dyDescent="0.25">
      <c r="B1863" s="136"/>
      <c r="C1863" s="136"/>
      <c r="D1863" s="136"/>
      <c r="E1863" s="136"/>
    </row>
    <row r="1864" spans="2:5" x14ac:dyDescent="0.25">
      <c r="B1864" s="136"/>
      <c r="C1864" s="136"/>
      <c r="D1864" s="136"/>
      <c r="E1864" s="136"/>
    </row>
    <row r="1865" spans="2:5" x14ac:dyDescent="0.25">
      <c r="B1865" s="136"/>
      <c r="C1865" s="136"/>
      <c r="D1865" s="136"/>
      <c r="E1865" s="136"/>
    </row>
    <row r="1866" spans="2:5" x14ac:dyDescent="0.25">
      <c r="B1866" s="136"/>
      <c r="C1866" s="136"/>
      <c r="D1866" s="136"/>
      <c r="E1866" s="136"/>
    </row>
    <row r="1867" spans="2:5" x14ac:dyDescent="0.25">
      <c r="B1867" s="136"/>
      <c r="C1867" s="136"/>
      <c r="D1867" s="136"/>
      <c r="E1867" s="136"/>
    </row>
    <row r="1868" spans="2:5" x14ac:dyDescent="0.25">
      <c r="B1868" s="136"/>
      <c r="C1868" s="136"/>
      <c r="D1868" s="136"/>
      <c r="E1868" s="136"/>
    </row>
    <row r="1869" spans="2:5" x14ac:dyDescent="0.25">
      <c r="B1869" s="136"/>
      <c r="C1869" s="136"/>
      <c r="D1869" s="136"/>
      <c r="E1869" s="136"/>
    </row>
    <row r="1870" spans="2:5" x14ac:dyDescent="0.25">
      <c r="B1870" s="136"/>
      <c r="C1870" s="136"/>
      <c r="D1870" s="136"/>
      <c r="E1870" s="136"/>
    </row>
    <row r="1871" spans="2:5" x14ac:dyDescent="0.25">
      <c r="B1871" s="136"/>
      <c r="C1871" s="136"/>
      <c r="D1871" s="136"/>
      <c r="E1871" s="136"/>
    </row>
    <row r="1872" spans="2:5" x14ac:dyDescent="0.25">
      <c r="B1872" s="136"/>
      <c r="C1872" s="136"/>
      <c r="D1872" s="136"/>
      <c r="E1872" s="136"/>
    </row>
    <row r="1873" spans="2:5" x14ac:dyDescent="0.25">
      <c r="B1873" s="136"/>
      <c r="C1873" s="136"/>
      <c r="D1873" s="136"/>
      <c r="E1873" s="136"/>
    </row>
    <row r="1874" spans="2:5" x14ac:dyDescent="0.25">
      <c r="B1874" s="136"/>
      <c r="C1874" s="136"/>
      <c r="D1874" s="136"/>
      <c r="E1874" s="136"/>
    </row>
    <row r="1875" spans="2:5" x14ac:dyDescent="0.25">
      <c r="B1875" s="136"/>
      <c r="C1875" s="136"/>
      <c r="D1875" s="136"/>
      <c r="E1875" s="136"/>
    </row>
    <row r="1876" spans="2:5" x14ac:dyDescent="0.25">
      <c r="B1876" s="136"/>
      <c r="C1876" s="136"/>
      <c r="D1876" s="136"/>
      <c r="E1876" s="136"/>
    </row>
    <row r="1877" spans="2:5" x14ac:dyDescent="0.25">
      <c r="B1877" s="136"/>
      <c r="C1877" s="136"/>
      <c r="D1877" s="136"/>
      <c r="E1877" s="136"/>
    </row>
    <row r="1878" spans="2:5" x14ac:dyDescent="0.25">
      <c r="B1878" s="136"/>
      <c r="C1878" s="136"/>
      <c r="D1878" s="136"/>
      <c r="E1878" s="136"/>
    </row>
    <row r="1879" spans="2:5" x14ac:dyDescent="0.25">
      <c r="B1879" s="136"/>
      <c r="C1879" s="136"/>
      <c r="D1879" s="136"/>
      <c r="E1879" s="136"/>
    </row>
    <row r="1880" spans="2:5" x14ac:dyDescent="0.25">
      <c r="B1880" s="136"/>
      <c r="C1880" s="136"/>
      <c r="D1880" s="136"/>
      <c r="E1880" s="136"/>
    </row>
    <row r="1881" spans="2:5" x14ac:dyDescent="0.25">
      <c r="B1881" s="136"/>
      <c r="C1881" s="136"/>
      <c r="D1881" s="136"/>
      <c r="E1881" s="136"/>
    </row>
    <row r="1882" spans="2:5" x14ac:dyDescent="0.25">
      <c r="B1882" s="136"/>
      <c r="C1882" s="136"/>
      <c r="D1882" s="136"/>
      <c r="E1882" s="136"/>
    </row>
    <row r="1883" spans="2:5" x14ac:dyDescent="0.25">
      <c r="B1883" s="136"/>
      <c r="C1883" s="136"/>
      <c r="D1883" s="136"/>
      <c r="E1883" s="136"/>
    </row>
    <row r="1884" spans="2:5" x14ac:dyDescent="0.25">
      <c r="B1884" s="136"/>
      <c r="C1884" s="136"/>
      <c r="D1884" s="136"/>
      <c r="E1884" s="136"/>
    </row>
    <row r="1885" spans="2:5" x14ac:dyDescent="0.25">
      <c r="B1885" s="136"/>
      <c r="C1885" s="136"/>
      <c r="D1885" s="136"/>
      <c r="E1885" s="136"/>
    </row>
    <row r="1886" spans="2:5" x14ac:dyDescent="0.25">
      <c r="B1886" s="136"/>
      <c r="C1886" s="136"/>
      <c r="D1886" s="136"/>
      <c r="E1886" s="136"/>
    </row>
    <row r="1887" spans="2:5" x14ac:dyDescent="0.25">
      <c r="B1887" s="136"/>
      <c r="C1887" s="136"/>
      <c r="D1887" s="136"/>
      <c r="E1887" s="136"/>
    </row>
    <row r="1888" spans="2:5" x14ac:dyDescent="0.25">
      <c r="B1888" s="136"/>
      <c r="C1888" s="136"/>
      <c r="D1888" s="136"/>
      <c r="E1888" s="136"/>
    </row>
    <row r="1889" spans="2:5" x14ac:dyDescent="0.25">
      <c r="B1889" s="136"/>
      <c r="C1889" s="136"/>
      <c r="D1889" s="136"/>
      <c r="E1889" s="136"/>
    </row>
    <row r="1890" spans="2:5" x14ac:dyDescent="0.25">
      <c r="B1890" s="136"/>
      <c r="C1890" s="136"/>
      <c r="D1890" s="136"/>
      <c r="E1890" s="136"/>
    </row>
    <row r="1891" spans="2:5" x14ac:dyDescent="0.25">
      <c r="B1891" s="136"/>
      <c r="C1891" s="136"/>
      <c r="D1891" s="136"/>
      <c r="E1891" s="136"/>
    </row>
    <row r="1892" spans="2:5" x14ac:dyDescent="0.25">
      <c r="B1892" s="136"/>
      <c r="C1892" s="136"/>
      <c r="D1892" s="136"/>
      <c r="E1892" s="136"/>
    </row>
    <row r="1893" spans="2:5" x14ac:dyDescent="0.25">
      <c r="B1893" s="136"/>
      <c r="C1893" s="136"/>
      <c r="D1893" s="136"/>
      <c r="E1893" s="136"/>
    </row>
    <row r="1894" spans="2:5" x14ac:dyDescent="0.25">
      <c r="B1894" s="136"/>
      <c r="C1894" s="136"/>
      <c r="D1894" s="136"/>
      <c r="E1894" s="136"/>
    </row>
    <row r="1895" spans="2:5" x14ac:dyDescent="0.25">
      <c r="B1895" s="136"/>
      <c r="C1895" s="136"/>
      <c r="D1895" s="136"/>
      <c r="E1895" s="136"/>
    </row>
    <row r="1896" spans="2:5" x14ac:dyDescent="0.25">
      <c r="B1896" s="136"/>
      <c r="C1896" s="136"/>
      <c r="D1896" s="136"/>
      <c r="E1896" s="136"/>
    </row>
    <row r="1897" spans="2:5" x14ac:dyDescent="0.25">
      <c r="B1897" s="136"/>
      <c r="C1897" s="136"/>
      <c r="D1897" s="136"/>
      <c r="E1897" s="136"/>
    </row>
    <row r="1898" spans="2:5" x14ac:dyDescent="0.25">
      <c r="B1898" s="136"/>
      <c r="C1898" s="136"/>
      <c r="D1898" s="136"/>
      <c r="E1898" s="136"/>
    </row>
    <row r="1899" spans="2:5" x14ac:dyDescent="0.25">
      <c r="B1899" s="136"/>
      <c r="C1899" s="136"/>
      <c r="D1899" s="136"/>
      <c r="E1899" s="136"/>
    </row>
    <row r="1900" spans="2:5" x14ac:dyDescent="0.25">
      <c r="B1900" s="136"/>
      <c r="C1900" s="136"/>
      <c r="D1900" s="136"/>
      <c r="E1900" s="136"/>
    </row>
    <row r="1901" spans="2:5" x14ac:dyDescent="0.25">
      <c r="B1901" s="136"/>
      <c r="C1901" s="136"/>
      <c r="D1901" s="136"/>
      <c r="E1901" s="136"/>
    </row>
    <row r="1902" spans="2:5" x14ac:dyDescent="0.25">
      <c r="B1902" s="136"/>
      <c r="C1902" s="136"/>
      <c r="D1902" s="136"/>
      <c r="E1902" s="136"/>
    </row>
    <row r="1903" spans="2:5" x14ac:dyDescent="0.25">
      <c r="B1903" s="136"/>
      <c r="C1903" s="136"/>
      <c r="D1903" s="136"/>
      <c r="E1903" s="136"/>
    </row>
    <row r="1904" spans="2:5" x14ac:dyDescent="0.25">
      <c r="B1904" s="136"/>
      <c r="C1904" s="136"/>
      <c r="D1904" s="136"/>
      <c r="E1904" s="136"/>
    </row>
    <row r="1905" spans="2:5" x14ac:dyDescent="0.25">
      <c r="B1905" s="136"/>
      <c r="C1905" s="136"/>
      <c r="D1905" s="136"/>
      <c r="E1905" s="136"/>
    </row>
    <row r="1906" spans="2:5" x14ac:dyDescent="0.25">
      <c r="B1906" s="136"/>
      <c r="C1906" s="136"/>
      <c r="D1906" s="136"/>
      <c r="E1906" s="136"/>
    </row>
    <row r="1907" spans="2:5" x14ac:dyDescent="0.25">
      <c r="B1907" s="136"/>
      <c r="C1907" s="136"/>
      <c r="D1907" s="136"/>
      <c r="E1907" s="136"/>
    </row>
    <row r="1908" spans="2:5" x14ac:dyDescent="0.25">
      <c r="B1908" s="136"/>
      <c r="C1908" s="136"/>
      <c r="D1908" s="136"/>
      <c r="E1908" s="136"/>
    </row>
    <row r="1909" spans="2:5" x14ac:dyDescent="0.25">
      <c r="B1909" s="136"/>
      <c r="C1909" s="136"/>
      <c r="D1909" s="136"/>
      <c r="E1909" s="136"/>
    </row>
    <row r="1910" spans="2:5" x14ac:dyDescent="0.25">
      <c r="B1910" s="136"/>
      <c r="C1910" s="136"/>
      <c r="D1910" s="136"/>
      <c r="E1910" s="136"/>
    </row>
    <row r="1911" spans="2:5" x14ac:dyDescent="0.25">
      <c r="B1911" s="136"/>
      <c r="C1911" s="136"/>
      <c r="D1911" s="136"/>
      <c r="E1911" s="136"/>
    </row>
    <row r="1912" spans="2:5" x14ac:dyDescent="0.25">
      <c r="B1912" s="136"/>
      <c r="C1912" s="136"/>
      <c r="D1912" s="136"/>
      <c r="E1912" s="136"/>
    </row>
    <row r="1913" spans="2:5" x14ac:dyDescent="0.25">
      <c r="B1913" s="136"/>
      <c r="C1913" s="136"/>
      <c r="D1913" s="136"/>
      <c r="E1913" s="136"/>
    </row>
    <row r="1914" spans="2:5" x14ac:dyDescent="0.25">
      <c r="B1914" s="136"/>
      <c r="C1914" s="136"/>
      <c r="D1914" s="136"/>
      <c r="E1914" s="136"/>
    </row>
    <row r="1915" spans="2:5" x14ac:dyDescent="0.25">
      <c r="B1915" s="136"/>
      <c r="C1915" s="136"/>
      <c r="D1915" s="136"/>
      <c r="E1915" s="136"/>
    </row>
    <row r="1916" spans="2:5" x14ac:dyDescent="0.25">
      <c r="B1916" s="136"/>
      <c r="C1916" s="136"/>
      <c r="D1916" s="136"/>
      <c r="E1916" s="136"/>
    </row>
    <row r="1917" spans="2:5" x14ac:dyDescent="0.25">
      <c r="B1917" s="136"/>
      <c r="C1917" s="136"/>
      <c r="D1917" s="136"/>
      <c r="E1917" s="136"/>
    </row>
    <row r="1918" spans="2:5" x14ac:dyDescent="0.25">
      <c r="B1918" s="136"/>
      <c r="C1918" s="136"/>
      <c r="D1918" s="136"/>
      <c r="E1918" s="136"/>
    </row>
    <row r="1919" spans="2:5" x14ac:dyDescent="0.25">
      <c r="B1919" s="136"/>
      <c r="C1919" s="136"/>
      <c r="D1919" s="136"/>
      <c r="E1919" s="136"/>
    </row>
    <row r="1920" spans="2:5" x14ac:dyDescent="0.25">
      <c r="B1920" s="136"/>
      <c r="C1920" s="136"/>
      <c r="D1920" s="136"/>
      <c r="E1920" s="136"/>
    </row>
    <row r="1921" spans="2:5" x14ac:dyDescent="0.25">
      <c r="B1921" s="136"/>
      <c r="C1921" s="136"/>
      <c r="D1921" s="136"/>
      <c r="E1921" s="136"/>
    </row>
    <row r="1922" spans="2:5" x14ac:dyDescent="0.25">
      <c r="B1922" s="136"/>
      <c r="C1922" s="136"/>
      <c r="D1922" s="136"/>
      <c r="E1922" s="136"/>
    </row>
    <row r="1923" spans="2:5" x14ac:dyDescent="0.25">
      <c r="B1923" s="136"/>
      <c r="C1923" s="136"/>
      <c r="D1923" s="136"/>
      <c r="E1923" s="136"/>
    </row>
    <row r="1924" spans="2:5" x14ac:dyDescent="0.25">
      <c r="B1924" s="136"/>
      <c r="C1924" s="136"/>
      <c r="D1924" s="136"/>
      <c r="E1924" s="136"/>
    </row>
    <row r="1925" spans="2:5" x14ac:dyDescent="0.25">
      <c r="B1925" s="136"/>
      <c r="C1925" s="136"/>
      <c r="D1925" s="136"/>
      <c r="E1925" s="136"/>
    </row>
    <row r="1926" spans="2:5" x14ac:dyDescent="0.25">
      <c r="B1926" s="136"/>
      <c r="C1926" s="136"/>
      <c r="D1926" s="136"/>
      <c r="E1926" s="136"/>
    </row>
    <row r="1927" spans="2:5" x14ac:dyDescent="0.25">
      <c r="B1927" s="136"/>
      <c r="C1927" s="136"/>
      <c r="D1927" s="136"/>
      <c r="E1927" s="136"/>
    </row>
    <row r="1928" spans="2:5" x14ac:dyDescent="0.25">
      <c r="B1928" s="136"/>
      <c r="C1928" s="136"/>
      <c r="D1928" s="136"/>
      <c r="E1928" s="136"/>
    </row>
    <row r="1929" spans="2:5" x14ac:dyDescent="0.25">
      <c r="B1929" s="136"/>
      <c r="C1929" s="136"/>
      <c r="D1929" s="136"/>
      <c r="E1929" s="136"/>
    </row>
    <row r="1930" spans="2:5" x14ac:dyDescent="0.25">
      <c r="B1930" s="136"/>
      <c r="C1930" s="136"/>
      <c r="D1930" s="136"/>
      <c r="E1930" s="136"/>
    </row>
    <row r="1931" spans="2:5" x14ac:dyDescent="0.25">
      <c r="B1931" s="136"/>
      <c r="C1931" s="136"/>
      <c r="D1931" s="136"/>
      <c r="E1931" s="136"/>
    </row>
    <row r="1932" spans="2:5" x14ac:dyDescent="0.25">
      <c r="B1932" s="136"/>
      <c r="C1932" s="136"/>
      <c r="D1932" s="136"/>
      <c r="E1932" s="136"/>
    </row>
    <row r="1933" spans="2:5" x14ac:dyDescent="0.25">
      <c r="B1933" s="136"/>
      <c r="C1933" s="136"/>
      <c r="D1933" s="136"/>
      <c r="E1933" s="136"/>
    </row>
    <row r="1934" spans="2:5" x14ac:dyDescent="0.25">
      <c r="B1934" s="136"/>
      <c r="C1934" s="136"/>
      <c r="D1934" s="136"/>
      <c r="E1934" s="136"/>
    </row>
    <row r="1935" spans="2:5" x14ac:dyDescent="0.25">
      <c r="B1935" s="136"/>
      <c r="C1935" s="136"/>
      <c r="D1935" s="136"/>
      <c r="E1935" s="136"/>
    </row>
    <row r="1936" spans="2:5" x14ac:dyDescent="0.25">
      <c r="B1936" s="136"/>
      <c r="C1936" s="136"/>
      <c r="D1936" s="136"/>
      <c r="E1936" s="136"/>
    </row>
    <row r="1937" spans="2:5" x14ac:dyDescent="0.25">
      <c r="B1937" s="136"/>
      <c r="C1937" s="136"/>
      <c r="D1937" s="136"/>
      <c r="E1937" s="136"/>
    </row>
    <row r="1938" spans="2:5" x14ac:dyDescent="0.25">
      <c r="B1938" s="136"/>
      <c r="C1938" s="136"/>
      <c r="D1938" s="136"/>
      <c r="E1938" s="136"/>
    </row>
    <row r="1939" spans="2:5" x14ac:dyDescent="0.25">
      <c r="B1939" s="136"/>
      <c r="C1939" s="136"/>
      <c r="D1939" s="136"/>
      <c r="E1939" s="136"/>
    </row>
    <row r="1940" spans="2:5" x14ac:dyDescent="0.25">
      <c r="B1940" s="136"/>
      <c r="C1940" s="136"/>
      <c r="D1940" s="136"/>
      <c r="E1940" s="136"/>
    </row>
    <row r="1941" spans="2:5" x14ac:dyDescent="0.25">
      <c r="B1941" s="136"/>
      <c r="C1941" s="136"/>
      <c r="D1941" s="136"/>
      <c r="E1941" s="136"/>
    </row>
    <row r="1942" spans="2:5" x14ac:dyDescent="0.25">
      <c r="B1942" s="136"/>
      <c r="C1942" s="136"/>
      <c r="D1942" s="136"/>
      <c r="E1942" s="136"/>
    </row>
    <row r="1943" spans="2:5" x14ac:dyDescent="0.25">
      <c r="B1943" s="136"/>
      <c r="C1943" s="136"/>
      <c r="D1943" s="136"/>
      <c r="E1943" s="136"/>
    </row>
    <row r="1944" spans="2:5" x14ac:dyDescent="0.25">
      <c r="B1944" s="136"/>
      <c r="C1944" s="136"/>
      <c r="D1944" s="136"/>
      <c r="E1944" s="136"/>
    </row>
    <row r="1945" spans="2:5" x14ac:dyDescent="0.25">
      <c r="B1945" s="136"/>
      <c r="C1945" s="136"/>
      <c r="D1945" s="136"/>
      <c r="E1945" s="136"/>
    </row>
    <row r="1946" spans="2:5" x14ac:dyDescent="0.25">
      <c r="B1946" s="136"/>
      <c r="C1946" s="136"/>
      <c r="D1946" s="136"/>
      <c r="E1946" s="136"/>
    </row>
    <row r="1947" spans="2:5" x14ac:dyDescent="0.25">
      <c r="B1947" s="136"/>
      <c r="C1947" s="136"/>
      <c r="D1947" s="136"/>
      <c r="E1947" s="136"/>
    </row>
    <row r="1948" spans="2:5" x14ac:dyDescent="0.25">
      <c r="B1948" s="136"/>
      <c r="C1948" s="136"/>
      <c r="D1948" s="136"/>
      <c r="E1948" s="136"/>
    </row>
    <row r="1949" spans="2:5" x14ac:dyDescent="0.25">
      <c r="B1949" s="136"/>
      <c r="C1949" s="136"/>
      <c r="D1949" s="136"/>
      <c r="E1949" s="136"/>
    </row>
    <row r="1950" spans="2:5" x14ac:dyDescent="0.25">
      <c r="B1950" s="136"/>
      <c r="C1950" s="136"/>
      <c r="D1950" s="136"/>
      <c r="E1950" s="136"/>
    </row>
    <row r="1951" spans="2:5" x14ac:dyDescent="0.25">
      <c r="B1951" s="136"/>
      <c r="C1951" s="136"/>
      <c r="D1951" s="136"/>
      <c r="E1951" s="136"/>
    </row>
    <row r="1952" spans="2:5" x14ac:dyDescent="0.25">
      <c r="B1952" s="136"/>
      <c r="C1952" s="136"/>
      <c r="D1952" s="136"/>
      <c r="E1952" s="136"/>
    </row>
    <row r="1953" spans="2:5" x14ac:dyDescent="0.25">
      <c r="B1953" s="136"/>
      <c r="C1953" s="136"/>
      <c r="D1953" s="136"/>
      <c r="E1953" s="136"/>
    </row>
    <row r="1954" spans="2:5" x14ac:dyDescent="0.25">
      <c r="B1954" s="136"/>
      <c r="C1954" s="136"/>
      <c r="D1954" s="136"/>
      <c r="E1954" s="136"/>
    </row>
    <row r="1955" spans="2:5" x14ac:dyDescent="0.25">
      <c r="B1955" s="136"/>
      <c r="C1955" s="136"/>
      <c r="D1955" s="136"/>
      <c r="E1955" s="136"/>
    </row>
    <row r="1956" spans="2:5" x14ac:dyDescent="0.25">
      <c r="B1956" s="136"/>
      <c r="C1956" s="136"/>
      <c r="D1956" s="136"/>
      <c r="E1956" s="136"/>
    </row>
    <row r="1957" spans="2:5" x14ac:dyDescent="0.25">
      <c r="B1957" s="136"/>
      <c r="C1957" s="136"/>
      <c r="D1957" s="136"/>
      <c r="E1957" s="136"/>
    </row>
    <row r="1958" spans="2:5" x14ac:dyDescent="0.25">
      <c r="B1958" s="136"/>
      <c r="C1958" s="136"/>
      <c r="D1958" s="136"/>
      <c r="E1958" s="136"/>
    </row>
    <row r="1959" spans="2:5" x14ac:dyDescent="0.25">
      <c r="B1959" s="136"/>
      <c r="C1959" s="136"/>
      <c r="D1959" s="136"/>
      <c r="E1959" s="136"/>
    </row>
    <row r="1960" spans="2:5" x14ac:dyDescent="0.25">
      <c r="B1960" s="136"/>
      <c r="C1960" s="136"/>
      <c r="D1960" s="136"/>
      <c r="E1960" s="136"/>
    </row>
    <row r="1961" spans="2:5" x14ac:dyDescent="0.25">
      <c r="B1961" s="136"/>
      <c r="C1961" s="136"/>
      <c r="D1961" s="136"/>
      <c r="E1961" s="136"/>
    </row>
    <row r="1962" spans="2:5" x14ac:dyDescent="0.25">
      <c r="B1962" s="136"/>
      <c r="C1962" s="136"/>
      <c r="D1962" s="136"/>
      <c r="E1962" s="136"/>
    </row>
    <row r="1963" spans="2:5" x14ac:dyDescent="0.25">
      <c r="B1963" s="136"/>
      <c r="C1963" s="136"/>
      <c r="D1963" s="136"/>
      <c r="E1963" s="136"/>
    </row>
    <row r="1964" spans="2:5" x14ac:dyDescent="0.25">
      <c r="B1964" s="136"/>
      <c r="C1964" s="136"/>
      <c r="D1964" s="136"/>
      <c r="E1964" s="136"/>
    </row>
    <row r="1965" spans="2:5" x14ac:dyDescent="0.25">
      <c r="B1965" s="136"/>
      <c r="C1965" s="136"/>
      <c r="D1965" s="136"/>
      <c r="E1965" s="136"/>
    </row>
    <row r="1966" spans="2:5" x14ac:dyDescent="0.25">
      <c r="B1966" s="136"/>
      <c r="C1966" s="136"/>
      <c r="D1966" s="136"/>
      <c r="E1966" s="136"/>
    </row>
    <row r="1967" spans="2:5" x14ac:dyDescent="0.25">
      <c r="B1967" s="136"/>
      <c r="C1967" s="136"/>
      <c r="D1967" s="136"/>
      <c r="E1967" s="136"/>
    </row>
    <row r="1968" spans="2:5" x14ac:dyDescent="0.25">
      <c r="B1968" s="136"/>
      <c r="C1968" s="136"/>
      <c r="D1968" s="136"/>
      <c r="E1968" s="136"/>
    </row>
    <row r="1969" spans="2:5" x14ac:dyDescent="0.25">
      <c r="B1969" s="136"/>
      <c r="C1969" s="136"/>
      <c r="D1969" s="136"/>
      <c r="E1969" s="136"/>
    </row>
    <row r="1970" spans="2:5" x14ac:dyDescent="0.25">
      <c r="B1970" s="136"/>
      <c r="C1970" s="136"/>
      <c r="D1970" s="136"/>
      <c r="E1970" s="136"/>
    </row>
    <row r="1971" spans="2:5" x14ac:dyDescent="0.25">
      <c r="B1971" s="136"/>
      <c r="C1971" s="136"/>
      <c r="D1971" s="136"/>
      <c r="E1971" s="136"/>
    </row>
    <row r="1972" spans="2:5" x14ac:dyDescent="0.25">
      <c r="B1972" s="136"/>
      <c r="C1972" s="136"/>
      <c r="D1972" s="136"/>
      <c r="E1972" s="136"/>
    </row>
    <row r="1973" spans="2:5" x14ac:dyDescent="0.25">
      <c r="B1973" s="136"/>
      <c r="C1973" s="136"/>
      <c r="D1973" s="136"/>
      <c r="E1973" s="136"/>
    </row>
    <row r="1974" spans="2:5" x14ac:dyDescent="0.25">
      <c r="B1974" s="136"/>
      <c r="C1974" s="136"/>
      <c r="D1974" s="136"/>
      <c r="E1974" s="136"/>
    </row>
    <row r="1975" spans="2:5" x14ac:dyDescent="0.25">
      <c r="B1975" s="136"/>
      <c r="C1975" s="136"/>
      <c r="D1975" s="136"/>
      <c r="E1975" s="136"/>
    </row>
    <row r="1976" spans="2:5" x14ac:dyDescent="0.25">
      <c r="B1976" s="136"/>
      <c r="C1976" s="136"/>
      <c r="D1976" s="136"/>
      <c r="E1976" s="136"/>
    </row>
    <row r="1977" spans="2:5" x14ac:dyDescent="0.25">
      <c r="B1977" s="136"/>
      <c r="C1977" s="136"/>
      <c r="D1977" s="136"/>
      <c r="E1977" s="136"/>
    </row>
    <row r="1978" spans="2:5" x14ac:dyDescent="0.25">
      <c r="B1978" s="136"/>
      <c r="C1978" s="136"/>
      <c r="D1978" s="136"/>
      <c r="E1978" s="136"/>
    </row>
    <row r="1979" spans="2:5" x14ac:dyDescent="0.25">
      <c r="B1979" s="136"/>
      <c r="C1979" s="136"/>
      <c r="D1979" s="136"/>
      <c r="E1979" s="136"/>
    </row>
    <row r="1980" spans="2:5" x14ac:dyDescent="0.25">
      <c r="B1980" s="136"/>
      <c r="C1980" s="136"/>
      <c r="D1980" s="136"/>
      <c r="E1980" s="136"/>
    </row>
    <row r="1981" spans="2:5" x14ac:dyDescent="0.25">
      <c r="B1981" s="136"/>
      <c r="C1981" s="136"/>
      <c r="D1981" s="136"/>
      <c r="E1981" s="136"/>
    </row>
    <row r="1982" spans="2:5" x14ac:dyDescent="0.25">
      <c r="B1982" s="136"/>
      <c r="C1982" s="136"/>
      <c r="D1982" s="136"/>
      <c r="E1982" s="136"/>
    </row>
    <row r="1983" spans="2:5" x14ac:dyDescent="0.25">
      <c r="B1983" s="136"/>
      <c r="C1983" s="136"/>
      <c r="D1983" s="136"/>
      <c r="E1983" s="136"/>
    </row>
    <row r="1984" spans="2:5" x14ac:dyDescent="0.25">
      <c r="B1984" s="136"/>
      <c r="C1984" s="136"/>
      <c r="D1984" s="136"/>
      <c r="E1984" s="136"/>
    </row>
    <row r="1985" spans="2:5" x14ac:dyDescent="0.25">
      <c r="B1985" s="136"/>
      <c r="C1985" s="136"/>
      <c r="D1985" s="136"/>
      <c r="E1985" s="136"/>
    </row>
    <row r="1986" spans="2:5" x14ac:dyDescent="0.25">
      <c r="B1986" s="136"/>
      <c r="C1986" s="136"/>
      <c r="D1986" s="136"/>
      <c r="E1986" s="136"/>
    </row>
    <row r="1987" spans="2:5" x14ac:dyDescent="0.25">
      <c r="B1987" s="136"/>
      <c r="C1987" s="136"/>
      <c r="D1987" s="136"/>
      <c r="E1987" s="136"/>
    </row>
    <row r="1988" spans="2:5" x14ac:dyDescent="0.25">
      <c r="B1988" s="136"/>
      <c r="C1988" s="136"/>
      <c r="D1988" s="136"/>
      <c r="E1988" s="136"/>
    </row>
    <row r="1989" spans="2:5" x14ac:dyDescent="0.25">
      <c r="B1989" s="136"/>
      <c r="C1989" s="136"/>
      <c r="D1989" s="136"/>
      <c r="E1989" s="136"/>
    </row>
    <row r="1990" spans="2:5" x14ac:dyDescent="0.25">
      <c r="B1990" s="136"/>
      <c r="C1990" s="136"/>
      <c r="D1990" s="136"/>
      <c r="E1990" s="136"/>
    </row>
    <row r="1991" spans="2:5" x14ac:dyDescent="0.25">
      <c r="B1991" s="136"/>
      <c r="C1991" s="136"/>
      <c r="D1991" s="136"/>
      <c r="E1991" s="136"/>
    </row>
    <row r="1992" spans="2:5" x14ac:dyDescent="0.25">
      <c r="B1992" s="136"/>
      <c r="C1992" s="136"/>
      <c r="D1992" s="136"/>
      <c r="E1992" s="136"/>
    </row>
    <row r="1993" spans="2:5" x14ac:dyDescent="0.25">
      <c r="B1993" s="136"/>
      <c r="C1993" s="136"/>
      <c r="D1993" s="136"/>
      <c r="E1993" s="136"/>
    </row>
    <row r="1994" spans="2:5" x14ac:dyDescent="0.25">
      <c r="B1994" s="136"/>
      <c r="C1994" s="136"/>
      <c r="D1994" s="136"/>
      <c r="E1994" s="136"/>
    </row>
    <row r="1995" spans="2:5" x14ac:dyDescent="0.25">
      <c r="B1995" s="136"/>
      <c r="C1995" s="136"/>
      <c r="D1995" s="136"/>
      <c r="E1995" s="136"/>
    </row>
    <row r="1996" spans="2:5" x14ac:dyDescent="0.25">
      <c r="B1996" s="136"/>
      <c r="C1996" s="136"/>
      <c r="D1996" s="136"/>
      <c r="E1996" s="136"/>
    </row>
    <row r="1997" spans="2:5" x14ac:dyDescent="0.25">
      <c r="B1997" s="136"/>
      <c r="C1997" s="136"/>
      <c r="D1997" s="136"/>
      <c r="E1997" s="136"/>
    </row>
    <row r="1998" spans="2:5" x14ac:dyDescent="0.25">
      <c r="B1998" s="136"/>
      <c r="C1998" s="136"/>
      <c r="D1998" s="136"/>
      <c r="E1998" s="136"/>
    </row>
    <row r="1999" spans="2:5" x14ac:dyDescent="0.25">
      <c r="B1999" s="136"/>
      <c r="C1999" s="136"/>
      <c r="D1999" s="136"/>
      <c r="E1999" s="136"/>
    </row>
    <row r="2000" spans="2:5" x14ac:dyDescent="0.25">
      <c r="B2000" s="136"/>
      <c r="C2000" s="136"/>
      <c r="D2000" s="136"/>
      <c r="E2000" s="136"/>
    </row>
    <row r="2001" spans="2:5" x14ac:dyDescent="0.25">
      <c r="B2001" s="136"/>
      <c r="C2001" s="136"/>
      <c r="D2001" s="136"/>
      <c r="E2001" s="136"/>
    </row>
    <row r="2002" spans="2:5" x14ac:dyDescent="0.25">
      <c r="B2002" s="136"/>
      <c r="C2002" s="136"/>
      <c r="D2002" s="136"/>
      <c r="E2002" s="136"/>
    </row>
    <row r="2003" spans="2:5" x14ac:dyDescent="0.25">
      <c r="B2003" s="136"/>
      <c r="C2003" s="136"/>
      <c r="D2003" s="136"/>
      <c r="E2003" s="136"/>
    </row>
    <row r="2004" spans="2:5" x14ac:dyDescent="0.25">
      <c r="B2004" s="136"/>
      <c r="C2004" s="136"/>
      <c r="D2004" s="136"/>
      <c r="E2004" s="136"/>
    </row>
    <row r="2005" spans="2:5" x14ac:dyDescent="0.25">
      <c r="B2005" s="136"/>
      <c r="C2005" s="136"/>
      <c r="D2005" s="136"/>
      <c r="E2005" s="136"/>
    </row>
    <row r="2006" spans="2:5" x14ac:dyDescent="0.25">
      <c r="B2006" s="136"/>
      <c r="C2006" s="136"/>
      <c r="D2006" s="136"/>
      <c r="E2006" s="136"/>
    </row>
    <row r="2007" spans="2:5" x14ac:dyDescent="0.25">
      <c r="B2007" s="136"/>
      <c r="C2007" s="136"/>
      <c r="D2007" s="136"/>
      <c r="E2007" s="136"/>
    </row>
    <row r="2008" spans="2:5" x14ac:dyDescent="0.25">
      <c r="B2008" s="136"/>
      <c r="C2008" s="136"/>
      <c r="D2008" s="136"/>
      <c r="E2008" s="136"/>
    </row>
    <row r="2009" spans="2:5" x14ac:dyDescent="0.25">
      <c r="B2009" s="136"/>
      <c r="C2009" s="136"/>
      <c r="D2009" s="136"/>
      <c r="E2009" s="136"/>
    </row>
    <row r="2010" spans="2:5" x14ac:dyDescent="0.25">
      <c r="B2010" s="136"/>
      <c r="C2010" s="136"/>
      <c r="D2010" s="136"/>
      <c r="E2010" s="136"/>
    </row>
    <row r="2011" spans="2:5" x14ac:dyDescent="0.25">
      <c r="B2011" s="136"/>
      <c r="C2011" s="136"/>
      <c r="D2011" s="136"/>
      <c r="E2011" s="136"/>
    </row>
    <row r="2012" spans="2:5" x14ac:dyDescent="0.25">
      <c r="B2012" s="136"/>
      <c r="C2012" s="136"/>
      <c r="D2012" s="136"/>
      <c r="E2012" s="136"/>
    </row>
    <row r="2013" spans="2:5" x14ac:dyDescent="0.25">
      <c r="B2013" s="136"/>
      <c r="C2013" s="136"/>
      <c r="D2013" s="136"/>
      <c r="E2013" s="136"/>
    </row>
    <row r="2014" spans="2:5" x14ac:dyDescent="0.25">
      <c r="B2014" s="136"/>
      <c r="C2014" s="136"/>
      <c r="D2014" s="136"/>
      <c r="E2014" s="136"/>
    </row>
    <row r="2015" spans="2:5" x14ac:dyDescent="0.25">
      <c r="B2015" s="136"/>
      <c r="C2015" s="136"/>
      <c r="D2015" s="136"/>
      <c r="E2015" s="136"/>
    </row>
    <row r="2016" spans="2:5" x14ac:dyDescent="0.25">
      <c r="B2016" s="136"/>
      <c r="C2016" s="136"/>
      <c r="D2016" s="136"/>
      <c r="E2016" s="136"/>
    </row>
    <row r="2017" spans="2:5" x14ac:dyDescent="0.25">
      <c r="B2017" s="136"/>
      <c r="C2017" s="136"/>
      <c r="D2017" s="136"/>
      <c r="E2017" s="136"/>
    </row>
    <row r="2018" spans="2:5" x14ac:dyDescent="0.25">
      <c r="B2018" s="136"/>
      <c r="C2018" s="136"/>
      <c r="D2018" s="136"/>
      <c r="E2018" s="136"/>
    </row>
    <row r="2019" spans="2:5" x14ac:dyDescent="0.25">
      <c r="B2019" s="136"/>
      <c r="C2019" s="136"/>
      <c r="D2019" s="136"/>
      <c r="E2019" s="136"/>
    </row>
    <row r="2020" spans="2:5" x14ac:dyDescent="0.25">
      <c r="B2020" s="136"/>
      <c r="C2020" s="136"/>
      <c r="D2020" s="136"/>
      <c r="E2020" s="136"/>
    </row>
    <row r="2021" spans="2:5" x14ac:dyDescent="0.25">
      <c r="B2021" s="136"/>
      <c r="C2021" s="136"/>
      <c r="D2021" s="136"/>
      <c r="E2021" s="136"/>
    </row>
    <row r="2022" spans="2:5" x14ac:dyDescent="0.25">
      <c r="B2022" s="136"/>
      <c r="C2022" s="136"/>
      <c r="D2022" s="136"/>
      <c r="E2022" s="136"/>
    </row>
    <row r="2023" spans="2:5" x14ac:dyDescent="0.25">
      <c r="B2023" s="136"/>
      <c r="C2023" s="136"/>
      <c r="D2023" s="136"/>
      <c r="E2023" s="136"/>
    </row>
    <row r="2024" spans="2:5" x14ac:dyDescent="0.25">
      <c r="B2024" s="136"/>
      <c r="C2024" s="136"/>
      <c r="D2024" s="136"/>
      <c r="E2024" s="136"/>
    </row>
    <row r="2025" spans="2:5" x14ac:dyDescent="0.25">
      <c r="B2025" s="136"/>
      <c r="C2025" s="136"/>
      <c r="D2025" s="136"/>
      <c r="E2025" s="136"/>
    </row>
    <row r="2026" spans="2:5" x14ac:dyDescent="0.25">
      <c r="B2026" s="136"/>
      <c r="C2026" s="136"/>
      <c r="D2026" s="136"/>
      <c r="E2026" s="136"/>
    </row>
    <row r="2027" spans="2:5" x14ac:dyDescent="0.25">
      <c r="B2027" s="136"/>
      <c r="C2027" s="136"/>
      <c r="D2027" s="136"/>
      <c r="E2027" s="136"/>
    </row>
    <row r="2028" spans="2:5" x14ac:dyDescent="0.25">
      <c r="B2028" s="136"/>
      <c r="C2028" s="136"/>
      <c r="D2028" s="136"/>
      <c r="E2028" s="136"/>
    </row>
    <row r="2029" spans="2:5" x14ac:dyDescent="0.25">
      <c r="B2029" s="136"/>
      <c r="C2029" s="136"/>
      <c r="D2029" s="136"/>
      <c r="E2029" s="136"/>
    </row>
    <row r="2030" spans="2:5" x14ac:dyDescent="0.25">
      <c r="B2030" s="136"/>
      <c r="C2030" s="136"/>
      <c r="D2030" s="136"/>
      <c r="E2030" s="136"/>
    </row>
    <row r="2031" spans="2:5" x14ac:dyDescent="0.25">
      <c r="B2031" s="136"/>
      <c r="C2031" s="136"/>
      <c r="D2031" s="136"/>
      <c r="E2031" s="136"/>
    </row>
    <row r="2032" spans="2:5" x14ac:dyDescent="0.25">
      <c r="B2032" s="136"/>
      <c r="C2032" s="136"/>
      <c r="D2032" s="136"/>
      <c r="E2032" s="136"/>
    </row>
    <row r="2033" spans="2:5" x14ac:dyDescent="0.25">
      <c r="B2033" s="136"/>
      <c r="C2033" s="136"/>
      <c r="D2033" s="136"/>
      <c r="E2033" s="136"/>
    </row>
    <row r="2034" spans="2:5" x14ac:dyDescent="0.25">
      <c r="B2034" s="136"/>
      <c r="C2034" s="136"/>
      <c r="D2034" s="136"/>
      <c r="E2034" s="136"/>
    </row>
    <row r="2035" spans="2:5" x14ac:dyDescent="0.25">
      <c r="B2035" s="136"/>
      <c r="C2035" s="136"/>
      <c r="D2035" s="136"/>
      <c r="E2035" s="136"/>
    </row>
    <row r="2036" spans="2:5" x14ac:dyDescent="0.25">
      <c r="B2036" s="136"/>
      <c r="C2036" s="136"/>
      <c r="D2036" s="136"/>
      <c r="E2036" s="136"/>
    </row>
    <row r="2037" spans="2:5" x14ac:dyDescent="0.25">
      <c r="B2037" s="136"/>
      <c r="C2037" s="136"/>
      <c r="D2037" s="136"/>
      <c r="E2037" s="136"/>
    </row>
    <row r="2038" spans="2:5" x14ac:dyDescent="0.25">
      <c r="B2038" s="136"/>
      <c r="C2038" s="136"/>
      <c r="D2038" s="136"/>
      <c r="E2038" s="136"/>
    </row>
    <row r="2039" spans="2:5" x14ac:dyDescent="0.25">
      <c r="B2039" s="136"/>
      <c r="C2039" s="136"/>
      <c r="D2039" s="136"/>
      <c r="E2039" s="136"/>
    </row>
    <row r="2040" spans="2:5" x14ac:dyDescent="0.25">
      <c r="B2040" s="136"/>
      <c r="C2040" s="136"/>
      <c r="D2040" s="136"/>
      <c r="E2040" s="136"/>
    </row>
    <row r="2041" spans="2:5" x14ac:dyDescent="0.25">
      <c r="B2041" s="136"/>
      <c r="C2041" s="136"/>
      <c r="D2041" s="136"/>
      <c r="E2041" s="136"/>
    </row>
    <row r="2042" spans="2:5" x14ac:dyDescent="0.25">
      <c r="B2042" s="136"/>
      <c r="C2042" s="136"/>
      <c r="D2042" s="136"/>
      <c r="E2042" s="136"/>
    </row>
    <row r="2043" spans="2:5" x14ac:dyDescent="0.25">
      <c r="B2043" s="136"/>
      <c r="C2043" s="136"/>
      <c r="D2043" s="136"/>
      <c r="E2043" s="136"/>
    </row>
    <row r="2044" spans="2:5" x14ac:dyDescent="0.25">
      <c r="B2044" s="136"/>
      <c r="C2044" s="136"/>
      <c r="D2044" s="136"/>
      <c r="E2044" s="136"/>
    </row>
    <row r="2045" spans="2:5" x14ac:dyDescent="0.25">
      <c r="B2045" s="136"/>
      <c r="C2045" s="136"/>
      <c r="D2045" s="136"/>
      <c r="E2045" s="136"/>
    </row>
    <row r="2046" spans="2:5" x14ac:dyDescent="0.25">
      <c r="B2046" s="136"/>
      <c r="C2046" s="136"/>
      <c r="D2046" s="136"/>
      <c r="E2046" s="136"/>
    </row>
    <row r="2047" spans="2:5" x14ac:dyDescent="0.25">
      <c r="B2047" s="136"/>
      <c r="C2047" s="136"/>
      <c r="D2047" s="136"/>
      <c r="E2047" s="136"/>
    </row>
    <row r="2048" spans="2:5" x14ac:dyDescent="0.25">
      <c r="B2048" s="136"/>
      <c r="C2048" s="136"/>
      <c r="D2048" s="136"/>
      <c r="E2048" s="136"/>
    </row>
    <row r="2049" spans="2:5" x14ac:dyDescent="0.25">
      <c r="B2049" s="136"/>
      <c r="C2049" s="136"/>
      <c r="D2049" s="136"/>
      <c r="E2049" s="136"/>
    </row>
    <row r="2050" spans="2:5" x14ac:dyDescent="0.25">
      <c r="B2050" s="136"/>
      <c r="C2050" s="136"/>
      <c r="D2050" s="136"/>
      <c r="E2050" s="136"/>
    </row>
    <row r="2051" spans="2:5" x14ac:dyDescent="0.25">
      <c r="B2051" s="136"/>
      <c r="C2051" s="136"/>
      <c r="D2051" s="136"/>
      <c r="E2051" s="136"/>
    </row>
    <row r="2052" spans="2:5" x14ac:dyDescent="0.25">
      <c r="B2052" s="136"/>
      <c r="C2052" s="136"/>
      <c r="D2052" s="136"/>
      <c r="E2052" s="136"/>
    </row>
    <row r="2053" spans="2:5" x14ac:dyDescent="0.25">
      <c r="B2053" s="136"/>
      <c r="C2053" s="136"/>
      <c r="D2053" s="136"/>
      <c r="E2053" s="136"/>
    </row>
    <row r="2054" spans="2:5" x14ac:dyDescent="0.25">
      <c r="B2054" s="136"/>
      <c r="C2054" s="136"/>
      <c r="D2054" s="136"/>
      <c r="E2054" s="136"/>
    </row>
    <row r="2055" spans="2:5" x14ac:dyDescent="0.25">
      <c r="B2055" s="136"/>
      <c r="C2055" s="136"/>
      <c r="D2055" s="136"/>
      <c r="E2055" s="136"/>
    </row>
    <row r="2056" spans="2:5" x14ac:dyDescent="0.25">
      <c r="B2056" s="136"/>
      <c r="C2056" s="136"/>
      <c r="D2056" s="136"/>
      <c r="E2056" s="136"/>
    </row>
    <row r="2057" spans="2:5" x14ac:dyDescent="0.25">
      <c r="B2057" s="136"/>
      <c r="C2057" s="136"/>
      <c r="D2057" s="136"/>
      <c r="E2057" s="136"/>
    </row>
    <row r="2058" spans="2:5" x14ac:dyDescent="0.25">
      <c r="B2058" s="136"/>
      <c r="C2058" s="136"/>
      <c r="D2058" s="136"/>
      <c r="E2058" s="136"/>
    </row>
    <row r="2059" spans="2:5" x14ac:dyDescent="0.25">
      <c r="B2059" s="136"/>
      <c r="C2059" s="136"/>
      <c r="D2059" s="136"/>
      <c r="E2059" s="136"/>
    </row>
    <row r="2060" spans="2:5" x14ac:dyDescent="0.25">
      <c r="B2060" s="136"/>
      <c r="C2060" s="136"/>
      <c r="D2060" s="136"/>
      <c r="E2060" s="136"/>
    </row>
    <row r="2061" spans="2:5" x14ac:dyDescent="0.25">
      <c r="B2061" s="136"/>
      <c r="C2061" s="136"/>
      <c r="D2061" s="136"/>
      <c r="E2061" s="136"/>
    </row>
    <row r="2062" spans="2:5" x14ac:dyDescent="0.25">
      <c r="B2062" s="136"/>
      <c r="C2062" s="136"/>
      <c r="D2062" s="136"/>
      <c r="E2062" s="136"/>
    </row>
    <row r="2063" spans="2:5" x14ac:dyDescent="0.25">
      <c r="B2063" s="136"/>
      <c r="C2063" s="136"/>
      <c r="D2063" s="136"/>
      <c r="E2063" s="136"/>
    </row>
    <row r="2064" spans="2:5" x14ac:dyDescent="0.25">
      <c r="B2064" s="136"/>
      <c r="C2064" s="136"/>
      <c r="D2064" s="136"/>
      <c r="E2064" s="136"/>
    </row>
    <row r="2065" spans="2:5" x14ac:dyDescent="0.25">
      <c r="B2065" s="136"/>
      <c r="C2065" s="136"/>
      <c r="D2065" s="136"/>
      <c r="E2065" s="136"/>
    </row>
    <row r="2066" spans="2:5" x14ac:dyDescent="0.25">
      <c r="B2066" s="136"/>
      <c r="C2066" s="136"/>
      <c r="D2066" s="136"/>
      <c r="E2066" s="136"/>
    </row>
    <row r="2067" spans="2:5" x14ac:dyDescent="0.25">
      <c r="B2067" s="136"/>
      <c r="C2067" s="136"/>
      <c r="D2067" s="136"/>
      <c r="E2067" s="136"/>
    </row>
    <row r="2068" spans="2:5" x14ac:dyDescent="0.25">
      <c r="B2068" s="136"/>
      <c r="C2068" s="136"/>
      <c r="D2068" s="136"/>
      <c r="E2068" s="136"/>
    </row>
    <row r="2069" spans="2:5" x14ac:dyDescent="0.25">
      <c r="B2069" s="136"/>
      <c r="C2069" s="136"/>
      <c r="D2069" s="136"/>
      <c r="E2069" s="136"/>
    </row>
    <row r="2070" spans="2:5" x14ac:dyDescent="0.25">
      <c r="B2070" s="136"/>
      <c r="C2070" s="136"/>
      <c r="D2070" s="136"/>
      <c r="E2070" s="136"/>
    </row>
    <row r="2071" spans="2:5" x14ac:dyDescent="0.25">
      <c r="B2071" s="136"/>
      <c r="C2071" s="136"/>
      <c r="D2071" s="136"/>
      <c r="E2071" s="136"/>
    </row>
    <row r="2072" spans="2:5" x14ac:dyDescent="0.25">
      <c r="B2072" s="136"/>
      <c r="C2072" s="136"/>
      <c r="D2072" s="136"/>
      <c r="E2072" s="136"/>
    </row>
    <row r="2073" spans="2:5" x14ac:dyDescent="0.25">
      <c r="B2073" s="136"/>
      <c r="C2073" s="136"/>
      <c r="D2073" s="136"/>
      <c r="E2073" s="136"/>
    </row>
    <row r="2074" spans="2:5" x14ac:dyDescent="0.25">
      <c r="B2074" s="136"/>
      <c r="C2074" s="136"/>
      <c r="D2074" s="136"/>
      <c r="E2074" s="136"/>
    </row>
    <row r="2075" spans="2:5" x14ac:dyDescent="0.25">
      <c r="B2075" s="136"/>
      <c r="C2075" s="136"/>
      <c r="D2075" s="136"/>
      <c r="E2075" s="136"/>
    </row>
    <row r="2076" spans="2:5" x14ac:dyDescent="0.25">
      <c r="B2076" s="136"/>
      <c r="C2076" s="136"/>
      <c r="D2076" s="136"/>
      <c r="E2076" s="136"/>
    </row>
    <row r="2077" spans="2:5" x14ac:dyDescent="0.25">
      <c r="B2077" s="136"/>
      <c r="C2077" s="136"/>
      <c r="D2077" s="136"/>
      <c r="E2077" s="136"/>
    </row>
    <row r="2078" spans="2:5" x14ac:dyDescent="0.25">
      <c r="B2078" s="136"/>
      <c r="C2078" s="136"/>
      <c r="D2078" s="136"/>
      <c r="E2078" s="136"/>
    </row>
    <row r="2079" spans="2:5" x14ac:dyDescent="0.25">
      <c r="B2079" s="136"/>
      <c r="C2079" s="136"/>
      <c r="D2079" s="136"/>
      <c r="E2079" s="136"/>
    </row>
    <row r="2080" spans="2:5" x14ac:dyDescent="0.25">
      <c r="B2080" s="136"/>
      <c r="C2080" s="136"/>
      <c r="D2080" s="136"/>
      <c r="E2080" s="136"/>
    </row>
    <row r="2081" spans="2:5" x14ac:dyDescent="0.25">
      <c r="B2081" s="136"/>
      <c r="C2081" s="136"/>
      <c r="D2081" s="136"/>
      <c r="E2081" s="136"/>
    </row>
    <row r="2082" spans="2:5" x14ac:dyDescent="0.25">
      <c r="B2082" s="136"/>
      <c r="C2082" s="136"/>
      <c r="D2082" s="136"/>
      <c r="E2082" s="136"/>
    </row>
    <row r="2083" spans="2:5" x14ac:dyDescent="0.25">
      <c r="B2083" s="136"/>
      <c r="C2083" s="136"/>
      <c r="D2083" s="136"/>
      <c r="E2083" s="136"/>
    </row>
    <row r="2084" spans="2:5" x14ac:dyDescent="0.25">
      <c r="B2084" s="136"/>
      <c r="C2084" s="136"/>
      <c r="D2084" s="136"/>
      <c r="E2084" s="136"/>
    </row>
    <row r="2085" spans="2:5" x14ac:dyDescent="0.25">
      <c r="B2085" s="136"/>
      <c r="C2085" s="136"/>
      <c r="D2085" s="136"/>
      <c r="E2085" s="136"/>
    </row>
    <row r="2086" spans="2:5" x14ac:dyDescent="0.25">
      <c r="B2086" s="136"/>
      <c r="C2086" s="136"/>
      <c r="D2086" s="136"/>
      <c r="E2086" s="136"/>
    </row>
    <row r="2087" spans="2:5" x14ac:dyDescent="0.25">
      <c r="B2087" s="136"/>
      <c r="C2087" s="136"/>
      <c r="D2087" s="136"/>
      <c r="E2087" s="136"/>
    </row>
    <row r="2088" spans="2:5" x14ac:dyDescent="0.25">
      <c r="B2088" s="136"/>
      <c r="C2088" s="136"/>
      <c r="D2088" s="136"/>
      <c r="E2088" s="136"/>
    </row>
    <row r="2089" spans="2:5" x14ac:dyDescent="0.25">
      <c r="B2089" s="136"/>
      <c r="C2089" s="136"/>
      <c r="D2089" s="136"/>
      <c r="E2089" s="136"/>
    </row>
    <row r="2090" spans="2:5" x14ac:dyDescent="0.25">
      <c r="B2090" s="136"/>
      <c r="C2090" s="136"/>
      <c r="D2090" s="136"/>
      <c r="E2090" s="136"/>
    </row>
    <row r="2091" spans="2:5" x14ac:dyDescent="0.25">
      <c r="B2091" s="136"/>
      <c r="C2091" s="136"/>
      <c r="D2091" s="136"/>
      <c r="E2091" s="136"/>
    </row>
    <row r="2092" spans="2:5" x14ac:dyDescent="0.25">
      <c r="B2092" s="136"/>
      <c r="C2092" s="136"/>
      <c r="D2092" s="136"/>
      <c r="E2092" s="136"/>
    </row>
    <row r="2093" spans="2:5" x14ac:dyDescent="0.25">
      <c r="B2093" s="136"/>
      <c r="C2093" s="136"/>
      <c r="D2093" s="136"/>
      <c r="E2093" s="136"/>
    </row>
  </sheetData>
  <sheetProtection algorithmName="SHA-512" hashValue="tbFMSEwfoCyuuQpmLZigvpTjgtFlRWujD/4Y3hKJlalFoESEoUVR3gKf6RIKzI/vw1cNaHwQuc9xXIxhKfovHQ==" saltValue="HbytVkjpmPi++OHHRcmMlQ==" spinCount="100000" sheet="1" objects="1" scenarios="1" formatCells="0" formatColumns="0" formatRows="0"/>
  <mergeCells count="7204">
    <mergeCell ref="B1819:B1820"/>
    <mergeCell ref="C1819:C1820"/>
    <mergeCell ref="D1819:D1820"/>
    <mergeCell ref="E1819:E1820"/>
    <mergeCell ref="G1819:G1820"/>
    <mergeCell ref="H1819:H1820"/>
    <mergeCell ref="I1819:I1820"/>
    <mergeCell ref="J1819:J1820"/>
    <mergeCell ref="B1813:B1814"/>
    <mergeCell ref="C1813:C1814"/>
    <mergeCell ref="D1813:D1814"/>
    <mergeCell ref="E1813:E1814"/>
    <mergeCell ref="G1813:G1814"/>
    <mergeCell ref="H1813:H1814"/>
    <mergeCell ref="I1813:I1814"/>
    <mergeCell ref="J1813:J1814"/>
    <mergeCell ref="B1815:B1816"/>
    <mergeCell ref="C1815:C1816"/>
    <mergeCell ref="D1815:D1816"/>
    <mergeCell ref="E1815:E1816"/>
    <mergeCell ref="G1815:G1816"/>
    <mergeCell ref="H1815:H1816"/>
    <mergeCell ref="I1815:I1816"/>
    <mergeCell ref="J1815:J1816"/>
    <mergeCell ref="B1817:B1818"/>
    <mergeCell ref="C1817:C1818"/>
    <mergeCell ref="D1817:D1818"/>
    <mergeCell ref="E1817:E1818"/>
    <mergeCell ref="G1817:G1818"/>
    <mergeCell ref="H1817:H1818"/>
    <mergeCell ref="I1817:I1818"/>
    <mergeCell ref="J1817:J1818"/>
    <mergeCell ref="B1807:B1808"/>
    <mergeCell ref="C1807:C1808"/>
    <mergeCell ref="D1807:D1808"/>
    <mergeCell ref="E1807:E1808"/>
    <mergeCell ref="G1807:G1808"/>
    <mergeCell ref="H1807:H1808"/>
    <mergeCell ref="I1807:I1808"/>
    <mergeCell ref="J1807:J1808"/>
    <mergeCell ref="B1809:B1810"/>
    <mergeCell ref="C1809:C1810"/>
    <mergeCell ref="D1809:D1810"/>
    <mergeCell ref="E1809:E1810"/>
    <mergeCell ref="G1809:G1810"/>
    <mergeCell ref="H1809:H1810"/>
    <mergeCell ref="I1809:I1810"/>
    <mergeCell ref="J1809:J1810"/>
    <mergeCell ref="B1811:B1812"/>
    <mergeCell ref="C1811:C1812"/>
    <mergeCell ref="D1811:D1812"/>
    <mergeCell ref="E1811:E1812"/>
    <mergeCell ref="G1811:G1812"/>
    <mergeCell ref="H1811:H1812"/>
    <mergeCell ref="I1811:I1812"/>
    <mergeCell ref="J1811:J1812"/>
    <mergeCell ref="B1801:B1802"/>
    <mergeCell ref="C1801:C1802"/>
    <mergeCell ref="D1801:D1802"/>
    <mergeCell ref="E1801:E1802"/>
    <mergeCell ref="G1801:G1802"/>
    <mergeCell ref="H1801:H1802"/>
    <mergeCell ref="I1801:I1802"/>
    <mergeCell ref="J1801:J1802"/>
    <mergeCell ref="B1803:B1804"/>
    <mergeCell ref="C1803:C1804"/>
    <mergeCell ref="D1803:D1804"/>
    <mergeCell ref="E1803:E1804"/>
    <mergeCell ref="G1803:G1804"/>
    <mergeCell ref="H1803:H1804"/>
    <mergeCell ref="I1803:I1804"/>
    <mergeCell ref="J1803:J1804"/>
    <mergeCell ref="B1805:B1806"/>
    <mergeCell ref="C1805:C1806"/>
    <mergeCell ref="D1805:D1806"/>
    <mergeCell ref="E1805:E1806"/>
    <mergeCell ref="G1805:G1806"/>
    <mergeCell ref="H1805:H1806"/>
    <mergeCell ref="I1805:I1806"/>
    <mergeCell ref="J1805:J1806"/>
    <mergeCell ref="B1795:B1796"/>
    <mergeCell ref="C1795:C1796"/>
    <mergeCell ref="D1795:D1796"/>
    <mergeCell ref="E1795:E1796"/>
    <mergeCell ref="G1795:G1796"/>
    <mergeCell ref="H1795:H1796"/>
    <mergeCell ref="I1795:I1796"/>
    <mergeCell ref="J1795:J1796"/>
    <mergeCell ref="B1797:B1798"/>
    <mergeCell ref="C1797:C1798"/>
    <mergeCell ref="D1797:D1798"/>
    <mergeCell ref="E1797:E1798"/>
    <mergeCell ref="G1797:G1798"/>
    <mergeCell ref="H1797:H1798"/>
    <mergeCell ref="I1797:I1798"/>
    <mergeCell ref="J1797:J1798"/>
    <mergeCell ref="B1799:B1800"/>
    <mergeCell ref="C1799:C1800"/>
    <mergeCell ref="D1799:D1800"/>
    <mergeCell ref="E1799:E1800"/>
    <mergeCell ref="G1799:G1800"/>
    <mergeCell ref="H1799:H1800"/>
    <mergeCell ref="I1799:I1800"/>
    <mergeCell ref="J1799:J1800"/>
    <mergeCell ref="B1789:B1790"/>
    <mergeCell ref="C1789:C1790"/>
    <mergeCell ref="D1789:D1790"/>
    <mergeCell ref="E1789:E1790"/>
    <mergeCell ref="G1789:G1790"/>
    <mergeCell ref="H1789:H1790"/>
    <mergeCell ref="I1789:I1790"/>
    <mergeCell ref="J1789:J1790"/>
    <mergeCell ref="B1791:B1792"/>
    <mergeCell ref="C1791:C1792"/>
    <mergeCell ref="D1791:D1792"/>
    <mergeCell ref="E1791:E1792"/>
    <mergeCell ref="G1791:G1792"/>
    <mergeCell ref="H1791:H1792"/>
    <mergeCell ref="I1791:I1792"/>
    <mergeCell ref="J1791:J1792"/>
    <mergeCell ref="B1793:B1794"/>
    <mergeCell ref="C1793:C1794"/>
    <mergeCell ref="D1793:D1794"/>
    <mergeCell ref="E1793:E1794"/>
    <mergeCell ref="G1793:G1794"/>
    <mergeCell ref="H1793:H1794"/>
    <mergeCell ref="I1793:I1794"/>
    <mergeCell ref="J1793:J1794"/>
    <mergeCell ref="B1783:B1784"/>
    <mergeCell ref="C1783:C1784"/>
    <mergeCell ref="D1783:D1784"/>
    <mergeCell ref="E1783:E1784"/>
    <mergeCell ref="G1783:G1784"/>
    <mergeCell ref="H1783:H1784"/>
    <mergeCell ref="I1783:I1784"/>
    <mergeCell ref="J1783:J1784"/>
    <mergeCell ref="B1785:B1786"/>
    <mergeCell ref="C1785:C1786"/>
    <mergeCell ref="D1785:D1786"/>
    <mergeCell ref="E1785:E1786"/>
    <mergeCell ref="G1785:G1786"/>
    <mergeCell ref="H1785:H1786"/>
    <mergeCell ref="I1785:I1786"/>
    <mergeCell ref="J1785:J1786"/>
    <mergeCell ref="B1787:B1788"/>
    <mergeCell ref="C1787:C1788"/>
    <mergeCell ref="D1787:D1788"/>
    <mergeCell ref="E1787:E1788"/>
    <mergeCell ref="G1787:G1788"/>
    <mergeCell ref="H1787:H1788"/>
    <mergeCell ref="I1787:I1788"/>
    <mergeCell ref="J1787:J1788"/>
    <mergeCell ref="B1777:B1778"/>
    <mergeCell ref="C1777:C1778"/>
    <mergeCell ref="D1777:D1778"/>
    <mergeCell ref="E1777:E1778"/>
    <mergeCell ref="G1777:G1778"/>
    <mergeCell ref="H1777:H1778"/>
    <mergeCell ref="I1777:I1778"/>
    <mergeCell ref="J1777:J1778"/>
    <mergeCell ref="B1779:B1780"/>
    <mergeCell ref="C1779:C1780"/>
    <mergeCell ref="D1779:D1780"/>
    <mergeCell ref="E1779:E1780"/>
    <mergeCell ref="G1779:G1780"/>
    <mergeCell ref="H1779:H1780"/>
    <mergeCell ref="I1779:I1780"/>
    <mergeCell ref="J1779:J1780"/>
    <mergeCell ref="B1781:B1782"/>
    <mergeCell ref="C1781:C1782"/>
    <mergeCell ref="D1781:D1782"/>
    <mergeCell ref="E1781:E1782"/>
    <mergeCell ref="G1781:G1782"/>
    <mergeCell ref="H1781:H1782"/>
    <mergeCell ref="I1781:I1782"/>
    <mergeCell ref="J1781:J1782"/>
    <mergeCell ref="B1771:B1772"/>
    <mergeCell ref="C1771:C1772"/>
    <mergeCell ref="D1771:D1772"/>
    <mergeCell ref="E1771:E1772"/>
    <mergeCell ref="G1771:G1772"/>
    <mergeCell ref="H1771:H1772"/>
    <mergeCell ref="I1771:I1772"/>
    <mergeCell ref="J1771:J1772"/>
    <mergeCell ref="B1773:B1774"/>
    <mergeCell ref="C1773:C1774"/>
    <mergeCell ref="D1773:D1774"/>
    <mergeCell ref="E1773:E1774"/>
    <mergeCell ref="G1773:G1774"/>
    <mergeCell ref="H1773:H1774"/>
    <mergeCell ref="I1773:I1774"/>
    <mergeCell ref="J1773:J1774"/>
    <mergeCell ref="B1775:B1776"/>
    <mergeCell ref="C1775:C1776"/>
    <mergeCell ref="D1775:D1776"/>
    <mergeCell ref="E1775:E1776"/>
    <mergeCell ref="G1775:G1776"/>
    <mergeCell ref="H1775:H1776"/>
    <mergeCell ref="I1775:I1776"/>
    <mergeCell ref="J1775:J1776"/>
    <mergeCell ref="B1765:B1766"/>
    <mergeCell ref="C1765:C1766"/>
    <mergeCell ref="D1765:D1766"/>
    <mergeCell ref="E1765:E1766"/>
    <mergeCell ref="G1765:G1766"/>
    <mergeCell ref="H1765:H1766"/>
    <mergeCell ref="I1765:I1766"/>
    <mergeCell ref="J1765:J1766"/>
    <mergeCell ref="B1767:B1768"/>
    <mergeCell ref="C1767:C1768"/>
    <mergeCell ref="D1767:D1768"/>
    <mergeCell ref="E1767:E1768"/>
    <mergeCell ref="G1767:G1768"/>
    <mergeCell ref="H1767:H1768"/>
    <mergeCell ref="I1767:I1768"/>
    <mergeCell ref="J1767:J1768"/>
    <mergeCell ref="B1769:B1770"/>
    <mergeCell ref="C1769:C1770"/>
    <mergeCell ref="D1769:D1770"/>
    <mergeCell ref="E1769:E1770"/>
    <mergeCell ref="G1769:G1770"/>
    <mergeCell ref="H1769:H1770"/>
    <mergeCell ref="I1769:I1770"/>
    <mergeCell ref="J1769:J1770"/>
    <mergeCell ref="B1759:B1760"/>
    <mergeCell ref="C1759:C1760"/>
    <mergeCell ref="D1759:D1760"/>
    <mergeCell ref="E1759:E1760"/>
    <mergeCell ref="G1759:G1760"/>
    <mergeCell ref="H1759:H1760"/>
    <mergeCell ref="I1759:I1760"/>
    <mergeCell ref="J1759:J1760"/>
    <mergeCell ref="B1761:B1762"/>
    <mergeCell ref="C1761:C1762"/>
    <mergeCell ref="D1761:D1762"/>
    <mergeCell ref="E1761:E1762"/>
    <mergeCell ref="G1761:G1762"/>
    <mergeCell ref="H1761:H1762"/>
    <mergeCell ref="I1761:I1762"/>
    <mergeCell ref="J1761:J1762"/>
    <mergeCell ref="B1763:B1764"/>
    <mergeCell ref="C1763:C1764"/>
    <mergeCell ref="D1763:D1764"/>
    <mergeCell ref="E1763:E1764"/>
    <mergeCell ref="G1763:G1764"/>
    <mergeCell ref="H1763:H1764"/>
    <mergeCell ref="I1763:I1764"/>
    <mergeCell ref="J1763:J1764"/>
    <mergeCell ref="B1753:B1754"/>
    <mergeCell ref="C1753:C1754"/>
    <mergeCell ref="D1753:D1754"/>
    <mergeCell ref="E1753:E1754"/>
    <mergeCell ref="G1753:G1754"/>
    <mergeCell ref="H1753:H1754"/>
    <mergeCell ref="I1753:I1754"/>
    <mergeCell ref="J1753:J1754"/>
    <mergeCell ref="B1755:B1756"/>
    <mergeCell ref="C1755:C1756"/>
    <mergeCell ref="D1755:D1756"/>
    <mergeCell ref="E1755:E1756"/>
    <mergeCell ref="G1755:G1756"/>
    <mergeCell ref="H1755:H1756"/>
    <mergeCell ref="I1755:I1756"/>
    <mergeCell ref="J1755:J1756"/>
    <mergeCell ref="B1757:B1758"/>
    <mergeCell ref="C1757:C1758"/>
    <mergeCell ref="D1757:D1758"/>
    <mergeCell ref="E1757:E1758"/>
    <mergeCell ref="G1757:G1758"/>
    <mergeCell ref="H1757:H1758"/>
    <mergeCell ref="I1757:I1758"/>
    <mergeCell ref="J1757:J1758"/>
    <mergeCell ref="B1747:B1748"/>
    <mergeCell ref="C1747:C1748"/>
    <mergeCell ref="D1747:D1748"/>
    <mergeCell ref="E1747:E1748"/>
    <mergeCell ref="G1747:G1748"/>
    <mergeCell ref="H1747:H1748"/>
    <mergeCell ref="I1747:I1748"/>
    <mergeCell ref="J1747:J1748"/>
    <mergeCell ref="B1749:B1750"/>
    <mergeCell ref="C1749:C1750"/>
    <mergeCell ref="D1749:D1750"/>
    <mergeCell ref="E1749:E1750"/>
    <mergeCell ref="G1749:G1750"/>
    <mergeCell ref="H1749:H1750"/>
    <mergeCell ref="I1749:I1750"/>
    <mergeCell ref="J1749:J1750"/>
    <mergeCell ref="B1751:B1752"/>
    <mergeCell ref="C1751:C1752"/>
    <mergeCell ref="D1751:D1752"/>
    <mergeCell ref="E1751:E1752"/>
    <mergeCell ref="G1751:G1752"/>
    <mergeCell ref="H1751:H1752"/>
    <mergeCell ref="I1751:I1752"/>
    <mergeCell ref="J1751:J1752"/>
    <mergeCell ref="B1741:B1742"/>
    <mergeCell ref="C1741:C1742"/>
    <mergeCell ref="D1741:D1742"/>
    <mergeCell ref="E1741:E1742"/>
    <mergeCell ref="G1741:G1742"/>
    <mergeCell ref="H1741:H1742"/>
    <mergeCell ref="I1741:I1742"/>
    <mergeCell ref="J1741:J1742"/>
    <mergeCell ref="B1743:B1744"/>
    <mergeCell ref="C1743:C1744"/>
    <mergeCell ref="D1743:D1744"/>
    <mergeCell ref="E1743:E1744"/>
    <mergeCell ref="G1743:G1744"/>
    <mergeCell ref="H1743:H1744"/>
    <mergeCell ref="I1743:I1744"/>
    <mergeCell ref="J1743:J1744"/>
    <mergeCell ref="B1745:B1746"/>
    <mergeCell ref="C1745:C1746"/>
    <mergeCell ref="D1745:D1746"/>
    <mergeCell ref="E1745:E1746"/>
    <mergeCell ref="G1745:G1746"/>
    <mergeCell ref="H1745:H1746"/>
    <mergeCell ref="I1745:I1746"/>
    <mergeCell ref="J1745:J1746"/>
    <mergeCell ref="B1735:B1736"/>
    <mergeCell ref="C1735:C1736"/>
    <mergeCell ref="D1735:D1736"/>
    <mergeCell ref="E1735:E1736"/>
    <mergeCell ref="G1735:G1736"/>
    <mergeCell ref="H1735:H1736"/>
    <mergeCell ref="I1735:I1736"/>
    <mergeCell ref="J1735:J1736"/>
    <mergeCell ref="B1737:B1738"/>
    <mergeCell ref="C1737:C1738"/>
    <mergeCell ref="D1737:D1738"/>
    <mergeCell ref="E1737:E1738"/>
    <mergeCell ref="G1737:G1738"/>
    <mergeCell ref="H1737:H1738"/>
    <mergeCell ref="I1737:I1738"/>
    <mergeCell ref="J1737:J1738"/>
    <mergeCell ref="B1739:B1740"/>
    <mergeCell ref="C1739:C1740"/>
    <mergeCell ref="D1739:D1740"/>
    <mergeCell ref="E1739:E1740"/>
    <mergeCell ref="G1739:G1740"/>
    <mergeCell ref="H1739:H1740"/>
    <mergeCell ref="I1739:I1740"/>
    <mergeCell ref="J1739:J1740"/>
    <mergeCell ref="B1729:B1730"/>
    <mergeCell ref="C1729:C1730"/>
    <mergeCell ref="D1729:D1730"/>
    <mergeCell ref="E1729:E1730"/>
    <mergeCell ref="G1729:G1730"/>
    <mergeCell ref="H1729:H1730"/>
    <mergeCell ref="I1729:I1730"/>
    <mergeCell ref="J1729:J1730"/>
    <mergeCell ref="B1731:B1732"/>
    <mergeCell ref="C1731:C1732"/>
    <mergeCell ref="D1731:D1732"/>
    <mergeCell ref="E1731:E1732"/>
    <mergeCell ref="G1731:G1732"/>
    <mergeCell ref="H1731:H1732"/>
    <mergeCell ref="I1731:I1732"/>
    <mergeCell ref="J1731:J1732"/>
    <mergeCell ref="B1733:B1734"/>
    <mergeCell ref="C1733:C1734"/>
    <mergeCell ref="D1733:D1734"/>
    <mergeCell ref="E1733:E1734"/>
    <mergeCell ref="G1733:G1734"/>
    <mergeCell ref="H1733:H1734"/>
    <mergeCell ref="I1733:I1734"/>
    <mergeCell ref="J1733:J1734"/>
    <mergeCell ref="B1723:B1724"/>
    <mergeCell ref="C1723:C1724"/>
    <mergeCell ref="D1723:D1724"/>
    <mergeCell ref="E1723:E1724"/>
    <mergeCell ref="G1723:G1724"/>
    <mergeCell ref="H1723:H1724"/>
    <mergeCell ref="I1723:I1724"/>
    <mergeCell ref="J1723:J1724"/>
    <mergeCell ref="B1725:B1726"/>
    <mergeCell ref="C1725:C1726"/>
    <mergeCell ref="D1725:D1726"/>
    <mergeCell ref="E1725:E1726"/>
    <mergeCell ref="G1725:G1726"/>
    <mergeCell ref="H1725:H1726"/>
    <mergeCell ref="I1725:I1726"/>
    <mergeCell ref="J1725:J1726"/>
    <mergeCell ref="B1727:B1728"/>
    <mergeCell ref="C1727:C1728"/>
    <mergeCell ref="D1727:D1728"/>
    <mergeCell ref="E1727:E1728"/>
    <mergeCell ref="G1727:G1728"/>
    <mergeCell ref="H1727:H1728"/>
    <mergeCell ref="I1727:I1728"/>
    <mergeCell ref="J1727:J1728"/>
    <mergeCell ref="B1717:B1718"/>
    <mergeCell ref="C1717:C1718"/>
    <mergeCell ref="D1717:D1718"/>
    <mergeCell ref="E1717:E1718"/>
    <mergeCell ref="G1717:G1718"/>
    <mergeCell ref="H1717:H1718"/>
    <mergeCell ref="I1717:I1718"/>
    <mergeCell ref="J1717:J1718"/>
    <mergeCell ref="B1719:B1720"/>
    <mergeCell ref="C1719:C1720"/>
    <mergeCell ref="D1719:D1720"/>
    <mergeCell ref="E1719:E1720"/>
    <mergeCell ref="G1719:G1720"/>
    <mergeCell ref="H1719:H1720"/>
    <mergeCell ref="I1719:I1720"/>
    <mergeCell ref="J1719:J1720"/>
    <mergeCell ref="B1721:B1722"/>
    <mergeCell ref="C1721:C1722"/>
    <mergeCell ref="D1721:D1722"/>
    <mergeCell ref="E1721:E1722"/>
    <mergeCell ref="G1721:G1722"/>
    <mergeCell ref="H1721:H1722"/>
    <mergeCell ref="I1721:I1722"/>
    <mergeCell ref="J1721:J1722"/>
    <mergeCell ref="B1711:B1712"/>
    <mergeCell ref="C1711:C1712"/>
    <mergeCell ref="D1711:D1712"/>
    <mergeCell ref="E1711:E1712"/>
    <mergeCell ref="G1711:G1712"/>
    <mergeCell ref="H1711:H1712"/>
    <mergeCell ref="I1711:I1712"/>
    <mergeCell ref="J1711:J1712"/>
    <mergeCell ref="B1713:B1714"/>
    <mergeCell ref="C1713:C1714"/>
    <mergeCell ref="D1713:D1714"/>
    <mergeCell ref="E1713:E1714"/>
    <mergeCell ref="G1713:G1714"/>
    <mergeCell ref="H1713:H1714"/>
    <mergeCell ref="I1713:I1714"/>
    <mergeCell ref="J1713:J1714"/>
    <mergeCell ref="B1715:B1716"/>
    <mergeCell ref="C1715:C1716"/>
    <mergeCell ref="D1715:D1716"/>
    <mergeCell ref="E1715:E1716"/>
    <mergeCell ref="G1715:G1716"/>
    <mergeCell ref="H1715:H1716"/>
    <mergeCell ref="I1715:I1716"/>
    <mergeCell ref="J1715:J1716"/>
    <mergeCell ref="B1705:B1706"/>
    <mergeCell ref="C1705:C1706"/>
    <mergeCell ref="D1705:D1706"/>
    <mergeCell ref="E1705:E1706"/>
    <mergeCell ref="G1705:G1706"/>
    <mergeCell ref="H1705:H1706"/>
    <mergeCell ref="I1705:I1706"/>
    <mergeCell ref="J1705:J1706"/>
    <mergeCell ref="B1707:B1708"/>
    <mergeCell ref="C1707:C1708"/>
    <mergeCell ref="D1707:D1708"/>
    <mergeCell ref="E1707:E1708"/>
    <mergeCell ref="G1707:G1708"/>
    <mergeCell ref="H1707:H1708"/>
    <mergeCell ref="I1707:I1708"/>
    <mergeCell ref="J1707:J1708"/>
    <mergeCell ref="B1709:B1710"/>
    <mergeCell ref="C1709:C1710"/>
    <mergeCell ref="D1709:D1710"/>
    <mergeCell ref="E1709:E1710"/>
    <mergeCell ref="G1709:G1710"/>
    <mergeCell ref="H1709:H1710"/>
    <mergeCell ref="I1709:I1710"/>
    <mergeCell ref="J1709:J1710"/>
    <mergeCell ref="B1699:B1700"/>
    <mergeCell ref="C1699:C1700"/>
    <mergeCell ref="D1699:D1700"/>
    <mergeCell ref="E1699:E1700"/>
    <mergeCell ref="G1699:G1700"/>
    <mergeCell ref="H1699:H1700"/>
    <mergeCell ref="I1699:I1700"/>
    <mergeCell ref="J1699:J1700"/>
    <mergeCell ref="B1701:B1702"/>
    <mergeCell ref="C1701:C1702"/>
    <mergeCell ref="D1701:D1702"/>
    <mergeCell ref="E1701:E1702"/>
    <mergeCell ref="G1701:G1702"/>
    <mergeCell ref="H1701:H1702"/>
    <mergeCell ref="I1701:I1702"/>
    <mergeCell ref="J1701:J1702"/>
    <mergeCell ref="B1703:B1704"/>
    <mergeCell ref="C1703:C1704"/>
    <mergeCell ref="D1703:D1704"/>
    <mergeCell ref="E1703:E1704"/>
    <mergeCell ref="G1703:G1704"/>
    <mergeCell ref="H1703:H1704"/>
    <mergeCell ref="I1703:I1704"/>
    <mergeCell ref="J1703:J1704"/>
    <mergeCell ref="B1693:B1694"/>
    <mergeCell ref="C1693:C1694"/>
    <mergeCell ref="D1693:D1694"/>
    <mergeCell ref="E1693:E1694"/>
    <mergeCell ref="G1693:G1694"/>
    <mergeCell ref="H1693:H1694"/>
    <mergeCell ref="I1693:I1694"/>
    <mergeCell ref="J1693:J1694"/>
    <mergeCell ref="B1695:B1696"/>
    <mergeCell ref="C1695:C1696"/>
    <mergeCell ref="D1695:D1696"/>
    <mergeCell ref="E1695:E1696"/>
    <mergeCell ref="G1695:G1696"/>
    <mergeCell ref="H1695:H1696"/>
    <mergeCell ref="I1695:I1696"/>
    <mergeCell ref="J1695:J1696"/>
    <mergeCell ref="B1697:B1698"/>
    <mergeCell ref="C1697:C1698"/>
    <mergeCell ref="D1697:D1698"/>
    <mergeCell ref="E1697:E1698"/>
    <mergeCell ref="G1697:G1698"/>
    <mergeCell ref="H1697:H1698"/>
    <mergeCell ref="I1697:I1698"/>
    <mergeCell ref="J1697:J1698"/>
    <mergeCell ref="B1687:B1688"/>
    <mergeCell ref="C1687:C1688"/>
    <mergeCell ref="D1687:D1688"/>
    <mergeCell ref="E1687:E1688"/>
    <mergeCell ref="G1687:G1688"/>
    <mergeCell ref="H1687:H1688"/>
    <mergeCell ref="I1687:I1688"/>
    <mergeCell ref="J1687:J1688"/>
    <mergeCell ref="B1689:B1690"/>
    <mergeCell ref="C1689:C1690"/>
    <mergeCell ref="D1689:D1690"/>
    <mergeCell ref="E1689:E1690"/>
    <mergeCell ref="G1689:G1690"/>
    <mergeCell ref="H1689:H1690"/>
    <mergeCell ref="I1689:I1690"/>
    <mergeCell ref="J1689:J1690"/>
    <mergeCell ref="B1691:B1692"/>
    <mergeCell ref="C1691:C1692"/>
    <mergeCell ref="D1691:D1692"/>
    <mergeCell ref="E1691:E1692"/>
    <mergeCell ref="G1691:G1692"/>
    <mergeCell ref="H1691:H1692"/>
    <mergeCell ref="I1691:I1692"/>
    <mergeCell ref="J1691:J1692"/>
    <mergeCell ref="B1681:B1682"/>
    <mergeCell ref="C1681:C1682"/>
    <mergeCell ref="D1681:D1682"/>
    <mergeCell ref="E1681:E1682"/>
    <mergeCell ref="G1681:G1682"/>
    <mergeCell ref="H1681:H1682"/>
    <mergeCell ref="I1681:I1682"/>
    <mergeCell ref="J1681:J1682"/>
    <mergeCell ref="B1683:B1684"/>
    <mergeCell ref="C1683:C1684"/>
    <mergeCell ref="D1683:D1684"/>
    <mergeCell ref="E1683:E1684"/>
    <mergeCell ref="G1683:G1684"/>
    <mergeCell ref="H1683:H1684"/>
    <mergeCell ref="I1683:I1684"/>
    <mergeCell ref="J1683:J1684"/>
    <mergeCell ref="B1685:B1686"/>
    <mergeCell ref="C1685:C1686"/>
    <mergeCell ref="D1685:D1686"/>
    <mergeCell ref="E1685:E1686"/>
    <mergeCell ref="G1685:G1686"/>
    <mergeCell ref="H1685:H1686"/>
    <mergeCell ref="I1685:I1686"/>
    <mergeCell ref="J1685:J1686"/>
    <mergeCell ref="B1675:B1676"/>
    <mergeCell ref="C1675:C1676"/>
    <mergeCell ref="D1675:D1676"/>
    <mergeCell ref="E1675:E1676"/>
    <mergeCell ref="G1675:G1676"/>
    <mergeCell ref="H1675:H1676"/>
    <mergeCell ref="I1675:I1676"/>
    <mergeCell ref="J1675:J1676"/>
    <mergeCell ref="B1677:B1678"/>
    <mergeCell ref="C1677:C1678"/>
    <mergeCell ref="D1677:D1678"/>
    <mergeCell ref="E1677:E1678"/>
    <mergeCell ref="G1677:G1678"/>
    <mergeCell ref="H1677:H1678"/>
    <mergeCell ref="I1677:I1678"/>
    <mergeCell ref="J1677:J1678"/>
    <mergeCell ref="B1679:B1680"/>
    <mergeCell ref="C1679:C1680"/>
    <mergeCell ref="D1679:D1680"/>
    <mergeCell ref="E1679:E1680"/>
    <mergeCell ref="G1679:G1680"/>
    <mergeCell ref="H1679:H1680"/>
    <mergeCell ref="I1679:I1680"/>
    <mergeCell ref="J1679:J1680"/>
    <mergeCell ref="B1669:B1670"/>
    <mergeCell ref="C1669:C1670"/>
    <mergeCell ref="D1669:D1670"/>
    <mergeCell ref="E1669:E1670"/>
    <mergeCell ref="G1669:G1670"/>
    <mergeCell ref="H1669:H1670"/>
    <mergeCell ref="I1669:I1670"/>
    <mergeCell ref="J1669:J1670"/>
    <mergeCell ref="B1671:B1672"/>
    <mergeCell ref="C1671:C1672"/>
    <mergeCell ref="D1671:D1672"/>
    <mergeCell ref="E1671:E1672"/>
    <mergeCell ref="G1671:G1672"/>
    <mergeCell ref="H1671:H1672"/>
    <mergeCell ref="I1671:I1672"/>
    <mergeCell ref="J1671:J1672"/>
    <mergeCell ref="B1673:B1674"/>
    <mergeCell ref="C1673:C1674"/>
    <mergeCell ref="D1673:D1674"/>
    <mergeCell ref="E1673:E1674"/>
    <mergeCell ref="G1673:G1674"/>
    <mergeCell ref="H1673:H1674"/>
    <mergeCell ref="I1673:I1674"/>
    <mergeCell ref="J1673:J1674"/>
    <mergeCell ref="B1663:B1664"/>
    <mergeCell ref="C1663:C1664"/>
    <mergeCell ref="D1663:D1664"/>
    <mergeCell ref="E1663:E1664"/>
    <mergeCell ref="G1663:G1664"/>
    <mergeCell ref="H1663:H1664"/>
    <mergeCell ref="I1663:I1664"/>
    <mergeCell ref="J1663:J1664"/>
    <mergeCell ref="B1665:B1666"/>
    <mergeCell ref="C1665:C1666"/>
    <mergeCell ref="D1665:D1666"/>
    <mergeCell ref="E1665:E1666"/>
    <mergeCell ref="G1665:G1666"/>
    <mergeCell ref="H1665:H1666"/>
    <mergeCell ref="I1665:I1666"/>
    <mergeCell ref="J1665:J1666"/>
    <mergeCell ref="B1667:B1668"/>
    <mergeCell ref="C1667:C1668"/>
    <mergeCell ref="D1667:D1668"/>
    <mergeCell ref="E1667:E1668"/>
    <mergeCell ref="G1667:G1668"/>
    <mergeCell ref="H1667:H1668"/>
    <mergeCell ref="I1667:I1668"/>
    <mergeCell ref="J1667:J1668"/>
    <mergeCell ref="B1657:B1658"/>
    <mergeCell ref="C1657:C1658"/>
    <mergeCell ref="D1657:D1658"/>
    <mergeCell ref="E1657:E1658"/>
    <mergeCell ref="G1657:G1658"/>
    <mergeCell ref="H1657:H1658"/>
    <mergeCell ref="I1657:I1658"/>
    <mergeCell ref="J1657:J1658"/>
    <mergeCell ref="B1659:B1660"/>
    <mergeCell ref="C1659:C1660"/>
    <mergeCell ref="D1659:D1660"/>
    <mergeCell ref="E1659:E1660"/>
    <mergeCell ref="G1659:G1660"/>
    <mergeCell ref="H1659:H1660"/>
    <mergeCell ref="I1659:I1660"/>
    <mergeCell ref="J1659:J1660"/>
    <mergeCell ref="B1661:B1662"/>
    <mergeCell ref="C1661:C1662"/>
    <mergeCell ref="D1661:D1662"/>
    <mergeCell ref="E1661:E1662"/>
    <mergeCell ref="G1661:G1662"/>
    <mergeCell ref="H1661:H1662"/>
    <mergeCell ref="I1661:I1662"/>
    <mergeCell ref="J1661:J1662"/>
    <mergeCell ref="B1651:B1652"/>
    <mergeCell ref="C1651:C1652"/>
    <mergeCell ref="D1651:D1652"/>
    <mergeCell ref="E1651:E1652"/>
    <mergeCell ref="G1651:G1652"/>
    <mergeCell ref="H1651:H1652"/>
    <mergeCell ref="I1651:I1652"/>
    <mergeCell ref="J1651:J1652"/>
    <mergeCell ref="B1653:B1654"/>
    <mergeCell ref="C1653:C1654"/>
    <mergeCell ref="D1653:D1654"/>
    <mergeCell ref="E1653:E1654"/>
    <mergeCell ref="G1653:G1654"/>
    <mergeCell ref="H1653:H1654"/>
    <mergeCell ref="I1653:I1654"/>
    <mergeCell ref="J1653:J1654"/>
    <mergeCell ref="B1655:B1656"/>
    <mergeCell ref="C1655:C1656"/>
    <mergeCell ref="D1655:D1656"/>
    <mergeCell ref="E1655:E1656"/>
    <mergeCell ref="G1655:G1656"/>
    <mergeCell ref="H1655:H1656"/>
    <mergeCell ref="I1655:I1656"/>
    <mergeCell ref="J1655:J1656"/>
    <mergeCell ref="B1645:B1646"/>
    <mergeCell ref="C1645:C1646"/>
    <mergeCell ref="D1645:D1646"/>
    <mergeCell ref="E1645:E1646"/>
    <mergeCell ref="G1645:G1646"/>
    <mergeCell ref="H1645:H1646"/>
    <mergeCell ref="I1645:I1646"/>
    <mergeCell ref="J1645:J1646"/>
    <mergeCell ref="B1647:B1648"/>
    <mergeCell ref="C1647:C1648"/>
    <mergeCell ref="D1647:D1648"/>
    <mergeCell ref="E1647:E1648"/>
    <mergeCell ref="G1647:G1648"/>
    <mergeCell ref="H1647:H1648"/>
    <mergeCell ref="I1647:I1648"/>
    <mergeCell ref="J1647:J1648"/>
    <mergeCell ref="B1649:B1650"/>
    <mergeCell ref="C1649:C1650"/>
    <mergeCell ref="D1649:D1650"/>
    <mergeCell ref="E1649:E1650"/>
    <mergeCell ref="G1649:G1650"/>
    <mergeCell ref="H1649:H1650"/>
    <mergeCell ref="I1649:I1650"/>
    <mergeCell ref="J1649:J1650"/>
    <mergeCell ref="B1639:B1640"/>
    <mergeCell ref="C1639:C1640"/>
    <mergeCell ref="D1639:D1640"/>
    <mergeCell ref="E1639:E1640"/>
    <mergeCell ref="G1639:G1640"/>
    <mergeCell ref="H1639:H1640"/>
    <mergeCell ref="I1639:I1640"/>
    <mergeCell ref="J1639:J1640"/>
    <mergeCell ref="B1641:B1642"/>
    <mergeCell ref="C1641:C1642"/>
    <mergeCell ref="D1641:D1642"/>
    <mergeCell ref="E1641:E1642"/>
    <mergeCell ref="G1641:G1642"/>
    <mergeCell ref="H1641:H1642"/>
    <mergeCell ref="I1641:I1642"/>
    <mergeCell ref="J1641:J1642"/>
    <mergeCell ref="B1643:B1644"/>
    <mergeCell ref="C1643:C1644"/>
    <mergeCell ref="D1643:D1644"/>
    <mergeCell ref="E1643:E1644"/>
    <mergeCell ref="G1643:G1644"/>
    <mergeCell ref="H1643:H1644"/>
    <mergeCell ref="I1643:I1644"/>
    <mergeCell ref="J1643:J1644"/>
    <mergeCell ref="B1633:B1634"/>
    <mergeCell ref="C1633:C1634"/>
    <mergeCell ref="D1633:D1634"/>
    <mergeCell ref="E1633:E1634"/>
    <mergeCell ref="G1633:G1634"/>
    <mergeCell ref="H1633:H1634"/>
    <mergeCell ref="I1633:I1634"/>
    <mergeCell ref="J1633:J1634"/>
    <mergeCell ref="B1635:B1636"/>
    <mergeCell ref="C1635:C1636"/>
    <mergeCell ref="D1635:D1636"/>
    <mergeCell ref="E1635:E1636"/>
    <mergeCell ref="G1635:G1636"/>
    <mergeCell ref="H1635:H1636"/>
    <mergeCell ref="I1635:I1636"/>
    <mergeCell ref="J1635:J1636"/>
    <mergeCell ref="B1637:B1638"/>
    <mergeCell ref="C1637:C1638"/>
    <mergeCell ref="D1637:D1638"/>
    <mergeCell ref="E1637:E1638"/>
    <mergeCell ref="G1637:G1638"/>
    <mergeCell ref="H1637:H1638"/>
    <mergeCell ref="I1637:I1638"/>
    <mergeCell ref="J1637:J1638"/>
    <mergeCell ref="B1627:B1628"/>
    <mergeCell ref="C1627:C1628"/>
    <mergeCell ref="D1627:D1628"/>
    <mergeCell ref="E1627:E1628"/>
    <mergeCell ref="G1627:G1628"/>
    <mergeCell ref="H1627:H1628"/>
    <mergeCell ref="I1627:I1628"/>
    <mergeCell ref="J1627:J1628"/>
    <mergeCell ref="B1629:B1630"/>
    <mergeCell ref="C1629:C1630"/>
    <mergeCell ref="D1629:D1630"/>
    <mergeCell ref="E1629:E1630"/>
    <mergeCell ref="G1629:G1630"/>
    <mergeCell ref="H1629:H1630"/>
    <mergeCell ref="I1629:I1630"/>
    <mergeCell ref="J1629:J1630"/>
    <mergeCell ref="B1631:B1632"/>
    <mergeCell ref="C1631:C1632"/>
    <mergeCell ref="D1631:D1632"/>
    <mergeCell ref="E1631:E1632"/>
    <mergeCell ref="G1631:G1632"/>
    <mergeCell ref="H1631:H1632"/>
    <mergeCell ref="I1631:I1632"/>
    <mergeCell ref="J1631:J1632"/>
    <mergeCell ref="B1621:B1622"/>
    <mergeCell ref="C1621:C1622"/>
    <mergeCell ref="D1621:D1622"/>
    <mergeCell ref="E1621:E1622"/>
    <mergeCell ref="G1621:G1622"/>
    <mergeCell ref="H1621:H1622"/>
    <mergeCell ref="I1621:I1622"/>
    <mergeCell ref="J1621:J1622"/>
    <mergeCell ref="B1623:B1624"/>
    <mergeCell ref="C1623:C1624"/>
    <mergeCell ref="D1623:D1624"/>
    <mergeCell ref="E1623:E1624"/>
    <mergeCell ref="G1623:G1624"/>
    <mergeCell ref="H1623:H1624"/>
    <mergeCell ref="I1623:I1624"/>
    <mergeCell ref="J1623:J1624"/>
    <mergeCell ref="B1625:B1626"/>
    <mergeCell ref="C1625:C1626"/>
    <mergeCell ref="D1625:D1626"/>
    <mergeCell ref="E1625:E1626"/>
    <mergeCell ref="G1625:G1626"/>
    <mergeCell ref="H1625:H1626"/>
    <mergeCell ref="I1625:I1626"/>
    <mergeCell ref="J1625:J1626"/>
    <mergeCell ref="B1613:B1614"/>
    <mergeCell ref="C1613:C1614"/>
    <mergeCell ref="D1613:D1614"/>
    <mergeCell ref="E1613:E1614"/>
    <mergeCell ref="G1613:G1614"/>
    <mergeCell ref="H1613:H1614"/>
    <mergeCell ref="I1613:I1614"/>
    <mergeCell ref="J1613:J1614"/>
    <mergeCell ref="B1617:B1618"/>
    <mergeCell ref="C1617:C1618"/>
    <mergeCell ref="D1617:D1618"/>
    <mergeCell ref="E1617:E1618"/>
    <mergeCell ref="G1617:G1618"/>
    <mergeCell ref="H1617:H1618"/>
    <mergeCell ref="I1617:I1618"/>
    <mergeCell ref="J1617:J1618"/>
    <mergeCell ref="B1619:B1620"/>
    <mergeCell ref="C1619:C1620"/>
    <mergeCell ref="D1619:D1620"/>
    <mergeCell ref="E1619:E1620"/>
    <mergeCell ref="G1619:G1620"/>
    <mergeCell ref="H1619:H1620"/>
    <mergeCell ref="I1619:I1620"/>
    <mergeCell ref="J1619:J1620"/>
    <mergeCell ref="B1615:B1616"/>
    <mergeCell ref="C1615:C1616"/>
    <mergeCell ref="D1615:D1616"/>
    <mergeCell ref="E1615:E1616"/>
    <mergeCell ref="G1615:G1616"/>
    <mergeCell ref="H1615:H1616"/>
    <mergeCell ref="I1615:I1616"/>
    <mergeCell ref="J1615:J1616"/>
    <mergeCell ref="B1609:B1610"/>
    <mergeCell ref="C1609:C1610"/>
    <mergeCell ref="D1609:D1610"/>
    <mergeCell ref="E1609:E1610"/>
    <mergeCell ref="G1609:G1610"/>
    <mergeCell ref="H1609:H1610"/>
    <mergeCell ref="I1609:I1610"/>
    <mergeCell ref="J1609:J1610"/>
    <mergeCell ref="B1607:B1608"/>
    <mergeCell ref="C1607:C1608"/>
    <mergeCell ref="D1607:D1608"/>
    <mergeCell ref="E1607:E1608"/>
    <mergeCell ref="G1607:G1608"/>
    <mergeCell ref="H1607:H1608"/>
    <mergeCell ref="I1607:I1608"/>
    <mergeCell ref="J1607:J1608"/>
    <mergeCell ref="B1605:B1606"/>
    <mergeCell ref="C1605:C1606"/>
    <mergeCell ref="D1605:D1606"/>
    <mergeCell ref="E1605:E1606"/>
    <mergeCell ref="G1605:G1606"/>
    <mergeCell ref="H1605:H1606"/>
    <mergeCell ref="I1605:I1606"/>
    <mergeCell ref="J1605:J1606"/>
    <mergeCell ref="B1593:B1594"/>
    <mergeCell ref="C1593:C1594"/>
    <mergeCell ref="D1593:D1594"/>
    <mergeCell ref="E1593:E1594"/>
    <mergeCell ref="G1593:G1594"/>
    <mergeCell ref="H1593:H1594"/>
    <mergeCell ref="I1593:I1594"/>
    <mergeCell ref="J1593:J1594"/>
    <mergeCell ref="B1595:B1596"/>
    <mergeCell ref="C1595:C1596"/>
    <mergeCell ref="D1595:D1596"/>
    <mergeCell ref="E1595:E1596"/>
    <mergeCell ref="G1595:G1596"/>
    <mergeCell ref="H1595:H1596"/>
    <mergeCell ref="I1595:I1596"/>
    <mergeCell ref="J1595:J1596"/>
    <mergeCell ref="B1599:B1600"/>
    <mergeCell ref="C1599:C1600"/>
    <mergeCell ref="D1599:D1600"/>
    <mergeCell ref="E1599:E1600"/>
    <mergeCell ref="G1599:G1600"/>
    <mergeCell ref="H1599:H1600"/>
    <mergeCell ref="I1599:I1600"/>
    <mergeCell ref="J1599:J1600"/>
    <mergeCell ref="B1581:B1582"/>
    <mergeCell ref="C1581:C1582"/>
    <mergeCell ref="D1581:D1582"/>
    <mergeCell ref="E1581:E1582"/>
    <mergeCell ref="G1581:G1582"/>
    <mergeCell ref="H1581:H1582"/>
    <mergeCell ref="I1581:I1582"/>
    <mergeCell ref="J1581:J1582"/>
    <mergeCell ref="B1583:B1584"/>
    <mergeCell ref="C1583:C1584"/>
    <mergeCell ref="D1583:D1584"/>
    <mergeCell ref="E1583:E1584"/>
    <mergeCell ref="G1583:G1584"/>
    <mergeCell ref="H1583:H1584"/>
    <mergeCell ref="I1583:I1584"/>
    <mergeCell ref="J1583:J1584"/>
    <mergeCell ref="B1585:B1586"/>
    <mergeCell ref="C1585:C1586"/>
    <mergeCell ref="D1585:D1586"/>
    <mergeCell ref="E1585:E1586"/>
    <mergeCell ref="G1585:G1586"/>
    <mergeCell ref="H1585:H1586"/>
    <mergeCell ref="I1585:I1586"/>
    <mergeCell ref="J1585:J1586"/>
    <mergeCell ref="B1611:B1612"/>
    <mergeCell ref="C1611:C1612"/>
    <mergeCell ref="D1611:D1612"/>
    <mergeCell ref="E1611:E1612"/>
    <mergeCell ref="G1611:G1612"/>
    <mergeCell ref="H1611:H1612"/>
    <mergeCell ref="I1611:I1612"/>
    <mergeCell ref="J1611:J1612"/>
    <mergeCell ref="B1597:B1598"/>
    <mergeCell ref="C1597:C1598"/>
    <mergeCell ref="D1597:D1598"/>
    <mergeCell ref="E1597:E1598"/>
    <mergeCell ref="G1597:G1598"/>
    <mergeCell ref="H1597:H1598"/>
    <mergeCell ref="I1597:I1598"/>
    <mergeCell ref="J1597:J1598"/>
    <mergeCell ref="B1601:B1602"/>
    <mergeCell ref="C1601:C1602"/>
    <mergeCell ref="D1601:D1602"/>
    <mergeCell ref="E1601:E1602"/>
    <mergeCell ref="G1601:G1602"/>
    <mergeCell ref="H1601:H1602"/>
    <mergeCell ref="I1601:I1602"/>
    <mergeCell ref="J1601:J1602"/>
    <mergeCell ref="B1603:B1604"/>
    <mergeCell ref="C1603:C1604"/>
    <mergeCell ref="D1603:D1604"/>
    <mergeCell ref="E1603:E1604"/>
    <mergeCell ref="G1603:G1604"/>
    <mergeCell ref="H1603:H1604"/>
    <mergeCell ref="I1603:I1604"/>
    <mergeCell ref="J1603:J1604"/>
    <mergeCell ref="B1589:B1590"/>
    <mergeCell ref="C1589:C1590"/>
    <mergeCell ref="D1589:D1590"/>
    <mergeCell ref="E1589:E1590"/>
    <mergeCell ref="G1589:G1590"/>
    <mergeCell ref="H1589:H1590"/>
    <mergeCell ref="I1589:I1590"/>
    <mergeCell ref="J1589:J1590"/>
    <mergeCell ref="B1587:B1588"/>
    <mergeCell ref="C1587:C1588"/>
    <mergeCell ref="D1587:D1588"/>
    <mergeCell ref="E1587:E1588"/>
    <mergeCell ref="G1587:G1588"/>
    <mergeCell ref="H1587:H1588"/>
    <mergeCell ref="I1587:I1588"/>
    <mergeCell ref="J1587:J1588"/>
    <mergeCell ref="B1591:B1592"/>
    <mergeCell ref="C1591:C1592"/>
    <mergeCell ref="D1591:D1592"/>
    <mergeCell ref="E1591:E1592"/>
    <mergeCell ref="G1591:G1592"/>
    <mergeCell ref="H1591:H1592"/>
    <mergeCell ref="I1591:I1592"/>
    <mergeCell ref="J1591:J1592"/>
    <mergeCell ref="B1579:B1580"/>
    <mergeCell ref="C1579:C1580"/>
    <mergeCell ref="D1579:D1580"/>
    <mergeCell ref="E1579:E1580"/>
    <mergeCell ref="G1579:G1580"/>
    <mergeCell ref="H1579:H1580"/>
    <mergeCell ref="I1579:I1580"/>
    <mergeCell ref="J1579:J1580"/>
    <mergeCell ref="B1571:B1572"/>
    <mergeCell ref="C1571:C1572"/>
    <mergeCell ref="D1571:D1572"/>
    <mergeCell ref="E1571:E1572"/>
    <mergeCell ref="G1571:G1572"/>
    <mergeCell ref="H1571:H1572"/>
    <mergeCell ref="I1571:I1572"/>
    <mergeCell ref="J1571:J1572"/>
    <mergeCell ref="B1573:B1574"/>
    <mergeCell ref="C1573:C1574"/>
    <mergeCell ref="D1573:D1574"/>
    <mergeCell ref="E1573:E1574"/>
    <mergeCell ref="G1573:G1574"/>
    <mergeCell ref="H1573:H1574"/>
    <mergeCell ref="I1573:I1574"/>
    <mergeCell ref="J1573:J1574"/>
    <mergeCell ref="B1567:B1568"/>
    <mergeCell ref="C1567:C1568"/>
    <mergeCell ref="D1567:D1568"/>
    <mergeCell ref="E1567:E1568"/>
    <mergeCell ref="G1567:G1568"/>
    <mergeCell ref="H1567:H1568"/>
    <mergeCell ref="I1567:I1568"/>
    <mergeCell ref="J1567:J1568"/>
    <mergeCell ref="B1569:B1570"/>
    <mergeCell ref="C1569:C1570"/>
    <mergeCell ref="D1569:D1570"/>
    <mergeCell ref="E1569:E1570"/>
    <mergeCell ref="G1569:G1570"/>
    <mergeCell ref="H1569:H1570"/>
    <mergeCell ref="I1569:I1570"/>
    <mergeCell ref="J1569:J1570"/>
    <mergeCell ref="B1577:B1578"/>
    <mergeCell ref="C1577:C1578"/>
    <mergeCell ref="D1577:D1578"/>
    <mergeCell ref="E1577:E1578"/>
    <mergeCell ref="G1577:G1578"/>
    <mergeCell ref="H1577:H1578"/>
    <mergeCell ref="I1577:I1578"/>
    <mergeCell ref="J1577:J1578"/>
    <mergeCell ref="B1561:B1562"/>
    <mergeCell ref="C1561:C1562"/>
    <mergeCell ref="D1561:D1562"/>
    <mergeCell ref="E1561:E1562"/>
    <mergeCell ref="G1561:G1562"/>
    <mergeCell ref="H1561:H1562"/>
    <mergeCell ref="I1561:I1562"/>
    <mergeCell ref="J1561:J1562"/>
    <mergeCell ref="B1563:B1564"/>
    <mergeCell ref="C1563:C1564"/>
    <mergeCell ref="D1563:D1564"/>
    <mergeCell ref="E1563:E1564"/>
    <mergeCell ref="G1563:G1564"/>
    <mergeCell ref="H1563:H1564"/>
    <mergeCell ref="I1563:I1564"/>
    <mergeCell ref="J1563:J1564"/>
    <mergeCell ref="B1575:B1576"/>
    <mergeCell ref="C1575:C1576"/>
    <mergeCell ref="D1575:D1576"/>
    <mergeCell ref="E1575:E1576"/>
    <mergeCell ref="G1575:G1576"/>
    <mergeCell ref="H1575:H1576"/>
    <mergeCell ref="I1575:I1576"/>
    <mergeCell ref="J1575:J1576"/>
    <mergeCell ref="B1565:B1566"/>
    <mergeCell ref="C1565:C1566"/>
    <mergeCell ref="D1565:D1566"/>
    <mergeCell ref="E1565:E1566"/>
    <mergeCell ref="G1565:G1566"/>
    <mergeCell ref="H1565:H1566"/>
    <mergeCell ref="I1565:I1566"/>
    <mergeCell ref="J1565:J1566"/>
    <mergeCell ref="B1555:B1556"/>
    <mergeCell ref="C1555:C1556"/>
    <mergeCell ref="D1555:D1556"/>
    <mergeCell ref="E1555:E1556"/>
    <mergeCell ref="G1555:G1556"/>
    <mergeCell ref="H1555:H1556"/>
    <mergeCell ref="I1555:I1556"/>
    <mergeCell ref="J1555:J1556"/>
    <mergeCell ref="B1557:B1558"/>
    <mergeCell ref="C1557:C1558"/>
    <mergeCell ref="D1557:D1558"/>
    <mergeCell ref="E1557:E1558"/>
    <mergeCell ref="G1557:G1558"/>
    <mergeCell ref="H1557:H1558"/>
    <mergeCell ref="I1557:I1558"/>
    <mergeCell ref="J1557:J1558"/>
    <mergeCell ref="B1559:B1560"/>
    <mergeCell ref="C1559:C1560"/>
    <mergeCell ref="D1559:D1560"/>
    <mergeCell ref="E1559:E1560"/>
    <mergeCell ref="G1559:G1560"/>
    <mergeCell ref="H1559:H1560"/>
    <mergeCell ref="I1559:I1560"/>
    <mergeCell ref="J1559:J1560"/>
    <mergeCell ref="B1549:B1550"/>
    <mergeCell ref="C1549:C1550"/>
    <mergeCell ref="D1549:D1550"/>
    <mergeCell ref="E1549:E1550"/>
    <mergeCell ref="G1549:G1550"/>
    <mergeCell ref="H1549:H1550"/>
    <mergeCell ref="I1549:I1550"/>
    <mergeCell ref="J1549:J1550"/>
    <mergeCell ref="B1551:B1552"/>
    <mergeCell ref="C1551:C1552"/>
    <mergeCell ref="D1551:D1552"/>
    <mergeCell ref="E1551:E1552"/>
    <mergeCell ref="G1551:G1552"/>
    <mergeCell ref="H1551:H1552"/>
    <mergeCell ref="I1551:I1552"/>
    <mergeCell ref="J1551:J1552"/>
    <mergeCell ref="B1553:B1554"/>
    <mergeCell ref="C1553:C1554"/>
    <mergeCell ref="D1553:D1554"/>
    <mergeCell ref="E1553:E1554"/>
    <mergeCell ref="G1553:G1554"/>
    <mergeCell ref="H1553:H1554"/>
    <mergeCell ref="I1553:I1554"/>
    <mergeCell ref="J1553:J1554"/>
    <mergeCell ref="B1543:B1544"/>
    <mergeCell ref="C1543:C1544"/>
    <mergeCell ref="D1543:D1544"/>
    <mergeCell ref="E1543:E1544"/>
    <mergeCell ref="G1543:G1544"/>
    <mergeCell ref="H1543:H1544"/>
    <mergeCell ref="I1543:I1544"/>
    <mergeCell ref="J1543:J1544"/>
    <mergeCell ref="B1545:B1546"/>
    <mergeCell ref="C1545:C1546"/>
    <mergeCell ref="D1545:D1546"/>
    <mergeCell ref="E1545:E1546"/>
    <mergeCell ref="G1545:G1546"/>
    <mergeCell ref="H1545:H1546"/>
    <mergeCell ref="I1545:I1546"/>
    <mergeCell ref="J1545:J1546"/>
    <mergeCell ref="B1547:B1548"/>
    <mergeCell ref="C1547:C1548"/>
    <mergeCell ref="D1547:D1548"/>
    <mergeCell ref="E1547:E1548"/>
    <mergeCell ref="G1547:G1548"/>
    <mergeCell ref="H1547:H1548"/>
    <mergeCell ref="I1547:I1548"/>
    <mergeCell ref="J1547:J1548"/>
    <mergeCell ref="B1537:B1538"/>
    <mergeCell ref="C1537:C1538"/>
    <mergeCell ref="D1537:D1538"/>
    <mergeCell ref="E1537:E1538"/>
    <mergeCell ref="G1537:G1538"/>
    <mergeCell ref="H1537:H1538"/>
    <mergeCell ref="I1537:I1538"/>
    <mergeCell ref="J1537:J1538"/>
    <mergeCell ref="B1539:B1540"/>
    <mergeCell ref="C1539:C1540"/>
    <mergeCell ref="D1539:D1540"/>
    <mergeCell ref="E1539:E1540"/>
    <mergeCell ref="G1539:G1540"/>
    <mergeCell ref="H1539:H1540"/>
    <mergeCell ref="I1539:I1540"/>
    <mergeCell ref="J1539:J1540"/>
    <mergeCell ref="B1541:B1542"/>
    <mergeCell ref="C1541:C1542"/>
    <mergeCell ref="D1541:D1542"/>
    <mergeCell ref="E1541:E1542"/>
    <mergeCell ref="G1541:G1542"/>
    <mergeCell ref="H1541:H1542"/>
    <mergeCell ref="I1541:I1542"/>
    <mergeCell ref="J1541:J1542"/>
    <mergeCell ref="B1531:B1532"/>
    <mergeCell ref="C1531:C1532"/>
    <mergeCell ref="D1531:D1532"/>
    <mergeCell ref="E1531:E1532"/>
    <mergeCell ref="G1531:G1532"/>
    <mergeCell ref="H1531:H1532"/>
    <mergeCell ref="I1531:I1532"/>
    <mergeCell ref="J1531:J1532"/>
    <mergeCell ref="B1533:B1534"/>
    <mergeCell ref="C1533:C1534"/>
    <mergeCell ref="D1533:D1534"/>
    <mergeCell ref="E1533:E1534"/>
    <mergeCell ref="G1533:G1534"/>
    <mergeCell ref="H1533:H1534"/>
    <mergeCell ref="I1533:I1534"/>
    <mergeCell ref="J1533:J1534"/>
    <mergeCell ref="B1535:B1536"/>
    <mergeCell ref="C1535:C1536"/>
    <mergeCell ref="D1535:D1536"/>
    <mergeCell ref="E1535:E1536"/>
    <mergeCell ref="G1535:G1536"/>
    <mergeCell ref="H1535:H1536"/>
    <mergeCell ref="I1535:I1536"/>
    <mergeCell ref="J1535:J1536"/>
    <mergeCell ref="B1525:B1526"/>
    <mergeCell ref="C1525:C1526"/>
    <mergeCell ref="D1525:D1526"/>
    <mergeCell ref="E1525:E1526"/>
    <mergeCell ref="G1525:G1526"/>
    <mergeCell ref="H1525:H1526"/>
    <mergeCell ref="I1525:I1526"/>
    <mergeCell ref="J1525:J1526"/>
    <mergeCell ref="B1527:B1528"/>
    <mergeCell ref="C1527:C1528"/>
    <mergeCell ref="D1527:D1528"/>
    <mergeCell ref="E1527:E1528"/>
    <mergeCell ref="G1527:G1528"/>
    <mergeCell ref="H1527:H1528"/>
    <mergeCell ref="I1527:I1528"/>
    <mergeCell ref="J1527:J1528"/>
    <mergeCell ref="B1529:B1530"/>
    <mergeCell ref="C1529:C1530"/>
    <mergeCell ref="D1529:D1530"/>
    <mergeCell ref="E1529:E1530"/>
    <mergeCell ref="G1529:G1530"/>
    <mergeCell ref="H1529:H1530"/>
    <mergeCell ref="I1529:I1530"/>
    <mergeCell ref="J1529:J1530"/>
    <mergeCell ref="B1519:B1520"/>
    <mergeCell ref="C1519:C1520"/>
    <mergeCell ref="D1519:D1520"/>
    <mergeCell ref="E1519:E1520"/>
    <mergeCell ref="G1519:G1520"/>
    <mergeCell ref="H1519:H1520"/>
    <mergeCell ref="I1519:I1520"/>
    <mergeCell ref="J1519:J1520"/>
    <mergeCell ref="B1521:B1522"/>
    <mergeCell ref="C1521:C1522"/>
    <mergeCell ref="D1521:D1522"/>
    <mergeCell ref="E1521:E1522"/>
    <mergeCell ref="G1521:G1522"/>
    <mergeCell ref="H1521:H1522"/>
    <mergeCell ref="I1521:I1522"/>
    <mergeCell ref="J1521:J1522"/>
    <mergeCell ref="B1523:B1524"/>
    <mergeCell ref="C1523:C1524"/>
    <mergeCell ref="D1523:D1524"/>
    <mergeCell ref="E1523:E1524"/>
    <mergeCell ref="G1523:G1524"/>
    <mergeCell ref="H1523:H1524"/>
    <mergeCell ref="I1523:I1524"/>
    <mergeCell ref="J1523:J1524"/>
    <mergeCell ref="B1513:B1514"/>
    <mergeCell ref="C1513:C1514"/>
    <mergeCell ref="D1513:D1514"/>
    <mergeCell ref="E1513:E1514"/>
    <mergeCell ref="G1513:G1514"/>
    <mergeCell ref="H1513:H1514"/>
    <mergeCell ref="I1513:I1514"/>
    <mergeCell ref="J1513:J1514"/>
    <mergeCell ref="B1515:B1516"/>
    <mergeCell ref="C1515:C1516"/>
    <mergeCell ref="D1515:D1516"/>
    <mergeCell ref="E1515:E1516"/>
    <mergeCell ref="G1515:G1516"/>
    <mergeCell ref="H1515:H1516"/>
    <mergeCell ref="I1515:I1516"/>
    <mergeCell ref="J1515:J1516"/>
    <mergeCell ref="B1517:B1518"/>
    <mergeCell ref="C1517:C1518"/>
    <mergeCell ref="D1517:D1518"/>
    <mergeCell ref="E1517:E1518"/>
    <mergeCell ref="G1517:G1518"/>
    <mergeCell ref="H1517:H1518"/>
    <mergeCell ref="I1517:I1518"/>
    <mergeCell ref="J1517:J1518"/>
    <mergeCell ref="B1507:B1508"/>
    <mergeCell ref="C1507:C1508"/>
    <mergeCell ref="D1507:D1508"/>
    <mergeCell ref="E1507:E1508"/>
    <mergeCell ref="G1507:G1508"/>
    <mergeCell ref="H1507:H1508"/>
    <mergeCell ref="I1507:I1508"/>
    <mergeCell ref="J1507:J1508"/>
    <mergeCell ref="B1509:B1510"/>
    <mergeCell ref="C1509:C1510"/>
    <mergeCell ref="D1509:D1510"/>
    <mergeCell ref="E1509:E1510"/>
    <mergeCell ref="G1509:G1510"/>
    <mergeCell ref="H1509:H1510"/>
    <mergeCell ref="I1509:I1510"/>
    <mergeCell ref="J1509:J1510"/>
    <mergeCell ref="B1511:B1512"/>
    <mergeCell ref="C1511:C1512"/>
    <mergeCell ref="D1511:D1512"/>
    <mergeCell ref="E1511:E1512"/>
    <mergeCell ref="G1511:G1512"/>
    <mergeCell ref="H1511:H1512"/>
    <mergeCell ref="I1511:I1512"/>
    <mergeCell ref="J1511:J1512"/>
    <mergeCell ref="B1501:B1502"/>
    <mergeCell ref="C1501:C1502"/>
    <mergeCell ref="D1501:D1502"/>
    <mergeCell ref="E1501:E1502"/>
    <mergeCell ref="G1501:G1502"/>
    <mergeCell ref="H1501:H1502"/>
    <mergeCell ref="I1501:I1502"/>
    <mergeCell ref="J1501:J1502"/>
    <mergeCell ref="B1503:B1504"/>
    <mergeCell ref="C1503:C1504"/>
    <mergeCell ref="D1503:D1504"/>
    <mergeCell ref="E1503:E1504"/>
    <mergeCell ref="G1503:G1504"/>
    <mergeCell ref="H1503:H1504"/>
    <mergeCell ref="I1503:I1504"/>
    <mergeCell ref="J1503:J1504"/>
    <mergeCell ref="B1505:B1506"/>
    <mergeCell ref="C1505:C1506"/>
    <mergeCell ref="D1505:D1506"/>
    <mergeCell ref="E1505:E1506"/>
    <mergeCell ref="G1505:G1506"/>
    <mergeCell ref="H1505:H1506"/>
    <mergeCell ref="I1505:I1506"/>
    <mergeCell ref="J1505:J1506"/>
    <mergeCell ref="B1495:B1496"/>
    <mergeCell ref="C1495:C1496"/>
    <mergeCell ref="D1495:D1496"/>
    <mergeCell ref="E1495:E1496"/>
    <mergeCell ref="G1495:G1496"/>
    <mergeCell ref="H1495:H1496"/>
    <mergeCell ref="I1495:I1496"/>
    <mergeCell ref="J1495:J1496"/>
    <mergeCell ref="B1497:B1498"/>
    <mergeCell ref="C1497:C1498"/>
    <mergeCell ref="D1497:D1498"/>
    <mergeCell ref="E1497:E1498"/>
    <mergeCell ref="G1497:G1498"/>
    <mergeCell ref="H1497:H1498"/>
    <mergeCell ref="I1497:I1498"/>
    <mergeCell ref="J1497:J1498"/>
    <mergeCell ref="B1499:B1500"/>
    <mergeCell ref="C1499:C1500"/>
    <mergeCell ref="D1499:D1500"/>
    <mergeCell ref="E1499:E1500"/>
    <mergeCell ref="G1499:G1500"/>
    <mergeCell ref="H1499:H1500"/>
    <mergeCell ref="I1499:I1500"/>
    <mergeCell ref="J1499:J1500"/>
    <mergeCell ref="B1489:B1490"/>
    <mergeCell ref="C1489:C1490"/>
    <mergeCell ref="D1489:D1490"/>
    <mergeCell ref="E1489:E1490"/>
    <mergeCell ref="G1489:G1490"/>
    <mergeCell ref="H1489:H1490"/>
    <mergeCell ref="I1489:I1490"/>
    <mergeCell ref="J1489:J1490"/>
    <mergeCell ref="B1491:B1492"/>
    <mergeCell ref="C1491:C1492"/>
    <mergeCell ref="D1491:D1492"/>
    <mergeCell ref="E1491:E1492"/>
    <mergeCell ref="G1491:G1492"/>
    <mergeCell ref="H1491:H1492"/>
    <mergeCell ref="I1491:I1492"/>
    <mergeCell ref="J1491:J1492"/>
    <mergeCell ref="B1493:B1494"/>
    <mergeCell ref="C1493:C1494"/>
    <mergeCell ref="D1493:D1494"/>
    <mergeCell ref="E1493:E1494"/>
    <mergeCell ref="G1493:G1494"/>
    <mergeCell ref="H1493:H1494"/>
    <mergeCell ref="I1493:I1494"/>
    <mergeCell ref="J1493:J1494"/>
    <mergeCell ref="B1483:B1484"/>
    <mergeCell ref="C1483:C1484"/>
    <mergeCell ref="D1483:D1484"/>
    <mergeCell ref="E1483:E1484"/>
    <mergeCell ref="G1483:G1484"/>
    <mergeCell ref="H1483:H1484"/>
    <mergeCell ref="I1483:I1484"/>
    <mergeCell ref="J1483:J1484"/>
    <mergeCell ref="B1485:B1486"/>
    <mergeCell ref="C1485:C1486"/>
    <mergeCell ref="D1485:D1486"/>
    <mergeCell ref="E1485:E1486"/>
    <mergeCell ref="G1485:G1486"/>
    <mergeCell ref="H1485:H1486"/>
    <mergeCell ref="I1485:I1486"/>
    <mergeCell ref="J1485:J1486"/>
    <mergeCell ref="B1487:B1488"/>
    <mergeCell ref="C1487:C1488"/>
    <mergeCell ref="D1487:D1488"/>
    <mergeCell ref="E1487:E1488"/>
    <mergeCell ref="G1487:G1488"/>
    <mergeCell ref="H1487:H1488"/>
    <mergeCell ref="I1487:I1488"/>
    <mergeCell ref="J1487:J1488"/>
    <mergeCell ref="B1477:B1478"/>
    <mergeCell ref="C1477:C1478"/>
    <mergeCell ref="D1477:D1478"/>
    <mergeCell ref="E1477:E1478"/>
    <mergeCell ref="G1477:G1478"/>
    <mergeCell ref="H1477:H1478"/>
    <mergeCell ref="I1477:I1478"/>
    <mergeCell ref="J1477:J1478"/>
    <mergeCell ref="B1479:B1480"/>
    <mergeCell ref="C1479:C1480"/>
    <mergeCell ref="D1479:D1480"/>
    <mergeCell ref="E1479:E1480"/>
    <mergeCell ref="G1479:G1480"/>
    <mergeCell ref="H1479:H1480"/>
    <mergeCell ref="I1479:I1480"/>
    <mergeCell ref="J1479:J1480"/>
    <mergeCell ref="B1481:B1482"/>
    <mergeCell ref="C1481:C1482"/>
    <mergeCell ref="D1481:D1482"/>
    <mergeCell ref="E1481:E1482"/>
    <mergeCell ref="G1481:G1482"/>
    <mergeCell ref="H1481:H1482"/>
    <mergeCell ref="I1481:I1482"/>
    <mergeCell ref="J1481:J1482"/>
    <mergeCell ref="B1471:B1472"/>
    <mergeCell ref="C1471:C1472"/>
    <mergeCell ref="D1471:D1472"/>
    <mergeCell ref="E1471:E1472"/>
    <mergeCell ref="G1471:G1472"/>
    <mergeCell ref="H1471:H1472"/>
    <mergeCell ref="I1471:I1472"/>
    <mergeCell ref="J1471:J1472"/>
    <mergeCell ref="B1473:B1474"/>
    <mergeCell ref="C1473:C1474"/>
    <mergeCell ref="D1473:D1474"/>
    <mergeCell ref="E1473:E1474"/>
    <mergeCell ref="G1473:G1474"/>
    <mergeCell ref="H1473:H1474"/>
    <mergeCell ref="I1473:I1474"/>
    <mergeCell ref="J1473:J1474"/>
    <mergeCell ref="B1475:B1476"/>
    <mergeCell ref="C1475:C1476"/>
    <mergeCell ref="D1475:D1476"/>
    <mergeCell ref="E1475:E1476"/>
    <mergeCell ref="G1475:G1476"/>
    <mergeCell ref="H1475:H1476"/>
    <mergeCell ref="I1475:I1476"/>
    <mergeCell ref="J1475:J1476"/>
    <mergeCell ref="B1465:B1466"/>
    <mergeCell ref="C1465:C1466"/>
    <mergeCell ref="D1465:D1466"/>
    <mergeCell ref="E1465:E1466"/>
    <mergeCell ref="G1465:G1466"/>
    <mergeCell ref="H1465:H1466"/>
    <mergeCell ref="I1465:I1466"/>
    <mergeCell ref="J1465:J1466"/>
    <mergeCell ref="B1467:B1468"/>
    <mergeCell ref="C1467:C1468"/>
    <mergeCell ref="D1467:D1468"/>
    <mergeCell ref="E1467:E1468"/>
    <mergeCell ref="G1467:G1468"/>
    <mergeCell ref="H1467:H1468"/>
    <mergeCell ref="I1467:I1468"/>
    <mergeCell ref="J1467:J1468"/>
    <mergeCell ref="B1469:B1470"/>
    <mergeCell ref="C1469:C1470"/>
    <mergeCell ref="D1469:D1470"/>
    <mergeCell ref="E1469:E1470"/>
    <mergeCell ref="G1469:G1470"/>
    <mergeCell ref="H1469:H1470"/>
    <mergeCell ref="I1469:I1470"/>
    <mergeCell ref="J1469:J1470"/>
    <mergeCell ref="B1459:B1460"/>
    <mergeCell ref="C1459:C1460"/>
    <mergeCell ref="D1459:D1460"/>
    <mergeCell ref="E1459:E1460"/>
    <mergeCell ref="G1459:G1460"/>
    <mergeCell ref="H1459:H1460"/>
    <mergeCell ref="I1459:I1460"/>
    <mergeCell ref="J1459:J1460"/>
    <mergeCell ref="B1461:B1462"/>
    <mergeCell ref="C1461:C1462"/>
    <mergeCell ref="D1461:D1462"/>
    <mergeCell ref="E1461:E1462"/>
    <mergeCell ref="G1461:G1462"/>
    <mergeCell ref="H1461:H1462"/>
    <mergeCell ref="I1461:I1462"/>
    <mergeCell ref="J1461:J1462"/>
    <mergeCell ref="B1463:B1464"/>
    <mergeCell ref="C1463:C1464"/>
    <mergeCell ref="D1463:D1464"/>
    <mergeCell ref="E1463:E1464"/>
    <mergeCell ref="G1463:G1464"/>
    <mergeCell ref="H1463:H1464"/>
    <mergeCell ref="I1463:I1464"/>
    <mergeCell ref="J1463:J1464"/>
    <mergeCell ref="B1453:B1454"/>
    <mergeCell ref="C1453:C1454"/>
    <mergeCell ref="D1453:D1454"/>
    <mergeCell ref="E1453:E1454"/>
    <mergeCell ref="G1453:G1454"/>
    <mergeCell ref="H1453:H1454"/>
    <mergeCell ref="I1453:I1454"/>
    <mergeCell ref="J1453:J1454"/>
    <mergeCell ref="B1455:B1456"/>
    <mergeCell ref="C1455:C1456"/>
    <mergeCell ref="D1455:D1456"/>
    <mergeCell ref="E1455:E1456"/>
    <mergeCell ref="G1455:G1456"/>
    <mergeCell ref="H1455:H1456"/>
    <mergeCell ref="I1455:I1456"/>
    <mergeCell ref="J1455:J1456"/>
    <mergeCell ref="B1457:B1458"/>
    <mergeCell ref="C1457:C1458"/>
    <mergeCell ref="D1457:D1458"/>
    <mergeCell ref="E1457:E1458"/>
    <mergeCell ref="G1457:G1458"/>
    <mergeCell ref="H1457:H1458"/>
    <mergeCell ref="I1457:I1458"/>
    <mergeCell ref="J1457:J1458"/>
    <mergeCell ref="B1447:B1448"/>
    <mergeCell ref="C1447:C1448"/>
    <mergeCell ref="D1447:D1448"/>
    <mergeCell ref="E1447:E1448"/>
    <mergeCell ref="G1447:G1448"/>
    <mergeCell ref="H1447:H1448"/>
    <mergeCell ref="I1447:I1448"/>
    <mergeCell ref="J1447:J1448"/>
    <mergeCell ref="B1449:B1450"/>
    <mergeCell ref="C1449:C1450"/>
    <mergeCell ref="D1449:D1450"/>
    <mergeCell ref="E1449:E1450"/>
    <mergeCell ref="G1449:G1450"/>
    <mergeCell ref="H1449:H1450"/>
    <mergeCell ref="I1449:I1450"/>
    <mergeCell ref="J1449:J1450"/>
    <mergeCell ref="B1451:B1452"/>
    <mergeCell ref="C1451:C1452"/>
    <mergeCell ref="D1451:D1452"/>
    <mergeCell ref="E1451:E1452"/>
    <mergeCell ref="G1451:G1452"/>
    <mergeCell ref="H1451:H1452"/>
    <mergeCell ref="I1451:I1452"/>
    <mergeCell ref="J1451:J1452"/>
    <mergeCell ref="B1441:B1442"/>
    <mergeCell ref="C1441:C1442"/>
    <mergeCell ref="D1441:D1442"/>
    <mergeCell ref="E1441:E1442"/>
    <mergeCell ref="G1441:G1442"/>
    <mergeCell ref="H1441:H1442"/>
    <mergeCell ref="I1441:I1442"/>
    <mergeCell ref="J1441:J1442"/>
    <mergeCell ref="B1443:B1444"/>
    <mergeCell ref="C1443:C1444"/>
    <mergeCell ref="D1443:D1444"/>
    <mergeCell ref="E1443:E1444"/>
    <mergeCell ref="G1443:G1444"/>
    <mergeCell ref="H1443:H1444"/>
    <mergeCell ref="I1443:I1444"/>
    <mergeCell ref="J1443:J1444"/>
    <mergeCell ref="B1445:B1446"/>
    <mergeCell ref="C1445:C1446"/>
    <mergeCell ref="D1445:D1446"/>
    <mergeCell ref="E1445:E1446"/>
    <mergeCell ref="G1445:G1446"/>
    <mergeCell ref="H1445:H1446"/>
    <mergeCell ref="I1445:I1446"/>
    <mergeCell ref="J1445:J1446"/>
    <mergeCell ref="B1435:B1436"/>
    <mergeCell ref="C1435:C1436"/>
    <mergeCell ref="D1435:D1436"/>
    <mergeCell ref="E1435:E1436"/>
    <mergeCell ref="G1435:G1436"/>
    <mergeCell ref="H1435:H1436"/>
    <mergeCell ref="I1435:I1436"/>
    <mergeCell ref="J1435:J1436"/>
    <mergeCell ref="B1437:B1438"/>
    <mergeCell ref="C1437:C1438"/>
    <mergeCell ref="D1437:D1438"/>
    <mergeCell ref="E1437:E1438"/>
    <mergeCell ref="G1437:G1438"/>
    <mergeCell ref="H1437:H1438"/>
    <mergeCell ref="I1437:I1438"/>
    <mergeCell ref="J1437:J1438"/>
    <mergeCell ref="B1439:B1440"/>
    <mergeCell ref="C1439:C1440"/>
    <mergeCell ref="D1439:D1440"/>
    <mergeCell ref="E1439:E1440"/>
    <mergeCell ref="G1439:G1440"/>
    <mergeCell ref="H1439:H1440"/>
    <mergeCell ref="I1439:I1440"/>
    <mergeCell ref="J1439:J1440"/>
    <mergeCell ref="B1429:B1430"/>
    <mergeCell ref="C1429:C1430"/>
    <mergeCell ref="D1429:D1430"/>
    <mergeCell ref="E1429:E1430"/>
    <mergeCell ref="G1429:G1430"/>
    <mergeCell ref="H1429:H1430"/>
    <mergeCell ref="I1429:I1430"/>
    <mergeCell ref="J1429:J1430"/>
    <mergeCell ref="B1431:B1432"/>
    <mergeCell ref="C1431:C1432"/>
    <mergeCell ref="D1431:D1432"/>
    <mergeCell ref="E1431:E1432"/>
    <mergeCell ref="G1431:G1432"/>
    <mergeCell ref="H1431:H1432"/>
    <mergeCell ref="I1431:I1432"/>
    <mergeCell ref="J1431:J1432"/>
    <mergeCell ref="B1433:B1434"/>
    <mergeCell ref="C1433:C1434"/>
    <mergeCell ref="D1433:D1434"/>
    <mergeCell ref="E1433:E1434"/>
    <mergeCell ref="G1433:G1434"/>
    <mergeCell ref="H1433:H1434"/>
    <mergeCell ref="I1433:I1434"/>
    <mergeCell ref="J1433:J1434"/>
    <mergeCell ref="B1423:B1424"/>
    <mergeCell ref="C1423:C1424"/>
    <mergeCell ref="D1423:D1424"/>
    <mergeCell ref="E1423:E1424"/>
    <mergeCell ref="G1423:G1424"/>
    <mergeCell ref="H1423:H1424"/>
    <mergeCell ref="I1423:I1424"/>
    <mergeCell ref="J1423:J1424"/>
    <mergeCell ref="B1425:B1426"/>
    <mergeCell ref="C1425:C1426"/>
    <mergeCell ref="D1425:D1426"/>
    <mergeCell ref="E1425:E1426"/>
    <mergeCell ref="G1425:G1426"/>
    <mergeCell ref="H1425:H1426"/>
    <mergeCell ref="I1425:I1426"/>
    <mergeCell ref="J1425:J1426"/>
    <mergeCell ref="B1427:B1428"/>
    <mergeCell ref="C1427:C1428"/>
    <mergeCell ref="D1427:D1428"/>
    <mergeCell ref="E1427:E1428"/>
    <mergeCell ref="G1427:G1428"/>
    <mergeCell ref="H1427:H1428"/>
    <mergeCell ref="I1427:I1428"/>
    <mergeCell ref="J1427:J1428"/>
    <mergeCell ref="B1417:B1418"/>
    <mergeCell ref="C1417:C1418"/>
    <mergeCell ref="D1417:D1418"/>
    <mergeCell ref="E1417:E1418"/>
    <mergeCell ref="G1417:G1418"/>
    <mergeCell ref="H1417:H1418"/>
    <mergeCell ref="I1417:I1418"/>
    <mergeCell ref="J1417:J1418"/>
    <mergeCell ref="B1419:B1420"/>
    <mergeCell ref="C1419:C1420"/>
    <mergeCell ref="D1419:D1420"/>
    <mergeCell ref="E1419:E1420"/>
    <mergeCell ref="G1419:G1420"/>
    <mergeCell ref="H1419:H1420"/>
    <mergeCell ref="I1419:I1420"/>
    <mergeCell ref="J1419:J1420"/>
    <mergeCell ref="B1421:B1422"/>
    <mergeCell ref="C1421:C1422"/>
    <mergeCell ref="D1421:D1422"/>
    <mergeCell ref="E1421:E1422"/>
    <mergeCell ref="G1421:G1422"/>
    <mergeCell ref="H1421:H1422"/>
    <mergeCell ref="I1421:I1422"/>
    <mergeCell ref="J1421:J1422"/>
    <mergeCell ref="B1411:B1412"/>
    <mergeCell ref="C1411:C1412"/>
    <mergeCell ref="D1411:D1412"/>
    <mergeCell ref="E1411:E1412"/>
    <mergeCell ref="G1411:G1412"/>
    <mergeCell ref="H1411:H1412"/>
    <mergeCell ref="I1411:I1412"/>
    <mergeCell ref="J1411:J1412"/>
    <mergeCell ref="B1413:B1414"/>
    <mergeCell ref="C1413:C1414"/>
    <mergeCell ref="D1413:D1414"/>
    <mergeCell ref="E1413:E1414"/>
    <mergeCell ref="G1413:G1414"/>
    <mergeCell ref="H1413:H1414"/>
    <mergeCell ref="I1413:I1414"/>
    <mergeCell ref="J1413:J1414"/>
    <mergeCell ref="B1415:B1416"/>
    <mergeCell ref="C1415:C1416"/>
    <mergeCell ref="D1415:D1416"/>
    <mergeCell ref="E1415:E1416"/>
    <mergeCell ref="G1415:G1416"/>
    <mergeCell ref="H1415:H1416"/>
    <mergeCell ref="I1415:I1416"/>
    <mergeCell ref="J1415:J1416"/>
    <mergeCell ref="B1405:B1406"/>
    <mergeCell ref="C1405:C1406"/>
    <mergeCell ref="D1405:D1406"/>
    <mergeCell ref="E1405:E1406"/>
    <mergeCell ref="G1405:G1406"/>
    <mergeCell ref="H1405:H1406"/>
    <mergeCell ref="I1405:I1406"/>
    <mergeCell ref="J1405:J1406"/>
    <mergeCell ref="B1407:B1408"/>
    <mergeCell ref="C1407:C1408"/>
    <mergeCell ref="D1407:D1408"/>
    <mergeCell ref="E1407:E1408"/>
    <mergeCell ref="G1407:G1408"/>
    <mergeCell ref="H1407:H1408"/>
    <mergeCell ref="I1407:I1408"/>
    <mergeCell ref="J1407:J1408"/>
    <mergeCell ref="B1409:B1410"/>
    <mergeCell ref="C1409:C1410"/>
    <mergeCell ref="D1409:D1410"/>
    <mergeCell ref="E1409:E1410"/>
    <mergeCell ref="G1409:G1410"/>
    <mergeCell ref="H1409:H1410"/>
    <mergeCell ref="I1409:I1410"/>
    <mergeCell ref="J1409:J1410"/>
    <mergeCell ref="B1399:B1400"/>
    <mergeCell ref="C1399:C1400"/>
    <mergeCell ref="D1399:D1400"/>
    <mergeCell ref="E1399:E1400"/>
    <mergeCell ref="G1399:G1400"/>
    <mergeCell ref="H1399:H1400"/>
    <mergeCell ref="I1399:I1400"/>
    <mergeCell ref="J1399:J1400"/>
    <mergeCell ref="B1401:B1402"/>
    <mergeCell ref="C1401:C1402"/>
    <mergeCell ref="D1401:D1402"/>
    <mergeCell ref="E1401:E1402"/>
    <mergeCell ref="G1401:G1402"/>
    <mergeCell ref="H1401:H1402"/>
    <mergeCell ref="I1401:I1402"/>
    <mergeCell ref="J1401:J1402"/>
    <mergeCell ref="B1403:B1404"/>
    <mergeCell ref="C1403:C1404"/>
    <mergeCell ref="D1403:D1404"/>
    <mergeCell ref="E1403:E1404"/>
    <mergeCell ref="G1403:G1404"/>
    <mergeCell ref="H1403:H1404"/>
    <mergeCell ref="I1403:I1404"/>
    <mergeCell ref="J1403:J1404"/>
    <mergeCell ref="B1393:B1394"/>
    <mergeCell ref="C1393:C1394"/>
    <mergeCell ref="D1393:D1394"/>
    <mergeCell ref="E1393:E1394"/>
    <mergeCell ref="G1393:G1394"/>
    <mergeCell ref="H1393:H1394"/>
    <mergeCell ref="I1393:I1394"/>
    <mergeCell ref="J1393:J1394"/>
    <mergeCell ref="B1395:B1396"/>
    <mergeCell ref="C1395:C1396"/>
    <mergeCell ref="D1395:D1396"/>
    <mergeCell ref="E1395:E1396"/>
    <mergeCell ref="G1395:G1396"/>
    <mergeCell ref="H1395:H1396"/>
    <mergeCell ref="I1395:I1396"/>
    <mergeCell ref="J1395:J1396"/>
    <mergeCell ref="B1397:B1398"/>
    <mergeCell ref="C1397:C1398"/>
    <mergeCell ref="D1397:D1398"/>
    <mergeCell ref="E1397:E1398"/>
    <mergeCell ref="G1397:G1398"/>
    <mergeCell ref="H1397:H1398"/>
    <mergeCell ref="I1397:I1398"/>
    <mergeCell ref="J1397:J1398"/>
    <mergeCell ref="B1387:B1388"/>
    <mergeCell ref="C1387:C1388"/>
    <mergeCell ref="D1387:D1388"/>
    <mergeCell ref="E1387:E1388"/>
    <mergeCell ref="G1387:G1388"/>
    <mergeCell ref="H1387:H1388"/>
    <mergeCell ref="I1387:I1388"/>
    <mergeCell ref="J1387:J1388"/>
    <mergeCell ref="B1389:B1390"/>
    <mergeCell ref="C1389:C1390"/>
    <mergeCell ref="D1389:D1390"/>
    <mergeCell ref="E1389:E1390"/>
    <mergeCell ref="G1389:G1390"/>
    <mergeCell ref="H1389:H1390"/>
    <mergeCell ref="I1389:I1390"/>
    <mergeCell ref="J1389:J1390"/>
    <mergeCell ref="B1391:B1392"/>
    <mergeCell ref="C1391:C1392"/>
    <mergeCell ref="D1391:D1392"/>
    <mergeCell ref="E1391:E1392"/>
    <mergeCell ref="G1391:G1392"/>
    <mergeCell ref="H1391:H1392"/>
    <mergeCell ref="I1391:I1392"/>
    <mergeCell ref="J1391:J1392"/>
    <mergeCell ref="B1381:B1382"/>
    <mergeCell ref="C1381:C1382"/>
    <mergeCell ref="D1381:D1382"/>
    <mergeCell ref="E1381:E1382"/>
    <mergeCell ref="G1381:G1382"/>
    <mergeCell ref="H1381:H1382"/>
    <mergeCell ref="I1381:I1382"/>
    <mergeCell ref="J1381:J1382"/>
    <mergeCell ref="B1383:B1384"/>
    <mergeCell ref="C1383:C1384"/>
    <mergeCell ref="D1383:D1384"/>
    <mergeCell ref="E1383:E1384"/>
    <mergeCell ref="G1383:G1384"/>
    <mergeCell ref="H1383:H1384"/>
    <mergeCell ref="I1383:I1384"/>
    <mergeCell ref="J1383:J1384"/>
    <mergeCell ref="B1385:B1386"/>
    <mergeCell ref="C1385:C1386"/>
    <mergeCell ref="D1385:D1386"/>
    <mergeCell ref="E1385:E1386"/>
    <mergeCell ref="G1385:G1386"/>
    <mergeCell ref="H1385:H1386"/>
    <mergeCell ref="I1385:I1386"/>
    <mergeCell ref="J1385:J1386"/>
    <mergeCell ref="B1375:B1376"/>
    <mergeCell ref="C1375:C1376"/>
    <mergeCell ref="D1375:D1376"/>
    <mergeCell ref="E1375:E1376"/>
    <mergeCell ref="G1375:G1376"/>
    <mergeCell ref="H1375:H1376"/>
    <mergeCell ref="I1375:I1376"/>
    <mergeCell ref="J1375:J1376"/>
    <mergeCell ref="B1377:B1378"/>
    <mergeCell ref="C1377:C1378"/>
    <mergeCell ref="D1377:D1378"/>
    <mergeCell ref="E1377:E1378"/>
    <mergeCell ref="G1377:G1378"/>
    <mergeCell ref="H1377:H1378"/>
    <mergeCell ref="I1377:I1378"/>
    <mergeCell ref="J1377:J1378"/>
    <mergeCell ref="B1379:B1380"/>
    <mergeCell ref="C1379:C1380"/>
    <mergeCell ref="D1379:D1380"/>
    <mergeCell ref="E1379:E1380"/>
    <mergeCell ref="G1379:G1380"/>
    <mergeCell ref="H1379:H1380"/>
    <mergeCell ref="I1379:I1380"/>
    <mergeCell ref="J1379:J1380"/>
    <mergeCell ref="B1369:B1370"/>
    <mergeCell ref="C1369:C1370"/>
    <mergeCell ref="D1369:D1370"/>
    <mergeCell ref="E1369:E1370"/>
    <mergeCell ref="G1369:G1370"/>
    <mergeCell ref="H1369:H1370"/>
    <mergeCell ref="I1369:I1370"/>
    <mergeCell ref="J1369:J1370"/>
    <mergeCell ref="B1371:B1372"/>
    <mergeCell ref="C1371:C1372"/>
    <mergeCell ref="D1371:D1372"/>
    <mergeCell ref="E1371:E1372"/>
    <mergeCell ref="G1371:G1372"/>
    <mergeCell ref="H1371:H1372"/>
    <mergeCell ref="I1371:I1372"/>
    <mergeCell ref="J1371:J1372"/>
    <mergeCell ref="B1373:B1374"/>
    <mergeCell ref="C1373:C1374"/>
    <mergeCell ref="D1373:D1374"/>
    <mergeCell ref="E1373:E1374"/>
    <mergeCell ref="G1373:G1374"/>
    <mergeCell ref="H1373:H1374"/>
    <mergeCell ref="I1373:I1374"/>
    <mergeCell ref="J1373:J1374"/>
    <mergeCell ref="B1363:B1364"/>
    <mergeCell ref="C1363:C1364"/>
    <mergeCell ref="D1363:D1364"/>
    <mergeCell ref="E1363:E1364"/>
    <mergeCell ref="G1363:G1364"/>
    <mergeCell ref="H1363:H1364"/>
    <mergeCell ref="I1363:I1364"/>
    <mergeCell ref="J1363:J1364"/>
    <mergeCell ref="B1365:B1366"/>
    <mergeCell ref="C1365:C1366"/>
    <mergeCell ref="D1365:D1366"/>
    <mergeCell ref="E1365:E1366"/>
    <mergeCell ref="G1365:G1366"/>
    <mergeCell ref="H1365:H1366"/>
    <mergeCell ref="I1365:I1366"/>
    <mergeCell ref="J1365:J1366"/>
    <mergeCell ref="B1367:B1368"/>
    <mergeCell ref="C1367:C1368"/>
    <mergeCell ref="D1367:D1368"/>
    <mergeCell ref="E1367:E1368"/>
    <mergeCell ref="G1367:G1368"/>
    <mergeCell ref="H1367:H1368"/>
    <mergeCell ref="I1367:I1368"/>
    <mergeCell ref="J1367:J1368"/>
    <mergeCell ref="B1357:B1358"/>
    <mergeCell ref="C1357:C1358"/>
    <mergeCell ref="D1357:D1358"/>
    <mergeCell ref="E1357:E1358"/>
    <mergeCell ref="G1357:G1358"/>
    <mergeCell ref="H1357:H1358"/>
    <mergeCell ref="I1357:I1358"/>
    <mergeCell ref="J1357:J1358"/>
    <mergeCell ref="B1359:B1360"/>
    <mergeCell ref="C1359:C1360"/>
    <mergeCell ref="D1359:D1360"/>
    <mergeCell ref="E1359:E1360"/>
    <mergeCell ref="G1359:G1360"/>
    <mergeCell ref="H1359:H1360"/>
    <mergeCell ref="I1359:I1360"/>
    <mergeCell ref="J1359:J1360"/>
    <mergeCell ref="B1361:B1362"/>
    <mergeCell ref="C1361:C1362"/>
    <mergeCell ref="D1361:D1362"/>
    <mergeCell ref="E1361:E1362"/>
    <mergeCell ref="G1361:G1362"/>
    <mergeCell ref="H1361:H1362"/>
    <mergeCell ref="I1361:I1362"/>
    <mergeCell ref="J1361:J1362"/>
    <mergeCell ref="B1351:B1352"/>
    <mergeCell ref="C1351:C1352"/>
    <mergeCell ref="D1351:D1352"/>
    <mergeCell ref="E1351:E1352"/>
    <mergeCell ref="G1351:G1352"/>
    <mergeCell ref="H1351:H1352"/>
    <mergeCell ref="I1351:I1352"/>
    <mergeCell ref="J1351:J1352"/>
    <mergeCell ref="B1353:B1354"/>
    <mergeCell ref="C1353:C1354"/>
    <mergeCell ref="D1353:D1354"/>
    <mergeCell ref="E1353:E1354"/>
    <mergeCell ref="G1353:G1354"/>
    <mergeCell ref="H1353:H1354"/>
    <mergeCell ref="I1353:I1354"/>
    <mergeCell ref="J1353:J1354"/>
    <mergeCell ref="B1355:B1356"/>
    <mergeCell ref="C1355:C1356"/>
    <mergeCell ref="D1355:D1356"/>
    <mergeCell ref="E1355:E1356"/>
    <mergeCell ref="G1355:G1356"/>
    <mergeCell ref="H1355:H1356"/>
    <mergeCell ref="I1355:I1356"/>
    <mergeCell ref="J1355:J1356"/>
    <mergeCell ref="B1345:B1346"/>
    <mergeCell ref="C1345:C1346"/>
    <mergeCell ref="D1345:D1346"/>
    <mergeCell ref="E1345:E1346"/>
    <mergeCell ref="G1345:G1346"/>
    <mergeCell ref="H1345:H1346"/>
    <mergeCell ref="I1345:I1346"/>
    <mergeCell ref="J1345:J1346"/>
    <mergeCell ref="B1347:B1348"/>
    <mergeCell ref="C1347:C1348"/>
    <mergeCell ref="D1347:D1348"/>
    <mergeCell ref="E1347:E1348"/>
    <mergeCell ref="G1347:G1348"/>
    <mergeCell ref="H1347:H1348"/>
    <mergeCell ref="I1347:I1348"/>
    <mergeCell ref="J1347:J1348"/>
    <mergeCell ref="B1349:B1350"/>
    <mergeCell ref="C1349:C1350"/>
    <mergeCell ref="D1349:D1350"/>
    <mergeCell ref="E1349:E1350"/>
    <mergeCell ref="G1349:G1350"/>
    <mergeCell ref="H1349:H1350"/>
    <mergeCell ref="I1349:I1350"/>
    <mergeCell ref="J1349:J1350"/>
    <mergeCell ref="B1339:B1340"/>
    <mergeCell ref="C1339:C1340"/>
    <mergeCell ref="D1339:D1340"/>
    <mergeCell ref="E1339:E1340"/>
    <mergeCell ref="G1339:G1340"/>
    <mergeCell ref="H1339:H1340"/>
    <mergeCell ref="I1339:I1340"/>
    <mergeCell ref="J1339:J1340"/>
    <mergeCell ref="B1341:B1342"/>
    <mergeCell ref="C1341:C1342"/>
    <mergeCell ref="D1341:D1342"/>
    <mergeCell ref="E1341:E1342"/>
    <mergeCell ref="G1341:G1342"/>
    <mergeCell ref="H1341:H1342"/>
    <mergeCell ref="I1341:I1342"/>
    <mergeCell ref="J1341:J1342"/>
    <mergeCell ref="B1343:B1344"/>
    <mergeCell ref="C1343:C1344"/>
    <mergeCell ref="D1343:D1344"/>
    <mergeCell ref="E1343:E1344"/>
    <mergeCell ref="G1343:G1344"/>
    <mergeCell ref="H1343:H1344"/>
    <mergeCell ref="I1343:I1344"/>
    <mergeCell ref="J1343:J1344"/>
    <mergeCell ref="B1333:B1334"/>
    <mergeCell ref="C1333:C1334"/>
    <mergeCell ref="D1333:D1334"/>
    <mergeCell ref="E1333:E1334"/>
    <mergeCell ref="G1333:G1334"/>
    <mergeCell ref="H1333:H1334"/>
    <mergeCell ref="I1333:I1334"/>
    <mergeCell ref="J1333:J1334"/>
    <mergeCell ref="B1335:B1336"/>
    <mergeCell ref="C1335:C1336"/>
    <mergeCell ref="D1335:D1336"/>
    <mergeCell ref="E1335:E1336"/>
    <mergeCell ref="G1335:G1336"/>
    <mergeCell ref="H1335:H1336"/>
    <mergeCell ref="I1335:I1336"/>
    <mergeCell ref="J1335:J1336"/>
    <mergeCell ref="B1337:B1338"/>
    <mergeCell ref="C1337:C1338"/>
    <mergeCell ref="D1337:D1338"/>
    <mergeCell ref="E1337:E1338"/>
    <mergeCell ref="G1337:G1338"/>
    <mergeCell ref="H1337:H1338"/>
    <mergeCell ref="I1337:I1338"/>
    <mergeCell ref="J1337:J1338"/>
    <mergeCell ref="B1327:B1328"/>
    <mergeCell ref="C1327:C1328"/>
    <mergeCell ref="D1327:D1328"/>
    <mergeCell ref="E1327:E1328"/>
    <mergeCell ref="G1327:G1328"/>
    <mergeCell ref="H1327:H1328"/>
    <mergeCell ref="I1327:I1328"/>
    <mergeCell ref="J1327:J1328"/>
    <mergeCell ref="B1329:B1330"/>
    <mergeCell ref="C1329:C1330"/>
    <mergeCell ref="D1329:D1330"/>
    <mergeCell ref="E1329:E1330"/>
    <mergeCell ref="G1329:G1330"/>
    <mergeCell ref="H1329:H1330"/>
    <mergeCell ref="I1329:I1330"/>
    <mergeCell ref="J1329:J1330"/>
    <mergeCell ref="B1331:B1332"/>
    <mergeCell ref="C1331:C1332"/>
    <mergeCell ref="D1331:D1332"/>
    <mergeCell ref="E1331:E1332"/>
    <mergeCell ref="G1331:G1332"/>
    <mergeCell ref="H1331:H1332"/>
    <mergeCell ref="I1331:I1332"/>
    <mergeCell ref="J1331:J1332"/>
    <mergeCell ref="B1321:B1322"/>
    <mergeCell ref="C1321:C1322"/>
    <mergeCell ref="D1321:D1322"/>
    <mergeCell ref="E1321:E1322"/>
    <mergeCell ref="G1321:G1322"/>
    <mergeCell ref="H1321:H1322"/>
    <mergeCell ref="I1321:I1322"/>
    <mergeCell ref="J1321:J1322"/>
    <mergeCell ref="B1323:B1324"/>
    <mergeCell ref="C1323:C1324"/>
    <mergeCell ref="D1323:D1324"/>
    <mergeCell ref="E1323:E1324"/>
    <mergeCell ref="G1323:G1324"/>
    <mergeCell ref="H1323:H1324"/>
    <mergeCell ref="I1323:I1324"/>
    <mergeCell ref="J1323:J1324"/>
    <mergeCell ref="B1325:B1326"/>
    <mergeCell ref="C1325:C1326"/>
    <mergeCell ref="D1325:D1326"/>
    <mergeCell ref="E1325:E1326"/>
    <mergeCell ref="G1325:G1326"/>
    <mergeCell ref="H1325:H1326"/>
    <mergeCell ref="I1325:I1326"/>
    <mergeCell ref="J1325:J1326"/>
    <mergeCell ref="B1315:B1316"/>
    <mergeCell ref="C1315:C1316"/>
    <mergeCell ref="D1315:D1316"/>
    <mergeCell ref="E1315:E1316"/>
    <mergeCell ref="G1315:G1316"/>
    <mergeCell ref="H1315:H1316"/>
    <mergeCell ref="I1315:I1316"/>
    <mergeCell ref="J1315:J1316"/>
    <mergeCell ref="B1317:B1318"/>
    <mergeCell ref="C1317:C1318"/>
    <mergeCell ref="D1317:D1318"/>
    <mergeCell ref="E1317:E1318"/>
    <mergeCell ref="G1317:G1318"/>
    <mergeCell ref="H1317:H1318"/>
    <mergeCell ref="I1317:I1318"/>
    <mergeCell ref="J1317:J1318"/>
    <mergeCell ref="B1319:B1320"/>
    <mergeCell ref="C1319:C1320"/>
    <mergeCell ref="D1319:D1320"/>
    <mergeCell ref="E1319:E1320"/>
    <mergeCell ref="G1319:G1320"/>
    <mergeCell ref="H1319:H1320"/>
    <mergeCell ref="I1319:I1320"/>
    <mergeCell ref="J1319:J1320"/>
    <mergeCell ref="B1309:B1310"/>
    <mergeCell ref="C1309:C1310"/>
    <mergeCell ref="D1309:D1310"/>
    <mergeCell ref="E1309:E1310"/>
    <mergeCell ref="G1309:G1310"/>
    <mergeCell ref="H1309:H1310"/>
    <mergeCell ref="I1309:I1310"/>
    <mergeCell ref="J1309:J1310"/>
    <mergeCell ref="B1311:B1312"/>
    <mergeCell ref="C1311:C1312"/>
    <mergeCell ref="D1311:D1312"/>
    <mergeCell ref="E1311:E1312"/>
    <mergeCell ref="G1311:G1312"/>
    <mergeCell ref="H1311:H1312"/>
    <mergeCell ref="I1311:I1312"/>
    <mergeCell ref="J1311:J1312"/>
    <mergeCell ref="B1313:B1314"/>
    <mergeCell ref="C1313:C1314"/>
    <mergeCell ref="D1313:D1314"/>
    <mergeCell ref="E1313:E1314"/>
    <mergeCell ref="G1313:G1314"/>
    <mergeCell ref="H1313:H1314"/>
    <mergeCell ref="I1313:I1314"/>
    <mergeCell ref="J1313:J1314"/>
    <mergeCell ref="B1303:B1304"/>
    <mergeCell ref="C1303:C1304"/>
    <mergeCell ref="D1303:D1304"/>
    <mergeCell ref="E1303:E1304"/>
    <mergeCell ref="G1303:G1304"/>
    <mergeCell ref="H1303:H1304"/>
    <mergeCell ref="I1303:I1304"/>
    <mergeCell ref="J1303:J1304"/>
    <mergeCell ref="B1305:B1306"/>
    <mergeCell ref="C1305:C1306"/>
    <mergeCell ref="D1305:D1306"/>
    <mergeCell ref="E1305:E1306"/>
    <mergeCell ref="G1305:G1306"/>
    <mergeCell ref="H1305:H1306"/>
    <mergeCell ref="I1305:I1306"/>
    <mergeCell ref="J1305:J1306"/>
    <mergeCell ref="B1307:B1308"/>
    <mergeCell ref="C1307:C1308"/>
    <mergeCell ref="D1307:D1308"/>
    <mergeCell ref="E1307:E1308"/>
    <mergeCell ref="G1307:G1308"/>
    <mergeCell ref="H1307:H1308"/>
    <mergeCell ref="I1307:I1308"/>
    <mergeCell ref="J1307:J1308"/>
    <mergeCell ref="B1297:B1298"/>
    <mergeCell ref="C1297:C1298"/>
    <mergeCell ref="D1297:D1298"/>
    <mergeCell ref="E1297:E1298"/>
    <mergeCell ref="G1297:G1298"/>
    <mergeCell ref="H1297:H1298"/>
    <mergeCell ref="I1297:I1298"/>
    <mergeCell ref="J1297:J1298"/>
    <mergeCell ref="B1299:B1300"/>
    <mergeCell ref="C1299:C1300"/>
    <mergeCell ref="D1299:D1300"/>
    <mergeCell ref="E1299:E1300"/>
    <mergeCell ref="G1299:G1300"/>
    <mergeCell ref="H1299:H1300"/>
    <mergeCell ref="I1299:I1300"/>
    <mergeCell ref="J1299:J1300"/>
    <mergeCell ref="B1301:B1302"/>
    <mergeCell ref="C1301:C1302"/>
    <mergeCell ref="D1301:D1302"/>
    <mergeCell ref="E1301:E1302"/>
    <mergeCell ref="G1301:G1302"/>
    <mergeCell ref="H1301:H1302"/>
    <mergeCell ref="I1301:I1302"/>
    <mergeCell ref="J1301:J1302"/>
    <mergeCell ref="B1291:B1292"/>
    <mergeCell ref="C1291:C1292"/>
    <mergeCell ref="D1291:D1292"/>
    <mergeCell ref="E1291:E1292"/>
    <mergeCell ref="G1291:G1292"/>
    <mergeCell ref="H1291:H1292"/>
    <mergeCell ref="I1291:I1292"/>
    <mergeCell ref="J1291:J1292"/>
    <mergeCell ref="B1293:B1294"/>
    <mergeCell ref="C1293:C1294"/>
    <mergeCell ref="D1293:D1294"/>
    <mergeCell ref="E1293:E1294"/>
    <mergeCell ref="G1293:G1294"/>
    <mergeCell ref="H1293:H1294"/>
    <mergeCell ref="I1293:I1294"/>
    <mergeCell ref="J1293:J1294"/>
    <mergeCell ref="B1295:B1296"/>
    <mergeCell ref="C1295:C1296"/>
    <mergeCell ref="D1295:D1296"/>
    <mergeCell ref="E1295:E1296"/>
    <mergeCell ref="G1295:G1296"/>
    <mergeCell ref="H1295:H1296"/>
    <mergeCell ref="I1295:I1296"/>
    <mergeCell ref="J1295:J1296"/>
    <mergeCell ref="B1285:B1286"/>
    <mergeCell ref="C1285:C1286"/>
    <mergeCell ref="D1285:D1286"/>
    <mergeCell ref="E1285:E1286"/>
    <mergeCell ref="G1285:G1286"/>
    <mergeCell ref="H1285:H1286"/>
    <mergeCell ref="I1285:I1286"/>
    <mergeCell ref="J1285:J1286"/>
    <mergeCell ref="B1287:B1288"/>
    <mergeCell ref="C1287:C1288"/>
    <mergeCell ref="D1287:D1288"/>
    <mergeCell ref="E1287:E1288"/>
    <mergeCell ref="G1287:G1288"/>
    <mergeCell ref="H1287:H1288"/>
    <mergeCell ref="I1287:I1288"/>
    <mergeCell ref="J1287:J1288"/>
    <mergeCell ref="B1289:B1290"/>
    <mergeCell ref="C1289:C1290"/>
    <mergeCell ref="D1289:D1290"/>
    <mergeCell ref="E1289:E1290"/>
    <mergeCell ref="G1289:G1290"/>
    <mergeCell ref="H1289:H1290"/>
    <mergeCell ref="I1289:I1290"/>
    <mergeCell ref="J1289:J1290"/>
    <mergeCell ref="B1279:B1280"/>
    <mergeCell ref="C1279:C1280"/>
    <mergeCell ref="D1279:D1280"/>
    <mergeCell ref="E1279:E1280"/>
    <mergeCell ref="G1279:G1280"/>
    <mergeCell ref="H1279:H1280"/>
    <mergeCell ref="I1279:I1280"/>
    <mergeCell ref="J1279:J1280"/>
    <mergeCell ref="B1281:B1282"/>
    <mergeCell ref="C1281:C1282"/>
    <mergeCell ref="D1281:D1282"/>
    <mergeCell ref="E1281:E1282"/>
    <mergeCell ref="G1281:G1282"/>
    <mergeCell ref="H1281:H1282"/>
    <mergeCell ref="I1281:I1282"/>
    <mergeCell ref="J1281:J1282"/>
    <mergeCell ref="B1283:B1284"/>
    <mergeCell ref="C1283:C1284"/>
    <mergeCell ref="D1283:D1284"/>
    <mergeCell ref="E1283:E1284"/>
    <mergeCell ref="G1283:G1284"/>
    <mergeCell ref="H1283:H1284"/>
    <mergeCell ref="I1283:I1284"/>
    <mergeCell ref="J1283:J1284"/>
    <mergeCell ref="B1273:B1274"/>
    <mergeCell ref="C1273:C1274"/>
    <mergeCell ref="D1273:D1274"/>
    <mergeCell ref="E1273:E1274"/>
    <mergeCell ref="G1273:G1274"/>
    <mergeCell ref="H1273:H1274"/>
    <mergeCell ref="I1273:I1274"/>
    <mergeCell ref="J1273:J1274"/>
    <mergeCell ref="B1275:B1276"/>
    <mergeCell ref="C1275:C1276"/>
    <mergeCell ref="D1275:D1276"/>
    <mergeCell ref="E1275:E1276"/>
    <mergeCell ref="G1275:G1276"/>
    <mergeCell ref="H1275:H1276"/>
    <mergeCell ref="I1275:I1276"/>
    <mergeCell ref="J1275:J1276"/>
    <mergeCell ref="B1277:B1278"/>
    <mergeCell ref="C1277:C1278"/>
    <mergeCell ref="D1277:D1278"/>
    <mergeCell ref="E1277:E1278"/>
    <mergeCell ref="G1277:G1278"/>
    <mergeCell ref="H1277:H1278"/>
    <mergeCell ref="I1277:I1278"/>
    <mergeCell ref="J1277:J1278"/>
    <mergeCell ref="B1267:B1268"/>
    <mergeCell ref="C1267:C1268"/>
    <mergeCell ref="D1267:D1268"/>
    <mergeCell ref="E1267:E1268"/>
    <mergeCell ref="G1267:G1268"/>
    <mergeCell ref="H1267:H1268"/>
    <mergeCell ref="I1267:I1268"/>
    <mergeCell ref="J1267:J1268"/>
    <mergeCell ref="B1269:B1270"/>
    <mergeCell ref="C1269:C1270"/>
    <mergeCell ref="D1269:D1270"/>
    <mergeCell ref="E1269:E1270"/>
    <mergeCell ref="G1269:G1270"/>
    <mergeCell ref="H1269:H1270"/>
    <mergeCell ref="I1269:I1270"/>
    <mergeCell ref="J1269:J1270"/>
    <mergeCell ref="B1271:B1272"/>
    <mergeCell ref="C1271:C1272"/>
    <mergeCell ref="D1271:D1272"/>
    <mergeCell ref="E1271:E1272"/>
    <mergeCell ref="G1271:G1272"/>
    <mergeCell ref="H1271:H1272"/>
    <mergeCell ref="I1271:I1272"/>
    <mergeCell ref="J1271:J1272"/>
    <mergeCell ref="B1261:B1262"/>
    <mergeCell ref="C1261:C1262"/>
    <mergeCell ref="D1261:D1262"/>
    <mergeCell ref="E1261:E1262"/>
    <mergeCell ref="G1261:G1262"/>
    <mergeCell ref="H1261:H1262"/>
    <mergeCell ref="I1261:I1262"/>
    <mergeCell ref="J1261:J1262"/>
    <mergeCell ref="B1263:B1264"/>
    <mergeCell ref="C1263:C1264"/>
    <mergeCell ref="D1263:D1264"/>
    <mergeCell ref="E1263:E1264"/>
    <mergeCell ref="G1263:G1264"/>
    <mergeCell ref="H1263:H1264"/>
    <mergeCell ref="I1263:I1264"/>
    <mergeCell ref="J1263:J1264"/>
    <mergeCell ref="B1265:B1266"/>
    <mergeCell ref="C1265:C1266"/>
    <mergeCell ref="D1265:D1266"/>
    <mergeCell ref="E1265:E1266"/>
    <mergeCell ref="G1265:G1266"/>
    <mergeCell ref="H1265:H1266"/>
    <mergeCell ref="I1265:I1266"/>
    <mergeCell ref="J1265:J1266"/>
    <mergeCell ref="B1255:B1256"/>
    <mergeCell ref="C1255:C1256"/>
    <mergeCell ref="D1255:D1256"/>
    <mergeCell ref="E1255:E1256"/>
    <mergeCell ref="G1255:G1256"/>
    <mergeCell ref="H1255:H1256"/>
    <mergeCell ref="I1255:I1256"/>
    <mergeCell ref="J1255:J1256"/>
    <mergeCell ref="B1257:B1258"/>
    <mergeCell ref="C1257:C1258"/>
    <mergeCell ref="D1257:D1258"/>
    <mergeCell ref="E1257:E1258"/>
    <mergeCell ref="G1257:G1258"/>
    <mergeCell ref="H1257:H1258"/>
    <mergeCell ref="I1257:I1258"/>
    <mergeCell ref="J1257:J1258"/>
    <mergeCell ref="B1259:B1260"/>
    <mergeCell ref="C1259:C1260"/>
    <mergeCell ref="D1259:D1260"/>
    <mergeCell ref="E1259:E1260"/>
    <mergeCell ref="G1259:G1260"/>
    <mergeCell ref="H1259:H1260"/>
    <mergeCell ref="I1259:I1260"/>
    <mergeCell ref="J1259:J1260"/>
    <mergeCell ref="B1249:B1250"/>
    <mergeCell ref="C1249:C1250"/>
    <mergeCell ref="D1249:D1250"/>
    <mergeCell ref="E1249:E1250"/>
    <mergeCell ref="G1249:G1250"/>
    <mergeCell ref="H1249:H1250"/>
    <mergeCell ref="I1249:I1250"/>
    <mergeCell ref="J1249:J1250"/>
    <mergeCell ref="B1251:B1252"/>
    <mergeCell ref="C1251:C1252"/>
    <mergeCell ref="D1251:D1252"/>
    <mergeCell ref="E1251:E1252"/>
    <mergeCell ref="G1251:G1252"/>
    <mergeCell ref="H1251:H1252"/>
    <mergeCell ref="I1251:I1252"/>
    <mergeCell ref="J1251:J1252"/>
    <mergeCell ref="B1253:B1254"/>
    <mergeCell ref="C1253:C1254"/>
    <mergeCell ref="D1253:D1254"/>
    <mergeCell ref="E1253:E1254"/>
    <mergeCell ref="G1253:G1254"/>
    <mergeCell ref="H1253:H1254"/>
    <mergeCell ref="I1253:I1254"/>
    <mergeCell ref="J1253:J1254"/>
    <mergeCell ref="B1243:B1244"/>
    <mergeCell ref="C1243:C1244"/>
    <mergeCell ref="D1243:D1244"/>
    <mergeCell ref="E1243:E1244"/>
    <mergeCell ref="G1243:G1244"/>
    <mergeCell ref="H1243:H1244"/>
    <mergeCell ref="I1243:I1244"/>
    <mergeCell ref="J1243:J1244"/>
    <mergeCell ref="B1245:B1246"/>
    <mergeCell ref="C1245:C1246"/>
    <mergeCell ref="D1245:D1246"/>
    <mergeCell ref="E1245:E1246"/>
    <mergeCell ref="G1245:G1246"/>
    <mergeCell ref="H1245:H1246"/>
    <mergeCell ref="I1245:I1246"/>
    <mergeCell ref="J1245:J1246"/>
    <mergeCell ref="B1247:B1248"/>
    <mergeCell ref="C1247:C1248"/>
    <mergeCell ref="D1247:D1248"/>
    <mergeCell ref="E1247:E1248"/>
    <mergeCell ref="G1247:G1248"/>
    <mergeCell ref="H1247:H1248"/>
    <mergeCell ref="I1247:I1248"/>
    <mergeCell ref="J1247:J1248"/>
    <mergeCell ref="B1237:B1238"/>
    <mergeCell ref="C1237:C1238"/>
    <mergeCell ref="D1237:D1238"/>
    <mergeCell ref="E1237:E1238"/>
    <mergeCell ref="G1237:G1238"/>
    <mergeCell ref="H1237:H1238"/>
    <mergeCell ref="I1237:I1238"/>
    <mergeCell ref="J1237:J1238"/>
    <mergeCell ref="B1239:B1240"/>
    <mergeCell ref="C1239:C1240"/>
    <mergeCell ref="D1239:D1240"/>
    <mergeCell ref="E1239:E1240"/>
    <mergeCell ref="G1239:G1240"/>
    <mergeCell ref="H1239:H1240"/>
    <mergeCell ref="I1239:I1240"/>
    <mergeCell ref="J1239:J1240"/>
    <mergeCell ref="B1241:B1242"/>
    <mergeCell ref="C1241:C1242"/>
    <mergeCell ref="D1241:D1242"/>
    <mergeCell ref="E1241:E1242"/>
    <mergeCell ref="G1241:G1242"/>
    <mergeCell ref="H1241:H1242"/>
    <mergeCell ref="I1241:I1242"/>
    <mergeCell ref="J1241:J1242"/>
    <mergeCell ref="B1231:B1232"/>
    <mergeCell ref="C1231:C1232"/>
    <mergeCell ref="D1231:D1232"/>
    <mergeCell ref="E1231:E1232"/>
    <mergeCell ref="G1231:G1232"/>
    <mergeCell ref="H1231:H1232"/>
    <mergeCell ref="I1231:I1232"/>
    <mergeCell ref="J1231:J1232"/>
    <mergeCell ref="B1233:B1234"/>
    <mergeCell ref="C1233:C1234"/>
    <mergeCell ref="D1233:D1234"/>
    <mergeCell ref="E1233:E1234"/>
    <mergeCell ref="G1233:G1234"/>
    <mergeCell ref="H1233:H1234"/>
    <mergeCell ref="I1233:I1234"/>
    <mergeCell ref="J1233:J1234"/>
    <mergeCell ref="B1235:B1236"/>
    <mergeCell ref="C1235:C1236"/>
    <mergeCell ref="D1235:D1236"/>
    <mergeCell ref="E1235:E1236"/>
    <mergeCell ref="G1235:G1236"/>
    <mergeCell ref="H1235:H1236"/>
    <mergeCell ref="I1235:I1236"/>
    <mergeCell ref="J1235:J1236"/>
    <mergeCell ref="B1225:B1226"/>
    <mergeCell ref="C1225:C1226"/>
    <mergeCell ref="D1225:D1226"/>
    <mergeCell ref="E1225:E1226"/>
    <mergeCell ref="G1225:G1226"/>
    <mergeCell ref="H1225:H1226"/>
    <mergeCell ref="I1225:I1226"/>
    <mergeCell ref="J1225:J1226"/>
    <mergeCell ref="B1227:B1228"/>
    <mergeCell ref="C1227:C1228"/>
    <mergeCell ref="D1227:D1228"/>
    <mergeCell ref="E1227:E1228"/>
    <mergeCell ref="G1227:G1228"/>
    <mergeCell ref="H1227:H1228"/>
    <mergeCell ref="I1227:I1228"/>
    <mergeCell ref="J1227:J1228"/>
    <mergeCell ref="B1229:B1230"/>
    <mergeCell ref="C1229:C1230"/>
    <mergeCell ref="D1229:D1230"/>
    <mergeCell ref="E1229:E1230"/>
    <mergeCell ref="G1229:G1230"/>
    <mergeCell ref="H1229:H1230"/>
    <mergeCell ref="I1229:I1230"/>
    <mergeCell ref="J1229:J1230"/>
    <mergeCell ref="B1219:B1220"/>
    <mergeCell ref="C1219:C1220"/>
    <mergeCell ref="D1219:D1220"/>
    <mergeCell ref="E1219:E1220"/>
    <mergeCell ref="G1219:G1220"/>
    <mergeCell ref="H1219:H1220"/>
    <mergeCell ref="I1219:I1220"/>
    <mergeCell ref="J1219:J1220"/>
    <mergeCell ref="B1221:B1222"/>
    <mergeCell ref="C1221:C1222"/>
    <mergeCell ref="D1221:D1222"/>
    <mergeCell ref="E1221:E1222"/>
    <mergeCell ref="G1221:G1222"/>
    <mergeCell ref="H1221:H1222"/>
    <mergeCell ref="I1221:I1222"/>
    <mergeCell ref="J1221:J1222"/>
    <mergeCell ref="B1223:B1224"/>
    <mergeCell ref="C1223:C1224"/>
    <mergeCell ref="D1223:D1224"/>
    <mergeCell ref="E1223:E1224"/>
    <mergeCell ref="G1223:G1224"/>
    <mergeCell ref="H1223:H1224"/>
    <mergeCell ref="I1223:I1224"/>
    <mergeCell ref="J1223:J1224"/>
    <mergeCell ref="B1213:B1214"/>
    <mergeCell ref="C1213:C1214"/>
    <mergeCell ref="D1213:D1214"/>
    <mergeCell ref="E1213:E1214"/>
    <mergeCell ref="G1213:G1214"/>
    <mergeCell ref="H1213:H1214"/>
    <mergeCell ref="I1213:I1214"/>
    <mergeCell ref="J1213:J1214"/>
    <mergeCell ref="B1215:B1216"/>
    <mergeCell ref="C1215:C1216"/>
    <mergeCell ref="D1215:D1216"/>
    <mergeCell ref="E1215:E1216"/>
    <mergeCell ref="G1215:G1216"/>
    <mergeCell ref="H1215:H1216"/>
    <mergeCell ref="I1215:I1216"/>
    <mergeCell ref="J1215:J1216"/>
    <mergeCell ref="B1217:B1218"/>
    <mergeCell ref="C1217:C1218"/>
    <mergeCell ref="D1217:D1218"/>
    <mergeCell ref="E1217:E1218"/>
    <mergeCell ref="G1217:G1218"/>
    <mergeCell ref="H1217:H1218"/>
    <mergeCell ref="I1217:I1218"/>
    <mergeCell ref="J1217:J1218"/>
    <mergeCell ref="B1207:B1208"/>
    <mergeCell ref="C1207:C1208"/>
    <mergeCell ref="D1207:D1208"/>
    <mergeCell ref="E1207:E1208"/>
    <mergeCell ref="G1207:G1208"/>
    <mergeCell ref="H1207:H1208"/>
    <mergeCell ref="I1207:I1208"/>
    <mergeCell ref="J1207:J1208"/>
    <mergeCell ref="B1209:B1210"/>
    <mergeCell ref="C1209:C1210"/>
    <mergeCell ref="D1209:D1210"/>
    <mergeCell ref="E1209:E1210"/>
    <mergeCell ref="G1209:G1210"/>
    <mergeCell ref="H1209:H1210"/>
    <mergeCell ref="I1209:I1210"/>
    <mergeCell ref="J1209:J1210"/>
    <mergeCell ref="B1211:B1212"/>
    <mergeCell ref="C1211:C1212"/>
    <mergeCell ref="D1211:D1212"/>
    <mergeCell ref="E1211:E1212"/>
    <mergeCell ref="G1211:G1212"/>
    <mergeCell ref="H1211:H1212"/>
    <mergeCell ref="I1211:I1212"/>
    <mergeCell ref="J1211:J1212"/>
    <mergeCell ref="B1201:B1202"/>
    <mergeCell ref="C1201:C1202"/>
    <mergeCell ref="D1201:D1202"/>
    <mergeCell ref="E1201:E1202"/>
    <mergeCell ref="G1201:G1202"/>
    <mergeCell ref="H1201:H1202"/>
    <mergeCell ref="I1201:I1202"/>
    <mergeCell ref="J1201:J1202"/>
    <mergeCell ref="B1203:B1204"/>
    <mergeCell ref="C1203:C1204"/>
    <mergeCell ref="D1203:D1204"/>
    <mergeCell ref="E1203:E1204"/>
    <mergeCell ref="G1203:G1204"/>
    <mergeCell ref="H1203:H1204"/>
    <mergeCell ref="I1203:I1204"/>
    <mergeCell ref="J1203:J1204"/>
    <mergeCell ref="B1205:B1206"/>
    <mergeCell ref="C1205:C1206"/>
    <mergeCell ref="D1205:D1206"/>
    <mergeCell ref="E1205:E1206"/>
    <mergeCell ref="G1205:G1206"/>
    <mergeCell ref="H1205:H1206"/>
    <mergeCell ref="I1205:I1206"/>
    <mergeCell ref="J1205:J1206"/>
    <mergeCell ref="B1195:B1196"/>
    <mergeCell ref="C1195:C1196"/>
    <mergeCell ref="D1195:D1196"/>
    <mergeCell ref="E1195:E1196"/>
    <mergeCell ref="G1195:G1196"/>
    <mergeCell ref="H1195:H1196"/>
    <mergeCell ref="I1195:I1196"/>
    <mergeCell ref="J1195:J1196"/>
    <mergeCell ref="B1197:B1198"/>
    <mergeCell ref="C1197:C1198"/>
    <mergeCell ref="D1197:D1198"/>
    <mergeCell ref="E1197:E1198"/>
    <mergeCell ref="G1197:G1198"/>
    <mergeCell ref="H1197:H1198"/>
    <mergeCell ref="I1197:I1198"/>
    <mergeCell ref="J1197:J1198"/>
    <mergeCell ref="B1199:B1200"/>
    <mergeCell ref="C1199:C1200"/>
    <mergeCell ref="D1199:D1200"/>
    <mergeCell ref="E1199:E1200"/>
    <mergeCell ref="G1199:G1200"/>
    <mergeCell ref="H1199:H1200"/>
    <mergeCell ref="I1199:I1200"/>
    <mergeCell ref="J1199:J1200"/>
    <mergeCell ref="B1189:B1190"/>
    <mergeCell ref="C1189:C1190"/>
    <mergeCell ref="D1189:D1190"/>
    <mergeCell ref="E1189:E1190"/>
    <mergeCell ref="G1189:G1190"/>
    <mergeCell ref="H1189:H1190"/>
    <mergeCell ref="I1189:I1190"/>
    <mergeCell ref="J1189:J1190"/>
    <mergeCell ref="B1191:B1192"/>
    <mergeCell ref="C1191:C1192"/>
    <mergeCell ref="D1191:D1192"/>
    <mergeCell ref="E1191:E1192"/>
    <mergeCell ref="G1191:G1192"/>
    <mergeCell ref="H1191:H1192"/>
    <mergeCell ref="I1191:I1192"/>
    <mergeCell ref="J1191:J1192"/>
    <mergeCell ref="B1193:B1194"/>
    <mergeCell ref="C1193:C1194"/>
    <mergeCell ref="D1193:D1194"/>
    <mergeCell ref="E1193:E1194"/>
    <mergeCell ref="G1193:G1194"/>
    <mergeCell ref="H1193:H1194"/>
    <mergeCell ref="I1193:I1194"/>
    <mergeCell ref="J1193:J1194"/>
    <mergeCell ref="B1183:B1184"/>
    <mergeCell ref="C1183:C1184"/>
    <mergeCell ref="D1183:D1184"/>
    <mergeCell ref="E1183:E1184"/>
    <mergeCell ref="G1183:G1184"/>
    <mergeCell ref="H1183:H1184"/>
    <mergeCell ref="I1183:I1184"/>
    <mergeCell ref="J1183:J1184"/>
    <mergeCell ref="B1185:B1186"/>
    <mergeCell ref="C1185:C1186"/>
    <mergeCell ref="D1185:D1186"/>
    <mergeCell ref="E1185:E1186"/>
    <mergeCell ref="G1185:G1186"/>
    <mergeCell ref="H1185:H1186"/>
    <mergeCell ref="I1185:I1186"/>
    <mergeCell ref="J1185:J1186"/>
    <mergeCell ref="B1187:B1188"/>
    <mergeCell ref="C1187:C1188"/>
    <mergeCell ref="D1187:D1188"/>
    <mergeCell ref="E1187:E1188"/>
    <mergeCell ref="G1187:G1188"/>
    <mergeCell ref="H1187:H1188"/>
    <mergeCell ref="I1187:I1188"/>
    <mergeCell ref="J1187:J1188"/>
    <mergeCell ref="B1177:B1178"/>
    <mergeCell ref="C1177:C1178"/>
    <mergeCell ref="D1177:D1178"/>
    <mergeCell ref="E1177:E1178"/>
    <mergeCell ref="G1177:G1178"/>
    <mergeCell ref="H1177:H1178"/>
    <mergeCell ref="I1177:I1178"/>
    <mergeCell ref="J1177:J1178"/>
    <mergeCell ref="B1179:B1180"/>
    <mergeCell ref="C1179:C1180"/>
    <mergeCell ref="D1179:D1180"/>
    <mergeCell ref="E1179:E1180"/>
    <mergeCell ref="G1179:G1180"/>
    <mergeCell ref="H1179:H1180"/>
    <mergeCell ref="I1179:I1180"/>
    <mergeCell ref="J1179:J1180"/>
    <mergeCell ref="B1181:B1182"/>
    <mergeCell ref="C1181:C1182"/>
    <mergeCell ref="D1181:D1182"/>
    <mergeCell ref="E1181:E1182"/>
    <mergeCell ref="G1181:G1182"/>
    <mergeCell ref="H1181:H1182"/>
    <mergeCell ref="I1181:I1182"/>
    <mergeCell ref="J1181:J1182"/>
    <mergeCell ref="B1171:B1172"/>
    <mergeCell ref="C1171:C1172"/>
    <mergeCell ref="D1171:D1172"/>
    <mergeCell ref="E1171:E1172"/>
    <mergeCell ref="G1171:G1172"/>
    <mergeCell ref="H1171:H1172"/>
    <mergeCell ref="I1171:I1172"/>
    <mergeCell ref="J1171:J1172"/>
    <mergeCell ref="B1173:B1174"/>
    <mergeCell ref="C1173:C1174"/>
    <mergeCell ref="D1173:D1174"/>
    <mergeCell ref="E1173:E1174"/>
    <mergeCell ref="G1173:G1174"/>
    <mergeCell ref="H1173:H1174"/>
    <mergeCell ref="I1173:I1174"/>
    <mergeCell ref="J1173:J1174"/>
    <mergeCell ref="B1175:B1176"/>
    <mergeCell ref="C1175:C1176"/>
    <mergeCell ref="D1175:D1176"/>
    <mergeCell ref="E1175:E1176"/>
    <mergeCell ref="G1175:G1176"/>
    <mergeCell ref="H1175:H1176"/>
    <mergeCell ref="I1175:I1176"/>
    <mergeCell ref="J1175:J1176"/>
    <mergeCell ref="B1165:B1166"/>
    <mergeCell ref="C1165:C1166"/>
    <mergeCell ref="D1165:D1166"/>
    <mergeCell ref="E1165:E1166"/>
    <mergeCell ref="G1165:G1166"/>
    <mergeCell ref="H1165:H1166"/>
    <mergeCell ref="I1165:I1166"/>
    <mergeCell ref="J1165:J1166"/>
    <mergeCell ref="B1167:B1168"/>
    <mergeCell ref="C1167:C1168"/>
    <mergeCell ref="D1167:D1168"/>
    <mergeCell ref="E1167:E1168"/>
    <mergeCell ref="G1167:G1168"/>
    <mergeCell ref="H1167:H1168"/>
    <mergeCell ref="I1167:I1168"/>
    <mergeCell ref="J1167:J1168"/>
    <mergeCell ref="B1169:B1170"/>
    <mergeCell ref="C1169:C1170"/>
    <mergeCell ref="D1169:D1170"/>
    <mergeCell ref="E1169:E1170"/>
    <mergeCell ref="G1169:G1170"/>
    <mergeCell ref="H1169:H1170"/>
    <mergeCell ref="I1169:I1170"/>
    <mergeCell ref="J1169:J1170"/>
    <mergeCell ref="B1159:B1160"/>
    <mergeCell ref="C1159:C1160"/>
    <mergeCell ref="D1159:D1160"/>
    <mergeCell ref="E1159:E1160"/>
    <mergeCell ref="G1159:G1160"/>
    <mergeCell ref="H1159:H1160"/>
    <mergeCell ref="I1159:I1160"/>
    <mergeCell ref="J1159:J1160"/>
    <mergeCell ref="B1161:B1162"/>
    <mergeCell ref="C1161:C1162"/>
    <mergeCell ref="D1161:D1162"/>
    <mergeCell ref="E1161:E1162"/>
    <mergeCell ref="G1161:G1162"/>
    <mergeCell ref="H1161:H1162"/>
    <mergeCell ref="I1161:I1162"/>
    <mergeCell ref="J1161:J1162"/>
    <mergeCell ref="B1163:B1164"/>
    <mergeCell ref="C1163:C1164"/>
    <mergeCell ref="D1163:D1164"/>
    <mergeCell ref="E1163:E1164"/>
    <mergeCell ref="G1163:G1164"/>
    <mergeCell ref="H1163:H1164"/>
    <mergeCell ref="I1163:I1164"/>
    <mergeCell ref="J1163:J1164"/>
    <mergeCell ref="B1153:B1154"/>
    <mergeCell ref="C1153:C1154"/>
    <mergeCell ref="D1153:D1154"/>
    <mergeCell ref="E1153:E1154"/>
    <mergeCell ref="G1153:G1154"/>
    <mergeCell ref="H1153:H1154"/>
    <mergeCell ref="I1153:I1154"/>
    <mergeCell ref="J1153:J1154"/>
    <mergeCell ref="B1155:B1156"/>
    <mergeCell ref="C1155:C1156"/>
    <mergeCell ref="D1155:D1156"/>
    <mergeCell ref="E1155:E1156"/>
    <mergeCell ref="G1155:G1156"/>
    <mergeCell ref="H1155:H1156"/>
    <mergeCell ref="I1155:I1156"/>
    <mergeCell ref="J1155:J1156"/>
    <mergeCell ref="B1157:B1158"/>
    <mergeCell ref="C1157:C1158"/>
    <mergeCell ref="D1157:D1158"/>
    <mergeCell ref="E1157:E1158"/>
    <mergeCell ref="G1157:G1158"/>
    <mergeCell ref="H1157:H1158"/>
    <mergeCell ref="I1157:I1158"/>
    <mergeCell ref="J1157:J1158"/>
    <mergeCell ref="B1147:B1148"/>
    <mergeCell ref="C1147:C1148"/>
    <mergeCell ref="D1147:D1148"/>
    <mergeCell ref="E1147:E1148"/>
    <mergeCell ref="G1147:G1148"/>
    <mergeCell ref="H1147:H1148"/>
    <mergeCell ref="I1147:I1148"/>
    <mergeCell ref="J1147:J1148"/>
    <mergeCell ref="B1149:B1150"/>
    <mergeCell ref="C1149:C1150"/>
    <mergeCell ref="D1149:D1150"/>
    <mergeCell ref="E1149:E1150"/>
    <mergeCell ref="G1149:G1150"/>
    <mergeCell ref="H1149:H1150"/>
    <mergeCell ref="I1149:I1150"/>
    <mergeCell ref="J1149:J1150"/>
    <mergeCell ref="B1151:B1152"/>
    <mergeCell ref="C1151:C1152"/>
    <mergeCell ref="D1151:D1152"/>
    <mergeCell ref="E1151:E1152"/>
    <mergeCell ref="G1151:G1152"/>
    <mergeCell ref="H1151:H1152"/>
    <mergeCell ref="I1151:I1152"/>
    <mergeCell ref="J1151:J1152"/>
    <mergeCell ref="B1141:B1142"/>
    <mergeCell ref="C1141:C1142"/>
    <mergeCell ref="D1141:D1142"/>
    <mergeCell ref="E1141:E1142"/>
    <mergeCell ref="G1141:G1142"/>
    <mergeCell ref="H1141:H1142"/>
    <mergeCell ref="I1141:I1142"/>
    <mergeCell ref="J1141:J1142"/>
    <mergeCell ref="B1143:B1144"/>
    <mergeCell ref="C1143:C1144"/>
    <mergeCell ref="D1143:D1144"/>
    <mergeCell ref="E1143:E1144"/>
    <mergeCell ref="G1143:G1144"/>
    <mergeCell ref="H1143:H1144"/>
    <mergeCell ref="I1143:I1144"/>
    <mergeCell ref="J1143:J1144"/>
    <mergeCell ref="B1145:B1146"/>
    <mergeCell ref="C1145:C1146"/>
    <mergeCell ref="D1145:D1146"/>
    <mergeCell ref="E1145:E1146"/>
    <mergeCell ref="G1145:G1146"/>
    <mergeCell ref="H1145:H1146"/>
    <mergeCell ref="I1145:I1146"/>
    <mergeCell ref="J1145:J1146"/>
    <mergeCell ref="B1135:B1136"/>
    <mergeCell ref="C1135:C1136"/>
    <mergeCell ref="D1135:D1136"/>
    <mergeCell ref="E1135:E1136"/>
    <mergeCell ref="G1135:G1136"/>
    <mergeCell ref="H1135:H1136"/>
    <mergeCell ref="I1135:I1136"/>
    <mergeCell ref="J1135:J1136"/>
    <mergeCell ref="B1137:B1138"/>
    <mergeCell ref="C1137:C1138"/>
    <mergeCell ref="D1137:D1138"/>
    <mergeCell ref="E1137:E1138"/>
    <mergeCell ref="G1137:G1138"/>
    <mergeCell ref="H1137:H1138"/>
    <mergeCell ref="I1137:I1138"/>
    <mergeCell ref="J1137:J1138"/>
    <mergeCell ref="B1139:B1140"/>
    <mergeCell ref="C1139:C1140"/>
    <mergeCell ref="D1139:D1140"/>
    <mergeCell ref="E1139:E1140"/>
    <mergeCell ref="G1139:G1140"/>
    <mergeCell ref="H1139:H1140"/>
    <mergeCell ref="I1139:I1140"/>
    <mergeCell ref="J1139:J1140"/>
    <mergeCell ref="B1129:B1130"/>
    <mergeCell ref="C1129:C1130"/>
    <mergeCell ref="D1129:D1130"/>
    <mergeCell ref="E1129:E1130"/>
    <mergeCell ref="G1129:G1130"/>
    <mergeCell ref="H1129:H1130"/>
    <mergeCell ref="I1129:I1130"/>
    <mergeCell ref="J1129:J1130"/>
    <mergeCell ref="B1131:B1132"/>
    <mergeCell ref="C1131:C1132"/>
    <mergeCell ref="D1131:D1132"/>
    <mergeCell ref="E1131:E1132"/>
    <mergeCell ref="G1131:G1132"/>
    <mergeCell ref="H1131:H1132"/>
    <mergeCell ref="I1131:I1132"/>
    <mergeCell ref="J1131:J1132"/>
    <mergeCell ref="B1133:B1134"/>
    <mergeCell ref="C1133:C1134"/>
    <mergeCell ref="D1133:D1134"/>
    <mergeCell ref="E1133:E1134"/>
    <mergeCell ref="G1133:G1134"/>
    <mergeCell ref="H1133:H1134"/>
    <mergeCell ref="I1133:I1134"/>
    <mergeCell ref="J1133:J1134"/>
    <mergeCell ref="B1123:B1124"/>
    <mergeCell ref="C1123:C1124"/>
    <mergeCell ref="D1123:D1124"/>
    <mergeCell ref="E1123:E1124"/>
    <mergeCell ref="G1123:G1124"/>
    <mergeCell ref="H1123:H1124"/>
    <mergeCell ref="I1123:I1124"/>
    <mergeCell ref="J1123:J1124"/>
    <mergeCell ref="B1125:B1126"/>
    <mergeCell ref="C1125:C1126"/>
    <mergeCell ref="D1125:D1126"/>
    <mergeCell ref="E1125:E1126"/>
    <mergeCell ref="G1125:G1126"/>
    <mergeCell ref="H1125:H1126"/>
    <mergeCell ref="I1125:I1126"/>
    <mergeCell ref="J1125:J1126"/>
    <mergeCell ref="B1127:B1128"/>
    <mergeCell ref="C1127:C1128"/>
    <mergeCell ref="D1127:D1128"/>
    <mergeCell ref="E1127:E1128"/>
    <mergeCell ref="G1127:G1128"/>
    <mergeCell ref="H1127:H1128"/>
    <mergeCell ref="I1127:I1128"/>
    <mergeCell ref="J1127:J1128"/>
    <mergeCell ref="B1117:B1118"/>
    <mergeCell ref="C1117:C1118"/>
    <mergeCell ref="D1117:D1118"/>
    <mergeCell ref="E1117:E1118"/>
    <mergeCell ref="G1117:G1118"/>
    <mergeCell ref="H1117:H1118"/>
    <mergeCell ref="I1117:I1118"/>
    <mergeCell ref="J1117:J1118"/>
    <mergeCell ref="B1119:B1120"/>
    <mergeCell ref="C1119:C1120"/>
    <mergeCell ref="D1119:D1120"/>
    <mergeCell ref="E1119:E1120"/>
    <mergeCell ref="G1119:G1120"/>
    <mergeCell ref="H1119:H1120"/>
    <mergeCell ref="I1119:I1120"/>
    <mergeCell ref="J1119:J1120"/>
    <mergeCell ref="B1121:B1122"/>
    <mergeCell ref="C1121:C1122"/>
    <mergeCell ref="D1121:D1122"/>
    <mergeCell ref="E1121:E1122"/>
    <mergeCell ref="G1121:G1122"/>
    <mergeCell ref="H1121:H1122"/>
    <mergeCell ref="I1121:I1122"/>
    <mergeCell ref="J1121:J1122"/>
    <mergeCell ref="B1111:B1112"/>
    <mergeCell ref="C1111:C1112"/>
    <mergeCell ref="D1111:D1112"/>
    <mergeCell ref="E1111:E1112"/>
    <mergeCell ref="G1111:G1112"/>
    <mergeCell ref="H1111:H1112"/>
    <mergeCell ref="I1111:I1112"/>
    <mergeCell ref="J1111:J1112"/>
    <mergeCell ref="B1113:B1114"/>
    <mergeCell ref="C1113:C1114"/>
    <mergeCell ref="D1113:D1114"/>
    <mergeCell ref="E1113:E1114"/>
    <mergeCell ref="G1113:G1114"/>
    <mergeCell ref="H1113:H1114"/>
    <mergeCell ref="I1113:I1114"/>
    <mergeCell ref="J1113:J1114"/>
    <mergeCell ref="B1115:B1116"/>
    <mergeCell ref="C1115:C1116"/>
    <mergeCell ref="D1115:D1116"/>
    <mergeCell ref="E1115:E1116"/>
    <mergeCell ref="G1115:G1116"/>
    <mergeCell ref="H1115:H1116"/>
    <mergeCell ref="I1115:I1116"/>
    <mergeCell ref="J1115:J1116"/>
    <mergeCell ref="B1105:B1106"/>
    <mergeCell ref="C1105:C1106"/>
    <mergeCell ref="D1105:D1106"/>
    <mergeCell ref="E1105:E1106"/>
    <mergeCell ref="G1105:G1106"/>
    <mergeCell ref="H1105:H1106"/>
    <mergeCell ref="I1105:I1106"/>
    <mergeCell ref="J1105:J1106"/>
    <mergeCell ref="B1107:B1108"/>
    <mergeCell ref="C1107:C1108"/>
    <mergeCell ref="D1107:D1108"/>
    <mergeCell ref="E1107:E1108"/>
    <mergeCell ref="G1107:G1108"/>
    <mergeCell ref="H1107:H1108"/>
    <mergeCell ref="I1107:I1108"/>
    <mergeCell ref="J1107:J1108"/>
    <mergeCell ref="B1109:B1110"/>
    <mergeCell ref="C1109:C1110"/>
    <mergeCell ref="D1109:D1110"/>
    <mergeCell ref="E1109:E1110"/>
    <mergeCell ref="G1109:G1110"/>
    <mergeCell ref="H1109:H1110"/>
    <mergeCell ref="I1109:I1110"/>
    <mergeCell ref="J1109:J1110"/>
    <mergeCell ref="B1099:B1100"/>
    <mergeCell ref="C1099:C1100"/>
    <mergeCell ref="D1099:D1100"/>
    <mergeCell ref="E1099:E1100"/>
    <mergeCell ref="G1099:G1100"/>
    <mergeCell ref="H1099:H1100"/>
    <mergeCell ref="I1099:I1100"/>
    <mergeCell ref="J1099:J1100"/>
    <mergeCell ref="B1101:B1102"/>
    <mergeCell ref="C1101:C1102"/>
    <mergeCell ref="D1101:D1102"/>
    <mergeCell ref="E1101:E1102"/>
    <mergeCell ref="G1101:G1102"/>
    <mergeCell ref="H1101:H1102"/>
    <mergeCell ref="I1101:I1102"/>
    <mergeCell ref="J1101:J1102"/>
    <mergeCell ref="B1103:B1104"/>
    <mergeCell ref="C1103:C1104"/>
    <mergeCell ref="D1103:D1104"/>
    <mergeCell ref="E1103:E1104"/>
    <mergeCell ref="G1103:G1104"/>
    <mergeCell ref="H1103:H1104"/>
    <mergeCell ref="I1103:I1104"/>
    <mergeCell ref="J1103:J1104"/>
    <mergeCell ref="B1093:B1094"/>
    <mergeCell ref="C1093:C1094"/>
    <mergeCell ref="D1093:D1094"/>
    <mergeCell ref="E1093:E1094"/>
    <mergeCell ref="G1093:G1094"/>
    <mergeCell ref="H1093:H1094"/>
    <mergeCell ref="I1093:I1094"/>
    <mergeCell ref="J1093:J1094"/>
    <mergeCell ref="B1095:B1096"/>
    <mergeCell ref="C1095:C1096"/>
    <mergeCell ref="D1095:D1096"/>
    <mergeCell ref="E1095:E1096"/>
    <mergeCell ref="G1095:G1096"/>
    <mergeCell ref="H1095:H1096"/>
    <mergeCell ref="I1095:I1096"/>
    <mergeCell ref="J1095:J1096"/>
    <mergeCell ref="B1097:B1098"/>
    <mergeCell ref="C1097:C1098"/>
    <mergeCell ref="D1097:D1098"/>
    <mergeCell ref="E1097:E1098"/>
    <mergeCell ref="G1097:G1098"/>
    <mergeCell ref="H1097:H1098"/>
    <mergeCell ref="I1097:I1098"/>
    <mergeCell ref="J1097:J1098"/>
    <mergeCell ref="B1087:B1088"/>
    <mergeCell ref="C1087:C1088"/>
    <mergeCell ref="D1087:D1088"/>
    <mergeCell ref="E1087:E1088"/>
    <mergeCell ref="G1087:G1088"/>
    <mergeCell ref="H1087:H1088"/>
    <mergeCell ref="I1087:I1088"/>
    <mergeCell ref="J1087:J1088"/>
    <mergeCell ref="B1089:B1090"/>
    <mergeCell ref="C1089:C1090"/>
    <mergeCell ref="D1089:D1090"/>
    <mergeCell ref="E1089:E1090"/>
    <mergeCell ref="G1089:G1090"/>
    <mergeCell ref="H1089:H1090"/>
    <mergeCell ref="I1089:I1090"/>
    <mergeCell ref="J1089:J1090"/>
    <mergeCell ref="B1091:B1092"/>
    <mergeCell ref="C1091:C1092"/>
    <mergeCell ref="D1091:D1092"/>
    <mergeCell ref="E1091:E1092"/>
    <mergeCell ref="G1091:G1092"/>
    <mergeCell ref="H1091:H1092"/>
    <mergeCell ref="I1091:I1092"/>
    <mergeCell ref="J1091:J1092"/>
    <mergeCell ref="B1081:B1082"/>
    <mergeCell ref="C1081:C1082"/>
    <mergeCell ref="D1081:D1082"/>
    <mergeCell ref="E1081:E1082"/>
    <mergeCell ref="G1081:G1082"/>
    <mergeCell ref="H1081:H1082"/>
    <mergeCell ref="I1081:I1082"/>
    <mergeCell ref="J1081:J1082"/>
    <mergeCell ref="B1083:B1084"/>
    <mergeCell ref="C1083:C1084"/>
    <mergeCell ref="D1083:D1084"/>
    <mergeCell ref="E1083:E1084"/>
    <mergeCell ref="G1083:G1084"/>
    <mergeCell ref="H1083:H1084"/>
    <mergeCell ref="I1083:I1084"/>
    <mergeCell ref="J1083:J1084"/>
    <mergeCell ref="B1085:B1086"/>
    <mergeCell ref="C1085:C1086"/>
    <mergeCell ref="D1085:D1086"/>
    <mergeCell ref="E1085:E1086"/>
    <mergeCell ref="G1085:G1086"/>
    <mergeCell ref="H1085:H1086"/>
    <mergeCell ref="I1085:I1086"/>
    <mergeCell ref="J1085:J1086"/>
    <mergeCell ref="B1075:B1076"/>
    <mergeCell ref="C1075:C1076"/>
    <mergeCell ref="D1075:D1076"/>
    <mergeCell ref="E1075:E1076"/>
    <mergeCell ref="G1075:G1076"/>
    <mergeCell ref="H1075:H1076"/>
    <mergeCell ref="I1075:I1076"/>
    <mergeCell ref="J1075:J1076"/>
    <mergeCell ref="B1077:B1078"/>
    <mergeCell ref="C1077:C1078"/>
    <mergeCell ref="D1077:D1078"/>
    <mergeCell ref="E1077:E1078"/>
    <mergeCell ref="G1077:G1078"/>
    <mergeCell ref="H1077:H1078"/>
    <mergeCell ref="I1077:I1078"/>
    <mergeCell ref="J1077:J1078"/>
    <mergeCell ref="B1079:B1080"/>
    <mergeCell ref="C1079:C1080"/>
    <mergeCell ref="D1079:D1080"/>
    <mergeCell ref="E1079:E1080"/>
    <mergeCell ref="G1079:G1080"/>
    <mergeCell ref="H1079:H1080"/>
    <mergeCell ref="I1079:I1080"/>
    <mergeCell ref="J1079:J1080"/>
    <mergeCell ref="B1069:B1070"/>
    <mergeCell ref="C1069:C1070"/>
    <mergeCell ref="D1069:D1070"/>
    <mergeCell ref="E1069:E1070"/>
    <mergeCell ref="G1069:G1070"/>
    <mergeCell ref="H1069:H1070"/>
    <mergeCell ref="I1069:I1070"/>
    <mergeCell ref="J1069:J1070"/>
    <mergeCell ref="B1071:B1072"/>
    <mergeCell ref="C1071:C1072"/>
    <mergeCell ref="D1071:D1072"/>
    <mergeCell ref="E1071:E1072"/>
    <mergeCell ref="G1071:G1072"/>
    <mergeCell ref="H1071:H1072"/>
    <mergeCell ref="I1071:I1072"/>
    <mergeCell ref="J1071:J1072"/>
    <mergeCell ref="B1073:B1074"/>
    <mergeCell ref="C1073:C1074"/>
    <mergeCell ref="D1073:D1074"/>
    <mergeCell ref="E1073:E1074"/>
    <mergeCell ref="G1073:G1074"/>
    <mergeCell ref="H1073:H1074"/>
    <mergeCell ref="I1073:I1074"/>
    <mergeCell ref="J1073:J1074"/>
    <mergeCell ref="B1063:B1064"/>
    <mergeCell ref="C1063:C1064"/>
    <mergeCell ref="D1063:D1064"/>
    <mergeCell ref="E1063:E1064"/>
    <mergeCell ref="G1063:G1064"/>
    <mergeCell ref="H1063:H1064"/>
    <mergeCell ref="I1063:I1064"/>
    <mergeCell ref="J1063:J1064"/>
    <mergeCell ref="B1065:B1066"/>
    <mergeCell ref="C1065:C1066"/>
    <mergeCell ref="D1065:D1066"/>
    <mergeCell ref="E1065:E1066"/>
    <mergeCell ref="G1065:G1066"/>
    <mergeCell ref="H1065:H1066"/>
    <mergeCell ref="I1065:I1066"/>
    <mergeCell ref="J1065:J1066"/>
    <mergeCell ref="B1067:B1068"/>
    <mergeCell ref="C1067:C1068"/>
    <mergeCell ref="D1067:D1068"/>
    <mergeCell ref="E1067:E1068"/>
    <mergeCell ref="G1067:G1068"/>
    <mergeCell ref="H1067:H1068"/>
    <mergeCell ref="I1067:I1068"/>
    <mergeCell ref="J1067:J1068"/>
    <mergeCell ref="B1057:B1058"/>
    <mergeCell ref="C1057:C1058"/>
    <mergeCell ref="D1057:D1058"/>
    <mergeCell ref="E1057:E1058"/>
    <mergeCell ref="G1057:G1058"/>
    <mergeCell ref="H1057:H1058"/>
    <mergeCell ref="I1057:I1058"/>
    <mergeCell ref="J1057:J1058"/>
    <mergeCell ref="B1059:B1060"/>
    <mergeCell ref="C1059:C1060"/>
    <mergeCell ref="D1059:D1060"/>
    <mergeCell ref="E1059:E1060"/>
    <mergeCell ref="G1059:G1060"/>
    <mergeCell ref="H1059:H1060"/>
    <mergeCell ref="I1059:I1060"/>
    <mergeCell ref="J1059:J1060"/>
    <mergeCell ref="B1061:B1062"/>
    <mergeCell ref="C1061:C1062"/>
    <mergeCell ref="D1061:D1062"/>
    <mergeCell ref="E1061:E1062"/>
    <mergeCell ref="G1061:G1062"/>
    <mergeCell ref="H1061:H1062"/>
    <mergeCell ref="I1061:I1062"/>
    <mergeCell ref="J1061:J1062"/>
    <mergeCell ref="B1051:B1052"/>
    <mergeCell ref="C1051:C1052"/>
    <mergeCell ref="D1051:D1052"/>
    <mergeCell ref="E1051:E1052"/>
    <mergeCell ref="G1051:G1052"/>
    <mergeCell ref="H1051:H1052"/>
    <mergeCell ref="I1051:I1052"/>
    <mergeCell ref="J1051:J1052"/>
    <mergeCell ref="B1053:B1054"/>
    <mergeCell ref="C1053:C1054"/>
    <mergeCell ref="D1053:D1054"/>
    <mergeCell ref="E1053:E1054"/>
    <mergeCell ref="G1053:G1054"/>
    <mergeCell ref="H1053:H1054"/>
    <mergeCell ref="I1053:I1054"/>
    <mergeCell ref="J1053:J1054"/>
    <mergeCell ref="B1055:B1056"/>
    <mergeCell ref="C1055:C1056"/>
    <mergeCell ref="D1055:D1056"/>
    <mergeCell ref="E1055:E1056"/>
    <mergeCell ref="G1055:G1056"/>
    <mergeCell ref="H1055:H1056"/>
    <mergeCell ref="I1055:I1056"/>
    <mergeCell ref="J1055:J1056"/>
    <mergeCell ref="B1045:B1046"/>
    <mergeCell ref="C1045:C1046"/>
    <mergeCell ref="D1045:D1046"/>
    <mergeCell ref="E1045:E1046"/>
    <mergeCell ref="G1045:G1046"/>
    <mergeCell ref="H1045:H1046"/>
    <mergeCell ref="I1045:I1046"/>
    <mergeCell ref="J1045:J1046"/>
    <mergeCell ref="B1047:B1048"/>
    <mergeCell ref="C1047:C1048"/>
    <mergeCell ref="D1047:D1048"/>
    <mergeCell ref="E1047:E1048"/>
    <mergeCell ref="G1047:G1048"/>
    <mergeCell ref="H1047:H1048"/>
    <mergeCell ref="I1047:I1048"/>
    <mergeCell ref="J1047:J1048"/>
    <mergeCell ref="B1049:B1050"/>
    <mergeCell ref="C1049:C1050"/>
    <mergeCell ref="D1049:D1050"/>
    <mergeCell ref="E1049:E1050"/>
    <mergeCell ref="G1049:G1050"/>
    <mergeCell ref="H1049:H1050"/>
    <mergeCell ref="I1049:I1050"/>
    <mergeCell ref="J1049:J1050"/>
    <mergeCell ref="B1039:B1040"/>
    <mergeCell ref="C1039:C1040"/>
    <mergeCell ref="D1039:D1040"/>
    <mergeCell ref="E1039:E1040"/>
    <mergeCell ref="G1039:G1040"/>
    <mergeCell ref="H1039:H1040"/>
    <mergeCell ref="I1039:I1040"/>
    <mergeCell ref="J1039:J1040"/>
    <mergeCell ref="B1041:B1042"/>
    <mergeCell ref="C1041:C1042"/>
    <mergeCell ref="D1041:D1042"/>
    <mergeCell ref="E1041:E1042"/>
    <mergeCell ref="G1041:G1042"/>
    <mergeCell ref="H1041:H1042"/>
    <mergeCell ref="I1041:I1042"/>
    <mergeCell ref="J1041:J1042"/>
    <mergeCell ref="B1043:B1044"/>
    <mergeCell ref="C1043:C1044"/>
    <mergeCell ref="D1043:D1044"/>
    <mergeCell ref="E1043:E1044"/>
    <mergeCell ref="G1043:G1044"/>
    <mergeCell ref="H1043:H1044"/>
    <mergeCell ref="I1043:I1044"/>
    <mergeCell ref="J1043:J1044"/>
    <mergeCell ref="B1033:B1034"/>
    <mergeCell ref="C1033:C1034"/>
    <mergeCell ref="D1033:D1034"/>
    <mergeCell ref="E1033:E1034"/>
    <mergeCell ref="G1033:G1034"/>
    <mergeCell ref="H1033:H1034"/>
    <mergeCell ref="I1033:I1034"/>
    <mergeCell ref="J1033:J1034"/>
    <mergeCell ref="B1035:B1036"/>
    <mergeCell ref="C1035:C1036"/>
    <mergeCell ref="D1035:D1036"/>
    <mergeCell ref="E1035:E1036"/>
    <mergeCell ref="G1035:G1036"/>
    <mergeCell ref="H1035:H1036"/>
    <mergeCell ref="I1035:I1036"/>
    <mergeCell ref="J1035:J1036"/>
    <mergeCell ref="B1037:B1038"/>
    <mergeCell ref="C1037:C1038"/>
    <mergeCell ref="D1037:D1038"/>
    <mergeCell ref="E1037:E1038"/>
    <mergeCell ref="G1037:G1038"/>
    <mergeCell ref="H1037:H1038"/>
    <mergeCell ref="I1037:I1038"/>
    <mergeCell ref="J1037:J1038"/>
    <mergeCell ref="B1027:B1028"/>
    <mergeCell ref="C1027:C1028"/>
    <mergeCell ref="D1027:D1028"/>
    <mergeCell ref="E1027:E1028"/>
    <mergeCell ref="G1027:G1028"/>
    <mergeCell ref="H1027:H1028"/>
    <mergeCell ref="I1027:I1028"/>
    <mergeCell ref="J1027:J1028"/>
    <mergeCell ref="B1029:B1030"/>
    <mergeCell ref="C1029:C1030"/>
    <mergeCell ref="D1029:D1030"/>
    <mergeCell ref="E1029:E1030"/>
    <mergeCell ref="G1029:G1030"/>
    <mergeCell ref="H1029:H1030"/>
    <mergeCell ref="I1029:I1030"/>
    <mergeCell ref="J1029:J1030"/>
    <mergeCell ref="B1031:B1032"/>
    <mergeCell ref="C1031:C1032"/>
    <mergeCell ref="D1031:D1032"/>
    <mergeCell ref="E1031:E1032"/>
    <mergeCell ref="G1031:G1032"/>
    <mergeCell ref="H1031:H1032"/>
    <mergeCell ref="I1031:I1032"/>
    <mergeCell ref="J1031:J1032"/>
    <mergeCell ref="B1021:B1022"/>
    <mergeCell ref="C1021:C1022"/>
    <mergeCell ref="D1021:D1022"/>
    <mergeCell ref="E1021:E1022"/>
    <mergeCell ref="G1021:G1022"/>
    <mergeCell ref="H1021:H1022"/>
    <mergeCell ref="I1021:I1022"/>
    <mergeCell ref="J1021:J1022"/>
    <mergeCell ref="B1023:B1024"/>
    <mergeCell ref="C1023:C1024"/>
    <mergeCell ref="D1023:D1024"/>
    <mergeCell ref="E1023:E1024"/>
    <mergeCell ref="G1023:G1024"/>
    <mergeCell ref="H1023:H1024"/>
    <mergeCell ref="I1023:I1024"/>
    <mergeCell ref="J1023:J1024"/>
    <mergeCell ref="B1025:B1026"/>
    <mergeCell ref="C1025:C1026"/>
    <mergeCell ref="D1025:D1026"/>
    <mergeCell ref="E1025:E1026"/>
    <mergeCell ref="G1025:G1026"/>
    <mergeCell ref="H1025:H1026"/>
    <mergeCell ref="I1025:I1026"/>
    <mergeCell ref="J1025:J1026"/>
    <mergeCell ref="B1015:B1016"/>
    <mergeCell ref="C1015:C1016"/>
    <mergeCell ref="D1015:D1016"/>
    <mergeCell ref="E1015:E1016"/>
    <mergeCell ref="G1015:G1016"/>
    <mergeCell ref="H1015:H1016"/>
    <mergeCell ref="I1015:I1016"/>
    <mergeCell ref="J1015:J1016"/>
    <mergeCell ref="B1017:B1018"/>
    <mergeCell ref="C1017:C1018"/>
    <mergeCell ref="D1017:D1018"/>
    <mergeCell ref="E1017:E1018"/>
    <mergeCell ref="G1017:G1018"/>
    <mergeCell ref="H1017:H1018"/>
    <mergeCell ref="I1017:I1018"/>
    <mergeCell ref="J1017:J1018"/>
    <mergeCell ref="B1019:B1020"/>
    <mergeCell ref="C1019:C1020"/>
    <mergeCell ref="D1019:D1020"/>
    <mergeCell ref="E1019:E1020"/>
    <mergeCell ref="G1019:G1020"/>
    <mergeCell ref="H1019:H1020"/>
    <mergeCell ref="I1019:I1020"/>
    <mergeCell ref="J1019:J1020"/>
    <mergeCell ref="B1009:B1010"/>
    <mergeCell ref="C1009:C1010"/>
    <mergeCell ref="D1009:D1010"/>
    <mergeCell ref="E1009:E1010"/>
    <mergeCell ref="G1009:G1010"/>
    <mergeCell ref="H1009:H1010"/>
    <mergeCell ref="I1009:I1010"/>
    <mergeCell ref="J1009:J1010"/>
    <mergeCell ref="B1011:B1012"/>
    <mergeCell ref="C1011:C1012"/>
    <mergeCell ref="D1011:D1012"/>
    <mergeCell ref="E1011:E1012"/>
    <mergeCell ref="G1011:G1012"/>
    <mergeCell ref="H1011:H1012"/>
    <mergeCell ref="I1011:I1012"/>
    <mergeCell ref="J1011:J1012"/>
    <mergeCell ref="B1013:B1014"/>
    <mergeCell ref="C1013:C1014"/>
    <mergeCell ref="D1013:D1014"/>
    <mergeCell ref="E1013:E1014"/>
    <mergeCell ref="G1013:G1014"/>
    <mergeCell ref="H1013:H1014"/>
    <mergeCell ref="I1013:I1014"/>
    <mergeCell ref="J1013:J1014"/>
    <mergeCell ref="B1003:B1004"/>
    <mergeCell ref="C1003:C1004"/>
    <mergeCell ref="D1003:D1004"/>
    <mergeCell ref="E1003:E1004"/>
    <mergeCell ref="G1003:G1004"/>
    <mergeCell ref="H1003:H1004"/>
    <mergeCell ref="I1003:I1004"/>
    <mergeCell ref="J1003:J1004"/>
    <mergeCell ref="B1005:B1006"/>
    <mergeCell ref="C1005:C1006"/>
    <mergeCell ref="D1005:D1006"/>
    <mergeCell ref="E1005:E1006"/>
    <mergeCell ref="G1005:G1006"/>
    <mergeCell ref="H1005:H1006"/>
    <mergeCell ref="I1005:I1006"/>
    <mergeCell ref="J1005:J1006"/>
    <mergeCell ref="B1007:B1008"/>
    <mergeCell ref="C1007:C1008"/>
    <mergeCell ref="D1007:D1008"/>
    <mergeCell ref="E1007:E1008"/>
    <mergeCell ref="G1007:G1008"/>
    <mergeCell ref="H1007:H1008"/>
    <mergeCell ref="I1007:I1008"/>
    <mergeCell ref="J1007:J1008"/>
    <mergeCell ref="B997:B998"/>
    <mergeCell ref="C997:C998"/>
    <mergeCell ref="D997:D998"/>
    <mergeCell ref="E997:E998"/>
    <mergeCell ref="G997:G998"/>
    <mergeCell ref="H997:H998"/>
    <mergeCell ref="I997:I998"/>
    <mergeCell ref="J997:J998"/>
    <mergeCell ref="B999:B1000"/>
    <mergeCell ref="C999:C1000"/>
    <mergeCell ref="D999:D1000"/>
    <mergeCell ref="E999:E1000"/>
    <mergeCell ref="G999:G1000"/>
    <mergeCell ref="H999:H1000"/>
    <mergeCell ref="I999:I1000"/>
    <mergeCell ref="J999:J1000"/>
    <mergeCell ref="B1001:B1002"/>
    <mergeCell ref="C1001:C1002"/>
    <mergeCell ref="D1001:D1002"/>
    <mergeCell ref="E1001:E1002"/>
    <mergeCell ref="G1001:G1002"/>
    <mergeCell ref="H1001:H1002"/>
    <mergeCell ref="I1001:I1002"/>
    <mergeCell ref="J1001:J1002"/>
    <mergeCell ref="B991:B992"/>
    <mergeCell ref="C991:C992"/>
    <mergeCell ref="D991:D992"/>
    <mergeCell ref="E991:E992"/>
    <mergeCell ref="G991:G992"/>
    <mergeCell ref="H991:H992"/>
    <mergeCell ref="I991:I992"/>
    <mergeCell ref="J991:J992"/>
    <mergeCell ref="B993:B994"/>
    <mergeCell ref="C993:C994"/>
    <mergeCell ref="D993:D994"/>
    <mergeCell ref="E993:E994"/>
    <mergeCell ref="G993:G994"/>
    <mergeCell ref="H993:H994"/>
    <mergeCell ref="I993:I994"/>
    <mergeCell ref="J993:J994"/>
    <mergeCell ref="B995:B996"/>
    <mergeCell ref="C995:C996"/>
    <mergeCell ref="D995:D996"/>
    <mergeCell ref="E995:E996"/>
    <mergeCell ref="G995:G996"/>
    <mergeCell ref="H995:H996"/>
    <mergeCell ref="I995:I996"/>
    <mergeCell ref="J995:J996"/>
    <mergeCell ref="B985:B986"/>
    <mergeCell ref="C985:C986"/>
    <mergeCell ref="D985:D986"/>
    <mergeCell ref="E985:E986"/>
    <mergeCell ref="G985:G986"/>
    <mergeCell ref="H985:H986"/>
    <mergeCell ref="I985:I986"/>
    <mergeCell ref="J985:J986"/>
    <mergeCell ref="B987:B988"/>
    <mergeCell ref="C987:C988"/>
    <mergeCell ref="D987:D988"/>
    <mergeCell ref="E987:E988"/>
    <mergeCell ref="G987:G988"/>
    <mergeCell ref="H987:H988"/>
    <mergeCell ref="I987:I988"/>
    <mergeCell ref="J987:J988"/>
    <mergeCell ref="B989:B990"/>
    <mergeCell ref="C989:C990"/>
    <mergeCell ref="D989:D990"/>
    <mergeCell ref="E989:E990"/>
    <mergeCell ref="G989:G990"/>
    <mergeCell ref="H989:H990"/>
    <mergeCell ref="I989:I990"/>
    <mergeCell ref="J989:J990"/>
    <mergeCell ref="B979:B980"/>
    <mergeCell ref="C979:C980"/>
    <mergeCell ref="D979:D980"/>
    <mergeCell ref="E979:E980"/>
    <mergeCell ref="G979:G980"/>
    <mergeCell ref="H979:H980"/>
    <mergeCell ref="I979:I980"/>
    <mergeCell ref="J979:J980"/>
    <mergeCell ref="B981:B982"/>
    <mergeCell ref="C981:C982"/>
    <mergeCell ref="D981:D982"/>
    <mergeCell ref="E981:E982"/>
    <mergeCell ref="G981:G982"/>
    <mergeCell ref="H981:H982"/>
    <mergeCell ref="I981:I982"/>
    <mergeCell ref="J981:J982"/>
    <mergeCell ref="B983:B984"/>
    <mergeCell ref="C983:C984"/>
    <mergeCell ref="D983:D984"/>
    <mergeCell ref="E983:E984"/>
    <mergeCell ref="G983:G984"/>
    <mergeCell ref="H983:H984"/>
    <mergeCell ref="I983:I984"/>
    <mergeCell ref="J983:J984"/>
    <mergeCell ref="B973:B974"/>
    <mergeCell ref="C973:C974"/>
    <mergeCell ref="D973:D974"/>
    <mergeCell ref="E973:E974"/>
    <mergeCell ref="G973:G974"/>
    <mergeCell ref="H973:H974"/>
    <mergeCell ref="I973:I974"/>
    <mergeCell ref="J973:J974"/>
    <mergeCell ref="B975:B976"/>
    <mergeCell ref="C975:C976"/>
    <mergeCell ref="D975:D976"/>
    <mergeCell ref="E975:E976"/>
    <mergeCell ref="G975:G976"/>
    <mergeCell ref="H975:H976"/>
    <mergeCell ref="I975:I976"/>
    <mergeCell ref="J975:J976"/>
    <mergeCell ref="B977:B978"/>
    <mergeCell ref="C977:C978"/>
    <mergeCell ref="D977:D978"/>
    <mergeCell ref="E977:E978"/>
    <mergeCell ref="G977:G978"/>
    <mergeCell ref="H977:H978"/>
    <mergeCell ref="I977:I978"/>
    <mergeCell ref="J977:J978"/>
    <mergeCell ref="B967:B968"/>
    <mergeCell ref="C967:C968"/>
    <mergeCell ref="D967:D968"/>
    <mergeCell ref="E967:E968"/>
    <mergeCell ref="G967:G968"/>
    <mergeCell ref="H967:H968"/>
    <mergeCell ref="I967:I968"/>
    <mergeCell ref="J967:J968"/>
    <mergeCell ref="B969:B970"/>
    <mergeCell ref="C969:C970"/>
    <mergeCell ref="D969:D970"/>
    <mergeCell ref="E969:E970"/>
    <mergeCell ref="G969:G970"/>
    <mergeCell ref="H969:H970"/>
    <mergeCell ref="I969:I970"/>
    <mergeCell ref="J969:J970"/>
    <mergeCell ref="B971:B972"/>
    <mergeCell ref="C971:C972"/>
    <mergeCell ref="D971:D972"/>
    <mergeCell ref="E971:E972"/>
    <mergeCell ref="G971:G972"/>
    <mergeCell ref="H971:H972"/>
    <mergeCell ref="I971:I972"/>
    <mergeCell ref="J971:J972"/>
    <mergeCell ref="B961:B962"/>
    <mergeCell ref="C961:C962"/>
    <mergeCell ref="D961:D962"/>
    <mergeCell ref="E961:E962"/>
    <mergeCell ref="G961:G962"/>
    <mergeCell ref="H961:H962"/>
    <mergeCell ref="I961:I962"/>
    <mergeCell ref="J961:J962"/>
    <mergeCell ref="B963:B964"/>
    <mergeCell ref="C963:C964"/>
    <mergeCell ref="D963:D964"/>
    <mergeCell ref="E963:E964"/>
    <mergeCell ref="G963:G964"/>
    <mergeCell ref="H963:H964"/>
    <mergeCell ref="I963:I964"/>
    <mergeCell ref="J963:J964"/>
    <mergeCell ref="B965:B966"/>
    <mergeCell ref="C965:C966"/>
    <mergeCell ref="D965:D966"/>
    <mergeCell ref="E965:E966"/>
    <mergeCell ref="G965:G966"/>
    <mergeCell ref="H965:H966"/>
    <mergeCell ref="I965:I966"/>
    <mergeCell ref="J965:J966"/>
    <mergeCell ref="B955:B956"/>
    <mergeCell ref="C955:C956"/>
    <mergeCell ref="D955:D956"/>
    <mergeCell ref="E955:E956"/>
    <mergeCell ref="G955:G956"/>
    <mergeCell ref="H955:H956"/>
    <mergeCell ref="I955:I956"/>
    <mergeCell ref="J955:J956"/>
    <mergeCell ref="B957:B958"/>
    <mergeCell ref="C957:C958"/>
    <mergeCell ref="D957:D958"/>
    <mergeCell ref="E957:E958"/>
    <mergeCell ref="G957:G958"/>
    <mergeCell ref="H957:H958"/>
    <mergeCell ref="I957:I958"/>
    <mergeCell ref="J957:J958"/>
    <mergeCell ref="B959:B960"/>
    <mergeCell ref="C959:C960"/>
    <mergeCell ref="D959:D960"/>
    <mergeCell ref="E959:E960"/>
    <mergeCell ref="G959:G960"/>
    <mergeCell ref="H959:H960"/>
    <mergeCell ref="I959:I960"/>
    <mergeCell ref="J959:J960"/>
    <mergeCell ref="B949:B950"/>
    <mergeCell ref="C949:C950"/>
    <mergeCell ref="D949:D950"/>
    <mergeCell ref="E949:E950"/>
    <mergeCell ref="G949:G950"/>
    <mergeCell ref="H949:H950"/>
    <mergeCell ref="I949:I950"/>
    <mergeCell ref="J949:J950"/>
    <mergeCell ref="B951:B952"/>
    <mergeCell ref="C951:C952"/>
    <mergeCell ref="D951:D952"/>
    <mergeCell ref="E951:E952"/>
    <mergeCell ref="G951:G952"/>
    <mergeCell ref="H951:H952"/>
    <mergeCell ref="I951:I952"/>
    <mergeCell ref="J951:J952"/>
    <mergeCell ref="B953:B954"/>
    <mergeCell ref="C953:C954"/>
    <mergeCell ref="D953:D954"/>
    <mergeCell ref="E953:E954"/>
    <mergeCell ref="G953:G954"/>
    <mergeCell ref="H953:H954"/>
    <mergeCell ref="I953:I954"/>
    <mergeCell ref="J953:J954"/>
    <mergeCell ref="B943:B944"/>
    <mergeCell ref="C943:C944"/>
    <mergeCell ref="D943:D944"/>
    <mergeCell ref="E943:E944"/>
    <mergeCell ref="G943:G944"/>
    <mergeCell ref="H943:H944"/>
    <mergeCell ref="I943:I944"/>
    <mergeCell ref="J943:J944"/>
    <mergeCell ref="B945:B946"/>
    <mergeCell ref="C945:C946"/>
    <mergeCell ref="D945:D946"/>
    <mergeCell ref="E945:E946"/>
    <mergeCell ref="G945:G946"/>
    <mergeCell ref="H945:H946"/>
    <mergeCell ref="I945:I946"/>
    <mergeCell ref="J945:J946"/>
    <mergeCell ref="B947:B948"/>
    <mergeCell ref="C947:C948"/>
    <mergeCell ref="D947:D948"/>
    <mergeCell ref="E947:E948"/>
    <mergeCell ref="G947:G948"/>
    <mergeCell ref="H947:H948"/>
    <mergeCell ref="I947:I948"/>
    <mergeCell ref="J947:J948"/>
    <mergeCell ref="B937:B938"/>
    <mergeCell ref="C937:C938"/>
    <mergeCell ref="D937:D938"/>
    <mergeCell ref="E937:E938"/>
    <mergeCell ref="G937:G938"/>
    <mergeCell ref="H937:H938"/>
    <mergeCell ref="I937:I938"/>
    <mergeCell ref="J937:J938"/>
    <mergeCell ref="B939:B940"/>
    <mergeCell ref="C939:C940"/>
    <mergeCell ref="D939:D940"/>
    <mergeCell ref="E939:E940"/>
    <mergeCell ref="G939:G940"/>
    <mergeCell ref="H939:H940"/>
    <mergeCell ref="I939:I940"/>
    <mergeCell ref="J939:J940"/>
    <mergeCell ref="B941:B942"/>
    <mergeCell ref="C941:C942"/>
    <mergeCell ref="D941:D942"/>
    <mergeCell ref="E941:E942"/>
    <mergeCell ref="G941:G942"/>
    <mergeCell ref="H941:H942"/>
    <mergeCell ref="I941:I942"/>
    <mergeCell ref="J941:J942"/>
    <mergeCell ref="B931:B932"/>
    <mergeCell ref="C931:C932"/>
    <mergeCell ref="D931:D932"/>
    <mergeCell ref="E931:E932"/>
    <mergeCell ref="G931:G932"/>
    <mergeCell ref="H931:H932"/>
    <mergeCell ref="I931:I932"/>
    <mergeCell ref="J931:J932"/>
    <mergeCell ref="B933:B934"/>
    <mergeCell ref="C933:C934"/>
    <mergeCell ref="D933:D934"/>
    <mergeCell ref="E933:E934"/>
    <mergeCell ref="G933:G934"/>
    <mergeCell ref="H933:H934"/>
    <mergeCell ref="I933:I934"/>
    <mergeCell ref="J933:J934"/>
    <mergeCell ref="B935:B936"/>
    <mergeCell ref="C935:C936"/>
    <mergeCell ref="D935:D936"/>
    <mergeCell ref="E935:E936"/>
    <mergeCell ref="G935:G936"/>
    <mergeCell ref="H935:H936"/>
    <mergeCell ref="I935:I936"/>
    <mergeCell ref="J935:J936"/>
    <mergeCell ref="B925:B926"/>
    <mergeCell ref="C925:C926"/>
    <mergeCell ref="D925:D926"/>
    <mergeCell ref="E925:E926"/>
    <mergeCell ref="G925:G926"/>
    <mergeCell ref="H925:H926"/>
    <mergeCell ref="I925:I926"/>
    <mergeCell ref="J925:J926"/>
    <mergeCell ref="B927:B928"/>
    <mergeCell ref="C927:C928"/>
    <mergeCell ref="D927:D928"/>
    <mergeCell ref="E927:E928"/>
    <mergeCell ref="G927:G928"/>
    <mergeCell ref="H927:H928"/>
    <mergeCell ref="I927:I928"/>
    <mergeCell ref="J927:J928"/>
    <mergeCell ref="B929:B930"/>
    <mergeCell ref="C929:C930"/>
    <mergeCell ref="D929:D930"/>
    <mergeCell ref="E929:E930"/>
    <mergeCell ref="G929:G930"/>
    <mergeCell ref="H929:H930"/>
    <mergeCell ref="I929:I930"/>
    <mergeCell ref="J929:J930"/>
    <mergeCell ref="B919:B920"/>
    <mergeCell ref="C919:C920"/>
    <mergeCell ref="D919:D920"/>
    <mergeCell ref="E919:E920"/>
    <mergeCell ref="G919:G920"/>
    <mergeCell ref="H919:H920"/>
    <mergeCell ref="I919:I920"/>
    <mergeCell ref="J919:J920"/>
    <mergeCell ref="B921:B922"/>
    <mergeCell ref="C921:C922"/>
    <mergeCell ref="D921:D922"/>
    <mergeCell ref="E921:E922"/>
    <mergeCell ref="G921:G922"/>
    <mergeCell ref="H921:H922"/>
    <mergeCell ref="I921:I922"/>
    <mergeCell ref="J921:J922"/>
    <mergeCell ref="B923:B924"/>
    <mergeCell ref="C923:C924"/>
    <mergeCell ref="D923:D924"/>
    <mergeCell ref="E923:E924"/>
    <mergeCell ref="G923:G924"/>
    <mergeCell ref="H923:H924"/>
    <mergeCell ref="I923:I924"/>
    <mergeCell ref="J923:J924"/>
    <mergeCell ref="B913:B914"/>
    <mergeCell ref="C913:C914"/>
    <mergeCell ref="D913:D914"/>
    <mergeCell ref="E913:E914"/>
    <mergeCell ref="G913:G914"/>
    <mergeCell ref="H913:H914"/>
    <mergeCell ref="I913:I914"/>
    <mergeCell ref="J913:J914"/>
    <mergeCell ref="B915:B916"/>
    <mergeCell ref="C915:C916"/>
    <mergeCell ref="D915:D916"/>
    <mergeCell ref="E915:E916"/>
    <mergeCell ref="G915:G916"/>
    <mergeCell ref="H915:H916"/>
    <mergeCell ref="I915:I916"/>
    <mergeCell ref="J915:J916"/>
    <mergeCell ref="B917:B918"/>
    <mergeCell ref="C917:C918"/>
    <mergeCell ref="D917:D918"/>
    <mergeCell ref="E917:E918"/>
    <mergeCell ref="G917:G918"/>
    <mergeCell ref="H917:H918"/>
    <mergeCell ref="I917:I918"/>
    <mergeCell ref="J917:J918"/>
    <mergeCell ref="B907:B908"/>
    <mergeCell ref="C907:C908"/>
    <mergeCell ref="D907:D908"/>
    <mergeCell ref="E907:E908"/>
    <mergeCell ref="G907:G908"/>
    <mergeCell ref="H907:H908"/>
    <mergeCell ref="I907:I908"/>
    <mergeCell ref="J907:J908"/>
    <mergeCell ref="B909:B910"/>
    <mergeCell ref="C909:C910"/>
    <mergeCell ref="D909:D910"/>
    <mergeCell ref="E909:E910"/>
    <mergeCell ref="G909:G910"/>
    <mergeCell ref="H909:H910"/>
    <mergeCell ref="I909:I910"/>
    <mergeCell ref="J909:J910"/>
    <mergeCell ref="B911:B912"/>
    <mergeCell ref="C911:C912"/>
    <mergeCell ref="D911:D912"/>
    <mergeCell ref="E911:E912"/>
    <mergeCell ref="G911:G912"/>
    <mergeCell ref="H911:H912"/>
    <mergeCell ref="I911:I912"/>
    <mergeCell ref="J911:J912"/>
    <mergeCell ref="B901:B902"/>
    <mergeCell ref="C901:C902"/>
    <mergeCell ref="D901:D902"/>
    <mergeCell ref="E901:E902"/>
    <mergeCell ref="G901:G902"/>
    <mergeCell ref="H901:H902"/>
    <mergeCell ref="I901:I902"/>
    <mergeCell ref="J901:J902"/>
    <mergeCell ref="B903:B904"/>
    <mergeCell ref="C903:C904"/>
    <mergeCell ref="D903:D904"/>
    <mergeCell ref="E903:E904"/>
    <mergeCell ref="G903:G904"/>
    <mergeCell ref="H903:H904"/>
    <mergeCell ref="I903:I904"/>
    <mergeCell ref="J903:J904"/>
    <mergeCell ref="B905:B906"/>
    <mergeCell ref="C905:C906"/>
    <mergeCell ref="D905:D906"/>
    <mergeCell ref="E905:E906"/>
    <mergeCell ref="G905:G906"/>
    <mergeCell ref="H905:H906"/>
    <mergeCell ref="I905:I906"/>
    <mergeCell ref="J905:J906"/>
    <mergeCell ref="B895:B896"/>
    <mergeCell ref="C895:C896"/>
    <mergeCell ref="D895:D896"/>
    <mergeCell ref="E895:E896"/>
    <mergeCell ref="G895:G896"/>
    <mergeCell ref="H895:H896"/>
    <mergeCell ref="I895:I896"/>
    <mergeCell ref="J895:J896"/>
    <mergeCell ref="B897:B898"/>
    <mergeCell ref="C897:C898"/>
    <mergeCell ref="D897:D898"/>
    <mergeCell ref="E897:E898"/>
    <mergeCell ref="G897:G898"/>
    <mergeCell ref="H897:H898"/>
    <mergeCell ref="I897:I898"/>
    <mergeCell ref="J897:J898"/>
    <mergeCell ref="B899:B900"/>
    <mergeCell ref="C899:C900"/>
    <mergeCell ref="D899:D900"/>
    <mergeCell ref="E899:E900"/>
    <mergeCell ref="G899:G900"/>
    <mergeCell ref="H899:H900"/>
    <mergeCell ref="I899:I900"/>
    <mergeCell ref="J899:J900"/>
    <mergeCell ref="B889:B890"/>
    <mergeCell ref="C889:C890"/>
    <mergeCell ref="D889:D890"/>
    <mergeCell ref="E889:E890"/>
    <mergeCell ref="G889:G890"/>
    <mergeCell ref="H889:H890"/>
    <mergeCell ref="I889:I890"/>
    <mergeCell ref="J889:J890"/>
    <mergeCell ref="B891:B892"/>
    <mergeCell ref="C891:C892"/>
    <mergeCell ref="D891:D892"/>
    <mergeCell ref="E891:E892"/>
    <mergeCell ref="G891:G892"/>
    <mergeCell ref="H891:H892"/>
    <mergeCell ref="I891:I892"/>
    <mergeCell ref="J891:J892"/>
    <mergeCell ref="B893:B894"/>
    <mergeCell ref="C893:C894"/>
    <mergeCell ref="D893:D894"/>
    <mergeCell ref="E893:E894"/>
    <mergeCell ref="G893:G894"/>
    <mergeCell ref="H893:H894"/>
    <mergeCell ref="I893:I894"/>
    <mergeCell ref="J893:J894"/>
    <mergeCell ref="B883:B884"/>
    <mergeCell ref="C883:C884"/>
    <mergeCell ref="D883:D884"/>
    <mergeCell ref="E883:E884"/>
    <mergeCell ref="G883:G884"/>
    <mergeCell ref="H883:H884"/>
    <mergeCell ref="I883:I884"/>
    <mergeCell ref="J883:J884"/>
    <mergeCell ref="B885:B886"/>
    <mergeCell ref="C885:C886"/>
    <mergeCell ref="D885:D886"/>
    <mergeCell ref="E885:E886"/>
    <mergeCell ref="G885:G886"/>
    <mergeCell ref="H885:H886"/>
    <mergeCell ref="I885:I886"/>
    <mergeCell ref="J885:J886"/>
    <mergeCell ref="B887:B888"/>
    <mergeCell ref="C887:C888"/>
    <mergeCell ref="D887:D888"/>
    <mergeCell ref="E887:E888"/>
    <mergeCell ref="G887:G888"/>
    <mergeCell ref="H887:H888"/>
    <mergeCell ref="I887:I888"/>
    <mergeCell ref="J887:J888"/>
    <mergeCell ref="B877:B878"/>
    <mergeCell ref="C877:C878"/>
    <mergeCell ref="D877:D878"/>
    <mergeCell ref="E877:E878"/>
    <mergeCell ref="G877:G878"/>
    <mergeCell ref="H877:H878"/>
    <mergeCell ref="I877:I878"/>
    <mergeCell ref="J877:J878"/>
    <mergeCell ref="B879:B880"/>
    <mergeCell ref="C879:C880"/>
    <mergeCell ref="D879:D880"/>
    <mergeCell ref="E879:E880"/>
    <mergeCell ref="G879:G880"/>
    <mergeCell ref="H879:H880"/>
    <mergeCell ref="I879:I880"/>
    <mergeCell ref="J879:J880"/>
    <mergeCell ref="B881:B882"/>
    <mergeCell ref="C881:C882"/>
    <mergeCell ref="D881:D882"/>
    <mergeCell ref="E881:E882"/>
    <mergeCell ref="G881:G882"/>
    <mergeCell ref="H881:H882"/>
    <mergeCell ref="I881:I882"/>
    <mergeCell ref="J881:J882"/>
    <mergeCell ref="B871:B872"/>
    <mergeCell ref="C871:C872"/>
    <mergeCell ref="D871:D872"/>
    <mergeCell ref="E871:E872"/>
    <mergeCell ref="G871:G872"/>
    <mergeCell ref="H871:H872"/>
    <mergeCell ref="I871:I872"/>
    <mergeCell ref="J871:J872"/>
    <mergeCell ref="B873:B874"/>
    <mergeCell ref="C873:C874"/>
    <mergeCell ref="D873:D874"/>
    <mergeCell ref="E873:E874"/>
    <mergeCell ref="G873:G874"/>
    <mergeCell ref="H873:H874"/>
    <mergeCell ref="I873:I874"/>
    <mergeCell ref="J873:J874"/>
    <mergeCell ref="B875:B876"/>
    <mergeCell ref="C875:C876"/>
    <mergeCell ref="D875:D876"/>
    <mergeCell ref="E875:E876"/>
    <mergeCell ref="G875:G876"/>
    <mergeCell ref="H875:H876"/>
    <mergeCell ref="I875:I876"/>
    <mergeCell ref="J875:J876"/>
    <mergeCell ref="B865:B866"/>
    <mergeCell ref="C865:C866"/>
    <mergeCell ref="D865:D866"/>
    <mergeCell ref="E865:E866"/>
    <mergeCell ref="G865:G866"/>
    <mergeCell ref="H865:H866"/>
    <mergeCell ref="I865:I866"/>
    <mergeCell ref="J865:J866"/>
    <mergeCell ref="B867:B868"/>
    <mergeCell ref="C867:C868"/>
    <mergeCell ref="D867:D868"/>
    <mergeCell ref="E867:E868"/>
    <mergeCell ref="G867:G868"/>
    <mergeCell ref="H867:H868"/>
    <mergeCell ref="I867:I868"/>
    <mergeCell ref="J867:J868"/>
    <mergeCell ref="B869:B870"/>
    <mergeCell ref="C869:C870"/>
    <mergeCell ref="D869:D870"/>
    <mergeCell ref="E869:E870"/>
    <mergeCell ref="G869:G870"/>
    <mergeCell ref="H869:H870"/>
    <mergeCell ref="I869:I870"/>
    <mergeCell ref="J869:J870"/>
    <mergeCell ref="B859:B860"/>
    <mergeCell ref="C859:C860"/>
    <mergeCell ref="D859:D860"/>
    <mergeCell ref="E859:E860"/>
    <mergeCell ref="G859:G860"/>
    <mergeCell ref="H859:H860"/>
    <mergeCell ref="I859:I860"/>
    <mergeCell ref="J859:J860"/>
    <mergeCell ref="B861:B862"/>
    <mergeCell ref="C861:C862"/>
    <mergeCell ref="D861:D862"/>
    <mergeCell ref="E861:E862"/>
    <mergeCell ref="G861:G862"/>
    <mergeCell ref="H861:H862"/>
    <mergeCell ref="I861:I862"/>
    <mergeCell ref="J861:J862"/>
    <mergeCell ref="B863:B864"/>
    <mergeCell ref="C863:C864"/>
    <mergeCell ref="D863:D864"/>
    <mergeCell ref="E863:E864"/>
    <mergeCell ref="G863:G864"/>
    <mergeCell ref="H863:H864"/>
    <mergeCell ref="I863:I864"/>
    <mergeCell ref="J863:J864"/>
    <mergeCell ref="B853:B854"/>
    <mergeCell ref="C853:C854"/>
    <mergeCell ref="D853:D854"/>
    <mergeCell ref="E853:E854"/>
    <mergeCell ref="G853:G854"/>
    <mergeCell ref="H853:H854"/>
    <mergeCell ref="I853:I854"/>
    <mergeCell ref="J853:J854"/>
    <mergeCell ref="B855:B856"/>
    <mergeCell ref="C855:C856"/>
    <mergeCell ref="D855:D856"/>
    <mergeCell ref="E855:E856"/>
    <mergeCell ref="G855:G856"/>
    <mergeCell ref="H855:H856"/>
    <mergeCell ref="I855:I856"/>
    <mergeCell ref="J855:J856"/>
    <mergeCell ref="B857:B858"/>
    <mergeCell ref="C857:C858"/>
    <mergeCell ref="D857:D858"/>
    <mergeCell ref="E857:E858"/>
    <mergeCell ref="G857:G858"/>
    <mergeCell ref="H857:H858"/>
    <mergeCell ref="I857:I858"/>
    <mergeCell ref="J857:J858"/>
    <mergeCell ref="B847:B848"/>
    <mergeCell ref="C847:C848"/>
    <mergeCell ref="D847:D848"/>
    <mergeCell ref="E847:E848"/>
    <mergeCell ref="G847:G848"/>
    <mergeCell ref="H847:H848"/>
    <mergeCell ref="I847:I848"/>
    <mergeCell ref="J847:J848"/>
    <mergeCell ref="B849:B850"/>
    <mergeCell ref="C849:C850"/>
    <mergeCell ref="D849:D850"/>
    <mergeCell ref="E849:E850"/>
    <mergeCell ref="G849:G850"/>
    <mergeCell ref="H849:H850"/>
    <mergeCell ref="I849:I850"/>
    <mergeCell ref="J849:J850"/>
    <mergeCell ref="B851:B852"/>
    <mergeCell ref="C851:C852"/>
    <mergeCell ref="D851:D852"/>
    <mergeCell ref="E851:E852"/>
    <mergeCell ref="G851:G852"/>
    <mergeCell ref="H851:H852"/>
    <mergeCell ref="I851:I852"/>
    <mergeCell ref="J851:J852"/>
    <mergeCell ref="B841:B842"/>
    <mergeCell ref="C841:C842"/>
    <mergeCell ref="D841:D842"/>
    <mergeCell ref="E841:E842"/>
    <mergeCell ref="G841:G842"/>
    <mergeCell ref="H841:H842"/>
    <mergeCell ref="I841:I842"/>
    <mergeCell ref="J841:J842"/>
    <mergeCell ref="B843:B844"/>
    <mergeCell ref="C843:C844"/>
    <mergeCell ref="D843:D844"/>
    <mergeCell ref="E843:E844"/>
    <mergeCell ref="G843:G844"/>
    <mergeCell ref="H843:H844"/>
    <mergeCell ref="I843:I844"/>
    <mergeCell ref="J843:J844"/>
    <mergeCell ref="B845:B846"/>
    <mergeCell ref="C845:C846"/>
    <mergeCell ref="D845:D846"/>
    <mergeCell ref="E845:E846"/>
    <mergeCell ref="G845:G846"/>
    <mergeCell ref="H845:H846"/>
    <mergeCell ref="I845:I846"/>
    <mergeCell ref="J845:J846"/>
    <mergeCell ref="B835:B836"/>
    <mergeCell ref="C835:C836"/>
    <mergeCell ref="D835:D836"/>
    <mergeCell ref="E835:E836"/>
    <mergeCell ref="G835:G836"/>
    <mergeCell ref="H835:H836"/>
    <mergeCell ref="I835:I836"/>
    <mergeCell ref="J835:J836"/>
    <mergeCell ref="B837:B838"/>
    <mergeCell ref="C837:C838"/>
    <mergeCell ref="D837:D838"/>
    <mergeCell ref="E837:E838"/>
    <mergeCell ref="G837:G838"/>
    <mergeCell ref="H837:H838"/>
    <mergeCell ref="I837:I838"/>
    <mergeCell ref="J837:J838"/>
    <mergeCell ref="B839:B840"/>
    <mergeCell ref="C839:C840"/>
    <mergeCell ref="D839:D840"/>
    <mergeCell ref="E839:E840"/>
    <mergeCell ref="G839:G840"/>
    <mergeCell ref="H839:H840"/>
    <mergeCell ref="I839:I840"/>
    <mergeCell ref="J839:J840"/>
    <mergeCell ref="B829:B830"/>
    <mergeCell ref="C829:C830"/>
    <mergeCell ref="D829:D830"/>
    <mergeCell ref="E829:E830"/>
    <mergeCell ref="G829:G830"/>
    <mergeCell ref="H829:H830"/>
    <mergeCell ref="I829:I830"/>
    <mergeCell ref="J829:J830"/>
    <mergeCell ref="B831:B832"/>
    <mergeCell ref="C831:C832"/>
    <mergeCell ref="D831:D832"/>
    <mergeCell ref="E831:E832"/>
    <mergeCell ref="G831:G832"/>
    <mergeCell ref="H831:H832"/>
    <mergeCell ref="I831:I832"/>
    <mergeCell ref="J831:J832"/>
    <mergeCell ref="B833:B834"/>
    <mergeCell ref="C833:C834"/>
    <mergeCell ref="D833:D834"/>
    <mergeCell ref="E833:E834"/>
    <mergeCell ref="G833:G834"/>
    <mergeCell ref="H833:H834"/>
    <mergeCell ref="I833:I834"/>
    <mergeCell ref="J833:J834"/>
    <mergeCell ref="B823:B824"/>
    <mergeCell ref="C823:C824"/>
    <mergeCell ref="D823:D824"/>
    <mergeCell ref="E823:E824"/>
    <mergeCell ref="G823:G824"/>
    <mergeCell ref="H823:H824"/>
    <mergeCell ref="I823:I824"/>
    <mergeCell ref="J823:J824"/>
    <mergeCell ref="B825:B826"/>
    <mergeCell ref="C825:C826"/>
    <mergeCell ref="D825:D826"/>
    <mergeCell ref="E825:E826"/>
    <mergeCell ref="G825:G826"/>
    <mergeCell ref="H825:H826"/>
    <mergeCell ref="I825:I826"/>
    <mergeCell ref="J825:J826"/>
    <mergeCell ref="B827:B828"/>
    <mergeCell ref="C827:C828"/>
    <mergeCell ref="D827:D828"/>
    <mergeCell ref="E827:E828"/>
    <mergeCell ref="G827:G828"/>
    <mergeCell ref="H827:H828"/>
    <mergeCell ref="I827:I828"/>
    <mergeCell ref="J827:J828"/>
    <mergeCell ref="B815:B816"/>
    <mergeCell ref="C815:C816"/>
    <mergeCell ref="D815:D816"/>
    <mergeCell ref="E815:E816"/>
    <mergeCell ref="G815:G816"/>
    <mergeCell ref="H815:H816"/>
    <mergeCell ref="I815:I816"/>
    <mergeCell ref="J815:J816"/>
    <mergeCell ref="B817:B818"/>
    <mergeCell ref="C817:C818"/>
    <mergeCell ref="D817:D818"/>
    <mergeCell ref="E817:E818"/>
    <mergeCell ref="G817:G818"/>
    <mergeCell ref="H817:H818"/>
    <mergeCell ref="I817:I818"/>
    <mergeCell ref="J817:J818"/>
    <mergeCell ref="B821:B822"/>
    <mergeCell ref="C821:C822"/>
    <mergeCell ref="D821:D822"/>
    <mergeCell ref="E821:E822"/>
    <mergeCell ref="G821:G822"/>
    <mergeCell ref="H821:H822"/>
    <mergeCell ref="I821:I822"/>
    <mergeCell ref="J821:J822"/>
    <mergeCell ref="B805:B806"/>
    <mergeCell ref="C805:C806"/>
    <mergeCell ref="D805:D806"/>
    <mergeCell ref="E805:E806"/>
    <mergeCell ref="G805:G806"/>
    <mergeCell ref="H805:H806"/>
    <mergeCell ref="I805:I806"/>
    <mergeCell ref="J805:J806"/>
    <mergeCell ref="B807:B808"/>
    <mergeCell ref="C807:C808"/>
    <mergeCell ref="D807:D808"/>
    <mergeCell ref="E807:E808"/>
    <mergeCell ref="G807:G808"/>
    <mergeCell ref="H807:H808"/>
    <mergeCell ref="I807:I808"/>
    <mergeCell ref="J807:J808"/>
    <mergeCell ref="B813:B814"/>
    <mergeCell ref="C813:C814"/>
    <mergeCell ref="D813:D814"/>
    <mergeCell ref="E813:E814"/>
    <mergeCell ref="G813:G814"/>
    <mergeCell ref="H813:H814"/>
    <mergeCell ref="I813:I814"/>
    <mergeCell ref="J813:J814"/>
    <mergeCell ref="D809:D810"/>
    <mergeCell ref="E809:E810"/>
    <mergeCell ref="G809:G810"/>
    <mergeCell ref="H809:H810"/>
    <mergeCell ref="I809:I810"/>
    <mergeCell ref="J809:J810"/>
    <mergeCell ref="B795:B796"/>
    <mergeCell ref="C795:C796"/>
    <mergeCell ref="D795:D796"/>
    <mergeCell ref="E795:E796"/>
    <mergeCell ref="G795:G796"/>
    <mergeCell ref="H795:H796"/>
    <mergeCell ref="I795:I796"/>
    <mergeCell ref="J795:J796"/>
    <mergeCell ref="B797:B798"/>
    <mergeCell ref="C797:C798"/>
    <mergeCell ref="D797:D798"/>
    <mergeCell ref="E797:E798"/>
    <mergeCell ref="G797:G798"/>
    <mergeCell ref="H797:H798"/>
    <mergeCell ref="I797:I798"/>
    <mergeCell ref="J797:J798"/>
    <mergeCell ref="B799:B800"/>
    <mergeCell ref="C799:C800"/>
    <mergeCell ref="D799:D800"/>
    <mergeCell ref="E799:E800"/>
    <mergeCell ref="G799:G800"/>
    <mergeCell ref="H799:H800"/>
    <mergeCell ref="I799:I800"/>
    <mergeCell ref="J799:J800"/>
    <mergeCell ref="D781:D782"/>
    <mergeCell ref="E781:E782"/>
    <mergeCell ref="G781:G782"/>
    <mergeCell ref="H781:H782"/>
    <mergeCell ref="I781:I782"/>
    <mergeCell ref="J781:J782"/>
    <mergeCell ref="B787:B788"/>
    <mergeCell ref="C787:C788"/>
    <mergeCell ref="D787:D788"/>
    <mergeCell ref="E787:E788"/>
    <mergeCell ref="G787:G788"/>
    <mergeCell ref="H787:H788"/>
    <mergeCell ref="I787:I788"/>
    <mergeCell ref="J787:J788"/>
    <mergeCell ref="B791:B792"/>
    <mergeCell ref="C791:C792"/>
    <mergeCell ref="D791:D792"/>
    <mergeCell ref="E791:E792"/>
    <mergeCell ref="G791:G792"/>
    <mergeCell ref="H791:H792"/>
    <mergeCell ref="I791:I792"/>
    <mergeCell ref="J791:J792"/>
    <mergeCell ref="B783:B784"/>
    <mergeCell ref="C783:C784"/>
    <mergeCell ref="D783:D784"/>
    <mergeCell ref="E783:E784"/>
    <mergeCell ref="G783:G784"/>
    <mergeCell ref="H783:H784"/>
    <mergeCell ref="I783:I784"/>
    <mergeCell ref="J783:J784"/>
    <mergeCell ref="I771:I772"/>
    <mergeCell ref="J771:J772"/>
    <mergeCell ref="B773:B774"/>
    <mergeCell ref="C773:C774"/>
    <mergeCell ref="D773:D774"/>
    <mergeCell ref="E773:E774"/>
    <mergeCell ref="G773:G774"/>
    <mergeCell ref="H773:H774"/>
    <mergeCell ref="I773:I774"/>
    <mergeCell ref="J773:J774"/>
    <mergeCell ref="B777:B778"/>
    <mergeCell ref="C777:C778"/>
    <mergeCell ref="D777:D778"/>
    <mergeCell ref="E777:E778"/>
    <mergeCell ref="G777:G778"/>
    <mergeCell ref="H777:H778"/>
    <mergeCell ref="I777:I778"/>
    <mergeCell ref="J777:J778"/>
    <mergeCell ref="B775:B776"/>
    <mergeCell ref="C775:C776"/>
    <mergeCell ref="D775:D776"/>
    <mergeCell ref="E775:E776"/>
    <mergeCell ref="G775:G776"/>
    <mergeCell ref="H775:H776"/>
    <mergeCell ref="I775:I776"/>
    <mergeCell ref="J775:J776"/>
    <mergeCell ref="B759:B760"/>
    <mergeCell ref="C759:C760"/>
    <mergeCell ref="D759:D760"/>
    <mergeCell ref="E759:E760"/>
    <mergeCell ref="G759:G760"/>
    <mergeCell ref="H759:H760"/>
    <mergeCell ref="I759:I760"/>
    <mergeCell ref="J759:J760"/>
    <mergeCell ref="B761:B762"/>
    <mergeCell ref="C761:C762"/>
    <mergeCell ref="D761:D762"/>
    <mergeCell ref="E761:E762"/>
    <mergeCell ref="G761:G762"/>
    <mergeCell ref="H761:H762"/>
    <mergeCell ref="I761:I762"/>
    <mergeCell ref="J761:J762"/>
    <mergeCell ref="B763:B764"/>
    <mergeCell ref="C763:C764"/>
    <mergeCell ref="D763:D764"/>
    <mergeCell ref="E763:E764"/>
    <mergeCell ref="G763:G764"/>
    <mergeCell ref="H763:H764"/>
    <mergeCell ref="I763:I764"/>
    <mergeCell ref="J763:J764"/>
    <mergeCell ref="B745:B746"/>
    <mergeCell ref="C745:C746"/>
    <mergeCell ref="D745:D746"/>
    <mergeCell ref="E745:E746"/>
    <mergeCell ref="G745:G746"/>
    <mergeCell ref="H745:H746"/>
    <mergeCell ref="I745:I746"/>
    <mergeCell ref="J745:J746"/>
    <mergeCell ref="B751:B752"/>
    <mergeCell ref="C751:C752"/>
    <mergeCell ref="D751:D752"/>
    <mergeCell ref="E751:E752"/>
    <mergeCell ref="G751:G752"/>
    <mergeCell ref="H751:H752"/>
    <mergeCell ref="I751:I752"/>
    <mergeCell ref="J751:J752"/>
    <mergeCell ref="B753:B754"/>
    <mergeCell ref="C753:C754"/>
    <mergeCell ref="D753:D754"/>
    <mergeCell ref="E753:E754"/>
    <mergeCell ref="G753:G754"/>
    <mergeCell ref="H753:H754"/>
    <mergeCell ref="I753:I754"/>
    <mergeCell ref="J753:J754"/>
    <mergeCell ref="B747:B748"/>
    <mergeCell ref="C747:C748"/>
    <mergeCell ref="D747:D748"/>
    <mergeCell ref="E747:E748"/>
    <mergeCell ref="G747:G748"/>
    <mergeCell ref="H747:H748"/>
    <mergeCell ref="I747:I748"/>
    <mergeCell ref="J747:J748"/>
    <mergeCell ref="B737:B738"/>
    <mergeCell ref="C737:C738"/>
    <mergeCell ref="D737:D738"/>
    <mergeCell ref="E737:E738"/>
    <mergeCell ref="G737:G738"/>
    <mergeCell ref="H737:H738"/>
    <mergeCell ref="I737:I738"/>
    <mergeCell ref="J737:J738"/>
    <mergeCell ref="B741:B742"/>
    <mergeCell ref="C741:C742"/>
    <mergeCell ref="D741:D742"/>
    <mergeCell ref="E741:E742"/>
    <mergeCell ref="G741:G742"/>
    <mergeCell ref="H741:H742"/>
    <mergeCell ref="I741:I742"/>
    <mergeCell ref="J741:J742"/>
    <mergeCell ref="B743:B744"/>
    <mergeCell ref="C743:C744"/>
    <mergeCell ref="D743:D744"/>
    <mergeCell ref="E743:E744"/>
    <mergeCell ref="G743:G744"/>
    <mergeCell ref="H743:H744"/>
    <mergeCell ref="I743:I744"/>
    <mergeCell ref="J743:J744"/>
    <mergeCell ref="B739:B740"/>
    <mergeCell ref="C739:C740"/>
    <mergeCell ref="D739:D740"/>
    <mergeCell ref="E739:E740"/>
    <mergeCell ref="G739:G740"/>
    <mergeCell ref="H739:H740"/>
    <mergeCell ref="I739:I740"/>
    <mergeCell ref="J739:J740"/>
    <mergeCell ref="B727:B728"/>
    <mergeCell ref="C727:C728"/>
    <mergeCell ref="D727:D728"/>
    <mergeCell ref="E727:E728"/>
    <mergeCell ref="G727:G728"/>
    <mergeCell ref="H727:H728"/>
    <mergeCell ref="I727:I728"/>
    <mergeCell ref="J727:J728"/>
    <mergeCell ref="B733:B734"/>
    <mergeCell ref="C733:C734"/>
    <mergeCell ref="D733:D734"/>
    <mergeCell ref="E733:E734"/>
    <mergeCell ref="G733:G734"/>
    <mergeCell ref="H733:H734"/>
    <mergeCell ref="I733:I734"/>
    <mergeCell ref="J733:J734"/>
    <mergeCell ref="B731:B732"/>
    <mergeCell ref="C731:C732"/>
    <mergeCell ref="D731:D732"/>
    <mergeCell ref="E731:E732"/>
    <mergeCell ref="G731:G732"/>
    <mergeCell ref="H731:H732"/>
    <mergeCell ref="I731:I732"/>
    <mergeCell ref="J731:J732"/>
    <mergeCell ref="B717:B718"/>
    <mergeCell ref="C717:C718"/>
    <mergeCell ref="D717:D718"/>
    <mergeCell ref="E717:E718"/>
    <mergeCell ref="G717:G718"/>
    <mergeCell ref="H717:H718"/>
    <mergeCell ref="I717:I718"/>
    <mergeCell ref="J717:J718"/>
    <mergeCell ref="B719:B720"/>
    <mergeCell ref="C719:C720"/>
    <mergeCell ref="D719:D720"/>
    <mergeCell ref="E719:E720"/>
    <mergeCell ref="G719:G720"/>
    <mergeCell ref="H719:H720"/>
    <mergeCell ref="I719:I720"/>
    <mergeCell ref="J719:J720"/>
    <mergeCell ref="B723:B724"/>
    <mergeCell ref="C723:C724"/>
    <mergeCell ref="D723:D724"/>
    <mergeCell ref="E723:E724"/>
    <mergeCell ref="G723:G724"/>
    <mergeCell ref="H723:H724"/>
    <mergeCell ref="I723:I724"/>
    <mergeCell ref="J723:J724"/>
    <mergeCell ref="B705:B706"/>
    <mergeCell ref="C705:C706"/>
    <mergeCell ref="D705:D706"/>
    <mergeCell ref="E705:E706"/>
    <mergeCell ref="G705:G706"/>
    <mergeCell ref="H705:H706"/>
    <mergeCell ref="I705:I706"/>
    <mergeCell ref="J705:J706"/>
    <mergeCell ref="B707:B708"/>
    <mergeCell ref="C707:C708"/>
    <mergeCell ref="D707:D708"/>
    <mergeCell ref="E707:E708"/>
    <mergeCell ref="G707:G708"/>
    <mergeCell ref="H707:H708"/>
    <mergeCell ref="I707:I708"/>
    <mergeCell ref="J707:J708"/>
    <mergeCell ref="B709:B710"/>
    <mergeCell ref="C709:C710"/>
    <mergeCell ref="D709:D710"/>
    <mergeCell ref="E709:E710"/>
    <mergeCell ref="G709:G710"/>
    <mergeCell ref="H709:H710"/>
    <mergeCell ref="I709:I710"/>
    <mergeCell ref="J709:J710"/>
    <mergeCell ref="B691:B692"/>
    <mergeCell ref="C691:C692"/>
    <mergeCell ref="D691:D692"/>
    <mergeCell ref="E691:E692"/>
    <mergeCell ref="G691:G692"/>
    <mergeCell ref="H691:H692"/>
    <mergeCell ref="I691:I692"/>
    <mergeCell ref="J691:J692"/>
    <mergeCell ref="B697:B698"/>
    <mergeCell ref="C697:C698"/>
    <mergeCell ref="D697:D698"/>
    <mergeCell ref="E697:E698"/>
    <mergeCell ref="G697:G698"/>
    <mergeCell ref="H697:H698"/>
    <mergeCell ref="I697:I698"/>
    <mergeCell ref="J697:J698"/>
    <mergeCell ref="B699:B700"/>
    <mergeCell ref="C699:C700"/>
    <mergeCell ref="D699:D700"/>
    <mergeCell ref="E699:E700"/>
    <mergeCell ref="G699:G700"/>
    <mergeCell ref="H699:H700"/>
    <mergeCell ref="I699:I700"/>
    <mergeCell ref="J699:J700"/>
    <mergeCell ref="B693:B694"/>
    <mergeCell ref="C693:C694"/>
    <mergeCell ref="D693:D694"/>
    <mergeCell ref="E693:E694"/>
    <mergeCell ref="G693:G694"/>
    <mergeCell ref="H693:H694"/>
    <mergeCell ref="I693:I694"/>
    <mergeCell ref="J693:J694"/>
    <mergeCell ref="B683:B684"/>
    <mergeCell ref="C683:C684"/>
    <mergeCell ref="D683:D684"/>
    <mergeCell ref="E683:E684"/>
    <mergeCell ref="G683:G684"/>
    <mergeCell ref="H683:H684"/>
    <mergeCell ref="I683:I684"/>
    <mergeCell ref="J683:J684"/>
    <mergeCell ref="B687:B688"/>
    <mergeCell ref="C687:C688"/>
    <mergeCell ref="D687:D688"/>
    <mergeCell ref="E687:E688"/>
    <mergeCell ref="G687:G688"/>
    <mergeCell ref="H687:H688"/>
    <mergeCell ref="I687:I688"/>
    <mergeCell ref="J687:J688"/>
    <mergeCell ref="B689:B690"/>
    <mergeCell ref="C689:C690"/>
    <mergeCell ref="D689:D690"/>
    <mergeCell ref="E689:E690"/>
    <mergeCell ref="G689:G690"/>
    <mergeCell ref="H689:H690"/>
    <mergeCell ref="I689:I690"/>
    <mergeCell ref="J689:J690"/>
    <mergeCell ref="B685:B686"/>
    <mergeCell ref="C685:C686"/>
    <mergeCell ref="D685:D686"/>
    <mergeCell ref="E685:E686"/>
    <mergeCell ref="G685:G686"/>
    <mergeCell ref="H685:H686"/>
    <mergeCell ref="I685:I686"/>
    <mergeCell ref="J685:J686"/>
    <mergeCell ref="B673:B674"/>
    <mergeCell ref="C673:C674"/>
    <mergeCell ref="D673:D674"/>
    <mergeCell ref="E673:E674"/>
    <mergeCell ref="G673:G674"/>
    <mergeCell ref="H673:H674"/>
    <mergeCell ref="I673:I674"/>
    <mergeCell ref="J673:J674"/>
    <mergeCell ref="B679:B680"/>
    <mergeCell ref="C679:C680"/>
    <mergeCell ref="D679:D680"/>
    <mergeCell ref="E679:E680"/>
    <mergeCell ref="G679:G680"/>
    <mergeCell ref="H679:H680"/>
    <mergeCell ref="I679:I680"/>
    <mergeCell ref="J679:J680"/>
    <mergeCell ref="B677:B678"/>
    <mergeCell ref="C677:C678"/>
    <mergeCell ref="D677:D678"/>
    <mergeCell ref="E677:E678"/>
    <mergeCell ref="G677:G678"/>
    <mergeCell ref="H677:H678"/>
    <mergeCell ref="I677:I678"/>
    <mergeCell ref="J677:J678"/>
    <mergeCell ref="B663:B664"/>
    <mergeCell ref="C663:C664"/>
    <mergeCell ref="D663:D664"/>
    <mergeCell ref="E663:E664"/>
    <mergeCell ref="G663:G664"/>
    <mergeCell ref="H663:H664"/>
    <mergeCell ref="I663:I664"/>
    <mergeCell ref="J663:J664"/>
    <mergeCell ref="B665:B666"/>
    <mergeCell ref="C665:C666"/>
    <mergeCell ref="D665:D666"/>
    <mergeCell ref="E665:E666"/>
    <mergeCell ref="G665:G666"/>
    <mergeCell ref="H665:H666"/>
    <mergeCell ref="I665:I666"/>
    <mergeCell ref="J665:J666"/>
    <mergeCell ref="B669:B670"/>
    <mergeCell ref="C669:C670"/>
    <mergeCell ref="D669:D670"/>
    <mergeCell ref="E669:E670"/>
    <mergeCell ref="G669:G670"/>
    <mergeCell ref="H669:H670"/>
    <mergeCell ref="I669:I670"/>
    <mergeCell ref="J669:J670"/>
    <mergeCell ref="B651:B652"/>
    <mergeCell ref="C651:C652"/>
    <mergeCell ref="D651:D652"/>
    <mergeCell ref="E651:E652"/>
    <mergeCell ref="G651:G652"/>
    <mergeCell ref="H651:H652"/>
    <mergeCell ref="I651:I652"/>
    <mergeCell ref="J651:J652"/>
    <mergeCell ref="B653:B654"/>
    <mergeCell ref="C653:C654"/>
    <mergeCell ref="D653:D654"/>
    <mergeCell ref="E653:E654"/>
    <mergeCell ref="G653:G654"/>
    <mergeCell ref="H653:H654"/>
    <mergeCell ref="I653:I654"/>
    <mergeCell ref="J653:J654"/>
    <mergeCell ref="B655:B656"/>
    <mergeCell ref="C655:C656"/>
    <mergeCell ref="D655:D656"/>
    <mergeCell ref="E655:E656"/>
    <mergeCell ref="G655:G656"/>
    <mergeCell ref="H655:H656"/>
    <mergeCell ref="I655:I656"/>
    <mergeCell ref="J655:J656"/>
    <mergeCell ref="I631:I632"/>
    <mergeCell ref="J631:J632"/>
    <mergeCell ref="C633:C634"/>
    <mergeCell ref="D633:D634"/>
    <mergeCell ref="E633:E634"/>
    <mergeCell ref="G633:G634"/>
    <mergeCell ref="H633:H634"/>
    <mergeCell ref="I633:I634"/>
    <mergeCell ref="B643:B644"/>
    <mergeCell ref="C643:C644"/>
    <mergeCell ref="D643:D644"/>
    <mergeCell ref="E643:E644"/>
    <mergeCell ref="G643:G644"/>
    <mergeCell ref="H643:H644"/>
    <mergeCell ref="I643:I644"/>
    <mergeCell ref="J643:J644"/>
    <mergeCell ref="B645:B646"/>
    <mergeCell ref="C645:C646"/>
    <mergeCell ref="D645:D646"/>
    <mergeCell ref="E645:E646"/>
    <mergeCell ref="G645:G646"/>
    <mergeCell ref="H645:H646"/>
    <mergeCell ref="I645:I646"/>
    <mergeCell ref="J645:J646"/>
    <mergeCell ref="B633:B634"/>
    <mergeCell ref="B635:B636"/>
    <mergeCell ref="B637:B638"/>
    <mergeCell ref="C637:C638"/>
    <mergeCell ref="D637:D638"/>
    <mergeCell ref="E637:E638"/>
    <mergeCell ref="G637:G638"/>
    <mergeCell ref="H637:H638"/>
    <mergeCell ref="I637:I638"/>
    <mergeCell ref="J637:J638"/>
    <mergeCell ref="B639:B640"/>
    <mergeCell ref="C639:C640"/>
    <mergeCell ref="D639:D640"/>
    <mergeCell ref="E639:E640"/>
    <mergeCell ref="G639:G640"/>
    <mergeCell ref="H639:H640"/>
    <mergeCell ref="I639:I640"/>
    <mergeCell ref="J639:J640"/>
    <mergeCell ref="J633:J634"/>
    <mergeCell ref="C635:C636"/>
    <mergeCell ref="D635:D636"/>
    <mergeCell ref="E635:E636"/>
    <mergeCell ref="G635:G636"/>
    <mergeCell ref="H635:H636"/>
    <mergeCell ref="I635:I636"/>
    <mergeCell ref="J635:J636"/>
    <mergeCell ref="B308:B309"/>
    <mergeCell ref="C308:C309"/>
    <mergeCell ref="D308:D309"/>
    <mergeCell ref="E308:E309"/>
    <mergeCell ref="G308:G309"/>
    <mergeCell ref="H308:H309"/>
    <mergeCell ref="I308:I309"/>
    <mergeCell ref="J308:J309"/>
    <mergeCell ref="C623:C624"/>
    <mergeCell ref="D623:D624"/>
    <mergeCell ref="E623:E624"/>
    <mergeCell ref="G623:G624"/>
    <mergeCell ref="H623:H624"/>
    <mergeCell ref="I623:I624"/>
    <mergeCell ref="J623:J624"/>
    <mergeCell ref="B623:B624"/>
    <mergeCell ref="B614:B615"/>
    <mergeCell ref="B612:B613"/>
    <mergeCell ref="B608:B609"/>
    <mergeCell ref="C608:C609"/>
    <mergeCell ref="D608:D609"/>
    <mergeCell ref="E608:E609"/>
    <mergeCell ref="G608:G609"/>
    <mergeCell ref="H608:H609"/>
    <mergeCell ref="I608:I609"/>
    <mergeCell ref="J608:J609"/>
    <mergeCell ref="B610:B611"/>
    <mergeCell ref="C610:C611"/>
    <mergeCell ref="D610:D611"/>
    <mergeCell ref="E610:E611"/>
    <mergeCell ref="G610:G611"/>
    <mergeCell ref="H610:H611"/>
    <mergeCell ref="C625:C626"/>
    <mergeCell ref="D625:D626"/>
    <mergeCell ref="E625:E626"/>
    <mergeCell ref="G625:G626"/>
    <mergeCell ref="H625:H626"/>
    <mergeCell ref="I625:I626"/>
    <mergeCell ref="B819:B820"/>
    <mergeCell ref="C819:C820"/>
    <mergeCell ref="D819:D820"/>
    <mergeCell ref="E819:E820"/>
    <mergeCell ref="G819:G820"/>
    <mergeCell ref="H819:H820"/>
    <mergeCell ref="I819:I820"/>
    <mergeCell ref="J819:J820"/>
    <mergeCell ref="B811:B812"/>
    <mergeCell ref="C811:C812"/>
    <mergeCell ref="D811:D812"/>
    <mergeCell ref="E811:E812"/>
    <mergeCell ref="G811:G812"/>
    <mergeCell ref="H811:H812"/>
    <mergeCell ref="I811:I812"/>
    <mergeCell ref="J811:J812"/>
    <mergeCell ref="B803:B804"/>
    <mergeCell ref="C803:C804"/>
    <mergeCell ref="D803:D804"/>
    <mergeCell ref="E803:E804"/>
    <mergeCell ref="G803:G804"/>
    <mergeCell ref="H803:H804"/>
    <mergeCell ref="I803:I804"/>
    <mergeCell ref="J803:J804"/>
    <mergeCell ref="B809:B810"/>
    <mergeCell ref="C809:C810"/>
    <mergeCell ref="I801:I802"/>
    <mergeCell ref="J801:J802"/>
    <mergeCell ref="B793:B794"/>
    <mergeCell ref="C793:C794"/>
    <mergeCell ref="D793:D794"/>
    <mergeCell ref="E793:E794"/>
    <mergeCell ref="G793:G794"/>
    <mergeCell ref="H793:H794"/>
    <mergeCell ref="I793:I794"/>
    <mergeCell ref="J793:J794"/>
    <mergeCell ref="B785:B786"/>
    <mergeCell ref="C785:C786"/>
    <mergeCell ref="D785:D786"/>
    <mergeCell ref="E785:E786"/>
    <mergeCell ref="G785:G786"/>
    <mergeCell ref="H785:H786"/>
    <mergeCell ref="I785:I786"/>
    <mergeCell ref="J785:J786"/>
    <mergeCell ref="B801:B802"/>
    <mergeCell ref="C801:C802"/>
    <mergeCell ref="D801:D802"/>
    <mergeCell ref="E801:E802"/>
    <mergeCell ref="G801:G802"/>
    <mergeCell ref="H801:H802"/>
    <mergeCell ref="B789:B790"/>
    <mergeCell ref="C789:C790"/>
    <mergeCell ref="D789:D790"/>
    <mergeCell ref="E789:E790"/>
    <mergeCell ref="G789:G790"/>
    <mergeCell ref="H789:H790"/>
    <mergeCell ref="I789:I790"/>
    <mergeCell ref="J789:J790"/>
    <mergeCell ref="B779:B780"/>
    <mergeCell ref="C779:C780"/>
    <mergeCell ref="D779:D780"/>
    <mergeCell ref="E779:E780"/>
    <mergeCell ref="G779:G780"/>
    <mergeCell ref="H779:H780"/>
    <mergeCell ref="I779:I780"/>
    <mergeCell ref="J779:J780"/>
    <mergeCell ref="B781:B782"/>
    <mergeCell ref="C781:C782"/>
    <mergeCell ref="B767:B768"/>
    <mergeCell ref="C767:C768"/>
    <mergeCell ref="D767:D768"/>
    <mergeCell ref="E767:E768"/>
    <mergeCell ref="G767:G768"/>
    <mergeCell ref="H767:H768"/>
    <mergeCell ref="I767:I768"/>
    <mergeCell ref="J767:J768"/>
    <mergeCell ref="B769:B770"/>
    <mergeCell ref="C769:C770"/>
    <mergeCell ref="D769:D770"/>
    <mergeCell ref="E769:E770"/>
    <mergeCell ref="G769:G770"/>
    <mergeCell ref="H769:H770"/>
    <mergeCell ref="I769:I770"/>
    <mergeCell ref="J769:J770"/>
    <mergeCell ref="B771:B772"/>
    <mergeCell ref="C771:C772"/>
    <mergeCell ref="D771:D772"/>
    <mergeCell ref="E771:E772"/>
    <mergeCell ref="G771:G772"/>
    <mergeCell ref="H771:H772"/>
    <mergeCell ref="B765:B766"/>
    <mergeCell ref="C765:C766"/>
    <mergeCell ref="D765:D766"/>
    <mergeCell ref="E765:E766"/>
    <mergeCell ref="G765:G766"/>
    <mergeCell ref="H765:H766"/>
    <mergeCell ref="I765:I766"/>
    <mergeCell ref="J765:J766"/>
    <mergeCell ref="B757:B758"/>
    <mergeCell ref="C757:C758"/>
    <mergeCell ref="D757:D758"/>
    <mergeCell ref="E757:E758"/>
    <mergeCell ref="G757:G758"/>
    <mergeCell ref="H757:H758"/>
    <mergeCell ref="I757:I758"/>
    <mergeCell ref="J757:J758"/>
    <mergeCell ref="B749:B750"/>
    <mergeCell ref="C749:C750"/>
    <mergeCell ref="D749:D750"/>
    <mergeCell ref="E749:E750"/>
    <mergeCell ref="G749:G750"/>
    <mergeCell ref="H749:H750"/>
    <mergeCell ref="I749:I750"/>
    <mergeCell ref="J749:J750"/>
    <mergeCell ref="B755:B756"/>
    <mergeCell ref="C755:C756"/>
    <mergeCell ref="D755:D756"/>
    <mergeCell ref="E755:E756"/>
    <mergeCell ref="G755:G756"/>
    <mergeCell ref="H755:H756"/>
    <mergeCell ref="I755:I756"/>
    <mergeCell ref="J755:J756"/>
    <mergeCell ref="B735:B736"/>
    <mergeCell ref="C735:C736"/>
    <mergeCell ref="D735:D736"/>
    <mergeCell ref="E735:E736"/>
    <mergeCell ref="G735:G736"/>
    <mergeCell ref="H735:H736"/>
    <mergeCell ref="I735:I736"/>
    <mergeCell ref="J735:J736"/>
    <mergeCell ref="B729:B730"/>
    <mergeCell ref="C729:C730"/>
    <mergeCell ref="D729:D730"/>
    <mergeCell ref="E729:E730"/>
    <mergeCell ref="G729:G730"/>
    <mergeCell ref="H729:H730"/>
    <mergeCell ref="I729:I730"/>
    <mergeCell ref="J729:J730"/>
    <mergeCell ref="B721:B722"/>
    <mergeCell ref="C721:C722"/>
    <mergeCell ref="D721:D722"/>
    <mergeCell ref="E721:E722"/>
    <mergeCell ref="G721:G722"/>
    <mergeCell ref="H721:H722"/>
    <mergeCell ref="I721:I722"/>
    <mergeCell ref="J721:J722"/>
    <mergeCell ref="B725:B726"/>
    <mergeCell ref="C725:C726"/>
    <mergeCell ref="D725:D726"/>
    <mergeCell ref="E725:E726"/>
    <mergeCell ref="G725:G726"/>
    <mergeCell ref="H725:H726"/>
    <mergeCell ref="I725:I726"/>
    <mergeCell ref="J725:J726"/>
    <mergeCell ref="B713:B714"/>
    <mergeCell ref="C713:C714"/>
    <mergeCell ref="D713:D714"/>
    <mergeCell ref="E713:E714"/>
    <mergeCell ref="G713:G714"/>
    <mergeCell ref="H713:H714"/>
    <mergeCell ref="I713:I714"/>
    <mergeCell ref="J713:J714"/>
    <mergeCell ref="B715:B716"/>
    <mergeCell ref="C715:C716"/>
    <mergeCell ref="D715:D716"/>
    <mergeCell ref="E715:E716"/>
    <mergeCell ref="G715:G716"/>
    <mergeCell ref="H715:H716"/>
    <mergeCell ref="I715:I716"/>
    <mergeCell ref="J715:J716"/>
    <mergeCell ref="B711:B712"/>
    <mergeCell ref="C711:C712"/>
    <mergeCell ref="D711:D712"/>
    <mergeCell ref="E711:E712"/>
    <mergeCell ref="G711:G712"/>
    <mergeCell ref="H711:H712"/>
    <mergeCell ref="I711:I712"/>
    <mergeCell ref="J711:J712"/>
    <mergeCell ref="B703:B704"/>
    <mergeCell ref="C703:C704"/>
    <mergeCell ref="D703:D704"/>
    <mergeCell ref="E703:E704"/>
    <mergeCell ref="G703:G704"/>
    <mergeCell ref="H703:H704"/>
    <mergeCell ref="I703:I704"/>
    <mergeCell ref="J703:J704"/>
    <mergeCell ref="B695:B696"/>
    <mergeCell ref="C695:C696"/>
    <mergeCell ref="D695:D696"/>
    <mergeCell ref="E695:E696"/>
    <mergeCell ref="G695:G696"/>
    <mergeCell ref="H695:H696"/>
    <mergeCell ref="I695:I696"/>
    <mergeCell ref="J695:J696"/>
    <mergeCell ref="B701:B702"/>
    <mergeCell ref="C701:C702"/>
    <mergeCell ref="D701:D702"/>
    <mergeCell ref="E701:E702"/>
    <mergeCell ref="G701:G702"/>
    <mergeCell ref="H701:H702"/>
    <mergeCell ref="I701:I702"/>
    <mergeCell ref="J701:J702"/>
    <mergeCell ref="B681:B682"/>
    <mergeCell ref="C681:C682"/>
    <mergeCell ref="D681:D682"/>
    <mergeCell ref="E681:E682"/>
    <mergeCell ref="G681:G682"/>
    <mergeCell ref="H681:H682"/>
    <mergeCell ref="I681:I682"/>
    <mergeCell ref="J681:J682"/>
    <mergeCell ref="B675:B676"/>
    <mergeCell ref="C675:C676"/>
    <mergeCell ref="D675:D676"/>
    <mergeCell ref="E675:E676"/>
    <mergeCell ref="G675:G676"/>
    <mergeCell ref="H675:H676"/>
    <mergeCell ref="I675:I676"/>
    <mergeCell ref="J675:J676"/>
    <mergeCell ref="B667:B668"/>
    <mergeCell ref="C667:C668"/>
    <mergeCell ref="D667:D668"/>
    <mergeCell ref="E667:E668"/>
    <mergeCell ref="G667:G668"/>
    <mergeCell ref="H667:H668"/>
    <mergeCell ref="I667:I668"/>
    <mergeCell ref="J667:J668"/>
    <mergeCell ref="B671:B672"/>
    <mergeCell ref="C671:C672"/>
    <mergeCell ref="D671:D672"/>
    <mergeCell ref="E671:E672"/>
    <mergeCell ref="G671:G672"/>
    <mergeCell ref="H671:H672"/>
    <mergeCell ref="I671:I672"/>
    <mergeCell ref="J671:J672"/>
    <mergeCell ref="B659:B660"/>
    <mergeCell ref="C659:C660"/>
    <mergeCell ref="D659:D660"/>
    <mergeCell ref="E659:E660"/>
    <mergeCell ref="G659:G660"/>
    <mergeCell ref="H659:H660"/>
    <mergeCell ref="I659:I660"/>
    <mergeCell ref="J659:J660"/>
    <mergeCell ref="B661:B662"/>
    <mergeCell ref="C661:C662"/>
    <mergeCell ref="D661:D662"/>
    <mergeCell ref="E661:E662"/>
    <mergeCell ref="G661:G662"/>
    <mergeCell ref="H661:H662"/>
    <mergeCell ref="I661:I662"/>
    <mergeCell ref="J661:J662"/>
    <mergeCell ref="B657:B658"/>
    <mergeCell ref="C657:C658"/>
    <mergeCell ref="D657:D658"/>
    <mergeCell ref="E657:E658"/>
    <mergeCell ref="G657:G658"/>
    <mergeCell ref="H657:H658"/>
    <mergeCell ref="I657:I658"/>
    <mergeCell ref="J657:J658"/>
    <mergeCell ref="B649:B650"/>
    <mergeCell ref="C649:C650"/>
    <mergeCell ref="D649:D650"/>
    <mergeCell ref="E649:E650"/>
    <mergeCell ref="G649:G650"/>
    <mergeCell ref="H649:H650"/>
    <mergeCell ref="I649:I650"/>
    <mergeCell ref="J649:J650"/>
    <mergeCell ref="B641:B642"/>
    <mergeCell ref="C641:C642"/>
    <mergeCell ref="D641:D642"/>
    <mergeCell ref="E641:E642"/>
    <mergeCell ref="G641:G642"/>
    <mergeCell ref="H641:H642"/>
    <mergeCell ref="I641:I642"/>
    <mergeCell ref="J641:J642"/>
    <mergeCell ref="B647:B648"/>
    <mergeCell ref="C647:C648"/>
    <mergeCell ref="D647:D648"/>
    <mergeCell ref="E647:E648"/>
    <mergeCell ref="G647:G648"/>
    <mergeCell ref="H647:H648"/>
    <mergeCell ref="I647:I648"/>
    <mergeCell ref="J647:J648"/>
    <mergeCell ref="C629:C630"/>
    <mergeCell ref="D629:D630"/>
    <mergeCell ref="E629:E630"/>
    <mergeCell ref="G629:G630"/>
    <mergeCell ref="H629:H630"/>
    <mergeCell ref="I629:I630"/>
    <mergeCell ref="J629:J630"/>
    <mergeCell ref="C631:C632"/>
    <mergeCell ref="D627:D628"/>
    <mergeCell ref="E627:E628"/>
    <mergeCell ref="G627:G628"/>
    <mergeCell ref="H627:H628"/>
    <mergeCell ref="I627:I628"/>
    <mergeCell ref="J627:J628"/>
    <mergeCell ref="B625:B626"/>
    <mergeCell ref="B627:B628"/>
    <mergeCell ref="C614:C615"/>
    <mergeCell ref="D614:D615"/>
    <mergeCell ref="E614:E615"/>
    <mergeCell ref="G614:G615"/>
    <mergeCell ref="H614:H615"/>
    <mergeCell ref="I614:I615"/>
    <mergeCell ref="J614:J615"/>
    <mergeCell ref="B621:B622"/>
    <mergeCell ref="J625:J626"/>
    <mergeCell ref="C627:C628"/>
    <mergeCell ref="B629:B630"/>
    <mergeCell ref="B631:B632"/>
    <mergeCell ref="D631:D632"/>
    <mergeCell ref="E631:E632"/>
    <mergeCell ref="G631:G632"/>
    <mergeCell ref="H631:H632"/>
    <mergeCell ref="I610:I611"/>
    <mergeCell ref="J610:J611"/>
    <mergeCell ref="C612:C613"/>
    <mergeCell ref="D612:D613"/>
    <mergeCell ref="E612:E613"/>
    <mergeCell ref="G612:G613"/>
    <mergeCell ref="H612:H613"/>
    <mergeCell ref="I612:I613"/>
    <mergeCell ref="J612:J613"/>
    <mergeCell ref="B602:B603"/>
    <mergeCell ref="C602:C603"/>
    <mergeCell ref="D602:D603"/>
    <mergeCell ref="E602:E603"/>
    <mergeCell ref="G602:G603"/>
    <mergeCell ref="H602:H603"/>
    <mergeCell ref="I602:I603"/>
    <mergeCell ref="J602:J603"/>
    <mergeCell ref="B604:B605"/>
    <mergeCell ref="C604:C605"/>
    <mergeCell ref="D604:D605"/>
    <mergeCell ref="E604:E605"/>
    <mergeCell ref="G604:G605"/>
    <mergeCell ref="H604:H605"/>
    <mergeCell ref="I604:I605"/>
    <mergeCell ref="J604:J605"/>
    <mergeCell ref="B606:B607"/>
    <mergeCell ref="C606:C607"/>
    <mergeCell ref="D606:D607"/>
    <mergeCell ref="E606:E607"/>
    <mergeCell ref="G606:G607"/>
    <mergeCell ref="H606:H607"/>
    <mergeCell ref="I606:I607"/>
    <mergeCell ref="J606:J607"/>
    <mergeCell ref="B596:B597"/>
    <mergeCell ref="C596:C597"/>
    <mergeCell ref="D596:D597"/>
    <mergeCell ref="E596:E597"/>
    <mergeCell ref="G596:G597"/>
    <mergeCell ref="H596:H597"/>
    <mergeCell ref="I596:I597"/>
    <mergeCell ref="J596:J597"/>
    <mergeCell ref="B598:B599"/>
    <mergeCell ref="C598:C599"/>
    <mergeCell ref="D598:D599"/>
    <mergeCell ref="E598:E599"/>
    <mergeCell ref="G598:G599"/>
    <mergeCell ref="H598:H599"/>
    <mergeCell ref="I598:I599"/>
    <mergeCell ref="J598:J599"/>
    <mergeCell ref="B600:B601"/>
    <mergeCell ref="C600:C601"/>
    <mergeCell ref="D600:D601"/>
    <mergeCell ref="E600:E601"/>
    <mergeCell ref="G600:G601"/>
    <mergeCell ref="H600:H601"/>
    <mergeCell ref="I600:I601"/>
    <mergeCell ref="J600:J601"/>
    <mergeCell ref="B590:B591"/>
    <mergeCell ref="C590:C591"/>
    <mergeCell ref="D590:D591"/>
    <mergeCell ref="E590:E591"/>
    <mergeCell ref="G590:G591"/>
    <mergeCell ref="H590:H591"/>
    <mergeCell ref="I590:I591"/>
    <mergeCell ref="J590:J591"/>
    <mergeCell ref="B592:B593"/>
    <mergeCell ref="C592:C593"/>
    <mergeCell ref="D592:D593"/>
    <mergeCell ref="E592:E593"/>
    <mergeCell ref="G592:G593"/>
    <mergeCell ref="H592:H593"/>
    <mergeCell ref="I592:I593"/>
    <mergeCell ref="J592:J593"/>
    <mergeCell ref="B594:B595"/>
    <mergeCell ref="C594:C595"/>
    <mergeCell ref="D594:D595"/>
    <mergeCell ref="E594:E595"/>
    <mergeCell ref="G594:G595"/>
    <mergeCell ref="H594:H595"/>
    <mergeCell ref="I594:I595"/>
    <mergeCell ref="J594:J595"/>
    <mergeCell ref="B584:B585"/>
    <mergeCell ref="C584:C585"/>
    <mergeCell ref="D584:D585"/>
    <mergeCell ref="E584:E585"/>
    <mergeCell ref="G584:G585"/>
    <mergeCell ref="H584:H585"/>
    <mergeCell ref="I584:I585"/>
    <mergeCell ref="J584:J585"/>
    <mergeCell ref="B586:B587"/>
    <mergeCell ref="C586:C587"/>
    <mergeCell ref="D586:D587"/>
    <mergeCell ref="E586:E587"/>
    <mergeCell ref="G586:G587"/>
    <mergeCell ref="H586:H587"/>
    <mergeCell ref="I586:I587"/>
    <mergeCell ref="J586:J587"/>
    <mergeCell ref="B588:B589"/>
    <mergeCell ref="C588:C589"/>
    <mergeCell ref="D588:D589"/>
    <mergeCell ref="E588:E589"/>
    <mergeCell ref="G588:G589"/>
    <mergeCell ref="H588:H589"/>
    <mergeCell ref="I588:I589"/>
    <mergeCell ref="J588:J589"/>
    <mergeCell ref="B578:B579"/>
    <mergeCell ref="C578:C579"/>
    <mergeCell ref="D578:D579"/>
    <mergeCell ref="E578:E579"/>
    <mergeCell ref="G578:G579"/>
    <mergeCell ref="H578:H579"/>
    <mergeCell ref="I578:I579"/>
    <mergeCell ref="J578:J579"/>
    <mergeCell ref="B580:B581"/>
    <mergeCell ref="C580:C581"/>
    <mergeCell ref="D580:D581"/>
    <mergeCell ref="E580:E581"/>
    <mergeCell ref="G580:G581"/>
    <mergeCell ref="H580:H581"/>
    <mergeCell ref="I580:I581"/>
    <mergeCell ref="J580:J581"/>
    <mergeCell ref="B582:B583"/>
    <mergeCell ref="C582:C583"/>
    <mergeCell ref="D582:D583"/>
    <mergeCell ref="E582:E583"/>
    <mergeCell ref="G582:G583"/>
    <mergeCell ref="H582:H583"/>
    <mergeCell ref="I582:I583"/>
    <mergeCell ref="J582:J583"/>
    <mergeCell ref="B572:B573"/>
    <mergeCell ref="C572:C573"/>
    <mergeCell ref="D572:D573"/>
    <mergeCell ref="E572:E573"/>
    <mergeCell ref="G572:G573"/>
    <mergeCell ref="H572:H573"/>
    <mergeCell ref="I572:I573"/>
    <mergeCell ref="J572:J573"/>
    <mergeCell ref="B574:B575"/>
    <mergeCell ref="C574:C575"/>
    <mergeCell ref="D574:D575"/>
    <mergeCell ref="E574:E575"/>
    <mergeCell ref="G574:G575"/>
    <mergeCell ref="H574:H575"/>
    <mergeCell ref="I574:I575"/>
    <mergeCell ref="J574:J575"/>
    <mergeCell ref="B576:B577"/>
    <mergeCell ref="C576:C577"/>
    <mergeCell ref="D576:D577"/>
    <mergeCell ref="E576:E577"/>
    <mergeCell ref="G576:G577"/>
    <mergeCell ref="H576:H577"/>
    <mergeCell ref="I576:I577"/>
    <mergeCell ref="J576:J577"/>
    <mergeCell ref="B566:B567"/>
    <mergeCell ref="C566:C567"/>
    <mergeCell ref="D566:D567"/>
    <mergeCell ref="E566:E567"/>
    <mergeCell ref="G566:G567"/>
    <mergeCell ref="H566:H567"/>
    <mergeCell ref="I566:I567"/>
    <mergeCell ref="J566:J567"/>
    <mergeCell ref="B568:B569"/>
    <mergeCell ref="C568:C569"/>
    <mergeCell ref="D568:D569"/>
    <mergeCell ref="E568:E569"/>
    <mergeCell ref="G568:G569"/>
    <mergeCell ref="H568:H569"/>
    <mergeCell ref="I568:I569"/>
    <mergeCell ref="J568:J569"/>
    <mergeCell ref="B570:B571"/>
    <mergeCell ref="C570:C571"/>
    <mergeCell ref="D570:D571"/>
    <mergeCell ref="E570:E571"/>
    <mergeCell ref="G570:G571"/>
    <mergeCell ref="H570:H571"/>
    <mergeCell ref="I570:I571"/>
    <mergeCell ref="J570:J571"/>
    <mergeCell ref="B560:B561"/>
    <mergeCell ref="C560:C561"/>
    <mergeCell ref="D560:D561"/>
    <mergeCell ref="E560:E561"/>
    <mergeCell ref="G560:G561"/>
    <mergeCell ref="H560:H561"/>
    <mergeCell ref="I560:I561"/>
    <mergeCell ref="J560:J561"/>
    <mergeCell ref="B562:B563"/>
    <mergeCell ref="C562:C563"/>
    <mergeCell ref="D562:D563"/>
    <mergeCell ref="E562:E563"/>
    <mergeCell ref="G562:G563"/>
    <mergeCell ref="H562:H563"/>
    <mergeCell ref="I562:I563"/>
    <mergeCell ref="J562:J563"/>
    <mergeCell ref="B564:B565"/>
    <mergeCell ref="C564:C565"/>
    <mergeCell ref="D564:D565"/>
    <mergeCell ref="E564:E565"/>
    <mergeCell ref="G564:G565"/>
    <mergeCell ref="H564:H565"/>
    <mergeCell ref="I564:I565"/>
    <mergeCell ref="J564:J565"/>
    <mergeCell ref="B554:B555"/>
    <mergeCell ref="C554:C555"/>
    <mergeCell ref="D554:D555"/>
    <mergeCell ref="E554:E555"/>
    <mergeCell ref="G554:G555"/>
    <mergeCell ref="H554:H555"/>
    <mergeCell ref="I554:I555"/>
    <mergeCell ref="J554:J555"/>
    <mergeCell ref="B556:B557"/>
    <mergeCell ref="C556:C557"/>
    <mergeCell ref="D556:D557"/>
    <mergeCell ref="E556:E557"/>
    <mergeCell ref="G556:G557"/>
    <mergeCell ref="H556:H557"/>
    <mergeCell ref="I556:I557"/>
    <mergeCell ref="J556:J557"/>
    <mergeCell ref="B558:B559"/>
    <mergeCell ref="C558:C559"/>
    <mergeCell ref="D558:D559"/>
    <mergeCell ref="E558:E559"/>
    <mergeCell ref="G558:G559"/>
    <mergeCell ref="H558:H559"/>
    <mergeCell ref="I558:I559"/>
    <mergeCell ref="J558:J559"/>
    <mergeCell ref="B548:B549"/>
    <mergeCell ref="C548:C549"/>
    <mergeCell ref="D548:D549"/>
    <mergeCell ref="E548:E549"/>
    <mergeCell ref="G548:G549"/>
    <mergeCell ref="H548:H549"/>
    <mergeCell ref="I548:I549"/>
    <mergeCell ref="J548:J549"/>
    <mergeCell ref="B550:B551"/>
    <mergeCell ref="C550:C551"/>
    <mergeCell ref="D550:D551"/>
    <mergeCell ref="E550:E551"/>
    <mergeCell ref="G550:G551"/>
    <mergeCell ref="H550:H551"/>
    <mergeCell ref="I550:I551"/>
    <mergeCell ref="J550:J551"/>
    <mergeCell ref="B552:B553"/>
    <mergeCell ref="C552:C553"/>
    <mergeCell ref="D552:D553"/>
    <mergeCell ref="E552:E553"/>
    <mergeCell ref="G552:G553"/>
    <mergeCell ref="H552:H553"/>
    <mergeCell ref="I552:I553"/>
    <mergeCell ref="J552:J553"/>
    <mergeCell ref="B542:B543"/>
    <mergeCell ref="C542:C543"/>
    <mergeCell ref="D542:D543"/>
    <mergeCell ref="E542:E543"/>
    <mergeCell ref="G542:G543"/>
    <mergeCell ref="H542:H543"/>
    <mergeCell ref="I542:I543"/>
    <mergeCell ref="J542:J543"/>
    <mergeCell ref="B544:B545"/>
    <mergeCell ref="C544:C545"/>
    <mergeCell ref="D544:D545"/>
    <mergeCell ref="E544:E545"/>
    <mergeCell ref="G544:G545"/>
    <mergeCell ref="H544:H545"/>
    <mergeCell ref="I544:I545"/>
    <mergeCell ref="J544:J545"/>
    <mergeCell ref="B546:B547"/>
    <mergeCell ref="C546:C547"/>
    <mergeCell ref="D546:D547"/>
    <mergeCell ref="E546:E547"/>
    <mergeCell ref="G546:G547"/>
    <mergeCell ref="H546:H547"/>
    <mergeCell ref="I546:I547"/>
    <mergeCell ref="J546:J547"/>
    <mergeCell ref="B536:B537"/>
    <mergeCell ref="C536:C537"/>
    <mergeCell ref="D536:D537"/>
    <mergeCell ref="E536:E537"/>
    <mergeCell ref="G536:G537"/>
    <mergeCell ref="H536:H537"/>
    <mergeCell ref="I536:I537"/>
    <mergeCell ref="J536:J537"/>
    <mergeCell ref="B538:B539"/>
    <mergeCell ref="C538:C539"/>
    <mergeCell ref="D538:D539"/>
    <mergeCell ref="E538:E539"/>
    <mergeCell ref="G538:G539"/>
    <mergeCell ref="H538:H539"/>
    <mergeCell ref="I538:I539"/>
    <mergeCell ref="J538:J539"/>
    <mergeCell ref="B540:B541"/>
    <mergeCell ref="C540:C541"/>
    <mergeCell ref="D540:D541"/>
    <mergeCell ref="E540:E541"/>
    <mergeCell ref="G540:G541"/>
    <mergeCell ref="H540:H541"/>
    <mergeCell ref="I540:I541"/>
    <mergeCell ref="J540:J541"/>
    <mergeCell ref="B530:B531"/>
    <mergeCell ref="C530:C531"/>
    <mergeCell ref="D530:D531"/>
    <mergeCell ref="E530:E531"/>
    <mergeCell ref="G530:G531"/>
    <mergeCell ref="H530:H531"/>
    <mergeCell ref="I530:I531"/>
    <mergeCell ref="J530:J531"/>
    <mergeCell ref="B532:B533"/>
    <mergeCell ref="C532:C533"/>
    <mergeCell ref="D532:D533"/>
    <mergeCell ref="E532:E533"/>
    <mergeCell ref="G532:G533"/>
    <mergeCell ref="H532:H533"/>
    <mergeCell ref="I532:I533"/>
    <mergeCell ref="J532:J533"/>
    <mergeCell ref="B534:B535"/>
    <mergeCell ref="C534:C535"/>
    <mergeCell ref="D534:D535"/>
    <mergeCell ref="E534:E535"/>
    <mergeCell ref="G534:G535"/>
    <mergeCell ref="H534:H535"/>
    <mergeCell ref="I534:I535"/>
    <mergeCell ref="J534:J535"/>
    <mergeCell ref="B524:B525"/>
    <mergeCell ref="C524:C525"/>
    <mergeCell ref="D524:D525"/>
    <mergeCell ref="E524:E525"/>
    <mergeCell ref="G524:G525"/>
    <mergeCell ref="H524:H525"/>
    <mergeCell ref="I524:I525"/>
    <mergeCell ref="J524:J525"/>
    <mergeCell ref="B526:B527"/>
    <mergeCell ref="C526:C527"/>
    <mergeCell ref="D526:D527"/>
    <mergeCell ref="E526:E527"/>
    <mergeCell ref="G526:G527"/>
    <mergeCell ref="H526:H527"/>
    <mergeCell ref="I526:I527"/>
    <mergeCell ref="J526:J527"/>
    <mergeCell ref="B528:B529"/>
    <mergeCell ref="C528:C529"/>
    <mergeCell ref="D528:D529"/>
    <mergeCell ref="E528:E529"/>
    <mergeCell ref="G528:G529"/>
    <mergeCell ref="H528:H529"/>
    <mergeCell ref="I528:I529"/>
    <mergeCell ref="J528:J529"/>
    <mergeCell ref="B518:B519"/>
    <mergeCell ref="C518:C519"/>
    <mergeCell ref="D518:D519"/>
    <mergeCell ref="E518:E519"/>
    <mergeCell ref="G518:G519"/>
    <mergeCell ref="H518:H519"/>
    <mergeCell ref="I518:I519"/>
    <mergeCell ref="J518:J519"/>
    <mergeCell ref="B520:B521"/>
    <mergeCell ref="C520:C521"/>
    <mergeCell ref="D520:D521"/>
    <mergeCell ref="E520:E521"/>
    <mergeCell ref="G520:G521"/>
    <mergeCell ref="H520:H521"/>
    <mergeCell ref="I520:I521"/>
    <mergeCell ref="J520:J521"/>
    <mergeCell ref="B522:B523"/>
    <mergeCell ref="C522:C523"/>
    <mergeCell ref="D522:D523"/>
    <mergeCell ref="E522:E523"/>
    <mergeCell ref="G522:G523"/>
    <mergeCell ref="H522:H523"/>
    <mergeCell ref="I522:I523"/>
    <mergeCell ref="J522:J523"/>
    <mergeCell ref="B512:B513"/>
    <mergeCell ref="C512:C513"/>
    <mergeCell ref="D512:D513"/>
    <mergeCell ref="E512:E513"/>
    <mergeCell ref="G512:G513"/>
    <mergeCell ref="H512:H513"/>
    <mergeCell ref="I512:I513"/>
    <mergeCell ref="J512:J513"/>
    <mergeCell ref="B514:B515"/>
    <mergeCell ref="C514:C515"/>
    <mergeCell ref="D514:D515"/>
    <mergeCell ref="E514:E515"/>
    <mergeCell ref="G514:G515"/>
    <mergeCell ref="H514:H515"/>
    <mergeCell ref="I514:I515"/>
    <mergeCell ref="J514:J515"/>
    <mergeCell ref="B516:B517"/>
    <mergeCell ref="C516:C517"/>
    <mergeCell ref="D516:D517"/>
    <mergeCell ref="E516:E517"/>
    <mergeCell ref="G516:G517"/>
    <mergeCell ref="H516:H517"/>
    <mergeCell ref="I516:I517"/>
    <mergeCell ref="J516:J517"/>
    <mergeCell ref="B506:B507"/>
    <mergeCell ref="C506:C507"/>
    <mergeCell ref="D506:D507"/>
    <mergeCell ref="E506:E507"/>
    <mergeCell ref="G506:G507"/>
    <mergeCell ref="H506:H507"/>
    <mergeCell ref="I506:I507"/>
    <mergeCell ref="J506:J507"/>
    <mergeCell ref="B508:B509"/>
    <mergeCell ref="C508:C509"/>
    <mergeCell ref="D508:D509"/>
    <mergeCell ref="E508:E509"/>
    <mergeCell ref="G508:G509"/>
    <mergeCell ref="H508:H509"/>
    <mergeCell ref="I508:I509"/>
    <mergeCell ref="J508:J509"/>
    <mergeCell ref="B510:B511"/>
    <mergeCell ref="C510:C511"/>
    <mergeCell ref="D510:D511"/>
    <mergeCell ref="E510:E511"/>
    <mergeCell ref="G510:G511"/>
    <mergeCell ref="H510:H511"/>
    <mergeCell ref="I510:I511"/>
    <mergeCell ref="J510:J511"/>
    <mergeCell ref="B500:B501"/>
    <mergeCell ref="C500:C501"/>
    <mergeCell ref="D500:D501"/>
    <mergeCell ref="E500:E501"/>
    <mergeCell ref="G500:G501"/>
    <mergeCell ref="H500:H501"/>
    <mergeCell ref="I500:I501"/>
    <mergeCell ref="J500:J501"/>
    <mergeCell ref="B502:B503"/>
    <mergeCell ref="C502:C503"/>
    <mergeCell ref="D502:D503"/>
    <mergeCell ref="E502:E503"/>
    <mergeCell ref="G502:G503"/>
    <mergeCell ref="H502:H503"/>
    <mergeCell ref="I502:I503"/>
    <mergeCell ref="J502:J503"/>
    <mergeCell ref="B504:B505"/>
    <mergeCell ref="C504:C505"/>
    <mergeCell ref="D504:D505"/>
    <mergeCell ref="E504:E505"/>
    <mergeCell ref="G504:G505"/>
    <mergeCell ref="H504:H505"/>
    <mergeCell ref="I504:I505"/>
    <mergeCell ref="J504:J505"/>
    <mergeCell ref="B494:B495"/>
    <mergeCell ref="C494:C495"/>
    <mergeCell ref="D494:D495"/>
    <mergeCell ref="E494:E495"/>
    <mergeCell ref="G494:G495"/>
    <mergeCell ref="H494:H495"/>
    <mergeCell ref="I494:I495"/>
    <mergeCell ref="J494:J495"/>
    <mergeCell ref="B496:B497"/>
    <mergeCell ref="C496:C497"/>
    <mergeCell ref="D496:D497"/>
    <mergeCell ref="E496:E497"/>
    <mergeCell ref="G496:G497"/>
    <mergeCell ref="H496:H497"/>
    <mergeCell ref="I496:I497"/>
    <mergeCell ref="J496:J497"/>
    <mergeCell ref="B498:B499"/>
    <mergeCell ref="C498:C499"/>
    <mergeCell ref="D498:D499"/>
    <mergeCell ref="E498:E499"/>
    <mergeCell ref="G498:G499"/>
    <mergeCell ref="H498:H499"/>
    <mergeCell ref="I498:I499"/>
    <mergeCell ref="J498:J499"/>
    <mergeCell ref="B488:B489"/>
    <mergeCell ref="C488:C489"/>
    <mergeCell ref="D488:D489"/>
    <mergeCell ref="E488:E489"/>
    <mergeCell ref="G488:G489"/>
    <mergeCell ref="H488:H489"/>
    <mergeCell ref="I488:I489"/>
    <mergeCell ref="J488:J489"/>
    <mergeCell ref="B490:B491"/>
    <mergeCell ref="C490:C491"/>
    <mergeCell ref="D490:D491"/>
    <mergeCell ref="E490:E491"/>
    <mergeCell ref="G490:G491"/>
    <mergeCell ref="H490:H491"/>
    <mergeCell ref="I490:I491"/>
    <mergeCell ref="J490:J491"/>
    <mergeCell ref="B492:B493"/>
    <mergeCell ref="C492:C493"/>
    <mergeCell ref="D492:D493"/>
    <mergeCell ref="E492:E493"/>
    <mergeCell ref="G492:G493"/>
    <mergeCell ref="H492:H493"/>
    <mergeCell ref="I492:I493"/>
    <mergeCell ref="J492:J493"/>
    <mergeCell ref="B482:B483"/>
    <mergeCell ref="C482:C483"/>
    <mergeCell ref="D482:D483"/>
    <mergeCell ref="E482:E483"/>
    <mergeCell ref="G482:G483"/>
    <mergeCell ref="H482:H483"/>
    <mergeCell ref="I482:I483"/>
    <mergeCell ref="J482:J483"/>
    <mergeCell ref="B484:B485"/>
    <mergeCell ref="C484:C485"/>
    <mergeCell ref="D484:D485"/>
    <mergeCell ref="E484:E485"/>
    <mergeCell ref="G484:G485"/>
    <mergeCell ref="H484:H485"/>
    <mergeCell ref="I484:I485"/>
    <mergeCell ref="J484:J485"/>
    <mergeCell ref="B486:B487"/>
    <mergeCell ref="C486:C487"/>
    <mergeCell ref="D486:D487"/>
    <mergeCell ref="E486:E487"/>
    <mergeCell ref="G486:G487"/>
    <mergeCell ref="H486:H487"/>
    <mergeCell ref="I486:I487"/>
    <mergeCell ref="J486:J487"/>
    <mergeCell ref="B476:B477"/>
    <mergeCell ref="C476:C477"/>
    <mergeCell ref="D476:D477"/>
    <mergeCell ref="E476:E477"/>
    <mergeCell ref="G476:G477"/>
    <mergeCell ref="H476:H477"/>
    <mergeCell ref="I476:I477"/>
    <mergeCell ref="J476:J477"/>
    <mergeCell ref="B478:B479"/>
    <mergeCell ref="C478:C479"/>
    <mergeCell ref="D478:D479"/>
    <mergeCell ref="E478:E479"/>
    <mergeCell ref="G478:G479"/>
    <mergeCell ref="H478:H479"/>
    <mergeCell ref="I478:I479"/>
    <mergeCell ref="J478:J479"/>
    <mergeCell ref="B480:B481"/>
    <mergeCell ref="C480:C481"/>
    <mergeCell ref="D480:D481"/>
    <mergeCell ref="E480:E481"/>
    <mergeCell ref="G480:G481"/>
    <mergeCell ref="H480:H481"/>
    <mergeCell ref="I480:I481"/>
    <mergeCell ref="J480:J481"/>
    <mergeCell ref="B470:B471"/>
    <mergeCell ref="C470:C471"/>
    <mergeCell ref="D470:D471"/>
    <mergeCell ref="E470:E471"/>
    <mergeCell ref="G470:G471"/>
    <mergeCell ref="H470:H471"/>
    <mergeCell ref="I470:I471"/>
    <mergeCell ref="J470:J471"/>
    <mergeCell ref="B472:B473"/>
    <mergeCell ref="C472:C473"/>
    <mergeCell ref="D472:D473"/>
    <mergeCell ref="E472:E473"/>
    <mergeCell ref="G472:G473"/>
    <mergeCell ref="H472:H473"/>
    <mergeCell ref="I472:I473"/>
    <mergeCell ref="J472:J473"/>
    <mergeCell ref="B474:B475"/>
    <mergeCell ref="C474:C475"/>
    <mergeCell ref="D474:D475"/>
    <mergeCell ref="E474:E475"/>
    <mergeCell ref="G474:G475"/>
    <mergeCell ref="H474:H475"/>
    <mergeCell ref="I474:I475"/>
    <mergeCell ref="J474:J475"/>
    <mergeCell ref="B464:B465"/>
    <mergeCell ref="C464:C465"/>
    <mergeCell ref="D464:D465"/>
    <mergeCell ref="E464:E465"/>
    <mergeCell ref="G464:G465"/>
    <mergeCell ref="H464:H465"/>
    <mergeCell ref="I464:I465"/>
    <mergeCell ref="J464:J465"/>
    <mergeCell ref="B466:B467"/>
    <mergeCell ref="C466:C467"/>
    <mergeCell ref="D466:D467"/>
    <mergeCell ref="E466:E467"/>
    <mergeCell ref="G466:G467"/>
    <mergeCell ref="H466:H467"/>
    <mergeCell ref="I466:I467"/>
    <mergeCell ref="J466:J467"/>
    <mergeCell ref="B468:B469"/>
    <mergeCell ref="C468:C469"/>
    <mergeCell ref="D468:D469"/>
    <mergeCell ref="E468:E469"/>
    <mergeCell ref="G468:G469"/>
    <mergeCell ref="H468:H469"/>
    <mergeCell ref="I468:I469"/>
    <mergeCell ref="J468:J469"/>
    <mergeCell ref="B458:B459"/>
    <mergeCell ref="C458:C459"/>
    <mergeCell ref="D458:D459"/>
    <mergeCell ref="E458:E459"/>
    <mergeCell ref="G458:G459"/>
    <mergeCell ref="H458:H459"/>
    <mergeCell ref="I458:I459"/>
    <mergeCell ref="J458:J459"/>
    <mergeCell ref="B460:B461"/>
    <mergeCell ref="C460:C461"/>
    <mergeCell ref="D460:D461"/>
    <mergeCell ref="E460:E461"/>
    <mergeCell ref="G460:G461"/>
    <mergeCell ref="H460:H461"/>
    <mergeCell ref="I460:I461"/>
    <mergeCell ref="J460:J461"/>
    <mergeCell ref="B462:B463"/>
    <mergeCell ref="C462:C463"/>
    <mergeCell ref="D462:D463"/>
    <mergeCell ref="E462:E463"/>
    <mergeCell ref="G462:G463"/>
    <mergeCell ref="H462:H463"/>
    <mergeCell ref="I462:I463"/>
    <mergeCell ref="J462:J463"/>
    <mergeCell ref="B452:B453"/>
    <mergeCell ref="C452:C453"/>
    <mergeCell ref="D452:D453"/>
    <mergeCell ref="E452:E453"/>
    <mergeCell ref="G452:G453"/>
    <mergeCell ref="H452:H453"/>
    <mergeCell ref="I452:I453"/>
    <mergeCell ref="J452:J453"/>
    <mergeCell ref="B454:B455"/>
    <mergeCell ref="C454:C455"/>
    <mergeCell ref="D454:D455"/>
    <mergeCell ref="E454:E455"/>
    <mergeCell ref="G454:G455"/>
    <mergeCell ref="H454:H455"/>
    <mergeCell ref="I454:I455"/>
    <mergeCell ref="J454:J455"/>
    <mergeCell ref="B456:B457"/>
    <mergeCell ref="C456:C457"/>
    <mergeCell ref="D456:D457"/>
    <mergeCell ref="E456:E457"/>
    <mergeCell ref="G456:G457"/>
    <mergeCell ref="H456:H457"/>
    <mergeCell ref="I456:I457"/>
    <mergeCell ref="J456:J457"/>
    <mergeCell ref="B446:B447"/>
    <mergeCell ref="C446:C447"/>
    <mergeCell ref="D446:D447"/>
    <mergeCell ref="E446:E447"/>
    <mergeCell ref="G446:G447"/>
    <mergeCell ref="H446:H447"/>
    <mergeCell ref="I446:I447"/>
    <mergeCell ref="J446:J447"/>
    <mergeCell ref="B448:B449"/>
    <mergeCell ref="C448:C449"/>
    <mergeCell ref="D448:D449"/>
    <mergeCell ref="E448:E449"/>
    <mergeCell ref="G448:G449"/>
    <mergeCell ref="H448:H449"/>
    <mergeCell ref="I448:I449"/>
    <mergeCell ref="J448:J449"/>
    <mergeCell ref="B450:B451"/>
    <mergeCell ref="C450:C451"/>
    <mergeCell ref="D450:D451"/>
    <mergeCell ref="E450:E451"/>
    <mergeCell ref="G450:G451"/>
    <mergeCell ref="H450:H451"/>
    <mergeCell ref="I450:I451"/>
    <mergeCell ref="J450:J451"/>
    <mergeCell ref="B440:B441"/>
    <mergeCell ref="C440:C441"/>
    <mergeCell ref="D440:D441"/>
    <mergeCell ref="E440:E441"/>
    <mergeCell ref="G440:G441"/>
    <mergeCell ref="H440:H441"/>
    <mergeCell ref="I440:I441"/>
    <mergeCell ref="J440:J441"/>
    <mergeCell ref="B442:B443"/>
    <mergeCell ref="C442:C443"/>
    <mergeCell ref="D442:D443"/>
    <mergeCell ref="E442:E443"/>
    <mergeCell ref="G442:G443"/>
    <mergeCell ref="H442:H443"/>
    <mergeCell ref="I442:I443"/>
    <mergeCell ref="J442:J443"/>
    <mergeCell ref="B444:B445"/>
    <mergeCell ref="C444:C445"/>
    <mergeCell ref="D444:D445"/>
    <mergeCell ref="E444:E445"/>
    <mergeCell ref="G444:G445"/>
    <mergeCell ref="H444:H445"/>
    <mergeCell ref="I444:I445"/>
    <mergeCell ref="J444:J445"/>
    <mergeCell ref="B434:B435"/>
    <mergeCell ref="C434:C435"/>
    <mergeCell ref="D434:D435"/>
    <mergeCell ref="E434:E435"/>
    <mergeCell ref="G434:G435"/>
    <mergeCell ref="H434:H435"/>
    <mergeCell ref="I434:I435"/>
    <mergeCell ref="J434:J435"/>
    <mergeCell ref="B436:B437"/>
    <mergeCell ref="C436:C437"/>
    <mergeCell ref="D436:D437"/>
    <mergeCell ref="E436:E437"/>
    <mergeCell ref="G436:G437"/>
    <mergeCell ref="H436:H437"/>
    <mergeCell ref="I436:I437"/>
    <mergeCell ref="J436:J437"/>
    <mergeCell ref="B438:B439"/>
    <mergeCell ref="C438:C439"/>
    <mergeCell ref="D438:D439"/>
    <mergeCell ref="E438:E439"/>
    <mergeCell ref="G438:G439"/>
    <mergeCell ref="H438:H439"/>
    <mergeCell ref="I438:I439"/>
    <mergeCell ref="J438:J439"/>
    <mergeCell ref="B428:B429"/>
    <mergeCell ref="C428:C429"/>
    <mergeCell ref="D428:D429"/>
    <mergeCell ref="E428:E429"/>
    <mergeCell ref="G428:G429"/>
    <mergeCell ref="H428:H429"/>
    <mergeCell ref="I428:I429"/>
    <mergeCell ref="J428:J429"/>
    <mergeCell ref="B430:B431"/>
    <mergeCell ref="C430:C431"/>
    <mergeCell ref="D430:D431"/>
    <mergeCell ref="E430:E431"/>
    <mergeCell ref="G430:G431"/>
    <mergeCell ref="H430:H431"/>
    <mergeCell ref="I430:I431"/>
    <mergeCell ref="J430:J431"/>
    <mergeCell ref="B432:B433"/>
    <mergeCell ref="C432:C433"/>
    <mergeCell ref="D432:D433"/>
    <mergeCell ref="E432:E433"/>
    <mergeCell ref="G432:G433"/>
    <mergeCell ref="H432:H433"/>
    <mergeCell ref="I432:I433"/>
    <mergeCell ref="J432:J433"/>
    <mergeCell ref="B422:B423"/>
    <mergeCell ref="C422:C423"/>
    <mergeCell ref="D422:D423"/>
    <mergeCell ref="E422:E423"/>
    <mergeCell ref="G422:G423"/>
    <mergeCell ref="H422:H423"/>
    <mergeCell ref="I422:I423"/>
    <mergeCell ref="J422:J423"/>
    <mergeCell ref="B424:B425"/>
    <mergeCell ref="C424:C425"/>
    <mergeCell ref="D424:D425"/>
    <mergeCell ref="E424:E425"/>
    <mergeCell ref="G424:G425"/>
    <mergeCell ref="H424:H425"/>
    <mergeCell ref="I424:I425"/>
    <mergeCell ref="J424:J425"/>
    <mergeCell ref="B426:B427"/>
    <mergeCell ref="C426:C427"/>
    <mergeCell ref="D426:D427"/>
    <mergeCell ref="E426:E427"/>
    <mergeCell ref="G426:G427"/>
    <mergeCell ref="H426:H427"/>
    <mergeCell ref="I426:I427"/>
    <mergeCell ref="J426:J427"/>
    <mergeCell ref="B416:B417"/>
    <mergeCell ref="C416:C417"/>
    <mergeCell ref="D416:D417"/>
    <mergeCell ref="E416:E417"/>
    <mergeCell ref="G416:G417"/>
    <mergeCell ref="H416:H417"/>
    <mergeCell ref="I416:I417"/>
    <mergeCell ref="J416:J417"/>
    <mergeCell ref="B418:B419"/>
    <mergeCell ref="C418:C419"/>
    <mergeCell ref="D418:D419"/>
    <mergeCell ref="E418:E419"/>
    <mergeCell ref="G418:G419"/>
    <mergeCell ref="H418:H419"/>
    <mergeCell ref="I418:I419"/>
    <mergeCell ref="J418:J419"/>
    <mergeCell ref="B420:B421"/>
    <mergeCell ref="C420:C421"/>
    <mergeCell ref="D420:D421"/>
    <mergeCell ref="E420:E421"/>
    <mergeCell ref="G420:G421"/>
    <mergeCell ref="H420:H421"/>
    <mergeCell ref="I420:I421"/>
    <mergeCell ref="J420:J421"/>
    <mergeCell ref="B410:B411"/>
    <mergeCell ref="C410:C411"/>
    <mergeCell ref="D410:D411"/>
    <mergeCell ref="E410:E411"/>
    <mergeCell ref="G410:G411"/>
    <mergeCell ref="H410:H411"/>
    <mergeCell ref="I410:I411"/>
    <mergeCell ref="J410:J411"/>
    <mergeCell ref="B412:B413"/>
    <mergeCell ref="C412:C413"/>
    <mergeCell ref="D412:D413"/>
    <mergeCell ref="E412:E413"/>
    <mergeCell ref="G412:G413"/>
    <mergeCell ref="H412:H413"/>
    <mergeCell ref="I412:I413"/>
    <mergeCell ref="J412:J413"/>
    <mergeCell ref="B414:B415"/>
    <mergeCell ref="C414:C415"/>
    <mergeCell ref="D414:D415"/>
    <mergeCell ref="E414:E415"/>
    <mergeCell ref="G414:G415"/>
    <mergeCell ref="H414:H415"/>
    <mergeCell ref="I414:I415"/>
    <mergeCell ref="J414:J415"/>
    <mergeCell ref="B404:B405"/>
    <mergeCell ref="C404:C405"/>
    <mergeCell ref="D404:D405"/>
    <mergeCell ref="E404:E405"/>
    <mergeCell ref="G404:G405"/>
    <mergeCell ref="H404:H405"/>
    <mergeCell ref="I404:I405"/>
    <mergeCell ref="J404:J405"/>
    <mergeCell ref="B406:B407"/>
    <mergeCell ref="C406:C407"/>
    <mergeCell ref="D406:D407"/>
    <mergeCell ref="E406:E407"/>
    <mergeCell ref="G406:G407"/>
    <mergeCell ref="H406:H407"/>
    <mergeCell ref="I406:I407"/>
    <mergeCell ref="J406:J407"/>
    <mergeCell ref="B408:B409"/>
    <mergeCell ref="C408:C409"/>
    <mergeCell ref="D408:D409"/>
    <mergeCell ref="E408:E409"/>
    <mergeCell ref="G408:G409"/>
    <mergeCell ref="H408:H409"/>
    <mergeCell ref="I408:I409"/>
    <mergeCell ref="J408:J409"/>
    <mergeCell ref="B398:B399"/>
    <mergeCell ref="C398:C399"/>
    <mergeCell ref="D398:D399"/>
    <mergeCell ref="E398:E399"/>
    <mergeCell ref="G398:G399"/>
    <mergeCell ref="H398:H399"/>
    <mergeCell ref="I398:I399"/>
    <mergeCell ref="J398:J399"/>
    <mergeCell ref="B400:B401"/>
    <mergeCell ref="C400:C401"/>
    <mergeCell ref="D400:D401"/>
    <mergeCell ref="E400:E401"/>
    <mergeCell ref="G400:G401"/>
    <mergeCell ref="H400:H401"/>
    <mergeCell ref="I400:I401"/>
    <mergeCell ref="J400:J401"/>
    <mergeCell ref="B402:B403"/>
    <mergeCell ref="C402:C403"/>
    <mergeCell ref="D402:D403"/>
    <mergeCell ref="E402:E403"/>
    <mergeCell ref="G402:G403"/>
    <mergeCell ref="H402:H403"/>
    <mergeCell ref="I402:I403"/>
    <mergeCell ref="J402:J403"/>
    <mergeCell ref="B392:B393"/>
    <mergeCell ref="C392:C393"/>
    <mergeCell ref="D392:D393"/>
    <mergeCell ref="E392:E393"/>
    <mergeCell ref="G392:G393"/>
    <mergeCell ref="H392:H393"/>
    <mergeCell ref="I392:I393"/>
    <mergeCell ref="J392:J393"/>
    <mergeCell ref="B394:B395"/>
    <mergeCell ref="C394:C395"/>
    <mergeCell ref="D394:D395"/>
    <mergeCell ref="E394:E395"/>
    <mergeCell ref="G394:G395"/>
    <mergeCell ref="H394:H395"/>
    <mergeCell ref="I394:I395"/>
    <mergeCell ref="J394:J395"/>
    <mergeCell ref="B396:B397"/>
    <mergeCell ref="C396:C397"/>
    <mergeCell ref="D396:D397"/>
    <mergeCell ref="E396:E397"/>
    <mergeCell ref="G396:G397"/>
    <mergeCell ref="H396:H397"/>
    <mergeCell ref="I396:I397"/>
    <mergeCell ref="J396:J397"/>
    <mergeCell ref="B386:B387"/>
    <mergeCell ref="C386:C387"/>
    <mergeCell ref="D386:D387"/>
    <mergeCell ref="E386:E387"/>
    <mergeCell ref="G386:G387"/>
    <mergeCell ref="H386:H387"/>
    <mergeCell ref="I386:I387"/>
    <mergeCell ref="J386:J387"/>
    <mergeCell ref="B388:B389"/>
    <mergeCell ref="C388:C389"/>
    <mergeCell ref="D388:D389"/>
    <mergeCell ref="E388:E389"/>
    <mergeCell ref="G388:G389"/>
    <mergeCell ref="H388:H389"/>
    <mergeCell ref="I388:I389"/>
    <mergeCell ref="J388:J389"/>
    <mergeCell ref="B390:B391"/>
    <mergeCell ref="C390:C391"/>
    <mergeCell ref="D390:D391"/>
    <mergeCell ref="E390:E391"/>
    <mergeCell ref="G390:G391"/>
    <mergeCell ref="H390:H391"/>
    <mergeCell ref="I390:I391"/>
    <mergeCell ref="J390:J391"/>
    <mergeCell ref="B380:B381"/>
    <mergeCell ref="C380:C381"/>
    <mergeCell ref="D380:D381"/>
    <mergeCell ref="E380:E381"/>
    <mergeCell ref="G380:G381"/>
    <mergeCell ref="H380:H381"/>
    <mergeCell ref="I380:I381"/>
    <mergeCell ref="J380:J381"/>
    <mergeCell ref="B382:B383"/>
    <mergeCell ref="C382:C383"/>
    <mergeCell ref="D382:D383"/>
    <mergeCell ref="E382:E383"/>
    <mergeCell ref="G382:G383"/>
    <mergeCell ref="H382:H383"/>
    <mergeCell ref="I382:I383"/>
    <mergeCell ref="J382:J383"/>
    <mergeCell ref="B384:B385"/>
    <mergeCell ref="C384:C385"/>
    <mergeCell ref="D384:D385"/>
    <mergeCell ref="E384:E385"/>
    <mergeCell ref="G384:G385"/>
    <mergeCell ref="H384:H385"/>
    <mergeCell ref="I384:I385"/>
    <mergeCell ref="J384:J385"/>
    <mergeCell ref="B374:B375"/>
    <mergeCell ref="C374:C375"/>
    <mergeCell ref="D374:D375"/>
    <mergeCell ref="E374:E375"/>
    <mergeCell ref="G374:G375"/>
    <mergeCell ref="H374:H375"/>
    <mergeCell ref="I374:I375"/>
    <mergeCell ref="J374:J375"/>
    <mergeCell ref="B376:B377"/>
    <mergeCell ref="C376:C377"/>
    <mergeCell ref="D376:D377"/>
    <mergeCell ref="E376:E377"/>
    <mergeCell ref="G376:G377"/>
    <mergeCell ref="H376:H377"/>
    <mergeCell ref="I376:I377"/>
    <mergeCell ref="J376:J377"/>
    <mergeCell ref="B378:B379"/>
    <mergeCell ref="C378:C379"/>
    <mergeCell ref="D378:D379"/>
    <mergeCell ref="E378:E379"/>
    <mergeCell ref="G378:G379"/>
    <mergeCell ref="H378:H379"/>
    <mergeCell ref="I378:I379"/>
    <mergeCell ref="J378:J379"/>
    <mergeCell ref="B368:B369"/>
    <mergeCell ref="C368:C369"/>
    <mergeCell ref="D368:D369"/>
    <mergeCell ref="E368:E369"/>
    <mergeCell ref="G368:G369"/>
    <mergeCell ref="H368:H369"/>
    <mergeCell ref="I368:I369"/>
    <mergeCell ref="J368:J369"/>
    <mergeCell ref="B370:B371"/>
    <mergeCell ref="C370:C371"/>
    <mergeCell ref="D370:D371"/>
    <mergeCell ref="E370:E371"/>
    <mergeCell ref="G370:G371"/>
    <mergeCell ref="H370:H371"/>
    <mergeCell ref="I370:I371"/>
    <mergeCell ref="J370:J371"/>
    <mergeCell ref="B372:B373"/>
    <mergeCell ref="C372:C373"/>
    <mergeCell ref="D372:D373"/>
    <mergeCell ref="E372:E373"/>
    <mergeCell ref="G372:G373"/>
    <mergeCell ref="H372:H373"/>
    <mergeCell ref="I372:I373"/>
    <mergeCell ref="J372:J373"/>
    <mergeCell ref="B362:B363"/>
    <mergeCell ref="C362:C363"/>
    <mergeCell ref="D362:D363"/>
    <mergeCell ref="E362:E363"/>
    <mergeCell ref="G362:G363"/>
    <mergeCell ref="H362:H363"/>
    <mergeCell ref="I362:I363"/>
    <mergeCell ref="J362:J363"/>
    <mergeCell ref="B364:B365"/>
    <mergeCell ref="C364:C365"/>
    <mergeCell ref="D364:D365"/>
    <mergeCell ref="E364:E365"/>
    <mergeCell ref="G364:G365"/>
    <mergeCell ref="H364:H365"/>
    <mergeCell ref="I364:I365"/>
    <mergeCell ref="J364:J365"/>
    <mergeCell ref="B366:B367"/>
    <mergeCell ref="C366:C367"/>
    <mergeCell ref="D366:D367"/>
    <mergeCell ref="E366:E367"/>
    <mergeCell ref="G366:G367"/>
    <mergeCell ref="H366:H367"/>
    <mergeCell ref="I366:I367"/>
    <mergeCell ref="J366:J367"/>
    <mergeCell ref="B356:B357"/>
    <mergeCell ref="C356:C357"/>
    <mergeCell ref="D356:D357"/>
    <mergeCell ref="E356:E357"/>
    <mergeCell ref="G356:G357"/>
    <mergeCell ref="H356:H357"/>
    <mergeCell ref="I356:I357"/>
    <mergeCell ref="J356:J357"/>
    <mergeCell ref="B358:B359"/>
    <mergeCell ref="C358:C359"/>
    <mergeCell ref="D358:D359"/>
    <mergeCell ref="E358:E359"/>
    <mergeCell ref="G358:G359"/>
    <mergeCell ref="H358:H359"/>
    <mergeCell ref="I358:I359"/>
    <mergeCell ref="J358:J359"/>
    <mergeCell ref="B360:B361"/>
    <mergeCell ref="C360:C361"/>
    <mergeCell ref="D360:D361"/>
    <mergeCell ref="E360:E361"/>
    <mergeCell ref="G360:G361"/>
    <mergeCell ref="H360:H361"/>
    <mergeCell ref="I360:I361"/>
    <mergeCell ref="J360:J361"/>
    <mergeCell ref="B350:B351"/>
    <mergeCell ref="C350:C351"/>
    <mergeCell ref="D350:D351"/>
    <mergeCell ref="E350:E351"/>
    <mergeCell ref="G350:G351"/>
    <mergeCell ref="H350:H351"/>
    <mergeCell ref="I350:I351"/>
    <mergeCell ref="J350:J351"/>
    <mergeCell ref="B352:B353"/>
    <mergeCell ref="C352:C353"/>
    <mergeCell ref="D352:D353"/>
    <mergeCell ref="E352:E353"/>
    <mergeCell ref="G352:G353"/>
    <mergeCell ref="H352:H353"/>
    <mergeCell ref="I352:I353"/>
    <mergeCell ref="J352:J353"/>
    <mergeCell ref="B354:B355"/>
    <mergeCell ref="C354:C355"/>
    <mergeCell ref="D354:D355"/>
    <mergeCell ref="E354:E355"/>
    <mergeCell ref="G354:G355"/>
    <mergeCell ref="H354:H355"/>
    <mergeCell ref="I354:I355"/>
    <mergeCell ref="J354:J355"/>
    <mergeCell ref="B344:B345"/>
    <mergeCell ref="C344:C345"/>
    <mergeCell ref="D344:D345"/>
    <mergeCell ref="E344:E345"/>
    <mergeCell ref="G344:G345"/>
    <mergeCell ref="H344:H345"/>
    <mergeCell ref="I344:I345"/>
    <mergeCell ref="J344:J345"/>
    <mergeCell ref="B346:B347"/>
    <mergeCell ref="C346:C347"/>
    <mergeCell ref="D346:D347"/>
    <mergeCell ref="E346:E347"/>
    <mergeCell ref="G346:G347"/>
    <mergeCell ref="H346:H347"/>
    <mergeCell ref="I346:I347"/>
    <mergeCell ref="J346:J347"/>
    <mergeCell ref="B348:B349"/>
    <mergeCell ref="C348:C349"/>
    <mergeCell ref="D348:D349"/>
    <mergeCell ref="E348:E349"/>
    <mergeCell ref="G348:G349"/>
    <mergeCell ref="H348:H349"/>
    <mergeCell ref="I348:I349"/>
    <mergeCell ref="J348:J349"/>
    <mergeCell ref="B338:B339"/>
    <mergeCell ref="C338:C339"/>
    <mergeCell ref="D338:D339"/>
    <mergeCell ref="E338:E339"/>
    <mergeCell ref="G338:G339"/>
    <mergeCell ref="H338:H339"/>
    <mergeCell ref="I338:I339"/>
    <mergeCell ref="J338:J339"/>
    <mergeCell ref="B340:B341"/>
    <mergeCell ref="C340:C341"/>
    <mergeCell ref="D340:D341"/>
    <mergeCell ref="E340:E341"/>
    <mergeCell ref="G340:G341"/>
    <mergeCell ref="H340:H341"/>
    <mergeCell ref="I340:I341"/>
    <mergeCell ref="J340:J341"/>
    <mergeCell ref="B342:B343"/>
    <mergeCell ref="C342:C343"/>
    <mergeCell ref="D342:D343"/>
    <mergeCell ref="E342:E343"/>
    <mergeCell ref="G342:G343"/>
    <mergeCell ref="H342:H343"/>
    <mergeCell ref="I342:I343"/>
    <mergeCell ref="J342:J343"/>
    <mergeCell ref="B332:B333"/>
    <mergeCell ref="C332:C333"/>
    <mergeCell ref="D332:D333"/>
    <mergeCell ref="E332:E333"/>
    <mergeCell ref="G332:G333"/>
    <mergeCell ref="H332:H333"/>
    <mergeCell ref="I332:I333"/>
    <mergeCell ref="J332:J333"/>
    <mergeCell ref="B334:B335"/>
    <mergeCell ref="C334:C335"/>
    <mergeCell ref="D334:D335"/>
    <mergeCell ref="E334:E335"/>
    <mergeCell ref="G334:G335"/>
    <mergeCell ref="H334:H335"/>
    <mergeCell ref="I334:I335"/>
    <mergeCell ref="J334:J335"/>
    <mergeCell ref="B336:B337"/>
    <mergeCell ref="C336:C337"/>
    <mergeCell ref="D336:D337"/>
    <mergeCell ref="E336:E337"/>
    <mergeCell ref="G336:G337"/>
    <mergeCell ref="H336:H337"/>
    <mergeCell ref="I336:I337"/>
    <mergeCell ref="J336:J337"/>
    <mergeCell ref="B326:B327"/>
    <mergeCell ref="C326:C327"/>
    <mergeCell ref="D326:D327"/>
    <mergeCell ref="E326:E327"/>
    <mergeCell ref="G326:G327"/>
    <mergeCell ref="H326:H327"/>
    <mergeCell ref="I326:I327"/>
    <mergeCell ref="J326:J327"/>
    <mergeCell ref="B328:B329"/>
    <mergeCell ref="C328:C329"/>
    <mergeCell ref="D328:D329"/>
    <mergeCell ref="E328:E329"/>
    <mergeCell ref="G328:G329"/>
    <mergeCell ref="H328:H329"/>
    <mergeCell ref="I328:I329"/>
    <mergeCell ref="J328:J329"/>
    <mergeCell ref="B330:B331"/>
    <mergeCell ref="C330:C331"/>
    <mergeCell ref="D330:D331"/>
    <mergeCell ref="E330:E331"/>
    <mergeCell ref="G330:G331"/>
    <mergeCell ref="H330:H331"/>
    <mergeCell ref="I330:I331"/>
    <mergeCell ref="J330:J331"/>
    <mergeCell ref="D320:D321"/>
    <mergeCell ref="E320:E321"/>
    <mergeCell ref="G320:G321"/>
    <mergeCell ref="H320:H321"/>
    <mergeCell ref="I320:I321"/>
    <mergeCell ref="J320:J321"/>
    <mergeCell ref="B322:B323"/>
    <mergeCell ref="C322:C323"/>
    <mergeCell ref="D322:D323"/>
    <mergeCell ref="E322:E323"/>
    <mergeCell ref="G322:G323"/>
    <mergeCell ref="H322:H323"/>
    <mergeCell ref="I322:I323"/>
    <mergeCell ref="J322:J323"/>
    <mergeCell ref="B324:B325"/>
    <mergeCell ref="C324:C325"/>
    <mergeCell ref="D324:D325"/>
    <mergeCell ref="E324:E325"/>
    <mergeCell ref="G324:G325"/>
    <mergeCell ref="H324:H325"/>
    <mergeCell ref="I324:I325"/>
    <mergeCell ref="J324:J325"/>
    <mergeCell ref="E10:E11"/>
    <mergeCell ref="G10:G11"/>
    <mergeCell ref="B619:J619"/>
    <mergeCell ref="C10:C11"/>
    <mergeCell ref="B1:G2"/>
    <mergeCell ref="H10:H11"/>
    <mergeCell ref="I10:I11"/>
    <mergeCell ref="J10:J11"/>
    <mergeCell ref="D10:D11"/>
    <mergeCell ref="B12:B13"/>
    <mergeCell ref="C12:C13"/>
    <mergeCell ref="D12:D13"/>
    <mergeCell ref="E12:E13"/>
    <mergeCell ref="G12:G13"/>
    <mergeCell ref="C621:C622"/>
    <mergeCell ref="D621:D622"/>
    <mergeCell ref="E621:E622"/>
    <mergeCell ref="H621:H622"/>
    <mergeCell ref="I621:I622"/>
    <mergeCell ref="J621:J622"/>
    <mergeCell ref="G621:G622"/>
    <mergeCell ref="B318:B319"/>
    <mergeCell ref="C318:C319"/>
    <mergeCell ref="D318:D319"/>
    <mergeCell ref="E318:E319"/>
    <mergeCell ref="G318:G319"/>
    <mergeCell ref="H318:H319"/>
    <mergeCell ref="I318:I319"/>
    <mergeCell ref="J318:J319"/>
    <mergeCell ref="B320:B321"/>
    <mergeCell ref="C320:C321"/>
    <mergeCell ref="B14:B15"/>
    <mergeCell ref="C14:C15"/>
    <mergeCell ref="I14:I15"/>
    <mergeCell ref="H12:H13"/>
    <mergeCell ref="I12:I13"/>
    <mergeCell ref="J12:J13"/>
    <mergeCell ref="D14:D15"/>
    <mergeCell ref="E14:E15"/>
    <mergeCell ref="G14:G15"/>
    <mergeCell ref="H14:H15"/>
    <mergeCell ref="J14:J15"/>
    <mergeCell ref="B8:J8"/>
    <mergeCell ref="B314:J314"/>
    <mergeCell ref="B316:B317"/>
    <mergeCell ref="C316:C317"/>
    <mergeCell ref="D316:D317"/>
    <mergeCell ref="E316:E317"/>
    <mergeCell ref="G316:G317"/>
    <mergeCell ref="H316:H317"/>
    <mergeCell ref="I316:I317"/>
    <mergeCell ref="J316:J317"/>
    <mergeCell ref="B10:B11"/>
    <mergeCell ref="B306:B307"/>
    <mergeCell ref="C306:C307"/>
    <mergeCell ref="D306:D307"/>
    <mergeCell ref="E306:E307"/>
    <mergeCell ref="G306:G307"/>
    <mergeCell ref="H306:H307"/>
    <mergeCell ref="I306:I307"/>
    <mergeCell ref="J306:J307"/>
    <mergeCell ref="G20:G21"/>
    <mergeCell ref="H20:H21"/>
    <mergeCell ref="I20:I21"/>
    <mergeCell ref="J20:J21"/>
    <mergeCell ref="B22:B23"/>
    <mergeCell ref="C22:C23"/>
    <mergeCell ref="D22:D23"/>
    <mergeCell ref="E22:E23"/>
    <mergeCell ref="G22:G23"/>
    <mergeCell ref="H22:H23"/>
    <mergeCell ref="I22:I23"/>
    <mergeCell ref="J22:J23"/>
    <mergeCell ref="B20:B21"/>
    <mergeCell ref="C20:C21"/>
    <mergeCell ref="D20:D21"/>
    <mergeCell ref="E20:E21"/>
    <mergeCell ref="H16:H17"/>
    <mergeCell ref="I16:I17"/>
    <mergeCell ref="J16:J17"/>
    <mergeCell ref="B18:B19"/>
    <mergeCell ref="C18:C19"/>
    <mergeCell ref="D18:D19"/>
    <mergeCell ref="E18:E19"/>
    <mergeCell ref="G18:G19"/>
    <mergeCell ref="H18:H19"/>
    <mergeCell ref="I18:I19"/>
    <mergeCell ref="J18:J19"/>
    <mergeCell ref="B16:B17"/>
    <mergeCell ref="C16:C17"/>
    <mergeCell ref="D16:D17"/>
    <mergeCell ref="E16:E17"/>
    <mergeCell ref="G16:G17"/>
    <mergeCell ref="G28:G29"/>
    <mergeCell ref="H28:H29"/>
    <mergeCell ref="I28:I29"/>
    <mergeCell ref="J28:J29"/>
    <mergeCell ref="B30:B31"/>
    <mergeCell ref="C30:C31"/>
    <mergeCell ref="D30:D31"/>
    <mergeCell ref="E30:E31"/>
    <mergeCell ref="G30:G31"/>
    <mergeCell ref="H30:H31"/>
    <mergeCell ref="I30:I31"/>
    <mergeCell ref="J30:J31"/>
    <mergeCell ref="B28:B29"/>
    <mergeCell ref="C28:C29"/>
    <mergeCell ref="D28:D29"/>
    <mergeCell ref="E28:E29"/>
    <mergeCell ref="H24:H25"/>
    <mergeCell ref="I24:I25"/>
    <mergeCell ref="J24:J25"/>
    <mergeCell ref="B26:B27"/>
    <mergeCell ref="C26:C27"/>
    <mergeCell ref="D26:D27"/>
    <mergeCell ref="E26:E27"/>
    <mergeCell ref="G26:G27"/>
    <mergeCell ref="H26:H27"/>
    <mergeCell ref="I26:I27"/>
    <mergeCell ref="J26:J27"/>
    <mergeCell ref="B24:B25"/>
    <mergeCell ref="C24:C25"/>
    <mergeCell ref="D24:D25"/>
    <mergeCell ref="E24:E25"/>
    <mergeCell ref="G24:G25"/>
    <mergeCell ref="G36:G37"/>
    <mergeCell ref="H36:H37"/>
    <mergeCell ref="I36:I37"/>
    <mergeCell ref="J36:J37"/>
    <mergeCell ref="B38:B39"/>
    <mergeCell ref="C38:C39"/>
    <mergeCell ref="D38:D39"/>
    <mergeCell ref="E38:E39"/>
    <mergeCell ref="G38:G39"/>
    <mergeCell ref="H38:H39"/>
    <mergeCell ref="I38:I39"/>
    <mergeCell ref="J38:J39"/>
    <mergeCell ref="B36:B37"/>
    <mergeCell ref="C36:C37"/>
    <mergeCell ref="D36:D37"/>
    <mergeCell ref="E36:E37"/>
    <mergeCell ref="H32:H33"/>
    <mergeCell ref="I32:I33"/>
    <mergeCell ref="J32:J33"/>
    <mergeCell ref="B34:B35"/>
    <mergeCell ref="C34:C35"/>
    <mergeCell ref="D34:D35"/>
    <mergeCell ref="E34:E35"/>
    <mergeCell ref="G34:G35"/>
    <mergeCell ref="H34:H35"/>
    <mergeCell ref="I34:I35"/>
    <mergeCell ref="J34:J35"/>
    <mergeCell ref="B32:B33"/>
    <mergeCell ref="C32:C33"/>
    <mergeCell ref="D32:D33"/>
    <mergeCell ref="E32:E33"/>
    <mergeCell ref="G32:G33"/>
    <mergeCell ref="G44:G45"/>
    <mergeCell ref="H44:H45"/>
    <mergeCell ref="I44:I45"/>
    <mergeCell ref="J44:J45"/>
    <mergeCell ref="B46:B47"/>
    <mergeCell ref="C46:C47"/>
    <mergeCell ref="D46:D47"/>
    <mergeCell ref="E46:E47"/>
    <mergeCell ref="G46:G47"/>
    <mergeCell ref="H46:H47"/>
    <mergeCell ref="I46:I47"/>
    <mergeCell ref="J46:J47"/>
    <mergeCell ref="B44:B45"/>
    <mergeCell ref="C44:C45"/>
    <mergeCell ref="D44:D45"/>
    <mergeCell ref="E44:E45"/>
    <mergeCell ref="H40:H41"/>
    <mergeCell ref="I40:I41"/>
    <mergeCell ref="J40:J41"/>
    <mergeCell ref="B42:B43"/>
    <mergeCell ref="C42:C43"/>
    <mergeCell ref="D42:D43"/>
    <mergeCell ref="E42:E43"/>
    <mergeCell ref="G42:G43"/>
    <mergeCell ref="H42:H43"/>
    <mergeCell ref="I42:I43"/>
    <mergeCell ref="J42:J43"/>
    <mergeCell ref="B40:B41"/>
    <mergeCell ref="C40:C41"/>
    <mergeCell ref="D40:D41"/>
    <mergeCell ref="E40:E41"/>
    <mergeCell ref="G40:G41"/>
    <mergeCell ref="G52:G53"/>
    <mergeCell ref="H52:H53"/>
    <mergeCell ref="I52:I53"/>
    <mergeCell ref="J52:J53"/>
    <mergeCell ref="B54:B55"/>
    <mergeCell ref="C54:C55"/>
    <mergeCell ref="D54:D55"/>
    <mergeCell ref="E54:E55"/>
    <mergeCell ref="G54:G55"/>
    <mergeCell ref="H54:H55"/>
    <mergeCell ref="I54:I55"/>
    <mergeCell ref="J54:J55"/>
    <mergeCell ref="B52:B53"/>
    <mergeCell ref="C52:C53"/>
    <mergeCell ref="D52:D53"/>
    <mergeCell ref="E52:E53"/>
    <mergeCell ref="H48:H49"/>
    <mergeCell ref="I48:I49"/>
    <mergeCell ref="J48:J49"/>
    <mergeCell ref="B50:B51"/>
    <mergeCell ref="C50:C51"/>
    <mergeCell ref="D50:D51"/>
    <mergeCell ref="E50:E51"/>
    <mergeCell ref="G50:G51"/>
    <mergeCell ref="H50:H51"/>
    <mergeCell ref="I50:I51"/>
    <mergeCell ref="J50:J51"/>
    <mergeCell ref="B48:B49"/>
    <mergeCell ref="C48:C49"/>
    <mergeCell ref="D48:D49"/>
    <mergeCell ref="E48:E49"/>
    <mergeCell ref="G48:G49"/>
    <mergeCell ref="G60:G61"/>
    <mergeCell ref="H60:H61"/>
    <mergeCell ref="I60:I61"/>
    <mergeCell ref="J60:J61"/>
    <mergeCell ref="B62:B63"/>
    <mergeCell ref="C62:C63"/>
    <mergeCell ref="D62:D63"/>
    <mergeCell ref="E62:E63"/>
    <mergeCell ref="G62:G63"/>
    <mergeCell ref="H62:H63"/>
    <mergeCell ref="I62:I63"/>
    <mergeCell ref="J62:J63"/>
    <mergeCell ref="B60:B61"/>
    <mergeCell ref="C60:C61"/>
    <mergeCell ref="D60:D61"/>
    <mergeCell ref="E60:E61"/>
    <mergeCell ref="H56:H57"/>
    <mergeCell ref="I56:I57"/>
    <mergeCell ref="J56:J57"/>
    <mergeCell ref="B58:B59"/>
    <mergeCell ref="C58:C59"/>
    <mergeCell ref="D58:D59"/>
    <mergeCell ref="E58:E59"/>
    <mergeCell ref="G58:G59"/>
    <mergeCell ref="H58:H59"/>
    <mergeCell ref="I58:I59"/>
    <mergeCell ref="J58:J59"/>
    <mergeCell ref="B56:B57"/>
    <mergeCell ref="C56:C57"/>
    <mergeCell ref="D56:D57"/>
    <mergeCell ref="E56:E57"/>
    <mergeCell ref="G56:G57"/>
    <mergeCell ref="G68:G69"/>
    <mergeCell ref="H68:H69"/>
    <mergeCell ref="I68:I69"/>
    <mergeCell ref="J68:J69"/>
    <mergeCell ref="B70:B71"/>
    <mergeCell ref="C70:C71"/>
    <mergeCell ref="D70:D71"/>
    <mergeCell ref="E70:E71"/>
    <mergeCell ref="G70:G71"/>
    <mergeCell ref="H70:H71"/>
    <mergeCell ref="I70:I71"/>
    <mergeCell ref="J70:J71"/>
    <mergeCell ref="B68:B69"/>
    <mergeCell ref="C68:C69"/>
    <mergeCell ref="D68:D69"/>
    <mergeCell ref="E68:E69"/>
    <mergeCell ref="H64:H65"/>
    <mergeCell ref="I64:I65"/>
    <mergeCell ref="J64:J65"/>
    <mergeCell ref="B66:B67"/>
    <mergeCell ref="C66:C67"/>
    <mergeCell ref="D66:D67"/>
    <mergeCell ref="E66:E67"/>
    <mergeCell ref="G66:G67"/>
    <mergeCell ref="H66:H67"/>
    <mergeCell ref="I66:I67"/>
    <mergeCell ref="J66:J67"/>
    <mergeCell ref="B64:B65"/>
    <mergeCell ref="C64:C65"/>
    <mergeCell ref="D64:D65"/>
    <mergeCell ref="E64:E65"/>
    <mergeCell ref="G64:G65"/>
    <mergeCell ref="D76:D77"/>
    <mergeCell ref="E76:E77"/>
    <mergeCell ref="G76:G77"/>
    <mergeCell ref="I76:I77"/>
    <mergeCell ref="J76:J77"/>
    <mergeCell ref="H72:H73"/>
    <mergeCell ref="I72:I73"/>
    <mergeCell ref="J72:J73"/>
    <mergeCell ref="D74:D75"/>
    <mergeCell ref="E74:E75"/>
    <mergeCell ref="G74:G75"/>
    <mergeCell ref="I74:I75"/>
    <mergeCell ref="J74:J75"/>
    <mergeCell ref="B72:B73"/>
    <mergeCell ref="C72:C73"/>
    <mergeCell ref="D72:D73"/>
    <mergeCell ref="E72:E73"/>
    <mergeCell ref="G72:G73"/>
    <mergeCell ref="B74:B75"/>
    <mergeCell ref="C74:C75"/>
    <mergeCell ref="H74:H75"/>
    <mergeCell ref="B76:B77"/>
    <mergeCell ref="C76:C77"/>
    <mergeCell ref="H76:H77"/>
    <mergeCell ref="J82:J83"/>
    <mergeCell ref="D84:D85"/>
    <mergeCell ref="E84:E85"/>
    <mergeCell ref="G84:G85"/>
    <mergeCell ref="I84:I85"/>
    <mergeCell ref="J84:J85"/>
    <mergeCell ref="D82:D83"/>
    <mergeCell ref="E82:E83"/>
    <mergeCell ref="G82:G83"/>
    <mergeCell ref="I82:I83"/>
    <mergeCell ref="J78:J79"/>
    <mergeCell ref="D80:D81"/>
    <mergeCell ref="E80:E81"/>
    <mergeCell ref="G80:G81"/>
    <mergeCell ref="I80:I81"/>
    <mergeCell ref="J80:J81"/>
    <mergeCell ref="D78:D79"/>
    <mergeCell ref="E78:E79"/>
    <mergeCell ref="G78:G79"/>
    <mergeCell ref="I78:I79"/>
    <mergeCell ref="J90:J91"/>
    <mergeCell ref="D92:D93"/>
    <mergeCell ref="E92:E93"/>
    <mergeCell ref="G92:G93"/>
    <mergeCell ref="I92:I93"/>
    <mergeCell ref="J92:J93"/>
    <mergeCell ref="D90:D91"/>
    <mergeCell ref="E90:E91"/>
    <mergeCell ref="G90:G91"/>
    <mergeCell ref="I90:I91"/>
    <mergeCell ref="J86:J87"/>
    <mergeCell ref="D88:D89"/>
    <mergeCell ref="E88:E89"/>
    <mergeCell ref="G88:G89"/>
    <mergeCell ref="I88:I89"/>
    <mergeCell ref="J88:J89"/>
    <mergeCell ref="D86:D87"/>
    <mergeCell ref="E86:E87"/>
    <mergeCell ref="G86:G87"/>
    <mergeCell ref="I86:I87"/>
    <mergeCell ref="J98:J99"/>
    <mergeCell ref="D100:D101"/>
    <mergeCell ref="E100:E101"/>
    <mergeCell ref="G100:G101"/>
    <mergeCell ref="I100:I101"/>
    <mergeCell ref="J100:J101"/>
    <mergeCell ref="D98:D99"/>
    <mergeCell ref="E98:E99"/>
    <mergeCell ref="G98:G99"/>
    <mergeCell ref="I98:I99"/>
    <mergeCell ref="J94:J95"/>
    <mergeCell ref="D96:D97"/>
    <mergeCell ref="E96:E97"/>
    <mergeCell ref="G96:G97"/>
    <mergeCell ref="I96:I97"/>
    <mergeCell ref="J96:J97"/>
    <mergeCell ref="D94:D95"/>
    <mergeCell ref="E94:E95"/>
    <mergeCell ref="G94:G95"/>
    <mergeCell ref="I94:I95"/>
    <mergeCell ref="J106:J107"/>
    <mergeCell ref="D108:D109"/>
    <mergeCell ref="E108:E109"/>
    <mergeCell ref="G108:G109"/>
    <mergeCell ref="I108:I109"/>
    <mergeCell ref="J108:J109"/>
    <mergeCell ref="D106:D107"/>
    <mergeCell ref="E106:E107"/>
    <mergeCell ref="G106:G107"/>
    <mergeCell ref="I106:I107"/>
    <mergeCell ref="J102:J103"/>
    <mergeCell ref="D104:D105"/>
    <mergeCell ref="E104:E105"/>
    <mergeCell ref="G104:G105"/>
    <mergeCell ref="I104:I105"/>
    <mergeCell ref="J104:J105"/>
    <mergeCell ref="D102:D103"/>
    <mergeCell ref="E102:E103"/>
    <mergeCell ref="G102:G103"/>
    <mergeCell ref="I102:I103"/>
    <mergeCell ref="J114:J115"/>
    <mergeCell ref="D116:D117"/>
    <mergeCell ref="E116:E117"/>
    <mergeCell ref="G116:G117"/>
    <mergeCell ref="I116:I117"/>
    <mergeCell ref="J116:J117"/>
    <mergeCell ref="D114:D115"/>
    <mergeCell ref="E114:E115"/>
    <mergeCell ref="G114:G115"/>
    <mergeCell ref="I114:I115"/>
    <mergeCell ref="J110:J111"/>
    <mergeCell ref="D112:D113"/>
    <mergeCell ref="E112:E113"/>
    <mergeCell ref="G112:G113"/>
    <mergeCell ref="I112:I113"/>
    <mergeCell ref="J112:J113"/>
    <mergeCell ref="D110:D111"/>
    <mergeCell ref="E110:E111"/>
    <mergeCell ref="G110:G111"/>
    <mergeCell ref="I110:I111"/>
    <mergeCell ref="I124:I125"/>
    <mergeCell ref="J124:J125"/>
    <mergeCell ref="D122:D123"/>
    <mergeCell ref="E122:E123"/>
    <mergeCell ref="G122:G123"/>
    <mergeCell ref="I122:I123"/>
    <mergeCell ref="J118:J119"/>
    <mergeCell ref="D120:D121"/>
    <mergeCell ref="E120:E121"/>
    <mergeCell ref="G120:G121"/>
    <mergeCell ref="I120:I121"/>
    <mergeCell ref="J120:J121"/>
    <mergeCell ref="D118:D119"/>
    <mergeCell ref="E118:E119"/>
    <mergeCell ref="G118:G119"/>
    <mergeCell ref="I118:I119"/>
    <mergeCell ref="J126:J127"/>
    <mergeCell ref="J134:J135"/>
    <mergeCell ref="D136:D137"/>
    <mergeCell ref="E136:E137"/>
    <mergeCell ref="G136:G137"/>
    <mergeCell ref="I136:I137"/>
    <mergeCell ref="J136:J137"/>
    <mergeCell ref="D134:D135"/>
    <mergeCell ref="E134:E135"/>
    <mergeCell ref="G134:G135"/>
    <mergeCell ref="I134:I135"/>
    <mergeCell ref="J130:J131"/>
    <mergeCell ref="D132:D133"/>
    <mergeCell ref="E132:E133"/>
    <mergeCell ref="G132:G133"/>
    <mergeCell ref="I132:I133"/>
    <mergeCell ref="J132:J133"/>
    <mergeCell ref="D130:D131"/>
    <mergeCell ref="E130:E131"/>
    <mergeCell ref="G130:G131"/>
    <mergeCell ref="I130:I131"/>
    <mergeCell ref="I128:I129"/>
    <mergeCell ref="J128:J129"/>
    <mergeCell ref="B86:B87"/>
    <mergeCell ref="C86:C87"/>
    <mergeCell ref="H86:H87"/>
    <mergeCell ref="B88:B89"/>
    <mergeCell ref="C88:C89"/>
    <mergeCell ref="H88:H89"/>
    <mergeCell ref="B82:B83"/>
    <mergeCell ref="C82:C83"/>
    <mergeCell ref="H82:H83"/>
    <mergeCell ref="B84:B85"/>
    <mergeCell ref="C84:C85"/>
    <mergeCell ref="H84:H85"/>
    <mergeCell ref="B110:B111"/>
    <mergeCell ref="C110:C111"/>
    <mergeCell ref="H110:H111"/>
    <mergeCell ref="B112:B113"/>
    <mergeCell ref="C112:C113"/>
    <mergeCell ref="H112:H113"/>
    <mergeCell ref="B106:B107"/>
    <mergeCell ref="C106:C107"/>
    <mergeCell ref="H106:H107"/>
    <mergeCell ref="B108:B109"/>
    <mergeCell ref="C108:C109"/>
    <mergeCell ref="H108:H109"/>
    <mergeCell ref="B102:B103"/>
    <mergeCell ref="C102:C103"/>
    <mergeCell ref="H102:H103"/>
    <mergeCell ref="I126:I127"/>
    <mergeCell ref="J122:J123"/>
    <mergeCell ref="D124:D125"/>
    <mergeCell ref="B78:B79"/>
    <mergeCell ref="C78:C79"/>
    <mergeCell ref="H78:H79"/>
    <mergeCell ref="B80:B81"/>
    <mergeCell ref="C80:C81"/>
    <mergeCell ref="H80:H81"/>
    <mergeCell ref="B98:B99"/>
    <mergeCell ref="C98:C99"/>
    <mergeCell ref="H98:H99"/>
    <mergeCell ref="B100:B101"/>
    <mergeCell ref="C100:C101"/>
    <mergeCell ref="H100:H101"/>
    <mergeCell ref="B94:B95"/>
    <mergeCell ref="C94:C95"/>
    <mergeCell ref="H94:H95"/>
    <mergeCell ref="B96:B97"/>
    <mergeCell ref="C96:C97"/>
    <mergeCell ref="H96:H97"/>
    <mergeCell ref="B90:B91"/>
    <mergeCell ref="C90:C91"/>
    <mergeCell ref="H90:H91"/>
    <mergeCell ref="B92:B93"/>
    <mergeCell ref="C92:C93"/>
    <mergeCell ref="H92:H93"/>
    <mergeCell ref="B104:B105"/>
    <mergeCell ref="C104:C105"/>
    <mergeCell ref="H104:H105"/>
    <mergeCell ref="B122:B123"/>
    <mergeCell ref="C122:C123"/>
    <mergeCell ref="H122:H123"/>
    <mergeCell ref="B124:B125"/>
    <mergeCell ref="C124:C125"/>
    <mergeCell ref="H124:H125"/>
    <mergeCell ref="B118:B119"/>
    <mergeCell ref="C118:C119"/>
    <mergeCell ref="H118:H119"/>
    <mergeCell ref="B120:B121"/>
    <mergeCell ref="C120:C121"/>
    <mergeCell ref="H120:H121"/>
    <mergeCell ref="B114:B115"/>
    <mergeCell ref="C114:C115"/>
    <mergeCell ref="H114:H115"/>
    <mergeCell ref="B116:B117"/>
    <mergeCell ref="C116:C117"/>
    <mergeCell ref="H116:H117"/>
    <mergeCell ref="E124:E125"/>
    <mergeCell ref="G124:G125"/>
    <mergeCell ref="B134:B135"/>
    <mergeCell ref="C134:C135"/>
    <mergeCell ref="H134:H135"/>
    <mergeCell ref="B136:B137"/>
    <mergeCell ref="C136:C137"/>
    <mergeCell ref="H136:H137"/>
    <mergeCell ref="B130:B131"/>
    <mergeCell ref="C130:C131"/>
    <mergeCell ref="H130:H131"/>
    <mergeCell ref="B132:B133"/>
    <mergeCell ref="C132:C133"/>
    <mergeCell ref="H132:H133"/>
    <mergeCell ref="B126:B127"/>
    <mergeCell ref="C126:C127"/>
    <mergeCell ref="H126:H127"/>
    <mergeCell ref="B128:B129"/>
    <mergeCell ref="C128:C129"/>
    <mergeCell ref="H128:H129"/>
    <mergeCell ref="D126:D127"/>
    <mergeCell ref="E126:E127"/>
    <mergeCell ref="G126:G127"/>
    <mergeCell ref="D128:D129"/>
    <mergeCell ref="E128:E129"/>
    <mergeCell ref="G128:G129"/>
    <mergeCell ref="H142:H143"/>
    <mergeCell ref="I142:I143"/>
    <mergeCell ref="J142:J143"/>
    <mergeCell ref="B144:B145"/>
    <mergeCell ref="C144:C145"/>
    <mergeCell ref="D144:D145"/>
    <mergeCell ref="E144:E145"/>
    <mergeCell ref="G144:G145"/>
    <mergeCell ref="H144:H145"/>
    <mergeCell ref="I144:I145"/>
    <mergeCell ref="J144:J145"/>
    <mergeCell ref="B142:B143"/>
    <mergeCell ref="C142:C143"/>
    <mergeCell ref="D142:D143"/>
    <mergeCell ref="E142:E143"/>
    <mergeCell ref="G142:G143"/>
    <mergeCell ref="H138:H139"/>
    <mergeCell ref="I138:I139"/>
    <mergeCell ref="J138:J139"/>
    <mergeCell ref="B140:B141"/>
    <mergeCell ref="C140:C141"/>
    <mergeCell ref="D140:D141"/>
    <mergeCell ref="E140:E141"/>
    <mergeCell ref="G140:G141"/>
    <mergeCell ref="H140:H141"/>
    <mergeCell ref="I140:I141"/>
    <mergeCell ref="J140:J141"/>
    <mergeCell ref="B138:B139"/>
    <mergeCell ref="C138:C139"/>
    <mergeCell ref="D138:D139"/>
    <mergeCell ref="E138:E139"/>
    <mergeCell ref="G138:G139"/>
    <mergeCell ref="H150:H151"/>
    <mergeCell ref="I150:I151"/>
    <mergeCell ref="J150:J151"/>
    <mergeCell ref="B152:B153"/>
    <mergeCell ref="C152:C153"/>
    <mergeCell ref="D152:D153"/>
    <mergeCell ref="E152:E153"/>
    <mergeCell ref="G152:G153"/>
    <mergeCell ref="H152:H153"/>
    <mergeCell ref="I152:I153"/>
    <mergeCell ref="J152:J153"/>
    <mergeCell ref="B150:B151"/>
    <mergeCell ref="C150:C151"/>
    <mergeCell ref="D150:D151"/>
    <mergeCell ref="E150:E151"/>
    <mergeCell ref="G150:G151"/>
    <mergeCell ref="H146:H147"/>
    <mergeCell ref="I146:I147"/>
    <mergeCell ref="J146:J147"/>
    <mergeCell ref="B148:B149"/>
    <mergeCell ref="C148:C149"/>
    <mergeCell ref="D148:D149"/>
    <mergeCell ref="E148:E149"/>
    <mergeCell ref="G148:G149"/>
    <mergeCell ref="H148:H149"/>
    <mergeCell ref="I148:I149"/>
    <mergeCell ref="J148:J149"/>
    <mergeCell ref="B146:B147"/>
    <mergeCell ref="C146:C147"/>
    <mergeCell ref="D146:D147"/>
    <mergeCell ref="E146:E147"/>
    <mergeCell ref="G146:G147"/>
    <mergeCell ref="H158:H159"/>
    <mergeCell ref="I158:I159"/>
    <mergeCell ref="J158:J159"/>
    <mergeCell ref="B160:B161"/>
    <mergeCell ref="C160:C161"/>
    <mergeCell ref="D160:D161"/>
    <mergeCell ref="E160:E161"/>
    <mergeCell ref="G160:G161"/>
    <mergeCell ref="H160:H161"/>
    <mergeCell ref="I160:I161"/>
    <mergeCell ref="J160:J161"/>
    <mergeCell ref="B158:B159"/>
    <mergeCell ref="C158:C159"/>
    <mergeCell ref="D158:D159"/>
    <mergeCell ref="E158:E159"/>
    <mergeCell ref="G158:G159"/>
    <mergeCell ref="H154:H155"/>
    <mergeCell ref="I154:I155"/>
    <mergeCell ref="J154:J155"/>
    <mergeCell ref="B156:B157"/>
    <mergeCell ref="C156:C157"/>
    <mergeCell ref="D156:D157"/>
    <mergeCell ref="E156:E157"/>
    <mergeCell ref="G156:G157"/>
    <mergeCell ref="H156:H157"/>
    <mergeCell ref="I156:I157"/>
    <mergeCell ref="J156:J157"/>
    <mergeCell ref="B154:B155"/>
    <mergeCell ref="C154:C155"/>
    <mergeCell ref="D154:D155"/>
    <mergeCell ref="E154:E155"/>
    <mergeCell ref="G154:G155"/>
    <mergeCell ref="H166:H167"/>
    <mergeCell ref="I166:I167"/>
    <mergeCell ref="J166:J167"/>
    <mergeCell ref="B168:B169"/>
    <mergeCell ref="C168:C169"/>
    <mergeCell ref="D168:D169"/>
    <mergeCell ref="E168:E169"/>
    <mergeCell ref="G168:G169"/>
    <mergeCell ref="H168:H169"/>
    <mergeCell ref="I168:I169"/>
    <mergeCell ref="J168:J169"/>
    <mergeCell ref="B166:B167"/>
    <mergeCell ref="C166:C167"/>
    <mergeCell ref="D166:D167"/>
    <mergeCell ref="E166:E167"/>
    <mergeCell ref="G166:G167"/>
    <mergeCell ref="H162:H163"/>
    <mergeCell ref="I162:I163"/>
    <mergeCell ref="J162:J163"/>
    <mergeCell ref="B164:B165"/>
    <mergeCell ref="C164:C165"/>
    <mergeCell ref="D164:D165"/>
    <mergeCell ref="E164:E165"/>
    <mergeCell ref="G164:G165"/>
    <mergeCell ref="H164:H165"/>
    <mergeCell ref="I164:I165"/>
    <mergeCell ref="J164:J165"/>
    <mergeCell ref="B162:B163"/>
    <mergeCell ref="C162:C163"/>
    <mergeCell ref="D162:D163"/>
    <mergeCell ref="E162:E163"/>
    <mergeCell ref="G162:G163"/>
    <mergeCell ref="H174:H175"/>
    <mergeCell ref="I174:I175"/>
    <mergeCell ref="J174:J175"/>
    <mergeCell ref="B176:B177"/>
    <mergeCell ref="C176:C177"/>
    <mergeCell ref="D176:D177"/>
    <mergeCell ref="E176:E177"/>
    <mergeCell ref="G176:G177"/>
    <mergeCell ref="H176:H177"/>
    <mergeCell ref="I176:I177"/>
    <mergeCell ref="J176:J177"/>
    <mergeCell ref="B174:B175"/>
    <mergeCell ref="C174:C175"/>
    <mergeCell ref="D174:D175"/>
    <mergeCell ref="E174:E175"/>
    <mergeCell ref="G174:G175"/>
    <mergeCell ref="H170:H171"/>
    <mergeCell ref="I170:I171"/>
    <mergeCell ref="J170:J171"/>
    <mergeCell ref="B172:B173"/>
    <mergeCell ref="C172:C173"/>
    <mergeCell ref="D172:D173"/>
    <mergeCell ref="E172:E173"/>
    <mergeCell ref="G172:G173"/>
    <mergeCell ref="H172:H173"/>
    <mergeCell ref="I172:I173"/>
    <mergeCell ref="J172:J173"/>
    <mergeCell ref="B170:B171"/>
    <mergeCell ref="C170:C171"/>
    <mergeCell ref="D170:D171"/>
    <mergeCell ref="E170:E171"/>
    <mergeCell ref="G170:G171"/>
    <mergeCell ref="H182:H183"/>
    <mergeCell ref="I182:I183"/>
    <mergeCell ref="J182:J183"/>
    <mergeCell ref="B184:B185"/>
    <mergeCell ref="C184:C185"/>
    <mergeCell ref="D184:D185"/>
    <mergeCell ref="E184:E185"/>
    <mergeCell ref="G184:G185"/>
    <mergeCell ref="H184:H185"/>
    <mergeCell ref="I184:I185"/>
    <mergeCell ref="J184:J185"/>
    <mergeCell ref="B182:B183"/>
    <mergeCell ref="C182:C183"/>
    <mergeCell ref="D182:D183"/>
    <mergeCell ref="E182:E183"/>
    <mergeCell ref="G182:G183"/>
    <mergeCell ref="H178:H179"/>
    <mergeCell ref="I178:I179"/>
    <mergeCell ref="J178:J179"/>
    <mergeCell ref="B180:B181"/>
    <mergeCell ref="C180:C181"/>
    <mergeCell ref="D180:D181"/>
    <mergeCell ref="E180:E181"/>
    <mergeCell ref="G180:G181"/>
    <mergeCell ref="H180:H181"/>
    <mergeCell ref="I180:I181"/>
    <mergeCell ref="J180:J181"/>
    <mergeCell ref="B178:B179"/>
    <mergeCell ref="C178:C179"/>
    <mergeCell ref="D178:D179"/>
    <mergeCell ref="E178:E179"/>
    <mergeCell ref="G178:G179"/>
    <mergeCell ref="H190:H191"/>
    <mergeCell ref="I190:I191"/>
    <mergeCell ref="J190:J191"/>
    <mergeCell ref="B192:B193"/>
    <mergeCell ref="C192:C193"/>
    <mergeCell ref="D192:D193"/>
    <mergeCell ref="E192:E193"/>
    <mergeCell ref="G192:G193"/>
    <mergeCell ref="H192:H193"/>
    <mergeCell ref="I192:I193"/>
    <mergeCell ref="J192:J193"/>
    <mergeCell ref="B190:B191"/>
    <mergeCell ref="C190:C191"/>
    <mergeCell ref="D190:D191"/>
    <mergeCell ref="E190:E191"/>
    <mergeCell ref="G190:G191"/>
    <mergeCell ref="H186:H187"/>
    <mergeCell ref="I186:I187"/>
    <mergeCell ref="J186:J187"/>
    <mergeCell ref="B188:B189"/>
    <mergeCell ref="C188:C189"/>
    <mergeCell ref="D188:D189"/>
    <mergeCell ref="E188:E189"/>
    <mergeCell ref="G188:G189"/>
    <mergeCell ref="H188:H189"/>
    <mergeCell ref="I188:I189"/>
    <mergeCell ref="J188:J189"/>
    <mergeCell ref="B186:B187"/>
    <mergeCell ref="C186:C187"/>
    <mergeCell ref="D186:D187"/>
    <mergeCell ref="E186:E187"/>
    <mergeCell ref="G186:G187"/>
    <mergeCell ref="H198:H199"/>
    <mergeCell ref="I198:I199"/>
    <mergeCell ref="J198:J199"/>
    <mergeCell ref="B200:B201"/>
    <mergeCell ref="C200:C201"/>
    <mergeCell ref="D200:D201"/>
    <mergeCell ref="E200:E201"/>
    <mergeCell ref="G200:G201"/>
    <mergeCell ref="H200:H201"/>
    <mergeCell ref="I200:I201"/>
    <mergeCell ref="J200:J201"/>
    <mergeCell ref="B198:B199"/>
    <mergeCell ref="C198:C199"/>
    <mergeCell ref="D198:D199"/>
    <mergeCell ref="E198:E199"/>
    <mergeCell ref="G198:G199"/>
    <mergeCell ref="H194:H195"/>
    <mergeCell ref="I194:I195"/>
    <mergeCell ref="J194:J195"/>
    <mergeCell ref="B196:B197"/>
    <mergeCell ref="C196:C197"/>
    <mergeCell ref="D196:D197"/>
    <mergeCell ref="E196:E197"/>
    <mergeCell ref="G196:G197"/>
    <mergeCell ref="H196:H197"/>
    <mergeCell ref="I196:I197"/>
    <mergeCell ref="J196:J197"/>
    <mergeCell ref="B194:B195"/>
    <mergeCell ref="C194:C195"/>
    <mergeCell ref="D194:D195"/>
    <mergeCell ref="E194:E195"/>
    <mergeCell ref="G194:G195"/>
    <mergeCell ref="H206:H207"/>
    <mergeCell ref="I206:I207"/>
    <mergeCell ref="J206:J207"/>
    <mergeCell ref="B208:B209"/>
    <mergeCell ref="C208:C209"/>
    <mergeCell ref="D208:D209"/>
    <mergeCell ref="E208:E209"/>
    <mergeCell ref="G208:G209"/>
    <mergeCell ref="H208:H209"/>
    <mergeCell ref="I208:I209"/>
    <mergeCell ref="J208:J209"/>
    <mergeCell ref="B206:B207"/>
    <mergeCell ref="C206:C207"/>
    <mergeCell ref="D206:D207"/>
    <mergeCell ref="E206:E207"/>
    <mergeCell ref="G206:G207"/>
    <mergeCell ref="H202:H203"/>
    <mergeCell ref="I202:I203"/>
    <mergeCell ref="J202:J203"/>
    <mergeCell ref="B204:B205"/>
    <mergeCell ref="C204:C205"/>
    <mergeCell ref="D204:D205"/>
    <mergeCell ref="E204:E205"/>
    <mergeCell ref="G204:G205"/>
    <mergeCell ref="H204:H205"/>
    <mergeCell ref="I204:I205"/>
    <mergeCell ref="J204:J205"/>
    <mergeCell ref="B202:B203"/>
    <mergeCell ref="C202:C203"/>
    <mergeCell ref="D202:D203"/>
    <mergeCell ref="E202:E203"/>
    <mergeCell ref="G202:G203"/>
    <mergeCell ref="H214:H215"/>
    <mergeCell ref="I214:I215"/>
    <mergeCell ref="J214:J215"/>
    <mergeCell ref="B216:B217"/>
    <mergeCell ref="C216:C217"/>
    <mergeCell ref="D216:D217"/>
    <mergeCell ref="E216:E217"/>
    <mergeCell ref="G216:G217"/>
    <mergeCell ref="H216:H217"/>
    <mergeCell ref="I216:I217"/>
    <mergeCell ref="J216:J217"/>
    <mergeCell ref="B214:B215"/>
    <mergeCell ref="C214:C215"/>
    <mergeCell ref="D214:D215"/>
    <mergeCell ref="E214:E215"/>
    <mergeCell ref="G214:G215"/>
    <mergeCell ref="H210:H211"/>
    <mergeCell ref="I210:I211"/>
    <mergeCell ref="J210:J211"/>
    <mergeCell ref="B212:B213"/>
    <mergeCell ref="C212:C213"/>
    <mergeCell ref="D212:D213"/>
    <mergeCell ref="E212:E213"/>
    <mergeCell ref="G212:G213"/>
    <mergeCell ref="H212:H213"/>
    <mergeCell ref="I212:I213"/>
    <mergeCell ref="J212:J213"/>
    <mergeCell ref="B210:B211"/>
    <mergeCell ref="C210:C211"/>
    <mergeCell ref="D210:D211"/>
    <mergeCell ref="E210:E211"/>
    <mergeCell ref="G210:G211"/>
    <mergeCell ref="H222:H223"/>
    <mergeCell ref="I222:I223"/>
    <mergeCell ref="J222:J223"/>
    <mergeCell ref="B224:B225"/>
    <mergeCell ref="C224:C225"/>
    <mergeCell ref="D224:D225"/>
    <mergeCell ref="E224:E225"/>
    <mergeCell ref="G224:G225"/>
    <mergeCell ref="H224:H225"/>
    <mergeCell ref="I224:I225"/>
    <mergeCell ref="J224:J225"/>
    <mergeCell ref="B222:B223"/>
    <mergeCell ref="C222:C223"/>
    <mergeCell ref="D222:D223"/>
    <mergeCell ref="E222:E223"/>
    <mergeCell ref="G222:G223"/>
    <mergeCell ref="H218:H219"/>
    <mergeCell ref="I218:I219"/>
    <mergeCell ref="J218:J219"/>
    <mergeCell ref="B220:B221"/>
    <mergeCell ref="C220:C221"/>
    <mergeCell ref="D220:D221"/>
    <mergeCell ref="E220:E221"/>
    <mergeCell ref="G220:G221"/>
    <mergeCell ref="H220:H221"/>
    <mergeCell ref="I220:I221"/>
    <mergeCell ref="J220:J221"/>
    <mergeCell ref="B218:B219"/>
    <mergeCell ref="C218:C219"/>
    <mergeCell ref="D218:D219"/>
    <mergeCell ref="E218:E219"/>
    <mergeCell ref="G218:G219"/>
    <mergeCell ref="H230:H231"/>
    <mergeCell ref="I230:I231"/>
    <mergeCell ref="J230:J231"/>
    <mergeCell ref="B232:B233"/>
    <mergeCell ref="C232:C233"/>
    <mergeCell ref="D232:D233"/>
    <mergeCell ref="E232:E233"/>
    <mergeCell ref="G232:G233"/>
    <mergeCell ref="H232:H233"/>
    <mergeCell ref="I232:I233"/>
    <mergeCell ref="J232:J233"/>
    <mergeCell ref="B230:B231"/>
    <mergeCell ref="C230:C231"/>
    <mergeCell ref="D230:D231"/>
    <mergeCell ref="E230:E231"/>
    <mergeCell ref="G230:G231"/>
    <mergeCell ref="H226:H227"/>
    <mergeCell ref="I226:I227"/>
    <mergeCell ref="J226:J227"/>
    <mergeCell ref="B228:B229"/>
    <mergeCell ref="C228:C229"/>
    <mergeCell ref="D228:D229"/>
    <mergeCell ref="E228:E229"/>
    <mergeCell ref="G228:G229"/>
    <mergeCell ref="H228:H229"/>
    <mergeCell ref="I228:I229"/>
    <mergeCell ref="J228:J229"/>
    <mergeCell ref="B226:B227"/>
    <mergeCell ref="C226:C227"/>
    <mergeCell ref="D226:D227"/>
    <mergeCell ref="E226:E227"/>
    <mergeCell ref="G226:G227"/>
    <mergeCell ref="H238:H239"/>
    <mergeCell ref="I238:I239"/>
    <mergeCell ref="J238:J239"/>
    <mergeCell ref="B240:B241"/>
    <mergeCell ref="C240:C241"/>
    <mergeCell ref="D240:D241"/>
    <mergeCell ref="E240:E241"/>
    <mergeCell ref="G240:G241"/>
    <mergeCell ref="H240:H241"/>
    <mergeCell ref="I240:I241"/>
    <mergeCell ref="J240:J241"/>
    <mergeCell ref="B238:B239"/>
    <mergeCell ref="C238:C239"/>
    <mergeCell ref="D238:D239"/>
    <mergeCell ref="E238:E239"/>
    <mergeCell ref="G238:G239"/>
    <mergeCell ref="H234:H235"/>
    <mergeCell ref="I234:I235"/>
    <mergeCell ref="J234:J235"/>
    <mergeCell ref="B236:B237"/>
    <mergeCell ref="C236:C237"/>
    <mergeCell ref="D236:D237"/>
    <mergeCell ref="E236:E237"/>
    <mergeCell ref="G236:G237"/>
    <mergeCell ref="H236:H237"/>
    <mergeCell ref="I236:I237"/>
    <mergeCell ref="J236:J237"/>
    <mergeCell ref="B234:B235"/>
    <mergeCell ref="C234:C235"/>
    <mergeCell ref="D234:D235"/>
    <mergeCell ref="E234:E235"/>
    <mergeCell ref="G234:G235"/>
    <mergeCell ref="H246:H247"/>
    <mergeCell ref="I246:I247"/>
    <mergeCell ref="J246:J247"/>
    <mergeCell ref="B248:B249"/>
    <mergeCell ref="C248:C249"/>
    <mergeCell ref="D248:D249"/>
    <mergeCell ref="E248:E249"/>
    <mergeCell ref="G248:G249"/>
    <mergeCell ref="H248:H249"/>
    <mergeCell ref="I248:I249"/>
    <mergeCell ref="J248:J249"/>
    <mergeCell ref="B246:B247"/>
    <mergeCell ref="C246:C247"/>
    <mergeCell ref="D246:D247"/>
    <mergeCell ref="E246:E247"/>
    <mergeCell ref="G246:G247"/>
    <mergeCell ref="H242:H243"/>
    <mergeCell ref="I242:I243"/>
    <mergeCell ref="J242:J243"/>
    <mergeCell ref="B244:B245"/>
    <mergeCell ref="C244:C245"/>
    <mergeCell ref="D244:D245"/>
    <mergeCell ref="E244:E245"/>
    <mergeCell ref="G244:G245"/>
    <mergeCell ref="H244:H245"/>
    <mergeCell ref="I244:I245"/>
    <mergeCell ref="J244:J245"/>
    <mergeCell ref="B242:B243"/>
    <mergeCell ref="C242:C243"/>
    <mergeCell ref="D242:D243"/>
    <mergeCell ref="E242:E243"/>
    <mergeCell ref="G242:G243"/>
    <mergeCell ref="H254:H255"/>
    <mergeCell ref="I254:I255"/>
    <mergeCell ref="J254:J255"/>
    <mergeCell ref="B256:B257"/>
    <mergeCell ref="C256:C257"/>
    <mergeCell ref="D256:D257"/>
    <mergeCell ref="E256:E257"/>
    <mergeCell ref="G256:G257"/>
    <mergeCell ref="H256:H257"/>
    <mergeCell ref="I256:I257"/>
    <mergeCell ref="J256:J257"/>
    <mergeCell ref="B254:B255"/>
    <mergeCell ref="C254:C255"/>
    <mergeCell ref="D254:D255"/>
    <mergeCell ref="E254:E255"/>
    <mergeCell ref="G254:G255"/>
    <mergeCell ref="H250:H251"/>
    <mergeCell ref="I250:I251"/>
    <mergeCell ref="J250:J251"/>
    <mergeCell ref="B252:B253"/>
    <mergeCell ref="C252:C253"/>
    <mergeCell ref="D252:D253"/>
    <mergeCell ref="E252:E253"/>
    <mergeCell ref="G252:G253"/>
    <mergeCell ref="H252:H253"/>
    <mergeCell ref="I252:I253"/>
    <mergeCell ref="J252:J253"/>
    <mergeCell ref="B250:B251"/>
    <mergeCell ref="C250:C251"/>
    <mergeCell ref="D250:D251"/>
    <mergeCell ref="E250:E251"/>
    <mergeCell ref="G250:G251"/>
    <mergeCell ref="H262:H263"/>
    <mergeCell ref="I262:I263"/>
    <mergeCell ref="J262:J263"/>
    <mergeCell ref="B264:B265"/>
    <mergeCell ref="C264:C265"/>
    <mergeCell ref="D264:D265"/>
    <mergeCell ref="E264:E265"/>
    <mergeCell ref="G264:G265"/>
    <mergeCell ref="H264:H265"/>
    <mergeCell ref="I264:I265"/>
    <mergeCell ref="J264:J265"/>
    <mergeCell ref="B262:B263"/>
    <mergeCell ref="C262:C263"/>
    <mergeCell ref="D262:D263"/>
    <mergeCell ref="E262:E263"/>
    <mergeCell ref="G262:G263"/>
    <mergeCell ref="H258:H259"/>
    <mergeCell ref="I258:I259"/>
    <mergeCell ref="J258:J259"/>
    <mergeCell ref="B260:B261"/>
    <mergeCell ref="C260:C261"/>
    <mergeCell ref="D260:D261"/>
    <mergeCell ref="E260:E261"/>
    <mergeCell ref="G260:G261"/>
    <mergeCell ref="H260:H261"/>
    <mergeCell ref="I260:I261"/>
    <mergeCell ref="J260:J261"/>
    <mergeCell ref="B258:B259"/>
    <mergeCell ref="C258:C259"/>
    <mergeCell ref="D258:D259"/>
    <mergeCell ref="E258:E259"/>
    <mergeCell ref="G258:G259"/>
    <mergeCell ref="H270:H271"/>
    <mergeCell ref="I270:I271"/>
    <mergeCell ref="J270:J271"/>
    <mergeCell ref="B272:B273"/>
    <mergeCell ref="C272:C273"/>
    <mergeCell ref="D272:D273"/>
    <mergeCell ref="E272:E273"/>
    <mergeCell ref="G272:G273"/>
    <mergeCell ref="H272:H273"/>
    <mergeCell ref="I272:I273"/>
    <mergeCell ref="J272:J273"/>
    <mergeCell ref="B270:B271"/>
    <mergeCell ref="C270:C271"/>
    <mergeCell ref="D270:D271"/>
    <mergeCell ref="E270:E271"/>
    <mergeCell ref="G270:G271"/>
    <mergeCell ref="H266:H267"/>
    <mergeCell ref="I266:I267"/>
    <mergeCell ref="J266:J267"/>
    <mergeCell ref="B268:B269"/>
    <mergeCell ref="C268:C269"/>
    <mergeCell ref="D268:D269"/>
    <mergeCell ref="E268:E269"/>
    <mergeCell ref="G268:G269"/>
    <mergeCell ref="H268:H269"/>
    <mergeCell ref="I268:I269"/>
    <mergeCell ref="J268:J269"/>
    <mergeCell ref="B266:B267"/>
    <mergeCell ref="C266:C267"/>
    <mergeCell ref="D266:D267"/>
    <mergeCell ref="E266:E267"/>
    <mergeCell ref="G266:G267"/>
    <mergeCell ref="H278:H279"/>
    <mergeCell ref="I278:I279"/>
    <mergeCell ref="J278:J279"/>
    <mergeCell ref="B280:B281"/>
    <mergeCell ref="C280:C281"/>
    <mergeCell ref="D280:D281"/>
    <mergeCell ref="E280:E281"/>
    <mergeCell ref="G280:G281"/>
    <mergeCell ref="H280:H281"/>
    <mergeCell ref="I280:I281"/>
    <mergeCell ref="J280:J281"/>
    <mergeCell ref="B278:B279"/>
    <mergeCell ref="C278:C279"/>
    <mergeCell ref="D278:D279"/>
    <mergeCell ref="E278:E279"/>
    <mergeCell ref="G278:G279"/>
    <mergeCell ref="H274:H275"/>
    <mergeCell ref="I274:I275"/>
    <mergeCell ref="J274:J275"/>
    <mergeCell ref="B276:B277"/>
    <mergeCell ref="C276:C277"/>
    <mergeCell ref="D276:D277"/>
    <mergeCell ref="E276:E277"/>
    <mergeCell ref="G276:G277"/>
    <mergeCell ref="H276:H277"/>
    <mergeCell ref="I276:I277"/>
    <mergeCell ref="J276:J277"/>
    <mergeCell ref="B274:B275"/>
    <mergeCell ref="C274:C275"/>
    <mergeCell ref="D274:D275"/>
    <mergeCell ref="E274:E275"/>
    <mergeCell ref="G274:G275"/>
    <mergeCell ref="H286:H287"/>
    <mergeCell ref="I286:I287"/>
    <mergeCell ref="J286:J287"/>
    <mergeCell ref="B288:B289"/>
    <mergeCell ref="C288:C289"/>
    <mergeCell ref="D288:D289"/>
    <mergeCell ref="E288:E289"/>
    <mergeCell ref="G288:G289"/>
    <mergeCell ref="H288:H289"/>
    <mergeCell ref="I288:I289"/>
    <mergeCell ref="J288:J289"/>
    <mergeCell ref="B286:B287"/>
    <mergeCell ref="C286:C287"/>
    <mergeCell ref="D286:D287"/>
    <mergeCell ref="E286:E287"/>
    <mergeCell ref="G286:G287"/>
    <mergeCell ref="H282:H283"/>
    <mergeCell ref="I282:I283"/>
    <mergeCell ref="J282:J283"/>
    <mergeCell ref="B284:B285"/>
    <mergeCell ref="C284:C285"/>
    <mergeCell ref="D284:D285"/>
    <mergeCell ref="E284:E285"/>
    <mergeCell ref="G284:G285"/>
    <mergeCell ref="H284:H285"/>
    <mergeCell ref="I284:I285"/>
    <mergeCell ref="J284:J285"/>
    <mergeCell ref="B282:B283"/>
    <mergeCell ref="C282:C283"/>
    <mergeCell ref="D282:D283"/>
    <mergeCell ref="E282:E283"/>
    <mergeCell ref="G282:G283"/>
    <mergeCell ref="H294:H295"/>
    <mergeCell ref="I294:I295"/>
    <mergeCell ref="J294:J295"/>
    <mergeCell ref="B296:B297"/>
    <mergeCell ref="C296:C297"/>
    <mergeCell ref="D296:D297"/>
    <mergeCell ref="E296:E297"/>
    <mergeCell ref="G296:G297"/>
    <mergeCell ref="H296:H297"/>
    <mergeCell ref="I296:I297"/>
    <mergeCell ref="J296:J297"/>
    <mergeCell ref="B294:B295"/>
    <mergeCell ref="C294:C295"/>
    <mergeCell ref="D294:D295"/>
    <mergeCell ref="E294:E295"/>
    <mergeCell ref="G294:G295"/>
    <mergeCell ref="H290:H291"/>
    <mergeCell ref="I290:I291"/>
    <mergeCell ref="J290:J291"/>
    <mergeCell ref="B292:B293"/>
    <mergeCell ref="C292:C293"/>
    <mergeCell ref="D292:D293"/>
    <mergeCell ref="E292:E293"/>
    <mergeCell ref="G292:G293"/>
    <mergeCell ref="H292:H293"/>
    <mergeCell ref="I292:I293"/>
    <mergeCell ref="J292:J293"/>
    <mergeCell ref="B290:B291"/>
    <mergeCell ref="C290:C291"/>
    <mergeCell ref="D290:D291"/>
    <mergeCell ref="E290:E291"/>
    <mergeCell ref="G290:G291"/>
    <mergeCell ref="H302:H303"/>
    <mergeCell ref="I302:I303"/>
    <mergeCell ref="J302:J303"/>
    <mergeCell ref="B304:B305"/>
    <mergeCell ref="C304:C305"/>
    <mergeCell ref="D304:D305"/>
    <mergeCell ref="E304:E305"/>
    <mergeCell ref="G304:G305"/>
    <mergeCell ref="H304:H305"/>
    <mergeCell ref="I304:I305"/>
    <mergeCell ref="J304:J305"/>
    <mergeCell ref="B302:B303"/>
    <mergeCell ref="C302:C303"/>
    <mergeCell ref="D302:D303"/>
    <mergeCell ref="E302:E303"/>
    <mergeCell ref="G302:G303"/>
    <mergeCell ref="H298:H299"/>
    <mergeCell ref="I298:I299"/>
    <mergeCell ref="J298:J299"/>
    <mergeCell ref="B300:B301"/>
    <mergeCell ref="C300:C301"/>
    <mergeCell ref="D300:D301"/>
    <mergeCell ref="E300:E301"/>
    <mergeCell ref="G300:G301"/>
    <mergeCell ref="H300:H301"/>
    <mergeCell ref="I300:I301"/>
    <mergeCell ref="J300:J301"/>
    <mergeCell ref="B298:B299"/>
    <mergeCell ref="C298:C299"/>
    <mergeCell ref="D298:D299"/>
    <mergeCell ref="E298:E299"/>
    <mergeCell ref="G298:G299"/>
  </mergeCells>
  <conditionalFormatting sqref="B10:J10 G12 G16 G20 G24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J28 J30 J32 J34 J36 J38 J40 J42 J44 J46 J48 J50 J60 J62 J64 J66 J68 J70 J72 J74 J76 J78 J80 J82 J84 J86 J88 J90 J100 J102 J104 J106 J108 J110 J112 J114 J116 J118 J120 J122 J124 J126 J128 J130 J132 J134 J136 J138 J140 J142 J144 J146 J148 J150 J152 J154 J156 J158 J160 J162 J164 J166 J168 J170 J172 J174 J176 J178 J180 J182 J184 J186 J188 J190 J192 J194 J196 J198 J200 J202 J204 J206 J208 J210 J212 J214 J216 J218 J220 J222 J224 J226 J228 J230 J232 J234 J236 J238 J240 J242 J244 J246 J248 J250 J252 J254 J256 J258 J260 J262 J264 J266 J268 J270 J272 J274 J276 J278 J280 J282 J284 J286 J288 J290 J292 J294 J296 J298 J300 J302 J304 J306 J308 I12:J12 G14:J14 I16:J16 G18:J18 I20:J20 G22:J22 I24:J24 G26:J26 J52 J54 J56 J58 J92 J94 J96 J98">
    <cfRule type="expression" dxfId="1868" priority="2433">
      <formula>$D10=""</formula>
    </cfRule>
  </conditionalFormatting>
  <conditionalFormatting sqref="F11">
    <cfRule type="expression" dxfId="1867" priority="2041">
      <formula>$D10=""</formula>
    </cfRule>
  </conditionalFormatting>
  <conditionalFormatting sqref="B12:F12 H12 H16 H20 H24">
    <cfRule type="expression" dxfId="1866" priority="1862">
      <formula>$D12=""</formula>
    </cfRule>
  </conditionalFormatting>
  <conditionalFormatting sqref="F13">
    <cfRule type="expression" dxfId="1865" priority="1861">
      <formula>$D12=""</formula>
    </cfRule>
  </conditionalFormatting>
  <conditionalFormatting sqref="B14:F14">
    <cfRule type="expression" dxfId="1864" priority="1860">
      <formula>$D14=""</formula>
    </cfRule>
  </conditionalFormatting>
  <conditionalFormatting sqref="F15">
    <cfRule type="expression" dxfId="1863" priority="1859">
      <formula>$D14=""</formula>
    </cfRule>
  </conditionalFormatting>
  <conditionalFormatting sqref="B16:F16">
    <cfRule type="expression" dxfId="1862" priority="1858">
      <formula>$D16=""</formula>
    </cfRule>
  </conditionalFormatting>
  <conditionalFormatting sqref="F17">
    <cfRule type="expression" dxfId="1861" priority="1857">
      <formula>$D16=""</formula>
    </cfRule>
  </conditionalFormatting>
  <conditionalFormatting sqref="B18:F18">
    <cfRule type="expression" dxfId="1860" priority="1856">
      <formula>$D18=""</formula>
    </cfRule>
  </conditionalFormatting>
  <conditionalFormatting sqref="F19">
    <cfRule type="expression" dxfId="1859" priority="1855">
      <formula>$D18=""</formula>
    </cfRule>
  </conditionalFormatting>
  <conditionalFormatting sqref="B20:F20">
    <cfRule type="expression" dxfId="1858" priority="1854">
      <formula>$D20=""</formula>
    </cfRule>
  </conditionalFormatting>
  <conditionalFormatting sqref="F21">
    <cfRule type="expression" dxfId="1857" priority="1853">
      <formula>$D20=""</formula>
    </cfRule>
  </conditionalFormatting>
  <conditionalFormatting sqref="B22:F22">
    <cfRule type="expression" dxfId="1856" priority="1852">
      <formula>$D22=""</formula>
    </cfRule>
  </conditionalFormatting>
  <conditionalFormatting sqref="F23">
    <cfRule type="expression" dxfId="1855" priority="1851">
      <formula>$D22=""</formula>
    </cfRule>
  </conditionalFormatting>
  <conditionalFormatting sqref="B24:F24">
    <cfRule type="expression" dxfId="1854" priority="1850">
      <formula>$D24=""</formula>
    </cfRule>
  </conditionalFormatting>
  <conditionalFormatting sqref="F25">
    <cfRule type="expression" dxfId="1853" priority="1849">
      <formula>$D24=""</formula>
    </cfRule>
  </conditionalFormatting>
  <conditionalFormatting sqref="B26:F26">
    <cfRule type="expression" dxfId="1852" priority="1848">
      <formula>$D26=""</formula>
    </cfRule>
  </conditionalFormatting>
  <conditionalFormatting sqref="F27">
    <cfRule type="expression" dxfId="1851" priority="1847">
      <formula>$D26=""</formula>
    </cfRule>
  </conditionalFormatting>
  <conditionalFormatting sqref="B28:F28 H28:I28">
    <cfRule type="expression" dxfId="1850" priority="1846">
      <formula>$D28=""</formula>
    </cfRule>
  </conditionalFormatting>
  <conditionalFormatting sqref="F29">
    <cfRule type="expression" dxfId="1849" priority="1845">
      <formula>$D28=""</formula>
    </cfRule>
  </conditionalFormatting>
  <conditionalFormatting sqref="B30:F30 H30:I30 I32">
    <cfRule type="expression" dxfId="1848" priority="1844">
      <formula>$D30=""</formula>
    </cfRule>
  </conditionalFormatting>
  <conditionalFormatting sqref="F31">
    <cfRule type="expression" dxfId="1847" priority="1843">
      <formula>$D30=""</formula>
    </cfRule>
  </conditionalFormatting>
  <conditionalFormatting sqref="B32:F32 H32">
    <cfRule type="expression" dxfId="1846" priority="1842">
      <formula>$D32=""</formula>
    </cfRule>
  </conditionalFormatting>
  <conditionalFormatting sqref="F33">
    <cfRule type="expression" dxfId="1845" priority="1841">
      <formula>$D32=""</formula>
    </cfRule>
  </conditionalFormatting>
  <conditionalFormatting sqref="B34:F34 H34:I34">
    <cfRule type="expression" dxfId="1844" priority="1840">
      <formula>$D34=""</formula>
    </cfRule>
  </conditionalFormatting>
  <conditionalFormatting sqref="F35">
    <cfRule type="expression" dxfId="1843" priority="1839">
      <formula>$D34=""</formula>
    </cfRule>
  </conditionalFormatting>
  <conditionalFormatting sqref="B36:F36 H36:I36">
    <cfRule type="expression" dxfId="1842" priority="1838">
      <formula>$D36=""</formula>
    </cfRule>
  </conditionalFormatting>
  <conditionalFormatting sqref="F37">
    <cfRule type="expression" dxfId="1841" priority="1837">
      <formula>$D36=""</formula>
    </cfRule>
  </conditionalFormatting>
  <conditionalFormatting sqref="B38:F38 H38:I38">
    <cfRule type="expression" dxfId="1840" priority="1836">
      <formula>$D38=""</formula>
    </cfRule>
  </conditionalFormatting>
  <conditionalFormatting sqref="F39">
    <cfRule type="expression" dxfId="1839" priority="1835">
      <formula>$D38=""</formula>
    </cfRule>
  </conditionalFormatting>
  <conditionalFormatting sqref="B40:F40 H40:I40">
    <cfRule type="expression" dxfId="1838" priority="1834">
      <formula>$D40=""</formula>
    </cfRule>
  </conditionalFormatting>
  <conditionalFormatting sqref="F41">
    <cfRule type="expression" dxfId="1837" priority="1833">
      <formula>$D40=""</formula>
    </cfRule>
  </conditionalFormatting>
  <conditionalFormatting sqref="B42:F42 H42:I42">
    <cfRule type="expression" dxfId="1836" priority="1832">
      <formula>$D42=""</formula>
    </cfRule>
  </conditionalFormatting>
  <conditionalFormatting sqref="F43">
    <cfRule type="expression" dxfId="1835" priority="1831">
      <formula>$D42=""</formula>
    </cfRule>
  </conditionalFormatting>
  <conditionalFormatting sqref="B44:F44 H44:I44">
    <cfRule type="expression" dxfId="1834" priority="1830">
      <formula>$D44=""</formula>
    </cfRule>
  </conditionalFormatting>
  <conditionalFormatting sqref="F45">
    <cfRule type="expression" dxfId="1833" priority="1829">
      <formula>$D44=""</formula>
    </cfRule>
  </conditionalFormatting>
  <conditionalFormatting sqref="B46:F46 H46:I46">
    <cfRule type="expression" dxfId="1832" priority="1828">
      <formula>$D46=""</formula>
    </cfRule>
  </conditionalFormatting>
  <conditionalFormatting sqref="F47">
    <cfRule type="expression" dxfId="1831" priority="1827">
      <formula>$D46=""</formula>
    </cfRule>
  </conditionalFormatting>
  <conditionalFormatting sqref="B48:F48 H48:I48">
    <cfRule type="expression" dxfId="1830" priority="1826">
      <formula>$D48=""</formula>
    </cfRule>
  </conditionalFormatting>
  <conditionalFormatting sqref="F49">
    <cfRule type="expression" dxfId="1829" priority="1825">
      <formula>$D48=""</formula>
    </cfRule>
  </conditionalFormatting>
  <conditionalFormatting sqref="B50:F50 H50 H52 H54 H56 H58">
    <cfRule type="expression" dxfId="1828" priority="1824">
      <formula>$D50=""</formula>
    </cfRule>
  </conditionalFormatting>
  <conditionalFormatting sqref="F51">
    <cfRule type="expression" dxfId="1827" priority="1823">
      <formula>$D50=""</formula>
    </cfRule>
  </conditionalFormatting>
  <conditionalFormatting sqref="B52:F52">
    <cfRule type="expression" dxfId="1826" priority="1822">
      <formula>$D52=""</formula>
    </cfRule>
  </conditionalFormatting>
  <conditionalFormatting sqref="F53">
    <cfRule type="expression" dxfId="1825" priority="1821">
      <formula>$D52=""</formula>
    </cfRule>
  </conditionalFormatting>
  <conditionalFormatting sqref="B54:F54">
    <cfRule type="expression" dxfId="1824" priority="1820">
      <formula>$D54=""</formula>
    </cfRule>
  </conditionalFormatting>
  <conditionalFormatting sqref="F55">
    <cfRule type="expression" dxfId="1823" priority="1819">
      <formula>$D54=""</formula>
    </cfRule>
  </conditionalFormatting>
  <conditionalFormatting sqref="B56:E56">
    <cfRule type="expression" dxfId="1822" priority="1818">
      <formula>$D56=""</formula>
    </cfRule>
  </conditionalFormatting>
  <conditionalFormatting sqref="B58:F58">
    <cfRule type="expression" dxfId="1821" priority="1816">
      <formula>$D58=""</formula>
    </cfRule>
  </conditionalFormatting>
  <conditionalFormatting sqref="F59">
    <cfRule type="expression" dxfId="1820" priority="1815">
      <formula>$D58=""</formula>
    </cfRule>
  </conditionalFormatting>
  <conditionalFormatting sqref="B60:F60 H60:I60">
    <cfRule type="expression" dxfId="1819" priority="1814">
      <formula>$D60=""</formula>
    </cfRule>
  </conditionalFormatting>
  <conditionalFormatting sqref="F61">
    <cfRule type="expression" dxfId="1818" priority="1813">
      <formula>$D60=""</formula>
    </cfRule>
  </conditionalFormatting>
  <conditionalFormatting sqref="B62:F62 H62:I62">
    <cfRule type="expression" dxfId="1817" priority="1812">
      <formula>$D62=""</formula>
    </cfRule>
  </conditionalFormatting>
  <conditionalFormatting sqref="F63">
    <cfRule type="expression" dxfId="1816" priority="1811">
      <formula>$D62=""</formula>
    </cfRule>
  </conditionalFormatting>
  <conditionalFormatting sqref="B64:F64 H64:I64">
    <cfRule type="expression" dxfId="1815" priority="1810">
      <formula>$D64=""</formula>
    </cfRule>
  </conditionalFormatting>
  <conditionalFormatting sqref="F65">
    <cfRule type="expression" dxfId="1814" priority="1809">
      <formula>$D64=""</formula>
    </cfRule>
  </conditionalFormatting>
  <conditionalFormatting sqref="B66:F66 H66:I66">
    <cfRule type="expression" dxfId="1813" priority="1808">
      <formula>$D66=""</formula>
    </cfRule>
  </conditionalFormatting>
  <conditionalFormatting sqref="F67">
    <cfRule type="expression" dxfId="1812" priority="1807">
      <formula>$D66=""</formula>
    </cfRule>
  </conditionalFormatting>
  <conditionalFormatting sqref="B68:F68 H68:I68">
    <cfRule type="expression" dxfId="1811" priority="1806">
      <formula>$D68=""</formula>
    </cfRule>
  </conditionalFormatting>
  <conditionalFormatting sqref="F69">
    <cfRule type="expression" dxfId="1810" priority="1805">
      <formula>$D68=""</formula>
    </cfRule>
  </conditionalFormatting>
  <conditionalFormatting sqref="B70:F70 H70">
    <cfRule type="expression" dxfId="1809" priority="1804">
      <formula>$D70=""</formula>
    </cfRule>
  </conditionalFormatting>
  <conditionalFormatting sqref="F71">
    <cfRule type="expression" dxfId="1808" priority="1803">
      <formula>$D70=""</formula>
    </cfRule>
  </conditionalFormatting>
  <conditionalFormatting sqref="B72:F72 H72">
    <cfRule type="expression" dxfId="1807" priority="1802">
      <formula>$D72=""</formula>
    </cfRule>
  </conditionalFormatting>
  <conditionalFormatting sqref="F73">
    <cfRule type="expression" dxfId="1806" priority="1801">
      <formula>$D72=""</formula>
    </cfRule>
  </conditionalFormatting>
  <conditionalFormatting sqref="B74:F74 H74:I74">
    <cfRule type="expression" dxfId="1805" priority="1800">
      <formula>$D74=""</formula>
    </cfRule>
  </conditionalFormatting>
  <conditionalFormatting sqref="F75">
    <cfRule type="expression" dxfId="1804" priority="1799">
      <formula>$D74=""</formula>
    </cfRule>
  </conditionalFormatting>
  <conditionalFormatting sqref="B76:F76 H76:I76">
    <cfRule type="expression" dxfId="1803" priority="1798">
      <formula>$D76=""</formula>
    </cfRule>
  </conditionalFormatting>
  <conditionalFormatting sqref="F77">
    <cfRule type="expression" dxfId="1802" priority="1797">
      <formula>$D76=""</formula>
    </cfRule>
  </conditionalFormatting>
  <conditionalFormatting sqref="B78:F78 H78:I78">
    <cfRule type="expression" dxfId="1801" priority="1796">
      <formula>$D78=""</formula>
    </cfRule>
  </conditionalFormatting>
  <conditionalFormatting sqref="F79">
    <cfRule type="expression" dxfId="1800" priority="1795">
      <formula>$D78=""</formula>
    </cfRule>
  </conditionalFormatting>
  <conditionalFormatting sqref="B80:F80 H80:I80">
    <cfRule type="expression" dxfId="1799" priority="1794">
      <formula>$D80=""</formula>
    </cfRule>
  </conditionalFormatting>
  <conditionalFormatting sqref="F81">
    <cfRule type="expression" dxfId="1798" priority="1793">
      <formula>$D80=""</formula>
    </cfRule>
  </conditionalFormatting>
  <conditionalFormatting sqref="B82:F82 H82:I82">
    <cfRule type="expression" dxfId="1797" priority="1792">
      <formula>$D82=""</formula>
    </cfRule>
  </conditionalFormatting>
  <conditionalFormatting sqref="F83">
    <cfRule type="expression" dxfId="1796" priority="1791">
      <formula>$D82=""</formula>
    </cfRule>
  </conditionalFormatting>
  <conditionalFormatting sqref="B84:F84 H84:I84">
    <cfRule type="expression" dxfId="1795" priority="1790">
      <formula>$D84=""</formula>
    </cfRule>
  </conditionalFormatting>
  <conditionalFormatting sqref="F85">
    <cfRule type="expression" dxfId="1794" priority="1789">
      <formula>$D84=""</formula>
    </cfRule>
  </conditionalFormatting>
  <conditionalFormatting sqref="B86:F86 H86:I86">
    <cfRule type="expression" dxfId="1793" priority="1788">
      <formula>$D86=""</formula>
    </cfRule>
  </conditionalFormatting>
  <conditionalFormatting sqref="F87">
    <cfRule type="expression" dxfId="1792" priority="1787">
      <formula>$D86=""</formula>
    </cfRule>
  </conditionalFormatting>
  <conditionalFormatting sqref="B88:F88 H88:I88">
    <cfRule type="expression" dxfId="1791" priority="1786">
      <formula>$D88=""</formula>
    </cfRule>
  </conditionalFormatting>
  <conditionalFormatting sqref="F89">
    <cfRule type="expression" dxfId="1790" priority="1785">
      <formula>$D88=""</formula>
    </cfRule>
  </conditionalFormatting>
  <conditionalFormatting sqref="B90:F90 H90 H94 H98">
    <cfRule type="expression" dxfId="1789" priority="1784">
      <formula>$D90=""</formula>
    </cfRule>
  </conditionalFormatting>
  <conditionalFormatting sqref="F91">
    <cfRule type="expression" dxfId="1788" priority="1783">
      <formula>$D90=""</formula>
    </cfRule>
  </conditionalFormatting>
  <conditionalFormatting sqref="B92:F92 H92 H96">
    <cfRule type="expression" dxfId="1787" priority="1782">
      <formula>$D92=""</formula>
    </cfRule>
  </conditionalFormatting>
  <conditionalFormatting sqref="F93">
    <cfRule type="expression" dxfId="1786" priority="1781">
      <formula>$D92=""</formula>
    </cfRule>
  </conditionalFormatting>
  <conditionalFormatting sqref="B94:F94">
    <cfRule type="expression" dxfId="1785" priority="1780">
      <formula>$D94=""</formula>
    </cfRule>
  </conditionalFormatting>
  <conditionalFormatting sqref="F95">
    <cfRule type="expression" dxfId="1784" priority="1779">
      <formula>$D94=""</formula>
    </cfRule>
  </conditionalFormatting>
  <conditionalFormatting sqref="B96:F96">
    <cfRule type="expression" dxfId="1783" priority="1778">
      <formula>$D96=""</formula>
    </cfRule>
  </conditionalFormatting>
  <conditionalFormatting sqref="F97">
    <cfRule type="expression" dxfId="1782" priority="1777">
      <formula>$D96=""</formula>
    </cfRule>
  </conditionalFormatting>
  <conditionalFormatting sqref="B98:F98">
    <cfRule type="expression" dxfId="1781" priority="1776">
      <formula>$D98=""</formula>
    </cfRule>
  </conditionalFormatting>
  <conditionalFormatting sqref="F99">
    <cfRule type="expression" dxfId="1780" priority="1775">
      <formula>$D98=""</formula>
    </cfRule>
  </conditionalFormatting>
  <conditionalFormatting sqref="B100:F100 H100:I100">
    <cfRule type="expression" dxfId="1779" priority="1774">
      <formula>$D100=""</formula>
    </cfRule>
  </conditionalFormatting>
  <conditionalFormatting sqref="F101">
    <cfRule type="expression" dxfId="1778" priority="1773">
      <formula>$D100=""</formula>
    </cfRule>
  </conditionalFormatting>
  <conditionalFormatting sqref="B102:F102 H102:I102">
    <cfRule type="expression" dxfId="1777" priority="1772">
      <formula>$D102=""</formula>
    </cfRule>
  </conditionalFormatting>
  <conditionalFormatting sqref="F103">
    <cfRule type="expression" dxfId="1776" priority="1771">
      <formula>$D102=""</formula>
    </cfRule>
  </conditionalFormatting>
  <conditionalFormatting sqref="B104:F104 H104:I104">
    <cfRule type="expression" dxfId="1775" priority="1770">
      <formula>$D104=""</formula>
    </cfRule>
  </conditionalFormatting>
  <conditionalFormatting sqref="F105">
    <cfRule type="expression" dxfId="1774" priority="1769">
      <formula>$D104=""</formula>
    </cfRule>
  </conditionalFormatting>
  <conditionalFormatting sqref="B106:F106 H106:I106">
    <cfRule type="expression" dxfId="1773" priority="1768">
      <formula>$D106=""</formula>
    </cfRule>
  </conditionalFormatting>
  <conditionalFormatting sqref="F107">
    <cfRule type="expression" dxfId="1772" priority="1767">
      <formula>$D106=""</formula>
    </cfRule>
  </conditionalFormatting>
  <conditionalFormatting sqref="B108:F108 H108:I108">
    <cfRule type="expression" dxfId="1771" priority="1766">
      <formula>$D108=""</formula>
    </cfRule>
  </conditionalFormatting>
  <conditionalFormatting sqref="F109">
    <cfRule type="expression" dxfId="1770" priority="1765">
      <formula>$D108=""</formula>
    </cfRule>
  </conditionalFormatting>
  <conditionalFormatting sqref="B110:F110 H110:I110">
    <cfRule type="expression" dxfId="1769" priority="1764">
      <formula>$D110=""</formula>
    </cfRule>
  </conditionalFormatting>
  <conditionalFormatting sqref="F111">
    <cfRule type="expression" dxfId="1768" priority="1763">
      <formula>$D110=""</formula>
    </cfRule>
  </conditionalFormatting>
  <conditionalFormatting sqref="B112:F112 H112:I112">
    <cfRule type="expression" dxfId="1767" priority="1762">
      <formula>$D112=""</formula>
    </cfRule>
  </conditionalFormatting>
  <conditionalFormatting sqref="F113">
    <cfRule type="expression" dxfId="1766" priority="1761">
      <formula>$D112=""</formula>
    </cfRule>
  </conditionalFormatting>
  <conditionalFormatting sqref="B114:F114 H114:I114">
    <cfRule type="expression" dxfId="1765" priority="1760">
      <formula>$D114=""</formula>
    </cfRule>
  </conditionalFormatting>
  <conditionalFormatting sqref="F115">
    <cfRule type="expression" dxfId="1764" priority="1759">
      <formula>$D114=""</formula>
    </cfRule>
  </conditionalFormatting>
  <conditionalFormatting sqref="B116:F116 H116:I116">
    <cfRule type="expression" dxfId="1763" priority="1758">
      <formula>$D116=""</formula>
    </cfRule>
  </conditionalFormatting>
  <conditionalFormatting sqref="F117">
    <cfRule type="expression" dxfId="1762" priority="1757">
      <formula>$D116=""</formula>
    </cfRule>
  </conditionalFormatting>
  <conditionalFormatting sqref="B118:F118 H118:I118">
    <cfRule type="expression" dxfId="1761" priority="1756">
      <formula>$D118=""</formula>
    </cfRule>
  </conditionalFormatting>
  <conditionalFormatting sqref="F119">
    <cfRule type="expression" dxfId="1760" priority="1755">
      <formula>$D118=""</formula>
    </cfRule>
  </conditionalFormatting>
  <conditionalFormatting sqref="B120:F120 H120:I120">
    <cfRule type="expression" dxfId="1759" priority="1754">
      <formula>$D120=""</formula>
    </cfRule>
  </conditionalFormatting>
  <conditionalFormatting sqref="F121">
    <cfRule type="expression" dxfId="1758" priority="1753">
      <formula>$D120=""</formula>
    </cfRule>
  </conditionalFormatting>
  <conditionalFormatting sqref="B122:F122 H122:I122">
    <cfRule type="expression" dxfId="1757" priority="1752">
      <formula>$D122=""</formula>
    </cfRule>
  </conditionalFormatting>
  <conditionalFormatting sqref="F123">
    <cfRule type="expression" dxfId="1756" priority="1751">
      <formula>$D122=""</formula>
    </cfRule>
  </conditionalFormatting>
  <conditionalFormatting sqref="B124:F124 H124:I124">
    <cfRule type="expression" dxfId="1755" priority="1750">
      <formula>$D124=""</formula>
    </cfRule>
  </conditionalFormatting>
  <conditionalFormatting sqref="F125">
    <cfRule type="expression" dxfId="1754" priority="1749">
      <formula>$D124=""</formula>
    </cfRule>
  </conditionalFormatting>
  <conditionalFormatting sqref="B126:F126 H126:I126">
    <cfRule type="expression" dxfId="1753" priority="1748">
      <formula>$D126=""</formula>
    </cfRule>
  </conditionalFormatting>
  <conditionalFormatting sqref="F127">
    <cfRule type="expression" dxfId="1752" priority="1747">
      <formula>$D126=""</formula>
    </cfRule>
  </conditionalFormatting>
  <conditionalFormatting sqref="B128:F128 H128:I128">
    <cfRule type="expression" dxfId="1751" priority="1746">
      <formula>$D128=""</formula>
    </cfRule>
  </conditionalFormatting>
  <conditionalFormatting sqref="F129">
    <cfRule type="expression" dxfId="1750" priority="1745">
      <formula>$D128=""</formula>
    </cfRule>
  </conditionalFormatting>
  <conditionalFormatting sqref="B130:F130 H130:I130">
    <cfRule type="expression" dxfId="1749" priority="1744">
      <formula>$D130=""</formula>
    </cfRule>
  </conditionalFormatting>
  <conditionalFormatting sqref="F131">
    <cfRule type="expression" dxfId="1748" priority="1743">
      <formula>$D130=""</formula>
    </cfRule>
  </conditionalFormatting>
  <conditionalFormatting sqref="B132:F132 H132:I132">
    <cfRule type="expression" dxfId="1747" priority="1742">
      <formula>$D132=""</formula>
    </cfRule>
  </conditionalFormatting>
  <conditionalFormatting sqref="F133">
    <cfRule type="expression" dxfId="1746" priority="1741">
      <formula>$D132=""</formula>
    </cfRule>
  </conditionalFormatting>
  <conditionalFormatting sqref="B134:F134 H134:I134">
    <cfRule type="expression" dxfId="1745" priority="1740">
      <formula>$D134=""</formula>
    </cfRule>
  </conditionalFormatting>
  <conditionalFormatting sqref="F135">
    <cfRule type="expression" dxfId="1744" priority="1739">
      <formula>$D134=""</formula>
    </cfRule>
  </conditionalFormatting>
  <conditionalFormatting sqref="B136:F136 H136:I136">
    <cfRule type="expression" dxfId="1743" priority="1738">
      <formula>$D136=""</formula>
    </cfRule>
  </conditionalFormatting>
  <conditionalFormatting sqref="F137">
    <cfRule type="expression" dxfId="1742" priority="1737">
      <formula>$D136=""</formula>
    </cfRule>
  </conditionalFormatting>
  <conditionalFormatting sqref="B138:F138 H138:I138">
    <cfRule type="expression" dxfId="1741" priority="1736">
      <formula>$D138=""</formula>
    </cfRule>
  </conditionalFormatting>
  <conditionalFormatting sqref="F139">
    <cfRule type="expression" dxfId="1740" priority="1735">
      <formula>$D138=""</formula>
    </cfRule>
  </conditionalFormatting>
  <conditionalFormatting sqref="B140:F140 H140:I140">
    <cfRule type="expression" dxfId="1739" priority="1734">
      <formula>$D140=""</formula>
    </cfRule>
  </conditionalFormatting>
  <conditionalFormatting sqref="F141">
    <cfRule type="expression" dxfId="1738" priority="1733">
      <formula>$D140=""</formula>
    </cfRule>
  </conditionalFormatting>
  <conditionalFormatting sqref="B142:F142 H142:I142">
    <cfRule type="expression" dxfId="1737" priority="1732">
      <formula>$D142=""</formula>
    </cfRule>
  </conditionalFormatting>
  <conditionalFormatting sqref="F143">
    <cfRule type="expression" dxfId="1736" priority="1731">
      <formula>$D142=""</formula>
    </cfRule>
  </conditionalFormatting>
  <conditionalFormatting sqref="B144:F144 H144:I144">
    <cfRule type="expression" dxfId="1735" priority="1730">
      <formula>$D144=""</formula>
    </cfRule>
  </conditionalFormatting>
  <conditionalFormatting sqref="F145">
    <cfRule type="expression" dxfId="1734" priority="1729">
      <formula>$D144=""</formula>
    </cfRule>
  </conditionalFormatting>
  <conditionalFormatting sqref="B146:F146 H146:I146">
    <cfRule type="expression" dxfId="1733" priority="1728">
      <formula>$D146=""</formula>
    </cfRule>
  </conditionalFormatting>
  <conditionalFormatting sqref="F147">
    <cfRule type="expression" dxfId="1732" priority="1727">
      <formula>$D146=""</formula>
    </cfRule>
  </conditionalFormatting>
  <conditionalFormatting sqref="B148:F148 H148:I148">
    <cfRule type="expression" dxfId="1731" priority="1726">
      <formula>$D148=""</formula>
    </cfRule>
  </conditionalFormatting>
  <conditionalFormatting sqref="F149">
    <cfRule type="expression" dxfId="1730" priority="1725">
      <formula>$D148=""</formula>
    </cfRule>
  </conditionalFormatting>
  <conditionalFormatting sqref="B150:F150 H150:I150">
    <cfRule type="expression" dxfId="1729" priority="1724">
      <formula>$D150=""</formula>
    </cfRule>
  </conditionalFormatting>
  <conditionalFormatting sqref="F151">
    <cfRule type="expression" dxfId="1728" priority="1723">
      <formula>$D150=""</formula>
    </cfRule>
  </conditionalFormatting>
  <conditionalFormatting sqref="B152:F152 H152:I152">
    <cfRule type="expression" dxfId="1727" priority="1722">
      <formula>$D152=""</formula>
    </cfRule>
  </conditionalFormatting>
  <conditionalFormatting sqref="F153">
    <cfRule type="expression" dxfId="1726" priority="1721">
      <formula>$D152=""</formula>
    </cfRule>
  </conditionalFormatting>
  <conditionalFormatting sqref="B154:F154 H154:I154">
    <cfRule type="expression" dxfId="1725" priority="1720">
      <formula>$D154=""</formula>
    </cfRule>
  </conditionalFormatting>
  <conditionalFormatting sqref="F155">
    <cfRule type="expression" dxfId="1724" priority="1719">
      <formula>$D154=""</formula>
    </cfRule>
  </conditionalFormatting>
  <conditionalFormatting sqref="B156:F156 H156:I156">
    <cfRule type="expression" dxfId="1723" priority="1718">
      <formula>$D156=""</formula>
    </cfRule>
  </conditionalFormatting>
  <conditionalFormatting sqref="F157">
    <cfRule type="expression" dxfId="1722" priority="1717">
      <formula>$D156=""</formula>
    </cfRule>
  </conditionalFormatting>
  <conditionalFormatting sqref="B158:F158 H158:I158">
    <cfRule type="expression" dxfId="1721" priority="1716">
      <formula>$D158=""</formula>
    </cfRule>
  </conditionalFormatting>
  <conditionalFormatting sqref="F159">
    <cfRule type="expression" dxfId="1720" priority="1715">
      <formula>$D158=""</formula>
    </cfRule>
  </conditionalFormatting>
  <conditionalFormatting sqref="B160:F160 H160:I160">
    <cfRule type="expression" dxfId="1719" priority="1714">
      <formula>$D160=""</formula>
    </cfRule>
  </conditionalFormatting>
  <conditionalFormatting sqref="F161">
    <cfRule type="expression" dxfId="1718" priority="1713">
      <formula>$D160=""</formula>
    </cfRule>
  </conditionalFormatting>
  <conditionalFormatting sqref="B162:F162 H162:I162">
    <cfRule type="expression" dxfId="1717" priority="1712">
      <formula>$D162=""</formula>
    </cfRule>
  </conditionalFormatting>
  <conditionalFormatting sqref="F163">
    <cfRule type="expression" dxfId="1716" priority="1711">
      <formula>$D162=""</formula>
    </cfRule>
  </conditionalFormatting>
  <conditionalFormatting sqref="B164:F164 H164:I164">
    <cfRule type="expression" dxfId="1715" priority="1710">
      <formula>$D164=""</formula>
    </cfRule>
  </conditionalFormatting>
  <conditionalFormatting sqref="F165">
    <cfRule type="expression" dxfId="1714" priority="1709">
      <formula>$D164=""</formula>
    </cfRule>
  </conditionalFormatting>
  <conditionalFormatting sqref="B166:F166 H166:I166">
    <cfRule type="expression" dxfId="1713" priority="1708">
      <formula>$D166=""</formula>
    </cfRule>
  </conditionalFormatting>
  <conditionalFormatting sqref="F167">
    <cfRule type="expression" dxfId="1712" priority="1707">
      <formula>$D166=""</formula>
    </cfRule>
  </conditionalFormatting>
  <conditionalFormatting sqref="B168:F168 H168:I168">
    <cfRule type="expression" dxfId="1711" priority="1706">
      <formula>$D168=""</formula>
    </cfRule>
  </conditionalFormatting>
  <conditionalFormatting sqref="F169">
    <cfRule type="expression" dxfId="1710" priority="1705">
      <formula>$D168=""</formula>
    </cfRule>
  </conditionalFormatting>
  <conditionalFormatting sqref="B170:F170 H170:I170">
    <cfRule type="expression" dxfId="1709" priority="1704">
      <formula>$D170=""</formula>
    </cfRule>
  </conditionalFormatting>
  <conditionalFormatting sqref="F171">
    <cfRule type="expression" dxfId="1708" priority="1703">
      <formula>$D170=""</formula>
    </cfRule>
  </conditionalFormatting>
  <conditionalFormatting sqref="B172:F172 H172:I172">
    <cfRule type="expression" dxfId="1707" priority="1702">
      <formula>$D172=""</formula>
    </cfRule>
  </conditionalFormatting>
  <conditionalFormatting sqref="F173">
    <cfRule type="expression" dxfId="1706" priority="1701">
      <formula>$D172=""</formula>
    </cfRule>
  </conditionalFormatting>
  <conditionalFormatting sqref="B174:F174 H174:I174">
    <cfRule type="expression" dxfId="1705" priority="1700">
      <formula>$D174=""</formula>
    </cfRule>
  </conditionalFormatting>
  <conditionalFormatting sqref="F175">
    <cfRule type="expression" dxfId="1704" priority="1699">
      <formula>$D174=""</formula>
    </cfRule>
  </conditionalFormatting>
  <conditionalFormatting sqref="B176:F176 H176:I176">
    <cfRule type="expression" dxfId="1703" priority="1698">
      <formula>$D176=""</formula>
    </cfRule>
  </conditionalFormatting>
  <conditionalFormatting sqref="F177">
    <cfRule type="expression" dxfId="1702" priority="1697">
      <formula>$D176=""</formula>
    </cfRule>
  </conditionalFormatting>
  <conditionalFormatting sqref="B178:F178 H178:I178">
    <cfRule type="expression" dxfId="1701" priority="1696">
      <formula>$D178=""</formula>
    </cfRule>
  </conditionalFormatting>
  <conditionalFormatting sqref="F179">
    <cfRule type="expression" dxfId="1700" priority="1695">
      <formula>$D178=""</formula>
    </cfRule>
  </conditionalFormatting>
  <conditionalFormatting sqref="B180:F180 H180:I180">
    <cfRule type="expression" dxfId="1699" priority="1694">
      <formula>$D180=""</formula>
    </cfRule>
  </conditionalFormatting>
  <conditionalFormatting sqref="F181">
    <cfRule type="expression" dxfId="1698" priority="1693">
      <formula>$D180=""</formula>
    </cfRule>
  </conditionalFormatting>
  <conditionalFormatting sqref="B182:F182 H182:I182">
    <cfRule type="expression" dxfId="1697" priority="1692">
      <formula>$D182=""</formula>
    </cfRule>
  </conditionalFormatting>
  <conditionalFormatting sqref="F183">
    <cfRule type="expression" dxfId="1696" priority="1691">
      <formula>$D182=""</formula>
    </cfRule>
  </conditionalFormatting>
  <conditionalFormatting sqref="B184:F184 H184:I184">
    <cfRule type="expression" dxfId="1695" priority="1690">
      <formula>$D184=""</formula>
    </cfRule>
  </conditionalFormatting>
  <conditionalFormatting sqref="F185">
    <cfRule type="expression" dxfId="1694" priority="1689">
      <formula>$D184=""</formula>
    </cfRule>
  </conditionalFormatting>
  <conditionalFormatting sqref="B186:F186 H186:I186">
    <cfRule type="expression" dxfId="1693" priority="1688">
      <formula>$D186=""</formula>
    </cfRule>
  </conditionalFormatting>
  <conditionalFormatting sqref="F187">
    <cfRule type="expression" dxfId="1692" priority="1687">
      <formula>$D186=""</formula>
    </cfRule>
  </conditionalFormatting>
  <conditionalFormatting sqref="B188:F188 H188:I188">
    <cfRule type="expression" dxfId="1691" priority="1686">
      <formula>$D188=""</formula>
    </cfRule>
  </conditionalFormatting>
  <conditionalFormatting sqref="F189">
    <cfRule type="expression" dxfId="1690" priority="1685">
      <formula>$D188=""</formula>
    </cfRule>
  </conditionalFormatting>
  <conditionalFormatting sqref="B190:F190 H190:I190">
    <cfRule type="expression" dxfId="1689" priority="1684">
      <formula>$D190=""</formula>
    </cfRule>
  </conditionalFormatting>
  <conditionalFormatting sqref="F191">
    <cfRule type="expression" dxfId="1688" priority="1683">
      <formula>$D190=""</formula>
    </cfRule>
  </conditionalFormatting>
  <conditionalFormatting sqref="B192:F192 H192:I192">
    <cfRule type="expression" dxfId="1687" priority="1682">
      <formula>$D192=""</formula>
    </cfRule>
  </conditionalFormatting>
  <conditionalFormatting sqref="F193">
    <cfRule type="expression" dxfId="1686" priority="1681">
      <formula>$D192=""</formula>
    </cfRule>
  </conditionalFormatting>
  <conditionalFormatting sqref="B194:F194 H194:I194">
    <cfRule type="expression" dxfId="1685" priority="1678">
      <formula>$D194=""</formula>
    </cfRule>
  </conditionalFormatting>
  <conditionalFormatting sqref="F195">
    <cfRule type="expression" dxfId="1684" priority="1677">
      <formula>$D194=""</formula>
    </cfRule>
  </conditionalFormatting>
  <conditionalFormatting sqref="B196:F196 H196:I196">
    <cfRule type="expression" dxfId="1683" priority="1676">
      <formula>$D196=""</formula>
    </cfRule>
  </conditionalFormatting>
  <conditionalFormatting sqref="F197">
    <cfRule type="expression" dxfId="1682" priority="1675">
      <formula>$D196=""</formula>
    </cfRule>
  </conditionalFormatting>
  <conditionalFormatting sqref="B198:F198 H198:I198">
    <cfRule type="expression" dxfId="1681" priority="1674">
      <formula>$D198=""</formula>
    </cfRule>
  </conditionalFormatting>
  <conditionalFormatting sqref="F199">
    <cfRule type="expression" dxfId="1680" priority="1673">
      <formula>$D198=""</formula>
    </cfRule>
  </conditionalFormatting>
  <conditionalFormatting sqref="B200:F200 H200:I200">
    <cfRule type="expression" dxfId="1679" priority="1672">
      <formula>$D200=""</formula>
    </cfRule>
  </conditionalFormatting>
  <conditionalFormatting sqref="F201">
    <cfRule type="expression" dxfId="1678" priority="1671">
      <formula>$D200=""</formula>
    </cfRule>
  </conditionalFormatting>
  <conditionalFormatting sqref="B202:F202 H202:I202">
    <cfRule type="expression" dxfId="1677" priority="1670">
      <formula>$D202=""</formula>
    </cfRule>
  </conditionalFormatting>
  <conditionalFormatting sqref="F203">
    <cfRule type="expression" dxfId="1676" priority="1669">
      <formula>$D202=""</formula>
    </cfRule>
  </conditionalFormatting>
  <conditionalFormatting sqref="B204:F204 H204:I204">
    <cfRule type="expression" dxfId="1675" priority="1668">
      <formula>$D204=""</formula>
    </cfRule>
  </conditionalFormatting>
  <conditionalFormatting sqref="F205">
    <cfRule type="expression" dxfId="1674" priority="1667">
      <formula>$D204=""</formula>
    </cfRule>
  </conditionalFormatting>
  <conditionalFormatting sqref="B206:F206 H206:I206">
    <cfRule type="expression" dxfId="1673" priority="1666">
      <formula>$D206=""</formula>
    </cfRule>
  </conditionalFormatting>
  <conditionalFormatting sqref="F207">
    <cfRule type="expression" dxfId="1672" priority="1665">
      <formula>$D206=""</formula>
    </cfRule>
  </conditionalFormatting>
  <conditionalFormatting sqref="B208:F208 H208:I208">
    <cfRule type="expression" dxfId="1671" priority="1664">
      <formula>$D208=""</formula>
    </cfRule>
  </conditionalFormatting>
  <conditionalFormatting sqref="F209">
    <cfRule type="expression" dxfId="1670" priority="1663">
      <formula>$D208=""</formula>
    </cfRule>
  </conditionalFormatting>
  <conditionalFormatting sqref="B210:F210 H210:I210">
    <cfRule type="expression" dxfId="1669" priority="1662">
      <formula>$D210=""</formula>
    </cfRule>
  </conditionalFormatting>
  <conditionalFormatting sqref="F211">
    <cfRule type="expression" dxfId="1668" priority="1661">
      <formula>$D210=""</formula>
    </cfRule>
  </conditionalFormatting>
  <conditionalFormatting sqref="B212:F212 H212:I212">
    <cfRule type="expression" dxfId="1667" priority="1660">
      <formula>$D212=""</formula>
    </cfRule>
  </conditionalFormatting>
  <conditionalFormatting sqref="F213">
    <cfRule type="expression" dxfId="1666" priority="1659">
      <formula>$D212=""</formula>
    </cfRule>
  </conditionalFormatting>
  <conditionalFormatting sqref="B214:F214 H214:I214">
    <cfRule type="expression" dxfId="1665" priority="1658">
      <formula>$D214=""</formula>
    </cfRule>
  </conditionalFormatting>
  <conditionalFormatting sqref="F215">
    <cfRule type="expression" dxfId="1664" priority="1657">
      <formula>$D214=""</formula>
    </cfRule>
  </conditionalFormatting>
  <conditionalFormatting sqref="B216:F216 H216:I216">
    <cfRule type="expression" dxfId="1663" priority="1656">
      <formula>$D216=""</formula>
    </cfRule>
  </conditionalFormatting>
  <conditionalFormatting sqref="F217">
    <cfRule type="expression" dxfId="1662" priority="1655">
      <formula>$D216=""</formula>
    </cfRule>
  </conditionalFormatting>
  <conditionalFormatting sqref="B218:F218 H218:I218">
    <cfRule type="expression" dxfId="1661" priority="1654">
      <formula>$D218=""</formula>
    </cfRule>
  </conditionalFormatting>
  <conditionalFormatting sqref="F219">
    <cfRule type="expression" dxfId="1660" priority="1653">
      <formula>$D218=""</formula>
    </cfRule>
  </conditionalFormatting>
  <conditionalFormatting sqref="B220:F220 H220:I220">
    <cfRule type="expression" dxfId="1659" priority="1652">
      <formula>$D220=""</formula>
    </cfRule>
  </conditionalFormatting>
  <conditionalFormatting sqref="F221">
    <cfRule type="expression" dxfId="1658" priority="1651">
      <formula>$D220=""</formula>
    </cfRule>
  </conditionalFormatting>
  <conditionalFormatting sqref="B222:F222 H222:I222">
    <cfRule type="expression" dxfId="1657" priority="1650">
      <formula>$D222=""</formula>
    </cfRule>
  </conditionalFormatting>
  <conditionalFormatting sqref="F223">
    <cfRule type="expression" dxfId="1656" priority="1649">
      <formula>$D222=""</formula>
    </cfRule>
  </conditionalFormatting>
  <conditionalFormatting sqref="B224:F224 H224:I224">
    <cfRule type="expression" dxfId="1655" priority="1648">
      <formula>$D224=""</formula>
    </cfRule>
  </conditionalFormatting>
  <conditionalFormatting sqref="F225">
    <cfRule type="expression" dxfId="1654" priority="1647">
      <formula>$D224=""</formula>
    </cfRule>
  </conditionalFormatting>
  <conditionalFormatting sqref="B226:F226 H226:I226">
    <cfRule type="expression" dxfId="1653" priority="1646">
      <formula>$D226=""</formula>
    </cfRule>
  </conditionalFormatting>
  <conditionalFormatting sqref="F227">
    <cfRule type="expression" dxfId="1652" priority="1645">
      <formula>$D226=""</formula>
    </cfRule>
  </conditionalFormatting>
  <conditionalFormatting sqref="B228:F228 H228:I228">
    <cfRule type="expression" dxfId="1651" priority="1644">
      <formula>$D228=""</formula>
    </cfRule>
  </conditionalFormatting>
  <conditionalFormatting sqref="F229">
    <cfRule type="expression" dxfId="1650" priority="1643">
      <formula>$D228=""</formula>
    </cfRule>
  </conditionalFormatting>
  <conditionalFormatting sqref="B230:F230 H230:I230">
    <cfRule type="expression" dxfId="1649" priority="1642">
      <formula>$D230=""</formula>
    </cfRule>
  </conditionalFormatting>
  <conditionalFormatting sqref="F231">
    <cfRule type="expression" dxfId="1648" priority="1641">
      <formula>$D230=""</formula>
    </cfRule>
  </conditionalFormatting>
  <conditionalFormatting sqref="B232:F232 H232:I232">
    <cfRule type="expression" dxfId="1647" priority="1640">
      <formula>$D232=""</formula>
    </cfRule>
  </conditionalFormatting>
  <conditionalFormatting sqref="F233">
    <cfRule type="expression" dxfId="1646" priority="1639">
      <formula>$D232=""</formula>
    </cfRule>
  </conditionalFormatting>
  <conditionalFormatting sqref="B234:F234 H234:I234">
    <cfRule type="expression" dxfId="1645" priority="1638">
      <formula>$D234=""</formula>
    </cfRule>
  </conditionalFormatting>
  <conditionalFormatting sqref="F235">
    <cfRule type="expression" dxfId="1644" priority="1637">
      <formula>$D234=""</formula>
    </cfRule>
  </conditionalFormatting>
  <conditionalFormatting sqref="B236:F236 H236:I236">
    <cfRule type="expression" dxfId="1643" priority="1636">
      <formula>$D236=""</formula>
    </cfRule>
  </conditionalFormatting>
  <conditionalFormatting sqref="F237">
    <cfRule type="expression" dxfId="1642" priority="1635">
      <formula>$D236=""</formula>
    </cfRule>
  </conditionalFormatting>
  <conditionalFormatting sqref="B238:F238 H238:I238">
    <cfRule type="expression" dxfId="1641" priority="1634">
      <formula>$D238=""</formula>
    </cfRule>
  </conditionalFormatting>
  <conditionalFormatting sqref="F239">
    <cfRule type="expression" dxfId="1640" priority="1633">
      <formula>$D238=""</formula>
    </cfRule>
  </conditionalFormatting>
  <conditionalFormatting sqref="B240:F240 H240:I240">
    <cfRule type="expression" dxfId="1639" priority="1632">
      <formula>$D240=""</formula>
    </cfRule>
  </conditionalFormatting>
  <conditionalFormatting sqref="F241">
    <cfRule type="expression" dxfId="1638" priority="1631">
      <formula>$D240=""</formula>
    </cfRule>
  </conditionalFormatting>
  <conditionalFormatting sqref="B242:F242 H242:I242">
    <cfRule type="expression" dxfId="1637" priority="1630">
      <formula>$D242=""</formula>
    </cfRule>
  </conditionalFormatting>
  <conditionalFormatting sqref="F243">
    <cfRule type="expression" dxfId="1636" priority="1629">
      <formula>$D242=""</formula>
    </cfRule>
  </conditionalFormatting>
  <conditionalFormatting sqref="B244:F244 H244:I244">
    <cfRule type="expression" dxfId="1635" priority="1628">
      <formula>$D244=""</formula>
    </cfRule>
  </conditionalFormatting>
  <conditionalFormatting sqref="F245">
    <cfRule type="expression" dxfId="1634" priority="1627">
      <formula>$D244=""</formula>
    </cfRule>
  </conditionalFormatting>
  <conditionalFormatting sqref="B246:F246 H246:I246">
    <cfRule type="expression" dxfId="1633" priority="1626">
      <formula>$D246=""</formula>
    </cfRule>
  </conditionalFormatting>
  <conditionalFormatting sqref="F247">
    <cfRule type="expression" dxfId="1632" priority="1625">
      <formula>$D246=""</formula>
    </cfRule>
  </conditionalFormatting>
  <conditionalFormatting sqref="B248:F248 H248:I248">
    <cfRule type="expression" dxfId="1631" priority="1624">
      <formula>$D248=""</formula>
    </cfRule>
  </conditionalFormatting>
  <conditionalFormatting sqref="F249">
    <cfRule type="expression" dxfId="1630" priority="1623">
      <formula>$D248=""</formula>
    </cfRule>
  </conditionalFormatting>
  <conditionalFormatting sqref="B250:F250 H250:I250">
    <cfRule type="expression" dxfId="1629" priority="1622">
      <formula>$D250=""</formula>
    </cfRule>
  </conditionalFormatting>
  <conditionalFormatting sqref="F251">
    <cfRule type="expression" dxfId="1628" priority="1621">
      <formula>$D250=""</formula>
    </cfRule>
  </conditionalFormatting>
  <conditionalFormatting sqref="B252:F252 H252:I252">
    <cfRule type="expression" dxfId="1627" priority="1620">
      <formula>$D252=""</formula>
    </cfRule>
  </conditionalFormatting>
  <conditionalFormatting sqref="F253">
    <cfRule type="expression" dxfId="1626" priority="1619">
      <formula>$D252=""</formula>
    </cfRule>
  </conditionalFormatting>
  <conditionalFormatting sqref="B254:F254 H254:I254">
    <cfRule type="expression" dxfId="1625" priority="1618">
      <formula>$D254=""</formula>
    </cfRule>
  </conditionalFormatting>
  <conditionalFormatting sqref="F255">
    <cfRule type="expression" dxfId="1624" priority="1617">
      <formula>$D254=""</formula>
    </cfRule>
  </conditionalFormatting>
  <conditionalFormatting sqref="B256:F256 H256:I256">
    <cfRule type="expression" dxfId="1623" priority="1616">
      <formula>$D256=""</formula>
    </cfRule>
  </conditionalFormatting>
  <conditionalFormatting sqref="F257">
    <cfRule type="expression" dxfId="1622" priority="1615">
      <formula>$D256=""</formula>
    </cfRule>
  </conditionalFormatting>
  <conditionalFormatting sqref="B258:F258 H258:I258">
    <cfRule type="expression" dxfId="1621" priority="1614">
      <formula>$D258=""</formula>
    </cfRule>
  </conditionalFormatting>
  <conditionalFormatting sqref="F259">
    <cfRule type="expression" dxfId="1620" priority="1613">
      <formula>$D258=""</formula>
    </cfRule>
  </conditionalFormatting>
  <conditionalFormatting sqref="B260:F260 H260:I260">
    <cfRule type="expression" dxfId="1619" priority="1612">
      <formula>$D260=""</formula>
    </cfRule>
  </conditionalFormatting>
  <conditionalFormatting sqref="F261">
    <cfRule type="expression" dxfId="1618" priority="1611">
      <formula>$D260=""</formula>
    </cfRule>
  </conditionalFormatting>
  <conditionalFormatting sqref="B262:F262 H262:I262">
    <cfRule type="expression" dxfId="1617" priority="1610">
      <formula>$D262=""</formula>
    </cfRule>
  </conditionalFormatting>
  <conditionalFormatting sqref="F263">
    <cfRule type="expression" dxfId="1616" priority="1609">
      <formula>$D262=""</formula>
    </cfRule>
  </conditionalFormatting>
  <conditionalFormatting sqref="B264:F264 H264:I264">
    <cfRule type="expression" dxfId="1615" priority="1608">
      <formula>$D264=""</formula>
    </cfRule>
  </conditionalFormatting>
  <conditionalFormatting sqref="F265">
    <cfRule type="expression" dxfId="1614" priority="1607">
      <formula>$D264=""</formula>
    </cfRule>
  </conditionalFormatting>
  <conditionalFormatting sqref="B266:F266 H266:I266">
    <cfRule type="expression" dxfId="1613" priority="1606">
      <formula>$D266=""</formula>
    </cfRule>
  </conditionalFormatting>
  <conditionalFormatting sqref="F267">
    <cfRule type="expression" dxfId="1612" priority="1605">
      <formula>$D266=""</formula>
    </cfRule>
  </conditionalFormatting>
  <conditionalFormatting sqref="B268:F268 H268:I268">
    <cfRule type="expression" dxfId="1611" priority="1604">
      <formula>$D268=""</formula>
    </cfRule>
  </conditionalFormatting>
  <conditionalFormatting sqref="F269">
    <cfRule type="expression" dxfId="1610" priority="1603">
      <formula>$D268=""</formula>
    </cfRule>
  </conditionalFormatting>
  <conditionalFormatting sqref="B270:F270 H270:I270">
    <cfRule type="expression" dxfId="1609" priority="1602">
      <formula>$D270=""</formula>
    </cfRule>
  </conditionalFormatting>
  <conditionalFormatting sqref="F271">
    <cfRule type="expression" dxfId="1608" priority="1601">
      <formula>$D270=""</formula>
    </cfRule>
  </conditionalFormatting>
  <conditionalFormatting sqref="B272:F272 H272:I272">
    <cfRule type="expression" dxfId="1607" priority="1600">
      <formula>$D272=""</formula>
    </cfRule>
  </conditionalFormatting>
  <conditionalFormatting sqref="F273">
    <cfRule type="expression" dxfId="1606" priority="1599">
      <formula>$D272=""</formula>
    </cfRule>
  </conditionalFormatting>
  <conditionalFormatting sqref="B274:F274 H274:I274">
    <cfRule type="expression" dxfId="1605" priority="1598">
      <formula>$D274=""</formula>
    </cfRule>
  </conditionalFormatting>
  <conditionalFormatting sqref="F275">
    <cfRule type="expression" dxfId="1604" priority="1597">
      <formula>$D274=""</formula>
    </cfRule>
  </conditionalFormatting>
  <conditionalFormatting sqref="B276:F276 H276:I276">
    <cfRule type="expression" dxfId="1603" priority="1596">
      <formula>$D276=""</formula>
    </cfRule>
  </conditionalFormatting>
  <conditionalFormatting sqref="F277">
    <cfRule type="expression" dxfId="1602" priority="1595">
      <formula>$D276=""</formula>
    </cfRule>
  </conditionalFormatting>
  <conditionalFormatting sqref="B278:F278 H278:I278">
    <cfRule type="expression" dxfId="1601" priority="1594">
      <formula>$D278=""</formula>
    </cfRule>
  </conditionalFormatting>
  <conditionalFormatting sqref="F279">
    <cfRule type="expression" dxfId="1600" priority="1593">
      <formula>$D278=""</formula>
    </cfRule>
  </conditionalFormatting>
  <conditionalFormatting sqref="B280:F280 H280:I280">
    <cfRule type="expression" dxfId="1599" priority="1592">
      <formula>$D280=""</formula>
    </cfRule>
  </conditionalFormatting>
  <conditionalFormatting sqref="F281">
    <cfRule type="expression" dxfId="1598" priority="1591">
      <formula>$D280=""</formula>
    </cfRule>
  </conditionalFormatting>
  <conditionalFormatting sqref="B282:F282 H282:I282">
    <cfRule type="expression" dxfId="1597" priority="1590">
      <formula>$D282=""</formula>
    </cfRule>
  </conditionalFormatting>
  <conditionalFormatting sqref="F283">
    <cfRule type="expression" dxfId="1596" priority="1589">
      <formula>$D282=""</formula>
    </cfRule>
  </conditionalFormatting>
  <conditionalFormatting sqref="B284:F284 H284:I284">
    <cfRule type="expression" dxfId="1595" priority="1588">
      <formula>$D284=""</formula>
    </cfRule>
  </conditionalFormatting>
  <conditionalFormatting sqref="F285">
    <cfRule type="expression" dxfId="1594" priority="1587">
      <formula>$D284=""</formula>
    </cfRule>
  </conditionalFormatting>
  <conditionalFormatting sqref="B286:F286 H286:I286">
    <cfRule type="expression" dxfId="1593" priority="1586">
      <formula>$D286=""</formula>
    </cfRule>
  </conditionalFormatting>
  <conditionalFormatting sqref="F287">
    <cfRule type="expression" dxfId="1592" priority="1585">
      <formula>$D286=""</formula>
    </cfRule>
  </conditionalFormatting>
  <conditionalFormatting sqref="B288:F288 H288:I288">
    <cfRule type="expression" dxfId="1591" priority="1584">
      <formula>$D288=""</formula>
    </cfRule>
  </conditionalFormatting>
  <conditionalFormatting sqref="F289">
    <cfRule type="expression" dxfId="1590" priority="1583">
      <formula>$D288=""</formula>
    </cfRule>
  </conditionalFormatting>
  <conditionalFormatting sqref="B290:F290 H290:I290">
    <cfRule type="expression" dxfId="1589" priority="1582">
      <formula>$D290=""</formula>
    </cfRule>
  </conditionalFormatting>
  <conditionalFormatting sqref="F291">
    <cfRule type="expression" dxfId="1588" priority="1581">
      <formula>$D290=""</formula>
    </cfRule>
  </conditionalFormatting>
  <conditionalFormatting sqref="B292:F292 H292:I292">
    <cfRule type="expression" dxfId="1587" priority="1580">
      <formula>$D292=""</formula>
    </cfRule>
  </conditionalFormatting>
  <conditionalFormatting sqref="F293">
    <cfRule type="expression" dxfId="1586" priority="1579">
      <formula>$D292=""</formula>
    </cfRule>
  </conditionalFormatting>
  <conditionalFormatting sqref="B294:F294 H294:I294">
    <cfRule type="expression" dxfId="1585" priority="1578">
      <formula>$D294=""</formula>
    </cfRule>
  </conditionalFormatting>
  <conditionalFormatting sqref="F295">
    <cfRule type="expression" dxfId="1584" priority="1577">
      <formula>$D294=""</formula>
    </cfRule>
  </conditionalFormatting>
  <conditionalFormatting sqref="B296:F296 H296:I296">
    <cfRule type="expression" dxfId="1583" priority="1576">
      <formula>$D296=""</formula>
    </cfRule>
  </conditionalFormatting>
  <conditionalFormatting sqref="F297">
    <cfRule type="expression" dxfId="1582" priority="1575">
      <formula>$D296=""</formula>
    </cfRule>
  </conditionalFormatting>
  <conditionalFormatting sqref="B298:F298 H298:I298">
    <cfRule type="expression" dxfId="1581" priority="1574">
      <formula>$D298=""</formula>
    </cfRule>
  </conditionalFormatting>
  <conditionalFormatting sqref="F299">
    <cfRule type="expression" dxfId="1580" priority="1573">
      <formula>$D298=""</formula>
    </cfRule>
  </conditionalFormatting>
  <conditionalFormatting sqref="B300:F300 H300:I300">
    <cfRule type="expression" dxfId="1579" priority="1572">
      <formula>$D300=""</formula>
    </cfRule>
  </conditionalFormatting>
  <conditionalFormatting sqref="F301">
    <cfRule type="expression" dxfId="1578" priority="1571">
      <formula>$D300=""</formula>
    </cfRule>
  </conditionalFormatting>
  <conditionalFormatting sqref="B302:F302 H302:I302">
    <cfRule type="expression" dxfId="1577" priority="1570">
      <formula>$D302=""</formula>
    </cfRule>
  </conditionalFormatting>
  <conditionalFormatting sqref="F303">
    <cfRule type="expression" dxfId="1576" priority="1569">
      <formula>$D302=""</formula>
    </cfRule>
  </conditionalFormatting>
  <conditionalFormatting sqref="B304:F304 H304:I304">
    <cfRule type="expression" dxfId="1575" priority="1568">
      <formula>$D304=""</formula>
    </cfRule>
  </conditionalFormatting>
  <conditionalFormatting sqref="F305">
    <cfRule type="expression" dxfId="1574" priority="1567">
      <formula>$D304=""</formula>
    </cfRule>
  </conditionalFormatting>
  <conditionalFormatting sqref="B306:F306 H306:I306">
    <cfRule type="expression" dxfId="1573" priority="1566">
      <formula>$D306=""</formula>
    </cfRule>
  </conditionalFormatting>
  <conditionalFormatting sqref="F307">
    <cfRule type="expression" dxfId="1572" priority="1565">
      <formula>$D306=""</formula>
    </cfRule>
  </conditionalFormatting>
  <conditionalFormatting sqref="B308:F308 H308:I308">
    <cfRule type="expression" dxfId="1571" priority="1564">
      <formula>$D308=""</formula>
    </cfRule>
  </conditionalFormatting>
  <conditionalFormatting sqref="F309">
    <cfRule type="expression" dxfId="1570" priority="1563">
      <formula>$D308=""</formula>
    </cfRule>
  </conditionalFormatting>
  <conditionalFormatting sqref="B316:J316 G318 G320 G322 G324 G326 G328 G330 G332 G334 G336 G338 G340 G342 G344 G346 G348 G350 G352 G354 G356 G358 G360 G362 G364 G366 G368 G370 G372 G374 G376 G378 G380 G382 G384 G386 G388 G390 G392 G394 G396 G398 G400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cfRule type="expression" dxfId="1569" priority="1562">
      <formula>$D316=""</formula>
    </cfRule>
  </conditionalFormatting>
  <conditionalFormatting sqref="F317">
    <cfRule type="expression" dxfId="1568" priority="1561">
      <formula>$D316=""</formula>
    </cfRule>
  </conditionalFormatting>
  <conditionalFormatting sqref="B318:F318 H318:J318">
    <cfRule type="expression" dxfId="1567" priority="1559">
      <formula>$D318=""</formula>
    </cfRule>
  </conditionalFormatting>
  <conditionalFormatting sqref="F319">
    <cfRule type="expression" dxfId="1566" priority="1558">
      <formula>$D318=""</formula>
    </cfRule>
  </conditionalFormatting>
  <conditionalFormatting sqref="B320:F320 H320:J320">
    <cfRule type="expression" dxfId="1565" priority="1557">
      <formula>$D320=""</formula>
    </cfRule>
  </conditionalFormatting>
  <conditionalFormatting sqref="F321">
    <cfRule type="expression" dxfId="1564" priority="1556">
      <formula>$D320=""</formula>
    </cfRule>
  </conditionalFormatting>
  <conditionalFormatting sqref="B322:F322 H322:J322">
    <cfRule type="expression" dxfId="1563" priority="1555">
      <formula>$D322=""</formula>
    </cfRule>
  </conditionalFormatting>
  <conditionalFormatting sqref="F323">
    <cfRule type="expression" dxfId="1562" priority="1554">
      <formula>$D322=""</formula>
    </cfRule>
  </conditionalFormatting>
  <conditionalFormatting sqref="B324:F324 H324:J324">
    <cfRule type="expression" dxfId="1561" priority="1553">
      <formula>$D324=""</formula>
    </cfRule>
  </conditionalFormatting>
  <conditionalFormatting sqref="F325">
    <cfRule type="expression" dxfId="1560" priority="1552">
      <formula>$D324=""</formula>
    </cfRule>
  </conditionalFormatting>
  <conditionalFormatting sqref="B326:F326 H326:J326">
    <cfRule type="expression" dxfId="1559" priority="1551">
      <formula>$D326=""</formula>
    </cfRule>
  </conditionalFormatting>
  <conditionalFormatting sqref="F327">
    <cfRule type="expression" dxfId="1558" priority="1550">
      <formula>$D326=""</formula>
    </cfRule>
  </conditionalFormatting>
  <conditionalFormatting sqref="B328:F328 H328:J328">
    <cfRule type="expression" dxfId="1557" priority="1549">
      <formula>$D328=""</formula>
    </cfRule>
  </conditionalFormatting>
  <conditionalFormatting sqref="F329">
    <cfRule type="expression" dxfId="1556" priority="1548">
      <formula>$D328=""</formula>
    </cfRule>
  </conditionalFormatting>
  <conditionalFormatting sqref="B330:F330 H330:J330">
    <cfRule type="expression" dxfId="1555" priority="1547">
      <formula>$D330=""</formula>
    </cfRule>
  </conditionalFormatting>
  <conditionalFormatting sqref="F331">
    <cfRule type="expression" dxfId="1554" priority="1546">
      <formula>$D330=""</formula>
    </cfRule>
  </conditionalFormatting>
  <conditionalFormatting sqref="B332:F332 H332:J332">
    <cfRule type="expression" dxfId="1553" priority="1545">
      <formula>$D332=""</formula>
    </cfRule>
  </conditionalFormatting>
  <conditionalFormatting sqref="F333">
    <cfRule type="expression" dxfId="1552" priority="1544">
      <formula>$D332=""</formula>
    </cfRule>
  </conditionalFormatting>
  <conditionalFormatting sqref="B334:F334 H334:J334">
    <cfRule type="expression" dxfId="1551" priority="1543">
      <formula>$D334=""</formula>
    </cfRule>
  </conditionalFormatting>
  <conditionalFormatting sqref="F335">
    <cfRule type="expression" dxfId="1550" priority="1542">
      <formula>$D334=""</formula>
    </cfRule>
  </conditionalFormatting>
  <conditionalFormatting sqref="B336:F336 H336:J336">
    <cfRule type="expression" dxfId="1549" priority="1541">
      <formula>$D336=""</formula>
    </cfRule>
  </conditionalFormatting>
  <conditionalFormatting sqref="F337">
    <cfRule type="expression" dxfId="1548" priority="1540">
      <formula>$D336=""</formula>
    </cfRule>
  </conditionalFormatting>
  <conditionalFormatting sqref="B338:F338 H338:J338">
    <cfRule type="expression" dxfId="1547" priority="1539">
      <formula>$D338=""</formula>
    </cfRule>
  </conditionalFormatting>
  <conditionalFormatting sqref="F339">
    <cfRule type="expression" dxfId="1546" priority="1538">
      <formula>$D338=""</formula>
    </cfRule>
  </conditionalFormatting>
  <conditionalFormatting sqref="B340:F340 H340:J340">
    <cfRule type="expression" dxfId="1545" priority="1537">
      <formula>$D340=""</formula>
    </cfRule>
  </conditionalFormatting>
  <conditionalFormatting sqref="F341">
    <cfRule type="expression" dxfId="1544" priority="1536">
      <formula>$D340=""</formula>
    </cfRule>
  </conditionalFormatting>
  <conditionalFormatting sqref="B342:F342 H342:J342">
    <cfRule type="expression" dxfId="1543" priority="1535">
      <formula>$D342=""</formula>
    </cfRule>
  </conditionalFormatting>
  <conditionalFormatting sqref="F343">
    <cfRule type="expression" dxfId="1542" priority="1534">
      <formula>$D342=""</formula>
    </cfRule>
  </conditionalFormatting>
  <conditionalFormatting sqref="B344:F344 H344:J344">
    <cfRule type="expression" dxfId="1541" priority="1533">
      <formula>$D344=""</formula>
    </cfRule>
  </conditionalFormatting>
  <conditionalFormatting sqref="F345">
    <cfRule type="expression" dxfId="1540" priority="1532">
      <formula>$D344=""</formula>
    </cfRule>
  </conditionalFormatting>
  <conditionalFormatting sqref="B346:F346 H346:J346">
    <cfRule type="expression" dxfId="1539" priority="1531">
      <formula>$D346=""</formula>
    </cfRule>
  </conditionalFormatting>
  <conditionalFormatting sqref="F347">
    <cfRule type="expression" dxfId="1538" priority="1530">
      <formula>$D346=""</formula>
    </cfRule>
  </conditionalFormatting>
  <conditionalFormatting sqref="B348:F348 H348:J348">
    <cfRule type="expression" dxfId="1537" priority="1529">
      <formula>$D348=""</formula>
    </cfRule>
  </conditionalFormatting>
  <conditionalFormatting sqref="F349">
    <cfRule type="expression" dxfId="1536" priority="1528">
      <formula>$D348=""</formula>
    </cfRule>
  </conditionalFormatting>
  <conditionalFormatting sqref="B350:F350 H350:J350">
    <cfRule type="expression" dxfId="1535" priority="1527">
      <formula>$D350=""</formula>
    </cfRule>
  </conditionalFormatting>
  <conditionalFormatting sqref="F351">
    <cfRule type="expression" dxfId="1534" priority="1526">
      <formula>$D350=""</formula>
    </cfRule>
  </conditionalFormatting>
  <conditionalFormatting sqref="B352:F352 H352:J352">
    <cfRule type="expression" dxfId="1533" priority="1525">
      <formula>$D352=""</formula>
    </cfRule>
  </conditionalFormatting>
  <conditionalFormatting sqref="F353">
    <cfRule type="expression" dxfId="1532" priority="1524">
      <formula>$D352=""</formula>
    </cfRule>
  </conditionalFormatting>
  <conditionalFormatting sqref="B354:F354 H354:J354">
    <cfRule type="expression" dxfId="1531" priority="1523">
      <formula>$D354=""</formula>
    </cfRule>
  </conditionalFormatting>
  <conditionalFormatting sqref="F355">
    <cfRule type="expression" dxfId="1530" priority="1522">
      <formula>$D354=""</formula>
    </cfRule>
  </conditionalFormatting>
  <conditionalFormatting sqref="B356:F356 H356:J356">
    <cfRule type="expression" dxfId="1529" priority="1521">
      <formula>$D356=""</formula>
    </cfRule>
  </conditionalFormatting>
  <conditionalFormatting sqref="F357">
    <cfRule type="expression" dxfId="1528" priority="1520">
      <formula>$D356=""</formula>
    </cfRule>
  </conditionalFormatting>
  <conditionalFormatting sqref="B358:F358 H358:J358">
    <cfRule type="expression" dxfId="1527" priority="1519">
      <formula>$D358=""</formula>
    </cfRule>
  </conditionalFormatting>
  <conditionalFormatting sqref="F359">
    <cfRule type="expression" dxfId="1526" priority="1518">
      <formula>$D358=""</formula>
    </cfRule>
  </conditionalFormatting>
  <conditionalFormatting sqref="B360:F360 H360:J360">
    <cfRule type="expression" dxfId="1525" priority="1517">
      <formula>$D360=""</formula>
    </cfRule>
  </conditionalFormatting>
  <conditionalFormatting sqref="F361">
    <cfRule type="expression" dxfId="1524" priority="1516">
      <formula>$D360=""</formula>
    </cfRule>
  </conditionalFormatting>
  <conditionalFormatting sqref="B362:F362 H362:J362">
    <cfRule type="expression" dxfId="1523" priority="1515">
      <formula>$D362=""</formula>
    </cfRule>
  </conditionalFormatting>
  <conditionalFormatting sqref="F363">
    <cfRule type="expression" dxfId="1522" priority="1514">
      <formula>$D362=""</formula>
    </cfRule>
  </conditionalFormatting>
  <conditionalFormatting sqref="B364:F364 H364:J364">
    <cfRule type="expression" dxfId="1521" priority="1513">
      <formula>$D364=""</formula>
    </cfRule>
  </conditionalFormatting>
  <conditionalFormatting sqref="F365">
    <cfRule type="expression" dxfId="1520" priority="1512">
      <formula>$D364=""</formula>
    </cfRule>
  </conditionalFormatting>
  <conditionalFormatting sqref="B366:F366 H366:J366">
    <cfRule type="expression" dxfId="1519" priority="1511">
      <formula>$D366=""</formula>
    </cfRule>
  </conditionalFormatting>
  <conditionalFormatting sqref="F367">
    <cfRule type="expression" dxfId="1518" priority="1510">
      <formula>$D366=""</formula>
    </cfRule>
  </conditionalFormatting>
  <conditionalFormatting sqref="B368:F368 H368:J368">
    <cfRule type="expression" dxfId="1517" priority="1509">
      <formula>$D368=""</formula>
    </cfRule>
  </conditionalFormatting>
  <conditionalFormatting sqref="F369">
    <cfRule type="expression" dxfId="1516" priority="1508">
      <formula>$D368=""</formula>
    </cfRule>
  </conditionalFormatting>
  <conditionalFormatting sqref="B370:F370 H370:J370">
    <cfRule type="expression" dxfId="1515" priority="1507">
      <formula>$D370=""</formula>
    </cfRule>
  </conditionalFormatting>
  <conditionalFormatting sqref="F371">
    <cfRule type="expression" dxfId="1514" priority="1506">
      <formula>$D370=""</formula>
    </cfRule>
  </conditionalFormatting>
  <conditionalFormatting sqref="B372:F372 H372:J372">
    <cfRule type="expression" dxfId="1513" priority="1505">
      <formula>$D372=""</formula>
    </cfRule>
  </conditionalFormatting>
  <conditionalFormatting sqref="F373">
    <cfRule type="expression" dxfId="1512" priority="1504">
      <formula>$D372=""</formula>
    </cfRule>
  </conditionalFormatting>
  <conditionalFormatting sqref="B374:F374 H374:J374">
    <cfRule type="expression" dxfId="1511" priority="1503">
      <formula>$D374=""</formula>
    </cfRule>
  </conditionalFormatting>
  <conditionalFormatting sqref="F375">
    <cfRule type="expression" dxfId="1510" priority="1502">
      <formula>$D374=""</formula>
    </cfRule>
  </conditionalFormatting>
  <conditionalFormatting sqref="B376:F376 H376:J376">
    <cfRule type="expression" dxfId="1509" priority="1501">
      <formula>$D376=""</formula>
    </cfRule>
  </conditionalFormatting>
  <conditionalFormatting sqref="F377">
    <cfRule type="expression" dxfId="1508" priority="1500">
      <formula>$D376=""</formula>
    </cfRule>
  </conditionalFormatting>
  <conditionalFormatting sqref="B378:F378 H378:J378">
    <cfRule type="expression" dxfId="1507" priority="1499">
      <formula>$D378=""</formula>
    </cfRule>
  </conditionalFormatting>
  <conditionalFormatting sqref="F379">
    <cfRule type="expression" dxfId="1506" priority="1498">
      <formula>$D378=""</formula>
    </cfRule>
  </conditionalFormatting>
  <conditionalFormatting sqref="B380:F380 H380:J380">
    <cfRule type="expression" dxfId="1505" priority="1497">
      <formula>$D380=""</formula>
    </cfRule>
  </conditionalFormatting>
  <conditionalFormatting sqref="F381">
    <cfRule type="expression" dxfId="1504" priority="1496">
      <formula>$D380=""</formula>
    </cfRule>
  </conditionalFormatting>
  <conditionalFormatting sqref="B382:F382 H382:J382">
    <cfRule type="expression" dxfId="1503" priority="1495">
      <formula>$D382=""</formula>
    </cfRule>
  </conditionalFormatting>
  <conditionalFormatting sqref="F383">
    <cfRule type="expression" dxfId="1502" priority="1494">
      <formula>$D382=""</formula>
    </cfRule>
  </conditionalFormatting>
  <conditionalFormatting sqref="B384:F384 H384:J384">
    <cfRule type="expression" dxfId="1501" priority="1493">
      <formula>$D384=""</formula>
    </cfRule>
  </conditionalFormatting>
  <conditionalFormatting sqref="F385">
    <cfRule type="expression" dxfId="1500" priority="1492">
      <formula>$D384=""</formula>
    </cfRule>
  </conditionalFormatting>
  <conditionalFormatting sqref="B386:F386 H386:J386">
    <cfRule type="expression" dxfId="1499" priority="1491">
      <formula>$D386=""</formula>
    </cfRule>
  </conditionalFormatting>
  <conditionalFormatting sqref="F387">
    <cfRule type="expression" dxfId="1498" priority="1490">
      <formula>$D386=""</formula>
    </cfRule>
  </conditionalFormatting>
  <conditionalFormatting sqref="B388:F388 H388:J388">
    <cfRule type="expression" dxfId="1497" priority="1489">
      <formula>$D388=""</formula>
    </cfRule>
  </conditionalFormatting>
  <conditionalFormatting sqref="F389">
    <cfRule type="expression" dxfId="1496" priority="1488">
      <formula>$D388=""</formula>
    </cfRule>
  </conditionalFormatting>
  <conditionalFormatting sqref="B390:F390 H390:J390">
    <cfRule type="expression" dxfId="1495" priority="1487">
      <formula>$D390=""</formula>
    </cfRule>
  </conditionalFormatting>
  <conditionalFormatting sqref="F391">
    <cfRule type="expression" dxfId="1494" priority="1486">
      <formula>$D390=""</formula>
    </cfRule>
  </conditionalFormatting>
  <conditionalFormatting sqref="B392:F392 H392:J392">
    <cfRule type="expression" dxfId="1493" priority="1485">
      <formula>$D392=""</formula>
    </cfRule>
  </conditionalFormatting>
  <conditionalFormatting sqref="F393">
    <cfRule type="expression" dxfId="1492" priority="1484">
      <formula>$D392=""</formula>
    </cfRule>
  </conditionalFormatting>
  <conditionalFormatting sqref="B394:F394 H394:J394">
    <cfRule type="expression" dxfId="1491" priority="1483">
      <formula>$D394=""</formula>
    </cfRule>
  </conditionalFormatting>
  <conditionalFormatting sqref="F395">
    <cfRule type="expression" dxfId="1490" priority="1482">
      <formula>$D394=""</formula>
    </cfRule>
  </conditionalFormatting>
  <conditionalFormatting sqref="B396:F396 H396 J396">
    <cfRule type="expression" dxfId="1489" priority="1481">
      <formula>$D396=""</formula>
    </cfRule>
  </conditionalFormatting>
  <conditionalFormatting sqref="F397">
    <cfRule type="expression" dxfId="1488" priority="1480">
      <formula>$D396=""</formula>
    </cfRule>
  </conditionalFormatting>
  <conditionalFormatting sqref="B398:F398 H398 J398">
    <cfRule type="expression" dxfId="1487" priority="1479">
      <formula>$D398=""</formula>
    </cfRule>
  </conditionalFormatting>
  <conditionalFormatting sqref="F399">
    <cfRule type="expression" dxfId="1486" priority="1478">
      <formula>$D398=""</formula>
    </cfRule>
  </conditionalFormatting>
  <conditionalFormatting sqref="B400:F400 H400 J400">
    <cfRule type="expression" dxfId="1485" priority="1477">
      <formula>$D400=""</formula>
    </cfRule>
  </conditionalFormatting>
  <conditionalFormatting sqref="F401">
    <cfRule type="expression" dxfId="1484" priority="1476">
      <formula>$D400=""</formula>
    </cfRule>
  </conditionalFormatting>
  <conditionalFormatting sqref="B402:F402 H402 J402">
    <cfRule type="expression" dxfId="1483" priority="1475">
      <formula>$D402=""</formula>
    </cfRule>
  </conditionalFormatting>
  <conditionalFormatting sqref="F403">
    <cfRule type="expression" dxfId="1482" priority="1474">
      <formula>$D402=""</formula>
    </cfRule>
  </conditionalFormatting>
  <conditionalFormatting sqref="B404:F404 H404:J404">
    <cfRule type="expression" dxfId="1481" priority="1473">
      <formula>$D404=""</formula>
    </cfRule>
  </conditionalFormatting>
  <conditionalFormatting sqref="F405">
    <cfRule type="expression" dxfId="1480" priority="1472">
      <formula>$D404=""</formula>
    </cfRule>
  </conditionalFormatting>
  <conditionalFormatting sqref="B406:F406 H406:J406">
    <cfRule type="expression" dxfId="1479" priority="1471">
      <formula>$D406=""</formula>
    </cfRule>
  </conditionalFormatting>
  <conditionalFormatting sqref="F407">
    <cfRule type="expression" dxfId="1478" priority="1470">
      <formula>$D406=""</formula>
    </cfRule>
  </conditionalFormatting>
  <conditionalFormatting sqref="B408:F408 H408:J408">
    <cfRule type="expression" dxfId="1477" priority="1469">
      <formula>$D408=""</formula>
    </cfRule>
  </conditionalFormatting>
  <conditionalFormatting sqref="F409">
    <cfRule type="expression" dxfId="1476" priority="1468">
      <formula>$D408=""</formula>
    </cfRule>
  </conditionalFormatting>
  <conditionalFormatting sqref="B410:F410 H410:J410">
    <cfRule type="expression" dxfId="1475" priority="1467">
      <formula>$D410=""</formula>
    </cfRule>
  </conditionalFormatting>
  <conditionalFormatting sqref="F411">
    <cfRule type="expression" dxfId="1474" priority="1466">
      <formula>$D410=""</formula>
    </cfRule>
  </conditionalFormatting>
  <conditionalFormatting sqref="B412:F412 H412:J412">
    <cfRule type="expression" dxfId="1473" priority="1465">
      <formula>$D412=""</formula>
    </cfRule>
  </conditionalFormatting>
  <conditionalFormatting sqref="F413">
    <cfRule type="expression" dxfId="1472" priority="1464">
      <formula>$D412=""</formula>
    </cfRule>
  </conditionalFormatting>
  <conditionalFormatting sqref="B414:F414 H414:J414">
    <cfRule type="expression" dxfId="1471" priority="1463">
      <formula>$D414=""</formula>
    </cfRule>
  </conditionalFormatting>
  <conditionalFormatting sqref="F415">
    <cfRule type="expression" dxfId="1470" priority="1462">
      <formula>$D414=""</formula>
    </cfRule>
  </conditionalFormatting>
  <conditionalFormatting sqref="B416:F416 H416 J416">
    <cfRule type="expression" dxfId="1469" priority="1461">
      <formula>$D416=""</formula>
    </cfRule>
  </conditionalFormatting>
  <conditionalFormatting sqref="F417">
    <cfRule type="expression" dxfId="1468" priority="1460">
      <formula>$D416=""</formula>
    </cfRule>
  </conditionalFormatting>
  <conditionalFormatting sqref="B418:F418 H418 J418">
    <cfRule type="expression" dxfId="1467" priority="1459">
      <formula>$D418=""</formula>
    </cfRule>
  </conditionalFormatting>
  <conditionalFormatting sqref="F419">
    <cfRule type="expression" dxfId="1466" priority="1458">
      <formula>$D418=""</formula>
    </cfRule>
  </conditionalFormatting>
  <conditionalFormatting sqref="B420:F420 H420 J420">
    <cfRule type="expression" dxfId="1465" priority="1457">
      <formula>$D420=""</formula>
    </cfRule>
  </conditionalFormatting>
  <conditionalFormatting sqref="F421">
    <cfRule type="expression" dxfId="1464" priority="1456">
      <formula>$D420=""</formula>
    </cfRule>
  </conditionalFormatting>
  <conditionalFormatting sqref="B422:F422 H422 J422">
    <cfRule type="expression" dxfId="1463" priority="1455">
      <formula>$D422=""</formula>
    </cfRule>
  </conditionalFormatting>
  <conditionalFormatting sqref="F423">
    <cfRule type="expression" dxfId="1462" priority="1454">
      <formula>$D422=""</formula>
    </cfRule>
  </conditionalFormatting>
  <conditionalFormatting sqref="B424:F424 H424:J424">
    <cfRule type="expression" dxfId="1461" priority="1453">
      <formula>$D424=""</formula>
    </cfRule>
  </conditionalFormatting>
  <conditionalFormatting sqref="F425">
    <cfRule type="expression" dxfId="1460" priority="1452">
      <formula>$D424=""</formula>
    </cfRule>
  </conditionalFormatting>
  <conditionalFormatting sqref="B426:F426 H426:J426">
    <cfRule type="expression" dxfId="1459" priority="1451">
      <formula>$D426=""</formula>
    </cfRule>
  </conditionalFormatting>
  <conditionalFormatting sqref="F427">
    <cfRule type="expression" dxfId="1458" priority="1450">
      <formula>$D426=""</formula>
    </cfRule>
  </conditionalFormatting>
  <conditionalFormatting sqref="B428:F428 H428:J428">
    <cfRule type="expression" dxfId="1457" priority="1449">
      <formula>$D428=""</formula>
    </cfRule>
  </conditionalFormatting>
  <conditionalFormatting sqref="F429">
    <cfRule type="expression" dxfId="1456" priority="1448">
      <formula>$D428=""</formula>
    </cfRule>
  </conditionalFormatting>
  <conditionalFormatting sqref="B430:F430 H430:J430">
    <cfRule type="expression" dxfId="1455" priority="1447">
      <formula>$D430=""</formula>
    </cfRule>
  </conditionalFormatting>
  <conditionalFormatting sqref="F431">
    <cfRule type="expression" dxfId="1454" priority="1446">
      <formula>$D430=""</formula>
    </cfRule>
  </conditionalFormatting>
  <conditionalFormatting sqref="B432:F432 H432:J432">
    <cfRule type="expression" dxfId="1453" priority="1445">
      <formula>$D432=""</formula>
    </cfRule>
  </conditionalFormatting>
  <conditionalFormatting sqref="F433">
    <cfRule type="expression" dxfId="1452" priority="1444">
      <formula>$D432=""</formula>
    </cfRule>
  </conditionalFormatting>
  <conditionalFormatting sqref="B434:F434 H434:J434">
    <cfRule type="expression" dxfId="1451" priority="1443">
      <formula>$D434=""</formula>
    </cfRule>
  </conditionalFormatting>
  <conditionalFormatting sqref="F435">
    <cfRule type="expression" dxfId="1450" priority="1442">
      <formula>$D434=""</formula>
    </cfRule>
  </conditionalFormatting>
  <conditionalFormatting sqref="B436:F436 H436:J436">
    <cfRule type="expression" dxfId="1449" priority="1441">
      <formula>$D436=""</formula>
    </cfRule>
  </conditionalFormatting>
  <conditionalFormatting sqref="F437">
    <cfRule type="expression" dxfId="1448" priority="1440">
      <formula>$D436=""</formula>
    </cfRule>
  </conditionalFormatting>
  <conditionalFormatting sqref="B438:F438 H438:J438">
    <cfRule type="expression" dxfId="1447" priority="1439">
      <formula>$D438=""</formula>
    </cfRule>
  </conditionalFormatting>
  <conditionalFormatting sqref="F439">
    <cfRule type="expression" dxfId="1446" priority="1438">
      <formula>$D438=""</formula>
    </cfRule>
  </conditionalFormatting>
  <conditionalFormatting sqref="B440:F440 H440:J440">
    <cfRule type="expression" dxfId="1445" priority="1437">
      <formula>$D440=""</formula>
    </cfRule>
  </conditionalFormatting>
  <conditionalFormatting sqref="F441">
    <cfRule type="expression" dxfId="1444" priority="1436">
      <formula>$D440=""</formula>
    </cfRule>
  </conditionalFormatting>
  <conditionalFormatting sqref="B442:F442 H442:J442">
    <cfRule type="expression" dxfId="1443" priority="1435">
      <formula>$D442=""</formula>
    </cfRule>
  </conditionalFormatting>
  <conditionalFormatting sqref="F443">
    <cfRule type="expression" dxfId="1442" priority="1434">
      <formula>$D442=""</formula>
    </cfRule>
  </conditionalFormatting>
  <conditionalFormatting sqref="B444:F444 H444:J444">
    <cfRule type="expression" dxfId="1441" priority="1433">
      <formula>$D444=""</formula>
    </cfRule>
  </conditionalFormatting>
  <conditionalFormatting sqref="F445">
    <cfRule type="expression" dxfId="1440" priority="1432">
      <formula>$D444=""</formula>
    </cfRule>
  </conditionalFormatting>
  <conditionalFormatting sqref="B446:F446 H446:J446">
    <cfRule type="expression" dxfId="1439" priority="1431">
      <formula>$D446=""</formula>
    </cfRule>
  </conditionalFormatting>
  <conditionalFormatting sqref="F447">
    <cfRule type="expression" dxfId="1438" priority="1430">
      <formula>$D446=""</formula>
    </cfRule>
  </conditionalFormatting>
  <conditionalFormatting sqref="B448:F448 H448:J448">
    <cfRule type="expression" dxfId="1437" priority="1429">
      <formula>$D448=""</formula>
    </cfRule>
  </conditionalFormatting>
  <conditionalFormatting sqref="F449">
    <cfRule type="expression" dxfId="1436" priority="1428">
      <formula>$D448=""</formula>
    </cfRule>
  </conditionalFormatting>
  <conditionalFormatting sqref="B450:F450 H450:J450">
    <cfRule type="expression" dxfId="1435" priority="1427">
      <formula>$D450=""</formula>
    </cfRule>
  </conditionalFormatting>
  <conditionalFormatting sqref="F451">
    <cfRule type="expression" dxfId="1434" priority="1426">
      <formula>$D450=""</formula>
    </cfRule>
  </conditionalFormatting>
  <conditionalFormatting sqref="B452:F452 H452:J452">
    <cfRule type="expression" dxfId="1433" priority="1425">
      <formula>$D452=""</formula>
    </cfRule>
  </conditionalFormatting>
  <conditionalFormatting sqref="F453">
    <cfRule type="expression" dxfId="1432" priority="1424">
      <formula>$D452=""</formula>
    </cfRule>
  </conditionalFormatting>
  <conditionalFormatting sqref="B454:F454 H454:J454">
    <cfRule type="expression" dxfId="1431" priority="1423">
      <formula>$D454=""</formula>
    </cfRule>
  </conditionalFormatting>
  <conditionalFormatting sqref="F455">
    <cfRule type="expression" dxfId="1430" priority="1422">
      <formula>$D454=""</formula>
    </cfRule>
  </conditionalFormatting>
  <conditionalFormatting sqref="B456:F456 H456:J456">
    <cfRule type="expression" dxfId="1429" priority="1421">
      <formula>$D456=""</formula>
    </cfRule>
  </conditionalFormatting>
  <conditionalFormatting sqref="F457">
    <cfRule type="expression" dxfId="1428" priority="1420">
      <formula>$D456=""</formula>
    </cfRule>
  </conditionalFormatting>
  <conditionalFormatting sqref="B458:F458 H458:J458">
    <cfRule type="expression" dxfId="1427" priority="1419">
      <formula>$D458=""</formula>
    </cfRule>
  </conditionalFormatting>
  <conditionalFormatting sqref="F459">
    <cfRule type="expression" dxfId="1426" priority="1418">
      <formula>$D458=""</formula>
    </cfRule>
  </conditionalFormatting>
  <conditionalFormatting sqref="B460:F460 H460:J460">
    <cfRule type="expression" dxfId="1425" priority="1417">
      <formula>$D460=""</formula>
    </cfRule>
  </conditionalFormatting>
  <conditionalFormatting sqref="F461">
    <cfRule type="expression" dxfId="1424" priority="1416">
      <formula>$D460=""</formula>
    </cfRule>
  </conditionalFormatting>
  <conditionalFormatting sqref="B462:F462 H462:J462">
    <cfRule type="expression" dxfId="1423" priority="1415">
      <formula>$D462=""</formula>
    </cfRule>
  </conditionalFormatting>
  <conditionalFormatting sqref="F463">
    <cfRule type="expression" dxfId="1422" priority="1414">
      <formula>$D462=""</formula>
    </cfRule>
  </conditionalFormatting>
  <conditionalFormatting sqref="B464:F464 H464:J464">
    <cfRule type="expression" dxfId="1421" priority="1413">
      <formula>$D464=""</formula>
    </cfRule>
  </conditionalFormatting>
  <conditionalFormatting sqref="F465">
    <cfRule type="expression" dxfId="1420" priority="1412">
      <formula>$D464=""</formula>
    </cfRule>
  </conditionalFormatting>
  <conditionalFormatting sqref="B466:F466 H466:J466">
    <cfRule type="expression" dxfId="1419" priority="1411">
      <formula>$D466=""</formula>
    </cfRule>
  </conditionalFormatting>
  <conditionalFormatting sqref="F467">
    <cfRule type="expression" dxfId="1418" priority="1410">
      <formula>$D466=""</formula>
    </cfRule>
  </conditionalFormatting>
  <conditionalFormatting sqref="B468:F468 H468:J468">
    <cfRule type="expression" dxfId="1417" priority="1409">
      <formula>$D468=""</formula>
    </cfRule>
  </conditionalFormatting>
  <conditionalFormatting sqref="F469">
    <cfRule type="expression" dxfId="1416" priority="1408">
      <formula>$D468=""</formula>
    </cfRule>
  </conditionalFormatting>
  <conditionalFormatting sqref="B470:F470 H470:J470">
    <cfRule type="expression" dxfId="1415" priority="1407">
      <formula>$D470=""</formula>
    </cfRule>
  </conditionalFormatting>
  <conditionalFormatting sqref="F471">
    <cfRule type="expression" dxfId="1414" priority="1406">
      <formula>$D470=""</formula>
    </cfRule>
  </conditionalFormatting>
  <conditionalFormatting sqref="B472:F472 H472:J472">
    <cfRule type="expression" dxfId="1413" priority="1405">
      <formula>$D472=""</formula>
    </cfRule>
  </conditionalFormatting>
  <conditionalFormatting sqref="F473">
    <cfRule type="expression" dxfId="1412" priority="1404">
      <formula>$D472=""</formula>
    </cfRule>
  </conditionalFormatting>
  <conditionalFormatting sqref="B474:F474 H474:J474">
    <cfRule type="expression" dxfId="1411" priority="1403">
      <formula>$D474=""</formula>
    </cfRule>
  </conditionalFormatting>
  <conditionalFormatting sqref="F475">
    <cfRule type="expression" dxfId="1410" priority="1402">
      <formula>$D474=""</formula>
    </cfRule>
  </conditionalFormatting>
  <conditionalFormatting sqref="B476:F476 H476:J476">
    <cfRule type="expression" dxfId="1409" priority="1401">
      <formula>$D476=""</formula>
    </cfRule>
  </conditionalFormatting>
  <conditionalFormatting sqref="F477">
    <cfRule type="expression" dxfId="1408" priority="1400">
      <formula>$D476=""</formula>
    </cfRule>
  </conditionalFormatting>
  <conditionalFormatting sqref="B478:F478 H478:J478">
    <cfRule type="expression" dxfId="1407" priority="1399">
      <formula>$D478=""</formula>
    </cfRule>
  </conditionalFormatting>
  <conditionalFormatting sqref="F479">
    <cfRule type="expression" dxfId="1406" priority="1398">
      <formula>$D478=""</formula>
    </cfRule>
  </conditionalFormatting>
  <conditionalFormatting sqref="B480:F480 H480:J480">
    <cfRule type="expression" dxfId="1405" priority="1397">
      <formula>$D480=""</formula>
    </cfRule>
  </conditionalFormatting>
  <conditionalFormatting sqref="F481">
    <cfRule type="expression" dxfId="1404" priority="1396">
      <formula>$D480=""</formula>
    </cfRule>
  </conditionalFormatting>
  <conditionalFormatting sqref="B482:F482 H482:J482">
    <cfRule type="expression" dxfId="1403" priority="1395">
      <formula>$D482=""</formula>
    </cfRule>
  </conditionalFormatting>
  <conditionalFormatting sqref="F483">
    <cfRule type="expression" dxfId="1402" priority="1394">
      <formula>$D482=""</formula>
    </cfRule>
  </conditionalFormatting>
  <conditionalFormatting sqref="B484:F484 H484:J484">
    <cfRule type="expression" dxfId="1401" priority="1393">
      <formula>$D484=""</formula>
    </cfRule>
  </conditionalFormatting>
  <conditionalFormatting sqref="F485">
    <cfRule type="expression" dxfId="1400" priority="1392">
      <formula>$D484=""</formula>
    </cfRule>
  </conditionalFormatting>
  <conditionalFormatting sqref="B486:F486 H486:J486">
    <cfRule type="expression" dxfId="1399" priority="1391">
      <formula>$D486=""</formula>
    </cfRule>
  </conditionalFormatting>
  <conditionalFormatting sqref="F487">
    <cfRule type="expression" dxfId="1398" priority="1390">
      <formula>$D486=""</formula>
    </cfRule>
  </conditionalFormatting>
  <conditionalFormatting sqref="B488:F488 H488:J488">
    <cfRule type="expression" dxfId="1397" priority="1389">
      <formula>$D488=""</formula>
    </cfRule>
  </conditionalFormatting>
  <conditionalFormatting sqref="F489">
    <cfRule type="expression" dxfId="1396" priority="1388">
      <formula>$D488=""</formula>
    </cfRule>
  </conditionalFormatting>
  <conditionalFormatting sqref="B490:F490 H490:J490">
    <cfRule type="expression" dxfId="1395" priority="1387">
      <formula>$D490=""</formula>
    </cfRule>
  </conditionalFormatting>
  <conditionalFormatting sqref="F491">
    <cfRule type="expression" dxfId="1394" priority="1386">
      <formula>$D490=""</formula>
    </cfRule>
  </conditionalFormatting>
  <conditionalFormatting sqref="B492:F492 H492:J492">
    <cfRule type="expression" dxfId="1393" priority="1385">
      <formula>$D492=""</formula>
    </cfRule>
  </conditionalFormatting>
  <conditionalFormatting sqref="F493">
    <cfRule type="expression" dxfId="1392" priority="1384">
      <formula>$D492=""</formula>
    </cfRule>
  </conditionalFormatting>
  <conditionalFormatting sqref="B494:F494 H494:J494">
    <cfRule type="expression" dxfId="1391" priority="1383">
      <formula>$D494=""</formula>
    </cfRule>
  </conditionalFormatting>
  <conditionalFormatting sqref="F495">
    <cfRule type="expression" dxfId="1390" priority="1382">
      <formula>$D494=""</formula>
    </cfRule>
  </conditionalFormatting>
  <conditionalFormatting sqref="B496:F496 H496:J496">
    <cfRule type="expression" dxfId="1389" priority="1381">
      <formula>$D496=""</formula>
    </cfRule>
  </conditionalFormatting>
  <conditionalFormatting sqref="F497">
    <cfRule type="expression" dxfId="1388" priority="1380">
      <formula>$D496=""</formula>
    </cfRule>
  </conditionalFormatting>
  <conditionalFormatting sqref="B498:F498 H498:J498">
    <cfRule type="expression" dxfId="1387" priority="1379">
      <formula>$D498=""</formula>
    </cfRule>
  </conditionalFormatting>
  <conditionalFormatting sqref="F499">
    <cfRule type="expression" dxfId="1386" priority="1378">
      <formula>$D498=""</formula>
    </cfRule>
  </conditionalFormatting>
  <conditionalFormatting sqref="B500:F500 H500:J500">
    <cfRule type="expression" dxfId="1385" priority="1377">
      <formula>$D500=""</formula>
    </cfRule>
  </conditionalFormatting>
  <conditionalFormatting sqref="F501">
    <cfRule type="expression" dxfId="1384" priority="1376">
      <formula>$D500=""</formula>
    </cfRule>
  </conditionalFormatting>
  <conditionalFormatting sqref="B502:F502 H502:J502">
    <cfRule type="expression" dxfId="1383" priority="1375">
      <formula>$D502=""</formula>
    </cfRule>
  </conditionalFormatting>
  <conditionalFormatting sqref="F503">
    <cfRule type="expression" dxfId="1382" priority="1374">
      <formula>$D502=""</formula>
    </cfRule>
  </conditionalFormatting>
  <conditionalFormatting sqref="B504:F504 H504:J504">
    <cfRule type="expression" dxfId="1381" priority="1373">
      <formula>$D504=""</formula>
    </cfRule>
  </conditionalFormatting>
  <conditionalFormatting sqref="F505">
    <cfRule type="expression" dxfId="1380" priority="1372">
      <formula>$D504=""</formula>
    </cfRule>
  </conditionalFormatting>
  <conditionalFormatting sqref="B506:F506 H506:J506">
    <cfRule type="expression" dxfId="1379" priority="1371">
      <formula>$D506=""</formula>
    </cfRule>
  </conditionalFormatting>
  <conditionalFormatting sqref="F507">
    <cfRule type="expression" dxfId="1378" priority="1370">
      <formula>$D506=""</formula>
    </cfRule>
  </conditionalFormatting>
  <conditionalFormatting sqref="B508:F508 H508:J508">
    <cfRule type="expression" dxfId="1377" priority="1369">
      <formula>$D508=""</formula>
    </cfRule>
  </conditionalFormatting>
  <conditionalFormatting sqref="F509">
    <cfRule type="expression" dxfId="1376" priority="1368">
      <formula>$D508=""</formula>
    </cfRule>
  </conditionalFormatting>
  <conditionalFormatting sqref="B510:F510 H510:J510">
    <cfRule type="expression" dxfId="1375" priority="1367">
      <formula>$D510=""</formula>
    </cfRule>
  </conditionalFormatting>
  <conditionalFormatting sqref="F511">
    <cfRule type="expression" dxfId="1374" priority="1366">
      <formula>$D510=""</formula>
    </cfRule>
  </conditionalFormatting>
  <conditionalFormatting sqref="B512:F512 H512:J512">
    <cfRule type="expression" dxfId="1373" priority="1365">
      <formula>$D512=""</formula>
    </cfRule>
  </conditionalFormatting>
  <conditionalFormatting sqref="F513">
    <cfRule type="expression" dxfId="1372" priority="1364">
      <formula>$D512=""</formula>
    </cfRule>
  </conditionalFormatting>
  <conditionalFormatting sqref="B514:F514 H514:J514">
    <cfRule type="expression" dxfId="1371" priority="1363">
      <formula>$D514=""</formula>
    </cfRule>
  </conditionalFormatting>
  <conditionalFormatting sqref="F515">
    <cfRule type="expression" dxfId="1370" priority="1362">
      <formula>$D514=""</formula>
    </cfRule>
  </conditionalFormatting>
  <conditionalFormatting sqref="B516:F516 H516:J516">
    <cfRule type="expression" dxfId="1369" priority="1361">
      <formula>$D516=""</formula>
    </cfRule>
  </conditionalFormatting>
  <conditionalFormatting sqref="F517">
    <cfRule type="expression" dxfId="1368" priority="1360">
      <formula>$D516=""</formula>
    </cfRule>
  </conditionalFormatting>
  <conditionalFormatting sqref="B518:F518 H518:J518">
    <cfRule type="expression" dxfId="1367" priority="1359">
      <formula>$D518=""</formula>
    </cfRule>
  </conditionalFormatting>
  <conditionalFormatting sqref="F519">
    <cfRule type="expression" dxfId="1366" priority="1358">
      <formula>$D518=""</formula>
    </cfRule>
  </conditionalFormatting>
  <conditionalFormatting sqref="B520:F520 H520:J520">
    <cfRule type="expression" dxfId="1365" priority="1357">
      <formula>$D520=""</formula>
    </cfRule>
  </conditionalFormatting>
  <conditionalFormatting sqref="F521">
    <cfRule type="expression" dxfId="1364" priority="1356">
      <formula>$D520=""</formula>
    </cfRule>
  </conditionalFormatting>
  <conditionalFormatting sqref="B522:F522 H522:J522">
    <cfRule type="expression" dxfId="1363" priority="1355">
      <formula>$D522=""</formula>
    </cfRule>
  </conditionalFormatting>
  <conditionalFormatting sqref="F523">
    <cfRule type="expression" dxfId="1362" priority="1354">
      <formula>$D522=""</formula>
    </cfRule>
  </conditionalFormatting>
  <conditionalFormatting sqref="B524:F524 H524:J524">
    <cfRule type="expression" dxfId="1361" priority="1353">
      <formula>$D524=""</formula>
    </cfRule>
  </conditionalFormatting>
  <conditionalFormatting sqref="F525">
    <cfRule type="expression" dxfId="1360" priority="1352">
      <formula>$D524=""</formula>
    </cfRule>
  </conditionalFormatting>
  <conditionalFormatting sqref="B526:F526 H526:J526">
    <cfRule type="expression" dxfId="1359" priority="1351">
      <formula>$D526=""</formula>
    </cfRule>
  </conditionalFormatting>
  <conditionalFormatting sqref="F527">
    <cfRule type="expression" dxfId="1358" priority="1350">
      <formula>$D526=""</formula>
    </cfRule>
  </conditionalFormatting>
  <conditionalFormatting sqref="B528:F528 H528:J528">
    <cfRule type="expression" dxfId="1357" priority="1349">
      <formula>$D528=""</formula>
    </cfRule>
  </conditionalFormatting>
  <conditionalFormatting sqref="F529">
    <cfRule type="expression" dxfId="1356" priority="1348">
      <formula>$D528=""</formula>
    </cfRule>
  </conditionalFormatting>
  <conditionalFormatting sqref="B530:F530 H530:J530">
    <cfRule type="expression" dxfId="1355" priority="1347">
      <formula>$D530=""</formula>
    </cfRule>
  </conditionalFormatting>
  <conditionalFormatting sqref="F531">
    <cfRule type="expression" dxfId="1354" priority="1346">
      <formula>$D530=""</formula>
    </cfRule>
  </conditionalFormatting>
  <conditionalFormatting sqref="B532:F532 H532:J532">
    <cfRule type="expression" dxfId="1353" priority="1345">
      <formula>$D532=""</formula>
    </cfRule>
  </conditionalFormatting>
  <conditionalFormatting sqref="F533">
    <cfRule type="expression" dxfId="1352" priority="1344">
      <formula>$D532=""</formula>
    </cfRule>
  </conditionalFormatting>
  <conditionalFormatting sqref="B534:F534 H534:J534">
    <cfRule type="expression" dxfId="1351" priority="1343">
      <formula>$D534=""</formula>
    </cfRule>
  </conditionalFormatting>
  <conditionalFormatting sqref="F535">
    <cfRule type="expression" dxfId="1350" priority="1342">
      <formula>$D534=""</formula>
    </cfRule>
  </conditionalFormatting>
  <conditionalFormatting sqref="B536:F536 H536:J536">
    <cfRule type="expression" dxfId="1349" priority="1341">
      <formula>$D536=""</formula>
    </cfRule>
  </conditionalFormatting>
  <conditionalFormatting sqref="F537">
    <cfRule type="expression" dxfId="1348" priority="1340">
      <formula>$D536=""</formula>
    </cfRule>
  </conditionalFormatting>
  <conditionalFormatting sqref="B538:F538 H538:J538">
    <cfRule type="expression" dxfId="1347" priority="1339">
      <formula>$D538=""</formula>
    </cfRule>
  </conditionalFormatting>
  <conditionalFormatting sqref="F539">
    <cfRule type="expression" dxfId="1346" priority="1338">
      <formula>$D538=""</formula>
    </cfRule>
  </conditionalFormatting>
  <conditionalFormatting sqref="B540:F540 H540:J540">
    <cfRule type="expression" dxfId="1345" priority="1337">
      <formula>$D540=""</formula>
    </cfRule>
  </conditionalFormatting>
  <conditionalFormatting sqref="F541">
    <cfRule type="expression" dxfId="1344" priority="1336">
      <formula>$D540=""</formula>
    </cfRule>
  </conditionalFormatting>
  <conditionalFormatting sqref="B542:F542 H542:J542">
    <cfRule type="expression" dxfId="1343" priority="1335">
      <formula>$D542=""</formula>
    </cfRule>
  </conditionalFormatting>
  <conditionalFormatting sqref="F543">
    <cfRule type="expression" dxfId="1342" priority="1334">
      <formula>$D542=""</formula>
    </cfRule>
  </conditionalFormatting>
  <conditionalFormatting sqref="B544:F544 H544:J544">
    <cfRule type="expression" dxfId="1341" priority="1333">
      <formula>$D544=""</formula>
    </cfRule>
  </conditionalFormatting>
  <conditionalFormatting sqref="F545">
    <cfRule type="expression" dxfId="1340" priority="1332">
      <formula>$D544=""</formula>
    </cfRule>
  </conditionalFormatting>
  <conditionalFormatting sqref="B546:F546 H546:J546">
    <cfRule type="expression" dxfId="1339" priority="1331">
      <formula>$D546=""</formula>
    </cfRule>
  </conditionalFormatting>
  <conditionalFormatting sqref="F547">
    <cfRule type="expression" dxfId="1338" priority="1330">
      <formula>$D546=""</formula>
    </cfRule>
  </conditionalFormatting>
  <conditionalFormatting sqref="B548:F548 H548:J548">
    <cfRule type="expression" dxfId="1337" priority="1329">
      <formula>$D548=""</formula>
    </cfRule>
  </conditionalFormatting>
  <conditionalFormatting sqref="F549">
    <cfRule type="expression" dxfId="1336" priority="1328">
      <formula>$D548=""</formula>
    </cfRule>
  </conditionalFormatting>
  <conditionalFormatting sqref="B550:F550 H550:J550">
    <cfRule type="expression" dxfId="1335" priority="1327">
      <formula>$D550=""</formula>
    </cfRule>
  </conditionalFormatting>
  <conditionalFormatting sqref="F551">
    <cfRule type="expression" dxfId="1334" priority="1326">
      <formula>$D550=""</formula>
    </cfRule>
  </conditionalFormatting>
  <conditionalFormatting sqref="B552:F552 H552:J552">
    <cfRule type="expression" dxfId="1333" priority="1325">
      <formula>$D552=""</formula>
    </cfRule>
  </conditionalFormatting>
  <conditionalFormatting sqref="F553">
    <cfRule type="expression" dxfId="1332" priority="1324">
      <formula>$D552=""</formula>
    </cfRule>
  </conditionalFormatting>
  <conditionalFormatting sqref="B554:F554 H554:J554">
    <cfRule type="expression" dxfId="1331" priority="1323">
      <formula>$D554=""</formula>
    </cfRule>
  </conditionalFormatting>
  <conditionalFormatting sqref="F555">
    <cfRule type="expression" dxfId="1330" priority="1322">
      <formula>$D554=""</formula>
    </cfRule>
  </conditionalFormatting>
  <conditionalFormatting sqref="B556:F556 H556:J556">
    <cfRule type="expression" dxfId="1329" priority="1321">
      <formula>$D556=""</formula>
    </cfRule>
  </conditionalFormatting>
  <conditionalFormatting sqref="F557">
    <cfRule type="expression" dxfId="1328" priority="1320">
      <formula>$D556=""</formula>
    </cfRule>
  </conditionalFormatting>
  <conditionalFormatting sqref="B558:F558 H558:J558">
    <cfRule type="expression" dxfId="1327" priority="1319">
      <formula>$D558=""</formula>
    </cfRule>
  </conditionalFormatting>
  <conditionalFormatting sqref="F559">
    <cfRule type="expression" dxfId="1326" priority="1318">
      <formula>$D558=""</formula>
    </cfRule>
  </conditionalFormatting>
  <conditionalFormatting sqref="B560:F560 H560:J560">
    <cfRule type="expression" dxfId="1325" priority="1317">
      <formula>$D560=""</formula>
    </cfRule>
  </conditionalFormatting>
  <conditionalFormatting sqref="F561">
    <cfRule type="expression" dxfId="1324" priority="1316">
      <formula>$D560=""</formula>
    </cfRule>
  </conditionalFormatting>
  <conditionalFormatting sqref="B562:F562 H562:J562">
    <cfRule type="expression" dxfId="1323" priority="1315">
      <formula>$D562=""</formula>
    </cfRule>
  </conditionalFormatting>
  <conditionalFormatting sqref="F563">
    <cfRule type="expression" dxfId="1322" priority="1314">
      <formula>$D562=""</formula>
    </cfRule>
  </conditionalFormatting>
  <conditionalFormatting sqref="B564:F564 H564:J564">
    <cfRule type="expression" dxfId="1321" priority="1313">
      <formula>$D564=""</formula>
    </cfRule>
  </conditionalFormatting>
  <conditionalFormatting sqref="F565">
    <cfRule type="expression" dxfId="1320" priority="1312">
      <formula>$D564=""</formula>
    </cfRule>
  </conditionalFormatting>
  <conditionalFormatting sqref="B566:F566 H566:J566">
    <cfRule type="expression" dxfId="1319" priority="1311">
      <formula>$D566=""</formula>
    </cfRule>
  </conditionalFormatting>
  <conditionalFormatting sqref="F567">
    <cfRule type="expression" dxfId="1318" priority="1310">
      <formula>$D566=""</formula>
    </cfRule>
  </conditionalFormatting>
  <conditionalFormatting sqref="B568:F568 H568:J568">
    <cfRule type="expression" dxfId="1317" priority="1309">
      <formula>$D568=""</formula>
    </cfRule>
  </conditionalFormatting>
  <conditionalFormatting sqref="F569">
    <cfRule type="expression" dxfId="1316" priority="1308">
      <formula>$D568=""</formula>
    </cfRule>
  </conditionalFormatting>
  <conditionalFormatting sqref="B570:F570 H570:J570">
    <cfRule type="expression" dxfId="1315" priority="1307">
      <formula>$D570=""</formula>
    </cfRule>
  </conditionalFormatting>
  <conditionalFormatting sqref="F571">
    <cfRule type="expression" dxfId="1314" priority="1306">
      <formula>$D570=""</formula>
    </cfRule>
  </conditionalFormatting>
  <conditionalFormatting sqref="B572:F572 H572:J572">
    <cfRule type="expression" dxfId="1313" priority="1305">
      <formula>$D572=""</formula>
    </cfRule>
  </conditionalFormatting>
  <conditionalFormatting sqref="F573">
    <cfRule type="expression" dxfId="1312" priority="1304">
      <formula>$D572=""</formula>
    </cfRule>
  </conditionalFormatting>
  <conditionalFormatting sqref="B574:F574 H574:J574">
    <cfRule type="expression" dxfId="1311" priority="1303">
      <formula>$D574=""</formula>
    </cfRule>
  </conditionalFormatting>
  <conditionalFormatting sqref="F575">
    <cfRule type="expression" dxfId="1310" priority="1302">
      <formula>$D574=""</formula>
    </cfRule>
  </conditionalFormatting>
  <conditionalFormatting sqref="B576:F576 H576:J576">
    <cfRule type="expression" dxfId="1309" priority="1301">
      <formula>$D576=""</formula>
    </cfRule>
  </conditionalFormatting>
  <conditionalFormatting sqref="F577">
    <cfRule type="expression" dxfId="1308" priority="1300">
      <formula>$D576=""</formula>
    </cfRule>
  </conditionalFormatting>
  <conditionalFormatting sqref="B578:F578 H578:J578">
    <cfRule type="expression" dxfId="1307" priority="1299">
      <formula>$D578=""</formula>
    </cfRule>
  </conditionalFormatting>
  <conditionalFormatting sqref="F579">
    <cfRule type="expression" dxfId="1306" priority="1298">
      <formula>$D578=""</formula>
    </cfRule>
  </conditionalFormatting>
  <conditionalFormatting sqref="B580:F580 H580:J580">
    <cfRule type="expression" dxfId="1305" priority="1297">
      <formula>$D580=""</formula>
    </cfRule>
  </conditionalFormatting>
  <conditionalFormatting sqref="F581">
    <cfRule type="expression" dxfId="1304" priority="1296">
      <formula>$D580=""</formula>
    </cfRule>
  </conditionalFormatting>
  <conditionalFormatting sqref="B582:F582 H582:J582">
    <cfRule type="expression" dxfId="1303" priority="1295">
      <formula>$D582=""</formula>
    </cfRule>
  </conditionalFormatting>
  <conditionalFormatting sqref="F583">
    <cfRule type="expression" dxfId="1302" priority="1294">
      <formula>$D582=""</formula>
    </cfRule>
  </conditionalFormatting>
  <conditionalFormatting sqref="B584:F584 H584:J584">
    <cfRule type="expression" dxfId="1301" priority="1293">
      <formula>$D584=""</formula>
    </cfRule>
  </conditionalFormatting>
  <conditionalFormatting sqref="F585">
    <cfRule type="expression" dxfId="1300" priority="1292">
      <formula>$D584=""</formula>
    </cfRule>
  </conditionalFormatting>
  <conditionalFormatting sqref="B586:F586 H586:J586">
    <cfRule type="expression" dxfId="1299" priority="1291">
      <formula>$D586=""</formula>
    </cfRule>
  </conditionalFormatting>
  <conditionalFormatting sqref="F587">
    <cfRule type="expression" dxfId="1298" priority="1290">
      <formula>$D586=""</formula>
    </cfRule>
  </conditionalFormatting>
  <conditionalFormatting sqref="B588:F588 H588:J588">
    <cfRule type="expression" dxfId="1297" priority="1289">
      <formula>$D588=""</formula>
    </cfRule>
  </conditionalFormatting>
  <conditionalFormatting sqref="F589">
    <cfRule type="expression" dxfId="1296" priority="1288">
      <formula>$D588=""</formula>
    </cfRule>
  </conditionalFormatting>
  <conditionalFormatting sqref="B590:F590 H590:J590">
    <cfRule type="expression" dxfId="1295" priority="1287">
      <formula>$D590=""</formula>
    </cfRule>
  </conditionalFormatting>
  <conditionalFormatting sqref="F591">
    <cfRule type="expression" dxfId="1294" priority="1286">
      <formula>$D590=""</formula>
    </cfRule>
  </conditionalFormatting>
  <conditionalFormatting sqref="B592:F592 H592:J592">
    <cfRule type="expression" dxfId="1293" priority="1285">
      <formula>$D592=""</formula>
    </cfRule>
  </conditionalFormatting>
  <conditionalFormatting sqref="F593">
    <cfRule type="expression" dxfId="1292" priority="1284">
      <formula>$D592=""</formula>
    </cfRule>
  </conditionalFormatting>
  <conditionalFormatting sqref="B594:F594 H594:J594">
    <cfRule type="expression" dxfId="1291" priority="1283">
      <formula>$D594=""</formula>
    </cfRule>
  </conditionalFormatting>
  <conditionalFormatting sqref="F595">
    <cfRule type="expression" dxfId="1290" priority="1282">
      <formula>$D594=""</formula>
    </cfRule>
  </conditionalFormatting>
  <conditionalFormatting sqref="B596:F596 H596:J596">
    <cfRule type="expression" dxfId="1289" priority="1281">
      <formula>$D596=""</formula>
    </cfRule>
  </conditionalFormatting>
  <conditionalFormatting sqref="F597">
    <cfRule type="expression" dxfId="1288" priority="1280">
      <formula>$D596=""</formula>
    </cfRule>
  </conditionalFormatting>
  <conditionalFormatting sqref="B598:F598 H598:J598">
    <cfRule type="expression" dxfId="1287" priority="1279">
      <formula>$D598=""</formula>
    </cfRule>
  </conditionalFormatting>
  <conditionalFormatting sqref="F599">
    <cfRule type="expression" dxfId="1286" priority="1278">
      <formula>$D598=""</formula>
    </cfRule>
  </conditionalFormatting>
  <conditionalFormatting sqref="B600:F600 H600:J600">
    <cfRule type="expression" dxfId="1285" priority="1277">
      <formula>$D600=""</formula>
    </cfRule>
  </conditionalFormatting>
  <conditionalFormatting sqref="F601">
    <cfRule type="expression" dxfId="1284" priority="1276">
      <formula>$D600=""</formula>
    </cfRule>
  </conditionalFormatting>
  <conditionalFormatting sqref="B602:F602 H602:J602">
    <cfRule type="expression" dxfId="1283" priority="1275">
      <formula>$D602=""</formula>
    </cfRule>
  </conditionalFormatting>
  <conditionalFormatting sqref="F603">
    <cfRule type="expression" dxfId="1282" priority="1274">
      <formula>$D602=""</formula>
    </cfRule>
  </conditionalFormatting>
  <conditionalFormatting sqref="B604:F604 H604:J604">
    <cfRule type="expression" dxfId="1281" priority="1273">
      <formula>$D604=""</formula>
    </cfRule>
  </conditionalFormatting>
  <conditionalFormatting sqref="F605">
    <cfRule type="expression" dxfId="1280" priority="1272">
      <formula>$D604=""</formula>
    </cfRule>
  </conditionalFormatting>
  <conditionalFormatting sqref="B606:F606 H606:J606">
    <cfRule type="expression" dxfId="1279" priority="1271">
      <formula>$D606=""</formula>
    </cfRule>
  </conditionalFormatting>
  <conditionalFormatting sqref="F607">
    <cfRule type="expression" dxfId="1278" priority="1270">
      <formula>$D606=""</formula>
    </cfRule>
  </conditionalFormatting>
  <conditionalFormatting sqref="B608:F608 H608:J608">
    <cfRule type="expression" dxfId="1277" priority="1269">
      <formula>$D608=""</formula>
    </cfRule>
  </conditionalFormatting>
  <conditionalFormatting sqref="F609">
    <cfRule type="expression" dxfId="1276" priority="1268">
      <formula>$D608=""</formula>
    </cfRule>
  </conditionalFormatting>
  <conditionalFormatting sqref="B610:F610 H610:J610">
    <cfRule type="expression" dxfId="1275" priority="1267">
      <formula>$D610=""</formula>
    </cfRule>
  </conditionalFormatting>
  <conditionalFormatting sqref="F611">
    <cfRule type="expression" dxfId="1274" priority="1266">
      <formula>$D610=""</formula>
    </cfRule>
  </conditionalFormatting>
  <conditionalFormatting sqref="B612:F612 H612:J612">
    <cfRule type="expression" dxfId="1273" priority="1265">
      <formula>$D612=""</formula>
    </cfRule>
  </conditionalFormatting>
  <conditionalFormatting sqref="F613">
    <cfRule type="expression" dxfId="1272" priority="1264">
      <formula>$D612=""</formula>
    </cfRule>
  </conditionalFormatting>
  <conditionalFormatting sqref="B614:F614 H614:J614">
    <cfRule type="expression" dxfId="1271" priority="1263">
      <formula>$D614=""</formula>
    </cfRule>
  </conditionalFormatting>
  <conditionalFormatting sqref="F615">
    <cfRule type="expression" dxfId="1270" priority="1262">
      <formula>$D614=""</formula>
    </cfRule>
  </conditionalFormatting>
  <conditionalFormatting sqref="B621:J621 G623 G625 G627 G629 G631 G633 G635 G637 G639 G641 G643 G645 G647 G649 G651 G653 G655 G657 G659 G661 G663 G665 G667 G669 G671 G673 G675 G677 G679 G681 G683 G685 G687 G689 G691 G693 G695 G697 G699 G701 G703 G705 G707 G709 G711 G713 G715 G717 G719 G721 G723 G725 G727 G729 G731 G733 G735 G737 G739 G741 G743 G745 G747 G749 G751 G753 G755 G757 G759 G761 G763 G765 G767 G769 G771 G773 G775 G777 G779 G781 G783 G785 G787 G789 G791 G793 G795 G797 G799 G801 G803 G805 G807 G809 G811 G813 G815 G817 G819 G821 G823 G825 G827 G829 G831 G833 G835 G837 G839 G841 G843 G845 G847 G849 G851 G853 G855 G857 G859 G861 G863 G865 G867 G869 G871 G873 G875 G877 G879 G881 G883 G885 G887 G889 G891 G893 G895 G897 G899 G901 G903 G905 G907 G909 G911 G913 G915 G917 G919 G921 G923 G925 G927 G929 G931 G933 G935 G937 G939 G941 G943 G945 G947 G949 G951 G953 G955 G957 G959 G961 G963 G965 G967 G969 G971 G973 G975 G977 G979 G981 G983 G985 G987 G989 G991 G993 G995 G997 G999 G1001 G1003 G1005 G1007 G1009 G1011 G1013 G1015 G1017 G1019 G1021 G1023 G1025 G1027 G1029 G1031 G1033 G1035 G1037 G1039 G1041 G1043 G1045 G1047 G1049 G1051 G1053 G1055 G1057 G1059 G1061 G1063 G1065 G1067 G1069 G1071 G1073 G1075 G1077 G1079 G1081 G1083 G1085 G1087 G1089 G1091 G1093 G1095 G1097 G1099 G1101 G1103 G1105 G1107 G1109 G1111 G1113 G1115 G1117 G1119 G1121 G1123 G1125 G1127 G1129 G1131 G1133 G1135 G1137 G1139 G1141 G1143 G1145 G1147 G1149 G1151 G1153 G1155 G1157 G1159 G1161 G1163 G1165 G1167 G1169 G1171 G1173 G1175 G1177 G1179 G1181 G1183 G1185 G1187 G1189 G1191 G1193 G1195 G1197 G1199 G1201 G1203 G1205 G1207 G1209 G1211 G1213 G1215 G1217 G1219 G1221 G1223 G1225 G1227 G1229 G1231 G1233 G1235 G1237 G1239 G1241 G1243 G1245 G1247 G1249 G1251 G1253 G1255 G1257 G1259 G1261 G1263 G1265 G1267 G1269 G1271 G1273 G1275 G1277 G1279 G1281 G1283 G1285 G1287 G1289 G1291 G1293 G1295 G1297 G1299 G1301 G1303 G1305 G1307 G1309 G1311 G1313 G1315 G1317 G1319 G1321 G1323 G1325 G1327 G1329 G1331 G1333 G1335 G1337 G1339 G1341 G1343 G1345 G1347 G1349 G1351 G1353 G1355 G1357 G1359 G1361 G1363 G1365 G1367 G1369 G1371 G1373 G1375 G1377 G1379 G1383 G1385 G1387 G1389 G1391 G1393 G1395 G1397 G1399 G1401 G1403 G1405 G1407 G1409 G1411 G1413 G1415 G1417 G1419 G1421 G1423 G1425 G1427 G1429 G1431 G1433 G1435 G1437 G1439 G1441 G1443 G1445 G1447 G1449 G1451 G1453 G1455 G1457 G1459 G1461 G1463 G1465 G1467 G1469 G1471 G1473 G1475 G1477 G1479 G1481 G1483 G1485 G1487 G1489 G1491 G1493 G1495 G1497 G1499 G1501 G1503 G1505 G1507 G1509 G1511 G1513 G1515 G1517 G1519 G1521 G1523 G1525 G1527 G1529 G1531 G1533 G1535 G1537 G1539 G1541 G1543 G1545 G1547 G1549 G1551 G1553 G1555 G1557 G1559 G1561 G1563 G1565 G1567 G1569 G1571 G1573 G1575 G1577 G1579 G1581 G1583 G1585 G1587 G1589 G1591 G1593 G1595 G1597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G1699 G1701 G1703 G1705 G1707 G1709 G1711 G1713 G1715 G1717 G1719 G1721 G1723 G1725 G1727 G1729 G1731 G1733 G1735 G1737 G1739 G1741 G1743 G1745 G1747 G1749 G1751 G1753 G1755 G1757 G1759 G1761 G1763 G1765 G1767 G1769 G1771 G1773 G1775 G1777 G1779 G1781 G1783 G1785 G1787 G1789 G1791 G1793 G1795 G1797 G1799 G1801 G1803 G1805 G1807 G1809 G1811 G1813 G1815 G1817 G1819 J627 J629 J631 J633 J635 J637 J639 J641 J643 J645 J647 J649 J651 J653 J655 J657 J659 J673 J675 J677 J679 J681 J683 J685 J687 J689 J691 J693 J695 J697 J699 J711 J713 J715 J717 J719 J721 J723 J725 J727 J729 J731 J733 J735 J737 J739 J741 J751 J753 J755 J757 J759 J761 J763 J765 J767 J769 J771 J773 J775 J777 J779 J781 J793 J795 J797 J799 J801 J803 J805 J807 J809 J811 J813 J815 J817 J819 J827 J829 J831 J833 J835 J837 J839 J841 J843 J845 J847 J849 J851 J853 J855 J857 J859 J861 J873 J875 J877 J879 J881 J883 J885 J887 J889 J891 J893 J895 J897 J899 J901 J903 J905 J907 J909 J911 J913 J915 J917 J919 J921 J923 J925 J927 J929 J931 J933 J935 J937 J939 J951 J953 J955 J957 J959 J961 J963 J965 J967 J969 J971 J973 J975 J977 J979 J981 J983 J985 J987 J989 J991 J993 J995 J997 J999 J1001 J1003 J1005 J1007 J1009 J1011 J1013 J1015 J1017 J1019 J1021 J1023 J1025 J1027 J1029 J1031 J1033 J1035 J1037 J1039 J1041 J1043 J1045 J1047 J1049 J1051 J1053 J1055 J1057 J1059 J1061 J1063 J1065 J1067 J1069 J1071 J1073 J1075 J1077 J1079 J1081 J1083 J1085 J1087 J1089 J1091 J1093 J1095 J1097 J1099 J1101 J1103 J1105 J1107 J1109 J1111 J1113 J1115 J1117 J1119 J1121 J1123 J1125 J1127 J1129 J1131 J1133 J1135 J1137 J1139 J1141 J1143 J1145 J1147 J1149 J1151 J1153 J1155 J1157 J1159 J1161 J1163 J1165 J1167 J1169 J1171 J1173 J1175 J1177 J1179 J1191 J1193 J1195 J1197 J1199 J1201 J1203 J1205 J1207 J1209 J1211 J1213 J1215 J1217 J1219 J1221 J1229 J1231 J1233 J1235 J1237 J1239 J1241 J1243 J1245 J1247 J1249 J1251 J1253 J1255 J1257 J1259 J1261 J1265 J1267 J1269 J1273 J1277 J1279 J1281 J1283 J1285 J1287 J1289 J1291 J1293 J1295 J1297 J1299 J1301 J1303 J1305 J1307 J1309 J1311 J1313 J1315 J1317 J1319 J1321 J1323 J1325 J1327 J1329 J1331 J1333 J1335 J1337 J1339 J1341 J1349 J1351 J1353 J1355 J1357 J1359 J1361 J1363 J1365 J1367 J1369 J1371 J1373 J1375 J1377 J1379 J1381 J1383 J1385 J1387 J1389 J1391 J1393 J1395 J1397 J1399 J1401 J1403 J1405 J1407 J1409 J1411 J1413 J1415 J1417 J1419 J1421 J1423 J1425 J1427 J1429 J1431 J1433 J1435 J1437 J1439 J1441 J1443 J1445 J1447 J1449 J1451 J1453 J1455 J1457 J1459 J1461 J1463 J1465 J1467 J1469 J1471 J1473 J1475 J1477 J1479 J1481 J1483 J1485 J1487 J1489 J1491 J1493 J1495 J1497 J1499 J1501 J1503 J1505 J1507 J1509 J1511 J1513 J1515 J1517 J1519 J1521 J1523 J1525 J1527 J1529 J1531 J1533 J1535 J1537 J1539 J1541 J1543 J1545 J1547 J1549 J1551 J1553 J1555 J1557 J1559 J1561 J1563 J1565 J1567 J1569 J1571 J1573 J1575 J1577 J1579 J1581 J1583 J1585 J1587 J1589 J1591 J1593 J1595 J1597 J1599 J1601 J1603 J1605 J1607 J1609 J1611 J1613 J1615 J1617 J1619 J1621 J1623 J1625 J1627 J1629 J1631 J1633 J1635 J1637 J1639 J1641 J1643 J1645 J1647 J1649 J1651 J1653 J1655 J1657 J1659 J1661 J1663 J1665 J1667 J1669 J1671 J1673 J1675 J1677 J1679 J1681 J1683 J1685 J1687 J1689 J1691 J1693 J1695 J1697 J1699 J1701 J1703 J1705 J1707 J1709 J1711 J1713 J1715 J1717 J1719 J1721 J1723 J1725 J1727 J1729 J1731 J1733 J1735 J1737 J1739 J1741 J1743 J1745 J1747 J1749 J1751 J1753 J1755 J1757 J1759 J1761 J1763 J1765 J1767 J1769 J1771 J1773 J1775 J1777 J1779 J1781 J1783 J1785 J1787 J1789 J1791 J1793 J1795 J1797 J1799 J1801 J1803 J1805 J1807 J1809 J1811 J1813 J1815 J1817 J1819 J743 J745 J747 J749 J623 J625 J821 J823 J825 J863 J865 J867 J869 J871 J941 J943 J945 J947 J949 G1381 J783 J785 J787 J789 J791 J1223 J1225 J1227 J1343 J1345 J1347 J1271 J1275 J1263">
    <cfRule type="expression" dxfId="1269" priority="1261">
      <formula>$D621=""</formula>
    </cfRule>
  </conditionalFormatting>
  <conditionalFormatting sqref="F622">
    <cfRule type="expression" dxfId="1268" priority="1260">
      <formula>$D621=""</formula>
    </cfRule>
  </conditionalFormatting>
  <conditionalFormatting sqref="B623:F623 H623:I623">
    <cfRule type="expression" dxfId="1267" priority="1259">
      <formula>$D623=""</formula>
    </cfRule>
  </conditionalFormatting>
  <conditionalFormatting sqref="F624">
    <cfRule type="expression" dxfId="1266" priority="1258">
      <formula>$D623=""</formula>
    </cfRule>
  </conditionalFormatting>
  <conditionalFormatting sqref="B625:F625 H625:I625">
    <cfRule type="expression" dxfId="1265" priority="1257">
      <formula>$D625=""</formula>
    </cfRule>
  </conditionalFormatting>
  <conditionalFormatting sqref="F626">
    <cfRule type="expression" dxfId="1264" priority="1256">
      <formula>$D625=""</formula>
    </cfRule>
  </conditionalFormatting>
  <conditionalFormatting sqref="B627:F627 H627:I627">
    <cfRule type="expression" dxfId="1263" priority="1255">
      <formula>$D627=""</formula>
    </cfRule>
  </conditionalFormatting>
  <conditionalFormatting sqref="F628">
    <cfRule type="expression" dxfId="1262" priority="1254">
      <formula>$D627=""</formula>
    </cfRule>
  </conditionalFormatting>
  <conditionalFormatting sqref="B629:F629 H629:I629">
    <cfRule type="expression" dxfId="1261" priority="1253">
      <formula>$D629=""</formula>
    </cfRule>
  </conditionalFormatting>
  <conditionalFormatting sqref="F630">
    <cfRule type="expression" dxfId="1260" priority="1252">
      <formula>$D629=""</formula>
    </cfRule>
  </conditionalFormatting>
  <conditionalFormatting sqref="B631:F631 H631:I631">
    <cfRule type="expression" dxfId="1259" priority="1251">
      <formula>$D631=""</formula>
    </cfRule>
  </conditionalFormatting>
  <conditionalFormatting sqref="F632">
    <cfRule type="expression" dxfId="1258" priority="1250">
      <formula>$D631=""</formula>
    </cfRule>
  </conditionalFormatting>
  <conditionalFormatting sqref="B633:F633 H633:I633">
    <cfRule type="expression" dxfId="1257" priority="1249">
      <formula>$D633=""</formula>
    </cfRule>
  </conditionalFormatting>
  <conditionalFormatting sqref="F634">
    <cfRule type="expression" dxfId="1256" priority="1248">
      <formula>$D633=""</formula>
    </cfRule>
  </conditionalFormatting>
  <conditionalFormatting sqref="B635:F635 H635:I635">
    <cfRule type="expression" dxfId="1255" priority="1247">
      <formula>$D635=""</formula>
    </cfRule>
  </conditionalFormatting>
  <conditionalFormatting sqref="F636">
    <cfRule type="expression" dxfId="1254" priority="1246">
      <formula>$D635=""</formula>
    </cfRule>
  </conditionalFormatting>
  <conditionalFormatting sqref="B637:F637 H637:I637">
    <cfRule type="expression" dxfId="1253" priority="1245">
      <formula>$D637=""</formula>
    </cfRule>
  </conditionalFormatting>
  <conditionalFormatting sqref="F638">
    <cfRule type="expression" dxfId="1252" priority="1244">
      <formula>$D637=""</formula>
    </cfRule>
  </conditionalFormatting>
  <conditionalFormatting sqref="B639:F639 H639:I639">
    <cfRule type="expression" dxfId="1251" priority="1243">
      <formula>$D639=""</formula>
    </cfRule>
  </conditionalFormatting>
  <conditionalFormatting sqref="F640">
    <cfRule type="expression" dxfId="1250" priority="1242">
      <formula>$D639=""</formula>
    </cfRule>
  </conditionalFormatting>
  <conditionalFormatting sqref="B641:F641 H641:I641">
    <cfRule type="expression" dxfId="1249" priority="1241">
      <formula>$D641=""</formula>
    </cfRule>
  </conditionalFormatting>
  <conditionalFormatting sqref="F642">
    <cfRule type="expression" dxfId="1248" priority="1240">
      <formula>$D641=""</formula>
    </cfRule>
  </conditionalFormatting>
  <conditionalFormatting sqref="B643:F643 H643:I643">
    <cfRule type="expression" dxfId="1247" priority="1239">
      <formula>$D643=""</formula>
    </cfRule>
  </conditionalFormatting>
  <conditionalFormatting sqref="F644">
    <cfRule type="expression" dxfId="1246" priority="1238">
      <formula>$D643=""</formula>
    </cfRule>
  </conditionalFormatting>
  <conditionalFormatting sqref="B645:F645 H645:I645">
    <cfRule type="expression" dxfId="1245" priority="1237">
      <formula>$D645=""</formula>
    </cfRule>
  </conditionalFormatting>
  <conditionalFormatting sqref="F646">
    <cfRule type="expression" dxfId="1244" priority="1236">
      <formula>$D645=""</formula>
    </cfRule>
  </conditionalFormatting>
  <conditionalFormatting sqref="B647:F647 H647:I647">
    <cfRule type="expression" dxfId="1243" priority="1235">
      <formula>$D647=""</formula>
    </cfRule>
  </conditionalFormatting>
  <conditionalFormatting sqref="F648">
    <cfRule type="expression" dxfId="1242" priority="1234">
      <formula>$D647=""</formula>
    </cfRule>
  </conditionalFormatting>
  <conditionalFormatting sqref="B649:F649 H649:I649">
    <cfRule type="expression" dxfId="1241" priority="1233">
      <formula>$D649=""</formula>
    </cfRule>
  </conditionalFormatting>
  <conditionalFormatting sqref="F650">
    <cfRule type="expression" dxfId="1240" priority="1232">
      <formula>$D649=""</formula>
    </cfRule>
  </conditionalFormatting>
  <conditionalFormatting sqref="B651:F651 H651:I651">
    <cfRule type="expression" dxfId="1239" priority="1231">
      <formula>$D651=""</formula>
    </cfRule>
  </conditionalFormatting>
  <conditionalFormatting sqref="F652">
    <cfRule type="expression" dxfId="1238" priority="1230">
      <formula>$D651=""</formula>
    </cfRule>
  </conditionalFormatting>
  <conditionalFormatting sqref="B653:F653 H653:I653">
    <cfRule type="expression" dxfId="1237" priority="1229">
      <formula>$D653=""</formula>
    </cfRule>
  </conditionalFormatting>
  <conditionalFormatting sqref="F654">
    <cfRule type="expression" dxfId="1236" priority="1228">
      <formula>$D653=""</formula>
    </cfRule>
  </conditionalFormatting>
  <conditionalFormatting sqref="B655:F655 H655:I655">
    <cfRule type="expression" dxfId="1235" priority="1227">
      <formula>$D655=""</formula>
    </cfRule>
  </conditionalFormatting>
  <conditionalFormatting sqref="F656">
    <cfRule type="expression" dxfId="1234" priority="1226">
      <formula>$D655=""</formula>
    </cfRule>
  </conditionalFormatting>
  <conditionalFormatting sqref="B657:F657 H657:I657">
    <cfRule type="expression" dxfId="1233" priority="1225">
      <formula>$D657=""</formula>
    </cfRule>
  </conditionalFormatting>
  <conditionalFormatting sqref="F658">
    <cfRule type="expression" dxfId="1232" priority="1224">
      <formula>$D657=""</formula>
    </cfRule>
  </conditionalFormatting>
  <conditionalFormatting sqref="B659:F659 H659:I659">
    <cfRule type="expression" dxfId="1231" priority="1223">
      <formula>$D659=""</formula>
    </cfRule>
  </conditionalFormatting>
  <conditionalFormatting sqref="F660">
    <cfRule type="expression" dxfId="1230" priority="1222">
      <formula>$D659=""</formula>
    </cfRule>
  </conditionalFormatting>
  <conditionalFormatting sqref="B661:F661 H661:I661 I663 H665:I665 I667 H669:I669 I671">
    <cfRule type="expression" dxfId="1229" priority="1221">
      <formula>$D661=""</formula>
    </cfRule>
  </conditionalFormatting>
  <conditionalFormatting sqref="F662">
    <cfRule type="expression" dxfId="1228" priority="1220">
      <formula>$D661=""</formula>
    </cfRule>
  </conditionalFormatting>
  <conditionalFormatting sqref="B663:F663 H663 H667 H671">
    <cfRule type="expression" dxfId="1227" priority="1219">
      <formula>$D663=""</formula>
    </cfRule>
  </conditionalFormatting>
  <conditionalFormatting sqref="F664">
    <cfRule type="expression" dxfId="1226" priority="1218">
      <formula>$D663=""</formula>
    </cfRule>
  </conditionalFormatting>
  <conditionalFormatting sqref="B665:F665">
    <cfRule type="expression" dxfId="1225" priority="1217">
      <formula>$D665=""</formula>
    </cfRule>
  </conditionalFormatting>
  <conditionalFormatting sqref="F666">
    <cfRule type="expression" dxfId="1224" priority="1216">
      <formula>$D665=""</formula>
    </cfRule>
  </conditionalFormatting>
  <conditionalFormatting sqref="B667:F667">
    <cfRule type="expression" dxfId="1223" priority="1215">
      <formula>$D667=""</formula>
    </cfRule>
  </conditionalFormatting>
  <conditionalFormatting sqref="F668">
    <cfRule type="expression" dxfId="1222" priority="1214">
      <formula>$D667=""</formula>
    </cfRule>
  </conditionalFormatting>
  <conditionalFormatting sqref="B669:F669">
    <cfRule type="expression" dxfId="1221" priority="1213">
      <formula>$D669=""</formula>
    </cfRule>
  </conditionalFormatting>
  <conditionalFormatting sqref="F670">
    <cfRule type="expression" dxfId="1220" priority="1212">
      <formula>$D669=""</formula>
    </cfRule>
  </conditionalFormatting>
  <conditionalFormatting sqref="B671:F671">
    <cfRule type="expression" dxfId="1219" priority="1211">
      <formula>$D671=""</formula>
    </cfRule>
  </conditionalFormatting>
  <conditionalFormatting sqref="F672">
    <cfRule type="expression" dxfId="1218" priority="1210">
      <formula>$D671=""</formula>
    </cfRule>
  </conditionalFormatting>
  <conditionalFormatting sqref="B673:F673 H673:I673">
    <cfRule type="expression" dxfId="1217" priority="1209">
      <formula>$D673=""</formula>
    </cfRule>
  </conditionalFormatting>
  <conditionalFormatting sqref="F674">
    <cfRule type="expression" dxfId="1216" priority="1208">
      <formula>$D673=""</formula>
    </cfRule>
  </conditionalFormatting>
  <conditionalFormatting sqref="B675:F675 H675:I675">
    <cfRule type="expression" dxfId="1215" priority="1207">
      <formula>$D675=""</formula>
    </cfRule>
  </conditionalFormatting>
  <conditionalFormatting sqref="F676">
    <cfRule type="expression" dxfId="1214" priority="1206">
      <formula>$D675=""</formula>
    </cfRule>
  </conditionalFormatting>
  <conditionalFormatting sqref="B677:F677 H677:I677">
    <cfRule type="expression" dxfId="1213" priority="1205">
      <formula>$D677=""</formula>
    </cfRule>
  </conditionalFormatting>
  <conditionalFormatting sqref="F678">
    <cfRule type="expression" dxfId="1212" priority="1204">
      <formula>$D677=""</formula>
    </cfRule>
  </conditionalFormatting>
  <conditionalFormatting sqref="B679:F679 H679:I679">
    <cfRule type="expression" dxfId="1211" priority="1203">
      <formula>$D679=""</formula>
    </cfRule>
  </conditionalFormatting>
  <conditionalFormatting sqref="F680">
    <cfRule type="expression" dxfId="1210" priority="1202">
      <formula>$D679=""</formula>
    </cfRule>
  </conditionalFormatting>
  <conditionalFormatting sqref="B681:F681 H681:I681">
    <cfRule type="expression" dxfId="1209" priority="1201">
      <formula>$D681=""</formula>
    </cfRule>
  </conditionalFormatting>
  <conditionalFormatting sqref="F682">
    <cfRule type="expression" dxfId="1208" priority="1200">
      <formula>$D681=""</formula>
    </cfRule>
  </conditionalFormatting>
  <conditionalFormatting sqref="B683:F683 H683:I683">
    <cfRule type="expression" dxfId="1207" priority="1199">
      <formula>$D683=""</formula>
    </cfRule>
  </conditionalFormatting>
  <conditionalFormatting sqref="F684">
    <cfRule type="expression" dxfId="1206" priority="1198">
      <formula>$D683=""</formula>
    </cfRule>
  </conditionalFormatting>
  <conditionalFormatting sqref="B685:F685 H685:I685">
    <cfRule type="expression" dxfId="1205" priority="1197">
      <formula>$D685=""</formula>
    </cfRule>
  </conditionalFormatting>
  <conditionalFormatting sqref="F686">
    <cfRule type="expression" dxfId="1204" priority="1196">
      <formula>$D685=""</formula>
    </cfRule>
  </conditionalFormatting>
  <conditionalFormatting sqref="B687:F687 H687:I687">
    <cfRule type="expression" dxfId="1203" priority="1195">
      <formula>$D687=""</formula>
    </cfRule>
  </conditionalFormatting>
  <conditionalFormatting sqref="F688">
    <cfRule type="expression" dxfId="1202" priority="1194">
      <formula>$D687=""</formula>
    </cfRule>
  </conditionalFormatting>
  <conditionalFormatting sqref="B689:F689 H689:I689">
    <cfRule type="expression" dxfId="1201" priority="1193">
      <formula>$D689=""</formula>
    </cfRule>
  </conditionalFormatting>
  <conditionalFormatting sqref="F690">
    <cfRule type="expression" dxfId="1200" priority="1192">
      <formula>$D689=""</formula>
    </cfRule>
  </conditionalFormatting>
  <conditionalFormatting sqref="B691:F691 H691:I691">
    <cfRule type="expression" dxfId="1199" priority="1191">
      <formula>$D691=""</formula>
    </cfRule>
  </conditionalFormatting>
  <conditionalFormatting sqref="F692">
    <cfRule type="expression" dxfId="1198" priority="1190">
      <formula>$D691=""</formula>
    </cfRule>
  </conditionalFormatting>
  <conditionalFormatting sqref="B693:F693 H693:I693">
    <cfRule type="expression" dxfId="1197" priority="1189">
      <formula>$D693=""</formula>
    </cfRule>
  </conditionalFormatting>
  <conditionalFormatting sqref="F694">
    <cfRule type="expression" dxfId="1196" priority="1188">
      <formula>$D693=""</formula>
    </cfRule>
  </conditionalFormatting>
  <conditionalFormatting sqref="B695:F695 H695:I695">
    <cfRule type="expression" dxfId="1195" priority="1187">
      <formula>$D695=""</formula>
    </cfRule>
  </conditionalFormatting>
  <conditionalFormatting sqref="F696">
    <cfRule type="expression" dxfId="1194" priority="1186">
      <formula>$D695=""</formula>
    </cfRule>
  </conditionalFormatting>
  <conditionalFormatting sqref="B697:F697 H697:I697">
    <cfRule type="expression" dxfId="1193" priority="1185">
      <formula>$D697=""</formula>
    </cfRule>
  </conditionalFormatting>
  <conditionalFormatting sqref="F698">
    <cfRule type="expression" dxfId="1192" priority="1184">
      <formula>$D697=""</formula>
    </cfRule>
  </conditionalFormatting>
  <conditionalFormatting sqref="B699:F699 H699:I699">
    <cfRule type="expression" dxfId="1191" priority="1183">
      <formula>$D699=""</formula>
    </cfRule>
  </conditionalFormatting>
  <conditionalFormatting sqref="F700">
    <cfRule type="expression" dxfId="1190" priority="1182">
      <formula>$D699=""</formula>
    </cfRule>
  </conditionalFormatting>
  <conditionalFormatting sqref="B701:F701 H701:I701 I703 I705 I707 I709">
    <cfRule type="expression" dxfId="1189" priority="1181">
      <formula>$D701=""</formula>
    </cfRule>
  </conditionalFormatting>
  <conditionalFormatting sqref="F702">
    <cfRule type="expression" dxfId="1188" priority="1180">
      <formula>$D701=""</formula>
    </cfRule>
  </conditionalFormatting>
  <conditionalFormatting sqref="B703:F703">
    <cfRule type="expression" dxfId="1187" priority="1179">
      <formula>$D703=""</formula>
    </cfRule>
  </conditionalFormatting>
  <conditionalFormatting sqref="F704">
    <cfRule type="expression" dxfId="1186" priority="1178">
      <formula>$D703=""</formula>
    </cfRule>
  </conditionalFormatting>
  <conditionalFormatting sqref="B705:F705">
    <cfRule type="expression" dxfId="1185" priority="1177">
      <formula>$D705=""</formula>
    </cfRule>
  </conditionalFormatting>
  <conditionalFormatting sqref="F706">
    <cfRule type="expression" dxfId="1184" priority="1176">
      <formula>$D705=""</formula>
    </cfRule>
  </conditionalFormatting>
  <conditionalFormatting sqref="B707:F707">
    <cfRule type="expression" dxfId="1183" priority="1175">
      <formula>$D707=""</formula>
    </cfRule>
  </conditionalFormatting>
  <conditionalFormatting sqref="F708">
    <cfRule type="expression" dxfId="1182" priority="1174">
      <formula>$D707=""</formula>
    </cfRule>
  </conditionalFormatting>
  <conditionalFormatting sqref="B709:F709">
    <cfRule type="expression" dxfId="1181" priority="1173">
      <formula>$D709=""</formula>
    </cfRule>
  </conditionalFormatting>
  <conditionalFormatting sqref="F710">
    <cfRule type="expression" dxfId="1180" priority="1172">
      <formula>$D709=""</formula>
    </cfRule>
  </conditionalFormatting>
  <conditionalFormatting sqref="B711:F711 H711:I711">
    <cfRule type="expression" dxfId="1179" priority="1171">
      <formula>$D711=""</formula>
    </cfRule>
  </conditionalFormatting>
  <conditionalFormatting sqref="F712">
    <cfRule type="expression" dxfId="1178" priority="1170">
      <formula>$D711=""</formula>
    </cfRule>
  </conditionalFormatting>
  <conditionalFormatting sqref="B713:F713 H713:I713">
    <cfRule type="expression" dxfId="1177" priority="1169">
      <formula>$D713=""</formula>
    </cfRule>
  </conditionalFormatting>
  <conditionalFormatting sqref="F714">
    <cfRule type="expression" dxfId="1176" priority="1168">
      <formula>$D713=""</formula>
    </cfRule>
  </conditionalFormatting>
  <conditionalFormatting sqref="B715:F715 H715:I715">
    <cfRule type="expression" dxfId="1175" priority="1167">
      <formula>$D715=""</formula>
    </cfRule>
  </conditionalFormatting>
  <conditionalFormatting sqref="F716">
    <cfRule type="expression" dxfId="1174" priority="1166">
      <formula>$D715=""</formula>
    </cfRule>
  </conditionalFormatting>
  <conditionalFormatting sqref="B717:F717 H717:I717">
    <cfRule type="expression" dxfId="1173" priority="1165">
      <formula>$D717=""</formula>
    </cfRule>
  </conditionalFormatting>
  <conditionalFormatting sqref="F718">
    <cfRule type="expression" dxfId="1172" priority="1164">
      <formula>$D717=""</formula>
    </cfRule>
  </conditionalFormatting>
  <conditionalFormatting sqref="B719:F719 H719:I719">
    <cfRule type="expression" dxfId="1171" priority="1163">
      <formula>$D719=""</formula>
    </cfRule>
  </conditionalFormatting>
  <conditionalFormatting sqref="F720">
    <cfRule type="expression" dxfId="1170" priority="1162">
      <formula>$D719=""</formula>
    </cfRule>
  </conditionalFormatting>
  <conditionalFormatting sqref="B721:F721 H721:I721">
    <cfRule type="expression" dxfId="1169" priority="1161">
      <formula>$D721=""</formula>
    </cfRule>
  </conditionalFormatting>
  <conditionalFormatting sqref="F722">
    <cfRule type="expression" dxfId="1168" priority="1160">
      <formula>$D721=""</formula>
    </cfRule>
  </conditionalFormatting>
  <conditionalFormatting sqref="B723:F723 H723:I723">
    <cfRule type="expression" dxfId="1167" priority="1159">
      <formula>$D723=""</formula>
    </cfRule>
  </conditionalFormatting>
  <conditionalFormatting sqref="F724">
    <cfRule type="expression" dxfId="1166" priority="1158">
      <formula>$D723=""</formula>
    </cfRule>
  </conditionalFormatting>
  <conditionalFormatting sqref="B725:F725 H725:I725">
    <cfRule type="expression" dxfId="1165" priority="1157">
      <formula>$D725=""</formula>
    </cfRule>
  </conditionalFormatting>
  <conditionalFormatting sqref="F726">
    <cfRule type="expression" dxfId="1164" priority="1156">
      <formula>$D725=""</formula>
    </cfRule>
  </conditionalFormatting>
  <conditionalFormatting sqref="B727:F727 H727:I727">
    <cfRule type="expression" dxfId="1163" priority="1155">
      <formula>$D727=""</formula>
    </cfRule>
  </conditionalFormatting>
  <conditionalFormatting sqref="F728">
    <cfRule type="expression" dxfId="1162" priority="1154">
      <formula>$D727=""</formula>
    </cfRule>
  </conditionalFormatting>
  <conditionalFormatting sqref="B729:F729 H729:I729">
    <cfRule type="expression" dxfId="1161" priority="1153">
      <formula>$D729=""</formula>
    </cfRule>
  </conditionalFormatting>
  <conditionalFormatting sqref="F730">
    <cfRule type="expression" dxfId="1160" priority="1152">
      <formula>$D729=""</formula>
    </cfRule>
  </conditionalFormatting>
  <conditionalFormatting sqref="B731:F731 H731:I731">
    <cfRule type="expression" dxfId="1159" priority="1151">
      <formula>$D731=""</formula>
    </cfRule>
  </conditionalFormatting>
  <conditionalFormatting sqref="F732">
    <cfRule type="expression" dxfId="1158" priority="1150">
      <formula>$D731=""</formula>
    </cfRule>
  </conditionalFormatting>
  <conditionalFormatting sqref="B733:F733 H733:I733">
    <cfRule type="expression" dxfId="1157" priority="1149">
      <formula>$D733=""</formula>
    </cfRule>
  </conditionalFormatting>
  <conditionalFormatting sqref="F734">
    <cfRule type="expression" dxfId="1156" priority="1148">
      <formula>$D733=""</formula>
    </cfRule>
  </conditionalFormatting>
  <conditionalFormatting sqref="B735:F735 H735:I735">
    <cfRule type="expression" dxfId="1155" priority="1147">
      <formula>$D735=""</formula>
    </cfRule>
  </conditionalFormatting>
  <conditionalFormatting sqref="F736">
    <cfRule type="expression" dxfId="1154" priority="1146">
      <formula>$D735=""</formula>
    </cfRule>
  </conditionalFormatting>
  <conditionalFormatting sqref="B737:F737 H737:I737">
    <cfRule type="expression" dxfId="1153" priority="1145">
      <formula>$D737=""</formula>
    </cfRule>
  </conditionalFormatting>
  <conditionalFormatting sqref="F738">
    <cfRule type="expression" dxfId="1152" priority="1144">
      <formula>$D737=""</formula>
    </cfRule>
  </conditionalFormatting>
  <conditionalFormatting sqref="B739:F739 H739:I739">
    <cfRule type="expression" dxfId="1151" priority="1143">
      <formula>$D739=""</formula>
    </cfRule>
  </conditionalFormatting>
  <conditionalFormatting sqref="F740">
    <cfRule type="expression" dxfId="1150" priority="1142">
      <formula>$D739=""</formula>
    </cfRule>
  </conditionalFormatting>
  <conditionalFormatting sqref="B741:F741 H741:I741 I743 I745 I747 I749">
    <cfRule type="expression" dxfId="1149" priority="1141">
      <formula>$D741=""</formula>
    </cfRule>
  </conditionalFormatting>
  <conditionalFormatting sqref="F742">
    <cfRule type="expression" dxfId="1148" priority="1140">
      <formula>$D741=""</formula>
    </cfRule>
  </conditionalFormatting>
  <conditionalFormatting sqref="B743:F743 H743">
    <cfRule type="expression" dxfId="1147" priority="1139">
      <formula>$D743=""</formula>
    </cfRule>
  </conditionalFormatting>
  <conditionalFormatting sqref="F744">
    <cfRule type="expression" dxfId="1146" priority="1138">
      <formula>$D743=""</formula>
    </cfRule>
  </conditionalFormatting>
  <conditionalFormatting sqref="B745:F745 H745">
    <cfRule type="expression" dxfId="1145" priority="1137">
      <formula>$D745=""</formula>
    </cfRule>
  </conditionalFormatting>
  <conditionalFormatting sqref="F746">
    <cfRule type="expression" dxfId="1144" priority="1136">
      <formula>$D745=""</formula>
    </cfRule>
  </conditionalFormatting>
  <conditionalFormatting sqref="B747:F747 H747">
    <cfRule type="expression" dxfId="1143" priority="1135">
      <formula>$D747=""</formula>
    </cfRule>
  </conditionalFormatting>
  <conditionalFormatting sqref="F748">
    <cfRule type="expression" dxfId="1142" priority="1134">
      <formula>$D747=""</formula>
    </cfRule>
  </conditionalFormatting>
  <conditionalFormatting sqref="B749:F749 H749">
    <cfRule type="expression" dxfId="1141" priority="1133">
      <formula>$D749=""</formula>
    </cfRule>
  </conditionalFormatting>
  <conditionalFormatting sqref="F750">
    <cfRule type="expression" dxfId="1140" priority="1132">
      <formula>$D749=""</formula>
    </cfRule>
  </conditionalFormatting>
  <conditionalFormatting sqref="B751:F751 H751:I751">
    <cfRule type="expression" dxfId="1139" priority="1131">
      <formula>$D751=""</formula>
    </cfRule>
  </conditionalFormatting>
  <conditionalFormatting sqref="F752">
    <cfRule type="expression" dxfId="1138" priority="1130">
      <formula>$D751=""</formula>
    </cfRule>
  </conditionalFormatting>
  <conditionalFormatting sqref="B753:F753 H753:I753">
    <cfRule type="expression" dxfId="1137" priority="1129">
      <formula>$D753=""</formula>
    </cfRule>
  </conditionalFormatting>
  <conditionalFormatting sqref="F754">
    <cfRule type="expression" dxfId="1136" priority="1128">
      <formula>$D753=""</formula>
    </cfRule>
  </conditionalFormatting>
  <conditionalFormatting sqref="B755:F755 H755:I755">
    <cfRule type="expression" dxfId="1135" priority="1127">
      <formula>$D755=""</formula>
    </cfRule>
  </conditionalFormatting>
  <conditionalFormatting sqref="F756">
    <cfRule type="expression" dxfId="1134" priority="1126">
      <formula>$D755=""</formula>
    </cfRule>
  </conditionalFormatting>
  <conditionalFormatting sqref="B757:F757 H757:I757">
    <cfRule type="expression" dxfId="1133" priority="1125">
      <formula>$D757=""</formula>
    </cfRule>
  </conditionalFormatting>
  <conditionalFormatting sqref="F758">
    <cfRule type="expression" dxfId="1132" priority="1124">
      <formula>$D757=""</formula>
    </cfRule>
  </conditionalFormatting>
  <conditionalFormatting sqref="B759:F759 H759:I759">
    <cfRule type="expression" dxfId="1131" priority="1123">
      <formula>$D759=""</formula>
    </cfRule>
  </conditionalFormatting>
  <conditionalFormatting sqref="F760">
    <cfRule type="expression" dxfId="1130" priority="1122">
      <formula>$D759=""</formula>
    </cfRule>
  </conditionalFormatting>
  <conditionalFormatting sqref="B761:F761 H761:I761">
    <cfRule type="expression" dxfId="1129" priority="1121">
      <formula>$D761=""</formula>
    </cfRule>
  </conditionalFormatting>
  <conditionalFormatting sqref="F762">
    <cfRule type="expression" dxfId="1128" priority="1120">
      <formula>$D761=""</formula>
    </cfRule>
  </conditionalFormatting>
  <conditionalFormatting sqref="B763:F763 H763:I763">
    <cfRule type="expression" dxfId="1127" priority="1119">
      <formula>$D763=""</formula>
    </cfRule>
  </conditionalFormatting>
  <conditionalFormatting sqref="F764">
    <cfRule type="expression" dxfId="1126" priority="1118">
      <formula>$D763=""</formula>
    </cfRule>
  </conditionalFormatting>
  <conditionalFormatting sqref="B765:F765 H765:I765">
    <cfRule type="expression" dxfId="1125" priority="1117">
      <formula>$D765=""</formula>
    </cfRule>
  </conditionalFormatting>
  <conditionalFormatting sqref="F766">
    <cfRule type="expression" dxfId="1124" priority="1116">
      <formula>$D765=""</formula>
    </cfRule>
  </conditionalFormatting>
  <conditionalFormatting sqref="B767:F767 H767:I767">
    <cfRule type="expression" dxfId="1123" priority="1115">
      <formula>$D767=""</formula>
    </cfRule>
  </conditionalFormatting>
  <conditionalFormatting sqref="F768">
    <cfRule type="expression" dxfId="1122" priority="1114">
      <formula>$D767=""</formula>
    </cfRule>
  </conditionalFormatting>
  <conditionalFormatting sqref="B769:F769 H769:I769">
    <cfRule type="expression" dxfId="1121" priority="1113">
      <formula>$D769=""</formula>
    </cfRule>
  </conditionalFormatting>
  <conditionalFormatting sqref="F770">
    <cfRule type="expression" dxfId="1120" priority="1112">
      <formula>$D769=""</formula>
    </cfRule>
  </conditionalFormatting>
  <conditionalFormatting sqref="B771:F771 H771:I771">
    <cfRule type="expression" dxfId="1119" priority="1111">
      <formula>$D771=""</formula>
    </cfRule>
  </conditionalFormatting>
  <conditionalFormatting sqref="F772">
    <cfRule type="expression" dxfId="1118" priority="1110">
      <formula>$D771=""</formula>
    </cfRule>
  </conditionalFormatting>
  <conditionalFormatting sqref="B773:F773 H773:I773">
    <cfRule type="expression" dxfId="1117" priority="1109">
      <formula>$D773=""</formula>
    </cfRule>
  </conditionalFormatting>
  <conditionalFormatting sqref="F774">
    <cfRule type="expression" dxfId="1116" priority="1108">
      <formula>$D773=""</formula>
    </cfRule>
  </conditionalFormatting>
  <conditionalFormatting sqref="B775:F775 H775:I775">
    <cfRule type="expression" dxfId="1115" priority="1107">
      <formula>$D775=""</formula>
    </cfRule>
  </conditionalFormatting>
  <conditionalFormatting sqref="F776">
    <cfRule type="expression" dxfId="1114" priority="1106">
      <formula>$D775=""</formula>
    </cfRule>
  </conditionalFormatting>
  <conditionalFormatting sqref="B777:F777 H777:I777">
    <cfRule type="expression" dxfId="1113" priority="1105">
      <formula>$D777=""</formula>
    </cfRule>
  </conditionalFormatting>
  <conditionalFormatting sqref="F778">
    <cfRule type="expression" dxfId="1112" priority="1104">
      <formula>$D777=""</formula>
    </cfRule>
  </conditionalFormatting>
  <conditionalFormatting sqref="B779:F779 H779:I779">
    <cfRule type="expression" dxfId="1111" priority="1103">
      <formula>$D779=""</formula>
    </cfRule>
  </conditionalFormatting>
  <conditionalFormatting sqref="F780">
    <cfRule type="expression" dxfId="1110" priority="1102">
      <formula>$D779=""</formula>
    </cfRule>
  </conditionalFormatting>
  <conditionalFormatting sqref="B781:F781">
    <cfRule type="expression" dxfId="1109" priority="1101">
      <formula>$D781=""</formula>
    </cfRule>
  </conditionalFormatting>
  <conditionalFormatting sqref="F782">
    <cfRule type="expression" dxfId="1108" priority="1100">
      <formula>$D781=""</formula>
    </cfRule>
  </conditionalFormatting>
  <conditionalFormatting sqref="B783:F783">
    <cfRule type="expression" dxfId="1107" priority="1099">
      <formula>$D783=""</formula>
    </cfRule>
  </conditionalFormatting>
  <conditionalFormatting sqref="F784">
    <cfRule type="expression" dxfId="1106" priority="1098">
      <formula>$D783=""</formula>
    </cfRule>
  </conditionalFormatting>
  <conditionalFormatting sqref="B785:F785">
    <cfRule type="expression" dxfId="1105" priority="1097">
      <formula>$D785=""</formula>
    </cfRule>
  </conditionalFormatting>
  <conditionalFormatting sqref="F786">
    <cfRule type="expression" dxfId="1104" priority="1096">
      <formula>$D785=""</formula>
    </cfRule>
  </conditionalFormatting>
  <conditionalFormatting sqref="B787:F787">
    <cfRule type="expression" dxfId="1103" priority="1095">
      <formula>$D787=""</formula>
    </cfRule>
  </conditionalFormatting>
  <conditionalFormatting sqref="F788">
    <cfRule type="expression" dxfId="1102" priority="1094">
      <formula>$D787=""</formula>
    </cfRule>
  </conditionalFormatting>
  <conditionalFormatting sqref="B789:F789">
    <cfRule type="expression" dxfId="1101" priority="1093">
      <formula>$D789=""</formula>
    </cfRule>
  </conditionalFormatting>
  <conditionalFormatting sqref="F790">
    <cfRule type="expression" dxfId="1100" priority="1092">
      <formula>$D789=""</formula>
    </cfRule>
  </conditionalFormatting>
  <conditionalFormatting sqref="B791:F791">
    <cfRule type="expression" dxfId="1099" priority="1091">
      <formula>$D791=""</formula>
    </cfRule>
  </conditionalFormatting>
  <conditionalFormatting sqref="F792">
    <cfRule type="expression" dxfId="1098" priority="1090">
      <formula>$D791=""</formula>
    </cfRule>
  </conditionalFormatting>
  <conditionalFormatting sqref="B793:F793 H793:I793">
    <cfRule type="expression" dxfId="1097" priority="1089">
      <formula>$D793=""</formula>
    </cfRule>
  </conditionalFormatting>
  <conditionalFormatting sqref="F794">
    <cfRule type="expression" dxfId="1096" priority="1088">
      <formula>$D793=""</formula>
    </cfRule>
  </conditionalFormatting>
  <conditionalFormatting sqref="B795:F795 H795:I795">
    <cfRule type="expression" dxfId="1095" priority="1087">
      <formula>$D795=""</formula>
    </cfRule>
  </conditionalFormatting>
  <conditionalFormatting sqref="F796">
    <cfRule type="expression" dxfId="1094" priority="1086">
      <formula>$D795=""</formula>
    </cfRule>
  </conditionalFormatting>
  <conditionalFormatting sqref="B797:F797 H797:I797">
    <cfRule type="expression" dxfId="1093" priority="1085">
      <formula>$D797=""</formula>
    </cfRule>
  </conditionalFormatting>
  <conditionalFormatting sqref="F798">
    <cfRule type="expression" dxfId="1092" priority="1084">
      <formula>$D797=""</formula>
    </cfRule>
  </conditionalFormatting>
  <conditionalFormatting sqref="B799:F799 H799:I799">
    <cfRule type="expression" dxfId="1091" priority="1083">
      <formula>$D799=""</formula>
    </cfRule>
  </conditionalFormatting>
  <conditionalFormatting sqref="F800">
    <cfRule type="expression" dxfId="1090" priority="1082">
      <formula>$D799=""</formula>
    </cfRule>
  </conditionalFormatting>
  <conditionalFormatting sqref="B801:F801 H801:I801">
    <cfRule type="expression" dxfId="1089" priority="1081">
      <formula>$D801=""</formula>
    </cfRule>
  </conditionalFormatting>
  <conditionalFormatting sqref="F802">
    <cfRule type="expression" dxfId="1088" priority="1080">
      <formula>$D801=""</formula>
    </cfRule>
  </conditionalFormatting>
  <conditionalFormatting sqref="B803:F803 H803:I803">
    <cfRule type="expression" dxfId="1087" priority="1079">
      <formula>$D803=""</formula>
    </cfRule>
  </conditionalFormatting>
  <conditionalFormatting sqref="F804">
    <cfRule type="expression" dxfId="1086" priority="1078">
      <formula>$D803=""</formula>
    </cfRule>
  </conditionalFormatting>
  <conditionalFormatting sqref="B805:F805 H805:I805">
    <cfRule type="expression" dxfId="1085" priority="1077">
      <formula>$D805=""</formula>
    </cfRule>
  </conditionalFormatting>
  <conditionalFormatting sqref="F806">
    <cfRule type="expression" dxfId="1084" priority="1076">
      <formula>$D805=""</formula>
    </cfRule>
  </conditionalFormatting>
  <conditionalFormatting sqref="B807:F807 H807:I807">
    <cfRule type="expression" dxfId="1083" priority="1075">
      <formula>$D807=""</formula>
    </cfRule>
  </conditionalFormatting>
  <conditionalFormatting sqref="F808">
    <cfRule type="expression" dxfId="1082" priority="1074">
      <formula>$D807=""</formula>
    </cfRule>
  </conditionalFormatting>
  <conditionalFormatting sqref="B809:F809 H809:I809">
    <cfRule type="expression" dxfId="1081" priority="1073">
      <formula>$D809=""</formula>
    </cfRule>
  </conditionalFormatting>
  <conditionalFormatting sqref="F810">
    <cfRule type="expression" dxfId="1080" priority="1072">
      <formula>$D809=""</formula>
    </cfRule>
  </conditionalFormatting>
  <conditionalFormatting sqref="B811:F811 H811:I811">
    <cfRule type="expression" dxfId="1079" priority="1071">
      <formula>$D811=""</formula>
    </cfRule>
  </conditionalFormatting>
  <conditionalFormatting sqref="F812">
    <cfRule type="expression" dxfId="1078" priority="1070">
      <formula>$D811=""</formula>
    </cfRule>
  </conditionalFormatting>
  <conditionalFormatting sqref="B813:F813 H813:I813">
    <cfRule type="expression" dxfId="1077" priority="1069">
      <formula>$D813=""</formula>
    </cfRule>
  </conditionalFormatting>
  <conditionalFormatting sqref="F814">
    <cfRule type="expression" dxfId="1076" priority="1068">
      <formula>$D813=""</formula>
    </cfRule>
  </conditionalFormatting>
  <conditionalFormatting sqref="B815:F815 H815:I815">
    <cfRule type="expression" dxfId="1075" priority="1067">
      <formula>$D815=""</formula>
    </cfRule>
  </conditionalFormatting>
  <conditionalFormatting sqref="F816">
    <cfRule type="expression" dxfId="1074" priority="1066">
      <formula>$D815=""</formula>
    </cfRule>
  </conditionalFormatting>
  <conditionalFormatting sqref="B817:F817 H817:I817">
    <cfRule type="expression" dxfId="1073" priority="1065">
      <formula>$D817=""</formula>
    </cfRule>
  </conditionalFormatting>
  <conditionalFormatting sqref="F818">
    <cfRule type="expression" dxfId="1072" priority="1064">
      <formula>$D817=""</formula>
    </cfRule>
  </conditionalFormatting>
  <conditionalFormatting sqref="B819:F819 H819:I819">
    <cfRule type="expression" dxfId="1071" priority="1063">
      <formula>$D819=""</formula>
    </cfRule>
  </conditionalFormatting>
  <conditionalFormatting sqref="F820">
    <cfRule type="expression" dxfId="1070" priority="1062">
      <formula>$D819=""</formula>
    </cfRule>
  </conditionalFormatting>
  <conditionalFormatting sqref="B821:F821">
    <cfRule type="expression" dxfId="1069" priority="1061">
      <formula>$D821=""</formula>
    </cfRule>
  </conditionalFormatting>
  <conditionalFormatting sqref="F822">
    <cfRule type="expression" dxfId="1068" priority="1060">
      <formula>$D821=""</formula>
    </cfRule>
  </conditionalFormatting>
  <conditionalFormatting sqref="B823:F823">
    <cfRule type="expression" dxfId="1067" priority="1059">
      <formula>$D823=""</formula>
    </cfRule>
  </conditionalFormatting>
  <conditionalFormatting sqref="F824">
    <cfRule type="expression" dxfId="1066" priority="1058">
      <formula>$D823=""</formula>
    </cfRule>
  </conditionalFormatting>
  <conditionalFormatting sqref="B825:F825">
    <cfRule type="expression" dxfId="1065" priority="1057">
      <formula>$D825=""</formula>
    </cfRule>
  </conditionalFormatting>
  <conditionalFormatting sqref="F826">
    <cfRule type="expression" dxfId="1064" priority="1056">
      <formula>$D825=""</formula>
    </cfRule>
  </conditionalFormatting>
  <conditionalFormatting sqref="B827:F827 H827:I827">
    <cfRule type="expression" dxfId="1063" priority="1055">
      <formula>$D827=""</formula>
    </cfRule>
  </conditionalFormatting>
  <conditionalFormatting sqref="F828">
    <cfRule type="expression" dxfId="1062" priority="1054">
      <formula>$D827=""</formula>
    </cfRule>
  </conditionalFormatting>
  <conditionalFormatting sqref="B829:F829 H829:I829">
    <cfRule type="expression" dxfId="1061" priority="1053">
      <formula>$D829=""</formula>
    </cfRule>
  </conditionalFormatting>
  <conditionalFormatting sqref="F830">
    <cfRule type="expression" dxfId="1060" priority="1052">
      <formula>$D829=""</formula>
    </cfRule>
  </conditionalFormatting>
  <conditionalFormatting sqref="B831:F831 H831:I831">
    <cfRule type="expression" dxfId="1059" priority="1051">
      <formula>$D831=""</formula>
    </cfRule>
  </conditionalFormatting>
  <conditionalFormatting sqref="F832">
    <cfRule type="expression" dxfId="1058" priority="1050">
      <formula>$D831=""</formula>
    </cfRule>
  </conditionalFormatting>
  <conditionalFormatting sqref="B833:F833 H833:I833">
    <cfRule type="expression" dxfId="1057" priority="1049">
      <formula>$D833=""</formula>
    </cfRule>
  </conditionalFormatting>
  <conditionalFormatting sqref="F834">
    <cfRule type="expression" dxfId="1056" priority="1048">
      <formula>$D833=""</formula>
    </cfRule>
  </conditionalFormatting>
  <conditionalFormatting sqref="B835:F835 H835:I835">
    <cfRule type="expression" dxfId="1055" priority="1047">
      <formula>$D835=""</formula>
    </cfRule>
  </conditionalFormatting>
  <conditionalFormatting sqref="F836">
    <cfRule type="expression" dxfId="1054" priority="1046">
      <formula>$D835=""</formula>
    </cfRule>
  </conditionalFormatting>
  <conditionalFormatting sqref="B837:F837 H837:I837">
    <cfRule type="expression" dxfId="1053" priority="1045">
      <formula>$D837=""</formula>
    </cfRule>
  </conditionalFormatting>
  <conditionalFormatting sqref="F838">
    <cfRule type="expression" dxfId="1052" priority="1044">
      <formula>$D837=""</formula>
    </cfRule>
  </conditionalFormatting>
  <conditionalFormatting sqref="B839:F839 H839:I839">
    <cfRule type="expression" dxfId="1051" priority="1043">
      <formula>$D839=""</formula>
    </cfRule>
  </conditionalFormatting>
  <conditionalFormatting sqref="F840">
    <cfRule type="expression" dxfId="1050" priority="1042">
      <formula>$D839=""</formula>
    </cfRule>
  </conditionalFormatting>
  <conditionalFormatting sqref="B841:F841 H841:I841">
    <cfRule type="expression" dxfId="1049" priority="1041">
      <formula>$D841=""</formula>
    </cfRule>
  </conditionalFormatting>
  <conditionalFormatting sqref="F842">
    <cfRule type="expression" dxfId="1048" priority="1040">
      <formula>$D841=""</formula>
    </cfRule>
  </conditionalFormatting>
  <conditionalFormatting sqref="B843:F843 H843:I843">
    <cfRule type="expression" dxfId="1047" priority="1039">
      <formula>$D843=""</formula>
    </cfRule>
  </conditionalFormatting>
  <conditionalFormatting sqref="F844">
    <cfRule type="expression" dxfId="1046" priority="1038">
      <formula>$D843=""</formula>
    </cfRule>
  </conditionalFormatting>
  <conditionalFormatting sqref="B845:F845 H845:I845">
    <cfRule type="expression" dxfId="1045" priority="1037">
      <formula>$D845=""</formula>
    </cfRule>
  </conditionalFormatting>
  <conditionalFormatting sqref="F846">
    <cfRule type="expression" dxfId="1044" priority="1036">
      <formula>$D845=""</formula>
    </cfRule>
  </conditionalFormatting>
  <conditionalFormatting sqref="B847:F847 H847:I847">
    <cfRule type="expression" dxfId="1043" priority="1035">
      <formula>$D847=""</formula>
    </cfRule>
  </conditionalFormatting>
  <conditionalFormatting sqref="F848">
    <cfRule type="expression" dxfId="1042" priority="1034">
      <formula>$D847=""</formula>
    </cfRule>
  </conditionalFormatting>
  <conditionalFormatting sqref="B849:F849 H849:I849">
    <cfRule type="expression" dxfId="1041" priority="1033">
      <formula>$D849=""</formula>
    </cfRule>
  </conditionalFormatting>
  <conditionalFormatting sqref="F850">
    <cfRule type="expression" dxfId="1040" priority="1032">
      <formula>$D849=""</formula>
    </cfRule>
  </conditionalFormatting>
  <conditionalFormatting sqref="B851:F851 H851:I851">
    <cfRule type="expression" dxfId="1039" priority="1031">
      <formula>$D851=""</formula>
    </cfRule>
  </conditionalFormatting>
  <conditionalFormatting sqref="F852">
    <cfRule type="expression" dxfId="1038" priority="1030">
      <formula>$D851=""</formula>
    </cfRule>
  </conditionalFormatting>
  <conditionalFormatting sqref="B853:F853 H853:I853">
    <cfRule type="expression" dxfId="1037" priority="1029">
      <formula>$D853=""</formula>
    </cfRule>
  </conditionalFormatting>
  <conditionalFormatting sqref="F854">
    <cfRule type="expression" dxfId="1036" priority="1028">
      <formula>$D853=""</formula>
    </cfRule>
  </conditionalFormatting>
  <conditionalFormatting sqref="B855:F855 H855:I855">
    <cfRule type="expression" dxfId="1035" priority="1027">
      <formula>$D855=""</formula>
    </cfRule>
  </conditionalFormatting>
  <conditionalFormatting sqref="F856">
    <cfRule type="expression" dxfId="1034" priority="1026">
      <formula>$D855=""</formula>
    </cfRule>
  </conditionalFormatting>
  <conditionalFormatting sqref="B857:F857 H857:I857">
    <cfRule type="expression" dxfId="1033" priority="1025">
      <formula>$D857=""</formula>
    </cfRule>
  </conditionalFormatting>
  <conditionalFormatting sqref="F858">
    <cfRule type="expression" dxfId="1032" priority="1024">
      <formula>$D857=""</formula>
    </cfRule>
  </conditionalFormatting>
  <conditionalFormatting sqref="B859:F859 H859:I859">
    <cfRule type="expression" dxfId="1031" priority="1023">
      <formula>$D859=""</formula>
    </cfRule>
  </conditionalFormatting>
  <conditionalFormatting sqref="F860">
    <cfRule type="expression" dxfId="1030" priority="1022">
      <formula>$D859=""</formula>
    </cfRule>
  </conditionalFormatting>
  <conditionalFormatting sqref="B861:F861">
    <cfRule type="expression" dxfId="1029" priority="1021">
      <formula>$D861=""</formula>
    </cfRule>
  </conditionalFormatting>
  <conditionalFormatting sqref="F862">
    <cfRule type="expression" dxfId="1028" priority="1020">
      <formula>$D861=""</formula>
    </cfRule>
  </conditionalFormatting>
  <conditionalFormatting sqref="B863:F863">
    <cfRule type="expression" dxfId="1027" priority="1019">
      <formula>$D863=""</formula>
    </cfRule>
  </conditionalFormatting>
  <conditionalFormatting sqref="F864">
    <cfRule type="expression" dxfId="1026" priority="1018">
      <formula>$D863=""</formula>
    </cfRule>
  </conditionalFormatting>
  <conditionalFormatting sqref="B865:F865">
    <cfRule type="expression" dxfId="1025" priority="1017">
      <formula>$D865=""</formula>
    </cfRule>
  </conditionalFormatting>
  <conditionalFormatting sqref="F866">
    <cfRule type="expression" dxfId="1024" priority="1016">
      <formula>$D865=""</formula>
    </cfRule>
  </conditionalFormatting>
  <conditionalFormatting sqref="B867:F867">
    <cfRule type="expression" dxfId="1023" priority="1015">
      <formula>$D867=""</formula>
    </cfRule>
  </conditionalFormatting>
  <conditionalFormatting sqref="F868">
    <cfRule type="expression" dxfId="1022" priority="1014">
      <formula>$D867=""</formula>
    </cfRule>
  </conditionalFormatting>
  <conditionalFormatting sqref="B869:F869">
    <cfRule type="expression" dxfId="1021" priority="1013">
      <formula>$D869=""</formula>
    </cfRule>
  </conditionalFormatting>
  <conditionalFormatting sqref="F870">
    <cfRule type="expression" dxfId="1020" priority="1012">
      <formula>$D869=""</formula>
    </cfRule>
  </conditionalFormatting>
  <conditionalFormatting sqref="B871:F871">
    <cfRule type="expression" dxfId="1019" priority="1011">
      <formula>$D871=""</formula>
    </cfRule>
  </conditionalFormatting>
  <conditionalFormatting sqref="F872">
    <cfRule type="expression" dxfId="1018" priority="1010">
      <formula>$D871=""</formula>
    </cfRule>
  </conditionalFormatting>
  <conditionalFormatting sqref="B873:F873 H873:I873">
    <cfRule type="expression" dxfId="1017" priority="1009">
      <formula>$D873=""</formula>
    </cfRule>
  </conditionalFormatting>
  <conditionalFormatting sqref="F874">
    <cfRule type="expression" dxfId="1016" priority="1008">
      <formula>$D873=""</formula>
    </cfRule>
  </conditionalFormatting>
  <conditionalFormatting sqref="B875:F875 H875:I875">
    <cfRule type="expression" dxfId="1015" priority="1007">
      <formula>$D875=""</formula>
    </cfRule>
  </conditionalFormatting>
  <conditionalFormatting sqref="F876">
    <cfRule type="expression" dxfId="1014" priority="1006">
      <formula>$D875=""</formula>
    </cfRule>
  </conditionalFormatting>
  <conditionalFormatting sqref="B877:F877 H877:I877">
    <cfRule type="expression" dxfId="1013" priority="1005">
      <formula>$D877=""</formula>
    </cfRule>
  </conditionalFormatting>
  <conditionalFormatting sqref="F878">
    <cfRule type="expression" dxfId="1012" priority="1004">
      <formula>$D877=""</formula>
    </cfRule>
  </conditionalFormatting>
  <conditionalFormatting sqref="B879:F879 H879:I879">
    <cfRule type="expression" dxfId="1011" priority="1003">
      <formula>$D879=""</formula>
    </cfRule>
  </conditionalFormatting>
  <conditionalFormatting sqref="F880">
    <cfRule type="expression" dxfId="1010" priority="1002">
      <formula>$D879=""</formula>
    </cfRule>
  </conditionalFormatting>
  <conditionalFormatting sqref="B881:F881 H881:I881">
    <cfRule type="expression" dxfId="1009" priority="1001">
      <formula>$D881=""</formula>
    </cfRule>
  </conditionalFormatting>
  <conditionalFormatting sqref="F882">
    <cfRule type="expression" dxfId="1008" priority="1000">
      <formula>$D881=""</formula>
    </cfRule>
  </conditionalFormatting>
  <conditionalFormatting sqref="B883:F883 H883:I883">
    <cfRule type="expression" dxfId="1007" priority="999">
      <formula>$D883=""</formula>
    </cfRule>
  </conditionalFormatting>
  <conditionalFormatting sqref="F884">
    <cfRule type="expression" dxfId="1006" priority="998">
      <formula>$D883=""</formula>
    </cfRule>
  </conditionalFormatting>
  <conditionalFormatting sqref="B885:F885 H885:I885">
    <cfRule type="expression" dxfId="1005" priority="997">
      <formula>$D885=""</formula>
    </cfRule>
  </conditionalFormatting>
  <conditionalFormatting sqref="F886">
    <cfRule type="expression" dxfId="1004" priority="996">
      <formula>$D885=""</formula>
    </cfRule>
  </conditionalFormatting>
  <conditionalFormatting sqref="B887:F887 H887:I887">
    <cfRule type="expression" dxfId="1003" priority="995">
      <formula>$D887=""</formula>
    </cfRule>
  </conditionalFormatting>
  <conditionalFormatting sqref="F888">
    <cfRule type="expression" dxfId="1002" priority="994">
      <formula>$D887=""</formula>
    </cfRule>
  </conditionalFormatting>
  <conditionalFormatting sqref="B889:F889 H889:I889">
    <cfRule type="expression" dxfId="1001" priority="993">
      <formula>$D889=""</formula>
    </cfRule>
  </conditionalFormatting>
  <conditionalFormatting sqref="F890">
    <cfRule type="expression" dxfId="1000" priority="992">
      <formula>$D889=""</formula>
    </cfRule>
  </conditionalFormatting>
  <conditionalFormatting sqref="B891:F891 H891:I891">
    <cfRule type="expression" dxfId="999" priority="991">
      <formula>$D891=""</formula>
    </cfRule>
  </conditionalFormatting>
  <conditionalFormatting sqref="F892">
    <cfRule type="expression" dxfId="998" priority="990">
      <formula>$D891=""</formula>
    </cfRule>
  </conditionalFormatting>
  <conditionalFormatting sqref="B893:F893 H893:I893">
    <cfRule type="expression" dxfId="997" priority="989">
      <formula>$D893=""</formula>
    </cfRule>
  </conditionalFormatting>
  <conditionalFormatting sqref="F894">
    <cfRule type="expression" dxfId="996" priority="988">
      <formula>$D893=""</formula>
    </cfRule>
  </conditionalFormatting>
  <conditionalFormatting sqref="B895:F895 H895:I895">
    <cfRule type="expression" dxfId="995" priority="987">
      <formula>$D895=""</formula>
    </cfRule>
  </conditionalFormatting>
  <conditionalFormatting sqref="F896">
    <cfRule type="expression" dxfId="994" priority="986">
      <formula>$D895=""</formula>
    </cfRule>
  </conditionalFormatting>
  <conditionalFormatting sqref="B897:F897 H897:I897">
    <cfRule type="expression" dxfId="993" priority="985">
      <formula>$D897=""</formula>
    </cfRule>
  </conditionalFormatting>
  <conditionalFormatting sqref="F898">
    <cfRule type="expression" dxfId="992" priority="984">
      <formula>$D897=""</formula>
    </cfRule>
  </conditionalFormatting>
  <conditionalFormatting sqref="B899:F899 H899:I899">
    <cfRule type="expression" dxfId="991" priority="983">
      <formula>$D899=""</formula>
    </cfRule>
  </conditionalFormatting>
  <conditionalFormatting sqref="F900">
    <cfRule type="expression" dxfId="990" priority="982">
      <formula>$D899=""</formula>
    </cfRule>
  </conditionalFormatting>
  <conditionalFormatting sqref="B901:E901 H901">
    <cfRule type="expression" dxfId="989" priority="981">
      <formula>$D901=""</formula>
    </cfRule>
  </conditionalFormatting>
  <conditionalFormatting sqref="B903:E903">
    <cfRule type="expression" dxfId="988" priority="979">
      <formula>$D903=""</formula>
    </cfRule>
  </conditionalFormatting>
  <conditionalFormatting sqref="B905:E905">
    <cfRule type="expression" dxfId="987" priority="977">
      <formula>$D905=""</formula>
    </cfRule>
  </conditionalFormatting>
  <conditionalFormatting sqref="B907:E907">
    <cfRule type="expression" dxfId="986" priority="975">
      <formula>$D907=""</formula>
    </cfRule>
  </conditionalFormatting>
  <conditionalFormatting sqref="B909:E909">
    <cfRule type="expression" dxfId="985" priority="973">
      <formula>$D909=""</formula>
    </cfRule>
  </conditionalFormatting>
  <conditionalFormatting sqref="B911:F911 H911:I911">
    <cfRule type="expression" dxfId="984" priority="971">
      <formula>$D911=""</formula>
    </cfRule>
  </conditionalFormatting>
  <conditionalFormatting sqref="F912">
    <cfRule type="expression" dxfId="983" priority="970">
      <formula>$D911=""</formula>
    </cfRule>
  </conditionalFormatting>
  <conditionalFormatting sqref="B913:F913 H913:I913">
    <cfRule type="expression" dxfId="982" priority="969">
      <formula>$D913=""</formula>
    </cfRule>
  </conditionalFormatting>
  <conditionalFormatting sqref="F914">
    <cfRule type="expression" dxfId="981" priority="968">
      <formula>$D913=""</formula>
    </cfRule>
  </conditionalFormatting>
  <conditionalFormatting sqref="B915:F915 H915:I915">
    <cfRule type="expression" dxfId="980" priority="967">
      <formula>$D915=""</formula>
    </cfRule>
  </conditionalFormatting>
  <conditionalFormatting sqref="F916">
    <cfRule type="expression" dxfId="979" priority="966">
      <formula>$D915=""</formula>
    </cfRule>
  </conditionalFormatting>
  <conditionalFormatting sqref="B917:F917 H917:I917">
    <cfRule type="expression" dxfId="978" priority="965">
      <formula>$D917=""</formula>
    </cfRule>
  </conditionalFormatting>
  <conditionalFormatting sqref="F918">
    <cfRule type="expression" dxfId="977" priority="964">
      <formula>$D917=""</formula>
    </cfRule>
  </conditionalFormatting>
  <conditionalFormatting sqref="B919:F919 H919:I919">
    <cfRule type="expression" dxfId="976" priority="963">
      <formula>$D919=""</formula>
    </cfRule>
  </conditionalFormatting>
  <conditionalFormatting sqref="F920">
    <cfRule type="expression" dxfId="975" priority="962">
      <formula>$D919=""</formula>
    </cfRule>
  </conditionalFormatting>
  <conditionalFormatting sqref="B921:F921 H921:I921">
    <cfRule type="expression" dxfId="974" priority="961">
      <formula>$D921=""</formula>
    </cfRule>
  </conditionalFormatting>
  <conditionalFormatting sqref="F922">
    <cfRule type="expression" dxfId="973" priority="960">
      <formula>$D921=""</formula>
    </cfRule>
  </conditionalFormatting>
  <conditionalFormatting sqref="B923:F923 H923:I923">
    <cfRule type="expression" dxfId="972" priority="959">
      <formula>$D923=""</formula>
    </cfRule>
  </conditionalFormatting>
  <conditionalFormatting sqref="F924">
    <cfRule type="expression" dxfId="971" priority="958">
      <formula>$D923=""</formula>
    </cfRule>
  </conditionalFormatting>
  <conditionalFormatting sqref="B925:F925 H925:I925">
    <cfRule type="expression" dxfId="970" priority="957">
      <formula>$D925=""</formula>
    </cfRule>
  </conditionalFormatting>
  <conditionalFormatting sqref="F926">
    <cfRule type="expression" dxfId="969" priority="956">
      <formula>$D925=""</formula>
    </cfRule>
  </conditionalFormatting>
  <conditionalFormatting sqref="B927:F927 H927:I927">
    <cfRule type="expression" dxfId="968" priority="955">
      <formula>$D927=""</formula>
    </cfRule>
  </conditionalFormatting>
  <conditionalFormatting sqref="F928">
    <cfRule type="expression" dxfId="967" priority="954">
      <formula>$D927=""</formula>
    </cfRule>
  </conditionalFormatting>
  <conditionalFormatting sqref="B929:F929 H929:I929">
    <cfRule type="expression" dxfId="966" priority="953">
      <formula>$D929=""</formula>
    </cfRule>
  </conditionalFormatting>
  <conditionalFormatting sqref="F930">
    <cfRule type="expression" dxfId="965" priority="952">
      <formula>$D929=""</formula>
    </cfRule>
  </conditionalFormatting>
  <conditionalFormatting sqref="B931:F931 H931:I931">
    <cfRule type="expression" dxfId="964" priority="951">
      <formula>$D931=""</formula>
    </cfRule>
  </conditionalFormatting>
  <conditionalFormatting sqref="F932">
    <cfRule type="expression" dxfId="963" priority="950">
      <formula>$D931=""</formula>
    </cfRule>
  </conditionalFormatting>
  <conditionalFormatting sqref="B933:F933 H933:I933">
    <cfRule type="expression" dxfId="962" priority="949">
      <formula>$D933=""</formula>
    </cfRule>
  </conditionalFormatting>
  <conditionalFormatting sqref="F934">
    <cfRule type="expression" dxfId="961" priority="948">
      <formula>$D933=""</formula>
    </cfRule>
  </conditionalFormatting>
  <conditionalFormatting sqref="B935:F935 H935:I935">
    <cfRule type="expression" dxfId="960" priority="947">
      <formula>$D935=""</formula>
    </cfRule>
  </conditionalFormatting>
  <conditionalFormatting sqref="F936">
    <cfRule type="expression" dxfId="959" priority="946">
      <formula>$D935=""</formula>
    </cfRule>
  </conditionalFormatting>
  <conditionalFormatting sqref="B937:F937 H937:I937">
    <cfRule type="expression" dxfId="958" priority="945">
      <formula>$D937=""</formula>
    </cfRule>
  </conditionalFormatting>
  <conditionalFormatting sqref="F938">
    <cfRule type="expression" dxfId="957" priority="944">
      <formula>$D937=""</formula>
    </cfRule>
  </conditionalFormatting>
  <conditionalFormatting sqref="B939:F939 H939:I939">
    <cfRule type="expression" dxfId="956" priority="943">
      <formula>$D939=""</formula>
    </cfRule>
  </conditionalFormatting>
  <conditionalFormatting sqref="F940">
    <cfRule type="expression" dxfId="955" priority="942">
      <formula>$D939=""</formula>
    </cfRule>
  </conditionalFormatting>
  <conditionalFormatting sqref="B941:F941">
    <cfRule type="expression" dxfId="954" priority="941">
      <formula>$D941=""</formula>
    </cfRule>
  </conditionalFormatting>
  <conditionalFormatting sqref="F942">
    <cfRule type="expression" dxfId="953" priority="940">
      <formula>$D941=""</formula>
    </cfRule>
  </conditionalFormatting>
  <conditionalFormatting sqref="B943:F943">
    <cfRule type="expression" dxfId="952" priority="939">
      <formula>$D943=""</formula>
    </cfRule>
  </conditionalFormatting>
  <conditionalFormatting sqref="F944">
    <cfRule type="expression" dxfId="951" priority="938">
      <formula>$D943=""</formula>
    </cfRule>
  </conditionalFormatting>
  <conditionalFormatting sqref="B945:F945">
    <cfRule type="expression" dxfId="950" priority="937">
      <formula>$D945=""</formula>
    </cfRule>
  </conditionalFormatting>
  <conditionalFormatting sqref="F946">
    <cfRule type="expression" dxfId="949" priority="936">
      <formula>$D945=""</formula>
    </cfRule>
  </conditionalFormatting>
  <conditionalFormatting sqref="B947:F947">
    <cfRule type="expression" dxfId="948" priority="935">
      <formula>$D947=""</formula>
    </cfRule>
  </conditionalFormatting>
  <conditionalFormatting sqref="F948">
    <cfRule type="expression" dxfId="947" priority="934">
      <formula>$D947=""</formula>
    </cfRule>
  </conditionalFormatting>
  <conditionalFormatting sqref="B949:F949">
    <cfRule type="expression" dxfId="946" priority="933">
      <formula>$D949=""</formula>
    </cfRule>
  </conditionalFormatting>
  <conditionalFormatting sqref="F950">
    <cfRule type="expression" dxfId="945" priority="932">
      <formula>$D949=""</formula>
    </cfRule>
  </conditionalFormatting>
  <conditionalFormatting sqref="B951:F951 H951:I951">
    <cfRule type="expression" dxfId="944" priority="931">
      <formula>$D951=""</formula>
    </cfRule>
  </conditionalFormatting>
  <conditionalFormatting sqref="F952">
    <cfRule type="expression" dxfId="943" priority="930">
      <formula>$D951=""</formula>
    </cfRule>
  </conditionalFormatting>
  <conditionalFormatting sqref="B953:F953 H953:I953">
    <cfRule type="expression" dxfId="942" priority="929">
      <formula>$D953=""</formula>
    </cfRule>
  </conditionalFormatting>
  <conditionalFormatting sqref="F954">
    <cfRule type="expression" dxfId="941" priority="928">
      <formula>$D953=""</formula>
    </cfRule>
  </conditionalFormatting>
  <conditionalFormatting sqref="B955:F955 H955:I955">
    <cfRule type="expression" dxfId="940" priority="927">
      <formula>$D955=""</formula>
    </cfRule>
  </conditionalFormatting>
  <conditionalFormatting sqref="F956">
    <cfRule type="expression" dxfId="939" priority="926">
      <formula>$D955=""</formula>
    </cfRule>
  </conditionalFormatting>
  <conditionalFormatting sqref="B957:F957 H957:I957">
    <cfRule type="expression" dxfId="938" priority="925">
      <formula>$D957=""</formula>
    </cfRule>
  </conditionalFormatting>
  <conditionalFormatting sqref="F958">
    <cfRule type="expression" dxfId="937" priority="924">
      <formula>$D957=""</formula>
    </cfRule>
  </conditionalFormatting>
  <conditionalFormatting sqref="B959:F959 H959:I959">
    <cfRule type="expression" dxfId="936" priority="923">
      <formula>$D959=""</formula>
    </cfRule>
  </conditionalFormatting>
  <conditionalFormatting sqref="F960">
    <cfRule type="expression" dxfId="935" priority="922">
      <formula>$D959=""</formula>
    </cfRule>
  </conditionalFormatting>
  <conditionalFormatting sqref="B961:F961 H961:I961">
    <cfRule type="expression" dxfId="934" priority="921">
      <formula>$D961=""</formula>
    </cfRule>
  </conditionalFormatting>
  <conditionalFormatting sqref="F962">
    <cfRule type="expression" dxfId="933" priority="920">
      <formula>$D961=""</formula>
    </cfRule>
  </conditionalFormatting>
  <conditionalFormatting sqref="B963:F963 H963:I963">
    <cfRule type="expression" dxfId="932" priority="919">
      <formula>$D963=""</formula>
    </cfRule>
  </conditionalFormatting>
  <conditionalFormatting sqref="F964">
    <cfRule type="expression" dxfId="931" priority="918">
      <formula>$D963=""</formula>
    </cfRule>
  </conditionalFormatting>
  <conditionalFormatting sqref="B965:F965 H965:I965">
    <cfRule type="expression" dxfId="930" priority="917">
      <formula>$D965=""</formula>
    </cfRule>
  </conditionalFormatting>
  <conditionalFormatting sqref="F966">
    <cfRule type="expression" dxfId="929" priority="916">
      <formula>$D965=""</formula>
    </cfRule>
  </conditionalFormatting>
  <conditionalFormatting sqref="B967:F967 H967:I967">
    <cfRule type="expression" dxfId="928" priority="915">
      <formula>$D967=""</formula>
    </cfRule>
  </conditionalFormatting>
  <conditionalFormatting sqref="F968">
    <cfRule type="expression" dxfId="927" priority="914">
      <formula>$D967=""</formula>
    </cfRule>
  </conditionalFormatting>
  <conditionalFormatting sqref="B969:F969 H969:I969">
    <cfRule type="expression" dxfId="926" priority="913">
      <formula>$D969=""</formula>
    </cfRule>
  </conditionalFormatting>
  <conditionalFormatting sqref="F970">
    <cfRule type="expression" dxfId="925" priority="912">
      <formula>$D969=""</formula>
    </cfRule>
  </conditionalFormatting>
  <conditionalFormatting sqref="B971:F971 H971:I971">
    <cfRule type="expression" dxfId="924" priority="911">
      <formula>$D971=""</formula>
    </cfRule>
  </conditionalFormatting>
  <conditionalFormatting sqref="F972">
    <cfRule type="expression" dxfId="923" priority="910">
      <formula>$D971=""</formula>
    </cfRule>
  </conditionalFormatting>
  <conditionalFormatting sqref="B973:F973 H973:I973">
    <cfRule type="expression" dxfId="922" priority="909">
      <formula>$D973=""</formula>
    </cfRule>
  </conditionalFormatting>
  <conditionalFormatting sqref="F974">
    <cfRule type="expression" dxfId="921" priority="908">
      <formula>$D973=""</formula>
    </cfRule>
  </conditionalFormatting>
  <conditionalFormatting sqref="B975:F975 H975:I975">
    <cfRule type="expression" dxfId="920" priority="907">
      <formula>$D975=""</formula>
    </cfRule>
  </conditionalFormatting>
  <conditionalFormatting sqref="F976">
    <cfRule type="expression" dxfId="919" priority="906">
      <formula>$D975=""</formula>
    </cfRule>
  </conditionalFormatting>
  <conditionalFormatting sqref="B977:F977 H977:I977">
    <cfRule type="expression" dxfId="918" priority="905">
      <formula>$D977=""</formula>
    </cfRule>
  </conditionalFormatting>
  <conditionalFormatting sqref="F978">
    <cfRule type="expression" dxfId="917" priority="904">
      <formula>$D977=""</formula>
    </cfRule>
  </conditionalFormatting>
  <conditionalFormatting sqref="B979:F979 H979:I979">
    <cfRule type="expression" dxfId="916" priority="903">
      <formula>$D979=""</formula>
    </cfRule>
  </conditionalFormatting>
  <conditionalFormatting sqref="F980">
    <cfRule type="expression" dxfId="915" priority="902">
      <formula>$D979=""</formula>
    </cfRule>
  </conditionalFormatting>
  <conditionalFormatting sqref="B981:F981">
    <cfRule type="expression" dxfId="914" priority="901">
      <formula>$D981=""</formula>
    </cfRule>
  </conditionalFormatting>
  <conditionalFormatting sqref="F982">
    <cfRule type="expression" dxfId="913" priority="900">
      <formula>$D981=""</formula>
    </cfRule>
  </conditionalFormatting>
  <conditionalFormatting sqref="B983:F983">
    <cfRule type="expression" dxfId="912" priority="899">
      <formula>$D983=""</formula>
    </cfRule>
  </conditionalFormatting>
  <conditionalFormatting sqref="F984">
    <cfRule type="expression" dxfId="911" priority="898">
      <formula>$D983=""</formula>
    </cfRule>
  </conditionalFormatting>
  <conditionalFormatting sqref="B985:F985 H985:I985">
    <cfRule type="expression" dxfId="910" priority="897">
      <formula>$D985=""</formula>
    </cfRule>
  </conditionalFormatting>
  <conditionalFormatting sqref="F986">
    <cfRule type="expression" dxfId="909" priority="896">
      <formula>$D985=""</formula>
    </cfRule>
  </conditionalFormatting>
  <conditionalFormatting sqref="B987:F987 H987:I987">
    <cfRule type="expression" dxfId="908" priority="895">
      <formula>$D987=""</formula>
    </cfRule>
  </conditionalFormatting>
  <conditionalFormatting sqref="F988">
    <cfRule type="expression" dxfId="907" priority="894">
      <formula>$D987=""</formula>
    </cfRule>
  </conditionalFormatting>
  <conditionalFormatting sqref="B989:F989 H989:I989">
    <cfRule type="expression" dxfId="906" priority="893">
      <formula>$D989=""</formula>
    </cfRule>
  </conditionalFormatting>
  <conditionalFormatting sqref="F990">
    <cfRule type="expression" dxfId="905" priority="892">
      <formula>$D989=""</formula>
    </cfRule>
  </conditionalFormatting>
  <conditionalFormatting sqref="B991:F991 H991:I991">
    <cfRule type="expression" dxfId="904" priority="891">
      <formula>$D991=""</formula>
    </cfRule>
  </conditionalFormatting>
  <conditionalFormatting sqref="F992">
    <cfRule type="expression" dxfId="903" priority="890">
      <formula>$D991=""</formula>
    </cfRule>
  </conditionalFormatting>
  <conditionalFormatting sqref="B993:F993 H993:I993">
    <cfRule type="expression" dxfId="902" priority="889">
      <formula>$D993=""</formula>
    </cfRule>
  </conditionalFormatting>
  <conditionalFormatting sqref="F994">
    <cfRule type="expression" dxfId="901" priority="888">
      <formula>$D993=""</formula>
    </cfRule>
  </conditionalFormatting>
  <conditionalFormatting sqref="B995:F995 H995:I995">
    <cfRule type="expression" dxfId="900" priority="887">
      <formula>$D995=""</formula>
    </cfRule>
  </conditionalFormatting>
  <conditionalFormatting sqref="F996">
    <cfRule type="expression" dxfId="899" priority="886">
      <formula>$D995=""</formula>
    </cfRule>
  </conditionalFormatting>
  <conditionalFormatting sqref="B997:F997 H997:I997">
    <cfRule type="expression" dxfId="898" priority="885">
      <formula>$D997=""</formula>
    </cfRule>
  </conditionalFormatting>
  <conditionalFormatting sqref="F998">
    <cfRule type="expression" dxfId="897" priority="884">
      <formula>$D997=""</formula>
    </cfRule>
  </conditionalFormatting>
  <conditionalFormatting sqref="B999:F999 H999:I999">
    <cfRule type="expression" dxfId="896" priority="883">
      <formula>$D999=""</formula>
    </cfRule>
  </conditionalFormatting>
  <conditionalFormatting sqref="F1000">
    <cfRule type="expression" dxfId="895" priority="882">
      <formula>$D999=""</formula>
    </cfRule>
  </conditionalFormatting>
  <conditionalFormatting sqref="B1001:F1001 H1001:I1001">
    <cfRule type="expression" dxfId="894" priority="881">
      <formula>$D1001=""</formula>
    </cfRule>
  </conditionalFormatting>
  <conditionalFormatting sqref="F1002">
    <cfRule type="expression" dxfId="893" priority="880">
      <formula>$D1001=""</formula>
    </cfRule>
  </conditionalFormatting>
  <conditionalFormatting sqref="B1003:F1003 H1003:I1003">
    <cfRule type="expression" dxfId="892" priority="879">
      <formula>$D1003=""</formula>
    </cfRule>
  </conditionalFormatting>
  <conditionalFormatting sqref="F1004">
    <cfRule type="expression" dxfId="891" priority="878">
      <formula>$D1003=""</formula>
    </cfRule>
  </conditionalFormatting>
  <conditionalFormatting sqref="B1005:F1005 H1005:I1005">
    <cfRule type="expression" dxfId="890" priority="877">
      <formula>$D1005=""</formula>
    </cfRule>
  </conditionalFormatting>
  <conditionalFormatting sqref="F1006">
    <cfRule type="expression" dxfId="889" priority="876">
      <formula>$D1005=""</formula>
    </cfRule>
  </conditionalFormatting>
  <conditionalFormatting sqref="B1007:F1007 H1007:I1007">
    <cfRule type="expression" dxfId="888" priority="875">
      <formula>$D1007=""</formula>
    </cfRule>
  </conditionalFormatting>
  <conditionalFormatting sqref="F1008">
    <cfRule type="expression" dxfId="887" priority="874">
      <formula>$D1007=""</formula>
    </cfRule>
  </conditionalFormatting>
  <conditionalFormatting sqref="B1009:F1009 H1009:I1009">
    <cfRule type="expression" dxfId="886" priority="873">
      <formula>$D1009=""</formula>
    </cfRule>
  </conditionalFormatting>
  <conditionalFormatting sqref="F1010">
    <cfRule type="expression" dxfId="885" priority="872">
      <formula>$D1009=""</formula>
    </cfRule>
  </conditionalFormatting>
  <conditionalFormatting sqref="B1011:F1011 H1011:I1011">
    <cfRule type="expression" dxfId="884" priority="871">
      <formula>$D1011=""</formula>
    </cfRule>
  </conditionalFormatting>
  <conditionalFormatting sqref="F1012">
    <cfRule type="expression" dxfId="883" priority="870">
      <formula>$D1011=""</formula>
    </cfRule>
  </conditionalFormatting>
  <conditionalFormatting sqref="B1013:F1013 H1013:I1013">
    <cfRule type="expression" dxfId="882" priority="869">
      <formula>$D1013=""</formula>
    </cfRule>
  </conditionalFormatting>
  <conditionalFormatting sqref="F1014">
    <cfRule type="expression" dxfId="881" priority="868">
      <formula>$D1013=""</formula>
    </cfRule>
  </conditionalFormatting>
  <conditionalFormatting sqref="B1015:F1015 H1015:I1015">
    <cfRule type="expression" dxfId="880" priority="867">
      <formula>$D1015=""</formula>
    </cfRule>
  </conditionalFormatting>
  <conditionalFormatting sqref="F1016">
    <cfRule type="expression" dxfId="879" priority="866">
      <formula>$D1015=""</formula>
    </cfRule>
  </conditionalFormatting>
  <conditionalFormatting sqref="B1017:F1017 H1017:I1017">
    <cfRule type="expression" dxfId="878" priority="865">
      <formula>$D1017=""</formula>
    </cfRule>
  </conditionalFormatting>
  <conditionalFormatting sqref="F1018">
    <cfRule type="expression" dxfId="877" priority="864">
      <formula>$D1017=""</formula>
    </cfRule>
  </conditionalFormatting>
  <conditionalFormatting sqref="B1019:F1019 H1019:I1019">
    <cfRule type="expression" dxfId="876" priority="863">
      <formula>$D1019=""</formula>
    </cfRule>
  </conditionalFormatting>
  <conditionalFormatting sqref="F1020">
    <cfRule type="expression" dxfId="875" priority="862">
      <formula>$D1019=""</formula>
    </cfRule>
  </conditionalFormatting>
  <conditionalFormatting sqref="B1021:F1021 H1021:I1021">
    <cfRule type="expression" dxfId="874" priority="861">
      <formula>$D1021=""</formula>
    </cfRule>
  </conditionalFormatting>
  <conditionalFormatting sqref="F1022">
    <cfRule type="expression" dxfId="873" priority="860">
      <formula>$D1021=""</formula>
    </cfRule>
  </conditionalFormatting>
  <conditionalFormatting sqref="B1023:F1023 H1023:I1023">
    <cfRule type="expression" dxfId="872" priority="859">
      <formula>$D1023=""</formula>
    </cfRule>
  </conditionalFormatting>
  <conditionalFormatting sqref="F1024">
    <cfRule type="expression" dxfId="871" priority="858">
      <formula>$D1023=""</formula>
    </cfRule>
  </conditionalFormatting>
  <conditionalFormatting sqref="B1025:F1025 H1025:I1025">
    <cfRule type="expression" dxfId="870" priority="857">
      <formula>$D1025=""</formula>
    </cfRule>
  </conditionalFormatting>
  <conditionalFormatting sqref="F1026">
    <cfRule type="expression" dxfId="869" priority="856">
      <formula>$D1025=""</formula>
    </cfRule>
  </conditionalFormatting>
  <conditionalFormatting sqref="B1027:F1027 H1027:I1027">
    <cfRule type="expression" dxfId="868" priority="855">
      <formula>$D1027=""</formula>
    </cfRule>
  </conditionalFormatting>
  <conditionalFormatting sqref="F1028">
    <cfRule type="expression" dxfId="867" priority="854">
      <formula>$D1027=""</formula>
    </cfRule>
  </conditionalFormatting>
  <conditionalFormatting sqref="B1029:F1029 H1029:I1029">
    <cfRule type="expression" dxfId="866" priority="853">
      <formula>$D1029=""</formula>
    </cfRule>
  </conditionalFormatting>
  <conditionalFormatting sqref="F1030">
    <cfRule type="expression" dxfId="865" priority="852">
      <formula>$D1029=""</formula>
    </cfRule>
  </conditionalFormatting>
  <conditionalFormatting sqref="B1031:F1031 H1031:I1031">
    <cfRule type="expression" dxfId="864" priority="851">
      <formula>$D1031=""</formula>
    </cfRule>
  </conditionalFormatting>
  <conditionalFormatting sqref="F1032">
    <cfRule type="expression" dxfId="863" priority="850">
      <formula>$D1031=""</formula>
    </cfRule>
  </conditionalFormatting>
  <conditionalFormatting sqref="B1033:F1033 H1033:I1033">
    <cfRule type="expression" dxfId="862" priority="849">
      <formula>$D1033=""</formula>
    </cfRule>
  </conditionalFormatting>
  <conditionalFormatting sqref="F1034">
    <cfRule type="expression" dxfId="861" priority="848">
      <formula>$D1033=""</formula>
    </cfRule>
  </conditionalFormatting>
  <conditionalFormatting sqref="B1035:F1035 H1035:I1035">
    <cfRule type="expression" dxfId="860" priority="847">
      <formula>$D1035=""</formula>
    </cfRule>
  </conditionalFormatting>
  <conditionalFormatting sqref="F1036">
    <cfRule type="expression" dxfId="859" priority="846">
      <formula>$D1035=""</formula>
    </cfRule>
  </conditionalFormatting>
  <conditionalFormatting sqref="B1037:F1037 H1037:I1037">
    <cfRule type="expression" dxfId="858" priority="845">
      <formula>$D1037=""</formula>
    </cfRule>
  </conditionalFormatting>
  <conditionalFormatting sqref="F1038">
    <cfRule type="expression" dxfId="857" priority="844">
      <formula>$D1037=""</formula>
    </cfRule>
  </conditionalFormatting>
  <conditionalFormatting sqref="B1039:F1039 H1039:I1039">
    <cfRule type="expression" dxfId="856" priority="843">
      <formula>$D1039=""</formula>
    </cfRule>
  </conditionalFormatting>
  <conditionalFormatting sqref="F1040">
    <cfRule type="expression" dxfId="855" priority="842">
      <formula>$D1039=""</formula>
    </cfRule>
  </conditionalFormatting>
  <conditionalFormatting sqref="B1041:F1041 H1041:I1041">
    <cfRule type="expression" dxfId="854" priority="841">
      <formula>$D1041=""</formula>
    </cfRule>
  </conditionalFormatting>
  <conditionalFormatting sqref="F1042">
    <cfRule type="expression" dxfId="853" priority="840">
      <formula>$D1041=""</formula>
    </cfRule>
  </conditionalFormatting>
  <conditionalFormatting sqref="B1043:F1043 H1043:I1043">
    <cfRule type="expression" dxfId="852" priority="839">
      <formula>$D1043=""</formula>
    </cfRule>
  </conditionalFormatting>
  <conditionalFormatting sqref="F1044">
    <cfRule type="expression" dxfId="851" priority="838">
      <formula>$D1043=""</formula>
    </cfRule>
  </conditionalFormatting>
  <conditionalFormatting sqref="B1045:F1045 H1045:I1045">
    <cfRule type="expression" dxfId="850" priority="837">
      <formula>$D1045=""</formula>
    </cfRule>
  </conditionalFormatting>
  <conditionalFormatting sqref="F1046">
    <cfRule type="expression" dxfId="849" priority="836">
      <formula>$D1045=""</formula>
    </cfRule>
  </conditionalFormatting>
  <conditionalFormatting sqref="B1047:F1047 H1047:I1047">
    <cfRule type="expression" dxfId="848" priority="835">
      <formula>$D1047=""</formula>
    </cfRule>
  </conditionalFormatting>
  <conditionalFormatting sqref="F1048">
    <cfRule type="expression" dxfId="847" priority="834">
      <formula>$D1047=""</formula>
    </cfRule>
  </conditionalFormatting>
  <conditionalFormatting sqref="B1049:F1049 H1049:I1049">
    <cfRule type="expression" dxfId="846" priority="833">
      <formula>$D1049=""</formula>
    </cfRule>
  </conditionalFormatting>
  <conditionalFormatting sqref="F1050">
    <cfRule type="expression" dxfId="845" priority="832">
      <formula>$D1049=""</formula>
    </cfRule>
  </conditionalFormatting>
  <conditionalFormatting sqref="B1051:F1051 H1051:I1051">
    <cfRule type="expression" dxfId="844" priority="831">
      <formula>$D1051=""</formula>
    </cfRule>
  </conditionalFormatting>
  <conditionalFormatting sqref="F1052">
    <cfRule type="expression" dxfId="843" priority="830">
      <formula>$D1051=""</formula>
    </cfRule>
  </conditionalFormatting>
  <conditionalFormatting sqref="B1053:F1053 H1053:I1053">
    <cfRule type="expression" dxfId="842" priority="829">
      <formula>$D1053=""</formula>
    </cfRule>
  </conditionalFormatting>
  <conditionalFormatting sqref="F1054">
    <cfRule type="expression" dxfId="841" priority="828">
      <formula>$D1053=""</formula>
    </cfRule>
  </conditionalFormatting>
  <conditionalFormatting sqref="B1055:F1055 H1055:I1055">
    <cfRule type="expression" dxfId="840" priority="827">
      <formula>$D1055=""</formula>
    </cfRule>
  </conditionalFormatting>
  <conditionalFormatting sqref="F1056">
    <cfRule type="expression" dxfId="839" priority="826">
      <formula>$D1055=""</formula>
    </cfRule>
  </conditionalFormatting>
  <conditionalFormatting sqref="B1057:F1057 H1057:I1057">
    <cfRule type="expression" dxfId="838" priority="825">
      <formula>$D1057=""</formula>
    </cfRule>
  </conditionalFormatting>
  <conditionalFormatting sqref="F1058">
    <cfRule type="expression" dxfId="837" priority="824">
      <formula>$D1057=""</formula>
    </cfRule>
  </conditionalFormatting>
  <conditionalFormatting sqref="B1059:F1059 H1059:I1059">
    <cfRule type="expression" dxfId="836" priority="823">
      <formula>$D1059=""</formula>
    </cfRule>
  </conditionalFormatting>
  <conditionalFormatting sqref="F1060">
    <cfRule type="expression" dxfId="835" priority="822">
      <formula>$D1059=""</formula>
    </cfRule>
  </conditionalFormatting>
  <conditionalFormatting sqref="B1061:F1061">
    <cfRule type="expression" dxfId="834" priority="821">
      <formula>$D1061=""</formula>
    </cfRule>
  </conditionalFormatting>
  <conditionalFormatting sqref="F1062">
    <cfRule type="expression" dxfId="833" priority="820">
      <formula>$D1061=""</formula>
    </cfRule>
  </conditionalFormatting>
  <conditionalFormatting sqref="B1063:F1063">
    <cfRule type="expression" dxfId="832" priority="819">
      <formula>$D1063=""</formula>
    </cfRule>
  </conditionalFormatting>
  <conditionalFormatting sqref="F1064">
    <cfRule type="expression" dxfId="831" priority="818">
      <formula>$D1063=""</formula>
    </cfRule>
  </conditionalFormatting>
  <conditionalFormatting sqref="B1065:F1065 H1065:I1065">
    <cfRule type="expression" dxfId="830" priority="817">
      <formula>$D1065=""</formula>
    </cfRule>
  </conditionalFormatting>
  <conditionalFormatting sqref="F1066">
    <cfRule type="expression" dxfId="829" priority="816">
      <formula>$D1065=""</formula>
    </cfRule>
  </conditionalFormatting>
  <conditionalFormatting sqref="B1067:F1067 H1067:I1067">
    <cfRule type="expression" dxfId="828" priority="815">
      <formula>$D1067=""</formula>
    </cfRule>
  </conditionalFormatting>
  <conditionalFormatting sqref="F1068">
    <cfRule type="expression" dxfId="827" priority="814">
      <formula>$D1067=""</formula>
    </cfRule>
  </conditionalFormatting>
  <conditionalFormatting sqref="B1069:F1069 H1069:I1069">
    <cfRule type="expression" dxfId="826" priority="813">
      <formula>$D1069=""</formula>
    </cfRule>
  </conditionalFormatting>
  <conditionalFormatting sqref="F1070">
    <cfRule type="expression" dxfId="825" priority="812">
      <formula>$D1069=""</formula>
    </cfRule>
  </conditionalFormatting>
  <conditionalFormatting sqref="B1071:F1071 H1071:I1071">
    <cfRule type="expression" dxfId="824" priority="811">
      <formula>$D1071=""</formula>
    </cfRule>
  </conditionalFormatting>
  <conditionalFormatting sqref="F1072">
    <cfRule type="expression" dxfId="823" priority="810">
      <formula>$D1071=""</formula>
    </cfRule>
  </conditionalFormatting>
  <conditionalFormatting sqref="B1073:F1073 H1073:I1073">
    <cfRule type="expression" dxfId="822" priority="809">
      <formula>$D1073=""</formula>
    </cfRule>
  </conditionalFormatting>
  <conditionalFormatting sqref="F1074">
    <cfRule type="expression" dxfId="821" priority="808">
      <formula>$D1073=""</formula>
    </cfRule>
  </conditionalFormatting>
  <conditionalFormatting sqref="B1075:F1075 H1075:I1075">
    <cfRule type="expression" dxfId="820" priority="807">
      <formula>$D1075=""</formula>
    </cfRule>
  </conditionalFormatting>
  <conditionalFormatting sqref="F1076">
    <cfRule type="expression" dxfId="819" priority="806">
      <formula>$D1075=""</formula>
    </cfRule>
  </conditionalFormatting>
  <conditionalFormatting sqref="B1077:F1077 H1077:I1077">
    <cfRule type="expression" dxfId="818" priority="805">
      <formula>$D1077=""</formula>
    </cfRule>
  </conditionalFormatting>
  <conditionalFormatting sqref="F1078">
    <cfRule type="expression" dxfId="817" priority="804">
      <formula>$D1077=""</formula>
    </cfRule>
  </conditionalFormatting>
  <conditionalFormatting sqref="B1079:F1079 H1079:I1079">
    <cfRule type="expression" dxfId="816" priority="803">
      <formula>$D1079=""</formula>
    </cfRule>
  </conditionalFormatting>
  <conditionalFormatting sqref="F1080">
    <cfRule type="expression" dxfId="815" priority="802">
      <formula>$D1079=""</formula>
    </cfRule>
  </conditionalFormatting>
  <conditionalFormatting sqref="B1081:F1081 H1081:I1081">
    <cfRule type="expression" dxfId="814" priority="801">
      <formula>$D1081=""</formula>
    </cfRule>
  </conditionalFormatting>
  <conditionalFormatting sqref="F1082">
    <cfRule type="expression" dxfId="813" priority="800">
      <formula>$D1081=""</formula>
    </cfRule>
  </conditionalFormatting>
  <conditionalFormatting sqref="B1083:F1083 H1083:I1083">
    <cfRule type="expression" dxfId="812" priority="799">
      <formula>$D1083=""</formula>
    </cfRule>
  </conditionalFormatting>
  <conditionalFormatting sqref="F1084">
    <cfRule type="expression" dxfId="811" priority="798">
      <formula>$D1083=""</formula>
    </cfRule>
  </conditionalFormatting>
  <conditionalFormatting sqref="B1085:F1085 H1085:I1085">
    <cfRule type="expression" dxfId="810" priority="797">
      <formula>$D1085=""</formula>
    </cfRule>
  </conditionalFormatting>
  <conditionalFormatting sqref="F1086">
    <cfRule type="expression" dxfId="809" priority="796">
      <formula>$D1085=""</formula>
    </cfRule>
  </conditionalFormatting>
  <conditionalFormatting sqref="B1087:F1087 H1087:I1087">
    <cfRule type="expression" dxfId="808" priority="795">
      <formula>$D1087=""</formula>
    </cfRule>
  </conditionalFormatting>
  <conditionalFormatting sqref="F1088">
    <cfRule type="expression" dxfId="807" priority="794">
      <formula>$D1087=""</formula>
    </cfRule>
  </conditionalFormatting>
  <conditionalFormatting sqref="B1089:F1089 H1089:I1089">
    <cfRule type="expression" dxfId="806" priority="793">
      <formula>$D1089=""</formula>
    </cfRule>
  </conditionalFormatting>
  <conditionalFormatting sqref="F1090">
    <cfRule type="expression" dxfId="805" priority="792">
      <formula>$D1089=""</formula>
    </cfRule>
  </conditionalFormatting>
  <conditionalFormatting sqref="B1091:F1091 H1091:I1091">
    <cfRule type="expression" dxfId="804" priority="791">
      <formula>$D1091=""</formula>
    </cfRule>
  </conditionalFormatting>
  <conditionalFormatting sqref="F1092">
    <cfRule type="expression" dxfId="803" priority="790">
      <formula>$D1091=""</formula>
    </cfRule>
  </conditionalFormatting>
  <conditionalFormatting sqref="B1093:F1093 H1093:I1093">
    <cfRule type="expression" dxfId="802" priority="789">
      <formula>$D1093=""</formula>
    </cfRule>
  </conditionalFormatting>
  <conditionalFormatting sqref="F1094">
    <cfRule type="expression" dxfId="801" priority="788">
      <formula>$D1093=""</formula>
    </cfRule>
  </conditionalFormatting>
  <conditionalFormatting sqref="B1095:F1095 H1095:I1095">
    <cfRule type="expression" dxfId="800" priority="787">
      <formula>$D1095=""</formula>
    </cfRule>
  </conditionalFormatting>
  <conditionalFormatting sqref="F1096">
    <cfRule type="expression" dxfId="799" priority="786">
      <formula>$D1095=""</formula>
    </cfRule>
  </conditionalFormatting>
  <conditionalFormatting sqref="B1097:F1097 H1097:I1097">
    <cfRule type="expression" dxfId="798" priority="785">
      <formula>$D1097=""</formula>
    </cfRule>
  </conditionalFormatting>
  <conditionalFormatting sqref="F1098">
    <cfRule type="expression" dxfId="797" priority="784">
      <formula>$D1097=""</formula>
    </cfRule>
  </conditionalFormatting>
  <conditionalFormatting sqref="B1099:F1099 H1099:I1099">
    <cfRule type="expression" dxfId="796" priority="783">
      <formula>$D1099=""</formula>
    </cfRule>
  </conditionalFormatting>
  <conditionalFormatting sqref="F1100">
    <cfRule type="expression" dxfId="795" priority="782">
      <formula>$D1099=""</formula>
    </cfRule>
  </conditionalFormatting>
  <conditionalFormatting sqref="B1101:F1101">
    <cfRule type="expression" dxfId="794" priority="781">
      <formula>$D1101=""</formula>
    </cfRule>
  </conditionalFormatting>
  <conditionalFormatting sqref="F1102">
    <cfRule type="expression" dxfId="793" priority="780">
      <formula>$D1101=""</formula>
    </cfRule>
  </conditionalFormatting>
  <conditionalFormatting sqref="B1103:F1103">
    <cfRule type="expression" dxfId="792" priority="779">
      <formula>$D1103=""</formula>
    </cfRule>
  </conditionalFormatting>
  <conditionalFormatting sqref="F1104">
    <cfRule type="expression" dxfId="791" priority="778">
      <formula>$D1103=""</formula>
    </cfRule>
  </conditionalFormatting>
  <conditionalFormatting sqref="B1105:F1105 H1105:I1105">
    <cfRule type="expression" dxfId="790" priority="777">
      <formula>$D1105=""</formula>
    </cfRule>
  </conditionalFormatting>
  <conditionalFormatting sqref="F1106">
    <cfRule type="expression" dxfId="789" priority="776">
      <formula>$D1105=""</formula>
    </cfRule>
  </conditionalFormatting>
  <conditionalFormatting sqref="B1107:F1107 H1107:I1107">
    <cfRule type="expression" dxfId="788" priority="775">
      <formula>$D1107=""</formula>
    </cfRule>
  </conditionalFormatting>
  <conditionalFormatting sqref="F1108">
    <cfRule type="expression" dxfId="787" priority="774">
      <formula>$D1107=""</formula>
    </cfRule>
  </conditionalFormatting>
  <conditionalFormatting sqref="B1109:F1109 H1109:I1109">
    <cfRule type="expression" dxfId="786" priority="773">
      <formula>$D1109=""</formula>
    </cfRule>
  </conditionalFormatting>
  <conditionalFormatting sqref="F1110">
    <cfRule type="expression" dxfId="785" priority="772">
      <formula>$D1109=""</formula>
    </cfRule>
  </conditionalFormatting>
  <conditionalFormatting sqref="B1111:F1111 H1111:I1111">
    <cfRule type="expression" dxfId="784" priority="771">
      <formula>$D1111=""</formula>
    </cfRule>
  </conditionalFormatting>
  <conditionalFormatting sqref="F1112">
    <cfRule type="expression" dxfId="783" priority="770">
      <formula>$D1111=""</formula>
    </cfRule>
  </conditionalFormatting>
  <conditionalFormatting sqref="B1113:F1113 H1113:I1113">
    <cfRule type="expression" dxfId="782" priority="769">
      <formula>$D1113=""</formula>
    </cfRule>
  </conditionalFormatting>
  <conditionalFormatting sqref="F1114">
    <cfRule type="expression" dxfId="781" priority="768">
      <formula>$D1113=""</formula>
    </cfRule>
  </conditionalFormatting>
  <conditionalFormatting sqref="B1115:F1115 H1115:I1115">
    <cfRule type="expression" dxfId="780" priority="767">
      <formula>$D1115=""</formula>
    </cfRule>
  </conditionalFormatting>
  <conditionalFormatting sqref="F1116">
    <cfRule type="expression" dxfId="779" priority="766">
      <formula>$D1115=""</formula>
    </cfRule>
  </conditionalFormatting>
  <conditionalFormatting sqref="B1117:F1117 H1117:I1117">
    <cfRule type="expression" dxfId="778" priority="765">
      <formula>$D1117=""</formula>
    </cfRule>
  </conditionalFormatting>
  <conditionalFormatting sqref="F1118">
    <cfRule type="expression" dxfId="777" priority="764">
      <formula>$D1117=""</formula>
    </cfRule>
  </conditionalFormatting>
  <conditionalFormatting sqref="B1119:F1119 H1119:I1119">
    <cfRule type="expression" dxfId="776" priority="763">
      <formula>$D1119=""</formula>
    </cfRule>
  </conditionalFormatting>
  <conditionalFormatting sqref="F1120">
    <cfRule type="expression" dxfId="775" priority="762">
      <formula>$D1119=""</formula>
    </cfRule>
  </conditionalFormatting>
  <conditionalFormatting sqref="B1121:F1121 H1121:I1121">
    <cfRule type="expression" dxfId="774" priority="761">
      <formula>$D1121=""</formula>
    </cfRule>
  </conditionalFormatting>
  <conditionalFormatting sqref="F1122">
    <cfRule type="expression" dxfId="773" priority="760">
      <formula>$D1121=""</formula>
    </cfRule>
  </conditionalFormatting>
  <conditionalFormatting sqref="B1123:F1123 H1123:I1123">
    <cfRule type="expression" dxfId="772" priority="759">
      <formula>$D1123=""</formula>
    </cfRule>
  </conditionalFormatting>
  <conditionalFormatting sqref="F1124">
    <cfRule type="expression" dxfId="771" priority="758">
      <formula>$D1123=""</formula>
    </cfRule>
  </conditionalFormatting>
  <conditionalFormatting sqref="B1125:F1125 H1125:I1125">
    <cfRule type="expression" dxfId="770" priority="757">
      <formula>$D1125=""</formula>
    </cfRule>
  </conditionalFormatting>
  <conditionalFormatting sqref="F1126">
    <cfRule type="expression" dxfId="769" priority="756">
      <formula>$D1125=""</formula>
    </cfRule>
  </conditionalFormatting>
  <conditionalFormatting sqref="B1127:F1127 H1127:I1127">
    <cfRule type="expression" dxfId="768" priority="755">
      <formula>$D1127=""</formula>
    </cfRule>
  </conditionalFormatting>
  <conditionalFormatting sqref="F1128">
    <cfRule type="expression" dxfId="767" priority="754">
      <formula>$D1127=""</formula>
    </cfRule>
  </conditionalFormatting>
  <conditionalFormatting sqref="B1129:F1129 H1129:I1129">
    <cfRule type="expression" dxfId="766" priority="753">
      <formula>$D1129=""</formula>
    </cfRule>
  </conditionalFormatting>
  <conditionalFormatting sqref="F1130">
    <cfRule type="expression" dxfId="765" priority="752">
      <formula>$D1129=""</formula>
    </cfRule>
  </conditionalFormatting>
  <conditionalFormatting sqref="B1131:F1131 H1131:I1131">
    <cfRule type="expression" dxfId="764" priority="751">
      <formula>$D1131=""</formula>
    </cfRule>
  </conditionalFormatting>
  <conditionalFormatting sqref="F1132">
    <cfRule type="expression" dxfId="763" priority="750">
      <formula>$D1131=""</formula>
    </cfRule>
  </conditionalFormatting>
  <conditionalFormatting sqref="B1133:F1133 H1133:I1133">
    <cfRule type="expression" dxfId="762" priority="749">
      <formula>$D1133=""</formula>
    </cfRule>
  </conditionalFormatting>
  <conditionalFormatting sqref="F1134">
    <cfRule type="expression" dxfId="761" priority="748">
      <formula>$D1133=""</formula>
    </cfRule>
  </conditionalFormatting>
  <conditionalFormatting sqref="B1135:F1135 H1135:I1135">
    <cfRule type="expression" dxfId="760" priority="747">
      <formula>$D1135=""</formula>
    </cfRule>
  </conditionalFormatting>
  <conditionalFormatting sqref="F1136">
    <cfRule type="expression" dxfId="759" priority="746">
      <formula>$D1135=""</formula>
    </cfRule>
  </conditionalFormatting>
  <conditionalFormatting sqref="B1137:F1137 H1137:I1137">
    <cfRule type="expression" dxfId="758" priority="745">
      <formula>$D1137=""</formula>
    </cfRule>
  </conditionalFormatting>
  <conditionalFormatting sqref="F1138">
    <cfRule type="expression" dxfId="757" priority="744">
      <formula>$D1137=""</formula>
    </cfRule>
  </conditionalFormatting>
  <conditionalFormatting sqref="B1139:F1139 H1139:I1139">
    <cfRule type="expression" dxfId="756" priority="743">
      <formula>$D1139=""</formula>
    </cfRule>
  </conditionalFormatting>
  <conditionalFormatting sqref="F1140">
    <cfRule type="expression" dxfId="755" priority="742">
      <formula>$D1139=""</formula>
    </cfRule>
  </conditionalFormatting>
  <conditionalFormatting sqref="B1141:F1141">
    <cfRule type="expression" dxfId="754" priority="741">
      <formula>$D1141=""</formula>
    </cfRule>
  </conditionalFormatting>
  <conditionalFormatting sqref="F1142">
    <cfRule type="expression" dxfId="753" priority="740">
      <formula>$D1141=""</formula>
    </cfRule>
  </conditionalFormatting>
  <conditionalFormatting sqref="B1143:F1143">
    <cfRule type="expression" dxfId="752" priority="739">
      <formula>$D1143=""</formula>
    </cfRule>
  </conditionalFormatting>
  <conditionalFormatting sqref="F1144">
    <cfRule type="expression" dxfId="751" priority="738">
      <formula>$D1143=""</formula>
    </cfRule>
  </conditionalFormatting>
  <conditionalFormatting sqref="B1145:F1145">
    <cfRule type="expression" dxfId="750" priority="737">
      <formula>$D1145=""</formula>
    </cfRule>
  </conditionalFormatting>
  <conditionalFormatting sqref="F1146">
    <cfRule type="expression" dxfId="749" priority="736">
      <formula>$D1145=""</formula>
    </cfRule>
  </conditionalFormatting>
  <conditionalFormatting sqref="B1147:F1147">
    <cfRule type="expression" dxfId="748" priority="735">
      <formula>$D1147=""</formula>
    </cfRule>
  </conditionalFormatting>
  <conditionalFormatting sqref="F1148">
    <cfRule type="expression" dxfId="747" priority="734">
      <formula>$D1147=""</formula>
    </cfRule>
  </conditionalFormatting>
  <conditionalFormatting sqref="B1149:F1149">
    <cfRule type="expression" dxfId="746" priority="733">
      <formula>$D1149=""</formula>
    </cfRule>
  </conditionalFormatting>
  <conditionalFormatting sqref="F1150">
    <cfRule type="expression" dxfId="745" priority="732">
      <formula>$D1149=""</formula>
    </cfRule>
  </conditionalFormatting>
  <conditionalFormatting sqref="B1151:F1151">
    <cfRule type="expression" dxfId="744" priority="731">
      <formula>$D1151=""</formula>
    </cfRule>
  </conditionalFormatting>
  <conditionalFormatting sqref="F1152">
    <cfRule type="expression" dxfId="743" priority="730">
      <formula>$D1151=""</formula>
    </cfRule>
  </conditionalFormatting>
  <conditionalFormatting sqref="B1153:F1153 H1153:I1153">
    <cfRule type="expression" dxfId="742" priority="729">
      <formula>$D1153=""</formula>
    </cfRule>
  </conditionalFormatting>
  <conditionalFormatting sqref="F1154">
    <cfRule type="expression" dxfId="741" priority="728">
      <formula>$D1153=""</formula>
    </cfRule>
  </conditionalFormatting>
  <conditionalFormatting sqref="B1155:F1155 H1155:I1155">
    <cfRule type="expression" dxfId="740" priority="727">
      <formula>$D1155=""</formula>
    </cfRule>
  </conditionalFormatting>
  <conditionalFormatting sqref="F1156">
    <cfRule type="expression" dxfId="739" priority="726">
      <formula>$D1155=""</formula>
    </cfRule>
  </conditionalFormatting>
  <conditionalFormatting sqref="B1157:F1157 H1157:I1157">
    <cfRule type="expression" dxfId="738" priority="725">
      <formula>$D1157=""</formula>
    </cfRule>
  </conditionalFormatting>
  <conditionalFormatting sqref="F1158">
    <cfRule type="expression" dxfId="737" priority="724">
      <formula>$D1157=""</formula>
    </cfRule>
  </conditionalFormatting>
  <conditionalFormatting sqref="B1159:F1159 H1159:I1159">
    <cfRule type="expression" dxfId="736" priority="723">
      <formula>$D1159=""</formula>
    </cfRule>
  </conditionalFormatting>
  <conditionalFormatting sqref="F1160">
    <cfRule type="expression" dxfId="735" priority="722">
      <formula>$D1159=""</formula>
    </cfRule>
  </conditionalFormatting>
  <conditionalFormatting sqref="B1161:F1161 H1161:I1161">
    <cfRule type="expression" dxfId="734" priority="721">
      <formula>$D1161=""</formula>
    </cfRule>
  </conditionalFormatting>
  <conditionalFormatting sqref="F1162">
    <cfRule type="expression" dxfId="733" priority="720">
      <formula>$D1161=""</formula>
    </cfRule>
  </conditionalFormatting>
  <conditionalFormatting sqref="B1163:F1163 H1163:I1163">
    <cfRule type="expression" dxfId="732" priority="719">
      <formula>$D1163=""</formula>
    </cfRule>
  </conditionalFormatting>
  <conditionalFormatting sqref="F1164">
    <cfRule type="expression" dxfId="731" priority="718">
      <formula>$D1163=""</formula>
    </cfRule>
  </conditionalFormatting>
  <conditionalFormatting sqref="B1165:F1165 H1165:I1165">
    <cfRule type="expression" dxfId="730" priority="717">
      <formula>$D1165=""</formula>
    </cfRule>
  </conditionalFormatting>
  <conditionalFormatting sqref="F1166">
    <cfRule type="expression" dxfId="729" priority="716">
      <formula>$D1165=""</formula>
    </cfRule>
  </conditionalFormatting>
  <conditionalFormatting sqref="B1167:F1167 H1167:I1167">
    <cfRule type="expression" dxfId="728" priority="715">
      <formula>$D1167=""</formula>
    </cfRule>
  </conditionalFormatting>
  <conditionalFormatting sqref="F1168">
    <cfRule type="expression" dxfId="727" priority="714">
      <formula>$D1167=""</formula>
    </cfRule>
  </conditionalFormatting>
  <conditionalFormatting sqref="B1169:F1169 H1169:I1169">
    <cfRule type="expression" dxfId="726" priority="713">
      <formula>$D1169=""</formula>
    </cfRule>
  </conditionalFormatting>
  <conditionalFormatting sqref="F1170">
    <cfRule type="expression" dxfId="725" priority="712">
      <formula>$D1169=""</formula>
    </cfRule>
  </conditionalFormatting>
  <conditionalFormatting sqref="B1171:F1171 H1171:I1171">
    <cfRule type="expression" dxfId="724" priority="711">
      <formula>$D1171=""</formula>
    </cfRule>
  </conditionalFormatting>
  <conditionalFormatting sqref="F1172">
    <cfRule type="expression" dxfId="723" priority="710">
      <formula>$D1171=""</formula>
    </cfRule>
  </conditionalFormatting>
  <conditionalFormatting sqref="B1173:F1173 H1173:I1173">
    <cfRule type="expression" dxfId="722" priority="709">
      <formula>$D1173=""</formula>
    </cfRule>
  </conditionalFormatting>
  <conditionalFormatting sqref="F1174">
    <cfRule type="expression" dxfId="721" priority="708">
      <formula>$D1173=""</formula>
    </cfRule>
  </conditionalFormatting>
  <conditionalFormatting sqref="B1175:F1175 H1175:I1175">
    <cfRule type="expression" dxfId="720" priority="707">
      <formula>$D1175=""</formula>
    </cfRule>
  </conditionalFormatting>
  <conditionalFormatting sqref="F1176">
    <cfRule type="expression" dxfId="719" priority="706">
      <formula>$D1175=""</formula>
    </cfRule>
  </conditionalFormatting>
  <conditionalFormatting sqref="B1177:F1177 H1177:I1177">
    <cfRule type="expression" dxfId="718" priority="705">
      <formula>$D1177=""</formula>
    </cfRule>
  </conditionalFormatting>
  <conditionalFormatting sqref="F1178">
    <cfRule type="expression" dxfId="717" priority="704">
      <formula>$D1177=""</formula>
    </cfRule>
  </conditionalFormatting>
  <conditionalFormatting sqref="B1179:F1179 H1179:I1179">
    <cfRule type="expression" dxfId="716" priority="703">
      <formula>$D1179=""</formula>
    </cfRule>
  </conditionalFormatting>
  <conditionalFormatting sqref="F1180">
    <cfRule type="expression" dxfId="715" priority="702">
      <formula>$D1179=""</formula>
    </cfRule>
  </conditionalFormatting>
  <conditionalFormatting sqref="B1181:F1181 H1181:J1181 H1183:J1183 H1185:J1185 H1187:J1187 H1189:J1189">
    <cfRule type="expression" dxfId="714" priority="701">
      <formula>$D1181=""</formula>
    </cfRule>
  </conditionalFormatting>
  <conditionalFormatting sqref="F1182">
    <cfRule type="expression" dxfId="713" priority="700">
      <formula>$D1181=""</formula>
    </cfRule>
  </conditionalFormatting>
  <conditionalFormatting sqref="B1183:F1183">
    <cfRule type="expression" dxfId="712" priority="699">
      <formula>$D1183=""</formula>
    </cfRule>
  </conditionalFormatting>
  <conditionalFormatting sqref="F1184">
    <cfRule type="expression" dxfId="711" priority="698">
      <formula>$D1183=""</formula>
    </cfRule>
  </conditionalFormatting>
  <conditionalFormatting sqref="B1185:F1185">
    <cfRule type="expression" dxfId="710" priority="697">
      <formula>$D1185=""</formula>
    </cfRule>
  </conditionalFormatting>
  <conditionalFormatting sqref="F1186">
    <cfRule type="expression" dxfId="709" priority="696">
      <formula>$D1185=""</formula>
    </cfRule>
  </conditionalFormatting>
  <conditionalFormatting sqref="B1187:F1187">
    <cfRule type="expression" dxfId="708" priority="695">
      <formula>$D1187=""</formula>
    </cfRule>
  </conditionalFormatting>
  <conditionalFormatting sqref="F1188">
    <cfRule type="expression" dxfId="707" priority="694">
      <formula>$D1187=""</formula>
    </cfRule>
  </conditionalFormatting>
  <conditionalFormatting sqref="B1189:F1189">
    <cfRule type="expression" dxfId="706" priority="693">
      <formula>$D1189=""</formula>
    </cfRule>
  </conditionalFormatting>
  <conditionalFormatting sqref="F1190">
    <cfRule type="expression" dxfId="705" priority="692">
      <formula>$D1189=""</formula>
    </cfRule>
  </conditionalFormatting>
  <conditionalFormatting sqref="B1191:F1191 H1191:I1191">
    <cfRule type="expression" dxfId="704" priority="691">
      <formula>$D1191=""</formula>
    </cfRule>
  </conditionalFormatting>
  <conditionalFormatting sqref="F1192">
    <cfRule type="expression" dxfId="703" priority="690">
      <formula>$D1191=""</formula>
    </cfRule>
  </conditionalFormatting>
  <conditionalFormatting sqref="B1193:F1193 H1193:I1193">
    <cfRule type="expression" dxfId="702" priority="689">
      <formula>$D1193=""</formula>
    </cfRule>
  </conditionalFormatting>
  <conditionalFormatting sqref="F1194">
    <cfRule type="expression" dxfId="701" priority="688">
      <formula>$D1193=""</formula>
    </cfRule>
  </conditionalFormatting>
  <conditionalFormatting sqref="B1195:F1195 H1195:I1195">
    <cfRule type="expression" dxfId="700" priority="687">
      <formula>$D1195=""</formula>
    </cfRule>
  </conditionalFormatting>
  <conditionalFormatting sqref="F1196">
    <cfRule type="expression" dxfId="699" priority="686">
      <formula>$D1195=""</formula>
    </cfRule>
  </conditionalFormatting>
  <conditionalFormatting sqref="B1197:F1197 H1197:I1197">
    <cfRule type="expression" dxfId="698" priority="685">
      <formula>$D1197=""</formula>
    </cfRule>
  </conditionalFormatting>
  <conditionalFormatting sqref="F1198">
    <cfRule type="expression" dxfId="697" priority="684">
      <formula>$D1197=""</formula>
    </cfRule>
  </conditionalFormatting>
  <conditionalFormatting sqref="B1199:F1199 H1199:I1199">
    <cfRule type="expression" dxfId="696" priority="683">
      <formula>$D1199=""</formula>
    </cfRule>
  </conditionalFormatting>
  <conditionalFormatting sqref="F1200">
    <cfRule type="expression" dxfId="695" priority="682">
      <formula>$D1199=""</formula>
    </cfRule>
  </conditionalFormatting>
  <conditionalFormatting sqref="B1201:F1201 H1201:I1201">
    <cfRule type="expression" dxfId="694" priority="681">
      <formula>$D1201=""</formula>
    </cfRule>
  </conditionalFormatting>
  <conditionalFormatting sqref="F1202">
    <cfRule type="expression" dxfId="693" priority="680">
      <formula>$D1201=""</formula>
    </cfRule>
  </conditionalFormatting>
  <conditionalFormatting sqref="B1203:F1203 H1203:I1203">
    <cfRule type="expression" dxfId="692" priority="679">
      <formula>$D1203=""</formula>
    </cfRule>
  </conditionalFormatting>
  <conditionalFormatting sqref="F1204">
    <cfRule type="expression" dxfId="691" priority="678">
      <formula>$D1203=""</formula>
    </cfRule>
  </conditionalFormatting>
  <conditionalFormatting sqref="B1205:F1205 H1205:I1205">
    <cfRule type="expression" dxfId="690" priority="677">
      <formula>$D1205=""</formula>
    </cfRule>
  </conditionalFormatting>
  <conditionalFormatting sqref="F1206">
    <cfRule type="expression" dxfId="689" priority="676">
      <formula>$D1205=""</formula>
    </cfRule>
  </conditionalFormatting>
  <conditionalFormatting sqref="B1207:F1207 H1207:I1207">
    <cfRule type="expression" dxfId="688" priority="675">
      <formula>$D1207=""</formula>
    </cfRule>
  </conditionalFormatting>
  <conditionalFormatting sqref="F1208">
    <cfRule type="expression" dxfId="687" priority="674">
      <formula>$D1207=""</formula>
    </cfRule>
  </conditionalFormatting>
  <conditionalFormatting sqref="B1209:F1209 H1209:I1209">
    <cfRule type="expression" dxfId="686" priority="673">
      <formula>$D1209=""</formula>
    </cfRule>
  </conditionalFormatting>
  <conditionalFormatting sqref="F1210">
    <cfRule type="expression" dxfId="685" priority="672">
      <formula>$D1209=""</formula>
    </cfRule>
  </conditionalFormatting>
  <conditionalFormatting sqref="B1211:F1211 H1211:I1211">
    <cfRule type="expression" dxfId="684" priority="671">
      <formula>$D1211=""</formula>
    </cfRule>
  </conditionalFormatting>
  <conditionalFormatting sqref="F1212">
    <cfRule type="expression" dxfId="683" priority="670">
      <formula>$D1211=""</formula>
    </cfRule>
  </conditionalFormatting>
  <conditionalFormatting sqref="B1213:F1213 H1213:I1213">
    <cfRule type="expression" dxfId="682" priority="669">
      <formula>$D1213=""</formula>
    </cfRule>
  </conditionalFormatting>
  <conditionalFormatting sqref="F1214">
    <cfRule type="expression" dxfId="681" priority="668">
      <formula>$D1213=""</formula>
    </cfRule>
  </conditionalFormatting>
  <conditionalFormatting sqref="B1215:F1215 H1215:I1215">
    <cfRule type="expression" dxfId="680" priority="667">
      <formula>$D1215=""</formula>
    </cfRule>
  </conditionalFormatting>
  <conditionalFormatting sqref="F1216">
    <cfRule type="expression" dxfId="679" priority="666">
      <formula>$D1215=""</formula>
    </cfRule>
  </conditionalFormatting>
  <conditionalFormatting sqref="B1217:F1217 H1217:I1217">
    <cfRule type="expression" dxfId="678" priority="665">
      <formula>$D1217=""</formula>
    </cfRule>
  </conditionalFormatting>
  <conditionalFormatting sqref="F1218">
    <cfRule type="expression" dxfId="677" priority="664">
      <formula>$D1217=""</formula>
    </cfRule>
  </conditionalFormatting>
  <conditionalFormatting sqref="B1219:F1219 H1219:I1219">
    <cfRule type="expression" dxfId="676" priority="663">
      <formula>$D1219=""</formula>
    </cfRule>
  </conditionalFormatting>
  <conditionalFormatting sqref="F1220">
    <cfRule type="expression" dxfId="675" priority="662">
      <formula>$D1219=""</formula>
    </cfRule>
  </conditionalFormatting>
  <conditionalFormatting sqref="B1221:F1221">
    <cfRule type="expression" dxfId="674" priority="661">
      <formula>$D1221=""</formula>
    </cfRule>
  </conditionalFormatting>
  <conditionalFormatting sqref="F1222">
    <cfRule type="expression" dxfId="673" priority="660">
      <formula>$D1221=""</formula>
    </cfRule>
  </conditionalFormatting>
  <conditionalFormatting sqref="B1223:F1223">
    <cfRule type="expression" dxfId="672" priority="659">
      <formula>$D1223=""</formula>
    </cfRule>
  </conditionalFormatting>
  <conditionalFormatting sqref="F1224">
    <cfRule type="expression" dxfId="671" priority="658">
      <formula>$D1223=""</formula>
    </cfRule>
  </conditionalFormatting>
  <conditionalFormatting sqref="B1225:F1225">
    <cfRule type="expression" dxfId="670" priority="657">
      <formula>$D1225=""</formula>
    </cfRule>
  </conditionalFormatting>
  <conditionalFormatting sqref="F1226">
    <cfRule type="expression" dxfId="669" priority="656">
      <formula>$D1225=""</formula>
    </cfRule>
  </conditionalFormatting>
  <conditionalFormatting sqref="B1227:F1227">
    <cfRule type="expression" dxfId="668" priority="655">
      <formula>$D1227=""</formula>
    </cfRule>
  </conditionalFormatting>
  <conditionalFormatting sqref="F1228">
    <cfRule type="expression" dxfId="667" priority="654">
      <formula>$D1227=""</formula>
    </cfRule>
  </conditionalFormatting>
  <conditionalFormatting sqref="B1229:F1229">
    <cfRule type="expression" dxfId="666" priority="653">
      <formula>$D1229=""</formula>
    </cfRule>
  </conditionalFormatting>
  <conditionalFormatting sqref="F1230">
    <cfRule type="expression" dxfId="665" priority="652">
      <formula>$D1229=""</formula>
    </cfRule>
  </conditionalFormatting>
  <conditionalFormatting sqref="B1231:F1231 H1231:I1231">
    <cfRule type="expression" dxfId="664" priority="651">
      <formula>$D1231=""</formula>
    </cfRule>
  </conditionalFormatting>
  <conditionalFormatting sqref="F1232">
    <cfRule type="expression" dxfId="663" priority="650">
      <formula>$D1231=""</formula>
    </cfRule>
  </conditionalFormatting>
  <conditionalFormatting sqref="B1233:F1233 H1233:I1233">
    <cfRule type="expression" dxfId="662" priority="649">
      <formula>$D1233=""</formula>
    </cfRule>
  </conditionalFormatting>
  <conditionalFormatting sqref="F1234">
    <cfRule type="expression" dxfId="661" priority="648">
      <formula>$D1233=""</formula>
    </cfRule>
  </conditionalFormatting>
  <conditionalFormatting sqref="B1235:F1235 H1235:I1235">
    <cfRule type="expression" dxfId="660" priority="647">
      <formula>$D1235=""</formula>
    </cfRule>
  </conditionalFormatting>
  <conditionalFormatting sqref="F1236">
    <cfRule type="expression" dxfId="659" priority="646">
      <formula>$D1235=""</formula>
    </cfRule>
  </conditionalFormatting>
  <conditionalFormatting sqref="B1237:F1237 H1237:I1237">
    <cfRule type="expression" dxfId="658" priority="645">
      <formula>$D1237=""</formula>
    </cfRule>
  </conditionalFormatting>
  <conditionalFormatting sqref="F1238">
    <cfRule type="expression" dxfId="657" priority="644">
      <formula>$D1237=""</formula>
    </cfRule>
  </conditionalFormatting>
  <conditionalFormatting sqref="B1239:F1239 H1239:I1239">
    <cfRule type="expression" dxfId="656" priority="643">
      <formula>$D1239=""</formula>
    </cfRule>
  </conditionalFormatting>
  <conditionalFormatting sqref="F1240">
    <cfRule type="expression" dxfId="655" priority="642">
      <formula>$D1239=""</formula>
    </cfRule>
  </conditionalFormatting>
  <conditionalFormatting sqref="B1241:F1241 H1241:I1241">
    <cfRule type="expression" dxfId="654" priority="641">
      <formula>$D1241=""</formula>
    </cfRule>
  </conditionalFormatting>
  <conditionalFormatting sqref="F1242">
    <cfRule type="expression" dxfId="653" priority="640">
      <formula>$D1241=""</formula>
    </cfRule>
  </conditionalFormatting>
  <conditionalFormatting sqref="B1243:F1243 H1243:I1243">
    <cfRule type="expression" dxfId="652" priority="639">
      <formula>$D1243=""</formula>
    </cfRule>
  </conditionalFormatting>
  <conditionalFormatting sqref="F1244">
    <cfRule type="expression" dxfId="651" priority="638">
      <formula>$D1243=""</formula>
    </cfRule>
  </conditionalFormatting>
  <conditionalFormatting sqref="B1245:F1245 H1245:I1245">
    <cfRule type="expression" dxfId="650" priority="637">
      <formula>$D1245=""</formula>
    </cfRule>
  </conditionalFormatting>
  <conditionalFormatting sqref="F1246">
    <cfRule type="expression" dxfId="649" priority="636">
      <formula>$D1245=""</formula>
    </cfRule>
  </conditionalFormatting>
  <conditionalFormatting sqref="B1247:F1247 H1247:I1247">
    <cfRule type="expression" dxfId="648" priority="635">
      <formula>$D1247=""</formula>
    </cfRule>
  </conditionalFormatting>
  <conditionalFormatting sqref="F1248">
    <cfRule type="expression" dxfId="647" priority="634">
      <formula>$D1247=""</formula>
    </cfRule>
  </conditionalFormatting>
  <conditionalFormatting sqref="B1249:F1249 H1249:I1249">
    <cfRule type="expression" dxfId="646" priority="633">
      <formula>$D1249=""</formula>
    </cfRule>
  </conditionalFormatting>
  <conditionalFormatting sqref="F1250">
    <cfRule type="expression" dxfId="645" priority="632">
      <formula>$D1249=""</formula>
    </cfRule>
  </conditionalFormatting>
  <conditionalFormatting sqref="B1251:F1251 H1251:I1251">
    <cfRule type="expression" dxfId="644" priority="631">
      <formula>$D1251=""</formula>
    </cfRule>
  </conditionalFormatting>
  <conditionalFormatting sqref="F1252">
    <cfRule type="expression" dxfId="643" priority="630">
      <formula>$D1251=""</formula>
    </cfRule>
  </conditionalFormatting>
  <conditionalFormatting sqref="B1253:F1253 H1253:I1253">
    <cfRule type="expression" dxfId="642" priority="629">
      <formula>$D1253=""</formula>
    </cfRule>
  </conditionalFormatting>
  <conditionalFormatting sqref="F1254">
    <cfRule type="expression" dxfId="641" priority="628">
      <formula>$D1253=""</formula>
    </cfRule>
  </conditionalFormatting>
  <conditionalFormatting sqref="B1255:F1255 H1255:I1255">
    <cfRule type="expression" dxfId="640" priority="627">
      <formula>$D1255=""</formula>
    </cfRule>
  </conditionalFormatting>
  <conditionalFormatting sqref="F1256">
    <cfRule type="expression" dxfId="639" priority="626">
      <formula>$D1255=""</formula>
    </cfRule>
  </conditionalFormatting>
  <conditionalFormatting sqref="B1257:F1257 H1257:I1257">
    <cfRule type="expression" dxfId="638" priority="625">
      <formula>$D1257=""</formula>
    </cfRule>
  </conditionalFormatting>
  <conditionalFormatting sqref="F1258">
    <cfRule type="expression" dxfId="637" priority="624">
      <formula>$D1257=""</formula>
    </cfRule>
  </conditionalFormatting>
  <conditionalFormatting sqref="B1259:F1259 H1259:I1259">
    <cfRule type="expression" dxfId="636" priority="623">
      <formula>$D1259=""</formula>
    </cfRule>
  </conditionalFormatting>
  <conditionalFormatting sqref="F1260">
    <cfRule type="expression" dxfId="635" priority="622">
      <formula>$D1259=""</formula>
    </cfRule>
  </conditionalFormatting>
  <conditionalFormatting sqref="B1261:F1261">
    <cfRule type="expression" dxfId="634" priority="621">
      <formula>$D1261=""</formula>
    </cfRule>
  </conditionalFormatting>
  <conditionalFormatting sqref="F1262">
    <cfRule type="expression" dxfId="633" priority="620">
      <formula>$D1261=""</formula>
    </cfRule>
  </conditionalFormatting>
  <conditionalFormatting sqref="B1263:F1263">
    <cfRule type="expression" dxfId="632" priority="619">
      <formula>$D1263=""</formula>
    </cfRule>
  </conditionalFormatting>
  <conditionalFormatting sqref="F1264">
    <cfRule type="expression" dxfId="631" priority="618">
      <formula>$D1263=""</formula>
    </cfRule>
  </conditionalFormatting>
  <conditionalFormatting sqref="B1265:F1265">
    <cfRule type="expression" dxfId="630" priority="617">
      <formula>$D1265=""</formula>
    </cfRule>
  </conditionalFormatting>
  <conditionalFormatting sqref="F1266">
    <cfRule type="expression" dxfId="629" priority="616">
      <formula>$D1265=""</formula>
    </cfRule>
  </conditionalFormatting>
  <conditionalFormatting sqref="B1267:F1267">
    <cfRule type="expression" dxfId="628" priority="615">
      <formula>$D1267=""</formula>
    </cfRule>
  </conditionalFormatting>
  <conditionalFormatting sqref="F1268">
    <cfRule type="expression" dxfId="627" priority="614">
      <formula>$D1267=""</formula>
    </cfRule>
  </conditionalFormatting>
  <conditionalFormatting sqref="B1269:F1269">
    <cfRule type="expression" dxfId="626" priority="613">
      <formula>$D1269=""</formula>
    </cfRule>
  </conditionalFormatting>
  <conditionalFormatting sqref="F1270">
    <cfRule type="expression" dxfId="625" priority="612">
      <formula>$D1269=""</formula>
    </cfRule>
  </conditionalFormatting>
  <conditionalFormatting sqref="B1271:F1271">
    <cfRule type="expression" dxfId="624" priority="611">
      <formula>$D1271=""</formula>
    </cfRule>
  </conditionalFormatting>
  <conditionalFormatting sqref="F1272">
    <cfRule type="expression" dxfId="623" priority="610">
      <formula>$D1271=""</formula>
    </cfRule>
  </conditionalFormatting>
  <conditionalFormatting sqref="B1273:F1273">
    <cfRule type="expression" dxfId="622" priority="609">
      <formula>$D1273=""</formula>
    </cfRule>
  </conditionalFormatting>
  <conditionalFormatting sqref="F1274">
    <cfRule type="expression" dxfId="621" priority="608">
      <formula>$D1273=""</formula>
    </cfRule>
  </conditionalFormatting>
  <conditionalFormatting sqref="B1275:F1275">
    <cfRule type="expression" dxfId="620" priority="607">
      <formula>$D1275=""</formula>
    </cfRule>
  </conditionalFormatting>
  <conditionalFormatting sqref="F1276">
    <cfRule type="expression" dxfId="619" priority="606">
      <formula>$D1275=""</formula>
    </cfRule>
  </conditionalFormatting>
  <conditionalFormatting sqref="B1277:F1277">
    <cfRule type="expression" dxfId="618" priority="605">
      <formula>$D1277=""</formula>
    </cfRule>
  </conditionalFormatting>
  <conditionalFormatting sqref="F1278">
    <cfRule type="expression" dxfId="617" priority="604">
      <formula>$D1277=""</formula>
    </cfRule>
  </conditionalFormatting>
  <conditionalFormatting sqref="B1279:F1279">
    <cfRule type="expression" dxfId="616" priority="603">
      <formula>$D1279=""</formula>
    </cfRule>
  </conditionalFormatting>
  <conditionalFormatting sqref="F1280">
    <cfRule type="expression" dxfId="615" priority="602">
      <formula>$D1279=""</formula>
    </cfRule>
  </conditionalFormatting>
  <conditionalFormatting sqref="B1281:F1281 H1281:I1281">
    <cfRule type="expression" dxfId="614" priority="601">
      <formula>$D1281=""</formula>
    </cfRule>
  </conditionalFormatting>
  <conditionalFormatting sqref="F1282">
    <cfRule type="expression" dxfId="613" priority="600">
      <formula>$D1281=""</formula>
    </cfRule>
  </conditionalFormatting>
  <conditionalFormatting sqref="B1283:F1283 H1283:I1283">
    <cfRule type="expression" dxfId="612" priority="599">
      <formula>$D1283=""</formula>
    </cfRule>
  </conditionalFormatting>
  <conditionalFormatting sqref="F1284">
    <cfRule type="expression" dxfId="611" priority="598">
      <formula>$D1283=""</formula>
    </cfRule>
  </conditionalFormatting>
  <conditionalFormatting sqref="B1285:F1285 H1285:I1285">
    <cfRule type="expression" dxfId="610" priority="597">
      <formula>$D1285=""</formula>
    </cfRule>
  </conditionalFormatting>
  <conditionalFormatting sqref="F1286">
    <cfRule type="expression" dxfId="609" priority="596">
      <formula>$D1285=""</formula>
    </cfRule>
  </conditionalFormatting>
  <conditionalFormatting sqref="B1287:F1287 H1287:I1287">
    <cfRule type="expression" dxfId="608" priority="595">
      <formula>$D1287=""</formula>
    </cfRule>
  </conditionalFormatting>
  <conditionalFormatting sqref="F1288">
    <cfRule type="expression" dxfId="607" priority="594">
      <formula>$D1287=""</formula>
    </cfRule>
  </conditionalFormatting>
  <conditionalFormatting sqref="B1289:F1289 H1289:I1289">
    <cfRule type="expression" dxfId="606" priority="593">
      <formula>$D1289=""</formula>
    </cfRule>
  </conditionalFormatting>
  <conditionalFormatting sqref="F1290">
    <cfRule type="expression" dxfId="605" priority="592">
      <formula>$D1289=""</formula>
    </cfRule>
  </conditionalFormatting>
  <conditionalFormatting sqref="B1291:F1291 H1291:I1291">
    <cfRule type="expression" dxfId="604" priority="591">
      <formula>$D1291=""</formula>
    </cfRule>
  </conditionalFormatting>
  <conditionalFormatting sqref="F1292">
    <cfRule type="expression" dxfId="603" priority="590">
      <formula>$D1291=""</formula>
    </cfRule>
  </conditionalFormatting>
  <conditionalFormatting sqref="B1293:F1293 H1293:I1293">
    <cfRule type="expression" dxfId="602" priority="589">
      <formula>$D1293=""</formula>
    </cfRule>
  </conditionalFormatting>
  <conditionalFormatting sqref="F1294">
    <cfRule type="expression" dxfId="601" priority="588">
      <formula>$D1293=""</formula>
    </cfRule>
  </conditionalFormatting>
  <conditionalFormatting sqref="B1295:F1295 H1295:I1295">
    <cfRule type="expression" dxfId="600" priority="587">
      <formula>$D1295=""</formula>
    </cfRule>
  </conditionalFormatting>
  <conditionalFormatting sqref="F1296">
    <cfRule type="expression" dxfId="599" priority="586">
      <formula>$D1295=""</formula>
    </cfRule>
  </conditionalFormatting>
  <conditionalFormatting sqref="B1297:F1297 H1297:I1297">
    <cfRule type="expression" dxfId="598" priority="585">
      <formula>$D1297=""</formula>
    </cfRule>
  </conditionalFormatting>
  <conditionalFormatting sqref="F1298">
    <cfRule type="expression" dxfId="597" priority="584">
      <formula>$D1297=""</formula>
    </cfRule>
  </conditionalFormatting>
  <conditionalFormatting sqref="B1299:F1299 H1299:I1299">
    <cfRule type="expression" dxfId="596" priority="583">
      <formula>$D1299=""</formula>
    </cfRule>
  </conditionalFormatting>
  <conditionalFormatting sqref="F1300">
    <cfRule type="expression" dxfId="595" priority="582">
      <formula>$D1299=""</formula>
    </cfRule>
  </conditionalFormatting>
  <conditionalFormatting sqref="B1301:F1301 H1301:I1301">
    <cfRule type="expression" dxfId="594" priority="581">
      <formula>$D1301=""</formula>
    </cfRule>
  </conditionalFormatting>
  <conditionalFormatting sqref="F1302">
    <cfRule type="expression" dxfId="593" priority="580">
      <formula>$D1301=""</formula>
    </cfRule>
  </conditionalFormatting>
  <conditionalFormatting sqref="B1303:F1303 H1303:I1303">
    <cfRule type="expression" dxfId="592" priority="579">
      <formula>$D1303=""</formula>
    </cfRule>
  </conditionalFormatting>
  <conditionalFormatting sqref="F1304">
    <cfRule type="expression" dxfId="591" priority="578">
      <formula>$D1303=""</formula>
    </cfRule>
  </conditionalFormatting>
  <conditionalFormatting sqref="B1305:F1305 H1305:I1305">
    <cfRule type="expression" dxfId="590" priority="577">
      <formula>$D1305=""</formula>
    </cfRule>
  </conditionalFormatting>
  <conditionalFormatting sqref="F1306">
    <cfRule type="expression" dxfId="589" priority="576">
      <formula>$D1305=""</formula>
    </cfRule>
  </conditionalFormatting>
  <conditionalFormatting sqref="B1307:F1307 H1307:I1307">
    <cfRule type="expression" dxfId="588" priority="575">
      <formula>$D1307=""</formula>
    </cfRule>
  </conditionalFormatting>
  <conditionalFormatting sqref="F1308">
    <cfRule type="expression" dxfId="587" priority="574">
      <formula>$D1307=""</formula>
    </cfRule>
  </conditionalFormatting>
  <conditionalFormatting sqref="B1309:F1309 H1309:I1309">
    <cfRule type="expression" dxfId="586" priority="573">
      <formula>$D1309=""</formula>
    </cfRule>
  </conditionalFormatting>
  <conditionalFormatting sqref="F1310">
    <cfRule type="expression" dxfId="585" priority="572">
      <formula>$D1309=""</formula>
    </cfRule>
  </conditionalFormatting>
  <conditionalFormatting sqref="B1311:F1311 H1311:I1311">
    <cfRule type="expression" dxfId="584" priority="571">
      <formula>$D1311=""</formula>
    </cfRule>
  </conditionalFormatting>
  <conditionalFormatting sqref="F1312">
    <cfRule type="expression" dxfId="583" priority="570">
      <formula>$D1311=""</formula>
    </cfRule>
  </conditionalFormatting>
  <conditionalFormatting sqref="B1313:F1313 H1313:I1313">
    <cfRule type="expression" dxfId="582" priority="569">
      <formula>$D1313=""</formula>
    </cfRule>
  </conditionalFormatting>
  <conditionalFormatting sqref="F1314">
    <cfRule type="expression" dxfId="581" priority="568">
      <formula>$D1313=""</formula>
    </cfRule>
  </conditionalFormatting>
  <conditionalFormatting sqref="B1315:F1315 H1315:I1315">
    <cfRule type="expression" dxfId="580" priority="567">
      <formula>$D1315=""</formula>
    </cfRule>
  </conditionalFormatting>
  <conditionalFormatting sqref="F1316">
    <cfRule type="expression" dxfId="579" priority="566">
      <formula>$D1315=""</formula>
    </cfRule>
  </conditionalFormatting>
  <conditionalFormatting sqref="B1317:F1317 H1317:I1317">
    <cfRule type="expression" dxfId="578" priority="565">
      <formula>$D1317=""</formula>
    </cfRule>
  </conditionalFormatting>
  <conditionalFormatting sqref="F1318">
    <cfRule type="expression" dxfId="577" priority="564">
      <formula>$D1317=""</formula>
    </cfRule>
  </conditionalFormatting>
  <conditionalFormatting sqref="B1319:F1319 H1319:I1319">
    <cfRule type="expression" dxfId="576" priority="563">
      <formula>$D1319=""</formula>
    </cfRule>
  </conditionalFormatting>
  <conditionalFormatting sqref="F1320">
    <cfRule type="expression" dxfId="575" priority="562">
      <formula>$D1319=""</formula>
    </cfRule>
  </conditionalFormatting>
  <conditionalFormatting sqref="B1321:F1321 H1321:I1321">
    <cfRule type="expression" dxfId="574" priority="561">
      <formula>$D1321=""</formula>
    </cfRule>
  </conditionalFormatting>
  <conditionalFormatting sqref="F1322">
    <cfRule type="expression" dxfId="573" priority="560">
      <formula>$D1321=""</formula>
    </cfRule>
  </conditionalFormatting>
  <conditionalFormatting sqref="B1323:F1323 H1323:I1323">
    <cfRule type="expression" dxfId="572" priority="559">
      <formula>$D1323=""</formula>
    </cfRule>
  </conditionalFormatting>
  <conditionalFormatting sqref="F1324">
    <cfRule type="expression" dxfId="571" priority="558">
      <formula>$D1323=""</formula>
    </cfRule>
  </conditionalFormatting>
  <conditionalFormatting sqref="B1325:F1325 H1325:I1325">
    <cfRule type="expression" dxfId="570" priority="557">
      <formula>$D1325=""</formula>
    </cfRule>
  </conditionalFormatting>
  <conditionalFormatting sqref="F1326">
    <cfRule type="expression" dxfId="569" priority="556">
      <formula>$D1325=""</formula>
    </cfRule>
  </conditionalFormatting>
  <conditionalFormatting sqref="B1327:F1327 H1327:I1327">
    <cfRule type="expression" dxfId="568" priority="555">
      <formula>$D1327=""</formula>
    </cfRule>
  </conditionalFormatting>
  <conditionalFormatting sqref="F1328">
    <cfRule type="expression" dxfId="567" priority="554">
      <formula>$D1327=""</formula>
    </cfRule>
  </conditionalFormatting>
  <conditionalFormatting sqref="B1329:F1329 H1329:I1329">
    <cfRule type="expression" dxfId="566" priority="553">
      <formula>$D1329=""</formula>
    </cfRule>
  </conditionalFormatting>
  <conditionalFormatting sqref="F1330">
    <cfRule type="expression" dxfId="565" priority="552">
      <formula>$D1329=""</formula>
    </cfRule>
  </conditionalFormatting>
  <conditionalFormatting sqref="B1331:F1331 H1331:I1331">
    <cfRule type="expression" dxfId="564" priority="551">
      <formula>$D1331=""</formula>
    </cfRule>
  </conditionalFormatting>
  <conditionalFormatting sqref="F1332">
    <cfRule type="expression" dxfId="563" priority="550">
      <formula>$D1331=""</formula>
    </cfRule>
  </conditionalFormatting>
  <conditionalFormatting sqref="B1333:F1333 H1333:I1333">
    <cfRule type="expression" dxfId="562" priority="549">
      <formula>$D1333=""</formula>
    </cfRule>
  </conditionalFormatting>
  <conditionalFormatting sqref="F1334">
    <cfRule type="expression" dxfId="561" priority="548">
      <formula>$D1333=""</formula>
    </cfRule>
  </conditionalFormatting>
  <conditionalFormatting sqref="B1335:F1335 H1335:I1335">
    <cfRule type="expression" dxfId="560" priority="547">
      <formula>$D1335=""</formula>
    </cfRule>
  </conditionalFormatting>
  <conditionalFormatting sqref="F1336">
    <cfRule type="expression" dxfId="559" priority="546">
      <formula>$D1335=""</formula>
    </cfRule>
  </conditionalFormatting>
  <conditionalFormatting sqref="B1337:F1337 H1337:I1337">
    <cfRule type="expression" dxfId="558" priority="545">
      <formula>$D1337=""</formula>
    </cfRule>
  </conditionalFormatting>
  <conditionalFormatting sqref="F1338">
    <cfRule type="expression" dxfId="557" priority="544">
      <formula>$D1337=""</formula>
    </cfRule>
  </conditionalFormatting>
  <conditionalFormatting sqref="B1339:F1339 H1339:I1339">
    <cfRule type="expression" dxfId="556" priority="543">
      <formula>$D1339=""</formula>
    </cfRule>
  </conditionalFormatting>
  <conditionalFormatting sqref="F1340">
    <cfRule type="expression" dxfId="555" priority="542">
      <formula>$D1339=""</formula>
    </cfRule>
  </conditionalFormatting>
  <conditionalFormatting sqref="B1341:F1341">
    <cfRule type="expression" dxfId="554" priority="541">
      <formula>$D1341=""</formula>
    </cfRule>
  </conditionalFormatting>
  <conditionalFormatting sqref="F1342">
    <cfRule type="expression" dxfId="553" priority="540">
      <formula>$D1341=""</formula>
    </cfRule>
  </conditionalFormatting>
  <conditionalFormatting sqref="B1343:F1343">
    <cfRule type="expression" dxfId="552" priority="539">
      <formula>$D1343=""</formula>
    </cfRule>
  </conditionalFormatting>
  <conditionalFormatting sqref="F1344">
    <cfRule type="expression" dxfId="551" priority="538">
      <formula>$D1343=""</formula>
    </cfRule>
  </conditionalFormatting>
  <conditionalFormatting sqref="B1345:F1345">
    <cfRule type="expression" dxfId="550" priority="537">
      <formula>$D1345=""</formula>
    </cfRule>
  </conditionalFormatting>
  <conditionalFormatting sqref="F1346">
    <cfRule type="expression" dxfId="549" priority="536">
      <formula>$D1345=""</formula>
    </cfRule>
  </conditionalFormatting>
  <conditionalFormatting sqref="B1347:F1347">
    <cfRule type="expression" dxfId="548" priority="535">
      <formula>$D1347=""</formula>
    </cfRule>
  </conditionalFormatting>
  <conditionalFormatting sqref="F1348">
    <cfRule type="expression" dxfId="547" priority="534">
      <formula>$D1347=""</formula>
    </cfRule>
  </conditionalFormatting>
  <conditionalFormatting sqref="B1349:F1349">
    <cfRule type="expression" dxfId="546" priority="533">
      <formula>$D1349=""</formula>
    </cfRule>
  </conditionalFormatting>
  <conditionalFormatting sqref="F1350">
    <cfRule type="expression" dxfId="545" priority="532">
      <formula>$D1349=""</formula>
    </cfRule>
  </conditionalFormatting>
  <conditionalFormatting sqref="B1351:F1351 H1351:I1351">
    <cfRule type="expression" dxfId="544" priority="531">
      <formula>$D1351=""</formula>
    </cfRule>
  </conditionalFormatting>
  <conditionalFormatting sqref="F1352">
    <cfRule type="expression" dxfId="543" priority="530">
      <formula>$D1351=""</formula>
    </cfRule>
  </conditionalFormatting>
  <conditionalFormatting sqref="B1353:F1353 H1353:I1353">
    <cfRule type="expression" dxfId="542" priority="529">
      <formula>$D1353=""</formula>
    </cfRule>
  </conditionalFormatting>
  <conditionalFormatting sqref="F1354">
    <cfRule type="expression" dxfId="541" priority="528">
      <formula>$D1353=""</formula>
    </cfRule>
  </conditionalFormatting>
  <conditionalFormatting sqref="B1355:F1355 H1355:I1355">
    <cfRule type="expression" dxfId="540" priority="527">
      <formula>$D1355=""</formula>
    </cfRule>
  </conditionalFormatting>
  <conditionalFormatting sqref="F1356">
    <cfRule type="expression" dxfId="539" priority="526">
      <formula>$D1355=""</formula>
    </cfRule>
  </conditionalFormatting>
  <conditionalFormatting sqref="B1357:F1357 H1357:I1357">
    <cfRule type="expression" dxfId="538" priority="525">
      <formula>$D1357=""</formula>
    </cfRule>
  </conditionalFormatting>
  <conditionalFormatting sqref="F1358">
    <cfRule type="expression" dxfId="537" priority="524">
      <formula>$D1357=""</formula>
    </cfRule>
  </conditionalFormatting>
  <conditionalFormatting sqref="B1359:F1359 H1359:I1359">
    <cfRule type="expression" dxfId="536" priority="523">
      <formula>$D1359=""</formula>
    </cfRule>
  </conditionalFormatting>
  <conditionalFormatting sqref="F1360">
    <cfRule type="expression" dxfId="535" priority="522">
      <formula>$D1359=""</formula>
    </cfRule>
  </conditionalFormatting>
  <conditionalFormatting sqref="B1361:F1361 H1361:I1361">
    <cfRule type="expression" dxfId="534" priority="521">
      <formula>$D1361=""</formula>
    </cfRule>
  </conditionalFormatting>
  <conditionalFormatting sqref="F1362">
    <cfRule type="expression" dxfId="533" priority="520">
      <formula>$D1361=""</formula>
    </cfRule>
  </conditionalFormatting>
  <conditionalFormatting sqref="B1363:F1363 H1363:I1363">
    <cfRule type="expression" dxfId="532" priority="519">
      <formula>$D1363=""</formula>
    </cfRule>
  </conditionalFormatting>
  <conditionalFormatting sqref="F1364">
    <cfRule type="expression" dxfId="531" priority="518">
      <formula>$D1363=""</formula>
    </cfRule>
  </conditionalFormatting>
  <conditionalFormatting sqref="B1365:F1365 H1365:I1365">
    <cfRule type="expression" dxfId="530" priority="517">
      <formula>$D1365=""</formula>
    </cfRule>
  </conditionalFormatting>
  <conditionalFormatting sqref="F1366">
    <cfRule type="expression" dxfId="529" priority="516">
      <formula>$D1365=""</formula>
    </cfRule>
  </conditionalFormatting>
  <conditionalFormatting sqref="B1367:F1367 H1367:I1367">
    <cfRule type="expression" dxfId="528" priority="515">
      <formula>$D1367=""</formula>
    </cfRule>
  </conditionalFormatting>
  <conditionalFormatting sqref="F1368">
    <cfRule type="expression" dxfId="527" priority="514">
      <formula>$D1367=""</formula>
    </cfRule>
  </conditionalFormatting>
  <conditionalFormatting sqref="B1369:F1369 H1369:I1369">
    <cfRule type="expression" dxfId="526" priority="513">
      <formula>$D1369=""</formula>
    </cfRule>
  </conditionalFormatting>
  <conditionalFormatting sqref="F1370">
    <cfRule type="expression" dxfId="525" priority="512">
      <formula>$D1369=""</formula>
    </cfRule>
  </conditionalFormatting>
  <conditionalFormatting sqref="B1371:F1371 H1371:I1371">
    <cfRule type="expression" dxfId="524" priority="511">
      <formula>$D1371=""</formula>
    </cfRule>
  </conditionalFormatting>
  <conditionalFormatting sqref="F1372">
    <cfRule type="expression" dxfId="523" priority="510">
      <formula>$D1371=""</formula>
    </cfRule>
  </conditionalFormatting>
  <conditionalFormatting sqref="B1373:F1373 H1373:I1373">
    <cfRule type="expression" dxfId="522" priority="509">
      <formula>$D1373=""</formula>
    </cfRule>
  </conditionalFormatting>
  <conditionalFormatting sqref="F1374">
    <cfRule type="expression" dxfId="521" priority="508">
      <formula>$D1373=""</formula>
    </cfRule>
  </conditionalFormatting>
  <conditionalFormatting sqref="B1375:F1375 H1375:I1375">
    <cfRule type="expression" dxfId="520" priority="507">
      <formula>$D1375=""</formula>
    </cfRule>
  </conditionalFormatting>
  <conditionalFormatting sqref="F1376">
    <cfRule type="expression" dxfId="519" priority="506">
      <formula>$D1375=""</formula>
    </cfRule>
  </conditionalFormatting>
  <conditionalFormatting sqref="B1377:F1377 H1377:I1377">
    <cfRule type="expression" dxfId="518" priority="505">
      <formula>$D1377=""</formula>
    </cfRule>
  </conditionalFormatting>
  <conditionalFormatting sqref="F1378">
    <cfRule type="expression" dxfId="517" priority="504">
      <formula>$D1377=""</formula>
    </cfRule>
  </conditionalFormatting>
  <conditionalFormatting sqref="B1379:F1379 H1379:I1379">
    <cfRule type="expression" dxfId="516" priority="503">
      <formula>$D1379=""</formula>
    </cfRule>
  </conditionalFormatting>
  <conditionalFormatting sqref="F1380">
    <cfRule type="expression" dxfId="515" priority="502">
      <formula>$D1379=""</formula>
    </cfRule>
  </conditionalFormatting>
  <conditionalFormatting sqref="B1381:F1381">
    <cfRule type="expression" dxfId="514" priority="501">
      <formula>$D1381=""</formula>
    </cfRule>
  </conditionalFormatting>
  <conditionalFormatting sqref="F1382">
    <cfRule type="expression" dxfId="513" priority="500">
      <formula>$D1381=""</formula>
    </cfRule>
  </conditionalFormatting>
  <conditionalFormatting sqref="B1383:F1383">
    <cfRule type="expression" dxfId="512" priority="499">
      <formula>$D1383=""</formula>
    </cfRule>
  </conditionalFormatting>
  <conditionalFormatting sqref="F1384">
    <cfRule type="expression" dxfId="511" priority="498">
      <formula>$D1383=""</formula>
    </cfRule>
  </conditionalFormatting>
  <conditionalFormatting sqref="B1385:F1385">
    <cfRule type="expression" dxfId="510" priority="497">
      <formula>$D1385=""</formula>
    </cfRule>
  </conditionalFormatting>
  <conditionalFormatting sqref="F1386">
    <cfRule type="expression" dxfId="509" priority="496">
      <formula>$D1385=""</formula>
    </cfRule>
  </conditionalFormatting>
  <conditionalFormatting sqref="B1387:F1387">
    <cfRule type="expression" dxfId="508" priority="495">
      <formula>$D1387=""</formula>
    </cfRule>
  </conditionalFormatting>
  <conditionalFormatting sqref="F1388">
    <cfRule type="expression" dxfId="507" priority="494">
      <formula>$D1387=""</formula>
    </cfRule>
  </conditionalFormatting>
  <conditionalFormatting sqref="B1389:F1389">
    <cfRule type="expression" dxfId="506" priority="493">
      <formula>$D1389=""</formula>
    </cfRule>
  </conditionalFormatting>
  <conditionalFormatting sqref="F1390">
    <cfRule type="expression" dxfId="505" priority="492">
      <formula>$D1389=""</formula>
    </cfRule>
  </conditionalFormatting>
  <conditionalFormatting sqref="B1391:F1391">
    <cfRule type="expression" dxfId="504" priority="491">
      <formula>$D1391=""</formula>
    </cfRule>
  </conditionalFormatting>
  <conditionalFormatting sqref="F1392">
    <cfRule type="expression" dxfId="503" priority="490">
      <formula>$D1391=""</formula>
    </cfRule>
  </conditionalFormatting>
  <conditionalFormatting sqref="B1393:F1393">
    <cfRule type="expression" dxfId="502" priority="489">
      <formula>$D1393=""</formula>
    </cfRule>
  </conditionalFormatting>
  <conditionalFormatting sqref="F1394">
    <cfRule type="expression" dxfId="501" priority="488">
      <formula>$D1393=""</formula>
    </cfRule>
  </conditionalFormatting>
  <conditionalFormatting sqref="B1395:F1395">
    <cfRule type="expression" dxfId="500" priority="487">
      <formula>$D1395=""</formula>
    </cfRule>
  </conditionalFormatting>
  <conditionalFormatting sqref="F1396">
    <cfRule type="expression" dxfId="499" priority="486">
      <formula>$D1395=""</formula>
    </cfRule>
  </conditionalFormatting>
  <conditionalFormatting sqref="B1397:F1397">
    <cfRule type="expression" dxfId="498" priority="485">
      <formula>$D1397=""</formula>
    </cfRule>
  </conditionalFormatting>
  <conditionalFormatting sqref="F1398">
    <cfRule type="expression" dxfId="497" priority="484">
      <formula>$D1397=""</formula>
    </cfRule>
  </conditionalFormatting>
  <conditionalFormatting sqref="B1399:F1399">
    <cfRule type="expression" dxfId="496" priority="483">
      <formula>$D1399=""</formula>
    </cfRule>
  </conditionalFormatting>
  <conditionalFormatting sqref="F1400">
    <cfRule type="expression" dxfId="495" priority="482">
      <formula>$D1399=""</formula>
    </cfRule>
  </conditionalFormatting>
  <conditionalFormatting sqref="B1401:F1401 H1401:I1401">
    <cfRule type="expression" dxfId="494" priority="481">
      <formula>$D1401=""</formula>
    </cfRule>
  </conditionalFormatting>
  <conditionalFormatting sqref="F1402">
    <cfRule type="expression" dxfId="493" priority="480">
      <formula>$D1401=""</formula>
    </cfRule>
  </conditionalFormatting>
  <conditionalFormatting sqref="B1403:F1403 H1403:I1403">
    <cfRule type="expression" dxfId="492" priority="479">
      <formula>$D1403=""</formula>
    </cfRule>
  </conditionalFormatting>
  <conditionalFormatting sqref="F1404">
    <cfRule type="expression" dxfId="491" priority="478">
      <formula>$D1403=""</formula>
    </cfRule>
  </conditionalFormatting>
  <conditionalFormatting sqref="B1405:F1405 H1405:I1405">
    <cfRule type="expression" dxfId="490" priority="477">
      <formula>$D1405=""</formula>
    </cfRule>
  </conditionalFormatting>
  <conditionalFormatting sqref="F1406">
    <cfRule type="expression" dxfId="489" priority="476">
      <formula>$D1405=""</formula>
    </cfRule>
  </conditionalFormatting>
  <conditionalFormatting sqref="B1407:F1407 H1407:I1407">
    <cfRule type="expression" dxfId="488" priority="475">
      <formula>$D1407=""</formula>
    </cfRule>
  </conditionalFormatting>
  <conditionalFormatting sqref="F1408">
    <cfRule type="expression" dxfId="487" priority="474">
      <formula>$D1407=""</formula>
    </cfRule>
  </conditionalFormatting>
  <conditionalFormatting sqref="B1409:F1409 H1409:I1409">
    <cfRule type="expression" dxfId="486" priority="473">
      <formula>$D1409=""</formula>
    </cfRule>
  </conditionalFormatting>
  <conditionalFormatting sqref="F1410">
    <cfRule type="expression" dxfId="485" priority="472">
      <formula>$D1409=""</formula>
    </cfRule>
  </conditionalFormatting>
  <conditionalFormatting sqref="B1411:F1411 H1411:I1411">
    <cfRule type="expression" dxfId="484" priority="471">
      <formula>$D1411=""</formula>
    </cfRule>
  </conditionalFormatting>
  <conditionalFormatting sqref="F1412">
    <cfRule type="expression" dxfId="483" priority="470">
      <formula>$D1411=""</formula>
    </cfRule>
  </conditionalFormatting>
  <conditionalFormatting sqref="B1413:F1413 H1413:I1413">
    <cfRule type="expression" dxfId="482" priority="469">
      <formula>$D1413=""</formula>
    </cfRule>
  </conditionalFormatting>
  <conditionalFormatting sqref="F1414">
    <cfRule type="expression" dxfId="481" priority="468">
      <formula>$D1413=""</formula>
    </cfRule>
  </conditionalFormatting>
  <conditionalFormatting sqref="B1415:F1415 H1415:I1415">
    <cfRule type="expression" dxfId="480" priority="467">
      <formula>$D1415=""</formula>
    </cfRule>
  </conditionalFormatting>
  <conditionalFormatting sqref="F1416">
    <cfRule type="expression" dxfId="479" priority="466">
      <formula>$D1415=""</formula>
    </cfRule>
  </conditionalFormatting>
  <conditionalFormatting sqref="B1417:F1417 H1417:I1417">
    <cfRule type="expression" dxfId="478" priority="465">
      <formula>$D1417=""</formula>
    </cfRule>
  </conditionalFormatting>
  <conditionalFormatting sqref="F1418">
    <cfRule type="expression" dxfId="477" priority="464">
      <formula>$D1417=""</formula>
    </cfRule>
  </conditionalFormatting>
  <conditionalFormatting sqref="B1419:F1419 H1419:I1419">
    <cfRule type="expression" dxfId="476" priority="463">
      <formula>$D1419=""</formula>
    </cfRule>
  </conditionalFormatting>
  <conditionalFormatting sqref="F1420">
    <cfRule type="expression" dxfId="475" priority="462">
      <formula>$D1419=""</formula>
    </cfRule>
  </conditionalFormatting>
  <conditionalFormatting sqref="B1421:F1421 H1421:I1421">
    <cfRule type="expression" dxfId="474" priority="461">
      <formula>$D1421=""</formula>
    </cfRule>
  </conditionalFormatting>
  <conditionalFormatting sqref="F1422">
    <cfRule type="expression" dxfId="473" priority="460">
      <formula>$D1421=""</formula>
    </cfRule>
  </conditionalFormatting>
  <conditionalFormatting sqref="B1423:F1423 H1423:I1423">
    <cfRule type="expression" dxfId="472" priority="459">
      <formula>$D1423=""</formula>
    </cfRule>
  </conditionalFormatting>
  <conditionalFormatting sqref="F1424">
    <cfRule type="expression" dxfId="471" priority="458">
      <formula>$D1423=""</formula>
    </cfRule>
  </conditionalFormatting>
  <conditionalFormatting sqref="B1425:F1425 H1425:I1425">
    <cfRule type="expression" dxfId="470" priority="457">
      <formula>$D1425=""</formula>
    </cfRule>
  </conditionalFormatting>
  <conditionalFormatting sqref="F1426">
    <cfRule type="expression" dxfId="469" priority="456">
      <formula>$D1425=""</formula>
    </cfRule>
  </conditionalFormatting>
  <conditionalFormatting sqref="B1427:F1427 H1427:I1427">
    <cfRule type="expression" dxfId="468" priority="455">
      <formula>$D1427=""</formula>
    </cfRule>
  </conditionalFormatting>
  <conditionalFormatting sqref="F1428">
    <cfRule type="expression" dxfId="467" priority="454">
      <formula>$D1427=""</formula>
    </cfRule>
  </conditionalFormatting>
  <conditionalFormatting sqref="B1429:F1429 H1429:I1429">
    <cfRule type="expression" dxfId="466" priority="453">
      <formula>$D1429=""</formula>
    </cfRule>
  </conditionalFormatting>
  <conditionalFormatting sqref="F1430">
    <cfRule type="expression" dxfId="465" priority="452">
      <formula>$D1429=""</formula>
    </cfRule>
  </conditionalFormatting>
  <conditionalFormatting sqref="B1431:F1431 H1431:I1431">
    <cfRule type="expression" dxfId="464" priority="451">
      <formula>$D1431=""</formula>
    </cfRule>
  </conditionalFormatting>
  <conditionalFormatting sqref="F1432">
    <cfRule type="expression" dxfId="463" priority="450">
      <formula>$D1431=""</formula>
    </cfRule>
  </conditionalFormatting>
  <conditionalFormatting sqref="B1433:F1433 H1433:I1433">
    <cfRule type="expression" dxfId="462" priority="449">
      <formula>$D1433=""</formula>
    </cfRule>
  </conditionalFormatting>
  <conditionalFormatting sqref="F1434">
    <cfRule type="expression" dxfId="461" priority="448">
      <formula>$D1433=""</formula>
    </cfRule>
  </conditionalFormatting>
  <conditionalFormatting sqref="B1435:F1435 H1435:I1435">
    <cfRule type="expression" dxfId="460" priority="447">
      <formula>$D1435=""</formula>
    </cfRule>
  </conditionalFormatting>
  <conditionalFormatting sqref="F1436">
    <cfRule type="expression" dxfId="459" priority="446">
      <formula>$D1435=""</formula>
    </cfRule>
  </conditionalFormatting>
  <conditionalFormatting sqref="B1437:F1437 H1437:I1437">
    <cfRule type="expression" dxfId="458" priority="445">
      <formula>$D1437=""</formula>
    </cfRule>
  </conditionalFormatting>
  <conditionalFormatting sqref="F1438">
    <cfRule type="expression" dxfId="457" priority="444">
      <formula>$D1437=""</formula>
    </cfRule>
  </conditionalFormatting>
  <conditionalFormatting sqref="B1439:F1439 H1439:I1439">
    <cfRule type="expression" dxfId="456" priority="443">
      <formula>$D1439=""</formula>
    </cfRule>
  </conditionalFormatting>
  <conditionalFormatting sqref="F1440">
    <cfRule type="expression" dxfId="455" priority="442">
      <formula>$D1439=""</formula>
    </cfRule>
  </conditionalFormatting>
  <conditionalFormatting sqref="B1441:F1441 H1441:I1441">
    <cfRule type="expression" dxfId="454" priority="441">
      <formula>$D1441=""</formula>
    </cfRule>
  </conditionalFormatting>
  <conditionalFormatting sqref="F1442">
    <cfRule type="expression" dxfId="453" priority="440">
      <formula>$D1441=""</formula>
    </cfRule>
  </conditionalFormatting>
  <conditionalFormatting sqref="B1443:F1443 H1443:I1443">
    <cfRule type="expression" dxfId="452" priority="439">
      <formula>$D1443=""</formula>
    </cfRule>
  </conditionalFormatting>
  <conditionalFormatting sqref="F1444">
    <cfRule type="expression" dxfId="451" priority="438">
      <formula>$D1443=""</formula>
    </cfRule>
  </conditionalFormatting>
  <conditionalFormatting sqref="B1445:F1445 H1445:I1445">
    <cfRule type="expression" dxfId="450" priority="437">
      <formula>$D1445=""</formula>
    </cfRule>
  </conditionalFormatting>
  <conditionalFormatting sqref="F1446">
    <cfRule type="expression" dxfId="449" priority="436">
      <formula>$D1445=""</formula>
    </cfRule>
  </conditionalFormatting>
  <conditionalFormatting sqref="B1447:F1447 H1447:I1447">
    <cfRule type="expression" dxfId="448" priority="435">
      <formula>$D1447=""</formula>
    </cfRule>
  </conditionalFormatting>
  <conditionalFormatting sqref="F1448">
    <cfRule type="expression" dxfId="447" priority="434">
      <formula>$D1447=""</formula>
    </cfRule>
  </conditionalFormatting>
  <conditionalFormatting sqref="B1449:F1449 H1449:I1449">
    <cfRule type="expression" dxfId="446" priority="433">
      <formula>$D1449=""</formula>
    </cfRule>
  </conditionalFormatting>
  <conditionalFormatting sqref="F1450">
    <cfRule type="expression" dxfId="445" priority="432">
      <formula>$D1449=""</formula>
    </cfRule>
  </conditionalFormatting>
  <conditionalFormatting sqref="B1451:F1451 H1451:I1451">
    <cfRule type="expression" dxfId="444" priority="431">
      <formula>$D1451=""</formula>
    </cfRule>
  </conditionalFormatting>
  <conditionalFormatting sqref="F1452">
    <cfRule type="expression" dxfId="443" priority="430">
      <formula>$D1451=""</formula>
    </cfRule>
  </conditionalFormatting>
  <conditionalFormatting sqref="B1453:F1453 H1453:I1453">
    <cfRule type="expression" dxfId="442" priority="429">
      <formula>$D1453=""</formula>
    </cfRule>
  </conditionalFormatting>
  <conditionalFormatting sqref="F1454">
    <cfRule type="expression" dxfId="441" priority="428">
      <formula>$D1453=""</formula>
    </cfRule>
  </conditionalFormatting>
  <conditionalFormatting sqref="B1455:F1455 H1455:I1455">
    <cfRule type="expression" dxfId="440" priority="427">
      <formula>$D1455=""</formula>
    </cfRule>
  </conditionalFormatting>
  <conditionalFormatting sqref="F1456">
    <cfRule type="expression" dxfId="439" priority="426">
      <formula>$D1455=""</formula>
    </cfRule>
  </conditionalFormatting>
  <conditionalFormatting sqref="B1457:F1457 H1457:I1457">
    <cfRule type="expression" dxfId="438" priority="425">
      <formula>$D1457=""</formula>
    </cfRule>
  </conditionalFormatting>
  <conditionalFormatting sqref="F1458">
    <cfRule type="expression" dxfId="437" priority="424">
      <formula>$D1457=""</formula>
    </cfRule>
  </conditionalFormatting>
  <conditionalFormatting sqref="B1459:F1459 H1459:I1459">
    <cfRule type="expression" dxfId="436" priority="423">
      <formula>$D1459=""</formula>
    </cfRule>
  </conditionalFormatting>
  <conditionalFormatting sqref="F1460">
    <cfRule type="expression" dxfId="435" priority="422">
      <formula>$D1459=""</formula>
    </cfRule>
  </conditionalFormatting>
  <conditionalFormatting sqref="B1461:F1461 H1461:I1461">
    <cfRule type="expression" dxfId="434" priority="421">
      <formula>$D1461=""</formula>
    </cfRule>
  </conditionalFormatting>
  <conditionalFormatting sqref="F1462">
    <cfRule type="expression" dxfId="433" priority="420">
      <formula>$D1461=""</formula>
    </cfRule>
  </conditionalFormatting>
  <conditionalFormatting sqref="B1463:F1463 H1463:I1463">
    <cfRule type="expression" dxfId="432" priority="419">
      <formula>$D1463=""</formula>
    </cfRule>
  </conditionalFormatting>
  <conditionalFormatting sqref="F1464">
    <cfRule type="expression" dxfId="431" priority="418">
      <formula>$D1463=""</formula>
    </cfRule>
  </conditionalFormatting>
  <conditionalFormatting sqref="B1465:F1465 H1465:I1465">
    <cfRule type="expression" dxfId="430" priority="417">
      <formula>$D1465=""</formula>
    </cfRule>
  </conditionalFormatting>
  <conditionalFormatting sqref="F1466">
    <cfRule type="expression" dxfId="429" priority="416">
      <formula>$D1465=""</formula>
    </cfRule>
  </conditionalFormatting>
  <conditionalFormatting sqref="B1467:F1467 H1467:I1467">
    <cfRule type="expression" dxfId="428" priority="415">
      <formula>$D1467=""</formula>
    </cfRule>
  </conditionalFormatting>
  <conditionalFormatting sqref="F1468">
    <cfRule type="expression" dxfId="427" priority="414">
      <formula>$D1467=""</formula>
    </cfRule>
  </conditionalFormatting>
  <conditionalFormatting sqref="B1469:F1469 H1469:I1469">
    <cfRule type="expression" dxfId="426" priority="413">
      <formula>$D1469=""</formula>
    </cfRule>
  </conditionalFormatting>
  <conditionalFormatting sqref="F1470">
    <cfRule type="expression" dxfId="425" priority="412">
      <formula>$D1469=""</formula>
    </cfRule>
  </conditionalFormatting>
  <conditionalFormatting sqref="B1471:F1471 H1471:I1471">
    <cfRule type="expression" dxfId="424" priority="411">
      <formula>$D1471=""</formula>
    </cfRule>
  </conditionalFormatting>
  <conditionalFormatting sqref="F1472">
    <cfRule type="expression" dxfId="423" priority="410">
      <formula>$D1471=""</formula>
    </cfRule>
  </conditionalFormatting>
  <conditionalFormatting sqref="B1473:F1473 H1473:I1473">
    <cfRule type="expression" dxfId="422" priority="409">
      <formula>$D1473=""</formula>
    </cfRule>
  </conditionalFormatting>
  <conditionalFormatting sqref="F1474">
    <cfRule type="expression" dxfId="421" priority="408">
      <formula>$D1473=""</formula>
    </cfRule>
  </conditionalFormatting>
  <conditionalFormatting sqref="B1475:F1475 H1475:I1475">
    <cfRule type="expression" dxfId="420" priority="407">
      <formula>$D1475=""</formula>
    </cfRule>
  </conditionalFormatting>
  <conditionalFormatting sqref="F1476">
    <cfRule type="expression" dxfId="419" priority="406">
      <formula>$D1475=""</formula>
    </cfRule>
  </conditionalFormatting>
  <conditionalFormatting sqref="B1477:F1477 H1477:I1477">
    <cfRule type="expression" dxfId="418" priority="405">
      <formula>$D1477=""</formula>
    </cfRule>
  </conditionalFormatting>
  <conditionalFormatting sqref="F1478">
    <cfRule type="expression" dxfId="417" priority="404">
      <formula>$D1477=""</formula>
    </cfRule>
  </conditionalFormatting>
  <conditionalFormatting sqref="B1479:F1479 H1479:I1479">
    <cfRule type="expression" dxfId="416" priority="403">
      <formula>$D1479=""</formula>
    </cfRule>
  </conditionalFormatting>
  <conditionalFormatting sqref="F1480">
    <cfRule type="expression" dxfId="415" priority="402">
      <formula>$D1479=""</formula>
    </cfRule>
  </conditionalFormatting>
  <conditionalFormatting sqref="B1481:F1481 H1481:I1481">
    <cfRule type="expression" dxfId="414" priority="401">
      <formula>$D1481=""</formula>
    </cfRule>
  </conditionalFormatting>
  <conditionalFormatting sqref="F1482">
    <cfRule type="expression" dxfId="413" priority="400">
      <formula>$D1481=""</formula>
    </cfRule>
  </conditionalFormatting>
  <conditionalFormatting sqref="B1483:F1483 H1483:I1483">
    <cfRule type="expression" dxfId="412" priority="399">
      <formula>$D1483=""</formula>
    </cfRule>
  </conditionalFormatting>
  <conditionalFormatting sqref="F1484">
    <cfRule type="expression" dxfId="411" priority="398">
      <formula>$D1483=""</formula>
    </cfRule>
  </conditionalFormatting>
  <conditionalFormatting sqref="B1485:F1485 H1485:I1485">
    <cfRule type="expression" dxfId="410" priority="397">
      <formula>$D1485=""</formula>
    </cfRule>
  </conditionalFormatting>
  <conditionalFormatting sqref="F1486">
    <cfRule type="expression" dxfId="409" priority="396">
      <formula>$D1485=""</formula>
    </cfRule>
  </conditionalFormatting>
  <conditionalFormatting sqref="B1487:F1487 H1487:I1487">
    <cfRule type="expression" dxfId="408" priority="395">
      <formula>$D1487=""</formula>
    </cfRule>
  </conditionalFormatting>
  <conditionalFormatting sqref="F1488">
    <cfRule type="expression" dxfId="407" priority="394">
      <formula>$D1487=""</formula>
    </cfRule>
  </conditionalFormatting>
  <conditionalFormatting sqref="B1489:F1489 H1489:I1489">
    <cfRule type="expression" dxfId="406" priority="393">
      <formula>$D1489=""</formula>
    </cfRule>
  </conditionalFormatting>
  <conditionalFormatting sqref="F1490">
    <cfRule type="expression" dxfId="405" priority="392">
      <formula>$D1489=""</formula>
    </cfRule>
  </conditionalFormatting>
  <conditionalFormatting sqref="B1491:F1491 H1491:I1491">
    <cfRule type="expression" dxfId="404" priority="391">
      <formula>$D1491=""</formula>
    </cfRule>
  </conditionalFormatting>
  <conditionalFormatting sqref="F1492">
    <cfRule type="expression" dxfId="403" priority="390">
      <formula>$D1491=""</formula>
    </cfRule>
  </conditionalFormatting>
  <conditionalFormatting sqref="B1493:F1493 H1493:I1493">
    <cfRule type="expression" dxfId="402" priority="389">
      <formula>$D1493=""</formula>
    </cfRule>
  </conditionalFormatting>
  <conditionalFormatting sqref="F1494">
    <cfRule type="expression" dxfId="401" priority="388">
      <formula>$D1493=""</formula>
    </cfRule>
  </conditionalFormatting>
  <conditionalFormatting sqref="B1495:F1495 H1495:I1495">
    <cfRule type="expression" dxfId="400" priority="387">
      <formula>$D1495=""</formula>
    </cfRule>
  </conditionalFormatting>
  <conditionalFormatting sqref="F1496">
    <cfRule type="expression" dxfId="399" priority="386">
      <formula>$D1495=""</formula>
    </cfRule>
  </conditionalFormatting>
  <conditionalFormatting sqref="B1497:F1497 H1497:I1497">
    <cfRule type="expression" dxfId="398" priority="385">
      <formula>$D1497=""</formula>
    </cfRule>
  </conditionalFormatting>
  <conditionalFormatting sqref="F1498">
    <cfRule type="expression" dxfId="397" priority="384">
      <formula>$D1497=""</formula>
    </cfRule>
  </conditionalFormatting>
  <conditionalFormatting sqref="B1499:F1499 H1499:I1499">
    <cfRule type="expression" dxfId="396" priority="383">
      <formula>$D1499=""</formula>
    </cfRule>
  </conditionalFormatting>
  <conditionalFormatting sqref="F1500">
    <cfRule type="expression" dxfId="395" priority="382">
      <formula>$D1499=""</formula>
    </cfRule>
  </conditionalFormatting>
  <conditionalFormatting sqref="B1501:F1501 H1501:I1501">
    <cfRule type="expression" dxfId="394" priority="381">
      <formula>$D1501=""</formula>
    </cfRule>
  </conditionalFormatting>
  <conditionalFormatting sqref="F1502">
    <cfRule type="expression" dxfId="393" priority="380">
      <formula>$D1501=""</formula>
    </cfRule>
  </conditionalFormatting>
  <conditionalFormatting sqref="B1503:F1503 H1503:I1503">
    <cfRule type="expression" dxfId="392" priority="379">
      <formula>$D1503=""</formula>
    </cfRule>
  </conditionalFormatting>
  <conditionalFormatting sqref="F1504">
    <cfRule type="expression" dxfId="391" priority="378">
      <formula>$D1503=""</formula>
    </cfRule>
  </conditionalFormatting>
  <conditionalFormatting sqref="B1505:F1505 H1505:I1505">
    <cfRule type="expression" dxfId="390" priority="377">
      <formula>$D1505=""</formula>
    </cfRule>
  </conditionalFormatting>
  <conditionalFormatting sqref="F1506">
    <cfRule type="expression" dxfId="389" priority="376">
      <formula>$D1505=""</formula>
    </cfRule>
  </conditionalFormatting>
  <conditionalFormatting sqref="B1507:F1507 H1507:I1507">
    <cfRule type="expression" dxfId="388" priority="375">
      <formula>$D1507=""</formula>
    </cfRule>
  </conditionalFormatting>
  <conditionalFormatting sqref="F1508">
    <cfRule type="expression" dxfId="387" priority="374">
      <formula>$D1507=""</formula>
    </cfRule>
  </conditionalFormatting>
  <conditionalFormatting sqref="B1509:F1509 H1509:I1509">
    <cfRule type="expression" dxfId="386" priority="373">
      <formula>$D1509=""</formula>
    </cfRule>
  </conditionalFormatting>
  <conditionalFormatting sqref="F1510">
    <cfRule type="expression" dxfId="385" priority="372">
      <formula>$D1509=""</formula>
    </cfRule>
  </conditionalFormatting>
  <conditionalFormatting sqref="B1511:F1511 H1511:I1511">
    <cfRule type="expression" dxfId="384" priority="371">
      <formula>$D1511=""</formula>
    </cfRule>
  </conditionalFormatting>
  <conditionalFormatting sqref="F1512">
    <cfRule type="expression" dxfId="383" priority="370">
      <formula>$D1511=""</formula>
    </cfRule>
  </conditionalFormatting>
  <conditionalFormatting sqref="B1513:F1513 H1513:I1513">
    <cfRule type="expression" dxfId="382" priority="369">
      <formula>$D1513=""</formula>
    </cfRule>
  </conditionalFormatting>
  <conditionalFormatting sqref="F1514">
    <cfRule type="expression" dxfId="381" priority="368">
      <formula>$D1513=""</formula>
    </cfRule>
  </conditionalFormatting>
  <conditionalFormatting sqref="B1515:F1515 H1515:I1515">
    <cfRule type="expression" dxfId="380" priority="367">
      <formula>$D1515=""</formula>
    </cfRule>
  </conditionalFormatting>
  <conditionalFormatting sqref="F1516">
    <cfRule type="expression" dxfId="379" priority="366">
      <formula>$D1515=""</formula>
    </cfRule>
  </conditionalFormatting>
  <conditionalFormatting sqref="B1517:F1517 H1517:I1517">
    <cfRule type="expression" dxfId="378" priority="365">
      <formula>$D1517=""</formula>
    </cfRule>
  </conditionalFormatting>
  <conditionalFormatting sqref="F1518">
    <cfRule type="expression" dxfId="377" priority="364">
      <formula>$D1517=""</formula>
    </cfRule>
  </conditionalFormatting>
  <conditionalFormatting sqref="B1519:F1519 H1519:I1519">
    <cfRule type="expression" dxfId="376" priority="363">
      <formula>$D1519=""</formula>
    </cfRule>
  </conditionalFormatting>
  <conditionalFormatting sqref="F1520">
    <cfRule type="expression" dxfId="375" priority="362">
      <formula>$D1519=""</formula>
    </cfRule>
  </conditionalFormatting>
  <conditionalFormatting sqref="B1521:F1521 H1521:I1521">
    <cfRule type="expression" dxfId="374" priority="361">
      <formula>$D1521=""</formula>
    </cfRule>
  </conditionalFormatting>
  <conditionalFormatting sqref="F1522">
    <cfRule type="expression" dxfId="373" priority="360">
      <formula>$D1521=""</formula>
    </cfRule>
  </conditionalFormatting>
  <conditionalFormatting sqref="B1523:F1523 H1523:I1523">
    <cfRule type="expression" dxfId="372" priority="359">
      <formula>$D1523=""</formula>
    </cfRule>
  </conditionalFormatting>
  <conditionalFormatting sqref="F1524">
    <cfRule type="expression" dxfId="371" priority="358">
      <formula>$D1523=""</formula>
    </cfRule>
  </conditionalFormatting>
  <conditionalFormatting sqref="B1525:F1525 H1525:I1525">
    <cfRule type="expression" dxfId="370" priority="357">
      <formula>$D1525=""</formula>
    </cfRule>
  </conditionalFormatting>
  <conditionalFormatting sqref="F1526">
    <cfRule type="expression" dxfId="369" priority="356">
      <formula>$D1525=""</formula>
    </cfRule>
  </conditionalFormatting>
  <conditionalFormatting sqref="B1527:F1527 H1527:I1527">
    <cfRule type="expression" dxfId="368" priority="355">
      <formula>$D1527=""</formula>
    </cfRule>
  </conditionalFormatting>
  <conditionalFormatting sqref="F1528">
    <cfRule type="expression" dxfId="367" priority="354">
      <formula>$D1527=""</formula>
    </cfRule>
  </conditionalFormatting>
  <conditionalFormatting sqref="B1529:F1529 H1529:I1529">
    <cfRule type="expression" dxfId="366" priority="353">
      <formula>$D1529=""</formula>
    </cfRule>
  </conditionalFormatting>
  <conditionalFormatting sqref="F1530">
    <cfRule type="expression" dxfId="365" priority="352">
      <formula>$D1529=""</formula>
    </cfRule>
  </conditionalFormatting>
  <conditionalFormatting sqref="B1531:F1531 H1531:I1531">
    <cfRule type="expression" dxfId="364" priority="351">
      <formula>$D1531=""</formula>
    </cfRule>
  </conditionalFormatting>
  <conditionalFormatting sqref="F1532">
    <cfRule type="expression" dxfId="363" priority="350">
      <formula>$D1531=""</formula>
    </cfRule>
  </conditionalFormatting>
  <conditionalFormatting sqref="B1533:F1533 H1533:I1533">
    <cfRule type="expression" dxfId="362" priority="349">
      <formula>$D1533=""</formula>
    </cfRule>
  </conditionalFormatting>
  <conditionalFormatting sqref="F1534">
    <cfRule type="expression" dxfId="361" priority="348">
      <formula>$D1533=""</formula>
    </cfRule>
  </conditionalFormatting>
  <conditionalFormatting sqref="B1535:F1535 H1535:I1535">
    <cfRule type="expression" dxfId="360" priority="347">
      <formula>$D1535=""</formula>
    </cfRule>
  </conditionalFormatting>
  <conditionalFormatting sqref="F1536">
    <cfRule type="expression" dxfId="359" priority="346">
      <formula>$D1535=""</formula>
    </cfRule>
  </conditionalFormatting>
  <conditionalFormatting sqref="B1537:F1537 H1537:I1537">
    <cfRule type="expression" dxfId="358" priority="345">
      <formula>$D1537=""</formula>
    </cfRule>
  </conditionalFormatting>
  <conditionalFormatting sqref="F1538">
    <cfRule type="expression" dxfId="357" priority="344">
      <formula>$D1537=""</formula>
    </cfRule>
  </conditionalFormatting>
  <conditionalFormatting sqref="B1539:F1539 H1539:I1539">
    <cfRule type="expression" dxfId="356" priority="343">
      <formula>$D1539=""</formula>
    </cfRule>
  </conditionalFormatting>
  <conditionalFormatting sqref="F1540">
    <cfRule type="expression" dxfId="355" priority="342">
      <formula>$D1539=""</formula>
    </cfRule>
  </conditionalFormatting>
  <conditionalFormatting sqref="B1541:F1541 H1541:I1541">
    <cfRule type="expression" dxfId="354" priority="341">
      <formula>$D1541=""</formula>
    </cfRule>
  </conditionalFormatting>
  <conditionalFormatting sqref="F1542">
    <cfRule type="expression" dxfId="353" priority="340">
      <formula>$D1541=""</formula>
    </cfRule>
  </conditionalFormatting>
  <conditionalFormatting sqref="B1543:F1543 H1543:I1543">
    <cfRule type="expression" dxfId="352" priority="339">
      <formula>$D1543=""</formula>
    </cfRule>
  </conditionalFormatting>
  <conditionalFormatting sqref="F1544">
    <cfRule type="expression" dxfId="351" priority="338">
      <formula>$D1543=""</formula>
    </cfRule>
  </conditionalFormatting>
  <conditionalFormatting sqref="B1545:F1545 H1545:I1545">
    <cfRule type="expression" dxfId="350" priority="337">
      <formula>$D1545=""</formula>
    </cfRule>
  </conditionalFormatting>
  <conditionalFormatting sqref="F1546">
    <cfRule type="expression" dxfId="349" priority="336">
      <formula>$D1545=""</formula>
    </cfRule>
  </conditionalFormatting>
  <conditionalFormatting sqref="B1547:F1547 H1547:I1547">
    <cfRule type="expression" dxfId="348" priority="335">
      <formula>$D1547=""</formula>
    </cfRule>
  </conditionalFormatting>
  <conditionalFormatting sqref="F1548">
    <cfRule type="expression" dxfId="347" priority="334">
      <formula>$D1547=""</formula>
    </cfRule>
  </conditionalFormatting>
  <conditionalFormatting sqref="B1549:F1549 H1549:I1549">
    <cfRule type="expression" dxfId="346" priority="333">
      <formula>$D1549=""</formula>
    </cfRule>
  </conditionalFormatting>
  <conditionalFormatting sqref="F1550">
    <cfRule type="expression" dxfId="345" priority="332">
      <formula>$D1549=""</formula>
    </cfRule>
  </conditionalFormatting>
  <conditionalFormatting sqref="B1551:F1551 H1551:I1551">
    <cfRule type="expression" dxfId="344" priority="331">
      <formula>$D1551=""</formula>
    </cfRule>
  </conditionalFormatting>
  <conditionalFormatting sqref="F1552">
    <cfRule type="expression" dxfId="343" priority="330">
      <formula>$D1551=""</formula>
    </cfRule>
  </conditionalFormatting>
  <conditionalFormatting sqref="B1553:F1553 H1553:I1553">
    <cfRule type="expression" dxfId="342" priority="329">
      <formula>$D1553=""</formula>
    </cfRule>
  </conditionalFormatting>
  <conditionalFormatting sqref="F1554">
    <cfRule type="expression" dxfId="341" priority="328">
      <formula>$D1553=""</formula>
    </cfRule>
  </conditionalFormatting>
  <conditionalFormatting sqref="B1555:F1555 H1555:I1555">
    <cfRule type="expression" dxfId="340" priority="327">
      <formula>$D1555=""</formula>
    </cfRule>
  </conditionalFormatting>
  <conditionalFormatting sqref="F1556">
    <cfRule type="expression" dxfId="339" priority="326">
      <formula>$D1555=""</formula>
    </cfRule>
  </conditionalFormatting>
  <conditionalFormatting sqref="B1557:F1557 H1557:I1557">
    <cfRule type="expression" dxfId="338" priority="325">
      <formula>$D1557=""</formula>
    </cfRule>
  </conditionalFormatting>
  <conditionalFormatting sqref="F1558">
    <cfRule type="expression" dxfId="337" priority="324">
      <formula>$D1557=""</formula>
    </cfRule>
  </conditionalFormatting>
  <conditionalFormatting sqref="B1559:F1559 H1559:I1559">
    <cfRule type="expression" dxfId="336" priority="323">
      <formula>$D1559=""</formula>
    </cfRule>
  </conditionalFormatting>
  <conditionalFormatting sqref="F1560">
    <cfRule type="expression" dxfId="335" priority="322">
      <formula>$D1559=""</formula>
    </cfRule>
  </conditionalFormatting>
  <conditionalFormatting sqref="B1561:F1561 H1561:I1561">
    <cfRule type="expression" dxfId="334" priority="321">
      <formula>$D1561=""</formula>
    </cfRule>
  </conditionalFormatting>
  <conditionalFormatting sqref="F1562">
    <cfRule type="expression" dxfId="333" priority="320">
      <formula>$D1561=""</formula>
    </cfRule>
  </conditionalFormatting>
  <conditionalFormatting sqref="B1563:F1563 H1563:I1563">
    <cfRule type="expression" dxfId="332" priority="319">
      <formula>$D1563=""</formula>
    </cfRule>
  </conditionalFormatting>
  <conditionalFormatting sqref="F1564">
    <cfRule type="expression" dxfId="331" priority="318">
      <formula>$D1563=""</formula>
    </cfRule>
  </conditionalFormatting>
  <conditionalFormatting sqref="B1565:F1565 H1565:I1565">
    <cfRule type="expression" dxfId="330" priority="317">
      <formula>$D1565=""</formula>
    </cfRule>
  </conditionalFormatting>
  <conditionalFormatting sqref="F1566">
    <cfRule type="expression" dxfId="329" priority="316">
      <formula>$D1565=""</formula>
    </cfRule>
  </conditionalFormatting>
  <conditionalFormatting sqref="B1567:F1567 H1567:I1567">
    <cfRule type="expression" dxfId="328" priority="315">
      <formula>$D1567=""</formula>
    </cfRule>
  </conditionalFormatting>
  <conditionalFormatting sqref="F1568">
    <cfRule type="expression" dxfId="327" priority="314">
      <formula>$D1567=""</formula>
    </cfRule>
  </conditionalFormatting>
  <conditionalFormatting sqref="B1569:F1569 H1569:I1569">
    <cfRule type="expression" dxfId="326" priority="313">
      <formula>$D1569=""</formula>
    </cfRule>
  </conditionalFormatting>
  <conditionalFormatting sqref="F1570">
    <cfRule type="expression" dxfId="325" priority="312">
      <formula>$D1569=""</formula>
    </cfRule>
  </conditionalFormatting>
  <conditionalFormatting sqref="B1571:F1571 H1571:I1571">
    <cfRule type="expression" dxfId="324" priority="311">
      <formula>$D1571=""</formula>
    </cfRule>
  </conditionalFormatting>
  <conditionalFormatting sqref="F1572">
    <cfRule type="expression" dxfId="323" priority="310">
      <formula>$D1571=""</formula>
    </cfRule>
  </conditionalFormatting>
  <conditionalFormatting sqref="B1573:F1573 H1573:I1573">
    <cfRule type="expression" dxfId="322" priority="309">
      <formula>$D1573=""</formula>
    </cfRule>
  </conditionalFormatting>
  <conditionalFormatting sqref="F1574">
    <cfRule type="expression" dxfId="321" priority="308">
      <formula>$D1573=""</formula>
    </cfRule>
  </conditionalFormatting>
  <conditionalFormatting sqref="B1575:F1575 H1575:I1575">
    <cfRule type="expression" dxfId="320" priority="307">
      <formula>$D1575=""</formula>
    </cfRule>
  </conditionalFormatting>
  <conditionalFormatting sqref="F1576">
    <cfRule type="expression" dxfId="319" priority="306">
      <formula>$D1575=""</formula>
    </cfRule>
  </conditionalFormatting>
  <conditionalFormatting sqref="B1577:F1577 H1577:I1577">
    <cfRule type="expression" dxfId="318" priority="305">
      <formula>$D1577=""</formula>
    </cfRule>
  </conditionalFormatting>
  <conditionalFormatting sqref="F1578">
    <cfRule type="expression" dxfId="317" priority="304">
      <formula>$D1577=""</formula>
    </cfRule>
  </conditionalFormatting>
  <conditionalFormatting sqref="B1579:F1579 H1579:I1579">
    <cfRule type="expression" dxfId="316" priority="303">
      <formula>$D1579=""</formula>
    </cfRule>
  </conditionalFormatting>
  <conditionalFormatting sqref="F1580">
    <cfRule type="expression" dxfId="315" priority="302">
      <formula>$D1579=""</formula>
    </cfRule>
  </conditionalFormatting>
  <conditionalFormatting sqref="B1581:F1581 H1581:I1581">
    <cfRule type="expression" dxfId="314" priority="301">
      <formula>$D1581=""</formula>
    </cfRule>
  </conditionalFormatting>
  <conditionalFormatting sqref="F1582">
    <cfRule type="expression" dxfId="313" priority="300">
      <formula>$D1581=""</formula>
    </cfRule>
  </conditionalFormatting>
  <conditionalFormatting sqref="B1583:F1583 H1583:I1583">
    <cfRule type="expression" dxfId="312" priority="299">
      <formula>$D1583=""</formula>
    </cfRule>
  </conditionalFormatting>
  <conditionalFormatting sqref="F1584">
    <cfRule type="expression" dxfId="311" priority="298">
      <formula>$D1583=""</formula>
    </cfRule>
  </conditionalFormatting>
  <conditionalFormatting sqref="B1585:F1585 H1585:I1585">
    <cfRule type="expression" dxfId="310" priority="297">
      <formula>$D1585=""</formula>
    </cfRule>
  </conditionalFormatting>
  <conditionalFormatting sqref="F1586">
    <cfRule type="expression" dxfId="309" priority="296">
      <formula>$D1585=""</formula>
    </cfRule>
  </conditionalFormatting>
  <conditionalFormatting sqref="B1587:F1587 H1587:I1587">
    <cfRule type="expression" dxfId="308" priority="295">
      <formula>$D1587=""</formula>
    </cfRule>
  </conditionalFormatting>
  <conditionalFormatting sqref="F1588">
    <cfRule type="expression" dxfId="307" priority="294">
      <formula>$D1587=""</formula>
    </cfRule>
  </conditionalFormatting>
  <conditionalFormatting sqref="B1589:F1589 H1589:I1589">
    <cfRule type="expression" dxfId="306" priority="293">
      <formula>$D1589=""</formula>
    </cfRule>
  </conditionalFormatting>
  <conditionalFormatting sqref="F1590">
    <cfRule type="expression" dxfId="305" priority="292">
      <formula>$D1589=""</formula>
    </cfRule>
  </conditionalFormatting>
  <conditionalFormatting sqref="B1591:F1591 H1591:I1591">
    <cfRule type="expression" dxfId="304" priority="291">
      <formula>$D1591=""</formula>
    </cfRule>
  </conditionalFormatting>
  <conditionalFormatting sqref="F1592">
    <cfRule type="expression" dxfId="303" priority="290">
      <formula>$D1591=""</formula>
    </cfRule>
  </conditionalFormatting>
  <conditionalFormatting sqref="B1593:F1593 H1593:I1593">
    <cfRule type="expression" dxfId="302" priority="289">
      <formula>$D1593=""</formula>
    </cfRule>
  </conditionalFormatting>
  <conditionalFormatting sqref="F1594">
    <cfRule type="expression" dxfId="301" priority="288">
      <formula>$D1593=""</formula>
    </cfRule>
  </conditionalFormatting>
  <conditionalFormatting sqref="B1595:F1595 H1595:I1595">
    <cfRule type="expression" dxfId="300" priority="287">
      <formula>$D1595=""</formula>
    </cfRule>
  </conditionalFormatting>
  <conditionalFormatting sqref="F1596">
    <cfRule type="expression" dxfId="299" priority="286">
      <formula>$D1595=""</formula>
    </cfRule>
  </conditionalFormatting>
  <conditionalFormatting sqref="B1597:F1597 H1597:I1597">
    <cfRule type="expression" dxfId="298" priority="285">
      <formula>$D1597=""</formula>
    </cfRule>
  </conditionalFormatting>
  <conditionalFormatting sqref="F1598">
    <cfRule type="expression" dxfId="297" priority="284">
      <formula>$D1597=""</formula>
    </cfRule>
  </conditionalFormatting>
  <conditionalFormatting sqref="B1599:F1599 H1599:I1599">
    <cfRule type="expression" dxfId="296" priority="283">
      <formula>$D1599=""</formula>
    </cfRule>
  </conditionalFormatting>
  <conditionalFormatting sqref="F1600">
    <cfRule type="expression" dxfId="295" priority="282">
      <formula>$D1599=""</formula>
    </cfRule>
  </conditionalFormatting>
  <conditionalFormatting sqref="B1601:F1601 H1601:I1601">
    <cfRule type="expression" dxfId="294" priority="281">
      <formula>$D1601=""</formula>
    </cfRule>
  </conditionalFormatting>
  <conditionalFormatting sqref="F1602">
    <cfRule type="expression" dxfId="293" priority="280">
      <formula>$D1601=""</formula>
    </cfRule>
  </conditionalFormatting>
  <conditionalFormatting sqref="B1603:F1603 H1603:I1603">
    <cfRule type="expression" dxfId="292" priority="279">
      <formula>$D1603=""</formula>
    </cfRule>
  </conditionalFormatting>
  <conditionalFormatting sqref="F1604">
    <cfRule type="expression" dxfId="291" priority="278">
      <formula>$D1603=""</formula>
    </cfRule>
  </conditionalFormatting>
  <conditionalFormatting sqref="B1605:F1605 H1605:I1605">
    <cfRule type="expression" dxfId="290" priority="277">
      <formula>$D1605=""</formula>
    </cfRule>
  </conditionalFormatting>
  <conditionalFormatting sqref="F1606">
    <cfRule type="expression" dxfId="289" priority="276">
      <formula>$D1605=""</formula>
    </cfRule>
  </conditionalFormatting>
  <conditionalFormatting sqref="B1607:F1607 H1607:I1607">
    <cfRule type="expression" dxfId="288" priority="275">
      <formula>$D1607=""</formula>
    </cfRule>
  </conditionalFormatting>
  <conditionalFormatting sqref="F1608">
    <cfRule type="expression" dxfId="287" priority="274">
      <formula>$D1607=""</formula>
    </cfRule>
  </conditionalFormatting>
  <conditionalFormatting sqref="B1609:F1609 H1609:I1609">
    <cfRule type="expression" dxfId="286" priority="273">
      <formula>$D1609=""</formula>
    </cfRule>
  </conditionalFormatting>
  <conditionalFormatting sqref="F1610">
    <cfRule type="expression" dxfId="285" priority="272">
      <formula>$D1609=""</formula>
    </cfRule>
  </conditionalFormatting>
  <conditionalFormatting sqref="B1611:F1611 H1611:I1611">
    <cfRule type="expression" dxfId="284" priority="271">
      <formula>$D1611=""</formula>
    </cfRule>
  </conditionalFormatting>
  <conditionalFormatting sqref="F1612">
    <cfRule type="expression" dxfId="283" priority="270">
      <formula>$D1611=""</formula>
    </cfRule>
  </conditionalFormatting>
  <conditionalFormatting sqref="B1613:F1613 H1613:I1613">
    <cfRule type="expression" dxfId="282" priority="269">
      <formula>$D1613=""</formula>
    </cfRule>
  </conditionalFormatting>
  <conditionalFormatting sqref="F1614">
    <cfRule type="expression" dxfId="281" priority="268">
      <formula>$D1613=""</formula>
    </cfRule>
  </conditionalFormatting>
  <conditionalFormatting sqref="B1615:F1615 H1615:I1615">
    <cfRule type="expression" dxfId="280" priority="267">
      <formula>$D1615=""</formula>
    </cfRule>
  </conditionalFormatting>
  <conditionalFormatting sqref="F1616">
    <cfRule type="expression" dxfId="279" priority="266">
      <formula>$D1615=""</formula>
    </cfRule>
  </conditionalFormatting>
  <conditionalFormatting sqref="B1617:F1617 H1617:I1617">
    <cfRule type="expression" dxfId="278" priority="265">
      <formula>$D1617=""</formula>
    </cfRule>
  </conditionalFormatting>
  <conditionalFormatting sqref="F1618">
    <cfRule type="expression" dxfId="277" priority="264">
      <formula>$D1617=""</formula>
    </cfRule>
  </conditionalFormatting>
  <conditionalFormatting sqref="B1619:F1619 H1619:I1619">
    <cfRule type="expression" dxfId="276" priority="263">
      <formula>$D1619=""</formula>
    </cfRule>
  </conditionalFormatting>
  <conditionalFormatting sqref="F1620">
    <cfRule type="expression" dxfId="275" priority="262">
      <formula>$D1619=""</formula>
    </cfRule>
  </conditionalFormatting>
  <conditionalFormatting sqref="B1621:F1621 H1621:I1621">
    <cfRule type="expression" dxfId="274" priority="261">
      <formula>$D1621=""</formula>
    </cfRule>
  </conditionalFormatting>
  <conditionalFormatting sqref="F1622">
    <cfRule type="expression" dxfId="273" priority="260">
      <formula>$D1621=""</formula>
    </cfRule>
  </conditionalFormatting>
  <conditionalFormatting sqref="B1623:F1623 H1623:I1623">
    <cfRule type="expression" dxfId="272" priority="259">
      <formula>$D1623=""</formula>
    </cfRule>
  </conditionalFormatting>
  <conditionalFormatting sqref="F1624">
    <cfRule type="expression" dxfId="271" priority="258">
      <formula>$D1623=""</formula>
    </cfRule>
  </conditionalFormatting>
  <conditionalFormatting sqref="B1625:F1625 H1625:I1625">
    <cfRule type="expression" dxfId="270" priority="257">
      <formula>$D1625=""</formula>
    </cfRule>
  </conditionalFormatting>
  <conditionalFormatting sqref="F1626">
    <cfRule type="expression" dxfId="269" priority="256">
      <formula>$D1625=""</formula>
    </cfRule>
  </conditionalFormatting>
  <conditionalFormatting sqref="B1627:F1627 H1627:I1627">
    <cfRule type="expression" dxfId="268" priority="255">
      <formula>$D1627=""</formula>
    </cfRule>
  </conditionalFormatting>
  <conditionalFormatting sqref="F1628">
    <cfRule type="expression" dxfId="267" priority="254">
      <formula>$D1627=""</formula>
    </cfRule>
  </conditionalFormatting>
  <conditionalFormatting sqref="B1629:F1629 H1629:I1629">
    <cfRule type="expression" dxfId="266" priority="253">
      <formula>$D1629=""</formula>
    </cfRule>
  </conditionalFormatting>
  <conditionalFormatting sqref="F1630">
    <cfRule type="expression" dxfId="265" priority="252">
      <formula>$D1629=""</formula>
    </cfRule>
  </conditionalFormatting>
  <conditionalFormatting sqref="B1631:F1631 H1631:I1631">
    <cfRule type="expression" dxfId="264" priority="251">
      <formula>$D1631=""</formula>
    </cfRule>
  </conditionalFormatting>
  <conditionalFormatting sqref="F1632">
    <cfRule type="expression" dxfId="263" priority="250">
      <formula>$D1631=""</formula>
    </cfRule>
  </conditionalFormatting>
  <conditionalFormatting sqref="B1633:F1633 H1633:I1633">
    <cfRule type="expression" dxfId="262" priority="249">
      <formula>$D1633=""</formula>
    </cfRule>
  </conditionalFormatting>
  <conditionalFormatting sqref="F1634">
    <cfRule type="expression" dxfId="261" priority="248">
      <formula>$D1633=""</formula>
    </cfRule>
  </conditionalFormatting>
  <conditionalFormatting sqref="B1635:F1635 H1635:I1635">
    <cfRule type="expression" dxfId="260" priority="247">
      <formula>$D1635=""</formula>
    </cfRule>
  </conditionalFormatting>
  <conditionalFormatting sqref="F1636">
    <cfRule type="expression" dxfId="259" priority="246">
      <formula>$D1635=""</formula>
    </cfRule>
  </conditionalFormatting>
  <conditionalFormatting sqref="B1637:F1637 H1637:I1637">
    <cfRule type="expression" dxfId="258" priority="245">
      <formula>$D1637=""</formula>
    </cfRule>
  </conditionalFormatting>
  <conditionalFormatting sqref="F1638">
    <cfRule type="expression" dxfId="257" priority="244">
      <formula>$D1637=""</formula>
    </cfRule>
  </conditionalFormatting>
  <conditionalFormatting sqref="B1639:F1639 H1639:I1639">
    <cfRule type="expression" dxfId="256" priority="243">
      <formula>$D1639=""</formula>
    </cfRule>
  </conditionalFormatting>
  <conditionalFormatting sqref="F1640">
    <cfRule type="expression" dxfId="255" priority="242">
      <formula>$D1639=""</formula>
    </cfRule>
  </conditionalFormatting>
  <conditionalFormatting sqref="B1641:F1641 H1641:I1641">
    <cfRule type="expression" dxfId="254" priority="241">
      <formula>$D1641=""</formula>
    </cfRule>
  </conditionalFormatting>
  <conditionalFormatting sqref="F1642">
    <cfRule type="expression" dxfId="253" priority="240">
      <formula>$D1641=""</formula>
    </cfRule>
  </conditionalFormatting>
  <conditionalFormatting sqref="B1643:F1643 H1643:I1643">
    <cfRule type="expression" dxfId="252" priority="239">
      <formula>$D1643=""</formula>
    </cfRule>
  </conditionalFormatting>
  <conditionalFormatting sqref="F1644">
    <cfRule type="expression" dxfId="251" priority="238">
      <formula>$D1643=""</formula>
    </cfRule>
  </conditionalFormatting>
  <conditionalFormatting sqref="B1645:F1645 H1645:I1645">
    <cfRule type="expression" dxfId="250" priority="237">
      <formula>$D1645=""</formula>
    </cfRule>
  </conditionalFormatting>
  <conditionalFormatting sqref="F1646">
    <cfRule type="expression" dxfId="249" priority="236">
      <formula>$D1645=""</formula>
    </cfRule>
  </conditionalFormatting>
  <conditionalFormatting sqref="B1647:F1647 H1647:I1647">
    <cfRule type="expression" dxfId="248" priority="235">
      <formula>$D1647=""</formula>
    </cfRule>
  </conditionalFormatting>
  <conditionalFormatting sqref="F1648">
    <cfRule type="expression" dxfId="247" priority="234">
      <formula>$D1647=""</formula>
    </cfRule>
  </conditionalFormatting>
  <conditionalFormatting sqref="B1649:F1649 H1649:I1649">
    <cfRule type="expression" dxfId="246" priority="233">
      <formula>$D1649=""</formula>
    </cfRule>
  </conditionalFormatting>
  <conditionalFormatting sqref="F1650">
    <cfRule type="expression" dxfId="245" priority="232">
      <formula>$D1649=""</formula>
    </cfRule>
  </conditionalFormatting>
  <conditionalFormatting sqref="B1651:F1651 H1651:I1651">
    <cfRule type="expression" dxfId="244" priority="231">
      <formula>$D1651=""</formula>
    </cfRule>
  </conditionalFormatting>
  <conditionalFormatting sqref="F1652">
    <cfRule type="expression" dxfId="243" priority="230">
      <formula>$D1651=""</formula>
    </cfRule>
  </conditionalFormatting>
  <conditionalFormatting sqref="B1653:F1653 H1653:I1653">
    <cfRule type="expression" dxfId="242" priority="229">
      <formula>$D1653=""</formula>
    </cfRule>
  </conditionalFormatting>
  <conditionalFormatting sqref="F1654">
    <cfRule type="expression" dxfId="241" priority="228">
      <formula>$D1653=""</formula>
    </cfRule>
  </conditionalFormatting>
  <conditionalFormatting sqref="B1655:F1655 H1655:I1655">
    <cfRule type="expression" dxfId="240" priority="227">
      <formula>$D1655=""</formula>
    </cfRule>
  </conditionalFormatting>
  <conditionalFormatting sqref="F1656">
    <cfRule type="expression" dxfId="239" priority="226">
      <formula>$D1655=""</formula>
    </cfRule>
  </conditionalFormatting>
  <conditionalFormatting sqref="B1657:F1657 H1657:I1657">
    <cfRule type="expression" dxfId="238" priority="225">
      <formula>$D1657=""</formula>
    </cfRule>
  </conditionalFormatting>
  <conditionalFormatting sqref="F1658">
    <cfRule type="expression" dxfId="237" priority="224">
      <formula>$D1657=""</formula>
    </cfRule>
  </conditionalFormatting>
  <conditionalFormatting sqref="B1659:F1659 H1659:I1659">
    <cfRule type="expression" dxfId="236" priority="223">
      <formula>$D1659=""</formula>
    </cfRule>
  </conditionalFormatting>
  <conditionalFormatting sqref="F1660">
    <cfRule type="expression" dxfId="235" priority="222">
      <formula>$D1659=""</formula>
    </cfRule>
  </conditionalFormatting>
  <conditionalFormatting sqref="B1661:F1661 H1661:I1661">
    <cfRule type="expression" dxfId="234" priority="221">
      <formula>$D1661=""</formula>
    </cfRule>
  </conditionalFormatting>
  <conditionalFormatting sqref="F1662">
    <cfRule type="expression" dxfId="233" priority="220">
      <formula>$D1661=""</formula>
    </cfRule>
  </conditionalFormatting>
  <conditionalFormatting sqref="B1663:F1663 H1663:I1663">
    <cfRule type="expression" dxfId="232" priority="219">
      <formula>$D1663=""</formula>
    </cfRule>
  </conditionalFormatting>
  <conditionalFormatting sqref="F1664">
    <cfRule type="expression" dxfId="231" priority="218">
      <formula>$D1663=""</formula>
    </cfRule>
  </conditionalFormatting>
  <conditionalFormatting sqref="B1665:F1665 H1665:I1665">
    <cfRule type="expression" dxfId="230" priority="217">
      <formula>$D1665=""</formula>
    </cfRule>
  </conditionalFormatting>
  <conditionalFormatting sqref="F1666">
    <cfRule type="expression" dxfId="229" priority="216">
      <formula>$D1665=""</formula>
    </cfRule>
  </conditionalFormatting>
  <conditionalFormatting sqref="B1667:F1667 H1667:I1667">
    <cfRule type="expression" dxfId="228" priority="215">
      <formula>$D1667=""</formula>
    </cfRule>
  </conditionalFormatting>
  <conditionalFormatting sqref="F1668">
    <cfRule type="expression" dxfId="227" priority="214">
      <formula>$D1667=""</formula>
    </cfRule>
  </conditionalFormatting>
  <conditionalFormatting sqref="B1669:F1669 H1669:I1669">
    <cfRule type="expression" dxfId="226" priority="213">
      <formula>$D1669=""</formula>
    </cfRule>
  </conditionalFormatting>
  <conditionalFormatting sqref="F1670">
    <cfRule type="expression" dxfId="225" priority="212">
      <formula>$D1669=""</formula>
    </cfRule>
  </conditionalFormatting>
  <conditionalFormatting sqref="B1671:F1671 H1671:I1671">
    <cfRule type="expression" dxfId="224" priority="211">
      <formula>$D1671=""</formula>
    </cfRule>
  </conditionalFormatting>
  <conditionalFormatting sqref="F1672">
    <cfRule type="expression" dxfId="223" priority="210">
      <formula>$D1671=""</formula>
    </cfRule>
  </conditionalFormatting>
  <conditionalFormatting sqref="B1673:F1673 H1673:I1673">
    <cfRule type="expression" dxfId="222" priority="209">
      <formula>$D1673=""</formula>
    </cfRule>
  </conditionalFormatting>
  <conditionalFormatting sqref="F1674">
    <cfRule type="expression" dxfId="221" priority="208">
      <formula>$D1673=""</formula>
    </cfRule>
  </conditionalFormatting>
  <conditionalFormatting sqref="B1675:F1675 H1675:I1675">
    <cfRule type="expression" dxfId="220" priority="207">
      <formula>$D1675=""</formula>
    </cfRule>
  </conditionalFormatting>
  <conditionalFormatting sqref="F1676">
    <cfRule type="expression" dxfId="219" priority="206">
      <formula>$D1675=""</formula>
    </cfRule>
  </conditionalFormatting>
  <conditionalFormatting sqref="B1677:F1677 H1677:I1677">
    <cfRule type="expression" dxfId="218" priority="205">
      <formula>$D1677=""</formula>
    </cfRule>
  </conditionalFormatting>
  <conditionalFormatting sqref="F1678">
    <cfRule type="expression" dxfId="217" priority="204">
      <formula>$D1677=""</formula>
    </cfRule>
  </conditionalFormatting>
  <conditionalFormatting sqref="B1679:F1679 H1679:I1679">
    <cfRule type="expression" dxfId="216" priority="203">
      <formula>$D1679=""</formula>
    </cfRule>
  </conditionalFormatting>
  <conditionalFormatting sqref="F1680">
    <cfRule type="expression" dxfId="215" priority="202">
      <formula>$D1679=""</formula>
    </cfRule>
  </conditionalFormatting>
  <conditionalFormatting sqref="B1681:F1681 H1681:I1681">
    <cfRule type="expression" dxfId="214" priority="201">
      <formula>$D1681=""</formula>
    </cfRule>
  </conditionalFormatting>
  <conditionalFormatting sqref="F1682">
    <cfRule type="expression" dxfId="213" priority="200">
      <formula>$D1681=""</formula>
    </cfRule>
  </conditionalFormatting>
  <conditionalFormatting sqref="B1683:F1683 H1683:I1683">
    <cfRule type="expression" dxfId="212" priority="199">
      <formula>$D1683=""</formula>
    </cfRule>
  </conditionalFormatting>
  <conditionalFormatting sqref="F1684">
    <cfRule type="expression" dxfId="211" priority="198">
      <formula>$D1683=""</formula>
    </cfRule>
  </conditionalFormatting>
  <conditionalFormatting sqref="B1685:F1685 H1685:I1685">
    <cfRule type="expression" dxfId="210" priority="197">
      <formula>$D1685=""</formula>
    </cfRule>
  </conditionalFormatting>
  <conditionalFormatting sqref="F1686">
    <cfRule type="expression" dxfId="209" priority="196">
      <formula>$D1685=""</formula>
    </cfRule>
  </conditionalFormatting>
  <conditionalFormatting sqref="B1687:F1687 H1687:I1687">
    <cfRule type="expression" dxfId="208" priority="195">
      <formula>$D1687=""</formula>
    </cfRule>
  </conditionalFormatting>
  <conditionalFormatting sqref="F1688">
    <cfRule type="expression" dxfId="207" priority="194">
      <formula>$D1687=""</formula>
    </cfRule>
  </conditionalFormatting>
  <conditionalFormatting sqref="B1689:F1689 H1689:I1689">
    <cfRule type="expression" dxfId="206" priority="193">
      <formula>$D1689=""</formula>
    </cfRule>
  </conditionalFormatting>
  <conditionalFormatting sqref="F1690">
    <cfRule type="expression" dxfId="205" priority="192">
      <formula>$D1689=""</formula>
    </cfRule>
  </conditionalFormatting>
  <conditionalFormatting sqref="B1691:F1691 H1691:I1691">
    <cfRule type="expression" dxfId="204" priority="191">
      <formula>$D1691=""</formula>
    </cfRule>
  </conditionalFormatting>
  <conditionalFormatting sqref="F1692">
    <cfRule type="expression" dxfId="203" priority="190">
      <formula>$D1691=""</formula>
    </cfRule>
  </conditionalFormatting>
  <conditionalFormatting sqref="B1693:F1693 H1693:I1693">
    <cfRule type="expression" dxfId="202" priority="189">
      <formula>$D1693=""</formula>
    </cfRule>
  </conditionalFormatting>
  <conditionalFormatting sqref="F1694">
    <cfRule type="expression" dxfId="201" priority="188">
      <formula>$D1693=""</formula>
    </cfRule>
  </conditionalFormatting>
  <conditionalFormatting sqref="B1695:F1695 H1695:I1695">
    <cfRule type="expression" dxfId="200" priority="187">
      <formula>$D1695=""</formula>
    </cfRule>
  </conditionalFormatting>
  <conditionalFormatting sqref="F1696">
    <cfRule type="expression" dxfId="199" priority="186">
      <formula>$D1695=""</formula>
    </cfRule>
  </conditionalFormatting>
  <conditionalFormatting sqref="B1697:F1697 H1697:I1697">
    <cfRule type="expression" dxfId="198" priority="185">
      <formula>$D1697=""</formula>
    </cfRule>
  </conditionalFormatting>
  <conditionalFormatting sqref="F1698">
    <cfRule type="expression" dxfId="197" priority="184">
      <formula>$D1697=""</formula>
    </cfRule>
  </conditionalFormatting>
  <conditionalFormatting sqref="B1699:F1699 H1699:I1699">
    <cfRule type="expression" dxfId="196" priority="183">
      <formula>$D1699=""</formula>
    </cfRule>
  </conditionalFormatting>
  <conditionalFormatting sqref="F1700">
    <cfRule type="expression" dxfId="195" priority="182">
      <formula>$D1699=""</formula>
    </cfRule>
  </conditionalFormatting>
  <conditionalFormatting sqref="B1701:F1701 H1701:I1701">
    <cfRule type="expression" dxfId="194" priority="181">
      <formula>$D1701=""</formula>
    </cfRule>
  </conditionalFormatting>
  <conditionalFormatting sqref="F1702">
    <cfRule type="expression" dxfId="193" priority="180">
      <formula>$D1701=""</formula>
    </cfRule>
  </conditionalFormatting>
  <conditionalFormatting sqref="B1703:F1703 H1703:I1703">
    <cfRule type="expression" dxfId="192" priority="179">
      <formula>$D1703=""</formula>
    </cfRule>
  </conditionalFormatting>
  <conditionalFormatting sqref="F1704">
    <cfRule type="expression" dxfId="191" priority="178">
      <formula>$D1703=""</formula>
    </cfRule>
  </conditionalFormatting>
  <conditionalFormatting sqref="B1705:F1705 H1705:I1705">
    <cfRule type="expression" dxfId="190" priority="177">
      <formula>$D1705=""</formula>
    </cfRule>
  </conditionalFormatting>
  <conditionalFormatting sqref="F1706">
    <cfRule type="expression" dxfId="189" priority="176">
      <formula>$D1705=""</formula>
    </cfRule>
  </conditionalFormatting>
  <conditionalFormatting sqref="B1707:F1707 H1707:I1707">
    <cfRule type="expression" dxfId="188" priority="175">
      <formula>$D1707=""</formula>
    </cfRule>
  </conditionalFormatting>
  <conditionalFormatting sqref="F1708">
    <cfRule type="expression" dxfId="187" priority="174">
      <formula>$D1707=""</formula>
    </cfRule>
  </conditionalFormatting>
  <conditionalFormatting sqref="B1709:F1709 H1709:I1709">
    <cfRule type="expression" dxfId="186" priority="173">
      <formula>$D1709=""</formula>
    </cfRule>
  </conditionalFormatting>
  <conditionalFormatting sqref="F1710">
    <cfRule type="expression" dxfId="185" priority="172">
      <formula>$D1709=""</formula>
    </cfRule>
  </conditionalFormatting>
  <conditionalFormatting sqref="B1711:F1711 H1711:I1711">
    <cfRule type="expression" dxfId="184" priority="171">
      <formula>$D1711=""</formula>
    </cfRule>
  </conditionalFormatting>
  <conditionalFormatting sqref="F1712">
    <cfRule type="expression" dxfId="183" priority="170">
      <formula>$D1711=""</formula>
    </cfRule>
  </conditionalFormatting>
  <conditionalFormatting sqref="B1713:F1713 H1713:I1713">
    <cfRule type="expression" dxfId="182" priority="169">
      <formula>$D1713=""</formula>
    </cfRule>
  </conditionalFormatting>
  <conditionalFormatting sqref="F1714">
    <cfRule type="expression" dxfId="181" priority="168">
      <formula>$D1713=""</formula>
    </cfRule>
  </conditionalFormatting>
  <conditionalFormatting sqref="B1715:F1715 H1715:I1715">
    <cfRule type="expression" dxfId="180" priority="167">
      <formula>$D1715=""</formula>
    </cfRule>
  </conditionalFormatting>
  <conditionalFormatting sqref="F1716">
    <cfRule type="expression" dxfId="179" priority="166">
      <formula>$D1715=""</formula>
    </cfRule>
  </conditionalFormatting>
  <conditionalFormatting sqref="B1717:F1717 H1717:I1717">
    <cfRule type="expression" dxfId="178" priority="165">
      <formula>$D1717=""</formula>
    </cfRule>
  </conditionalFormatting>
  <conditionalFormatting sqref="F1718">
    <cfRule type="expression" dxfId="177" priority="164">
      <formula>$D1717=""</formula>
    </cfRule>
  </conditionalFormatting>
  <conditionalFormatting sqref="B1719:F1719 H1719:I1719">
    <cfRule type="expression" dxfId="176" priority="163">
      <formula>$D1719=""</formula>
    </cfRule>
  </conditionalFormatting>
  <conditionalFormatting sqref="F1720">
    <cfRule type="expression" dxfId="175" priority="162">
      <formula>$D1719=""</formula>
    </cfRule>
  </conditionalFormatting>
  <conditionalFormatting sqref="B1721:F1721 H1721:I1721">
    <cfRule type="expression" dxfId="174" priority="161">
      <formula>$D1721=""</formula>
    </cfRule>
  </conditionalFormatting>
  <conditionalFormatting sqref="F1722">
    <cfRule type="expression" dxfId="173" priority="160">
      <formula>$D1721=""</formula>
    </cfRule>
  </conditionalFormatting>
  <conditionalFormatting sqref="B1723:F1723 H1723:I1723">
    <cfRule type="expression" dxfId="172" priority="159">
      <formula>$D1723=""</formula>
    </cfRule>
  </conditionalFormatting>
  <conditionalFormatting sqref="F1724">
    <cfRule type="expression" dxfId="171" priority="158">
      <formula>$D1723=""</formula>
    </cfRule>
  </conditionalFormatting>
  <conditionalFormatting sqref="B1725:F1725 H1725:I1725">
    <cfRule type="expression" dxfId="170" priority="157">
      <formula>$D1725=""</formula>
    </cfRule>
  </conditionalFormatting>
  <conditionalFormatting sqref="F1726">
    <cfRule type="expression" dxfId="169" priority="156">
      <formula>$D1725=""</formula>
    </cfRule>
  </conditionalFormatting>
  <conditionalFormatting sqref="B1727:F1727 H1727:I1727">
    <cfRule type="expression" dxfId="168" priority="155">
      <formula>$D1727=""</formula>
    </cfRule>
  </conditionalFormatting>
  <conditionalFormatting sqref="F1728">
    <cfRule type="expression" dxfId="167" priority="154">
      <formula>$D1727=""</formula>
    </cfRule>
  </conditionalFormatting>
  <conditionalFormatting sqref="B1729:F1729 H1729:I1729">
    <cfRule type="expression" dxfId="166" priority="153">
      <formula>$D1729=""</formula>
    </cfRule>
  </conditionalFormatting>
  <conditionalFormatting sqref="F1730">
    <cfRule type="expression" dxfId="165" priority="152">
      <formula>$D1729=""</formula>
    </cfRule>
  </conditionalFormatting>
  <conditionalFormatting sqref="B1731:F1731 H1731:I1731">
    <cfRule type="expression" dxfId="164" priority="151">
      <formula>$D1731=""</formula>
    </cfRule>
  </conditionalFormatting>
  <conditionalFormatting sqref="F1732">
    <cfRule type="expression" dxfId="163" priority="150">
      <formula>$D1731=""</formula>
    </cfRule>
  </conditionalFormatting>
  <conditionalFormatting sqref="B1733:F1733 H1733:I1733">
    <cfRule type="expression" dxfId="162" priority="149">
      <formula>$D1733=""</formula>
    </cfRule>
  </conditionalFormatting>
  <conditionalFormatting sqref="F1734">
    <cfRule type="expression" dxfId="161" priority="148">
      <formula>$D1733=""</formula>
    </cfRule>
  </conditionalFormatting>
  <conditionalFormatting sqref="B1735:F1735 H1735:I1735">
    <cfRule type="expression" dxfId="160" priority="147">
      <formula>$D1735=""</formula>
    </cfRule>
  </conditionalFormatting>
  <conditionalFormatting sqref="F1736">
    <cfRule type="expression" dxfId="159" priority="146">
      <formula>$D1735=""</formula>
    </cfRule>
  </conditionalFormatting>
  <conditionalFormatting sqref="B1737:F1737 H1737:I1737">
    <cfRule type="expression" dxfId="158" priority="145">
      <formula>$D1737=""</formula>
    </cfRule>
  </conditionalFormatting>
  <conditionalFormatting sqref="F1738">
    <cfRule type="expression" dxfId="157" priority="144">
      <formula>$D1737=""</formula>
    </cfRule>
  </conditionalFormatting>
  <conditionalFormatting sqref="B1739:F1739 H1739:I1739">
    <cfRule type="expression" dxfId="156" priority="143">
      <formula>$D1739=""</formula>
    </cfRule>
  </conditionalFormatting>
  <conditionalFormatting sqref="F1740">
    <cfRule type="expression" dxfId="155" priority="142">
      <formula>$D1739=""</formula>
    </cfRule>
  </conditionalFormatting>
  <conditionalFormatting sqref="B1741:F1741 H1741:I1741">
    <cfRule type="expression" dxfId="154" priority="141">
      <formula>$D1741=""</formula>
    </cfRule>
  </conditionalFormatting>
  <conditionalFormatting sqref="F1742">
    <cfRule type="expression" dxfId="153" priority="140">
      <formula>$D1741=""</formula>
    </cfRule>
  </conditionalFormatting>
  <conditionalFormatting sqref="B1743:F1743 H1743:I1743">
    <cfRule type="expression" dxfId="152" priority="139">
      <formula>$D1743=""</formula>
    </cfRule>
  </conditionalFormatting>
  <conditionalFormatting sqref="F1744">
    <cfRule type="expression" dxfId="151" priority="138">
      <formula>$D1743=""</formula>
    </cfRule>
  </conditionalFormatting>
  <conditionalFormatting sqref="B1745:F1745 H1745:I1745">
    <cfRule type="expression" dxfId="150" priority="137">
      <formula>$D1745=""</formula>
    </cfRule>
  </conditionalFormatting>
  <conditionalFormatting sqref="F1746">
    <cfRule type="expression" dxfId="149" priority="136">
      <formula>$D1745=""</formula>
    </cfRule>
  </conditionalFormatting>
  <conditionalFormatting sqref="B1747:F1747 H1747:I1747">
    <cfRule type="expression" dxfId="148" priority="135">
      <formula>$D1747=""</formula>
    </cfRule>
  </conditionalFormatting>
  <conditionalFormatting sqref="F1748">
    <cfRule type="expression" dxfId="147" priority="134">
      <formula>$D1747=""</formula>
    </cfRule>
  </conditionalFormatting>
  <conditionalFormatting sqref="B1749:F1749 H1749:I1749">
    <cfRule type="expression" dxfId="146" priority="133">
      <formula>$D1749=""</formula>
    </cfRule>
  </conditionalFormatting>
  <conditionalFormatting sqref="F1750">
    <cfRule type="expression" dxfId="145" priority="132">
      <formula>$D1749=""</formula>
    </cfRule>
  </conditionalFormatting>
  <conditionalFormatting sqref="B1751:F1751 H1751:I1751">
    <cfRule type="expression" dxfId="144" priority="131">
      <formula>$D1751=""</formula>
    </cfRule>
  </conditionalFormatting>
  <conditionalFormatting sqref="F1752">
    <cfRule type="expression" dxfId="143" priority="130">
      <formula>$D1751=""</formula>
    </cfRule>
  </conditionalFormatting>
  <conditionalFormatting sqref="B1753:F1753 H1753:I1753">
    <cfRule type="expression" dxfId="142" priority="129">
      <formula>$D1753=""</formula>
    </cfRule>
  </conditionalFormatting>
  <conditionalFormatting sqref="F1754">
    <cfRule type="expression" dxfId="141" priority="128">
      <formula>$D1753=""</formula>
    </cfRule>
  </conditionalFormatting>
  <conditionalFormatting sqref="B1755:F1755 H1755:I1755">
    <cfRule type="expression" dxfId="140" priority="127">
      <formula>$D1755=""</formula>
    </cfRule>
  </conditionalFormatting>
  <conditionalFormatting sqref="F1756">
    <cfRule type="expression" dxfId="139" priority="126">
      <formula>$D1755=""</formula>
    </cfRule>
  </conditionalFormatting>
  <conditionalFormatting sqref="B1757:F1757 H1757:I1757">
    <cfRule type="expression" dxfId="138" priority="125">
      <formula>$D1757=""</formula>
    </cfRule>
  </conditionalFormatting>
  <conditionalFormatting sqref="F1758">
    <cfRule type="expression" dxfId="137" priority="124">
      <formula>$D1757=""</formula>
    </cfRule>
  </conditionalFormatting>
  <conditionalFormatting sqref="B1759:F1759 H1759:I1759">
    <cfRule type="expression" dxfId="136" priority="123">
      <formula>$D1759=""</formula>
    </cfRule>
  </conditionalFormatting>
  <conditionalFormatting sqref="F1760">
    <cfRule type="expression" dxfId="135" priority="122">
      <formula>$D1759=""</formula>
    </cfRule>
  </conditionalFormatting>
  <conditionalFormatting sqref="B1761:F1761 H1761:I1761">
    <cfRule type="expression" dxfId="134" priority="121">
      <formula>$D1761=""</formula>
    </cfRule>
  </conditionalFormatting>
  <conditionalFormatting sqref="F1762">
    <cfRule type="expression" dxfId="133" priority="120">
      <formula>$D1761=""</formula>
    </cfRule>
  </conditionalFormatting>
  <conditionalFormatting sqref="B1763:F1763 H1763:I1763">
    <cfRule type="expression" dxfId="132" priority="119">
      <formula>$D1763=""</formula>
    </cfRule>
  </conditionalFormatting>
  <conditionalFormatting sqref="F1764">
    <cfRule type="expression" dxfId="131" priority="118">
      <formula>$D1763=""</formula>
    </cfRule>
  </conditionalFormatting>
  <conditionalFormatting sqref="B1765:F1765 H1765:I1765">
    <cfRule type="expression" dxfId="130" priority="117">
      <formula>$D1765=""</formula>
    </cfRule>
  </conditionalFormatting>
  <conditionalFormatting sqref="F1766">
    <cfRule type="expression" dxfId="129" priority="116">
      <formula>$D1765=""</formula>
    </cfRule>
  </conditionalFormatting>
  <conditionalFormatting sqref="B1767:F1767 H1767:I1767">
    <cfRule type="expression" dxfId="128" priority="115">
      <formula>$D1767=""</formula>
    </cfRule>
  </conditionalFormatting>
  <conditionalFormatting sqref="F1768">
    <cfRule type="expression" dxfId="127" priority="114">
      <formula>$D1767=""</formula>
    </cfRule>
  </conditionalFormatting>
  <conditionalFormatting sqref="B1769:F1769 H1769:I1769">
    <cfRule type="expression" dxfId="126" priority="113">
      <formula>$D1769=""</formula>
    </cfRule>
  </conditionalFormatting>
  <conditionalFormatting sqref="F1770">
    <cfRule type="expression" dxfId="125" priority="112">
      <formula>$D1769=""</formula>
    </cfRule>
  </conditionalFormatting>
  <conditionalFormatting sqref="B1771:F1771 H1771:I1771">
    <cfRule type="expression" dxfId="124" priority="111">
      <formula>$D1771=""</formula>
    </cfRule>
  </conditionalFormatting>
  <conditionalFormatting sqref="F1772">
    <cfRule type="expression" dxfId="123" priority="110">
      <formula>$D1771=""</formula>
    </cfRule>
  </conditionalFormatting>
  <conditionalFormatting sqref="B1773:F1773 H1773:I1773">
    <cfRule type="expression" dxfId="122" priority="109">
      <formula>$D1773=""</formula>
    </cfRule>
  </conditionalFormatting>
  <conditionalFormatting sqref="F1774">
    <cfRule type="expression" dxfId="121" priority="108">
      <formula>$D1773=""</formula>
    </cfRule>
  </conditionalFormatting>
  <conditionalFormatting sqref="B1775:F1775 H1775:I1775">
    <cfRule type="expression" dxfId="120" priority="107">
      <formula>$D1775=""</formula>
    </cfRule>
  </conditionalFormatting>
  <conditionalFormatting sqref="F1776">
    <cfRule type="expression" dxfId="119" priority="106">
      <formula>$D1775=""</formula>
    </cfRule>
  </conditionalFormatting>
  <conditionalFormatting sqref="B1777:F1777 H1777:I1777">
    <cfRule type="expression" dxfId="118" priority="105">
      <formula>$D1777=""</formula>
    </cfRule>
  </conditionalFormatting>
  <conditionalFormatting sqref="F1778">
    <cfRule type="expression" dxfId="117" priority="104">
      <formula>$D1777=""</formula>
    </cfRule>
  </conditionalFormatting>
  <conditionalFormatting sqref="B1779:F1779 H1779:I1779">
    <cfRule type="expression" dxfId="116" priority="103">
      <formula>$D1779=""</formula>
    </cfRule>
  </conditionalFormatting>
  <conditionalFormatting sqref="F1780">
    <cfRule type="expression" dxfId="115" priority="102">
      <formula>$D1779=""</formula>
    </cfRule>
  </conditionalFormatting>
  <conditionalFormatting sqref="B1781:F1781 H1781:I1781">
    <cfRule type="expression" dxfId="114" priority="101">
      <formula>$D1781=""</formula>
    </cfRule>
  </conditionalFormatting>
  <conditionalFormatting sqref="F1782">
    <cfRule type="expression" dxfId="113" priority="100">
      <formula>$D1781=""</formula>
    </cfRule>
  </conditionalFormatting>
  <conditionalFormatting sqref="B1783:F1783 H1783:I1783">
    <cfRule type="expression" dxfId="112" priority="99">
      <formula>$D1783=""</formula>
    </cfRule>
  </conditionalFormatting>
  <conditionalFormatting sqref="F1784">
    <cfRule type="expression" dxfId="111" priority="98">
      <formula>$D1783=""</formula>
    </cfRule>
  </conditionalFormatting>
  <conditionalFormatting sqref="B1785:F1785 H1785:I1785">
    <cfRule type="expression" dxfId="110" priority="97">
      <formula>$D1785=""</formula>
    </cfRule>
  </conditionalFormatting>
  <conditionalFormatting sqref="F1786">
    <cfRule type="expression" dxfId="109" priority="96">
      <formula>$D1785=""</formula>
    </cfRule>
  </conditionalFormatting>
  <conditionalFormatting sqref="B1787:F1787 H1787:I1787">
    <cfRule type="expression" dxfId="108" priority="95">
      <formula>$D1787=""</formula>
    </cfRule>
  </conditionalFormatting>
  <conditionalFormatting sqref="F1788">
    <cfRule type="expression" dxfId="107" priority="94">
      <formula>$D1787=""</formula>
    </cfRule>
  </conditionalFormatting>
  <conditionalFormatting sqref="B1789:F1789 H1789:I1789">
    <cfRule type="expression" dxfId="106" priority="93">
      <formula>$D1789=""</formula>
    </cfRule>
  </conditionalFormatting>
  <conditionalFormatting sqref="F1790">
    <cfRule type="expression" dxfId="105" priority="92">
      <formula>$D1789=""</formula>
    </cfRule>
  </conditionalFormatting>
  <conditionalFormatting sqref="B1791:F1791 H1791:I1791">
    <cfRule type="expression" dxfId="104" priority="91">
      <formula>$D1791=""</formula>
    </cfRule>
  </conditionalFormatting>
  <conditionalFormatting sqref="F1792">
    <cfRule type="expression" dxfId="103" priority="90">
      <formula>$D1791=""</formula>
    </cfRule>
  </conditionalFormatting>
  <conditionalFormatting sqref="B1793:F1793 H1793:I1793">
    <cfRule type="expression" dxfId="102" priority="89">
      <formula>$D1793=""</formula>
    </cfRule>
  </conditionalFormatting>
  <conditionalFormatting sqref="F1794">
    <cfRule type="expression" dxfId="101" priority="88">
      <formula>$D1793=""</formula>
    </cfRule>
  </conditionalFormatting>
  <conditionalFormatting sqref="B1795:F1795 H1795:I1795">
    <cfRule type="expression" dxfId="100" priority="87">
      <formula>$D1795=""</formula>
    </cfRule>
  </conditionalFormatting>
  <conditionalFormatting sqref="F1796">
    <cfRule type="expression" dxfId="99" priority="86">
      <formula>$D1795=""</formula>
    </cfRule>
  </conditionalFormatting>
  <conditionalFormatting sqref="B1797:F1797 H1797:I1797">
    <cfRule type="expression" dxfId="98" priority="85">
      <formula>$D1797=""</formula>
    </cfRule>
  </conditionalFormatting>
  <conditionalFormatting sqref="F1798">
    <cfRule type="expression" dxfId="97" priority="84">
      <formula>$D1797=""</formula>
    </cfRule>
  </conditionalFormatting>
  <conditionalFormatting sqref="B1799:F1799 H1799:I1799">
    <cfRule type="expression" dxfId="96" priority="83">
      <formula>$D1799=""</formula>
    </cfRule>
  </conditionalFormatting>
  <conditionalFormatting sqref="F1800">
    <cfRule type="expression" dxfId="95" priority="82">
      <formula>$D1799=""</formula>
    </cfRule>
  </conditionalFormatting>
  <conditionalFormatting sqref="B1801:F1801 H1801:I1801">
    <cfRule type="expression" dxfId="94" priority="81">
      <formula>$D1801=""</formula>
    </cfRule>
  </conditionalFormatting>
  <conditionalFormatting sqref="F1802">
    <cfRule type="expression" dxfId="93" priority="80">
      <formula>$D1801=""</formula>
    </cfRule>
  </conditionalFormatting>
  <conditionalFormatting sqref="B1803:F1803 H1803:I1803">
    <cfRule type="expression" dxfId="92" priority="79">
      <formula>$D1803=""</formula>
    </cfRule>
  </conditionalFormatting>
  <conditionalFormatting sqref="F1804">
    <cfRule type="expression" dxfId="91" priority="78">
      <formula>$D1803=""</formula>
    </cfRule>
  </conditionalFormatting>
  <conditionalFormatting sqref="B1805:F1805 H1805:I1805">
    <cfRule type="expression" dxfId="90" priority="77">
      <formula>$D1805=""</formula>
    </cfRule>
  </conditionalFormatting>
  <conditionalFormatting sqref="F1806">
    <cfRule type="expression" dxfId="89" priority="76">
      <formula>$D1805=""</formula>
    </cfRule>
  </conditionalFormatting>
  <conditionalFormatting sqref="B1807:F1807 H1807:I1807">
    <cfRule type="expression" dxfId="88" priority="75">
      <formula>$D1807=""</formula>
    </cfRule>
  </conditionalFormatting>
  <conditionalFormatting sqref="F1808">
    <cfRule type="expression" dxfId="87" priority="74">
      <formula>$D1807=""</formula>
    </cfRule>
  </conditionalFormatting>
  <conditionalFormatting sqref="B1809:F1809 H1809:I1809">
    <cfRule type="expression" dxfId="86" priority="73">
      <formula>$D1809=""</formula>
    </cfRule>
  </conditionalFormatting>
  <conditionalFormatting sqref="F1810">
    <cfRule type="expression" dxfId="85" priority="72">
      <formula>$D1809=""</formula>
    </cfRule>
  </conditionalFormatting>
  <conditionalFormatting sqref="B1811:F1811 H1811:I1811">
    <cfRule type="expression" dxfId="84" priority="71">
      <formula>$D1811=""</formula>
    </cfRule>
  </conditionalFormatting>
  <conditionalFormatting sqref="F1812">
    <cfRule type="expression" dxfId="83" priority="70">
      <formula>$D1811=""</formula>
    </cfRule>
  </conditionalFormatting>
  <conditionalFormatting sqref="B1813:F1813 H1813:I1813">
    <cfRule type="expression" dxfId="82" priority="69">
      <formula>$D1813=""</formula>
    </cfRule>
  </conditionalFormatting>
  <conditionalFormatting sqref="F1814">
    <cfRule type="expression" dxfId="81" priority="68">
      <formula>$D1813=""</formula>
    </cfRule>
  </conditionalFormatting>
  <conditionalFormatting sqref="B1815:F1815 H1815:I1815">
    <cfRule type="expression" dxfId="80" priority="67">
      <formula>$D1815=""</formula>
    </cfRule>
  </conditionalFormatting>
  <conditionalFormatting sqref="F1816">
    <cfRule type="expression" dxfId="79" priority="66">
      <formula>$D1815=""</formula>
    </cfRule>
  </conditionalFormatting>
  <conditionalFormatting sqref="B1817:F1817 H1817:I1817">
    <cfRule type="expression" dxfId="78" priority="65">
      <formula>$D1817=""</formula>
    </cfRule>
  </conditionalFormatting>
  <conditionalFormatting sqref="F1818">
    <cfRule type="expression" dxfId="77" priority="64">
      <formula>$D1817=""</formula>
    </cfRule>
  </conditionalFormatting>
  <conditionalFormatting sqref="B1819:F1819 H1819:I1819">
    <cfRule type="expression" dxfId="76" priority="63">
      <formula>$D1819=""</formula>
    </cfRule>
  </conditionalFormatting>
  <conditionalFormatting sqref="F1820">
    <cfRule type="expression" dxfId="75" priority="62">
      <formula>$D1819=""</formula>
    </cfRule>
  </conditionalFormatting>
  <conditionalFormatting sqref="F56">
    <cfRule type="expression" dxfId="74" priority="61">
      <formula>$D56=""</formula>
    </cfRule>
  </conditionalFormatting>
  <conditionalFormatting sqref="F57">
    <cfRule type="expression" dxfId="73" priority="60">
      <formula>$D56=""</formula>
    </cfRule>
  </conditionalFormatting>
  <conditionalFormatting sqref="I50 I52 I54 I56 I58">
    <cfRule type="expression" dxfId="72" priority="59">
      <formula>$D50=""</formula>
    </cfRule>
  </conditionalFormatting>
  <conditionalFormatting sqref="I70 I72">
    <cfRule type="expression" dxfId="71" priority="58">
      <formula>$D70=""</formula>
    </cfRule>
  </conditionalFormatting>
  <conditionalFormatting sqref="I90 I92 I94 I96 I98">
    <cfRule type="expression" dxfId="70" priority="57">
      <formula>$D90=""</formula>
    </cfRule>
  </conditionalFormatting>
  <conditionalFormatting sqref="J661 J663 J665 J667 J669 J671">
    <cfRule type="expression" dxfId="69" priority="56">
      <formula>$D661=""</formula>
    </cfRule>
  </conditionalFormatting>
  <conditionalFormatting sqref="H703 H705 H707 H709">
    <cfRule type="expression" dxfId="68" priority="55">
      <formula>$D703=""</formula>
    </cfRule>
  </conditionalFormatting>
  <conditionalFormatting sqref="J701 J703 J705 J707 J709">
    <cfRule type="expression" dxfId="67" priority="54">
      <formula>$D701=""</formula>
    </cfRule>
  </conditionalFormatting>
  <conditionalFormatting sqref="I821 I823 I825">
    <cfRule type="expression" dxfId="66" priority="53">
      <formula>$D821=""</formula>
    </cfRule>
  </conditionalFormatting>
  <conditionalFormatting sqref="H781 H783 H785 H787 H789 H791">
    <cfRule type="expression" dxfId="65" priority="52">
      <formula>$D781=""</formula>
    </cfRule>
  </conditionalFormatting>
  <conditionalFormatting sqref="I396">
    <cfRule type="expression" dxfId="64" priority="50">
      <formula>$D396=""</formula>
    </cfRule>
  </conditionalFormatting>
  <conditionalFormatting sqref="I398 I400 I402">
    <cfRule type="expression" dxfId="63" priority="49">
      <formula>$D398=""</formula>
    </cfRule>
  </conditionalFormatting>
  <conditionalFormatting sqref="I416 I418 I420 I422">
    <cfRule type="expression" dxfId="62" priority="48">
      <formula>$D416=""</formula>
    </cfRule>
  </conditionalFormatting>
  <conditionalFormatting sqref="I781 I783 I785 I787 I789 I791">
    <cfRule type="expression" dxfId="61" priority="47">
      <formula>$D781=""</formula>
    </cfRule>
  </conditionalFormatting>
  <conditionalFormatting sqref="H821 H823 H825">
    <cfRule type="expression" dxfId="60" priority="46">
      <formula>$D821=""</formula>
    </cfRule>
  </conditionalFormatting>
  <conditionalFormatting sqref="H861 H863 H865 H867 H869 H871">
    <cfRule type="expression" dxfId="59" priority="45">
      <formula>$D861=""</formula>
    </cfRule>
  </conditionalFormatting>
  <conditionalFormatting sqref="I861 I863 I865 I867 I869 I871">
    <cfRule type="expression" dxfId="58" priority="44">
      <formula>$D861=""</formula>
    </cfRule>
  </conditionalFormatting>
  <conditionalFormatting sqref="I901">
    <cfRule type="expression" dxfId="57" priority="43">
      <formula>$D901=""</formula>
    </cfRule>
  </conditionalFormatting>
  <conditionalFormatting sqref="I903 I905 I907 I909">
    <cfRule type="expression" dxfId="56" priority="42">
      <formula>$D903=""</formula>
    </cfRule>
  </conditionalFormatting>
  <conditionalFormatting sqref="H903 H905 H907">
    <cfRule type="expression" dxfId="55" priority="41">
      <formula>$D903=""</formula>
    </cfRule>
  </conditionalFormatting>
  <conditionalFormatting sqref="H909">
    <cfRule type="expression" dxfId="54" priority="40">
      <formula>$D909=""</formula>
    </cfRule>
  </conditionalFormatting>
  <conditionalFormatting sqref="I941 I943 I945 I947 I949">
    <cfRule type="expression" dxfId="53" priority="39">
      <formula>$D941=""</formula>
    </cfRule>
  </conditionalFormatting>
  <conditionalFormatting sqref="H941 H943 H945 H947 H949">
    <cfRule type="expression" dxfId="52" priority="38">
      <formula>$D941=""</formula>
    </cfRule>
  </conditionalFormatting>
  <conditionalFormatting sqref="I981 I983">
    <cfRule type="expression" dxfId="51" priority="37">
      <formula>$D981=""</formula>
    </cfRule>
  </conditionalFormatting>
  <conditionalFormatting sqref="H981 H983">
    <cfRule type="expression" dxfId="50" priority="36">
      <formula>$D981=""</formula>
    </cfRule>
  </conditionalFormatting>
  <conditionalFormatting sqref="H1061:I1061">
    <cfRule type="expression" dxfId="49" priority="35">
      <formula>$D1061=""</formula>
    </cfRule>
  </conditionalFormatting>
  <conditionalFormatting sqref="H1063:I1063">
    <cfRule type="expression" dxfId="48" priority="34">
      <formula>$D1063=""</formula>
    </cfRule>
  </conditionalFormatting>
  <conditionalFormatting sqref="H1101:I1101">
    <cfRule type="expression" dxfId="47" priority="33">
      <formula>$D1101=""</formula>
    </cfRule>
  </conditionalFormatting>
  <conditionalFormatting sqref="H1103:I1103">
    <cfRule type="expression" dxfId="46" priority="32">
      <formula>$D1103=""</formula>
    </cfRule>
  </conditionalFormatting>
  <conditionalFormatting sqref="H1141:I1141">
    <cfRule type="expression" dxfId="45" priority="31">
      <formula>$D1141=""</formula>
    </cfRule>
  </conditionalFormatting>
  <conditionalFormatting sqref="H1143:I1143">
    <cfRule type="expression" dxfId="44" priority="30">
      <formula>$D1143=""</formula>
    </cfRule>
  </conditionalFormatting>
  <conditionalFormatting sqref="H1145:I1145">
    <cfRule type="expression" dxfId="43" priority="29">
      <formula>$D1145=""</formula>
    </cfRule>
  </conditionalFormatting>
  <conditionalFormatting sqref="H1147:I1147">
    <cfRule type="expression" dxfId="42" priority="28">
      <formula>$D1147=""</formula>
    </cfRule>
  </conditionalFormatting>
  <conditionalFormatting sqref="H1149:I1149">
    <cfRule type="expression" dxfId="41" priority="27">
      <formula>$D1149=""</formula>
    </cfRule>
  </conditionalFormatting>
  <conditionalFormatting sqref="H1151:I1151">
    <cfRule type="expression" dxfId="40" priority="26">
      <formula>$D1151=""</formula>
    </cfRule>
  </conditionalFormatting>
  <conditionalFormatting sqref="H1221:I1221">
    <cfRule type="expression" dxfId="39" priority="25">
      <formula>$D1221=""</formula>
    </cfRule>
  </conditionalFormatting>
  <conditionalFormatting sqref="H1223:I1223">
    <cfRule type="expression" dxfId="38" priority="24">
      <formula>$D1223=""</formula>
    </cfRule>
  </conditionalFormatting>
  <conditionalFormatting sqref="H1225:I1225">
    <cfRule type="expression" dxfId="37" priority="23">
      <formula>$D1225=""</formula>
    </cfRule>
  </conditionalFormatting>
  <conditionalFormatting sqref="H1227:I1227">
    <cfRule type="expression" dxfId="36" priority="22">
      <formula>$D1227=""</formula>
    </cfRule>
  </conditionalFormatting>
  <conditionalFormatting sqref="H1229:I1229">
    <cfRule type="expression" dxfId="35" priority="21">
      <formula>$D1229=""</formula>
    </cfRule>
  </conditionalFormatting>
  <conditionalFormatting sqref="H1261:I1261 H1271:I1271">
    <cfRule type="expression" dxfId="34" priority="20">
      <formula>$D1261=""</formula>
    </cfRule>
  </conditionalFormatting>
  <conditionalFormatting sqref="H1263:I1263 H1273:I1273">
    <cfRule type="expression" dxfId="33" priority="19">
      <formula>$D1263=""</formula>
    </cfRule>
  </conditionalFormatting>
  <conditionalFormatting sqref="H1265:I1265 H1275:I1275">
    <cfRule type="expression" dxfId="32" priority="18">
      <formula>$D1265=""</formula>
    </cfRule>
  </conditionalFormatting>
  <conditionalFormatting sqref="H1267:I1267 H1277:I1277">
    <cfRule type="expression" dxfId="31" priority="17">
      <formula>$D1267=""</formula>
    </cfRule>
  </conditionalFormatting>
  <conditionalFormatting sqref="H1269:I1269 H1279:I1279">
    <cfRule type="expression" dxfId="30" priority="16">
      <formula>$D1269=""</formula>
    </cfRule>
  </conditionalFormatting>
  <conditionalFormatting sqref="H1341:I1341">
    <cfRule type="expression" dxfId="29" priority="15">
      <formula>$D1341=""</formula>
    </cfRule>
  </conditionalFormatting>
  <conditionalFormatting sqref="H1343:I1343">
    <cfRule type="expression" dxfId="28" priority="14">
      <formula>$D1343=""</formula>
    </cfRule>
  </conditionalFormatting>
  <conditionalFormatting sqref="H1345:I1345">
    <cfRule type="expression" dxfId="27" priority="13">
      <formula>$D1345=""</formula>
    </cfRule>
  </conditionalFormatting>
  <conditionalFormatting sqref="H1347:I1347">
    <cfRule type="expression" dxfId="26" priority="12">
      <formula>$D1347=""</formula>
    </cfRule>
  </conditionalFormatting>
  <conditionalFormatting sqref="H1349:I1349">
    <cfRule type="expression" dxfId="25" priority="11">
      <formula>$D1349=""</formula>
    </cfRule>
  </conditionalFormatting>
  <conditionalFormatting sqref="H1381:I1381">
    <cfRule type="expression" dxfId="24" priority="10">
      <formula>$D1381=""</formula>
    </cfRule>
  </conditionalFormatting>
  <conditionalFormatting sqref="H1383:I1383">
    <cfRule type="expression" dxfId="23" priority="9">
      <formula>$D1383=""</formula>
    </cfRule>
  </conditionalFormatting>
  <conditionalFormatting sqref="H1385:I1385">
    <cfRule type="expression" dxfId="22" priority="8">
      <formula>$D1385=""</formula>
    </cfRule>
  </conditionalFormatting>
  <conditionalFormatting sqref="H1387:I1387">
    <cfRule type="expression" dxfId="21" priority="7">
      <formula>$D1387=""</formula>
    </cfRule>
  </conditionalFormatting>
  <conditionalFormatting sqref="H1389:I1389">
    <cfRule type="expression" dxfId="20" priority="6">
      <formula>$D1389=""</formula>
    </cfRule>
  </conditionalFormatting>
  <conditionalFormatting sqref="H1391:I1391">
    <cfRule type="expression" dxfId="19" priority="5">
      <formula>$D1391=""</formula>
    </cfRule>
  </conditionalFormatting>
  <conditionalFormatting sqref="H1393:I1393">
    <cfRule type="expression" dxfId="18" priority="4">
      <formula>$D1393=""</formula>
    </cfRule>
  </conditionalFormatting>
  <conditionalFormatting sqref="H1395:I1395">
    <cfRule type="expression" dxfId="17" priority="3">
      <formula>$D1395=""</formula>
    </cfRule>
  </conditionalFormatting>
  <conditionalFormatting sqref="H1397:I1397">
    <cfRule type="expression" dxfId="16" priority="2">
      <formula>$D1397=""</formula>
    </cfRule>
  </conditionalFormatting>
  <conditionalFormatting sqref="H1399:I1399">
    <cfRule type="expression" dxfId="15" priority="1">
      <formula>$D1399=""</formula>
    </cfRule>
  </conditionalFormatting>
  <dataValidations count="4">
    <dataValidation type="decimal" operator="greaterThanOrEqual" allowBlank="1" showInputMessage="1" showErrorMessage="1" error="Enter valid number only." sqref="F316:G615 G616 F10:G309 G621:G1820 F621:F900 F911:F1820">
      <formula1>0</formula1>
    </dataValidation>
    <dataValidation type="list" allowBlank="1" showInputMessage="1" showErrorMessage="1" error="Invalid entry. Select from dropdown list." sqref="H316:H615 H10:H309 H621:H1820">
      <formula1>baseline_validation</formula1>
    </dataValidation>
    <dataValidation allowBlank="1" showInputMessage="1" error="You cannot enter more than 255 characters in this Comments for Impact Disaggregation." sqref="J10:J309"/>
    <dataValidation allowBlank="1" showInputMessage="1" sqref="J316:J615 J621:J1820"/>
  </dataValidations>
  <hyperlinks>
    <hyperlink ref="C5" location="Impact_Indicator_Disaggregation_new" display="Impact"/>
    <hyperlink ref="D5" location="Outcome_Indicator_Disaggregation_new" display="Outcome Indicator"/>
    <hyperlink ref="E5" location="Coverage_Indicator_Disaggregation_new" display="Coverage"/>
    <hyperlink ref="F5" location="Instructions!InstructionE" display="Instruction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G88"/>
  <sheetViews>
    <sheetView showGridLines="0" topLeftCell="A7" zoomScale="60" zoomScaleNormal="60" workbookViewId="0">
      <selection activeCell="E5" sqref="E5"/>
    </sheetView>
  </sheetViews>
  <sheetFormatPr defaultColWidth="8.59765625" defaultRowHeight="13.8" x14ac:dyDescent="0.25"/>
  <cols>
    <col min="1" max="1" width="17.09765625" style="52" customWidth="1"/>
    <col min="2" max="3" width="35.59765625" style="52" customWidth="1"/>
    <col min="4" max="4" width="20.09765625" style="52" customWidth="1"/>
    <col min="5" max="5" width="18.59765625" style="52" customWidth="1"/>
    <col min="6" max="6" width="32.59765625" style="52" customWidth="1"/>
    <col min="7" max="7" width="21.09765625" style="52" customWidth="1"/>
    <col min="8" max="8" width="19.59765625" style="52" customWidth="1"/>
    <col min="9" max="9" width="17" style="52" customWidth="1"/>
    <col min="10" max="10" width="15.59765625" style="52" customWidth="1"/>
    <col min="11" max="11" width="17.09765625" style="52" customWidth="1"/>
    <col min="12" max="12" width="16.5" style="52" customWidth="1"/>
    <col min="13" max="13" width="19.09765625" style="52" customWidth="1"/>
    <col min="14" max="15" width="17.09765625" style="52" customWidth="1"/>
    <col min="16" max="16" width="14.59765625" style="52" customWidth="1"/>
    <col min="17" max="20" width="21" style="52" customWidth="1"/>
    <col min="21" max="22" width="20.59765625" style="52" customWidth="1"/>
    <col min="23" max="23" width="46.09765625" style="52" customWidth="1"/>
    <col min="24" max="24" width="15.5" style="52" hidden="1" customWidth="1"/>
    <col min="25" max="25" width="12.5" style="52" hidden="1" customWidth="1"/>
    <col min="26" max="26" width="13.796875" style="52" hidden="1" customWidth="1"/>
    <col min="27" max="27" width="13.09765625" style="52" hidden="1" customWidth="1"/>
    <col min="28" max="28" width="16.796875" style="52" hidden="1" customWidth="1"/>
    <col min="29" max="29" width="19.59765625" style="52" hidden="1" customWidth="1"/>
    <col min="30" max="30" width="24.5" style="52" hidden="1" customWidth="1"/>
    <col min="31" max="31" width="28.59765625" style="52" hidden="1" customWidth="1"/>
    <col min="32" max="32" width="23.59765625" style="52" hidden="1" customWidth="1"/>
    <col min="33" max="33" width="18" style="52" hidden="1" customWidth="1"/>
    <col min="34" max="34" width="16.5" style="52" customWidth="1"/>
    <col min="35" max="35" width="15.296875" style="52" customWidth="1"/>
    <col min="36" max="36" width="12.5" style="52" customWidth="1"/>
    <col min="37" max="37" width="14" style="52" customWidth="1"/>
    <col min="38" max="38" width="13" style="52" customWidth="1"/>
    <col min="39" max="16384" width="8.59765625" style="52"/>
  </cols>
  <sheetData>
    <row r="1" spans="1:33" x14ac:dyDescent="0.25">
      <c r="A1" s="621" t="s">
        <v>2273</v>
      </c>
      <c r="B1" s="622"/>
      <c r="C1" s="622"/>
      <c r="D1" s="622"/>
      <c r="E1" s="622"/>
      <c r="F1" s="622"/>
    </row>
    <row r="2" spans="1:33" x14ac:dyDescent="0.25">
      <c r="A2" s="622"/>
      <c r="B2" s="622"/>
      <c r="C2" s="622"/>
      <c r="D2" s="622"/>
      <c r="E2" s="622"/>
      <c r="F2" s="622"/>
    </row>
    <row r="4" spans="1:33" ht="14.4" thickBot="1" x14ac:dyDescent="0.3"/>
    <row r="5" spans="1:33" ht="20.55" customHeight="1" thickBot="1" x14ac:dyDescent="0.3">
      <c r="A5" s="112" t="s">
        <v>89</v>
      </c>
      <c r="B5" s="326" t="s">
        <v>306</v>
      </c>
      <c r="C5" s="113" t="s">
        <v>736</v>
      </c>
    </row>
    <row r="6" spans="1:33" x14ac:dyDescent="0.25">
      <c r="G6" s="114">
        <v>2</v>
      </c>
      <c r="I6" s="114">
        <v>3</v>
      </c>
      <c r="J6" s="114"/>
      <c r="K6" s="114">
        <v>4</v>
      </c>
      <c r="L6" s="114"/>
      <c r="M6" s="114">
        <v>5</v>
      </c>
      <c r="N6" s="114"/>
      <c r="O6" s="114">
        <v>6</v>
      </c>
      <c r="P6" s="114"/>
      <c r="Q6" s="114">
        <v>7</v>
      </c>
      <c r="R6" s="114"/>
      <c r="S6" s="114">
        <v>8</v>
      </c>
      <c r="T6" s="114"/>
    </row>
    <row r="7" spans="1:33" x14ac:dyDescent="0.25">
      <c r="A7" s="115"/>
      <c r="B7" s="115"/>
      <c r="C7" s="115"/>
      <c r="D7" s="115"/>
      <c r="E7" s="115"/>
      <c r="F7" s="116"/>
      <c r="G7" s="620" t="str">
        <f ca="1">IFERROR(IF(YEAR(INDEX('Overview - Section A'!$A$47:$A$54,MATCH(G6,'Overview - Section A'!$B$47:$B$54,0)))&lt;=YEAR('Overview - Section A'!$E$8),TEXT(IFERROR(INDEX('Overview - Section A'!$A$47:$A$54,MATCH(G6,'Overview - Section A'!$B$47:$B$54,0)),""),Setup!$A$33) &amp;" to " &amp; TEXT(IFERROR(INDEX('Overview - Section A'!$E$47:$E$54,MATCH(G6,'Overview - Section A'!$B$47:$B$54,0)),""),Setup!$A$33),""),"")</f>
        <v>d-mmm-yy to d-mmm-yy</v>
      </c>
      <c r="H7" s="584"/>
      <c r="I7" s="619" t="str">
        <f ca="1">IFERROR(IF(YEAR(INDEX('Overview - Section A'!$A$47:$A$54,MATCH(I6,'Overview - Section A'!$B$47:$B$54,0)))&lt;=YEAR('Overview - Section A'!$E$8),TEXT(IFERROR(INDEX('Overview - Section A'!$A$47:$A$54,MATCH(I6,'Overview - Section A'!$B$47:$B$54,0)),""),Setup!$A$33) &amp;" to " &amp; TEXT(IFERROR(INDEX('Overview - Section A'!$E$47:$E$54,MATCH(I6,'Overview - Section A'!$B$47:$B$54,0)),""),Setup!$A$33),""),"")</f>
        <v>d-mmm-yy to d-mmm-yy</v>
      </c>
      <c r="J7" s="584"/>
      <c r="K7" s="619" t="str">
        <f ca="1">IFERROR(IF(YEAR(INDEX('Overview - Section A'!$A$47:$A$54,MATCH(K6,'Overview - Section A'!$B$47:$B$54,0)))&lt;=YEAR('Overview - Section A'!$E$8),TEXT(IFERROR(INDEX('Overview - Section A'!$A$47:$A$54,MATCH(K6,'Overview - Section A'!$B$47:$B$54,0)),""),Setup!$A$33) &amp;" to " &amp; TEXT(IFERROR(INDEX('Overview - Section A'!$E$47:$E$54,MATCH(K6,'Overview - Section A'!$B$47:$B$54,0)),""),Setup!$A$33),""),"")</f>
        <v>d-mmm-yy to d-mmm-yy</v>
      </c>
      <c r="L7" s="584"/>
      <c r="M7" s="619" t="str">
        <f ca="1">IFERROR(IF(YEAR(INDEX('Overview - Section A'!$A$47:$A$54,MATCH(M6,'Overview - Section A'!$B$47:$B$54,0)))&lt;=YEAR('Overview - Section A'!$E$8),TEXT(IFERROR(INDEX('Overview - Section A'!$A$47:$A$54,MATCH(M6,'Overview - Section A'!$B$47:$B$54,0)),""),Setup!$A$33) &amp;" to " &amp; TEXT(IFERROR(INDEX('Overview - Section A'!$E$47:$E$54,MATCH(M6,'Overview - Section A'!$B$47:$B$54,0)),""),Setup!$A$33),""),"")</f>
        <v/>
      </c>
      <c r="N7" s="584"/>
      <c r="O7" s="619" t="str">
        <f ca="1">IFERROR(IF(YEAR(INDEX('Overview - Section A'!$A$47:$A$54,MATCH(O6,'Overview - Section A'!$B$47:$B$54,0)))&lt;=YEAR('Overview - Section A'!$E$8),TEXT(IFERROR(INDEX('Overview - Section A'!$A$47:$A$54,MATCH(O6,'Overview - Section A'!$B$47:$B$54,0)),""),Setup!$A$33) &amp;" to " &amp; TEXT(IFERROR(INDEX('Overview - Section A'!$E$47:$E$54,MATCH(O6,'Overview - Section A'!$B$47:$B$54,0)),""),Setup!$A$33),""),"")</f>
        <v/>
      </c>
      <c r="P7" s="584"/>
      <c r="Q7" s="619" t="str">
        <f ca="1">IFERROR(IF(YEAR(INDEX('Overview - Section A'!$A$47:$A$54,MATCH(Q6,'Overview - Section A'!$B$47:$B$54,0)))&lt;=YEAR('Overview - Section A'!$E$8),TEXT(IFERROR(INDEX('Overview - Section A'!$A$47:$A$54,MATCH(Q6,'Overview - Section A'!$B$47:$B$54,0)),""),Setup!$A$33) &amp;" to " &amp; TEXT(IFERROR(INDEX('Overview - Section A'!$E$47:$E$54,MATCH(Q6,'Overview - Section A'!$B$47:$B$54,0)),""),Setup!$A$33),""),"")</f>
        <v/>
      </c>
      <c r="R7" s="620"/>
      <c r="S7" s="619" t="str">
        <f>IFERROR(IF(YEAR(INDEX('Overview - Section A'!$A$47:$A$54,MATCH(S6,'Overview - Section A'!$B$47:$B$54,0)))&lt;=YEAR('Overview - Section A'!$E$8),TEXT(IFERROR(INDEX('Overview - Section A'!$A$47:$A$54,MATCH(S6,'Overview - Section A'!$B$47:$B$54,0)),""),Setup!$A$33) &amp;" to " &amp; TEXT(IFERROR(INDEX('Overview - Section A'!$E$47:$E$54,MATCH(S6,'Overview - Section A'!$B$47:$B$54,0)),""),Setup!$A$33),""),"")</f>
        <v/>
      </c>
      <c r="T7" s="620"/>
      <c r="U7" s="619"/>
      <c r="V7" s="620"/>
      <c r="W7" s="117"/>
    </row>
    <row r="8" spans="1:33" ht="55.5" customHeight="1" x14ac:dyDescent="0.25">
      <c r="A8" s="118" t="s">
        <v>2274</v>
      </c>
      <c r="B8" s="118" t="s">
        <v>256</v>
      </c>
      <c r="C8" s="118" t="s">
        <v>309</v>
      </c>
      <c r="D8" s="118" t="s">
        <v>2275</v>
      </c>
      <c r="E8" s="118" t="s">
        <v>120</v>
      </c>
      <c r="F8" s="118" t="s">
        <v>127</v>
      </c>
      <c r="G8" s="119" t="s">
        <v>2276</v>
      </c>
      <c r="H8" s="119" t="s">
        <v>2277</v>
      </c>
      <c r="I8" s="119" t="s">
        <v>2276</v>
      </c>
      <c r="J8" s="119" t="s">
        <v>2277</v>
      </c>
      <c r="K8" s="119" t="s">
        <v>2276</v>
      </c>
      <c r="L8" s="119" t="s">
        <v>2277</v>
      </c>
      <c r="M8" s="119" t="s">
        <v>2276</v>
      </c>
      <c r="N8" s="119" t="s">
        <v>2277</v>
      </c>
      <c r="O8" s="119" t="s">
        <v>2276</v>
      </c>
      <c r="P8" s="119" t="s">
        <v>2277</v>
      </c>
      <c r="Q8" s="119" t="s">
        <v>2276</v>
      </c>
      <c r="R8" s="119" t="s">
        <v>2277</v>
      </c>
      <c r="S8" s="119" t="s">
        <v>2276</v>
      </c>
      <c r="T8" s="119" t="s">
        <v>2277</v>
      </c>
      <c r="U8" s="119" t="s">
        <v>2276</v>
      </c>
      <c r="V8" s="119" t="s">
        <v>2277</v>
      </c>
      <c r="W8" s="120" t="s">
        <v>176</v>
      </c>
      <c r="AB8" s="52" t="s">
        <v>2278</v>
      </c>
      <c r="AD8" s="52" t="s">
        <v>2279</v>
      </c>
      <c r="AE8" s="52" t="s">
        <v>2280</v>
      </c>
    </row>
    <row r="9" spans="1:33" ht="30" customHeight="1" x14ac:dyDescent="0.25">
      <c r="A9" s="121">
        <v>1</v>
      </c>
      <c r="B9" s="122"/>
      <c r="C9" s="122"/>
      <c r="D9" s="122"/>
      <c r="E9" s="122"/>
      <c r="F9" s="123"/>
      <c r="G9" s="122"/>
      <c r="H9" s="122"/>
      <c r="I9" s="122"/>
      <c r="J9" s="122"/>
      <c r="K9" s="122"/>
      <c r="L9" s="122"/>
      <c r="M9" s="122"/>
      <c r="N9" s="122"/>
      <c r="O9" s="122"/>
      <c r="P9" s="122"/>
      <c r="Q9" s="122"/>
      <c r="R9" s="122"/>
      <c r="S9" s="122"/>
      <c r="T9" s="122"/>
      <c r="U9" s="122"/>
      <c r="V9" s="122"/>
      <c r="W9" s="122"/>
      <c r="Y9" s="52" t="e">
        <f>VLOOKUP(X9,'Reference Records'!$E$253:$F$420,2,0)</f>
        <v>#N/A</v>
      </c>
      <c r="Z9" s="52" t="e">
        <f>MATCH($Y9,'Reference Records'!$E$507:$E$509,0)+ROW(Population_by_intervention) -1</f>
        <v>#N/A</v>
      </c>
      <c r="AA9" s="52" t="e">
        <f>MATCH($Y9,'Reference Records'!$E$507:$E$509,1)+ROW(Population_by_intervention) -1</f>
        <v>#N/A</v>
      </c>
      <c r="AB9" s="52" t="str">
        <f>IF(B9="","|empty|",B9&amp;C9)</f>
        <v>|empty|</v>
      </c>
      <c r="AC9" s="52" t="str">
        <f>IF(AB9="","",IFERROR(VLOOKUP(AB9,'Overview - Section A'!AF$124:AG175,2,0),VLOOKUP("|empty|",'Overview - Section A'!AF$124:AG175,2,0)))</f>
        <v>INT-341506</v>
      </c>
      <c r="AD9" s="52">
        <f>ROW(WPTM____Section_F)+3</f>
        <v>2700</v>
      </c>
      <c r="AE9" s="52">
        <f>ROW(WPTM_Results)+3</f>
        <v>2866</v>
      </c>
      <c r="AF9" s="52" t="str">
        <f>IFERROR(IF(AB9="","",IFERROR(VLOOKUP(AB9,'Overview - Section A'!AF$124:AO175,10,0),VLOOKUP("|empty|",'Overview - Section A'!AF$124:AO175,10,0))),"")</f>
        <v/>
      </c>
      <c r="AG9" s="52">
        <f ca="1">IF(INDIRECT("'update Helper'!D"&amp;AD9)=0,"",INDEX('Overview - Section A'!V123:V175,MATCH(INDIRECT("'update Helper'!D"&amp;AD9),'Overview - Section A'!AG123:AG175)))</f>
        <v>0</v>
      </c>
    </row>
    <row r="10" spans="1:33" ht="30" customHeight="1" x14ac:dyDescent="0.25">
      <c r="A10" s="121">
        <v>2</v>
      </c>
      <c r="B10" s="124"/>
      <c r="C10" s="124"/>
      <c r="D10" s="124"/>
      <c r="E10" s="124"/>
      <c r="F10" s="125"/>
      <c r="G10" s="124"/>
      <c r="H10" s="124"/>
      <c r="I10" s="124"/>
      <c r="J10" s="124"/>
      <c r="K10" s="124"/>
      <c r="L10" s="124"/>
      <c r="M10" s="124"/>
      <c r="N10" s="124"/>
      <c r="O10" s="124"/>
      <c r="P10" s="124"/>
      <c r="Q10" s="124"/>
      <c r="R10" s="124"/>
      <c r="S10" s="124"/>
      <c r="T10" s="124"/>
      <c r="U10" s="124"/>
      <c r="V10" s="124"/>
      <c r="W10" s="124"/>
      <c r="Y10" s="52" t="e">
        <f>VLOOKUP(X10,'Reference Records'!$E$253:$F$420,2,0)</f>
        <v>#N/A</v>
      </c>
      <c r="Z10" s="52" t="e">
        <f>MATCH($Y10,'Reference Records'!$E$507:$E$509,0)+ROW(Population_by_intervention) -1</f>
        <v>#N/A</v>
      </c>
      <c r="AA10" s="52" t="e">
        <f>MATCH($Y10,'Reference Records'!$E$507:$E$509,1)+ROW(Population_by_intervention) -1</f>
        <v>#N/A</v>
      </c>
      <c r="AB10" s="52" t="str">
        <f t="shared" ref="AB10:AB73" si="0">IF(B10="","|empty|",B10&amp;C10)</f>
        <v>|empty|</v>
      </c>
      <c r="AC10" s="52" t="str">
        <f>IF(AB10="","",IFERROR(VLOOKUP(AB10,'Overview - Section A'!AF$124:AG176,2,0),VLOOKUP("|empty|",'Overview - Section A'!AF$124:AG176,2,0)))</f>
        <v>INT-341506</v>
      </c>
      <c r="AD10" s="52">
        <f>AD9+1</f>
        <v>2701</v>
      </c>
      <c r="AE10" s="52">
        <f>AE9+'update Helper'!$T$2</f>
        <v>2872</v>
      </c>
      <c r="AF10" s="52" t="str">
        <f>IFERROR(IF(AB10="","",IFERROR(VLOOKUP(AB10,'Overview - Section A'!AF$124:AO176,10,0),VLOOKUP("|empty|",'Overview - Section A'!AF$124:AO176,10,0))),"")</f>
        <v/>
      </c>
    </row>
    <row r="11" spans="1:33" ht="30" customHeight="1" x14ac:dyDescent="0.25">
      <c r="A11" s="121">
        <v>3</v>
      </c>
      <c r="B11" s="122"/>
      <c r="C11" s="122"/>
      <c r="D11" s="122"/>
      <c r="E11" s="122"/>
      <c r="F11" s="123"/>
      <c r="G11" s="122"/>
      <c r="H11" s="122"/>
      <c r="I11" s="122"/>
      <c r="J11" s="122"/>
      <c r="K11" s="122"/>
      <c r="L11" s="122"/>
      <c r="M11" s="122"/>
      <c r="N11" s="122"/>
      <c r="O11" s="122"/>
      <c r="P11" s="122"/>
      <c r="Q11" s="122"/>
      <c r="R11" s="122"/>
      <c r="S11" s="122"/>
      <c r="T11" s="122"/>
      <c r="U11" s="122"/>
      <c r="V11" s="122"/>
      <c r="W11" s="122"/>
      <c r="Y11" s="52" t="e">
        <f>VLOOKUP(X11,'Reference Records'!$E$253:$F$420,2,0)</f>
        <v>#N/A</v>
      </c>
      <c r="Z11" s="52" t="e">
        <f>MATCH($Y11,'Reference Records'!$E$507:$E$509,0)+ROW(Population_by_intervention) -1</f>
        <v>#N/A</v>
      </c>
      <c r="AA11" s="52" t="e">
        <f>MATCH($Y11,'Reference Records'!$E$507:$E$509,1)+ROW(Population_by_intervention) -1</f>
        <v>#N/A</v>
      </c>
      <c r="AB11" s="52" t="str">
        <f t="shared" si="0"/>
        <v>|empty|</v>
      </c>
      <c r="AC11" s="52" t="str">
        <f>IF(AB11="","",IFERROR(VLOOKUP(AB11,'Overview - Section A'!AF$124:AG177,2,0),VLOOKUP("|empty|",'Overview - Section A'!AF$124:AG177,2,0)))</f>
        <v>INT-341506</v>
      </c>
      <c r="AD11" s="52">
        <f t="shared" ref="AD11:AD74" si="1">AD10+1</f>
        <v>2702</v>
      </c>
      <c r="AE11" s="52">
        <f>AE10+'update Helper'!$T$2</f>
        <v>2878</v>
      </c>
      <c r="AF11" s="52" t="str">
        <f>IFERROR(IF(AB11="","",IFERROR(VLOOKUP(AB11,'Overview - Section A'!AF$124:AO177,10,0),VLOOKUP("|empty|",'Overview - Section A'!AF$124:AO177,10,0))),"")</f>
        <v/>
      </c>
    </row>
    <row r="12" spans="1:33" ht="30" customHeight="1" x14ac:dyDescent="0.25">
      <c r="A12" s="121">
        <v>4</v>
      </c>
      <c r="B12" s="124"/>
      <c r="C12" s="124"/>
      <c r="D12" s="124"/>
      <c r="E12" s="124"/>
      <c r="F12" s="125"/>
      <c r="G12" s="124"/>
      <c r="H12" s="124"/>
      <c r="I12" s="124"/>
      <c r="J12" s="124"/>
      <c r="K12" s="124"/>
      <c r="L12" s="124"/>
      <c r="M12" s="124"/>
      <c r="N12" s="124"/>
      <c r="O12" s="124"/>
      <c r="P12" s="124"/>
      <c r="Q12" s="124"/>
      <c r="R12" s="124"/>
      <c r="S12" s="124"/>
      <c r="T12" s="124"/>
      <c r="U12" s="124"/>
      <c r="V12" s="124"/>
      <c r="W12" s="124"/>
      <c r="Y12" s="52" t="e">
        <f>VLOOKUP(X12,'Reference Records'!$E$253:$F$420,2,0)</f>
        <v>#N/A</v>
      </c>
      <c r="Z12" s="52" t="e">
        <f>MATCH($Y12,'Reference Records'!$E$507:$E$509,0)+ROW(Population_by_intervention) -1</f>
        <v>#N/A</v>
      </c>
      <c r="AA12" s="52" t="e">
        <f>MATCH($Y12,'Reference Records'!$E$507:$E$509,1)+ROW(Population_by_intervention) -1</f>
        <v>#N/A</v>
      </c>
      <c r="AB12" s="52" t="str">
        <f t="shared" si="0"/>
        <v>|empty|</v>
      </c>
      <c r="AC12" s="52" t="str">
        <f>IF(AB12="","",IFERROR(VLOOKUP(AB12,'Overview - Section A'!AF$124:AG178,2,0),VLOOKUP("|empty|",'Overview - Section A'!AF$124:AG178,2,0)))</f>
        <v>INT-341506</v>
      </c>
      <c r="AD12" s="52">
        <f t="shared" si="1"/>
        <v>2703</v>
      </c>
      <c r="AE12" s="52">
        <f>AE11+'update Helper'!$T$2</f>
        <v>2884</v>
      </c>
      <c r="AF12" s="52" t="str">
        <f>IFERROR(IF(AB12="","",IFERROR(VLOOKUP(AB12,'Overview - Section A'!AF$124:AO178,10,0),VLOOKUP("|empty|",'Overview - Section A'!AF$124:AO178,10,0))),"")</f>
        <v/>
      </c>
    </row>
    <row r="13" spans="1:33" ht="30" customHeight="1" x14ac:dyDescent="0.25">
      <c r="A13" s="121">
        <v>5</v>
      </c>
      <c r="B13" s="122"/>
      <c r="C13" s="122"/>
      <c r="D13" s="122"/>
      <c r="E13" s="122"/>
      <c r="F13" s="123"/>
      <c r="G13" s="122"/>
      <c r="H13" s="122"/>
      <c r="I13" s="122"/>
      <c r="J13" s="122"/>
      <c r="K13" s="122"/>
      <c r="L13" s="122"/>
      <c r="M13" s="122"/>
      <c r="N13" s="122"/>
      <c r="O13" s="122"/>
      <c r="P13" s="122"/>
      <c r="Q13" s="122"/>
      <c r="R13" s="122"/>
      <c r="S13" s="122"/>
      <c r="T13" s="122"/>
      <c r="U13" s="122"/>
      <c r="V13" s="122"/>
      <c r="W13" s="122"/>
      <c r="Y13" s="52" t="e">
        <f>VLOOKUP(X13,'Reference Records'!$E$253:$F$420,2,0)</f>
        <v>#N/A</v>
      </c>
      <c r="Z13" s="52" t="e">
        <f>MATCH($Y13,'Reference Records'!$E$507:$E$509,0)+ROW(Population_by_intervention) -1</f>
        <v>#N/A</v>
      </c>
      <c r="AA13" s="52" t="e">
        <f>MATCH($Y13,'Reference Records'!$E$507:$E$509,1)+ROW(Population_by_intervention) -1</f>
        <v>#N/A</v>
      </c>
      <c r="AB13" s="52" t="str">
        <f t="shared" si="0"/>
        <v>|empty|</v>
      </c>
      <c r="AC13" s="52" t="str">
        <f>IF(AB13="","",IFERROR(VLOOKUP(AB13,'Overview - Section A'!AF$124:AG179,2,0),VLOOKUP("|empty|",'Overview - Section A'!AF$124:AG179,2,0)))</f>
        <v>INT-341506</v>
      </c>
      <c r="AD13" s="52">
        <f t="shared" si="1"/>
        <v>2704</v>
      </c>
      <c r="AE13" s="52">
        <f>AE12+'update Helper'!$T$2</f>
        <v>2890</v>
      </c>
      <c r="AF13" s="52" t="str">
        <f>IFERROR(IF(AB13="","",IFERROR(VLOOKUP(AB13,'Overview - Section A'!AF$124:AO179,10,0),VLOOKUP("|empty|",'Overview - Section A'!AF$124:AO179,10,0))),"")</f>
        <v/>
      </c>
    </row>
    <row r="14" spans="1:33" ht="30" customHeight="1" x14ac:dyDescent="0.25">
      <c r="A14" s="121">
        <v>6</v>
      </c>
      <c r="B14" s="124"/>
      <c r="C14" s="124"/>
      <c r="D14" s="124"/>
      <c r="E14" s="124"/>
      <c r="F14" s="125"/>
      <c r="G14" s="124"/>
      <c r="H14" s="124"/>
      <c r="I14" s="124"/>
      <c r="J14" s="124"/>
      <c r="K14" s="124"/>
      <c r="L14" s="124"/>
      <c r="M14" s="124"/>
      <c r="N14" s="124"/>
      <c r="O14" s="124"/>
      <c r="P14" s="124"/>
      <c r="Q14" s="124"/>
      <c r="R14" s="124"/>
      <c r="S14" s="124"/>
      <c r="T14" s="124"/>
      <c r="U14" s="124"/>
      <c r="V14" s="124"/>
      <c r="W14" s="124"/>
      <c r="Y14" s="52" t="e">
        <f>VLOOKUP(X14,'Reference Records'!$E$253:$F$420,2,0)</f>
        <v>#N/A</v>
      </c>
      <c r="Z14" s="52" t="e">
        <f>MATCH($Y14,'Reference Records'!$E$507:$E$509,0)+ROW(Population_by_intervention) -1</f>
        <v>#N/A</v>
      </c>
      <c r="AA14" s="52" t="e">
        <f>MATCH($Y14,'Reference Records'!$E$507:$E$509,1)+ROW(Population_by_intervention) -1</f>
        <v>#N/A</v>
      </c>
      <c r="AB14" s="52" t="str">
        <f t="shared" si="0"/>
        <v>|empty|</v>
      </c>
      <c r="AC14" s="52" t="str">
        <f>IF(AB14="","",IFERROR(VLOOKUP(AB14,'Overview - Section A'!AF$124:AG180,2,0),VLOOKUP("|empty|",'Overview - Section A'!AF$124:AG180,2,0)))</f>
        <v>INT-341506</v>
      </c>
      <c r="AD14" s="52">
        <f t="shared" si="1"/>
        <v>2705</v>
      </c>
      <c r="AE14" s="52">
        <f>AE13+'update Helper'!$T$2</f>
        <v>2896</v>
      </c>
      <c r="AF14" s="52" t="str">
        <f>IFERROR(IF(AB14="","",IFERROR(VLOOKUP(AB14,'Overview - Section A'!AF$124:AO180,10,0),VLOOKUP("|empty|",'Overview - Section A'!AF$124:AO180,10,0))),"")</f>
        <v/>
      </c>
    </row>
    <row r="15" spans="1:33" ht="30" customHeight="1" x14ac:dyDescent="0.25">
      <c r="A15" s="121">
        <v>7</v>
      </c>
      <c r="B15" s="122"/>
      <c r="C15" s="122"/>
      <c r="D15" s="122"/>
      <c r="E15" s="122"/>
      <c r="F15" s="123"/>
      <c r="G15" s="122"/>
      <c r="H15" s="122"/>
      <c r="I15" s="122"/>
      <c r="J15" s="122"/>
      <c r="K15" s="122"/>
      <c r="L15" s="122"/>
      <c r="M15" s="122"/>
      <c r="N15" s="122"/>
      <c r="O15" s="122"/>
      <c r="P15" s="122"/>
      <c r="Q15" s="122"/>
      <c r="R15" s="122"/>
      <c r="S15" s="122"/>
      <c r="T15" s="122"/>
      <c r="U15" s="122"/>
      <c r="V15" s="122"/>
      <c r="W15" s="122"/>
      <c r="Y15" s="52" t="e">
        <f>VLOOKUP(X15,'Reference Records'!$E$253:$F$420,2,0)</f>
        <v>#N/A</v>
      </c>
      <c r="Z15" s="52" t="e">
        <f>MATCH($Y15,'Reference Records'!$E$507:$E$509,0)+ROW(Population_by_intervention) -1</f>
        <v>#N/A</v>
      </c>
      <c r="AA15" s="52" t="e">
        <f>MATCH($Y15,'Reference Records'!$E$507:$E$509,1)+ROW(Population_by_intervention) -1</f>
        <v>#N/A</v>
      </c>
      <c r="AB15" s="52" t="str">
        <f t="shared" si="0"/>
        <v>|empty|</v>
      </c>
      <c r="AC15" s="52" t="str">
        <f>IF(AB15="","",IFERROR(VLOOKUP(AB15,'Overview - Section A'!AF$124:AG181,2,0),VLOOKUP("|empty|",'Overview - Section A'!AF$124:AG181,2,0)))</f>
        <v>INT-341506</v>
      </c>
      <c r="AD15" s="52">
        <f t="shared" si="1"/>
        <v>2706</v>
      </c>
      <c r="AE15" s="52">
        <f>AE14+'update Helper'!$T$2</f>
        <v>2902</v>
      </c>
      <c r="AF15" s="52" t="str">
        <f>IFERROR(IF(AB15="","",IFERROR(VLOOKUP(AB15,'Overview - Section A'!AF$124:AO181,10,0),VLOOKUP("|empty|",'Overview - Section A'!AF$124:AO181,10,0))),"")</f>
        <v/>
      </c>
    </row>
    <row r="16" spans="1:33" ht="30" customHeight="1" x14ac:dyDescent="0.25">
      <c r="A16" s="121">
        <v>8</v>
      </c>
      <c r="B16" s="124"/>
      <c r="C16" s="124"/>
      <c r="D16" s="124"/>
      <c r="E16" s="124"/>
      <c r="F16" s="125"/>
      <c r="G16" s="124"/>
      <c r="H16" s="124"/>
      <c r="I16" s="124"/>
      <c r="J16" s="124"/>
      <c r="K16" s="124"/>
      <c r="L16" s="124"/>
      <c r="M16" s="124"/>
      <c r="N16" s="124"/>
      <c r="O16" s="124"/>
      <c r="P16" s="124"/>
      <c r="Q16" s="124"/>
      <c r="R16" s="124"/>
      <c r="S16" s="124"/>
      <c r="T16" s="124"/>
      <c r="U16" s="124"/>
      <c r="V16" s="124"/>
      <c r="W16" s="124"/>
      <c r="Y16" s="52" t="e">
        <f>VLOOKUP(X16,'Reference Records'!$E$253:$F$420,2,0)</f>
        <v>#N/A</v>
      </c>
      <c r="Z16" s="52" t="e">
        <f>MATCH($Y16,'Reference Records'!$E$507:$E$509,0)+ROW(Population_by_intervention) -1</f>
        <v>#N/A</v>
      </c>
      <c r="AA16" s="52" t="e">
        <f>MATCH($Y16,'Reference Records'!$E$507:$E$509,1)+ROW(Population_by_intervention) -1</f>
        <v>#N/A</v>
      </c>
      <c r="AB16" s="52" t="str">
        <f t="shared" si="0"/>
        <v>|empty|</v>
      </c>
      <c r="AC16" s="52" t="str">
        <f>IF(AB16="","",IFERROR(VLOOKUP(AB16,'Overview - Section A'!AF$124:AG182,2,0),VLOOKUP("|empty|",'Overview - Section A'!AF$124:AG182,2,0)))</f>
        <v>INT-341506</v>
      </c>
      <c r="AD16" s="52">
        <f t="shared" si="1"/>
        <v>2707</v>
      </c>
      <c r="AE16" s="52">
        <f>AE15+'update Helper'!$T$2</f>
        <v>2908</v>
      </c>
      <c r="AF16" s="52" t="str">
        <f>IFERROR(IF(AB16="","",IFERROR(VLOOKUP(AB16,'Overview - Section A'!AF$124:AO182,10,0),VLOOKUP("|empty|",'Overview - Section A'!AF$124:AO182,10,0))),"")</f>
        <v/>
      </c>
    </row>
    <row r="17" spans="1:32" ht="30" customHeight="1" x14ac:dyDescent="0.25">
      <c r="A17" s="121">
        <v>9</v>
      </c>
      <c r="B17" s="122"/>
      <c r="C17" s="122"/>
      <c r="D17" s="122"/>
      <c r="E17" s="122"/>
      <c r="F17" s="123"/>
      <c r="G17" s="122"/>
      <c r="H17" s="122"/>
      <c r="I17" s="122"/>
      <c r="J17" s="122"/>
      <c r="K17" s="122"/>
      <c r="L17" s="122"/>
      <c r="M17" s="122"/>
      <c r="N17" s="122"/>
      <c r="O17" s="122"/>
      <c r="P17" s="122"/>
      <c r="Q17" s="122"/>
      <c r="R17" s="122"/>
      <c r="S17" s="122"/>
      <c r="T17" s="122"/>
      <c r="U17" s="122"/>
      <c r="V17" s="122"/>
      <c r="W17" s="122"/>
      <c r="Y17" s="52" t="e">
        <f>VLOOKUP(X17,'Reference Records'!$E$253:$F$420,2,0)</f>
        <v>#N/A</v>
      </c>
      <c r="Z17" s="52" t="e">
        <f>MATCH($Y17,'Reference Records'!$E$507:$E$509,0)+ROW(Population_by_intervention) -1</f>
        <v>#N/A</v>
      </c>
      <c r="AA17" s="52" t="e">
        <f>MATCH($Y17,'Reference Records'!$E$507:$E$509,1)+ROW(Population_by_intervention) -1</f>
        <v>#N/A</v>
      </c>
      <c r="AB17" s="52" t="str">
        <f t="shared" si="0"/>
        <v>|empty|</v>
      </c>
      <c r="AC17" s="52" t="str">
        <f>IF(AB17="","",IFERROR(VLOOKUP(AB17,'Overview - Section A'!AF$124:AG183,2,0),VLOOKUP("|empty|",'Overview - Section A'!AF$124:AG183,2,0)))</f>
        <v>INT-341506</v>
      </c>
      <c r="AD17" s="52">
        <f t="shared" si="1"/>
        <v>2708</v>
      </c>
      <c r="AE17" s="52">
        <f>AE16+'update Helper'!$T$2</f>
        <v>2914</v>
      </c>
      <c r="AF17" s="52" t="str">
        <f>IFERROR(IF(AB17="","",IFERROR(VLOOKUP(AB17,'Overview - Section A'!AF$124:AO183,10,0),VLOOKUP("|empty|",'Overview - Section A'!AF$124:AO183,10,0))),"")</f>
        <v/>
      </c>
    </row>
    <row r="18" spans="1:32" ht="30" customHeight="1" x14ac:dyDescent="0.25">
      <c r="A18" s="121">
        <v>10</v>
      </c>
      <c r="B18" s="124"/>
      <c r="C18" s="124"/>
      <c r="D18" s="124"/>
      <c r="E18" s="124"/>
      <c r="F18" s="125"/>
      <c r="G18" s="124"/>
      <c r="H18" s="124"/>
      <c r="I18" s="124"/>
      <c r="J18" s="124"/>
      <c r="K18" s="124"/>
      <c r="L18" s="124"/>
      <c r="M18" s="124"/>
      <c r="N18" s="124"/>
      <c r="O18" s="124"/>
      <c r="P18" s="124"/>
      <c r="Q18" s="124"/>
      <c r="R18" s="124"/>
      <c r="S18" s="124"/>
      <c r="T18" s="124"/>
      <c r="U18" s="124"/>
      <c r="V18" s="124"/>
      <c r="W18" s="124"/>
      <c r="Y18" s="52" t="e">
        <f>VLOOKUP(X18,'Reference Records'!$E$253:$F$420,2,0)</f>
        <v>#N/A</v>
      </c>
      <c r="Z18" s="52" t="e">
        <f>MATCH($Y18,'Reference Records'!$E$507:$E$509,0)+ROW(Population_by_intervention) -1</f>
        <v>#N/A</v>
      </c>
      <c r="AA18" s="52" t="e">
        <f>MATCH($Y18,'Reference Records'!$E$507:$E$509,1)+ROW(Population_by_intervention) -1</f>
        <v>#N/A</v>
      </c>
      <c r="AB18" s="52" t="str">
        <f t="shared" si="0"/>
        <v>|empty|</v>
      </c>
      <c r="AC18" s="52" t="str">
        <f>IF(AB18="","",IFERROR(VLOOKUP(AB18,'Overview - Section A'!AF$124:AG184,2,0),VLOOKUP("|empty|",'Overview - Section A'!AF$124:AG184,2,0)))</f>
        <v>INT-341506</v>
      </c>
      <c r="AD18" s="52">
        <f t="shared" si="1"/>
        <v>2709</v>
      </c>
      <c r="AE18" s="52">
        <f>AE17+'update Helper'!$T$2</f>
        <v>2920</v>
      </c>
      <c r="AF18" s="52" t="str">
        <f>IFERROR(IF(AB18="","",IFERROR(VLOOKUP(AB18,'Overview - Section A'!AF$124:AO184,10,0),VLOOKUP("|empty|",'Overview - Section A'!AF$124:AO184,10,0))),"")</f>
        <v/>
      </c>
    </row>
    <row r="19" spans="1:32" ht="30" customHeight="1" x14ac:dyDescent="0.25">
      <c r="A19" s="121">
        <v>11</v>
      </c>
      <c r="B19" s="122"/>
      <c r="C19" s="122"/>
      <c r="D19" s="122"/>
      <c r="E19" s="122"/>
      <c r="F19" s="123"/>
      <c r="G19" s="122"/>
      <c r="H19" s="122"/>
      <c r="I19" s="122"/>
      <c r="J19" s="122"/>
      <c r="K19" s="122"/>
      <c r="L19" s="122"/>
      <c r="M19" s="122"/>
      <c r="N19" s="122"/>
      <c r="O19" s="122"/>
      <c r="P19" s="122"/>
      <c r="Q19" s="122"/>
      <c r="R19" s="122"/>
      <c r="S19" s="122"/>
      <c r="T19" s="122"/>
      <c r="U19" s="122"/>
      <c r="V19" s="122"/>
      <c r="W19" s="122"/>
      <c r="Y19" s="52" t="e">
        <f>VLOOKUP(X19,'Reference Records'!$E$253:$F$420,2,0)</f>
        <v>#N/A</v>
      </c>
      <c r="Z19" s="52" t="e">
        <f>MATCH($Y19,'Reference Records'!$E$507:$E$509,0)+ROW(Population_by_intervention) -1</f>
        <v>#N/A</v>
      </c>
      <c r="AA19" s="52" t="e">
        <f>MATCH($Y19,'Reference Records'!$E$507:$E$509,1)+ROW(Population_by_intervention) -1</f>
        <v>#N/A</v>
      </c>
      <c r="AB19" s="52" t="str">
        <f t="shared" si="0"/>
        <v>|empty|</v>
      </c>
      <c r="AC19" s="52" t="str">
        <f>IF(AB19="","",IFERROR(VLOOKUP(AB19,'Overview - Section A'!AF$124:AG185,2,0),VLOOKUP("|empty|",'Overview - Section A'!AF$124:AG185,2,0)))</f>
        <v>INT-341506</v>
      </c>
      <c r="AD19" s="52">
        <f t="shared" si="1"/>
        <v>2710</v>
      </c>
      <c r="AE19" s="52">
        <f>AE18+'update Helper'!$T$2</f>
        <v>2926</v>
      </c>
      <c r="AF19" s="52" t="str">
        <f>IFERROR(IF(AB19="","",IFERROR(VLOOKUP(AB19,'Overview - Section A'!AF$124:AO185,10,0),VLOOKUP("|empty|",'Overview - Section A'!AF$124:AO185,10,0))),"")</f>
        <v/>
      </c>
    </row>
    <row r="20" spans="1:32" ht="30" customHeight="1" x14ac:dyDescent="0.25">
      <c r="A20" s="121">
        <v>12</v>
      </c>
      <c r="B20" s="124"/>
      <c r="C20" s="124"/>
      <c r="D20" s="124"/>
      <c r="E20" s="124"/>
      <c r="F20" s="125"/>
      <c r="G20" s="124"/>
      <c r="H20" s="124"/>
      <c r="I20" s="124"/>
      <c r="J20" s="124"/>
      <c r="K20" s="124"/>
      <c r="L20" s="124"/>
      <c r="M20" s="124"/>
      <c r="N20" s="124"/>
      <c r="O20" s="124"/>
      <c r="P20" s="124"/>
      <c r="Q20" s="124"/>
      <c r="R20" s="124"/>
      <c r="S20" s="124"/>
      <c r="T20" s="124"/>
      <c r="U20" s="124"/>
      <c r="V20" s="124"/>
      <c r="W20" s="124"/>
      <c r="Y20" s="52" t="e">
        <f>VLOOKUP(X20,'Reference Records'!$E$253:$F$420,2,0)</f>
        <v>#N/A</v>
      </c>
      <c r="Z20" s="52" t="e">
        <f>MATCH($Y20,'Reference Records'!$E$507:$E$509,0)+ROW(Population_by_intervention) -1</f>
        <v>#N/A</v>
      </c>
      <c r="AA20" s="52" t="e">
        <f>MATCH($Y20,'Reference Records'!$E$507:$E$509,1)+ROW(Population_by_intervention) -1</f>
        <v>#N/A</v>
      </c>
      <c r="AB20" s="52" t="str">
        <f t="shared" si="0"/>
        <v>|empty|</v>
      </c>
      <c r="AC20" s="52" t="str">
        <f>IF(AB20="","",IFERROR(VLOOKUP(AB20,'Overview - Section A'!AF$124:AG186,2,0),VLOOKUP("|empty|",'Overview - Section A'!AF$124:AG186,2,0)))</f>
        <v>INT-341506</v>
      </c>
      <c r="AD20" s="52">
        <f t="shared" si="1"/>
        <v>2711</v>
      </c>
      <c r="AE20" s="52">
        <f>AE19+'update Helper'!$T$2</f>
        <v>2932</v>
      </c>
      <c r="AF20" s="52" t="str">
        <f>IFERROR(IF(AB20="","",IFERROR(VLOOKUP(AB20,'Overview - Section A'!AF$124:AO186,10,0),VLOOKUP("|empty|",'Overview - Section A'!AF$124:AO186,10,0))),"")</f>
        <v/>
      </c>
    </row>
    <row r="21" spans="1:32" ht="30" customHeight="1" x14ac:dyDescent="0.25">
      <c r="A21" s="121">
        <v>13</v>
      </c>
      <c r="B21" s="122"/>
      <c r="C21" s="122"/>
      <c r="D21" s="122"/>
      <c r="E21" s="122"/>
      <c r="F21" s="123"/>
      <c r="G21" s="122"/>
      <c r="H21" s="122"/>
      <c r="I21" s="122"/>
      <c r="J21" s="122"/>
      <c r="K21" s="122"/>
      <c r="L21" s="122"/>
      <c r="M21" s="122"/>
      <c r="N21" s="122"/>
      <c r="O21" s="122"/>
      <c r="P21" s="122"/>
      <c r="Q21" s="122"/>
      <c r="R21" s="122"/>
      <c r="S21" s="122"/>
      <c r="T21" s="122"/>
      <c r="U21" s="122"/>
      <c r="V21" s="122"/>
      <c r="W21" s="122"/>
      <c r="Y21" s="52" t="e">
        <f>VLOOKUP(X21,'Reference Records'!$E$253:$F$420,2,0)</f>
        <v>#N/A</v>
      </c>
      <c r="Z21" s="52" t="e">
        <f>MATCH($Y21,'Reference Records'!$E$507:$E$509,0)+ROW(Population_by_intervention) -1</f>
        <v>#N/A</v>
      </c>
      <c r="AA21" s="52" t="e">
        <f>MATCH($Y21,'Reference Records'!$E$507:$E$509,1)+ROW(Population_by_intervention) -1</f>
        <v>#N/A</v>
      </c>
      <c r="AB21" s="52" t="str">
        <f t="shared" si="0"/>
        <v>|empty|</v>
      </c>
      <c r="AC21" s="52" t="str">
        <f>IF(AB21="","",IFERROR(VLOOKUP(AB21,'Overview - Section A'!AF$124:AG187,2,0),VLOOKUP("|empty|",'Overview - Section A'!AF$124:AG187,2,0)))</f>
        <v>INT-341506</v>
      </c>
      <c r="AD21" s="52">
        <f t="shared" si="1"/>
        <v>2712</v>
      </c>
      <c r="AE21" s="52">
        <f>AE20+'update Helper'!$T$2</f>
        <v>2938</v>
      </c>
      <c r="AF21" s="52" t="str">
        <f>IFERROR(IF(AB21="","",IFERROR(VLOOKUP(AB21,'Overview - Section A'!AF$124:AO187,10,0),VLOOKUP("|empty|",'Overview - Section A'!AF$124:AO187,10,0))),"")</f>
        <v/>
      </c>
    </row>
    <row r="22" spans="1:32" ht="30" customHeight="1" x14ac:dyDescent="0.25">
      <c r="A22" s="121">
        <v>14</v>
      </c>
      <c r="B22" s="124"/>
      <c r="C22" s="124"/>
      <c r="D22" s="124"/>
      <c r="E22" s="124"/>
      <c r="F22" s="125"/>
      <c r="G22" s="124"/>
      <c r="H22" s="124"/>
      <c r="I22" s="124"/>
      <c r="J22" s="124"/>
      <c r="K22" s="124"/>
      <c r="L22" s="124"/>
      <c r="M22" s="124"/>
      <c r="N22" s="124"/>
      <c r="O22" s="124"/>
      <c r="P22" s="124"/>
      <c r="Q22" s="124"/>
      <c r="R22" s="124"/>
      <c r="S22" s="124"/>
      <c r="T22" s="124"/>
      <c r="U22" s="124"/>
      <c r="V22" s="124"/>
      <c r="W22" s="124"/>
      <c r="Y22" s="52" t="e">
        <f>VLOOKUP(X22,'Reference Records'!$E$253:$F$420,2,0)</f>
        <v>#N/A</v>
      </c>
      <c r="Z22" s="52" t="e">
        <f>MATCH($Y22,'Reference Records'!$E$507:$E$509,0)+ROW(Population_by_intervention) -1</f>
        <v>#N/A</v>
      </c>
      <c r="AA22" s="52" t="e">
        <f>MATCH($Y22,'Reference Records'!$E$507:$E$509,1)+ROW(Population_by_intervention) -1</f>
        <v>#N/A</v>
      </c>
      <c r="AB22" s="52" t="str">
        <f t="shared" si="0"/>
        <v>|empty|</v>
      </c>
      <c r="AC22" s="52" t="str">
        <f>IF(AB22="","",IFERROR(VLOOKUP(AB22,'Overview - Section A'!AF$124:AG188,2,0),VLOOKUP("|empty|",'Overview - Section A'!AF$124:AG188,2,0)))</f>
        <v>INT-341506</v>
      </c>
      <c r="AD22" s="52">
        <f t="shared" si="1"/>
        <v>2713</v>
      </c>
      <c r="AE22" s="52">
        <f>AE21+'update Helper'!$T$2</f>
        <v>2944</v>
      </c>
      <c r="AF22" s="52" t="str">
        <f>IFERROR(IF(AB22="","",IFERROR(VLOOKUP(AB22,'Overview - Section A'!AF$124:AO188,10,0),VLOOKUP("|empty|",'Overview - Section A'!AF$124:AO188,10,0))),"")</f>
        <v/>
      </c>
    </row>
    <row r="23" spans="1:32" ht="30" customHeight="1" x14ac:dyDescent="0.25">
      <c r="A23" s="121">
        <v>15</v>
      </c>
      <c r="B23" s="122"/>
      <c r="C23" s="122"/>
      <c r="D23" s="122"/>
      <c r="E23" s="122"/>
      <c r="F23" s="123"/>
      <c r="G23" s="122"/>
      <c r="H23" s="122"/>
      <c r="I23" s="122"/>
      <c r="J23" s="122"/>
      <c r="K23" s="122"/>
      <c r="L23" s="122"/>
      <c r="M23" s="122"/>
      <c r="N23" s="122"/>
      <c r="O23" s="122"/>
      <c r="P23" s="122"/>
      <c r="Q23" s="122"/>
      <c r="R23" s="122"/>
      <c r="S23" s="122"/>
      <c r="T23" s="122"/>
      <c r="U23" s="122"/>
      <c r="V23" s="122"/>
      <c r="W23" s="122"/>
      <c r="Y23" s="52" t="e">
        <f>VLOOKUP(X23,'Reference Records'!$E$253:$F$420,2,0)</f>
        <v>#N/A</v>
      </c>
      <c r="Z23" s="52" t="e">
        <f>MATCH($Y23,'Reference Records'!$E$507:$E$509,0)+ROW(Population_by_intervention) -1</f>
        <v>#N/A</v>
      </c>
      <c r="AA23" s="52" t="e">
        <f>MATCH($Y23,'Reference Records'!$E$507:$E$509,1)+ROW(Population_by_intervention) -1</f>
        <v>#N/A</v>
      </c>
      <c r="AB23" s="52" t="str">
        <f t="shared" si="0"/>
        <v>|empty|</v>
      </c>
      <c r="AC23" s="52" t="str">
        <f>IF(AB23="","",IFERROR(VLOOKUP(AB23,'Overview - Section A'!AF$124:AG189,2,0),VLOOKUP("|empty|",'Overview - Section A'!AF$124:AG189,2,0)))</f>
        <v>INT-341506</v>
      </c>
      <c r="AD23" s="52">
        <f t="shared" si="1"/>
        <v>2714</v>
      </c>
      <c r="AE23" s="52">
        <f>AE22+'update Helper'!$T$2</f>
        <v>2950</v>
      </c>
      <c r="AF23" s="52" t="str">
        <f>IFERROR(IF(AB23="","",IFERROR(VLOOKUP(AB23,'Overview - Section A'!AF$124:AO189,10,0),VLOOKUP("|empty|",'Overview - Section A'!AF$124:AO189,10,0))),"")</f>
        <v/>
      </c>
    </row>
    <row r="24" spans="1:32" ht="30" customHeight="1" x14ac:dyDescent="0.25">
      <c r="A24" s="121">
        <v>16</v>
      </c>
      <c r="B24" s="124"/>
      <c r="C24" s="124"/>
      <c r="D24" s="124"/>
      <c r="E24" s="124"/>
      <c r="F24" s="125"/>
      <c r="G24" s="124"/>
      <c r="H24" s="124"/>
      <c r="I24" s="124"/>
      <c r="J24" s="124"/>
      <c r="K24" s="124"/>
      <c r="L24" s="124"/>
      <c r="M24" s="124"/>
      <c r="N24" s="124"/>
      <c r="O24" s="124"/>
      <c r="P24" s="124"/>
      <c r="Q24" s="124"/>
      <c r="R24" s="124"/>
      <c r="S24" s="124"/>
      <c r="T24" s="124"/>
      <c r="U24" s="124"/>
      <c r="V24" s="124"/>
      <c r="W24" s="124"/>
      <c r="Y24" s="52" t="e">
        <f>VLOOKUP(X24,'Reference Records'!$E$253:$F$420,2,0)</f>
        <v>#N/A</v>
      </c>
      <c r="Z24" s="52" t="e">
        <f>MATCH($Y24,'Reference Records'!$E$507:$E$509,0)+ROW(Population_by_intervention) -1</f>
        <v>#N/A</v>
      </c>
      <c r="AA24" s="52" t="e">
        <f>MATCH($Y24,'Reference Records'!$E$507:$E$509,1)+ROW(Population_by_intervention) -1</f>
        <v>#N/A</v>
      </c>
      <c r="AB24" s="52" t="str">
        <f t="shared" si="0"/>
        <v>|empty|</v>
      </c>
      <c r="AC24" s="52" t="str">
        <f>IF(AB24="","",IFERROR(VLOOKUP(AB24,'Overview - Section A'!AF$124:AG190,2,0),VLOOKUP("|empty|",'Overview - Section A'!AF$124:AG190,2,0)))</f>
        <v>INT-341506</v>
      </c>
      <c r="AD24" s="52">
        <f t="shared" si="1"/>
        <v>2715</v>
      </c>
      <c r="AE24" s="52">
        <f>AE23+'update Helper'!$T$2</f>
        <v>2956</v>
      </c>
      <c r="AF24" s="52" t="str">
        <f>IFERROR(IF(AB24="","",IFERROR(VLOOKUP(AB24,'Overview - Section A'!AF$124:AO190,10,0),VLOOKUP("|empty|",'Overview - Section A'!AF$124:AO190,10,0))),"")</f>
        <v/>
      </c>
    </row>
    <row r="25" spans="1:32" ht="30" customHeight="1" x14ac:dyDescent="0.25">
      <c r="A25" s="121">
        <v>17</v>
      </c>
      <c r="B25" s="122"/>
      <c r="C25" s="122"/>
      <c r="D25" s="122"/>
      <c r="E25" s="122"/>
      <c r="F25" s="123"/>
      <c r="G25" s="122"/>
      <c r="H25" s="122"/>
      <c r="I25" s="122"/>
      <c r="J25" s="122"/>
      <c r="K25" s="122"/>
      <c r="L25" s="122"/>
      <c r="M25" s="122"/>
      <c r="N25" s="122"/>
      <c r="O25" s="122"/>
      <c r="P25" s="122"/>
      <c r="Q25" s="122"/>
      <c r="R25" s="122"/>
      <c r="S25" s="122"/>
      <c r="T25" s="122"/>
      <c r="U25" s="122"/>
      <c r="V25" s="122"/>
      <c r="W25" s="122"/>
      <c r="Y25" s="52" t="e">
        <f>VLOOKUP(X25,'Reference Records'!$E$253:$F$420,2,0)</f>
        <v>#N/A</v>
      </c>
      <c r="Z25" s="52" t="e">
        <f>MATCH($Y25,'Reference Records'!$E$507:$E$509,0)+ROW(Population_by_intervention) -1</f>
        <v>#N/A</v>
      </c>
      <c r="AA25" s="52" t="e">
        <f>MATCH($Y25,'Reference Records'!$E$507:$E$509,1)+ROW(Population_by_intervention) -1</f>
        <v>#N/A</v>
      </c>
      <c r="AB25" s="52" t="str">
        <f t="shared" si="0"/>
        <v>|empty|</v>
      </c>
      <c r="AC25" s="52" t="str">
        <f>IF(AB25="","",IFERROR(VLOOKUP(AB25,'Overview - Section A'!AF$124:AG191,2,0),VLOOKUP("|empty|",'Overview - Section A'!AF$124:AG191,2,0)))</f>
        <v>INT-341506</v>
      </c>
      <c r="AD25" s="52">
        <f t="shared" si="1"/>
        <v>2716</v>
      </c>
      <c r="AE25" s="52">
        <f>AE24+'update Helper'!$T$2</f>
        <v>2962</v>
      </c>
      <c r="AF25" s="52" t="str">
        <f>IFERROR(IF(AB25="","",IFERROR(VLOOKUP(AB25,'Overview - Section A'!AF$124:AO191,10,0),VLOOKUP("|empty|",'Overview - Section A'!AF$124:AO191,10,0))),"")</f>
        <v/>
      </c>
    </row>
    <row r="26" spans="1:32" ht="30" customHeight="1" x14ac:dyDescent="0.25">
      <c r="A26" s="121">
        <v>18</v>
      </c>
      <c r="B26" s="124"/>
      <c r="C26" s="124"/>
      <c r="D26" s="124"/>
      <c r="E26" s="124"/>
      <c r="F26" s="125"/>
      <c r="G26" s="124"/>
      <c r="H26" s="124"/>
      <c r="I26" s="124"/>
      <c r="J26" s="124"/>
      <c r="K26" s="124"/>
      <c r="L26" s="124"/>
      <c r="M26" s="124"/>
      <c r="N26" s="124"/>
      <c r="O26" s="124"/>
      <c r="P26" s="124"/>
      <c r="Q26" s="124"/>
      <c r="R26" s="124"/>
      <c r="S26" s="124"/>
      <c r="T26" s="124"/>
      <c r="U26" s="124"/>
      <c r="V26" s="124"/>
      <c r="W26" s="124"/>
      <c r="Y26" s="52" t="e">
        <f>VLOOKUP(X26,'Reference Records'!$E$253:$F$420,2,0)</f>
        <v>#N/A</v>
      </c>
      <c r="Z26" s="52" t="e">
        <f>MATCH($Y26,'Reference Records'!$E$507:$E$509,0)+ROW(Population_by_intervention) -1</f>
        <v>#N/A</v>
      </c>
      <c r="AA26" s="52" t="e">
        <f>MATCH($Y26,'Reference Records'!$E$507:$E$509,1)+ROW(Population_by_intervention) -1</f>
        <v>#N/A</v>
      </c>
      <c r="AB26" s="52" t="str">
        <f t="shared" si="0"/>
        <v>|empty|</v>
      </c>
      <c r="AC26" s="52" t="str">
        <f>IF(AB26="","",IFERROR(VLOOKUP(AB26,'Overview - Section A'!AF$124:AG192,2,0),VLOOKUP("|empty|",'Overview - Section A'!AF$124:AG192,2,0)))</f>
        <v>INT-341506</v>
      </c>
      <c r="AD26" s="52">
        <f t="shared" si="1"/>
        <v>2717</v>
      </c>
      <c r="AE26" s="52">
        <f>AE25+'update Helper'!$T$2</f>
        <v>2968</v>
      </c>
      <c r="AF26" s="52" t="str">
        <f>IFERROR(IF(AB26="","",IFERROR(VLOOKUP(AB26,'Overview - Section A'!AF$124:AO192,10,0),VLOOKUP("|empty|",'Overview - Section A'!AF$124:AO192,10,0))),"")</f>
        <v/>
      </c>
    </row>
    <row r="27" spans="1:32" ht="30" customHeight="1" x14ac:dyDescent="0.25">
      <c r="A27" s="121">
        <v>19</v>
      </c>
      <c r="B27" s="122"/>
      <c r="C27" s="122"/>
      <c r="D27" s="122"/>
      <c r="E27" s="122"/>
      <c r="F27" s="123"/>
      <c r="G27" s="122"/>
      <c r="H27" s="122"/>
      <c r="I27" s="122"/>
      <c r="J27" s="122"/>
      <c r="K27" s="122"/>
      <c r="L27" s="122"/>
      <c r="M27" s="122"/>
      <c r="N27" s="122"/>
      <c r="O27" s="122"/>
      <c r="P27" s="122"/>
      <c r="Q27" s="122"/>
      <c r="R27" s="122"/>
      <c r="S27" s="122"/>
      <c r="T27" s="122"/>
      <c r="U27" s="122"/>
      <c r="V27" s="122"/>
      <c r="W27" s="122"/>
      <c r="Y27" s="52" t="e">
        <f>VLOOKUP(X27,'Reference Records'!$E$253:$F$420,2,0)</f>
        <v>#N/A</v>
      </c>
      <c r="Z27" s="52" t="e">
        <f>MATCH($Y27,'Reference Records'!$E$507:$E$509,0)+ROW(Population_by_intervention) -1</f>
        <v>#N/A</v>
      </c>
      <c r="AA27" s="52" t="e">
        <f>MATCH($Y27,'Reference Records'!$E$507:$E$509,1)+ROW(Population_by_intervention) -1</f>
        <v>#N/A</v>
      </c>
      <c r="AB27" s="52" t="str">
        <f t="shared" si="0"/>
        <v>|empty|</v>
      </c>
      <c r="AC27" s="52" t="str">
        <f>IF(AB27="","",IFERROR(VLOOKUP(AB27,'Overview - Section A'!AF$124:AG193,2,0),VLOOKUP("|empty|",'Overview - Section A'!AF$124:AG193,2,0)))</f>
        <v>INT-341506</v>
      </c>
      <c r="AD27" s="52">
        <f t="shared" si="1"/>
        <v>2718</v>
      </c>
      <c r="AE27" s="52">
        <f>AE26+'update Helper'!$T$2</f>
        <v>2974</v>
      </c>
      <c r="AF27" s="52" t="str">
        <f>IFERROR(IF(AB27="","",IFERROR(VLOOKUP(AB27,'Overview - Section A'!AF$124:AO193,10,0),VLOOKUP("|empty|",'Overview - Section A'!AF$124:AO193,10,0))),"")</f>
        <v/>
      </c>
    </row>
    <row r="28" spans="1:32" ht="30" customHeight="1" x14ac:dyDescent="0.25">
      <c r="A28" s="121">
        <v>20</v>
      </c>
      <c r="B28" s="124"/>
      <c r="C28" s="124"/>
      <c r="D28" s="124"/>
      <c r="E28" s="124"/>
      <c r="F28" s="125"/>
      <c r="G28" s="124"/>
      <c r="H28" s="124"/>
      <c r="I28" s="124"/>
      <c r="J28" s="124"/>
      <c r="K28" s="124"/>
      <c r="L28" s="124"/>
      <c r="M28" s="124"/>
      <c r="N28" s="124"/>
      <c r="O28" s="124"/>
      <c r="P28" s="124"/>
      <c r="Q28" s="124"/>
      <c r="R28" s="124"/>
      <c r="S28" s="124"/>
      <c r="T28" s="124"/>
      <c r="U28" s="124"/>
      <c r="V28" s="124"/>
      <c r="W28" s="124"/>
      <c r="Y28" s="52" t="e">
        <f>VLOOKUP(X28,'Reference Records'!$E$253:$F$420,2,0)</f>
        <v>#N/A</v>
      </c>
      <c r="Z28" s="52" t="e">
        <f>MATCH($Y28,'Reference Records'!$E$507:$E$509,0)+ROW(Population_by_intervention) -1</f>
        <v>#N/A</v>
      </c>
      <c r="AA28" s="52" t="e">
        <f>MATCH($Y28,'Reference Records'!$E$507:$E$509,1)+ROW(Population_by_intervention) -1</f>
        <v>#N/A</v>
      </c>
      <c r="AB28" s="52" t="str">
        <f t="shared" si="0"/>
        <v>|empty|</v>
      </c>
      <c r="AC28" s="52" t="str">
        <f>IF(AB28="","",IFERROR(VLOOKUP(AB28,'Overview - Section A'!AF$124:AG194,2,0),VLOOKUP("|empty|",'Overview - Section A'!AF$124:AG194,2,0)))</f>
        <v>INT-341506</v>
      </c>
      <c r="AD28" s="52">
        <f t="shared" si="1"/>
        <v>2719</v>
      </c>
      <c r="AE28" s="52">
        <f>AE27+'update Helper'!$T$2</f>
        <v>2980</v>
      </c>
      <c r="AF28" s="52" t="str">
        <f>IFERROR(IF(AB28="","",IFERROR(VLOOKUP(AB28,'Overview - Section A'!AF$124:AO194,10,0),VLOOKUP("|empty|",'Overview - Section A'!AF$124:AO194,10,0))),"")</f>
        <v/>
      </c>
    </row>
    <row r="29" spans="1:32" ht="30" customHeight="1" x14ac:dyDescent="0.25">
      <c r="A29" s="121">
        <v>21</v>
      </c>
      <c r="B29" s="122"/>
      <c r="C29" s="122"/>
      <c r="D29" s="122"/>
      <c r="E29" s="122"/>
      <c r="F29" s="123"/>
      <c r="G29" s="122"/>
      <c r="H29" s="122"/>
      <c r="I29" s="122"/>
      <c r="J29" s="122"/>
      <c r="K29" s="122"/>
      <c r="L29" s="122"/>
      <c r="M29" s="122"/>
      <c r="N29" s="122"/>
      <c r="O29" s="122"/>
      <c r="P29" s="122"/>
      <c r="Q29" s="122"/>
      <c r="R29" s="122"/>
      <c r="S29" s="122"/>
      <c r="T29" s="122"/>
      <c r="U29" s="122"/>
      <c r="V29" s="122"/>
      <c r="W29" s="122"/>
      <c r="Y29" s="52" t="e">
        <f>VLOOKUP(X29,'Reference Records'!$E$253:$F$420,2,0)</f>
        <v>#N/A</v>
      </c>
      <c r="Z29" s="52" t="e">
        <f>MATCH($Y29,'Reference Records'!$E$507:$E$509,0)+ROW(Population_by_intervention) -1</f>
        <v>#N/A</v>
      </c>
      <c r="AA29" s="52" t="e">
        <f>MATCH($Y29,'Reference Records'!$E$507:$E$509,1)+ROW(Population_by_intervention) -1</f>
        <v>#N/A</v>
      </c>
      <c r="AB29" s="52" t="str">
        <f t="shared" si="0"/>
        <v>|empty|</v>
      </c>
      <c r="AC29" s="52" t="str">
        <f>IF(AB29="","",IFERROR(VLOOKUP(AB29,'Overview - Section A'!AF$124:AG195,2,0),VLOOKUP("|empty|",'Overview - Section A'!AF$124:AG195,2,0)))</f>
        <v>INT-341506</v>
      </c>
      <c r="AD29" s="52">
        <f t="shared" si="1"/>
        <v>2720</v>
      </c>
      <c r="AE29" s="52">
        <f>AE28+'update Helper'!$T$2</f>
        <v>2986</v>
      </c>
      <c r="AF29" s="52" t="str">
        <f>IFERROR(IF(AB29="","",IFERROR(VLOOKUP(AB29,'Overview - Section A'!AF$124:AO195,10,0),VLOOKUP("|empty|",'Overview - Section A'!AF$124:AO195,10,0))),"")</f>
        <v/>
      </c>
    </row>
    <row r="30" spans="1:32" ht="30" customHeight="1" x14ac:dyDescent="0.25">
      <c r="A30" s="121">
        <v>22</v>
      </c>
      <c r="B30" s="124"/>
      <c r="C30" s="124"/>
      <c r="D30" s="124"/>
      <c r="E30" s="124"/>
      <c r="F30" s="125"/>
      <c r="G30" s="124"/>
      <c r="H30" s="124"/>
      <c r="I30" s="124"/>
      <c r="J30" s="124"/>
      <c r="K30" s="124"/>
      <c r="L30" s="124"/>
      <c r="M30" s="124"/>
      <c r="N30" s="124"/>
      <c r="O30" s="124"/>
      <c r="P30" s="124"/>
      <c r="Q30" s="124"/>
      <c r="R30" s="124"/>
      <c r="S30" s="124"/>
      <c r="T30" s="124"/>
      <c r="U30" s="124"/>
      <c r="V30" s="124"/>
      <c r="W30" s="124"/>
      <c r="Y30" s="52" t="e">
        <f>VLOOKUP(X30,'Reference Records'!$E$253:$F$420,2,0)</f>
        <v>#N/A</v>
      </c>
      <c r="Z30" s="52" t="e">
        <f>MATCH($Y30,'Reference Records'!$E$507:$E$509,0)+ROW(Population_by_intervention) -1</f>
        <v>#N/A</v>
      </c>
      <c r="AA30" s="52" t="e">
        <f>MATCH($Y30,'Reference Records'!$E$507:$E$509,1)+ROW(Population_by_intervention) -1</f>
        <v>#N/A</v>
      </c>
      <c r="AB30" s="52" t="str">
        <f t="shared" si="0"/>
        <v>|empty|</v>
      </c>
      <c r="AC30" s="52" t="str">
        <f>IF(AB30="","",IFERROR(VLOOKUP(AB30,'Overview - Section A'!AF$124:AG196,2,0),VLOOKUP("|empty|",'Overview - Section A'!AF$124:AG196,2,0)))</f>
        <v>INT-341506</v>
      </c>
      <c r="AD30" s="52">
        <f t="shared" si="1"/>
        <v>2721</v>
      </c>
      <c r="AE30" s="52">
        <f>AE29+'update Helper'!$T$2</f>
        <v>2992</v>
      </c>
      <c r="AF30" s="52" t="str">
        <f>IFERROR(IF(AB30="","",IFERROR(VLOOKUP(AB30,'Overview - Section A'!AF$124:AO196,10,0),VLOOKUP("|empty|",'Overview - Section A'!AF$124:AO196,10,0))),"")</f>
        <v/>
      </c>
    </row>
    <row r="31" spans="1:32" ht="30" customHeight="1" x14ac:dyDescent="0.25">
      <c r="A31" s="121">
        <v>23</v>
      </c>
      <c r="B31" s="122"/>
      <c r="C31" s="122"/>
      <c r="D31" s="122"/>
      <c r="E31" s="122"/>
      <c r="F31" s="123"/>
      <c r="G31" s="122"/>
      <c r="H31" s="122"/>
      <c r="I31" s="122"/>
      <c r="J31" s="122"/>
      <c r="K31" s="122"/>
      <c r="L31" s="122"/>
      <c r="M31" s="122"/>
      <c r="N31" s="122"/>
      <c r="O31" s="122"/>
      <c r="P31" s="122"/>
      <c r="Q31" s="122"/>
      <c r="R31" s="122"/>
      <c r="S31" s="122"/>
      <c r="T31" s="122"/>
      <c r="U31" s="122"/>
      <c r="V31" s="122"/>
      <c r="W31" s="122"/>
      <c r="Y31" s="52" t="e">
        <f>VLOOKUP(X31,'Reference Records'!$E$253:$F$420,2,0)</f>
        <v>#N/A</v>
      </c>
      <c r="Z31" s="52" t="e">
        <f>MATCH($Y31,'Reference Records'!$E$507:$E$509,0)+ROW(Population_by_intervention) -1</f>
        <v>#N/A</v>
      </c>
      <c r="AA31" s="52" t="e">
        <f>MATCH($Y31,'Reference Records'!$E$507:$E$509,1)+ROW(Population_by_intervention) -1</f>
        <v>#N/A</v>
      </c>
      <c r="AB31" s="52" t="str">
        <f t="shared" si="0"/>
        <v>|empty|</v>
      </c>
      <c r="AC31" s="52" t="str">
        <f>IF(AB31="","",IFERROR(VLOOKUP(AB31,'Overview - Section A'!AF$124:AG197,2,0),VLOOKUP("|empty|",'Overview - Section A'!AF$124:AG197,2,0)))</f>
        <v>INT-341506</v>
      </c>
      <c r="AD31" s="52">
        <f t="shared" si="1"/>
        <v>2722</v>
      </c>
      <c r="AE31" s="52">
        <f>AE30+'update Helper'!$T$2</f>
        <v>2998</v>
      </c>
      <c r="AF31" s="52" t="str">
        <f>IFERROR(IF(AB31="","",IFERROR(VLOOKUP(AB31,'Overview - Section A'!AF$124:AO197,10,0),VLOOKUP("|empty|",'Overview - Section A'!AF$124:AO197,10,0))),"")</f>
        <v/>
      </c>
    </row>
    <row r="32" spans="1:32" ht="30" customHeight="1" x14ac:dyDescent="0.25">
      <c r="A32" s="121">
        <v>24</v>
      </c>
      <c r="B32" s="124"/>
      <c r="C32" s="124"/>
      <c r="D32" s="124"/>
      <c r="E32" s="124"/>
      <c r="F32" s="125"/>
      <c r="G32" s="124"/>
      <c r="H32" s="124"/>
      <c r="I32" s="124"/>
      <c r="J32" s="124"/>
      <c r="K32" s="124"/>
      <c r="L32" s="124"/>
      <c r="M32" s="124"/>
      <c r="N32" s="124"/>
      <c r="O32" s="124"/>
      <c r="P32" s="124"/>
      <c r="Q32" s="124"/>
      <c r="R32" s="124"/>
      <c r="S32" s="124"/>
      <c r="T32" s="124"/>
      <c r="U32" s="124"/>
      <c r="V32" s="124"/>
      <c r="W32" s="124"/>
      <c r="Y32" s="52" t="e">
        <f>VLOOKUP(X32,'Reference Records'!$E$253:$F$420,2,0)</f>
        <v>#N/A</v>
      </c>
      <c r="Z32" s="52" t="e">
        <f>MATCH($Y32,'Reference Records'!$E$507:$E$509,0)+ROW(Population_by_intervention) -1</f>
        <v>#N/A</v>
      </c>
      <c r="AA32" s="52" t="e">
        <f>MATCH($Y32,'Reference Records'!$E$507:$E$509,1)+ROW(Population_by_intervention) -1</f>
        <v>#N/A</v>
      </c>
      <c r="AB32" s="52" t="str">
        <f t="shared" si="0"/>
        <v>|empty|</v>
      </c>
      <c r="AC32" s="52" t="str">
        <f>IF(AB32="","",IFERROR(VLOOKUP(AB32,'Overview - Section A'!AF$124:AG198,2,0),VLOOKUP("|empty|",'Overview - Section A'!AF$124:AG198,2,0)))</f>
        <v>INT-341506</v>
      </c>
      <c r="AD32" s="52">
        <f t="shared" si="1"/>
        <v>2723</v>
      </c>
      <c r="AE32" s="52">
        <f>AE31+'update Helper'!$T$2</f>
        <v>3004</v>
      </c>
      <c r="AF32" s="52" t="str">
        <f>IFERROR(IF(AB32="","",IFERROR(VLOOKUP(AB32,'Overview - Section A'!AF$124:AO198,10,0),VLOOKUP("|empty|",'Overview - Section A'!AF$124:AO198,10,0))),"")</f>
        <v/>
      </c>
    </row>
    <row r="33" spans="1:32" ht="30" customHeight="1" x14ac:dyDescent="0.25">
      <c r="A33" s="121">
        <v>25</v>
      </c>
      <c r="B33" s="122"/>
      <c r="C33" s="122"/>
      <c r="D33" s="122"/>
      <c r="E33" s="122"/>
      <c r="F33" s="123"/>
      <c r="G33" s="122"/>
      <c r="H33" s="122"/>
      <c r="I33" s="122"/>
      <c r="J33" s="122"/>
      <c r="K33" s="122"/>
      <c r="L33" s="122"/>
      <c r="M33" s="122"/>
      <c r="N33" s="122"/>
      <c r="O33" s="122"/>
      <c r="P33" s="122"/>
      <c r="Q33" s="122"/>
      <c r="R33" s="122"/>
      <c r="S33" s="122"/>
      <c r="T33" s="122"/>
      <c r="U33" s="122"/>
      <c r="V33" s="122"/>
      <c r="W33" s="122"/>
      <c r="Y33" s="52" t="e">
        <f>VLOOKUP(X33,'Reference Records'!$E$253:$F$420,2,0)</f>
        <v>#N/A</v>
      </c>
      <c r="Z33" s="52" t="e">
        <f>MATCH($Y33,'Reference Records'!$E$507:$E$509,0)+ROW(Population_by_intervention) -1</f>
        <v>#N/A</v>
      </c>
      <c r="AA33" s="52" t="e">
        <f>MATCH($Y33,'Reference Records'!$E$507:$E$509,1)+ROW(Population_by_intervention) -1</f>
        <v>#N/A</v>
      </c>
      <c r="AB33" s="52" t="str">
        <f t="shared" si="0"/>
        <v>|empty|</v>
      </c>
      <c r="AC33" s="52" t="str">
        <f>IF(AB33="","",IFERROR(VLOOKUP(AB33,'Overview - Section A'!AF$124:AG199,2,0),VLOOKUP("|empty|",'Overview - Section A'!AF$124:AG199,2,0)))</f>
        <v>INT-341506</v>
      </c>
      <c r="AD33" s="52">
        <f t="shared" si="1"/>
        <v>2724</v>
      </c>
      <c r="AE33" s="52">
        <f>AE32+'update Helper'!$T$2</f>
        <v>3010</v>
      </c>
      <c r="AF33" s="52" t="str">
        <f>IFERROR(IF(AB33="","",IFERROR(VLOOKUP(AB33,'Overview - Section A'!AF$124:AO199,10,0),VLOOKUP("|empty|",'Overview - Section A'!AF$124:AO199,10,0))),"")</f>
        <v/>
      </c>
    </row>
    <row r="34" spans="1:32" ht="30" customHeight="1" x14ac:dyDescent="0.25">
      <c r="A34" s="121">
        <v>26</v>
      </c>
      <c r="B34" s="124"/>
      <c r="C34" s="124"/>
      <c r="D34" s="124"/>
      <c r="E34" s="124"/>
      <c r="F34" s="125"/>
      <c r="G34" s="124"/>
      <c r="H34" s="124"/>
      <c r="I34" s="124"/>
      <c r="J34" s="124"/>
      <c r="K34" s="124"/>
      <c r="L34" s="124"/>
      <c r="M34" s="124"/>
      <c r="N34" s="124"/>
      <c r="O34" s="124"/>
      <c r="P34" s="124"/>
      <c r="Q34" s="124"/>
      <c r="R34" s="124"/>
      <c r="S34" s="124"/>
      <c r="T34" s="124"/>
      <c r="U34" s="124"/>
      <c r="V34" s="124"/>
      <c r="W34" s="124"/>
      <c r="Y34" s="52" t="e">
        <f>VLOOKUP(X34,'Reference Records'!$E$253:$F$420,2,0)</f>
        <v>#N/A</v>
      </c>
      <c r="Z34" s="52" t="e">
        <f>MATCH($Y34,'Reference Records'!$E$507:$E$509,0)+ROW(Population_by_intervention) -1</f>
        <v>#N/A</v>
      </c>
      <c r="AA34" s="52" t="e">
        <f>MATCH($Y34,'Reference Records'!$E$507:$E$509,1)+ROW(Population_by_intervention) -1</f>
        <v>#N/A</v>
      </c>
      <c r="AB34" s="52" t="str">
        <f t="shared" si="0"/>
        <v>|empty|</v>
      </c>
      <c r="AC34" s="52" t="str">
        <f>IF(AB34="","",IFERROR(VLOOKUP(AB34,'Overview - Section A'!AF$124:AG200,2,0),VLOOKUP("|empty|",'Overview - Section A'!AF$124:AG200,2,0)))</f>
        <v>INT-341506</v>
      </c>
      <c r="AD34" s="52">
        <f t="shared" si="1"/>
        <v>2725</v>
      </c>
      <c r="AE34" s="52">
        <f>AE33+'update Helper'!$T$2</f>
        <v>3016</v>
      </c>
      <c r="AF34" s="52" t="str">
        <f>IFERROR(IF(AB34="","",IFERROR(VLOOKUP(AB34,'Overview - Section A'!AF$124:AO200,10,0),VLOOKUP("|empty|",'Overview - Section A'!AF$124:AO200,10,0))),"")</f>
        <v/>
      </c>
    </row>
    <row r="35" spans="1:32" ht="30" customHeight="1" x14ac:dyDescent="0.25">
      <c r="A35" s="121">
        <v>27</v>
      </c>
      <c r="B35" s="122"/>
      <c r="C35" s="122"/>
      <c r="D35" s="122"/>
      <c r="E35" s="122"/>
      <c r="F35" s="123"/>
      <c r="G35" s="122"/>
      <c r="H35" s="122"/>
      <c r="I35" s="122"/>
      <c r="J35" s="122"/>
      <c r="K35" s="122"/>
      <c r="L35" s="122"/>
      <c r="M35" s="122"/>
      <c r="N35" s="122"/>
      <c r="O35" s="122"/>
      <c r="P35" s="122"/>
      <c r="Q35" s="122"/>
      <c r="R35" s="122"/>
      <c r="S35" s="122"/>
      <c r="T35" s="122"/>
      <c r="U35" s="122"/>
      <c r="V35" s="122"/>
      <c r="W35" s="122"/>
      <c r="Y35" s="52" t="e">
        <f>VLOOKUP(X35,'Reference Records'!$E$253:$F$420,2,0)</f>
        <v>#N/A</v>
      </c>
      <c r="Z35" s="52" t="e">
        <f>MATCH($Y35,'Reference Records'!$E$507:$E$509,0)+ROW(Population_by_intervention) -1</f>
        <v>#N/A</v>
      </c>
      <c r="AA35" s="52" t="e">
        <f>MATCH($Y35,'Reference Records'!$E$507:$E$509,1)+ROW(Population_by_intervention) -1</f>
        <v>#N/A</v>
      </c>
      <c r="AB35" s="52" t="str">
        <f t="shared" si="0"/>
        <v>|empty|</v>
      </c>
      <c r="AC35" s="52" t="str">
        <f>IF(AB35="","",IFERROR(VLOOKUP(AB35,'Overview - Section A'!AF$124:AG201,2,0),VLOOKUP("|empty|",'Overview - Section A'!AF$124:AG201,2,0)))</f>
        <v>INT-341506</v>
      </c>
      <c r="AD35" s="52">
        <f t="shared" si="1"/>
        <v>2726</v>
      </c>
      <c r="AE35" s="52">
        <f>AE34+'update Helper'!$T$2</f>
        <v>3022</v>
      </c>
      <c r="AF35" s="52" t="str">
        <f>IFERROR(IF(AB35="","",IFERROR(VLOOKUP(AB35,'Overview - Section A'!AF$124:AO201,10,0),VLOOKUP("|empty|",'Overview - Section A'!AF$124:AO201,10,0))),"")</f>
        <v/>
      </c>
    </row>
    <row r="36" spans="1:32" ht="30" customHeight="1" x14ac:dyDescent="0.25">
      <c r="A36" s="121">
        <v>28</v>
      </c>
      <c r="B36" s="124"/>
      <c r="C36" s="124"/>
      <c r="D36" s="124"/>
      <c r="E36" s="124"/>
      <c r="F36" s="125"/>
      <c r="G36" s="124"/>
      <c r="H36" s="124"/>
      <c r="I36" s="124"/>
      <c r="J36" s="124"/>
      <c r="K36" s="124"/>
      <c r="L36" s="124"/>
      <c r="M36" s="124"/>
      <c r="N36" s="124"/>
      <c r="O36" s="124"/>
      <c r="P36" s="124"/>
      <c r="Q36" s="124"/>
      <c r="R36" s="124"/>
      <c r="S36" s="124"/>
      <c r="T36" s="124"/>
      <c r="U36" s="124"/>
      <c r="V36" s="124"/>
      <c r="W36" s="124"/>
      <c r="Y36" s="52" t="e">
        <f>VLOOKUP(X36,'Reference Records'!$E$253:$F$420,2,0)</f>
        <v>#N/A</v>
      </c>
      <c r="Z36" s="52" t="e">
        <f>MATCH($Y36,'Reference Records'!$E$507:$E$509,0)+ROW(Population_by_intervention) -1</f>
        <v>#N/A</v>
      </c>
      <c r="AA36" s="52" t="e">
        <f>MATCH($Y36,'Reference Records'!$E$507:$E$509,1)+ROW(Population_by_intervention) -1</f>
        <v>#N/A</v>
      </c>
      <c r="AB36" s="52" t="str">
        <f t="shared" si="0"/>
        <v>|empty|</v>
      </c>
      <c r="AC36" s="52" t="str">
        <f>IF(AB36="","",IFERROR(VLOOKUP(AB36,'Overview - Section A'!AF$124:AG202,2,0),VLOOKUP("|empty|",'Overview - Section A'!AF$124:AG202,2,0)))</f>
        <v>INT-341506</v>
      </c>
      <c r="AD36" s="52">
        <f t="shared" si="1"/>
        <v>2727</v>
      </c>
      <c r="AE36" s="52">
        <f>AE35+'update Helper'!$T$2</f>
        <v>3028</v>
      </c>
      <c r="AF36" s="52" t="str">
        <f>IFERROR(IF(AB36="","",IFERROR(VLOOKUP(AB36,'Overview - Section A'!AF$124:AO202,10,0),VLOOKUP("|empty|",'Overview - Section A'!AF$124:AO202,10,0))),"")</f>
        <v/>
      </c>
    </row>
    <row r="37" spans="1:32" ht="30" customHeight="1" x14ac:dyDescent="0.25">
      <c r="A37" s="121">
        <v>29</v>
      </c>
      <c r="B37" s="122"/>
      <c r="C37" s="122"/>
      <c r="D37" s="122"/>
      <c r="E37" s="122"/>
      <c r="F37" s="123"/>
      <c r="G37" s="122"/>
      <c r="H37" s="122"/>
      <c r="I37" s="122"/>
      <c r="J37" s="122"/>
      <c r="K37" s="122"/>
      <c r="L37" s="122"/>
      <c r="M37" s="122"/>
      <c r="N37" s="122"/>
      <c r="O37" s="122"/>
      <c r="P37" s="122"/>
      <c r="Q37" s="122"/>
      <c r="R37" s="122"/>
      <c r="S37" s="122"/>
      <c r="T37" s="122"/>
      <c r="U37" s="122"/>
      <c r="V37" s="122"/>
      <c r="W37" s="122"/>
      <c r="Y37" s="52" t="e">
        <f>VLOOKUP(X37,'Reference Records'!$E$253:$F$420,2,0)</f>
        <v>#N/A</v>
      </c>
      <c r="Z37" s="52" t="e">
        <f>MATCH($Y37,'Reference Records'!$E$507:$E$509,0)+ROW(Population_by_intervention) -1</f>
        <v>#N/A</v>
      </c>
      <c r="AA37" s="52" t="e">
        <f>MATCH($Y37,'Reference Records'!$E$507:$E$509,1)+ROW(Population_by_intervention) -1</f>
        <v>#N/A</v>
      </c>
      <c r="AB37" s="52" t="str">
        <f t="shared" si="0"/>
        <v>|empty|</v>
      </c>
      <c r="AC37" s="52" t="str">
        <f>IF(AB37="","",IFERROR(VLOOKUP(AB37,'Overview - Section A'!AF$124:AG203,2,0),VLOOKUP("|empty|",'Overview - Section A'!AF$124:AG203,2,0)))</f>
        <v>INT-341506</v>
      </c>
      <c r="AD37" s="52">
        <f t="shared" si="1"/>
        <v>2728</v>
      </c>
      <c r="AE37" s="52">
        <f>AE36+'update Helper'!$T$2</f>
        <v>3034</v>
      </c>
      <c r="AF37" s="52" t="str">
        <f>IFERROR(IF(AB37="","",IFERROR(VLOOKUP(AB37,'Overview - Section A'!AF$124:AO203,10,0),VLOOKUP("|empty|",'Overview - Section A'!AF$124:AO203,10,0))),"")</f>
        <v/>
      </c>
    </row>
    <row r="38" spans="1:32" ht="30" customHeight="1" x14ac:dyDescent="0.25">
      <c r="A38" s="121">
        <v>30</v>
      </c>
      <c r="B38" s="124"/>
      <c r="C38" s="124"/>
      <c r="D38" s="124"/>
      <c r="E38" s="124"/>
      <c r="F38" s="125"/>
      <c r="G38" s="124"/>
      <c r="H38" s="124"/>
      <c r="I38" s="124"/>
      <c r="J38" s="124"/>
      <c r="K38" s="124"/>
      <c r="L38" s="124"/>
      <c r="M38" s="124"/>
      <c r="N38" s="124"/>
      <c r="O38" s="124"/>
      <c r="P38" s="124"/>
      <c r="Q38" s="124"/>
      <c r="R38" s="124"/>
      <c r="S38" s="124"/>
      <c r="T38" s="124"/>
      <c r="U38" s="124"/>
      <c r="V38" s="124"/>
      <c r="W38" s="124"/>
      <c r="Y38" s="52" t="e">
        <f>VLOOKUP(X38,'Reference Records'!$E$253:$F$420,2,0)</f>
        <v>#N/A</v>
      </c>
      <c r="Z38" s="52" t="e">
        <f>MATCH($Y38,'Reference Records'!$E$507:$E$509,0)+ROW(Population_by_intervention) -1</f>
        <v>#N/A</v>
      </c>
      <c r="AA38" s="52" t="e">
        <f>MATCH($Y38,'Reference Records'!$E$507:$E$509,1)+ROW(Population_by_intervention) -1</f>
        <v>#N/A</v>
      </c>
      <c r="AB38" s="52" t="str">
        <f t="shared" si="0"/>
        <v>|empty|</v>
      </c>
      <c r="AC38" s="52" t="str">
        <f>IF(AB38="","",IFERROR(VLOOKUP(AB38,'Overview - Section A'!AF$124:AG204,2,0),VLOOKUP("|empty|",'Overview - Section A'!AF$124:AG204,2,0)))</f>
        <v>INT-341506</v>
      </c>
      <c r="AD38" s="52">
        <f t="shared" si="1"/>
        <v>2729</v>
      </c>
      <c r="AE38" s="52">
        <f>AE37+'update Helper'!$T$2</f>
        <v>3040</v>
      </c>
      <c r="AF38" s="52" t="str">
        <f>IFERROR(IF(AB38="","",IFERROR(VLOOKUP(AB38,'Overview - Section A'!AF$124:AO204,10,0),VLOOKUP("|empty|",'Overview - Section A'!AF$124:AO204,10,0))),"")</f>
        <v/>
      </c>
    </row>
    <row r="39" spans="1:32" ht="30" customHeight="1" x14ac:dyDescent="0.25">
      <c r="A39" s="121">
        <v>31</v>
      </c>
      <c r="B39" s="122"/>
      <c r="C39" s="122"/>
      <c r="D39" s="122"/>
      <c r="E39" s="122"/>
      <c r="F39" s="123"/>
      <c r="G39" s="122"/>
      <c r="H39" s="122"/>
      <c r="I39" s="122"/>
      <c r="J39" s="122"/>
      <c r="K39" s="122"/>
      <c r="L39" s="122"/>
      <c r="M39" s="122"/>
      <c r="N39" s="122"/>
      <c r="O39" s="122"/>
      <c r="P39" s="122"/>
      <c r="Q39" s="122"/>
      <c r="R39" s="122"/>
      <c r="S39" s="122"/>
      <c r="T39" s="122"/>
      <c r="U39" s="122"/>
      <c r="V39" s="122"/>
      <c r="W39" s="122"/>
      <c r="Y39" s="52" t="e">
        <f>VLOOKUP(X39,'Reference Records'!$E$253:$F$420,2,0)</f>
        <v>#N/A</v>
      </c>
      <c r="Z39" s="52" t="e">
        <f>MATCH($Y39,'Reference Records'!$E$507:$E$509,0)+ROW(Population_by_intervention) -1</f>
        <v>#N/A</v>
      </c>
      <c r="AA39" s="52" t="e">
        <f>MATCH($Y39,'Reference Records'!$E$507:$E$509,1)+ROW(Population_by_intervention) -1</f>
        <v>#N/A</v>
      </c>
      <c r="AB39" s="52" t="str">
        <f t="shared" si="0"/>
        <v>|empty|</v>
      </c>
      <c r="AC39" s="52" t="str">
        <f>IF(AB39="","",IFERROR(VLOOKUP(AB39,'Overview - Section A'!AF$124:AG205,2,0),VLOOKUP("|empty|",'Overview - Section A'!AF$124:AG205,2,0)))</f>
        <v>INT-341506</v>
      </c>
      <c r="AD39" s="52">
        <f t="shared" si="1"/>
        <v>2730</v>
      </c>
      <c r="AE39" s="52">
        <f>AE38+'update Helper'!$T$2</f>
        <v>3046</v>
      </c>
      <c r="AF39" s="52" t="str">
        <f>IFERROR(IF(AB39="","",IFERROR(VLOOKUP(AB39,'Overview - Section A'!AF$124:AO205,10,0),VLOOKUP("|empty|",'Overview - Section A'!AF$124:AO205,10,0))),"")</f>
        <v/>
      </c>
    </row>
    <row r="40" spans="1:32" ht="30" customHeight="1" x14ac:dyDescent="0.25">
      <c r="A40" s="121">
        <v>32</v>
      </c>
      <c r="B40" s="124"/>
      <c r="C40" s="124"/>
      <c r="D40" s="124"/>
      <c r="E40" s="124"/>
      <c r="F40" s="125"/>
      <c r="G40" s="124"/>
      <c r="H40" s="124"/>
      <c r="I40" s="124"/>
      <c r="J40" s="124"/>
      <c r="K40" s="124"/>
      <c r="L40" s="124"/>
      <c r="M40" s="124"/>
      <c r="N40" s="124"/>
      <c r="O40" s="124"/>
      <c r="P40" s="124"/>
      <c r="Q40" s="124"/>
      <c r="R40" s="124"/>
      <c r="S40" s="124"/>
      <c r="T40" s="124"/>
      <c r="U40" s="124"/>
      <c r="V40" s="124"/>
      <c r="W40" s="124"/>
      <c r="Y40" s="52" t="e">
        <f>VLOOKUP(X40,'Reference Records'!$E$253:$F$420,2,0)</f>
        <v>#N/A</v>
      </c>
      <c r="Z40" s="52" t="e">
        <f>MATCH($Y40,'Reference Records'!$E$507:$E$509,0)+ROW(Population_by_intervention) -1</f>
        <v>#N/A</v>
      </c>
      <c r="AA40" s="52" t="e">
        <f>MATCH($Y40,'Reference Records'!$E$507:$E$509,1)+ROW(Population_by_intervention) -1</f>
        <v>#N/A</v>
      </c>
      <c r="AB40" s="52" t="str">
        <f t="shared" si="0"/>
        <v>|empty|</v>
      </c>
      <c r="AC40" s="52" t="str">
        <f>IF(AB40="","",IFERROR(VLOOKUP(AB40,'Overview - Section A'!AF$124:AG206,2,0),VLOOKUP("|empty|",'Overview - Section A'!AF$124:AG206,2,0)))</f>
        <v>INT-341506</v>
      </c>
      <c r="AD40" s="52">
        <f t="shared" si="1"/>
        <v>2731</v>
      </c>
      <c r="AE40" s="52">
        <f>AE39+'update Helper'!$T$2</f>
        <v>3052</v>
      </c>
      <c r="AF40" s="52" t="str">
        <f>IFERROR(IF(AB40="","",IFERROR(VLOOKUP(AB40,'Overview - Section A'!AF$124:AO206,10,0),VLOOKUP("|empty|",'Overview - Section A'!AF$124:AO206,10,0))),"")</f>
        <v/>
      </c>
    </row>
    <row r="41" spans="1:32" ht="30" customHeight="1" x14ac:dyDescent="0.25">
      <c r="A41" s="121">
        <v>33</v>
      </c>
      <c r="B41" s="122"/>
      <c r="C41" s="122"/>
      <c r="D41" s="122"/>
      <c r="E41" s="122"/>
      <c r="F41" s="123"/>
      <c r="G41" s="122"/>
      <c r="H41" s="122"/>
      <c r="I41" s="122"/>
      <c r="J41" s="122"/>
      <c r="K41" s="122"/>
      <c r="L41" s="122"/>
      <c r="M41" s="122"/>
      <c r="N41" s="122"/>
      <c r="O41" s="122"/>
      <c r="P41" s="122"/>
      <c r="Q41" s="122"/>
      <c r="R41" s="122"/>
      <c r="S41" s="122"/>
      <c r="T41" s="122"/>
      <c r="U41" s="122"/>
      <c r="V41" s="122"/>
      <c r="W41" s="122"/>
      <c r="Y41" s="52" t="e">
        <f>VLOOKUP(X41,'Reference Records'!$E$253:$F$420,2,0)</f>
        <v>#N/A</v>
      </c>
      <c r="Z41" s="52" t="e">
        <f>MATCH($Y41,'Reference Records'!$E$507:$E$509,0)+ROW(Population_by_intervention) -1</f>
        <v>#N/A</v>
      </c>
      <c r="AA41" s="52" t="e">
        <f>MATCH($Y41,'Reference Records'!$E$507:$E$509,1)+ROW(Population_by_intervention) -1</f>
        <v>#N/A</v>
      </c>
      <c r="AB41" s="52" t="str">
        <f t="shared" si="0"/>
        <v>|empty|</v>
      </c>
      <c r="AC41" s="52" t="str">
        <f>IF(AB41="","",IFERROR(VLOOKUP(AB41,'Overview - Section A'!AF$124:AG207,2,0),VLOOKUP("|empty|",'Overview - Section A'!AF$124:AG207,2,0)))</f>
        <v>INT-341506</v>
      </c>
      <c r="AD41" s="52">
        <f t="shared" si="1"/>
        <v>2732</v>
      </c>
      <c r="AE41" s="52">
        <f>AE40+'update Helper'!$T$2</f>
        <v>3058</v>
      </c>
      <c r="AF41" s="52" t="str">
        <f>IFERROR(IF(AB41="","",IFERROR(VLOOKUP(AB41,'Overview - Section A'!AF$124:AO207,10,0),VLOOKUP("|empty|",'Overview - Section A'!AF$124:AO207,10,0))),"")</f>
        <v/>
      </c>
    </row>
    <row r="42" spans="1:32" ht="30" customHeight="1" x14ac:dyDescent="0.25">
      <c r="A42" s="121">
        <v>34</v>
      </c>
      <c r="B42" s="124"/>
      <c r="C42" s="124"/>
      <c r="D42" s="124"/>
      <c r="E42" s="124"/>
      <c r="F42" s="125"/>
      <c r="G42" s="124"/>
      <c r="H42" s="124"/>
      <c r="I42" s="124"/>
      <c r="J42" s="124"/>
      <c r="K42" s="124"/>
      <c r="L42" s="124"/>
      <c r="M42" s="124"/>
      <c r="N42" s="124"/>
      <c r="O42" s="124"/>
      <c r="P42" s="124"/>
      <c r="Q42" s="124"/>
      <c r="R42" s="124"/>
      <c r="S42" s="124"/>
      <c r="T42" s="124"/>
      <c r="U42" s="124"/>
      <c r="V42" s="124"/>
      <c r="W42" s="124"/>
      <c r="Y42" s="52" t="e">
        <f>VLOOKUP(X42,'Reference Records'!$E$253:$F$420,2,0)</f>
        <v>#N/A</v>
      </c>
      <c r="Z42" s="52" t="e">
        <f>MATCH($Y42,'Reference Records'!$E$507:$E$509,0)+ROW(Population_by_intervention) -1</f>
        <v>#N/A</v>
      </c>
      <c r="AA42" s="52" t="e">
        <f>MATCH($Y42,'Reference Records'!$E$507:$E$509,1)+ROW(Population_by_intervention) -1</f>
        <v>#N/A</v>
      </c>
      <c r="AB42" s="52" t="str">
        <f t="shared" si="0"/>
        <v>|empty|</v>
      </c>
      <c r="AC42" s="52" t="str">
        <f>IF(AB42="","",IFERROR(VLOOKUP(AB42,'Overview - Section A'!AF$124:AG208,2,0),VLOOKUP("|empty|",'Overview - Section A'!AF$124:AG208,2,0)))</f>
        <v>INT-341506</v>
      </c>
      <c r="AD42" s="52">
        <f t="shared" si="1"/>
        <v>2733</v>
      </c>
      <c r="AE42" s="52">
        <f>AE41+'update Helper'!$T$2</f>
        <v>3064</v>
      </c>
      <c r="AF42" s="52" t="str">
        <f>IFERROR(IF(AB42="","",IFERROR(VLOOKUP(AB42,'Overview - Section A'!AF$124:AO208,10,0),VLOOKUP("|empty|",'Overview - Section A'!AF$124:AO208,10,0))),"")</f>
        <v/>
      </c>
    </row>
    <row r="43" spans="1:32" ht="30" customHeight="1" x14ac:dyDescent="0.25">
      <c r="A43" s="121">
        <v>35</v>
      </c>
      <c r="B43" s="122"/>
      <c r="C43" s="122"/>
      <c r="D43" s="122"/>
      <c r="E43" s="122"/>
      <c r="F43" s="123"/>
      <c r="G43" s="122"/>
      <c r="H43" s="122"/>
      <c r="I43" s="122"/>
      <c r="J43" s="122"/>
      <c r="K43" s="122"/>
      <c r="L43" s="122"/>
      <c r="M43" s="122"/>
      <c r="N43" s="122"/>
      <c r="O43" s="122"/>
      <c r="P43" s="122"/>
      <c r="Q43" s="122"/>
      <c r="R43" s="122"/>
      <c r="S43" s="122"/>
      <c r="T43" s="122"/>
      <c r="U43" s="122"/>
      <c r="V43" s="122"/>
      <c r="W43" s="122"/>
      <c r="Y43" s="52" t="e">
        <f>VLOOKUP(X43,'Reference Records'!$E$253:$F$420,2,0)</f>
        <v>#N/A</v>
      </c>
      <c r="Z43" s="52" t="e">
        <f>MATCH($Y43,'Reference Records'!$E$507:$E$509,0)+ROW(Population_by_intervention) -1</f>
        <v>#N/A</v>
      </c>
      <c r="AA43" s="52" t="e">
        <f>MATCH($Y43,'Reference Records'!$E$507:$E$509,1)+ROW(Population_by_intervention) -1</f>
        <v>#N/A</v>
      </c>
      <c r="AB43" s="52" t="str">
        <f t="shared" si="0"/>
        <v>|empty|</v>
      </c>
      <c r="AC43" s="52" t="str">
        <f>IF(AB43="","",IFERROR(VLOOKUP(AB43,'Overview - Section A'!AF$124:AG209,2,0),VLOOKUP("|empty|",'Overview - Section A'!AF$124:AG209,2,0)))</f>
        <v>INT-341506</v>
      </c>
      <c r="AD43" s="52">
        <f t="shared" si="1"/>
        <v>2734</v>
      </c>
      <c r="AE43" s="52">
        <f>AE42+'update Helper'!$T$2</f>
        <v>3070</v>
      </c>
      <c r="AF43" s="52" t="str">
        <f>IFERROR(IF(AB43="","",IFERROR(VLOOKUP(AB43,'Overview - Section A'!AF$124:AO209,10,0),VLOOKUP("|empty|",'Overview - Section A'!AF$124:AO209,10,0))),"")</f>
        <v/>
      </c>
    </row>
    <row r="44" spans="1:32" ht="30" customHeight="1" x14ac:dyDescent="0.25">
      <c r="A44" s="121">
        <v>36</v>
      </c>
      <c r="B44" s="124"/>
      <c r="C44" s="124"/>
      <c r="D44" s="124"/>
      <c r="E44" s="124"/>
      <c r="F44" s="125"/>
      <c r="G44" s="124"/>
      <c r="H44" s="124"/>
      <c r="I44" s="124"/>
      <c r="J44" s="124"/>
      <c r="K44" s="124"/>
      <c r="L44" s="124"/>
      <c r="M44" s="124"/>
      <c r="N44" s="124"/>
      <c r="O44" s="124"/>
      <c r="P44" s="124"/>
      <c r="Q44" s="124"/>
      <c r="R44" s="124"/>
      <c r="S44" s="124"/>
      <c r="T44" s="124"/>
      <c r="U44" s="124"/>
      <c r="V44" s="124"/>
      <c r="W44" s="124"/>
      <c r="Y44" s="52" t="e">
        <f>VLOOKUP(X44,'Reference Records'!$E$253:$F$420,2,0)</f>
        <v>#N/A</v>
      </c>
      <c r="Z44" s="52" t="e">
        <f>MATCH($Y44,'Reference Records'!$E$507:$E$509,0)+ROW(Population_by_intervention) -1</f>
        <v>#N/A</v>
      </c>
      <c r="AA44" s="52" t="e">
        <f>MATCH($Y44,'Reference Records'!$E$507:$E$509,1)+ROW(Population_by_intervention) -1</f>
        <v>#N/A</v>
      </c>
      <c r="AB44" s="52" t="str">
        <f t="shared" si="0"/>
        <v>|empty|</v>
      </c>
      <c r="AC44" s="52" t="str">
        <f>IF(AB44="","",IFERROR(VLOOKUP(AB44,'Overview - Section A'!AF$124:AG210,2,0),VLOOKUP("|empty|",'Overview - Section A'!AF$124:AG210,2,0)))</f>
        <v>INT-341506</v>
      </c>
      <c r="AD44" s="52">
        <f t="shared" si="1"/>
        <v>2735</v>
      </c>
      <c r="AE44" s="52">
        <f>AE43+'update Helper'!$T$2</f>
        <v>3076</v>
      </c>
      <c r="AF44" s="52" t="str">
        <f>IFERROR(IF(AB44="","",IFERROR(VLOOKUP(AB44,'Overview - Section A'!AF$124:AO210,10,0),VLOOKUP("|empty|",'Overview - Section A'!AF$124:AO210,10,0))),"")</f>
        <v/>
      </c>
    </row>
    <row r="45" spans="1:32" ht="30" customHeight="1" x14ac:dyDescent="0.25">
      <c r="A45" s="121">
        <v>37</v>
      </c>
      <c r="B45" s="122"/>
      <c r="C45" s="122"/>
      <c r="D45" s="122"/>
      <c r="E45" s="122"/>
      <c r="F45" s="123"/>
      <c r="G45" s="122"/>
      <c r="H45" s="122"/>
      <c r="I45" s="122"/>
      <c r="J45" s="122"/>
      <c r="K45" s="122"/>
      <c r="L45" s="122"/>
      <c r="M45" s="122"/>
      <c r="N45" s="122"/>
      <c r="O45" s="122"/>
      <c r="P45" s="122"/>
      <c r="Q45" s="122"/>
      <c r="R45" s="122"/>
      <c r="S45" s="122"/>
      <c r="T45" s="122"/>
      <c r="U45" s="122"/>
      <c r="V45" s="122"/>
      <c r="W45" s="122"/>
      <c r="Y45" s="52" t="e">
        <f>VLOOKUP(X45,'Reference Records'!$E$253:$F$420,2,0)</f>
        <v>#N/A</v>
      </c>
      <c r="Z45" s="52" t="e">
        <f>MATCH($Y45,'Reference Records'!$E$507:$E$509,0)+ROW(Population_by_intervention) -1</f>
        <v>#N/A</v>
      </c>
      <c r="AA45" s="52" t="e">
        <f>MATCH($Y45,'Reference Records'!$E$507:$E$509,1)+ROW(Population_by_intervention) -1</f>
        <v>#N/A</v>
      </c>
      <c r="AB45" s="52" t="str">
        <f t="shared" si="0"/>
        <v>|empty|</v>
      </c>
      <c r="AC45" s="52" t="str">
        <f>IF(AB45="","",IFERROR(VLOOKUP(AB45,'Overview - Section A'!AF$124:AG211,2,0),VLOOKUP("|empty|",'Overview - Section A'!AF$124:AG211,2,0)))</f>
        <v>INT-341506</v>
      </c>
      <c r="AD45" s="52">
        <f t="shared" si="1"/>
        <v>2736</v>
      </c>
      <c r="AE45" s="52">
        <f>AE44+'update Helper'!$T$2</f>
        <v>3082</v>
      </c>
      <c r="AF45" s="52" t="str">
        <f>IFERROR(IF(AB45="","",IFERROR(VLOOKUP(AB45,'Overview - Section A'!AF$124:AO211,10,0),VLOOKUP("|empty|",'Overview - Section A'!AF$124:AO211,10,0))),"")</f>
        <v/>
      </c>
    </row>
    <row r="46" spans="1:32" ht="30" customHeight="1" x14ac:dyDescent="0.25">
      <c r="A46" s="121">
        <v>38</v>
      </c>
      <c r="B46" s="124"/>
      <c r="C46" s="124"/>
      <c r="D46" s="124"/>
      <c r="E46" s="124"/>
      <c r="F46" s="125"/>
      <c r="G46" s="124"/>
      <c r="H46" s="124"/>
      <c r="I46" s="124"/>
      <c r="J46" s="124"/>
      <c r="K46" s="124"/>
      <c r="L46" s="124"/>
      <c r="M46" s="124"/>
      <c r="N46" s="124"/>
      <c r="O46" s="124"/>
      <c r="P46" s="124"/>
      <c r="Q46" s="124"/>
      <c r="R46" s="124"/>
      <c r="S46" s="124"/>
      <c r="T46" s="124"/>
      <c r="U46" s="124"/>
      <c r="V46" s="124"/>
      <c r="W46" s="124"/>
      <c r="Y46" s="52" t="e">
        <f>VLOOKUP(X46,'Reference Records'!$E$253:$F$420,2,0)</f>
        <v>#N/A</v>
      </c>
      <c r="Z46" s="52" t="e">
        <f>MATCH($Y46,'Reference Records'!$E$507:$E$509,0)+ROW(Population_by_intervention) -1</f>
        <v>#N/A</v>
      </c>
      <c r="AA46" s="52" t="e">
        <f>MATCH($Y46,'Reference Records'!$E$507:$E$509,1)+ROW(Population_by_intervention) -1</f>
        <v>#N/A</v>
      </c>
      <c r="AB46" s="52" t="str">
        <f t="shared" si="0"/>
        <v>|empty|</v>
      </c>
      <c r="AC46" s="52" t="str">
        <f>IF(AB46="","",IFERROR(VLOOKUP(AB46,'Overview - Section A'!AF$124:AG212,2,0),VLOOKUP("|empty|",'Overview - Section A'!AF$124:AG212,2,0)))</f>
        <v>INT-341506</v>
      </c>
      <c r="AD46" s="52">
        <f t="shared" si="1"/>
        <v>2737</v>
      </c>
      <c r="AE46" s="52">
        <f>AE45+'update Helper'!$T$2</f>
        <v>3088</v>
      </c>
      <c r="AF46" s="52" t="str">
        <f>IFERROR(IF(AB46="","",IFERROR(VLOOKUP(AB46,'Overview - Section A'!AF$124:AO212,10,0),VLOOKUP("|empty|",'Overview - Section A'!AF$124:AO212,10,0))),"")</f>
        <v/>
      </c>
    </row>
    <row r="47" spans="1:32" ht="30" customHeight="1" x14ac:dyDescent="0.25">
      <c r="A47" s="121">
        <v>39</v>
      </c>
      <c r="B47" s="122"/>
      <c r="C47" s="122"/>
      <c r="D47" s="122"/>
      <c r="E47" s="122"/>
      <c r="F47" s="123"/>
      <c r="G47" s="122"/>
      <c r="H47" s="122"/>
      <c r="I47" s="122"/>
      <c r="J47" s="122"/>
      <c r="K47" s="122"/>
      <c r="L47" s="122"/>
      <c r="M47" s="122"/>
      <c r="N47" s="122"/>
      <c r="O47" s="122"/>
      <c r="P47" s="122"/>
      <c r="Q47" s="122"/>
      <c r="R47" s="122"/>
      <c r="S47" s="122"/>
      <c r="T47" s="122"/>
      <c r="U47" s="122"/>
      <c r="V47" s="122"/>
      <c r="W47" s="122"/>
      <c r="Y47" s="52" t="e">
        <f>VLOOKUP(X47,'Reference Records'!$E$253:$F$420,2,0)</f>
        <v>#N/A</v>
      </c>
      <c r="Z47" s="52" t="e">
        <f>MATCH($Y47,'Reference Records'!$E$507:$E$509,0)+ROW(Population_by_intervention) -1</f>
        <v>#N/A</v>
      </c>
      <c r="AA47" s="52" t="e">
        <f>MATCH($Y47,'Reference Records'!$E$507:$E$509,1)+ROW(Population_by_intervention) -1</f>
        <v>#N/A</v>
      </c>
      <c r="AB47" s="52" t="str">
        <f t="shared" si="0"/>
        <v>|empty|</v>
      </c>
      <c r="AC47" s="52" t="str">
        <f>IF(AB47="","",IFERROR(VLOOKUP(AB47,'Overview - Section A'!AF$124:AG213,2,0),VLOOKUP("|empty|",'Overview - Section A'!AF$124:AG213,2,0)))</f>
        <v>INT-341506</v>
      </c>
      <c r="AD47" s="52">
        <f t="shared" si="1"/>
        <v>2738</v>
      </c>
      <c r="AE47" s="52">
        <f>AE46+'update Helper'!$T$2</f>
        <v>3094</v>
      </c>
      <c r="AF47" s="52" t="str">
        <f>IFERROR(IF(AB47="","",IFERROR(VLOOKUP(AB47,'Overview - Section A'!AF$124:AO213,10,0),VLOOKUP("|empty|",'Overview - Section A'!AF$124:AO213,10,0))),"")</f>
        <v/>
      </c>
    </row>
    <row r="48" spans="1:32" ht="30" customHeight="1" x14ac:dyDescent="0.25">
      <c r="A48" s="121">
        <v>40</v>
      </c>
      <c r="B48" s="124"/>
      <c r="C48" s="124"/>
      <c r="D48" s="124"/>
      <c r="E48" s="124"/>
      <c r="F48" s="125"/>
      <c r="G48" s="124"/>
      <c r="H48" s="124"/>
      <c r="I48" s="124"/>
      <c r="J48" s="124"/>
      <c r="K48" s="124"/>
      <c r="L48" s="124"/>
      <c r="M48" s="124"/>
      <c r="N48" s="124"/>
      <c r="O48" s="124"/>
      <c r="P48" s="124"/>
      <c r="Q48" s="124"/>
      <c r="R48" s="124"/>
      <c r="S48" s="124"/>
      <c r="T48" s="124"/>
      <c r="U48" s="124"/>
      <c r="V48" s="124"/>
      <c r="W48" s="124"/>
      <c r="Y48" s="52" t="e">
        <f>VLOOKUP(X48,'Reference Records'!$E$253:$F$420,2,0)</f>
        <v>#N/A</v>
      </c>
      <c r="Z48" s="52" t="e">
        <f>MATCH($Y48,'Reference Records'!$E$507:$E$509,0)+ROW(Population_by_intervention) -1</f>
        <v>#N/A</v>
      </c>
      <c r="AA48" s="52" t="e">
        <f>MATCH($Y48,'Reference Records'!$E$507:$E$509,1)+ROW(Population_by_intervention) -1</f>
        <v>#N/A</v>
      </c>
      <c r="AB48" s="52" t="str">
        <f t="shared" si="0"/>
        <v>|empty|</v>
      </c>
      <c r="AC48" s="52" t="str">
        <f>IF(AB48="","",IFERROR(VLOOKUP(AB48,'Overview - Section A'!AF$124:AG214,2,0),VLOOKUP("|empty|",'Overview - Section A'!AF$124:AG214,2,0)))</f>
        <v>INT-341506</v>
      </c>
      <c r="AD48" s="52">
        <f t="shared" si="1"/>
        <v>2739</v>
      </c>
      <c r="AE48" s="52">
        <f>AE47+'update Helper'!$T$2</f>
        <v>3100</v>
      </c>
      <c r="AF48" s="52" t="str">
        <f>IFERROR(IF(AB48="","",IFERROR(VLOOKUP(AB48,'Overview - Section A'!AF$124:AO214,10,0),VLOOKUP("|empty|",'Overview - Section A'!AF$124:AO214,10,0))),"")</f>
        <v/>
      </c>
    </row>
    <row r="49" spans="1:32" ht="30" customHeight="1" x14ac:dyDescent="0.25">
      <c r="A49" s="121">
        <v>41</v>
      </c>
      <c r="B49" s="122"/>
      <c r="C49" s="122"/>
      <c r="D49" s="122"/>
      <c r="E49" s="122"/>
      <c r="F49" s="123"/>
      <c r="G49" s="122"/>
      <c r="H49" s="122"/>
      <c r="I49" s="122"/>
      <c r="J49" s="122"/>
      <c r="K49" s="122"/>
      <c r="L49" s="122"/>
      <c r="M49" s="122"/>
      <c r="N49" s="122"/>
      <c r="O49" s="122"/>
      <c r="P49" s="122"/>
      <c r="Q49" s="122"/>
      <c r="R49" s="122"/>
      <c r="S49" s="122"/>
      <c r="T49" s="122"/>
      <c r="U49" s="122"/>
      <c r="V49" s="122"/>
      <c r="W49" s="122"/>
      <c r="Y49" s="52" t="e">
        <f>VLOOKUP(X49,'Reference Records'!$E$253:$F$420,2,0)</f>
        <v>#N/A</v>
      </c>
      <c r="Z49" s="52" t="e">
        <f>MATCH($Y49,'Reference Records'!$E$507:$E$509,0)+ROW(Population_by_intervention) -1</f>
        <v>#N/A</v>
      </c>
      <c r="AA49" s="52" t="e">
        <f>MATCH($Y49,'Reference Records'!$E$507:$E$509,1)+ROW(Population_by_intervention) -1</f>
        <v>#N/A</v>
      </c>
      <c r="AB49" s="52" t="str">
        <f t="shared" si="0"/>
        <v>|empty|</v>
      </c>
      <c r="AC49" s="52" t="str">
        <f>IF(AB49="","",IFERROR(VLOOKUP(AB49,'Overview - Section A'!AF$124:AG215,2,0),VLOOKUP("|empty|",'Overview - Section A'!AF$124:AG215,2,0)))</f>
        <v>INT-341506</v>
      </c>
      <c r="AD49" s="52">
        <f t="shared" si="1"/>
        <v>2740</v>
      </c>
      <c r="AE49" s="52">
        <f>AE48+'update Helper'!$T$2</f>
        <v>3106</v>
      </c>
      <c r="AF49" s="52" t="str">
        <f>IFERROR(IF(AB49="","",IFERROR(VLOOKUP(AB49,'Overview - Section A'!AF$124:AO215,10,0),VLOOKUP("|empty|",'Overview - Section A'!AF$124:AO215,10,0))),"")</f>
        <v/>
      </c>
    </row>
    <row r="50" spans="1:32" ht="30" customHeight="1" x14ac:dyDescent="0.25">
      <c r="A50" s="121">
        <v>42</v>
      </c>
      <c r="B50" s="124"/>
      <c r="C50" s="124"/>
      <c r="D50" s="124"/>
      <c r="E50" s="124"/>
      <c r="F50" s="125"/>
      <c r="G50" s="124"/>
      <c r="H50" s="124"/>
      <c r="I50" s="124"/>
      <c r="J50" s="124"/>
      <c r="K50" s="124"/>
      <c r="L50" s="124"/>
      <c r="M50" s="124"/>
      <c r="N50" s="124"/>
      <c r="O50" s="124"/>
      <c r="P50" s="124"/>
      <c r="Q50" s="124"/>
      <c r="R50" s="124"/>
      <c r="S50" s="124"/>
      <c r="T50" s="124"/>
      <c r="U50" s="124"/>
      <c r="V50" s="124"/>
      <c r="W50" s="124"/>
      <c r="Y50" s="52" t="e">
        <f>VLOOKUP(X50,'Reference Records'!$E$253:$F$420,2,0)</f>
        <v>#N/A</v>
      </c>
      <c r="Z50" s="52" t="e">
        <f>MATCH($Y50,'Reference Records'!$E$507:$E$509,0)+ROW(Population_by_intervention) -1</f>
        <v>#N/A</v>
      </c>
      <c r="AA50" s="52" t="e">
        <f>MATCH($Y50,'Reference Records'!$E$507:$E$509,1)+ROW(Population_by_intervention) -1</f>
        <v>#N/A</v>
      </c>
      <c r="AB50" s="52" t="str">
        <f t="shared" si="0"/>
        <v>|empty|</v>
      </c>
      <c r="AC50" s="52" t="str">
        <f>IF(AB50="","",IFERROR(VLOOKUP(AB50,'Overview - Section A'!AF$124:AG216,2,0),VLOOKUP("|empty|",'Overview - Section A'!AF$124:AG216,2,0)))</f>
        <v>INT-341506</v>
      </c>
      <c r="AD50" s="52">
        <f t="shared" si="1"/>
        <v>2741</v>
      </c>
      <c r="AE50" s="52">
        <f>AE49+'update Helper'!$T$2</f>
        <v>3112</v>
      </c>
      <c r="AF50" s="52" t="str">
        <f>IFERROR(IF(AB50="","",IFERROR(VLOOKUP(AB50,'Overview - Section A'!AF$124:AO216,10,0),VLOOKUP("|empty|",'Overview - Section A'!AF$124:AO216,10,0))),"")</f>
        <v/>
      </c>
    </row>
    <row r="51" spans="1:32" ht="30" customHeight="1" x14ac:dyDescent="0.25">
      <c r="A51" s="121">
        <v>43</v>
      </c>
      <c r="B51" s="122"/>
      <c r="C51" s="122"/>
      <c r="D51" s="122"/>
      <c r="E51" s="122"/>
      <c r="F51" s="123"/>
      <c r="G51" s="122"/>
      <c r="H51" s="122"/>
      <c r="I51" s="122"/>
      <c r="J51" s="122"/>
      <c r="K51" s="122"/>
      <c r="L51" s="122"/>
      <c r="M51" s="122"/>
      <c r="N51" s="122"/>
      <c r="O51" s="122"/>
      <c r="P51" s="122"/>
      <c r="Q51" s="122"/>
      <c r="R51" s="122"/>
      <c r="S51" s="122"/>
      <c r="T51" s="122"/>
      <c r="U51" s="122"/>
      <c r="V51" s="122"/>
      <c r="W51" s="122"/>
      <c r="Y51" s="52" t="e">
        <f>VLOOKUP(X51,'Reference Records'!$E$253:$F$420,2,0)</f>
        <v>#N/A</v>
      </c>
      <c r="Z51" s="52" t="e">
        <f>MATCH($Y51,'Reference Records'!$E$507:$E$509,0)+ROW(Population_by_intervention) -1</f>
        <v>#N/A</v>
      </c>
      <c r="AA51" s="52" t="e">
        <f>MATCH($Y51,'Reference Records'!$E$507:$E$509,1)+ROW(Population_by_intervention) -1</f>
        <v>#N/A</v>
      </c>
      <c r="AB51" s="52" t="str">
        <f t="shared" si="0"/>
        <v>|empty|</v>
      </c>
      <c r="AC51" s="52" t="str">
        <f>IF(AB51="","",IFERROR(VLOOKUP(AB51,'Overview - Section A'!AF$124:AG217,2,0),VLOOKUP("|empty|",'Overview - Section A'!AF$124:AG217,2,0)))</f>
        <v>INT-341506</v>
      </c>
      <c r="AD51" s="52">
        <f t="shared" si="1"/>
        <v>2742</v>
      </c>
      <c r="AE51" s="52">
        <f>AE50+'update Helper'!$T$2</f>
        <v>3118</v>
      </c>
      <c r="AF51" s="52" t="str">
        <f>IFERROR(IF(AB51="","",IFERROR(VLOOKUP(AB51,'Overview - Section A'!AF$124:AO217,10,0),VLOOKUP("|empty|",'Overview - Section A'!AF$124:AO217,10,0))),"")</f>
        <v/>
      </c>
    </row>
    <row r="52" spans="1:32" ht="30" customHeight="1" x14ac:dyDescent="0.25">
      <c r="A52" s="121">
        <v>44</v>
      </c>
      <c r="B52" s="124"/>
      <c r="C52" s="124"/>
      <c r="D52" s="124"/>
      <c r="E52" s="124"/>
      <c r="F52" s="125"/>
      <c r="G52" s="124"/>
      <c r="H52" s="124"/>
      <c r="I52" s="124"/>
      <c r="J52" s="124"/>
      <c r="K52" s="124"/>
      <c r="L52" s="124"/>
      <c r="M52" s="124"/>
      <c r="N52" s="124"/>
      <c r="O52" s="124"/>
      <c r="P52" s="124"/>
      <c r="Q52" s="124"/>
      <c r="R52" s="124"/>
      <c r="S52" s="124"/>
      <c r="T52" s="124"/>
      <c r="U52" s="124"/>
      <c r="V52" s="124"/>
      <c r="W52" s="124"/>
      <c r="Y52" s="52" t="e">
        <f>VLOOKUP(X52,'Reference Records'!$E$253:$F$420,2,0)</f>
        <v>#N/A</v>
      </c>
      <c r="Z52" s="52" t="e">
        <f>MATCH($Y52,'Reference Records'!$E$507:$E$509,0)+ROW(Population_by_intervention) -1</f>
        <v>#N/A</v>
      </c>
      <c r="AA52" s="52" t="e">
        <f>MATCH($Y52,'Reference Records'!$E$507:$E$509,1)+ROW(Population_by_intervention) -1</f>
        <v>#N/A</v>
      </c>
      <c r="AB52" s="52" t="str">
        <f t="shared" si="0"/>
        <v>|empty|</v>
      </c>
      <c r="AC52" s="52" t="str">
        <f>IF(AB52="","",IFERROR(VLOOKUP(AB52,'Overview - Section A'!AF$124:AG218,2,0),VLOOKUP("|empty|",'Overview - Section A'!AF$124:AG218,2,0)))</f>
        <v>INT-341506</v>
      </c>
      <c r="AD52" s="52">
        <f t="shared" si="1"/>
        <v>2743</v>
      </c>
      <c r="AE52" s="52">
        <f>AE51+'update Helper'!$T$2</f>
        <v>3124</v>
      </c>
      <c r="AF52" s="52" t="str">
        <f>IFERROR(IF(AB52="","",IFERROR(VLOOKUP(AB52,'Overview - Section A'!AF$124:AO218,10,0),VLOOKUP("|empty|",'Overview - Section A'!AF$124:AO218,10,0))),"")</f>
        <v/>
      </c>
    </row>
    <row r="53" spans="1:32" ht="30" customHeight="1" x14ac:dyDescent="0.25">
      <c r="A53" s="121">
        <v>45</v>
      </c>
      <c r="B53" s="122"/>
      <c r="C53" s="122"/>
      <c r="D53" s="122"/>
      <c r="E53" s="122"/>
      <c r="F53" s="123"/>
      <c r="G53" s="122"/>
      <c r="H53" s="122"/>
      <c r="I53" s="122"/>
      <c r="J53" s="122"/>
      <c r="K53" s="122"/>
      <c r="L53" s="122"/>
      <c r="M53" s="122"/>
      <c r="N53" s="122"/>
      <c r="O53" s="122"/>
      <c r="P53" s="122"/>
      <c r="Q53" s="122"/>
      <c r="R53" s="122"/>
      <c r="S53" s="122"/>
      <c r="T53" s="122"/>
      <c r="U53" s="122"/>
      <c r="V53" s="122"/>
      <c r="W53" s="122"/>
      <c r="Y53" s="52" t="e">
        <f>VLOOKUP(X53,'Reference Records'!$E$253:$F$420,2,0)</f>
        <v>#N/A</v>
      </c>
      <c r="Z53" s="52" t="e">
        <f>MATCH($Y53,'Reference Records'!$E$507:$E$509,0)+ROW(Population_by_intervention) -1</f>
        <v>#N/A</v>
      </c>
      <c r="AA53" s="52" t="e">
        <f>MATCH($Y53,'Reference Records'!$E$507:$E$509,1)+ROW(Population_by_intervention) -1</f>
        <v>#N/A</v>
      </c>
      <c r="AB53" s="52" t="str">
        <f t="shared" si="0"/>
        <v>|empty|</v>
      </c>
      <c r="AC53" s="52" t="str">
        <f>IF(AB53="","",IFERROR(VLOOKUP(AB53,'Overview - Section A'!AF$124:AG219,2,0),VLOOKUP("|empty|",'Overview - Section A'!AF$124:AG219,2,0)))</f>
        <v>INT-341506</v>
      </c>
      <c r="AD53" s="52">
        <f t="shared" si="1"/>
        <v>2744</v>
      </c>
      <c r="AE53" s="52">
        <f>AE52+'update Helper'!$T$2</f>
        <v>3130</v>
      </c>
      <c r="AF53" s="52" t="str">
        <f>IFERROR(IF(AB53="","",IFERROR(VLOOKUP(AB53,'Overview - Section A'!AF$124:AO219,10,0),VLOOKUP("|empty|",'Overview - Section A'!AF$124:AO219,10,0))),"")</f>
        <v/>
      </c>
    </row>
    <row r="54" spans="1:32" ht="30" customHeight="1" x14ac:dyDescent="0.25">
      <c r="A54" s="121">
        <v>46</v>
      </c>
      <c r="B54" s="124"/>
      <c r="C54" s="124"/>
      <c r="D54" s="124"/>
      <c r="E54" s="124"/>
      <c r="F54" s="125"/>
      <c r="G54" s="124"/>
      <c r="H54" s="124"/>
      <c r="I54" s="124"/>
      <c r="J54" s="124"/>
      <c r="K54" s="124"/>
      <c r="L54" s="124"/>
      <c r="M54" s="124"/>
      <c r="N54" s="124"/>
      <c r="O54" s="124"/>
      <c r="P54" s="124"/>
      <c r="Q54" s="124"/>
      <c r="R54" s="124"/>
      <c r="S54" s="124"/>
      <c r="T54" s="124"/>
      <c r="U54" s="124"/>
      <c r="V54" s="124"/>
      <c r="W54" s="124"/>
      <c r="Y54" s="52" t="e">
        <f>VLOOKUP(X54,'Reference Records'!$E$253:$F$420,2,0)</f>
        <v>#N/A</v>
      </c>
      <c r="Z54" s="52" t="e">
        <f>MATCH($Y54,'Reference Records'!$E$507:$E$509,0)+ROW(Population_by_intervention) -1</f>
        <v>#N/A</v>
      </c>
      <c r="AA54" s="52" t="e">
        <f>MATCH($Y54,'Reference Records'!$E$507:$E$509,1)+ROW(Population_by_intervention) -1</f>
        <v>#N/A</v>
      </c>
      <c r="AB54" s="52" t="str">
        <f t="shared" si="0"/>
        <v>|empty|</v>
      </c>
      <c r="AC54" s="52" t="str">
        <f>IF(AB54="","",IFERROR(VLOOKUP(AB54,'Overview - Section A'!AF$124:AG220,2,0),VLOOKUP("|empty|",'Overview - Section A'!AF$124:AG220,2,0)))</f>
        <v>INT-341506</v>
      </c>
      <c r="AD54" s="52">
        <f t="shared" si="1"/>
        <v>2745</v>
      </c>
      <c r="AE54" s="52">
        <f>AE53+'update Helper'!$T$2</f>
        <v>3136</v>
      </c>
      <c r="AF54" s="52" t="str">
        <f>IFERROR(IF(AB54="","",IFERROR(VLOOKUP(AB54,'Overview - Section A'!AF$124:AO220,10,0),VLOOKUP("|empty|",'Overview - Section A'!AF$124:AO220,10,0))),"")</f>
        <v/>
      </c>
    </row>
    <row r="55" spans="1:32" ht="30" customHeight="1" x14ac:dyDescent="0.25">
      <c r="A55" s="121">
        <v>47</v>
      </c>
      <c r="B55" s="122"/>
      <c r="C55" s="122"/>
      <c r="D55" s="122"/>
      <c r="E55" s="122"/>
      <c r="F55" s="123"/>
      <c r="G55" s="122"/>
      <c r="H55" s="122"/>
      <c r="I55" s="122"/>
      <c r="J55" s="122"/>
      <c r="K55" s="122"/>
      <c r="L55" s="122"/>
      <c r="M55" s="122"/>
      <c r="N55" s="122"/>
      <c r="O55" s="122"/>
      <c r="P55" s="122"/>
      <c r="Q55" s="122"/>
      <c r="R55" s="122"/>
      <c r="S55" s="122"/>
      <c r="T55" s="122"/>
      <c r="U55" s="122"/>
      <c r="V55" s="122"/>
      <c r="W55" s="122"/>
      <c r="Y55" s="52" t="e">
        <f>VLOOKUP(X55,'Reference Records'!$E$253:$F$420,2,0)</f>
        <v>#N/A</v>
      </c>
      <c r="Z55" s="52" t="e">
        <f>MATCH($Y55,'Reference Records'!$E$507:$E$509,0)+ROW(Population_by_intervention) -1</f>
        <v>#N/A</v>
      </c>
      <c r="AA55" s="52" t="e">
        <f>MATCH($Y55,'Reference Records'!$E$507:$E$509,1)+ROW(Population_by_intervention) -1</f>
        <v>#N/A</v>
      </c>
      <c r="AB55" s="52" t="str">
        <f t="shared" si="0"/>
        <v>|empty|</v>
      </c>
      <c r="AC55" s="52" t="str">
        <f>IF(AB55="","",IFERROR(VLOOKUP(AB55,'Overview - Section A'!AF$124:AG221,2,0),VLOOKUP("|empty|",'Overview - Section A'!AF$124:AG221,2,0)))</f>
        <v>INT-341506</v>
      </c>
      <c r="AD55" s="52">
        <f t="shared" si="1"/>
        <v>2746</v>
      </c>
      <c r="AE55" s="52">
        <f>AE54+'update Helper'!$T$2</f>
        <v>3142</v>
      </c>
      <c r="AF55" s="52" t="str">
        <f>IFERROR(IF(AB55="","",IFERROR(VLOOKUP(AB55,'Overview - Section A'!AF$124:AO221,10,0),VLOOKUP("|empty|",'Overview - Section A'!AF$124:AO221,10,0))),"")</f>
        <v/>
      </c>
    </row>
    <row r="56" spans="1:32" ht="30" customHeight="1" x14ac:dyDescent="0.25">
      <c r="A56" s="121">
        <v>48</v>
      </c>
      <c r="B56" s="124"/>
      <c r="C56" s="124"/>
      <c r="D56" s="124"/>
      <c r="E56" s="124"/>
      <c r="F56" s="125"/>
      <c r="G56" s="124"/>
      <c r="H56" s="124"/>
      <c r="I56" s="124"/>
      <c r="J56" s="124"/>
      <c r="K56" s="124"/>
      <c r="L56" s="124"/>
      <c r="M56" s="124"/>
      <c r="N56" s="124"/>
      <c r="O56" s="124"/>
      <c r="P56" s="124"/>
      <c r="Q56" s="124"/>
      <c r="R56" s="124"/>
      <c r="S56" s="124"/>
      <c r="T56" s="124"/>
      <c r="U56" s="124"/>
      <c r="V56" s="124"/>
      <c r="W56" s="124"/>
      <c r="Y56" s="52" t="e">
        <f>VLOOKUP(X56,'Reference Records'!$E$253:$F$420,2,0)</f>
        <v>#N/A</v>
      </c>
      <c r="Z56" s="52" t="e">
        <f>MATCH($Y56,'Reference Records'!$E$507:$E$509,0)+ROW(Population_by_intervention) -1</f>
        <v>#N/A</v>
      </c>
      <c r="AA56" s="52" t="e">
        <f>MATCH($Y56,'Reference Records'!$E$507:$E$509,1)+ROW(Population_by_intervention) -1</f>
        <v>#N/A</v>
      </c>
      <c r="AB56" s="52" t="str">
        <f t="shared" si="0"/>
        <v>|empty|</v>
      </c>
      <c r="AC56" s="52" t="str">
        <f>IF(AB56="","",IFERROR(VLOOKUP(AB56,'Overview - Section A'!AF$124:AG222,2,0),VLOOKUP("|empty|",'Overview - Section A'!AF$124:AG222,2,0)))</f>
        <v>INT-341506</v>
      </c>
      <c r="AD56" s="52">
        <f t="shared" si="1"/>
        <v>2747</v>
      </c>
      <c r="AE56" s="52">
        <f>AE55+'update Helper'!$T$2</f>
        <v>3148</v>
      </c>
      <c r="AF56" s="52" t="str">
        <f>IFERROR(IF(AB56="","",IFERROR(VLOOKUP(AB56,'Overview - Section A'!AF$124:AO222,10,0),VLOOKUP("|empty|",'Overview - Section A'!AF$124:AO222,10,0))),"")</f>
        <v/>
      </c>
    </row>
    <row r="57" spans="1:32" ht="30" customHeight="1" x14ac:dyDescent="0.25">
      <c r="A57" s="121">
        <v>49</v>
      </c>
      <c r="B57" s="122"/>
      <c r="C57" s="122"/>
      <c r="D57" s="122"/>
      <c r="E57" s="122"/>
      <c r="F57" s="123"/>
      <c r="G57" s="122"/>
      <c r="H57" s="122"/>
      <c r="I57" s="122"/>
      <c r="J57" s="122"/>
      <c r="K57" s="122"/>
      <c r="L57" s="122"/>
      <c r="M57" s="122"/>
      <c r="N57" s="122"/>
      <c r="O57" s="122"/>
      <c r="P57" s="122"/>
      <c r="Q57" s="122"/>
      <c r="R57" s="122"/>
      <c r="S57" s="122"/>
      <c r="T57" s="122"/>
      <c r="U57" s="122"/>
      <c r="V57" s="122"/>
      <c r="W57" s="122"/>
      <c r="Y57" s="52" t="e">
        <f>VLOOKUP(X57,'Reference Records'!$E$253:$F$420,2,0)</f>
        <v>#N/A</v>
      </c>
      <c r="Z57" s="52" t="e">
        <f>MATCH($Y57,'Reference Records'!$E$507:$E$509,0)+ROW(Population_by_intervention) -1</f>
        <v>#N/A</v>
      </c>
      <c r="AA57" s="52" t="e">
        <f>MATCH($Y57,'Reference Records'!$E$507:$E$509,1)+ROW(Population_by_intervention) -1</f>
        <v>#N/A</v>
      </c>
      <c r="AB57" s="52" t="str">
        <f t="shared" si="0"/>
        <v>|empty|</v>
      </c>
      <c r="AC57" s="52" t="str">
        <f>IF(AB57="","",IFERROR(VLOOKUP(AB57,'Overview - Section A'!AF$124:AG223,2,0),VLOOKUP("|empty|",'Overview - Section A'!AF$124:AG223,2,0)))</f>
        <v>INT-341506</v>
      </c>
      <c r="AD57" s="52">
        <f t="shared" si="1"/>
        <v>2748</v>
      </c>
      <c r="AE57" s="52">
        <f>AE56+'update Helper'!$T$2</f>
        <v>3154</v>
      </c>
      <c r="AF57" s="52" t="str">
        <f>IFERROR(IF(AB57="","",IFERROR(VLOOKUP(AB57,'Overview - Section A'!AF$124:AO223,10,0),VLOOKUP("|empty|",'Overview - Section A'!AF$124:AO223,10,0))),"")</f>
        <v/>
      </c>
    </row>
    <row r="58" spans="1:32" ht="30" customHeight="1" x14ac:dyDescent="0.25">
      <c r="A58" s="121">
        <v>50</v>
      </c>
      <c r="B58" s="124"/>
      <c r="C58" s="124"/>
      <c r="D58" s="124"/>
      <c r="E58" s="124"/>
      <c r="F58" s="125"/>
      <c r="G58" s="124"/>
      <c r="H58" s="124"/>
      <c r="I58" s="124"/>
      <c r="J58" s="124"/>
      <c r="K58" s="124"/>
      <c r="L58" s="124"/>
      <c r="M58" s="124"/>
      <c r="N58" s="124"/>
      <c r="O58" s="124"/>
      <c r="P58" s="124"/>
      <c r="Q58" s="124"/>
      <c r="R58" s="124"/>
      <c r="S58" s="124"/>
      <c r="T58" s="124"/>
      <c r="U58" s="124"/>
      <c r="V58" s="124"/>
      <c r="W58" s="124"/>
      <c r="Y58" s="52" t="e">
        <f>VLOOKUP(X58,'Reference Records'!$E$253:$F$420,2,0)</f>
        <v>#N/A</v>
      </c>
      <c r="Z58" s="52" t="e">
        <f>MATCH($Y58,'Reference Records'!$E$507:$E$509,0)+ROW(Population_by_intervention) -1</f>
        <v>#N/A</v>
      </c>
      <c r="AA58" s="52" t="e">
        <f>MATCH($Y58,'Reference Records'!$E$507:$E$509,1)+ROW(Population_by_intervention) -1</f>
        <v>#N/A</v>
      </c>
      <c r="AB58" s="52" t="str">
        <f t="shared" si="0"/>
        <v>|empty|</v>
      </c>
      <c r="AC58" s="52" t="str">
        <f>IF(AB58="","",IFERROR(VLOOKUP(AB58,'Overview - Section A'!AF$124:AG224,2,0),VLOOKUP("|empty|",'Overview - Section A'!AF$124:AG224,2,0)))</f>
        <v>INT-341506</v>
      </c>
      <c r="AD58" s="52">
        <f t="shared" si="1"/>
        <v>2749</v>
      </c>
      <c r="AE58" s="52">
        <f>AE57+'update Helper'!$T$2</f>
        <v>3160</v>
      </c>
      <c r="AF58" s="52" t="str">
        <f>IFERROR(IF(AB58="","",IFERROR(VLOOKUP(AB58,'Overview - Section A'!AF$124:AO224,10,0),VLOOKUP("|empty|",'Overview - Section A'!AF$124:AO224,10,0))),"")</f>
        <v/>
      </c>
    </row>
    <row r="59" spans="1:32" ht="30" customHeight="1" x14ac:dyDescent="0.25">
      <c r="A59" s="121">
        <v>51</v>
      </c>
      <c r="B59" s="122"/>
      <c r="C59" s="122"/>
      <c r="D59" s="122"/>
      <c r="E59" s="122"/>
      <c r="F59" s="123"/>
      <c r="G59" s="122"/>
      <c r="H59" s="122"/>
      <c r="I59" s="122"/>
      <c r="J59" s="122"/>
      <c r="K59" s="122"/>
      <c r="L59" s="122"/>
      <c r="M59" s="122"/>
      <c r="N59" s="122"/>
      <c r="O59" s="122"/>
      <c r="P59" s="122"/>
      <c r="Q59" s="122"/>
      <c r="R59" s="122"/>
      <c r="S59" s="122"/>
      <c r="T59" s="122"/>
      <c r="U59" s="122"/>
      <c r="V59" s="122"/>
      <c r="W59" s="122"/>
      <c r="Y59" s="52" t="e">
        <f>VLOOKUP(X59,'Reference Records'!$E$253:$F$420,2,0)</f>
        <v>#N/A</v>
      </c>
      <c r="Z59" s="52" t="e">
        <f>MATCH($Y59,'Reference Records'!$E$507:$E$509,0)+ROW(Population_by_intervention) -1</f>
        <v>#N/A</v>
      </c>
      <c r="AA59" s="52" t="e">
        <f>MATCH($Y59,'Reference Records'!$E$507:$E$509,1)+ROW(Population_by_intervention) -1</f>
        <v>#N/A</v>
      </c>
      <c r="AB59" s="52" t="str">
        <f t="shared" si="0"/>
        <v>|empty|</v>
      </c>
      <c r="AC59" s="52" t="str">
        <f>IF(AB59="","",IFERROR(VLOOKUP(AB59,'Overview - Section A'!AF$124:AG225,2,0),VLOOKUP("|empty|",'Overview - Section A'!AF$124:AG225,2,0)))</f>
        <v>INT-341506</v>
      </c>
      <c r="AD59" s="52">
        <f t="shared" si="1"/>
        <v>2750</v>
      </c>
      <c r="AE59" s="52">
        <f>AE58+'update Helper'!$T$2</f>
        <v>3166</v>
      </c>
      <c r="AF59" s="52" t="str">
        <f>IFERROR(IF(AB59="","",IFERROR(VLOOKUP(AB59,'Overview - Section A'!AF$124:AO225,10,0),VLOOKUP("|empty|",'Overview - Section A'!AF$124:AO225,10,0))),"")</f>
        <v/>
      </c>
    </row>
    <row r="60" spans="1:32" ht="30" customHeight="1" x14ac:dyDescent="0.25">
      <c r="A60" s="121">
        <v>52</v>
      </c>
      <c r="B60" s="124"/>
      <c r="C60" s="124"/>
      <c r="D60" s="124"/>
      <c r="E60" s="124"/>
      <c r="F60" s="125"/>
      <c r="G60" s="124"/>
      <c r="H60" s="124"/>
      <c r="I60" s="124"/>
      <c r="J60" s="124"/>
      <c r="K60" s="124"/>
      <c r="L60" s="124"/>
      <c r="M60" s="124"/>
      <c r="N60" s="124"/>
      <c r="O60" s="124"/>
      <c r="P60" s="124"/>
      <c r="Q60" s="124"/>
      <c r="R60" s="124"/>
      <c r="S60" s="124"/>
      <c r="T60" s="124"/>
      <c r="U60" s="124"/>
      <c r="V60" s="124"/>
      <c r="W60" s="124"/>
      <c r="Y60" s="52" t="e">
        <f>VLOOKUP(X60,'Reference Records'!$E$253:$F$420,2,0)</f>
        <v>#N/A</v>
      </c>
      <c r="Z60" s="52" t="e">
        <f>MATCH($Y60,'Reference Records'!$E$507:$E$509,0)+ROW(Population_by_intervention) -1</f>
        <v>#N/A</v>
      </c>
      <c r="AA60" s="52" t="e">
        <f>MATCH($Y60,'Reference Records'!$E$507:$E$509,1)+ROW(Population_by_intervention) -1</f>
        <v>#N/A</v>
      </c>
      <c r="AB60" s="52" t="str">
        <f t="shared" si="0"/>
        <v>|empty|</v>
      </c>
      <c r="AC60" s="52" t="str">
        <f>IF(AB60="","",IFERROR(VLOOKUP(AB60,'Overview - Section A'!AF$124:AG226,2,0),VLOOKUP("|empty|",'Overview - Section A'!AF$124:AG226,2,0)))</f>
        <v>INT-341506</v>
      </c>
      <c r="AD60" s="52">
        <f t="shared" si="1"/>
        <v>2751</v>
      </c>
      <c r="AE60" s="52">
        <f>AE59+'update Helper'!$T$2</f>
        <v>3172</v>
      </c>
      <c r="AF60" s="52" t="str">
        <f>IFERROR(IF(AB60="","",IFERROR(VLOOKUP(AB60,'Overview - Section A'!AF$124:AO226,10,0),VLOOKUP("|empty|",'Overview - Section A'!AF$124:AO226,10,0))),"")</f>
        <v/>
      </c>
    </row>
    <row r="61" spans="1:32" ht="30" customHeight="1" x14ac:dyDescent="0.25">
      <c r="A61" s="121">
        <v>53</v>
      </c>
      <c r="B61" s="122"/>
      <c r="C61" s="122"/>
      <c r="D61" s="122"/>
      <c r="E61" s="122"/>
      <c r="F61" s="123"/>
      <c r="G61" s="122"/>
      <c r="H61" s="122"/>
      <c r="I61" s="122"/>
      <c r="J61" s="122"/>
      <c r="K61" s="122"/>
      <c r="L61" s="122"/>
      <c r="M61" s="122"/>
      <c r="N61" s="122"/>
      <c r="O61" s="122"/>
      <c r="P61" s="122"/>
      <c r="Q61" s="122"/>
      <c r="R61" s="122"/>
      <c r="S61" s="122"/>
      <c r="T61" s="122"/>
      <c r="U61" s="122"/>
      <c r="V61" s="122"/>
      <c r="W61" s="122"/>
      <c r="Y61" s="52" t="e">
        <f>VLOOKUP(X61,'Reference Records'!$E$253:$F$420,2,0)</f>
        <v>#N/A</v>
      </c>
      <c r="Z61" s="52" t="e">
        <f>MATCH($Y61,'Reference Records'!$E$507:$E$509,0)+ROW(Population_by_intervention) -1</f>
        <v>#N/A</v>
      </c>
      <c r="AA61" s="52" t="e">
        <f>MATCH($Y61,'Reference Records'!$E$507:$E$509,1)+ROW(Population_by_intervention) -1</f>
        <v>#N/A</v>
      </c>
      <c r="AB61" s="52" t="str">
        <f t="shared" si="0"/>
        <v>|empty|</v>
      </c>
      <c r="AC61" s="52" t="str">
        <f>IF(AB61="","",IFERROR(VLOOKUP(AB61,'Overview - Section A'!AF$124:AG227,2,0),VLOOKUP("|empty|",'Overview - Section A'!AF$124:AG227,2,0)))</f>
        <v>INT-341506</v>
      </c>
      <c r="AD61" s="52">
        <f t="shared" si="1"/>
        <v>2752</v>
      </c>
      <c r="AE61" s="52">
        <f>AE60+'update Helper'!$T$2</f>
        <v>3178</v>
      </c>
      <c r="AF61" s="52" t="str">
        <f>IFERROR(IF(AB61="","",IFERROR(VLOOKUP(AB61,'Overview - Section A'!AF$124:AO227,10,0),VLOOKUP("|empty|",'Overview - Section A'!AF$124:AO227,10,0))),"")</f>
        <v/>
      </c>
    </row>
    <row r="62" spans="1:32" ht="30" customHeight="1" x14ac:dyDescent="0.25">
      <c r="A62" s="121">
        <v>54</v>
      </c>
      <c r="B62" s="124"/>
      <c r="C62" s="124"/>
      <c r="D62" s="124"/>
      <c r="E62" s="124"/>
      <c r="F62" s="125"/>
      <c r="G62" s="124"/>
      <c r="H62" s="124"/>
      <c r="I62" s="124"/>
      <c r="J62" s="124"/>
      <c r="K62" s="124"/>
      <c r="L62" s="124"/>
      <c r="M62" s="124"/>
      <c r="N62" s="124"/>
      <c r="O62" s="124"/>
      <c r="P62" s="124"/>
      <c r="Q62" s="124"/>
      <c r="R62" s="124"/>
      <c r="S62" s="124"/>
      <c r="T62" s="124"/>
      <c r="U62" s="124"/>
      <c r="V62" s="124"/>
      <c r="W62" s="124"/>
      <c r="Y62" s="52" t="e">
        <f>VLOOKUP(X62,'Reference Records'!$E$253:$F$420,2,0)</f>
        <v>#N/A</v>
      </c>
      <c r="Z62" s="52" t="e">
        <f>MATCH($Y62,'Reference Records'!$E$507:$E$509,0)+ROW(Population_by_intervention) -1</f>
        <v>#N/A</v>
      </c>
      <c r="AA62" s="52" t="e">
        <f>MATCH($Y62,'Reference Records'!$E$507:$E$509,1)+ROW(Population_by_intervention) -1</f>
        <v>#N/A</v>
      </c>
      <c r="AB62" s="52" t="str">
        <f t="shared" si="0"/>
        <v>|empty|</v>
      </c>
      <c r="AC62" s="52" t="str">
        <f>IF(AB62="","",IFERROR(VLOOKUP(AB62,'Overview - Section A'!AF$124:AG228,2,0),VLOOKUP("|empty|",'Overview - Section A'!AF$124:AG228,2,0)))</f>
        <v>INT-341506</v>
      </c>
      <c r="AD62" s="52">
        <f t="shared" si="1"/>
        <v>2753</v>
      </c>
      <c r="AE62" s="52">
        <f>AE61+'update Helper'!$T$2</f>
        <v>3184</v>
      </c>
      <c r="AF62" s="52" t="str">
        <f>IFERROR(IF(AB62="","",IFERROR(VLOOKUP(AB62,'Overview - Section A'!AF$124:AO228,10,0),VLOOKUP("|empty|",'Overview - Section A'!AF$124:AO228,10,0))),"")</f>
        <v/>
      </c>
    </row>
    <row r="63" spans="1:32" ht="30" customHeight="1" x14ac:dyDescent="0.25">
      <c r="A63" s="121">
        <v>55</v>
      </c>
      <c r="B63" s="122"/>
      <c r="C63" s="122"/>
      <c r="D63" s="122"/>
      <c r="E63" s="122"/>
      <c r="F63" s="123"/>
      <c r="G63" s="122"/>
      <c r="H63" s="122"/>
      <c r="I63" s="122"/>
      <c r="J63" s="122"/>
      <c r="K63" s="122"/>
      <c r="L63" s="122"/>
      <c r="M63" s="122"/>
      <c r="N63" s="122"/>
      <c r="O63" s="122"/>
      <c r="P63" s="122"/>
      <c r="Q63" s="122"/>
      <c r="R63" s="122"/>
      <c r="S63" s="122"/>
      <c r="T63" s="122"/>
      <c r="U63" s="122"/>
      <c r="V63" s="122"/>
      <c r="W63" s="122"/>
      <c r="Y63" s="52" t="e">
        <f>VLOOKUP(X63,'Reference Records'!$E$253:$F$420,2,0)</f>
        <v>#N/A</v>
      </c>
      <c r="Z63" s="52" t="e">
        <f>MATCH($Y63,'Reference Records'!$E$507:$E$509,0)+ROW(Population_by_intervention) -1</f>
        <v>#N/A</v>
      </c>
      <c r="AA63" s="52" t="e">
        <f>MATCH($Y63,'Reference Records'!$E$507:$E$509,1)+ROW(Population_by_intervention) -1</f>
        <v>#N/A</v>
      </c>
      <c r="AB63" s="52" t="str">
        <f t="shared" si="0"/>
        <v>|empty|</v>
      </c>
      <c r="AC63" s="52" t="str">
        <f>IF(AB63="","",IFERROR(VLOOKUP(AB63,'Overview - Section A'!AF$124:AG229,2,0),VLOOKUP("|empty|",'Overview - Section A'!AF$124:AG229,2,0)))</f>
        <v>INT-341506</v>
      </c>
      <c r="AD63" s="52">
        <f t="shared" si="1"/>
        <v>2754</v>
      </c>
      <c r="AE63" s="52">
        <f>AE62+'update Helper'!$T$2</f>
        <v>3190</v>
      </c>
      <c r="AF63" s="52" t="str">
        <f>IFERROR(IF(AB63="","",IFERROR(VLOOKUP(AB63,'Overview - Section A'!AF$124:AO229,10,0),VLOOKUP("|empty|",'Overview - Section A'!AF$124:AO229,10,0))),"")</f>
        <v/>
      </c>
    </row>
    <row r="64" spans="1:32" ht="30" customHeight="1" x14ac:dyDescent="0.25">
      <c r="A64" s="121">
        <v>56</v>
      </c>
      <c r="B64" s="124"/>
      <c r="C64" s="124"/>
      <c r="D64" s="124"/>
      <c r="E64" s="124"/>
      <c r="F64" s="125"/>
      <c r="G64" s="124"/>
      <c r="H64" s="124"/>
      <c r="I64" s="124"/>
      <c r="J64" s="124"/>
      <c r="K64" s="124"/>
      <c r="L64" s="124"/>
      <c r="M64" s="124"/>
      <c r="N64" s="124"/>
      <c r="O64" s="124"/>
      <c r="P64" s="124"/>
      <c r="Q64" s="124"/>
      <c r="R64" s="124"/>
      <c r="S64" s="124"/>
      <c r="T64" s="124"/>
      <c r="U64" s="124"/>
      <c r="V64" s="124"/>
      <c r="W64" s="124"/>
      <c r="Y64" s="52" t="e">
        <f>VLOOKUP(X64,'Reference Records'!$E$253:$F$420,2,0)</f>
        <v>#N/A</v>
      </c>
      <c r="Z64" s="52" t="e">
        <f>MATCH($Y64,'Reference Records'!$E$507:$E$509,0)+ROW(Population_by_intervention) -1</f>
        <v>#N/A</v>
      </c>
      <c r="AA64" s="52" t="e">
        <f>MATCH($Y64,'Reference Records'!$E$507:$E$509,1)+ROW(Population_by_intervention) -1</f>
        <v>#N/A</v>
      </c>
      <c r="AB64" s="52" t="str">
        <f t="shared" si="0"/>
        <v>|empty|</v>
      </c>
      <c r="AC64" s="52" t="str">
        <f>IF(AB64="","",IFERROR(VLOOKUP(AB64,'Overview - Section A'!AF$124:AG230,2,0),VLOOKUP("|empty|",'Overview - Section A'!AF$124:AG230,2,0)))</f>
        <v>INT-341506</v>
      </c>
      <c r="AD64" s="52">
        <f t="shared" si="1"/>
        <v>2755</v>
      </c>
      <c r="AE64" s="52">
        <f>AE63+'update Helper'!$T$2</f>
        <v>3196</v>
      </c>
      <c r="AF64" s="52" t="str">
        <f>IFERROR(IF(AB64="","",IFERROR(VLOOKUP(AB64,'Overview - Section A'!AF$124:AO230,10,0),VLOOKUP("|empty|",'Overview - Section A'!AF$124:AO230,10,0))),"")</f>
        <v/>
      </c>
    </row>
    <row r="65" spans="1:32" ht="30" customHeight="1" x14ac:dyDescent="0.25">
      <c r="A65" s="121">
        <v>57</v>
      </c>
      <c r="B65" s="122"/>
      <c r="C65" s="122"/>
      <c r="D65" s="122"/>
      <c r="E65" s="122"/>
      <c r="F65" s="123"/>
      <c r="G65" s="122"/>
      <c r="H65" s="122"/>
      <c r="I65" s="122"/>
      <c r="J65" s="122"/>
      <c r="K65" s="122"/>
      <c r="L65" s="122"/>
      <c r="M65" s="122"/>
      <c r="N65" s="122"/>
      <c r="O65" s="122"/>
      <c r="P65" s="122"/>
      <c r="Q65" s="122"/>
      <c r="R65" s="122"/>
      <c r="S65" s="122"/>
      <c r="T65" s="122"/>
      <c r="U65" s="122"/>
      <c r="V65" s="122"/>
      <c r="W65" s="122"/>
      <c r="Y65" s="52" t="e">
        <f>VLOOKUP(X65,'Reference Records'!$E$253:$F$420,2,0)</f>
        <v>#N/A</v>
      </c>
      <c r="Z65" s="52" t="e">
        <f>MATCH($Y65,'Reference Records'!$E$507:$E$509,0)+ROW(Population_by_intervention) -1</f>
        <v>#N/A</v>
      </c>
      <c r="AA65" s="52" t="e">
        <f>MATCH($Y65,'Reference Records'!$E$507:$E$509,1)+ROW(Population_by_intervention) -1</f>
        <v>#N/A</v>
      </c>
      <c r="AB65" s="52" t="str">
        <f t="shared" si="0"/>
        <v>|empty|</v>
      </c>
      <c r="AC65" s="52" t="str">
        <f>IF(AB65="","",IFERROR(VLOOKUP(AB65,'Overview - Section A'!AF$124:AG231,2,0),VLOOKUP("|empty|",'Overview - Section A'!AF$124:AG231,2,0)))</f>
        <v>INT-341506</v>
      </c>
      <c r="AD65" s="52">
        <f t="shared" si="1"/>
        <v>2756</v>
      </c>
      <c r="AE65" s="52">
        <f>AE64+'update Helper'!$T$2</f>
        <v>3202</v>
      </c>
      <c r="AF65" s="52" t="str">
        <f>IFERROR(IF(AB65="","",IFERROR(VLOOKUP(AB65,'Overview - Section A'!AF$124:AO231,10,0),VLOOKUP("|empty|",'Overview - Section A'!AF$124:AO231,10,0))),"")</f>
        <v/>
      </c>
    </row>
    <row r="66" spans="1:32" ht="30" customHeight="1" x14ac:dyDescent="0.25">
      <c r="A66" s="121">
        <v>58</v>
      </c>
      <c r="B66" s="124"/>
      <c r="C66" s="124"/>
      <c r="D66" s="124"/>
      <c r="E66" s="124"/>
      <c r="F66" s="125"/>
      <c r="G66" s="124"/>
      <c r="H66" s="124"/>
      <c r="I66" s="124"/>
      <c r="J66" s="124"/>
      <c r="K66" s="124"/>
      <c r="L66" s="124"/>
      <c r="M66" s="124"/>
      <c r="N66" s="124"/>
      <c r="O66" s="124"/>
      <c r="P66" s="124"/>
      <c r="Q66" s="124"/>
      <c r="R66" s="124"/>
      <c r="S66" s="124"/>
      <c r="T66" s="124"/>
      <c r="U66" s="124"/>
      <c r="V66" s="124"/>
      <c r="W66" s="124"/>
      <c r="Y66" s="52" t="e">
        <f>VLOOKUP(X66,'Reference Records'!$E$253:$F$420,2,0)</f>
        <v>#N/A</v>
      </c>
      <c r="Z66" s="52" t="e">
        <f>MATCH($Y66,'Reference Records'!$E$507:$E$509,0)+ROW(Population_by_intervention) -1</f>
        <v>#N/A</v>
      </c>
      <c r="AA66" s="52" t="e">
        <f>MATCH($Y66,'Reference Records'!$E$507:$E$509,1)+ROW(Population_by_intervention) -1</f>
        <v>#N/A</v>
      </c>
      <c r="AB66" s="52" t="str">
        <f t="shared" si="0"/>
        <v>|empty|</v>
      </c>
      <c r="AC66" s="52" t="str">
        <f>IF(AB66="","",IFERROR(VLOOKUP(AB66,'Overview - Section A'!AF$124:AG232,2,0),VLOOKUP("|empty|",'Overview - Section A'!AF$124:AG232,2,0)))</f>
        <v>INT-341506</v>
      </c>
      <c r="AD66" s="52">
        <f t="shared" si="1"/>
        <v>2757</v>
      </c>
      <c r="AE66" s="52">
        <f>AE65+'update Helper'!$T$2</f>
        <v>3208</v>
      </c>
      <c r="AF66" s="52" t="str">
        <f>IFERROR(IF(AB66="","",IFERROR(VLOOKUP(AB66,'Overview - Section A'!AF$124:AO232,10,0),VLOOKUP("|empty|",'Overview - Section A'!AF$124:AO232,10,0))),"")</f>
        <v/>
      </c>
    </row>
    <row r="67" spans="1:32" ht="30" customHeight="1" x14ac:dyDescent="0.25">
      <c r="A67" s="121">
        <v>59</v>
      </c>
      <c r="B67" s="122"/>
      <c r="C67" s="122"/>
      <c r="D67" s="122"/>
      <c r="E67" s="122"/>
      <c r="F67" s="123"/>
      <c r="G67" s="122"/>
      <c r="H67" s="122"/>
      <c r="I67" s="122"/>
      <c r="J67" s="122"/>
      <c r="K67" s="122"/>
      <c r="L67" s="122"/>
      <c r="M67" s="122"/>
      <c r="N67" s="122"/>
      <c r="O67" s="122"/>
      <c r="P67" s="122"/>
      <c r="Q67" s="122"/>
      <c r="R67" s="122"/>
      <c r="S67" s="122"/>
      <c r="T67" s="122"/>
      <c r="U67" s="122"/>
      <c r="V67" s="122"/>
      <c r="W67" s="122"/>
      <c r="Y67" s="52" t="e">
        <f>VLOOKUP(X67,'Reference Records'!$E$253:$F$420,2,0)</f>
        <v>#N/A</v>
      </c>
      <c r="Z67" s="52" t="e">
        <f>MATCH($Y67,'Reference Records'!$E$507:$E$509,0)+ROW(Population_by_intervention) -1</f>
        <v>#N/A</v>
      </c>
      <c r="AA67" s="52" t="e">
        <f>MATCH($Y67,'Reference Records'!$E$507:$E$509,1)+ROW(Population_by_intervention) -1</f>
        <v>#N/A</v>
      </c>
      <c r="AB67" s="52" t="str">
        <f t="shared" si="0"/>
        <v>|empty|</v>
      </c>
      <c r="AC67" s="52" t="str">
        <f>IF(AB67="","",IFERROR(VLOOKUP(AB67,'Overview - Section A'!AF$124:AG233,2,0),VLOOKUP("|empty|",'Overview - Section A'!AF$124:AG233,2,0)))</f>
        <v>INT-341506</v>
      </c>
      <c r="AD67" s="52">
        <f t="shared" si="1"/>
        <v>2758</v>
      </c>
      <c r="AE67" s="52">
        <f>AE66+'update Helper'!$T$2</f>
        <v>3214</v>
      </c>
      <c r="AF67" s="52" t="str">
        <f>IFERROR(IF(AB67="","",IFERROR(VLOOKUP(AB67,'Overview - Section A'!AF$124:AO233,10,0),VLOOKUP("|empty|",'Overview - Section A'!AF$124:AO233,10,0))),"")</f>
        <v/>
      </c>
    </row>
    <row r="68" spans="1:32" ht="30" customHeight="1" x14ac:dyDescent="0.25">
      <c r="A68" s="121">
        <v>60</v>
      </c>
      <c r="B68" s="124"/>
      <c r="C68" s="124"/>
      <c r="D68" s="124"/>
      <c r="E68" s="124"/>
      <c r="F68" s="125"/>
      <c r="G68" s="124"/>
      <c r="H68" s="124"/>
      <c r="I68" s="124"/>
      <c r="J68" s="124"/>
      <c r="K68" s="124"/>
      <c r="L68" s="124"/>
      <c r="M68" s="124"/>
      <c r="N68" s="124"/>
      <c r="O68" s="124"/>
      <c r="P68" s="124"/>
      <c r="Q68" s="124"/>
      <c r="R68" s="124"/>
      <c r="S68" s="124"/>
      <c r="T68" s="124"/>
      <c r="U68" s="124"/>
      <c r="V68" s="124"/>
      <c r="W68" s="124"/>
      <c r="Y68" s="52" t="e">
        <f>VLOOKUP(X68,'Reference Records'!$E$253:$F$420,2,0)</f>
        <v>#N/A</v>
      </c>
      <c r="Z68" s="52" t="e">
        <f>MATCH($Y68,'Reference Records'!$E$507:$E$509,0)+ROW(Population_by_intervention) -1</f>
        <v>#N/A</v>
      </c>
      <c r="AA68" s="52" t="e">
        <f>MATCH($Y68,'Reference Records'!$E$507:$E$509,1)+ROW(Population_by_intervention) -1</f>
        <v>#N/A</v>
      </c>
      <c r="AB68" s="52" t="str">
        <f t="shared" si="0"/>
        <v>|empty|</v>
      </c>
      <c r="AC68" s="52" t="str">
        <f>IF(AB68="","",IFERROR(VLOOKUP(AB68,'Overview - Section A'!AF$124:AG234,2,0),VLOOKUP("|empty|",'Overview - Section A'!AF$124:AG234,2,0)))</f>
        <v>INT-341506</v>
      </c>
      <c r="AD68" s="52">
        <f t="shared" si="1"/>
        <v>2759</v>
      </c>
      <c r="AE68" s="52">
        <f>AE67+'update Helper'!$T$2</f>
        <v>3220</v>
      </c>
      <c r="AF68" s="52" t="str">
        <f>IFERROR(IF(AB68="","",IFERROR(VLOOKUP(AB68,'Overview - Section A'!AF$124:AO234,10,0),VLOOKUP("|empty|",'Overview - Section A'!AF$124:AO234,10,0))),"")</f>
        <v/>
      </c>
    </row>
    <row r="69" spans="1:32" ht="30" customHeight="1" x14ac:dyDescent="0.25">
      <c r="A69" s="121">
        <v>61</v>
      </c>
      <c r="B69" s="122"/>
      <c r="C69" s="122"/>
      <c r="D69" s="122"/>
      <c r="E69" s="122"/>
      <c r="F69" s="123"/>
      <c r="G69" s="122"/>
      <c r="H69" s="122"/>
      <c r="I69" s="122"/>
      <c r="J69" s="122"/>
      <c r="K69" s="122"/>
      <c r="L69" s="122"/>
      <c r="M69" s="122"/>
      <c r="N69" s="122"/>
      <c r="O69" s="122"/>
      <c r="P69" s="122"/>
      <c r="Q69" s="122"/>
      <c r="R69" s="122"/>
      <c r="S69" s="122"/>
      <c r="T69" s="122"/>
      <c r="U69" s="122"/>
      <c r="V69" s="122"/>
      <c r="W69" s="122"/>
      <c r="Y69" s="52" t="e">
        <f>VLOOKUP(X69,'Reference Records'!$E$253:$F$420,2,0)</f>
        <v>#N/A</v>
      </c>
      <c r="Z69" s="52" t="e">
        <f>MATCH($Y69,'Reference Records'!$E$507:$E$509,0)+ROW(Population_by_intervention) -1</f>
        <v>#N/A</v>
      </c>
      <c r="AA69" s="52" t="e">
        <f>MATCH($Y69,'Reference Records'!$E$507:$E$509,1)+ROW(Population_by_intervention) -1</f>
        <v>#N/A</v>
      </c>
      <c r="AB69" s="52" t="str">
        <f t="shared" si="0"/>
        <v>|empty|</v>
      </c>
      <c r="AC69" s="52" t="str">
        <f>IF(AB69="","",IFERROR(VLOOKUP(AB69,'Overview - Section A'!AF$124:AG235,2,0),VLOOKUP("|empty|",'Overview - Section A'!AF$124:AG235,2,0)))</f>
        <v>INT-341506</v>
      </c>
      <c r="AD69" s="52">
        <f t="shared" si="1"/>
        <v>2760</v>
      </c>
      <c r="AE69" s="52">
        <f>AE68+'update Helper'!$T$2</f>
        <v>3226</v>
      </c>
      <c r="AF69" s="52" t="str">
        <f>IFERROR(IF(AB69="","",IFERROR(VLOOKUP(AB69,'Overview - Section A'!AF$124:AO235,10,0),VLOOKUP("|empty|",'Overview - Section A'!AF$124:AO235,10,0))),"")</f>
        <v/>
      </c>
    </row>
    <row r="70" spans="1:32" ht="30" customHeight="1" x14ac:dyDescent="0.25">
      <c r="A70" s="121">
        <v>62</v>
      </c>
      <c r="B70" s="124"/>
      <c r="C70" s="124"/>
      <c r="D70" s="124"/>
      <c r="E70" s="124"/>
      <c r="F70" s="125"/>
      <c r="G70" s="124"/>
      <c r="H70" s="124"/>
      <c r="I70" s="124"/>
      <c r="J70" s="124"/>
      <c r="K70" s="124"/>
      <c r="L70" s="124"/>
      <c r="M70" s="124"/>
      <c r="N70" s="124"/>
      <c r="O70" s="124"/>
      <c r="P70" s="124"/>
      <c r="Q70" s="124"/>
      <c r="R70" s="124"/>
      <c r="S70" s="124"/>
      <c r="T70" s="124"/>
      <c r="U70" s="124"/>
      <c r="V70" s="124"/>
      <c r="W70" s="124"/>
      <c r="Y70" s="52" t="e">
        <f>VLOOKUP(X70,'Reference Records'!$E$253:$F$420,2,0)</f>
        <v>#N/A</v>
      </c>
      <c r="Z70" s="52" t="e">
        <f>MATCH($Y70,'Reference Records'!$E$507:$E$509,0)+ROW(Population_by_intervention) -1</f>
        <v>#N/A</v>
      </c>
      <c r="AA70" s="52" t="e">
        <f>MATCH($Y70,'Reference Records'!$E$507:$E$509,1)+ROW(Population_by_intervention) -1</f>
        <v>#N/A</v>
      </c>
      <c r="AB70" s="52" t="str">
        <f t="shared" si="0"/>
        <v>|empty|</v>
      </c>
      <c r="AC70" s="52" t="str">
        <f>IF(AB70="","",IFERROR(VLOOKUP(AB70,'Overview - Section A'!AF$124:AG236,2,0),VLOOKUP("|empty|",'Overview - Section A'!AF$124:AG236,2,0)))</f>
        <v>INT-341506</v>
      </c>
      <c r="AD70" s="52">
        <f t="shared" si="1"/>
        <v>2761</v>
      </c>
      <c r="AE70" s="52">
        <f>AE69+'update Helper'!$T$2</f>
        <v>3232</v>
      </c>
      <c r="AF70" s="52" t="str">
        <f>IFERROR(IF(AB70="","",IFERROR(VLOOKUP(AB70,'Overview - Section A'!AF$124:AO236,10,0),VLOOKUP("|empty|",'Overview - Section A'!AF$124:AO236,10,0))),"")</f>
        <v/>
      </c>
    </row>
    <row r="71" spans="1:32" ht="30" customHeight="1" x14ac:dyDescent="0.25">
      <c r="A71" s="121">
        <v>63</v>
      </c>
      <c r="B71" s="122"/>
      <c r="C71" s="122"/>
      <c r="D71" s="122"/>
      <c r="E71" s="122"/>
      <c r="F71" s="123"/>
      <c r="G71" s="122"/>
      <c r="H71" s="122"/>
      <c r="I71" s="122"/>
      <c r="J71" s="122"/>
      <c r="K71" s="122"/>
      <c r="L71" s="122"/>
      <c r="M71" s="122"/>
      <c r="N71" s="122"/>
      <c r="O71" s="122"/>
      <c r="P71" s="122"/>
      <c r="Q71" s="122"/>
      <c r="R71" s="122"/>
      <c r="S71" s="122"/>
      <c r="T71" s="122"/>
      <c r="U71" s="122"/>
      <c r="V71" s="122"/>
      <c r="W71" s="122"/>
      <c r="Y71" s="52" t="e">
        <f>VLOOKUP(X71,'Reference Records'!$E$253:$F$420,2,0)</f>
        <v>#N/A</v>
      </c>
      <c r="Z71" s="52" t="e">
        <f>MATCH($Y71,'Reference Records'!$E$507:$E$509,0)+ROW(Population_by_intervention) -1</f>
        <v>#N/A</v>
      </c>
      <c r="AA71" s="52" t="e">
        <f>MATCH($Y71,'Reference Records'!$E$507:$E$509,1)+ROW(Population_by_intervention) -1</f>
        <v>#N/A</v>
      </c>
      <c r="AB71" s="52" t="str">
        <f t="shared" si="0"/>
        <v>|empty|</v>
      </c>
      <c r="AC71" s="52" t="str">
        <f>IF(AB71="","",IFERROR(VLOOKUP(AB71,'Overview - Section A'!AF$124:AG237,2,0),VLOOKUP("|empty|",'Overview - Section A'!AF$124:AG237,2,0)))</f>
        <v>INT-341506</v>
      </c>
      <c r="AD71" s="52">
        <f t="shared" si="1"/>
        <v>2762</v>
      </c>
      <c r="AE71" s="52">
        <f>AE70+'update Helper'!$T$2</f>
        <v>3238</v>
      </c>
      <c r="AF71" s="52" t="str">
        <f>IFERROR(IF(AB71="","",IFERROR(VLOOKUP(AB71,'Overview - Section A'!AF$124:AO237,10,0),VLOOKUP("|empty|",'Overview - Section A'!AF$124:AO237,10,0))),"")</f>
        <v/>
      </c>
    </row>
    <row r="72" spans="1:32" ht="30" customHeight="1" x14ac:dyDescent="0.25">
      <c r="A72" s="121">
        <v>64</v>
      </c>
      <c r="B72" s="124"/>
      <c r="C72" s="124"/>
      <c r="D72" s="124"/>
      <c r="E72" s="124"/>
      <c r="F72" s="125"/>
      <c r="G72" s="124"/>
      <c r="H72" s="124"/>
      <c r="I72" s="124"/>
      <c r="J72" s="124"/>
      <c r="K72" s="124"/>
      <c r="L72" s="124"/>
      <c r="M72" s="124"/>
      <c r="N72" s="124"/>
      <c r="O72" s="124"/>
      <c r="P72" s="124"/>
      <c r="Q72" s="124"/>
      <c r="R72" s="124"/>
      <c r="S72" s="124"/>
      <c r="T72" s="124"/>
      <c r="U72" s="124"/>
      <c r="V72" s="124"/>
      <c r="W72" s="124"/>
      <c r="Y72" s="52" t="e">
        <f>VLOOKUP(X72,'Reference Records'!$E$253:$F$420,2,0)</f>
        <v>#N/A</v>
      </c>
      <c r="Z72" s="52" t="e">
        <f>MATCH($Y72,'Reference Records'!$E$507:$E$509,0)+ROW(Population_by_intervention) -1</f>
        <v>#N/A</v>
      </c>
      <c r="AA72" s="52" t="e">
        <f>MATCH($Y72,'Reference Records'!$E$507:$E$509,1)+ROW(Population_by_intervention) -1</f>
        <v>#N/A</v>
      </c>
      <c r="AB72" s="52" t="str">
        <f t="shared" si="0"/>
        <v>|empty|</v>
      </c>
      <c r="AC72" s="52" t="str">
        <f>IF(AB72="","",IFERROR(VLOOKUP(AB72,'Overview - Section A'!AF$124:AG238,2,0),VLOOKUP("|empty|",'Overview - Section A'!AF$124:AG238,2,0)))</f>
        <v>INT-341506</v>
      </c>
      <c r="AD72" s="52">
        <f t="shared" si="1"/>
        <v>2763</v>
      </c>
      <c r="AE72" s="52">
        <f>AE71+'update Helper'!$T$2</f>
        <v>3244</v>
      </c>
      <c r="AF72" s="52" t="str">
        <f>IFERROR(IF(AB72="","",IFERROR(VLOOKUP(AB72,'Overview - Section A'!AF$124:AO238,10,0),VLOOKUP("|empty|",'Overview - Section A'!AF$124:AO238,10,0))),"")</f>
        <v/>
      </c>
    </row>
    <row r="73" spans="1:32" ht="30" customHeight="1" x14ac:dyDescent="0.25">
      <c r="A73" s="121">
        <v>65</v>
      </c>
      <c r="B73" s="122"/>
      <c r="C73" s="122"/>
      <c r="D73" s="122"/>
      <c r="E73" s="122"/>
      <c r="F73" s="123"/>
      <c r="G73" s="122"/>
      <c r="H73" s="122"/>
      <c r="I73" s="122"/>
      <c r="J73" s="122"/>
      <c r="K73" s="122"/>
      <c r="L73" s="122"/>
      <c r="M73" s="122"/>
      <c r="N73" s="122"/>
      <c r="O73" s="122"/>
      <c r="P73" s="122"/>
      <c r="Q73" s="122"/>
      <c r="R73" s="122"/>
      <c r="S73" s="122"/>
      <c r="T73" s="122"/>
      <c r="U73" s="122"/>
      <c r="V73" s="122"/>
      <c r="W73" s="122"/>
      <c r="Y73" s="52" t="e">
        <f>VLOOKUP(X73,'Reference Records'!$E$253:$F$420,2,0)</f>
        <v>#N/A</v>
      </c>
      <c r="Z73" s="52" t="e">
        <f>MATCH($Y73,'Reference Records'!$E$507:$E$509,0)+ROW(Population_by_intervention) -1</f>
        <v>#N/A</v>
      </c>
      <c r="AA73" s="52" t="e">
        <f>MATCH($Y73,'Reference Records'!$E$507:$E$509,1)+ROW(Population_by_intervention) -1</f>
        <v>#N/A</v>
      </c>
      <c r="AB73" s="52" t="str">
        <f t="shared" si="0"/>
        <v>|empty|</v>
      </c>
      <c r="AC73" s="52" t="str">
        <f>IF(AB73="","",IFERROR(VLOOKUP(AB73,'Overview - Section A'!AF$124:AG239,2,0),VLOOKUP("|empty|",'Overview - Section A'!AF$124:AG239,2,0)))</f>
        <v>INT-341506</v>
      </c>
      <c r="AD73" s="52">
        <f t="shared" si="1"/>
        <v>2764</v>
      </c>
      <c r="AE73" s="52">
        <f>AE72+'update Helper'!$T$2</f>
        <v>3250</v>
      </c>
      <c r="AF73" s="52" t="str">
        <f>IFERROR(IF(AB73="","",IFERROR(VLOOKUP(AB73,'Overview - Section A'!AF$124:AO239,10,0),VLOOKUP("|empty|",'Overview - Section A'!AF$124:AO239,10,0))),"")</f>
        <v/>
      </c>
    </row>
    <row r="74" spans="1:32" ht="30" customHeight="1" x14ac:dyDescent="0.25">
      <c r="A74" s="121">
        <v>66</v>
      </c>
      <c r="B74" s="124"/>
      <c r="C74" s="124"/>
      <c r="D74" s="124"/>
      <c r="E74" s="124"/>
      <c r="F74" s="125"/>
      <c r="G74" s="124"/>
      <c r="H74" s="124"/>
      <c r="I74" s="124"/>
      <c r="J74" s="124"/>
      <c r="K74" s="124"/>
      <c r="L74" s="124"/>
      <c r="M74" s="124"/>
      <c r="N74" s="124"/>
      <c r="O74" s="124"/>
      <c r="P74" s="124"/>
      <c r="Q74" s="124"/>
      <c r="R74" s="124"/>
      <c r="S74" s="124"/>
      <c r="T74" s="124"/>
      <c r="U74" s="124"/>
      <c r="V74" s="124"/>
      <c r="W74" s="124"/>
      <c r="Y74" s="52" t="e">
        <f>VLOOKUP(X74,'Reference Records'!$E$253:$F$420,2,0)</f>
        <v>#N/A</v>
      </c>
      <c r="Z74" s="52" t="e">
        <f>MATCH($Y74,'Reference Records'!$E$507:$E$509,0)+ROW(Population_by_intervention) -1</f>
        <v>#N/A</v>
      </c>
      <c r="AA74" s="52" t="e">
        <f>MATCH($Y74,'Reference Records'!$E$507:$E$509,1)+ROW(Population_by_intervention) -1</f>
        <v>#N/A</v>
      </c>
      <c r="AB74" s="52" t="str">
        <f t="shared" ref="AB74:AB88" si="2">IF(B74="","|empty|",B74&amp;C74)</f>
        <v>|empty|</v>
      </c>
      <c r="AC74" s="52" t="str">
        <f>IF(AB74="","",IFERROR(VLOOKUP(AB74,'Overview - Section A'!AF$124:AG240,2,0),VLOOKUP("|empty|",'Overview - Section A'!AF$124:AG240,2,0)))</f>
        <v>INT-341506</v>
      </c>
      <c r="AD74" s="52">
        <f t="shared" si="1"/>
        <v>2765</v>
      </c>
      <c r="AE74" s="52">
        <f>AE73+'update Helper'!$T$2</f>
        <v>3256</v>
      </c>
      <c r="AF74" s="52" t="str">
        <f>IFERROR(IF(AB74="","",IFERROR(VLOOKUP(AB74,'Overview - Section A'!AF$124:AO240,10,0),VLOOKUP("|empty|",'Overview - Section A'!AF$124:AO240,10,0))),"")</f>
        <v/>
      </c>
    </row>
    <row r="75" spans="1:32" ht="30" customHeight="1" x14ac:dyDescent="0.25">
      <c r="A75" s="121">
        <v>67</v>
      </c>
      <c r="B75" s="122"/>
      <c r="C75" s="122"/>
      <c r="D75" s="122"/>
      <c r="E75" s="122"/>
      <c r="F75" s="123"/>
      <c r="G75" s="122"/>
      <c r="H75" s="122"/>
      <c r="I75" s="122"/>
      <c r="J75" s="122"/>
      <c r="K75" s="122"/>
      <c r="L75" s="122"/>
      <c r="M75" s="122"/>
      <c r="N75" s="122"/>
      <c r="O75" s="122"/>
      <c r="P75" s="122"/>
      <c r="Q75" s="122"/>
      <c r="R75" s="122"/>
      <c r="S75" s="122"/>
      <c r="T75" s="122"/>
      <c r="U75" s="122"/>
      <c r="V75" s="122"/>
      <c r="W75" s="122"/>
      <c r="Y75" s="52" t="e">
        <f>VLOOKUP(X75,'Reference Records'!$E$253:$F$420,2,0)</f>
        <v>#N/A</v>
      </c>
      <c r="Z75" s="52" t="e">
        <f>MATCH($Y75,'Reference Records'!$E$507:$E$509,0)+ROW(Population_by_intervention) -1</f>
        <v>#N/A</v>
      </c>
      <c r="AA75" s="52" t="e">
        <f>MATCH($Y75,'Reference Records'!$E$507:$E$509,1)+ROW(Population_by_intervention) -1</f>
        <v>#N/A</v>
      </c>
      <c r="AB75" s="52" t="str">
        <f t="shared" si="2"/>
        <v>|empty|</v>
      </c>
      <c r="AC75" s="52" t="str">
        <f>IF(AB75="","",IFERROR(VLOOKUP(AB75,'Overview - Section A'!AF$124:AG241,2,0),VLOOKUP("|empty|",'Overview - Section A'!AF$124:AG241,2,0)))</f>
        <v>INT-341506</v>
      </c>
      <c r="AD75" s="52">
        <f t="shared" ref="AD75:AD88" si="3">AD74+1</f>
        <v>2766</v>
      </c>
      <c r="AE75" s="52">
        <f>AE74+'update Helper'!$T$2</f>
        <v>3262</v>
      </c>
      <c r="AF75" s="52" t="str">
        <f>IFERROR(IF(AB75="","",IFERROR(VLOOKUP(AB75,'Overview - Section A'!AF$124:AO241,10,0),VLOOKUP("|empty|",'Overview - Section A'!AF$124:AO241,10,0))),"")</f>
        <v/>
      </c>
    </row>
    <row r="76" spans="1:32" ht="30" customHeight="1" x14ac:dyDescent="0.25">
      <c r="A76" s="121">
        <v>68</v>
      </c>
      <c r="B76" s="124"/>
      <c r="C76" s="124"/>
      <c r="D76" s="124"/>
      <c r="E76" s="124"/>
      <c r="F76" s="125"/>
      <c r="G76" s="124"/>
      <c r="H76" s="124"/>
      <c r="I76" s="124"/>
      <c r="J76" s="124"/>
      <c r="K76" s="124"/>
      <c r="L76" s="124"/>
      <c r="M76" s="124"/>
      <c r="N76" s="124"/>
      <c r="O76" s="124"/>
      <c r="P76" s="124"/>
      <c r="Q76" s="124"/>
      <c r="R76" s="124"/>
      <c r="S76" s="124"/>
      <c r="T76" s="124"/>
      <c r="U76" s="124"/>
      <c r="V76" s="124"/>
      <c r="W76" s="124"/>
      <c r="Y76" s="52" t="e">
        <f>VLOOKUP(X76,'Reference Records'!$E$253:$F$420,2,0)</f>
        <v>#N/A</v>
      </c>
      <c r="Z76" s="52" t="e">
        <f>MATCH($Y76,'Reference Records'!$E$507:$E$509,0)+ROW(Population_by_intervention) -1</f>
        <v>#N/A</v>
      </c>
      <c r="AA76" s="52" t="e">
        <f>MATCH($Y76,'Reference Records'!$E$507:$E$509,1)+ROW(Population_by_intervention) -1</f>
        <v>#N/A</v>
      </c>
      <c r="AB76" s="52" t="str">
        <f t="shared" si="2"/>
        <v>|empty|</v>
      </c>
      <c r="AC76" s="52" t="str">
        <f>IF(AB76="","",IFERROR(VLOOKUP(AB76,'Overview - Section A'!AF$124:AG242,2,0),VLOOKUP("|empty|",'Overview - Section A'!AF$124:AG242,2,0)))</f>
        <v>INT-341506</v>
      </c>
      <c r="AD76" s="52">
        <f t="shared" si="3"/>
        <v>2767</v>
      </c>
      <c r="AE76" s="52">
        <f>AE75+'update Helper'!$T$2</f>
        <v>3268</v>
      </c>
      <c r="AF76" s="52" t="str">
        <f>IFERROR(IF(AB76="","",IFERROR(VLOOKUP(AB76,'Overview - Section A'!AF$124:AO242,10,0),VLOOKUP("|empty|",'Overview - Section A'!AF$124:AO242,10,0))),"")</f>
        <v/>
      </c>
    </row>
    <row r="77" spans="1:32" ht="30" customHeight="1" x14ac:dyDescent="0.25">
      <c r="A77" s="121">
        <v>69</v>
      </c>
      <c r="B77" s="122"/>
      <c r="C77" s="122"/>
      <c r="D77" s="122"/>
      <c r="E77" s="122"/>
      <c r="F77" s="123"/>
      <c r="G77" s="122"/>
      <c r="H77" s="122"/>
      <c r="I77" s="122"/>
      <c r="J77" s="122"/>
      <c r="K77" s="122"/>
      <c r="L77" s="122"/>
      <c r="M77" s="122"/>
      <c r="N77" s="122"/>
      <c r="O77" s="122"/>
      <c r="P77" s="122"/>
      <c r="Q77" s="122"/>
      <c r="R77" s="122"/>
      <c r="S77" s="122"/>
      <c r="T77" s="122"/>
      <c r="U77" s="122"/>
      <c r="V77" s="122"/>
      <c r="W77" s="122"/>
      <c r="Y77" s="52" t="e">
        <f>VLOOKUP(X77,'Reference Records'!$E$253:$F$420,2,0)</f>
        <v>#N/A</v>
      </c>
      <c r="Z77" s="52" t="e">
        <f>MATCH($Y77,'Reference Records'!$E$507:$E$509,0)+ROW(Population_by_intervention) -1</f>
        <v>#N/A</v>
      </c>
      <c r="AA77" s="52" t="e">
        <f>MATCH($Y77,'Reference Records'!$E$507:$E$509,1)+ROW(Population_by_intervention) -1</f>
        <v>#N/A</v>
      </c>
      <c r="AB77" s="52" t="str">
        <f t="shared" si="2"/>
        <v>|empty|</v>
      </c>
      <c r="AC77" s="52" t="str">
        <f>IF(AB77="","",IFERROR(VLOOKUP(AB77,'Overview - Section A'!AF$124:AG243,2,0),VLOOKUP("|empty|",'Overview - Section A'!AF$124:AG243,2,0)))</f>
        <v>INT-341506</v>
      </c>
      <c r="AD77" s="52">
        <f t="shared" si="3"/>
        <v>2768</v>
      </c>
      <c r="AE77" s="52">
        <f>AE76+'update Helper'!$T$2</f>
        <v>3274</v>
      </c>
      <c r="AF77" s="52" t="str">
        <f>IFERROR(IF(AB77="","",IFERROR(VLOOKUP(AB77,'Overview - Section A'!AF$124:AO243,10,0),VLOOKUP("|empty|",'Overview - Section A'!AF$124:AO243,10,0))),"")</f>
        <v/>
      </c>
    </row>
    <row r="78" spans="1:32" ht="30" customHeight="1" x14ac:dyDescent="0.25">
      <c r="A78" s="121">
        <v>70</v>
      </c>
      <c r="B78" s="124"/>
      <c r="C78" s="124"/>
      <c r="D78" s="124"/>
      <c r="E78" s="124"/>
      <c r="F78" s="125"/>
      <c r="G78" s="124"/>
      <c r="H78" s="124"/>
      <c r="I78" s="124"/>
      <c r="J78" s="124"/>
      <c r="K78" s="124"/>
      <c r="L78" s="124"/>
      <c r="M78" s="124"/>
      <c r="N78" s="124"/>
      <c r="O78" s="124"/>
      <c r="P78" s="124"/>
      <c r="Q78" s="124"/>
      <c r="R78" s="124"/>
      <c r="S78" s="124"/>
      <c r="T78" s="124"/>
      <c r="U78" s="124"/>
      <c r="V78" s="124"/>
      <c r="W78" s="124"/>
      <c r="Y78" s="52" t="e">
        <f>VLOOKUP(X78,'Reference Records'!$E$253:$F$420,2,0)</f>
        <v>#N/A</v>
      </c>
      <c r="Z78" s="52" t="e">
        <f>MATCH($Y78,'Reference Records'!$E$507:$E$509,0)+ROW(Population_by_intervention) -1</f>
        <v>#N/A</v>
      </c>
      <c r="AA78" s="52" t="e">
        <f>MATCH($Y78,'Reference Records'!$E$507:$E$509,1)+ROW(Population_by_intervention) -1</f>
        <v>#N/A</v>
      </c>
      <c r="AB78" s="52" t="str">
        <f t="shared" si="2"/>
        <v>|empty|</v>
      </c>
      <c r="AC78" s="52" t="str">
        <f>IF(AB78="","",IFERROR(VLOOKUP(AB78,'Overview - Section A'!AF$124:AG244,2,0),VLOOKUP("|empty|",'Overview - Section A'!AF$124:AG244,2,0)))</f>
        <v>INT-341506</v>
      </c>
      <c r="AD78" s="52">
        <f t="shared" si="3"/>
        <v>2769</v>
      </c>
      <c r="AE78" s="52">
        <f>AE77+'update Helper'!$T$2</f>
        <v>3280</v>
      </c>
      <c r="AF78" s="52" t="str">
        <f>IFERROR(IF(AB78="","",IFERROR(VLOOKUP(AB78,'Overview - Section A'!AF$124:AO244,10,0),VLOOKUP("|empty|",'Overview - Section A'!AF$124:AO244,10,0))),"")</f>
        <v/>
      </c>
    </row>
    <row r="79" spans="1:32" ht="30" customHeight="1" x14ac:dyDescent="0.25">
      <c r="A79" s="121">
        <v>71</v>
      </c>
      <c r="B79" s="122"/>
      <c r="C79" s="122"/>
      <c r="D79" s="122"/>
      <c r="E79" s="122"/>
      <c r="F79" s="123"/>
      <c r="G79" s="122"/>
      <c r="H79" s="122"/>
      <c r="I79" s="122"/>
      <c r="J79" s="122"/>
      <c r="K79" s="122"/>
      <c r="L79" s="122"/>
      <c r="M79" s="122"/>
      <c r="N79" s="122"/>
      <c r="O79" s="122"/>
      <c r="P79" s="122"/>
      <c r="Q79" s="122"/>
      <c r="R79" s="122"/>
      <c r="S79" s="122"/>
      <c r="T79" s="122"/>
      <c r="U79" s="122"/>
      <c r="V79" s="122"/>
      <c r="W79" s="122"/>
      <c r="Y79" s="52" t="e">
        <f>VLOOKUP(X79,'Reference Records'!$E$253:$F$420,2,0)</f>
        <v>#N/A</v>
      </c>
      <c r="Z79" s="52" t="e">
        <f>MATCH($Y79,'Reference Records'!$E$507:$E$509,0)+ROW(Population_by_intervention) -1</f>
        <v>#N/A</v>
      </c>
      <c r="AA79" s="52" t="e">
        <f>MATCH($Y79,'Reference Records'!$E$507:$E$509,1)+ROW(Population_by_intervention) -1</f>
        <v>#N/A</v>
      </c>
      <c r="AB79" s="52" t="str">
        <f t="shared" si="2"/>
        <v>|empty|</v>
      </c>
      <c r="AC79" s="52" t="str">
        <f>IF(AB79="","",IFERROR(VLOOKUP(AB79,'Overview - Section A'!AF$124:AG245,2,0),VLOOKUP("|empty|",'Overview - Section A'!AF$124:AG245,2,0)))</f>
        <v>INT-341506</v>
      </c>
      <c r="AD79" s="52">
        <f t="shared" si="3"/>
        <v>2770</v>
      </c>
      <c r="AE79" s="52">
        <f>AE78+'update Helper'!$T$2</f>
        <v>3286</v>
      </c>
      <c r="AF79" s="52" t="str">
        <f>IFERROR(IF(AB79="","",IFERROR(VLOOKUP(AB79,'Overview - Section A'!AF$124:AO245,10,0),VLOOKUP("|empty|",'Overview - Section A'!AF$124:AO245,10,0))),"")</f>
        <v/>
      </c>
    </row>
    <row r="80" spans="1:32" ht="30" customHeight="1" x14ac:dyDescent="0.25">
      <c r="A80" s="121">
        <v>72</v>
      </c>
      <c r="B80" s="124"/>
      <c r="C80" s="124"/>
      <c r="D80" s="124"/>
      <c r="E80" s="124"/>
      <c r="F80" s="125"/>
      <c r="G80" s="124"/>
      <c r="H80" s="124"/>
      <c r="I80" s="124"/>
      <c r="J80" s="124"/>
      <c r="K80" s="124"/>
      <c r="L80" s="124"/>
      <c r="M80" s="124"/>
      <c r="N80" s="124"/>
      <c r="O80" s="124"/>
      <c r="P80" s="124"/>
      <c r="Q80" s="124"/>
      <c r="R80" s="124"/>
      <c r="S80" s="124"/>
      <c r="T80" s="124"/>
      <c r="U80" s="124"/>
      <c r="V80" s="124"/>
      <c r="W80" s="124"/>
      <c r="Y80" s="52" t="e">
        <f>VLOOKUP(X80,'Reference Records'!$E$253:$F$420,2,0)</f>
        <v>#N/A</v>
      </c>
      <c r="Z80" s="52" t="e">
        <f>MATCH($Y80,'Reference Records'!$E$507:$E$509,0)+ROW(Population_by_intervention) -1</f>
        <v>#N/A</v>
      </c>
      <c r="AA80" s="52" t="e">
        <f>MATCH($Y80,'Reference Records'!$E$507:$E$509,1)+ROW(Population_by_intervention) -1</f>
        <v>#N/A</v>
      </c>
      <c r="AB80" s="52" t="str">
        <f t="shared" si="2"/>
        <v>|empty|</v>
      </c>
      <c r="AC80" s="52" t="str">
        <f>IF(AB80="","",IFERROR(VLOOKUP(AB80,'Overview - Section A'!AF$124:AG246,2,0),VLOOKUP("|empty|",'Overview - Section A'!AF$124:AG246,2,0)))</f>
        <v>INT-341506</v>
      </c>
      <c r="AD80" s="52">
        <f t="shared" si="3"/>
        <v>2771</v>
      </c>
      <c r="AE80" s="52">
        <f>AE79+'update Helper'!$T$2</f>
        <v>3292</v>
      </c>
      <c r="AF80" s="52" t="str">
        <f>IFERROR(IF(AB80="","",IFERROR(VLOOKUP(AB80,'Overview - Section A'!AF$124:AO246,10,0),VLOOKUP("|empty|",'Overview - Section A'!AF$124:AO246,10,0))),"")</f>
        <v/>
      </c>
    </row>
    <row r="81" spans="1:32" ht="30" customHeight="1" x14ac:dyDescent="0.25">
      <c r="A81" s="121">
        <v>73</v>
      </c>
      <c r="B81" s="122"/>
      <c r="C81" s="122"/>
      <c r="D81" s="122"/>
      <c r="E81" s="122"/>
      <c r="F81" s="123"/>
      <c r="G81" s="122"/>
      <c r="H81" s="122"/>
      <c r="I81" s="122"/>
      <c r="J81" s="122"/>
      <c r="K81" s="122"/>
      <c r="L81" s="122"/>
      <c r="M81" s="122"/>
      <c r="N81" s="122"/>
      <c r="O81" s="122"/>
      <c r="P81" s="122"/>
      <c r="Q81" s="122"/>
      <c r="R81" s="122"/>
      <c r="S81" s="122"/>
      <c r="T81" s="122"/>
      <c r="U81" s="122"/>
      <c r="V81" s="122"/>
      <c r="W81" s="122"/>
      <c r="Y81" s="52" t="e">
        <f>VLOOKUP(X81,'Reference Records'!$E$253:$F$420,2,0)</f>
        <v>#N/A</v>
      </c>
      <c r="Z81" s="52" t="e">
        <f>MATCH($Y81,'Reference Records'!$E$507:$E$509,0)+ROW(Population_by_intervention) -1</f>
        <v>#N/A</v>
      </c>
      <c r="AA81" s="52" t="e">
        <f>MATCH($Y81,'Reference Records'!$E$507:$E$509,1)+ROW(Population_by_intervention) -1</f>
        <v>#N/A</v>
      </c>
      <c r="AB81" s="52" t="str">
        <f t="shared" si="2"/>
        <v>|empty|</v>
      </c>
      <c r="AC81" s="52" t="str">
        <f>IF(AB81="","",IFERROR(VLOOKUP(AB81,'Overview - Section A'!AF$124:AG247,2,0),VLOOKUP("|empty|",'Overview - Section A'!AF$124:AG247,2,0)))</f>
        <v>INT-341506</v>
      </c>
      <c r="AD81" s="52">
        <f t="shared" si="3"/>
        <v>2772</v>
      </c>
      <c r="AE81" s="52">
        <f>AE80+'update Helper'!$T$2</f>
        <v>3298</v>
      </c>
      <c r="AF81" s="52" t="str">
        <f>IFERROR(IF(AB81="","",IFERROR(VLOOKUP(AB81,'Overview - Section A'!AF$124:AO247,10,0),VLOOKUP("|empty|",'Overview - Section A'!AF$124:AO247,10,0))),"")</f>
        <v/>
      </c>
    </row>
    <row r="82" spans="1:32" ht="30" customHeight="1" x14ac:dyDescent="0.25">
      <c r="A82" s="121">
        <v>74</v>
      </c>
      <c r="B82" s="124"/>
      <c r="C82" s="124"/>
      <c r="D82" s="124"/>
      <c r="E82" s="124"/>
      <c r="F82" s="125"/>
      <c r="G82" s="124"/>
      <c r="H82" s="124"/>
      <c r="I82" s="124"/>
      <c r="J82" s="124"/>
      <c r="K82" s="124"/>
      <c r="L82" s="124"/>
      <c r="M82" s="124"/>
      <c r="N82" s="124"/>
      <c r="O82" s="124"/>
      <c r="P82" s="124"/>
      <c r="Q82" s="124"/>
      <c r="R82" s="124"/>
      <c r="S82" s="124"/>
      <c r="T82" s="124"/>
      <c r="U82" s="124"/>
      <c r="V82" s="124"/>
      <c r="W82" s="124"/>
      <c r="Y82" s="52" t="e">
        <f>VLOOKUP(X82,'Reference Records'!$E$253:$F$420,2,0)</f>
        <v>#N/A</v>
      </c>
      <c r="Z82" s="52" t="e">
        <f>MATCH($Y82,'Reference Records'!$E$507:$E$509,0)+ROW(Population_by_intervention) -1</f>
        <v>#N/A</v>
      </c>
      <c r="AA82" s="52" t="e">
        <f>MATCH($Y82,'Reference Records'!$E$507:$E$509,1)+ROW(Population_by_intervention) -1</f>
        <v>#N/A</v>
      </c>
      <c r="AB82" s="52" t="str">
        <f t="shared" si="2"/>
        <v>|empty|</v>
      </c>
      <c r="AC82" s="52" t="str">
        <f>IF(AB82="","",IFERROR(VLOOKUP(AB82,'Overview - Section A'!AF$124:AG248,2,0),VLOOKUP("|empty|",'Overview - Section A'!AF$124:AG248,2,0)))</f>
        <v>INT-341506</v>
      </c>
      <c r="AD82" s="52">
        <f t="shared" si="3"/>
        <v>2773</v>
      </c>
      <c r="AE82" s="52">
        <f>AE81+'update Helper'!$T$2</f>
        <v>3304</v>
      </c>
      <c r="AF82" s="52" t="str">
        <f>IFERROR(IF(AB82="","",IFERROR(VLOOKUP(AB82,'Overview - Section A'!AF$124:AO248,10,0),VLOOKUP("|empty|",'Overview - Section A'!AF$124:AO248,10,0))),"")</f>
        <v/>
      </c>
    </row>
    <row r="83" spans="1:32" ht="30" customHeight="1" x14ac:dyDescent="0.25">
      <c r="A83" s="121">
        <v>75</v>
      </c>
      <c r="B83" s="122"/>
      <c r="C83" s="122"/>
      <c r="D83" s="122"/>
      <c r="E83" s="122"/>
      <c r="F83" s="123"/>
      <c r="G83" s="122"/>
      <c r="H83" s="122"/>
      <c r="I83" s="122"/>
      <c r="J83" s="122"/>
      <c r="K83" s="122"/>
      <c r="L83" s="122"/>
      <c r="M83" s="122"/>
      <c r="N83" s="122"/>
      <c r="O83" s="122"/>
      <c r="P83" s="122"/>
      <c r="Q83" s="122"/>
      <c r="R83" s="122"/>
      <c r="S83" s="122"/>
      <c r="T83" s="122"/>
      <c r="U83" s="122"/>
      <c r="V83" s="122"/>
      <c r="W83" s="122"/>
      <c r="Y83" s="52" t="e">
        <f>VLOOKUP(X83,'Reference Records'!$E$253:$F$420,2,0)</f>
        <v>#N/A</v>
      </c>
      <c r="Z83" s="52" t="e">
        <f>MATCH($Y83,'Reference Records'!$E$507:$E$509,0)+ROW(Population_by_intervention) -1</f>
        <v>#N/A</v>
      </c>
      <c r="AA83" s="52" t="e">
        <f>MATCH($Y83,'Reference Records'!$E$507:$E$509,1)+ROW(Population_by_intervention) -1</f>
        <v>#N/A</v>
      </c>
      <c r="AB83" s="52" t="str">
        <f t="shared" si="2"/>
        <v>|empty|</v>
      </c>
      <c r="AC83" s="52" t="str">
        <f>IF(AB83="","",IFERROR(VLOOKUP(AB83,'Overview - Section A'!AF$124:AG249,2,0),VLOOKUP("|empty|",'Overview - Section A'!AF$124:AG249,2,0)))</f>
        <v>INT-341506</v>
      </c>
      <c r="AD83" s="52">
        <f t="shared" si="3"/>
        <v>2774</v>
      </c>
      <c r="AE83" s="52">
        <f>AE82+'update Helper'!$T$2</f>
        <v>3310</v>
      </c>
      <c r="AF83" s="52" t="str">
        <f>IFERROR(IF(AB83="","",IFERROR(VLOOKUP(AB83,'Overview - Section A'!AF$124:AO249,10,0),VLOOKUP("|empty|",'Overview - Section A'!AF$124:AO249,10,0))),"")</f>
        <v/>
      </c>
    </row>
    <row r="84" spans="1:32" ht="30" customHeight="1" x14ac:dyDescent="0.25">
      <c r="A84" s="121">
        <v>76</v>
      </c>
      <c r="B84" s="124"/>
      <c r="C84" s="124"/>
      <c r="D84" s="124"/>
      <c r="E84" s="124"/>
      <c r="F84" s="125"/>
      <c r="G84" s="124"/>
      <c r="H84" s="124"/>
      <c r="I84" s="124"/>
      <c r="J84" s="124"/>
      <c r="K84" s="124"/>
      <c r="L84" s="124"/>
      <c r="M84" s="124"/>
      <c r="N84" s="124"/>
      <c r="O84" s="124"/>
      <c r="P84" s="124"/>
      <c r="Q84" s="124"/>
      <c r="R84" s="124"/>
      <c r="S84" s="124"/>
      <c r="T84" s="124"/>
      <c r="U84" s="124"/>
      <c r="V84" s="124"/>
      <c r="W84" s="124"/>
      <c r="Y84" s="52" t="e">
        <f>VLOOKUP(X84,'Reference Records'!$E$253:$F$420,2,0)</f>
        <v>#N/A</v>
      </c>
      <c r="Z84" s="52" t="e">
        <f>MATCH($Y84,'Reference Records'!$E$507:$E$509,0)+ROW(Population_by_intervention) -1</f>
        <v>#N/A</v>
      </c>
      <c r="AA84" s="52" t="e">
        <f>MATCH($Y84,'Reference Records'!$E$507:$E$509,1)+ROW(Population_by_intervention) -1</f>
        <v>#N/A</v>
      </c>
      <c r="AB84" s="52" t="str">
        <f t="shared" si="2"/>
        <v>|empty|</v>
      </c>
      <c r="AC84" s="52" t="str">
        <f>IF(AB84="","",IFERROR(VLOOKUP(AB84,'Overview - Section A'!AF$124:AG250,2,0),VLOOKUP("|empty|",'Overview - Section A'!AF$124:AG250,2,0)))</f>
        <v>INT-341506</v>
      </c>
      <c r="AD84" s="52">
        <f t="shared" si="3"/>
        <v>2775</v>
      </c>
      <c r="AE84" s="52">
        <f>AE83+'update Helper'!$T$2</f>
        <v>3316</v>
      </c>
      <c r="AF84" s="52" t="str">
        <f>IFERROR(IF(AB84="","",IFERROR(VLOOKUP(AB84,'Overview - Section A'!AF$124:AO250,10,0),VLOOKUP("|empty|",'Overview - Section A'!AF$124:AO250,10,0))),"")</f>
        <v/>
      </c>
    </row>
    <row r="85" spans="1:32" ht="30" customHeight="1" x14ac:dyDescent="0.25">
      <c r="A85" s="121">
        <v>77</v>
      </c>
      <c r="B85" s="122"/>
      <c r="C85" s="122"/>
      <c r="D85" s="122"/>
      <c r="E85" s="122"/>
      <c r="F85" s="123"/>
      <c r="G85" s="122"/>
      <c r="H85" s="122"/>
      <c r="I85" s="122"/>
      <c r="J85" s="122"/>
      <c r="K85" s="122"/>
      <c r="L85" s="122"/>
      <c r="M85" s="122"/>
      <c r="N85" s="122"/>
      <c r="O85" s="122"/>
      <c r="P85" s="122"/>
      <c r="Q85" s="122"/>
      <c r="R85" s="122"/>
      <c r="S85" s="122"/>
      <c r="T85" s="122"/>
      <c r="U85" s="122"/>
      <c r="V85" s="122"/>
      <c r="W85" s="122"/>
      <c r="Y85" s="52" t="e">
        <f>VLOOKUP(X85,'Reference Records'!$E$253:$F$420,2,0)</f>
        <v>#N/A</v>
      </c>
      <c r="Z85" s="52" t="e">
        <f>MATCH($Y85,'Reference Records'!$E$507:$E$509,0)+ROW(Population_by_intervention) -1</f>
        <v>#N/A</v>
      </c>
      <c r="AA85" s="52" t="e">
        <f>MATCH($Y85,'Reference Records'!$E$507:$E$509,1)+ROW(Population_by_intervention) -1</f>
        <v>#N/A</v>
      </c>
      <c r="AB85" s="52" t="str">
        <f t="shared" si="2"/>
        <v>|empty|</v>
      </c>
      <c r="AC85" s="52" t="str">
        <f>IF(AB85="","",IFERROR(VLOOKUP(AB85,'Overview - Section A'!AF$124:AG251,2,0),VLOOKUP("|empty|",'Overview - Section A'!AF$124:AG251,2,0)))</f>
        <v>INT-341506</v>
      </c>
      <c r="AD85" s="52">
        <f t="shared" si="3"/>
        <v>2776</v>
      </c>
      <c r="AE85" s="52">
        <f>AE84+'update Helper'!$T$2</f>
        <v>3322</v>
      </c>
      <c r="AF85" s="52" t="str">
        <f>IFERROR(IF(AB85="","",IFERROR(VLOOKUP(AB85,'Overview - Section A'!AF$124:AO251,10,0),VLOOKUP("|empty|",'Overview - Section A'!AF$124:AO251,10,0))),"")</f>
        <v/>
      </c>
    </row>
    <row r="86" spans="1:32" ht="30" customHeight="1" x14ac:dyDescent="0.25">
      <c r="A86" s="121">
        <v>78</v>
      </c>
      <c r="B86" s="124"/>
      <c r="C86" s="124"/>
      <c r="D86" s="124"/>
      <c r="E86" s="124"/>
      <c r="F86" s="125"/>
      <c r="G86" s="124"/>
      <c r="H86" s="124"/>
      <c r="I86" s="124"/>
      <c r="J86" s="124"/>
      <c r="K86" s="124"/>
      <c r="L86" s="124"/>
      <c r="M86" s="124"/>
      <c r="N86" s="124"/>
      <c r="O86" s="124"/>
      <c r="P86" s="124"/>
      <c r="Q86" s="124"/>
      <c r="R86" s="124"/>
      <c r="S86" s="124"/>
      <c r="T86" s="124"/>
      <c r="U86" s="124"/>
      <c r="V86" s="124"/>
      <c r="W86" s="124"/>
      <c r="Y86" s="52" t="e">
        <f>VLOOKUP(X86,'Reference Records'!$E$253:$F$420,2,0)</f>
        <v>#N/A</v>
      </c>
      <c r="Z86" s="52" t="e">
        <f>MATCH($Y86,'Reference Records'!$E$507:$E$509,0)+ROW(Population_by_intervention) -1</f>
        <v>#N/A</v>
      </c>
      <c r="AA86" s="52" t="e">
        <f>MATCH($Y86,'Reference Records'!$E$507:$E$509,1)+ROW(Population_by_intervention) -1</f>
        <v>#N/A</v>
      </c>
      <c r="AB86" s="52" t="str">
        <f t="shared" si="2"/>
        <v>|empty|</v>
      </c>
      <c r="AC86" s="52" t="str">
        <f>IF(AB86="","",IFERROR(VLOOKUP(AB86,'Overview - Section A'!AF$124:AG252,2,0),VLOOKUP("|empty|",'Overview - Section A'!AF$124:AG252,2,0)))</f>
        <v>INT-341506</v>
      </c>
      <c r="AD86" s="52">
        <f t="shared" si="3"/>
        <v>2777</v>
      </c>
      <c r="AE86" s="52">
        <f>AE85+'update Helper'!$T$2</f>
        <v>3328</v>
      </c>
      <c r="AF86" s="52" t="str">
        <f>IFERROR(IF(AB86="","",IFERROR(VLOOKUP(AB86,'Overview - Section A'!AF$124:AO252,10,0),VLOOKUP("|empty|",'Overview - Section A'!AF$124:AO252,10,0))),"")</f>
        <v/>
      </c>
    </row>
    <row r="87" spans="1:32" ht="30" customHeight="1" x14ac:dyDescent="0.25">
      <c r="A87" s="121">
        <v>79</v>
      </c>
      <c r="B87" s="122"/>
      <c r="C87" s="122"/>
      <c r="D87" s="122"/>
      <c r="E87" s="122"/>
      <c r="F87" s="123"/>
      <c r="G87" s="122"/>
      <c r="H87" s="122"/>
      <c r="I87" s="122"/>
      <c r="J87" s="122"/>
      <c r="K87" s="122"/>
      <c r="L87" s="122"/>
      <c r="M87" s="122"/>
      <c r="N87" s="122"/>
      <c r="O87" s="122"/>
      <c r="P87" s="122"/>
      <c r="Q87" s="122"/>
      <c r="R87" s="122"/>
      <c r="S87" s="122"/>
      <c r="T87" s="122"/>
      <c r="U87" s="122"/>
      <c r="V87" s="122"/>
      <c r="W87" s="122"/>
      <c r="Y87" s="52" t="e">
        <f>VLOOKUP(X87,'Reference Records'!$E$253:$F$420,2,0)</f>
        <v>#N/A</v>
      </c>
      <c r="Z87" s="52" t="e">
        <f>MATCH($Y87,'Reference Records'!$E$507:$E$509,0)+ROW(Population_by_intervention) -1</f>
        <v>#N/A</v>
      </c>
      <c r="AA87" s="52" t="e">
        <f>MATCH($Y87,'Reference Records'!$E$507:$E$509,1)+ROW(Population_by_intervention) -1</f>
        <v>#N/A</v>
      </c>
      <c r="AB87" s="52" t="str">
        <f t="shared" si="2"/>
        <v>|empty|</v>
      </c>
      <c r="AC87" s="52" t="str">
        <f>IF(AB87="","",IFERROR(VLOOKUP(AB87,'Overview - Section A'!AF$124:AG253,2,0),VLOOKUP("|empty|",'Overview - Section A'!AF$124:AG253,2,0)))</f>
        <v>INT-341506</v>
      </c>
      <c r="AD87" s="52">
        <f t="shared" si="3"/>
        <v>2778</v>
      </c>
      <c r="AE87" s="52">
        <f>AE86+'update Helper'!$T$2</f>
        <v>3334</v>
      </c>
      <c r="AF87" s="52" t="str">
        <f>IFERROR(IF(AB87="","",IFERROR(VLOOKUP(AB87,'Overview - Section A'!AF$124:AO253,10,0),VLOOKUP("|empty|",'Overview - Section A'!AF$124:AO253,10,0))),"")</f>
        <v/>
      </c>
    </row>
    <row r="88" spans="1:32" ht="30" customHeight="1" x14ac:dyDescent="0.25">
      <c r="A88" s="121">
        <v>80</v>
      </c>
      <c r="B88" s="124"/>
      <c r="C88" s="124"/>
      <c r="D88" s="124"/>
      <c r="E88" s="124"/>
      <c r="F88" s="125"/>
      <c r="G88" s="124"/>
      <c r="H88" s="124"/>
      <c r="I88" s="124"/>
      <c r="J88" s="124"/>
      <c r="K88" s="124"/>
      <c r="L88" s="124"/>
      <c r="M88" s="124"/>
      <c r="N88" s="124"/>
      <c r="O88" s="124"/>
      <c r="P88" s="124"/>
      <c r="Q88" s="124"/>
      <c r="R88" s="124"/>
      <c r="S88" s="124"/>
      <c r="T88" s="124"/>
      <c r="U88" s="124"/>
      <c r="V88" s="124"/>
      <c r="W88" s="124"/>
      <c r="Y88" s="52" t="e">
        <f>VLOOKUP(X88,'Reference Records'!$E$253:$F$420,2,0)</f>
        <v>#N/A</v>
      </c>
      <c r="Z88" s="52" t="e">
        <f>MATCH($Y88,'Reference Records'!$E$507:$E$509,0)+ROW(Population_by_intervention) -1</f>
        <v>#N/A</v>
      </c>
      <c r="AA88" s="52" t="e">
        <f>MATCH($Y88,'Reference Records'!$E$507:$E$509,1)+ROW(Population_by_intervention) -1</f>
        <v>#N/A</v>
      </c>
      <c r="AB88" s="52" t="str">
        <f t="shared" si="2"/>
        <v>|empty|</v>
      </c>
      <c r="AC88" s="52" t="str">
        <f>IF(AB88="","",IFERROR(VLOOKUP(AB88,'Overview - Section A'!AF$124:AG254,2,0),VLOOKUP("|empty|",'Overview - Section A'!AF$124:AG254,2,0)))</f>
        <v>INT-341506</v>
      </c>
      <c r="AD88" s="52">
        <f t="shared" si="3"/>
        <v>2779</v>
      </c>
      <c r="AE88" s="52">
        <f>AE87+'update Helper'!$T$2</f>
        <v>3340</v>
      </c>
      <c r="AF88" s="52" t="str">
        <f>IFERROR(IF(AB88="","",IFERROR(VLOOKUP(AB88,'Overview - Section A'!AF$124:AO254,10,0),VLOOKUP("|empty|",'Overview - Section A'!AF$124:AO254,10,0))),"")</f>
        <v/>
      </c>
    </row>
  </sheetData>
  <sheetProtection algorithmName="SHA-512" hashValue="qxDMGb3cy1Nw2VBr0oemyo0JkGFjtojyxkuyDDcSkqnir4cxPN1XX9f4Y2gd18GPWlQrzWp4cd48TDJBLgH5ug==" saltValue="E9y+o/mKQs84Xo4labfRIQ==" spinCount="100000" sheet="1" objects="1" scenarios="1" formatCells="0" formatColumns="0" formatRows="0"/>
  <mergeCells count="9">
    <mergeCell ref="O7:P7"/>
    <mergeCell ref="Q7:R7"/>
    <mergeCell ref="U7:V7"/>
    <mergeCell ref="A1:F2"/>
    <mergeCell ref="G7:H7"/>
    <mergeCell ref="I7:J7"/>
    <mergeCell ref="K7:L7"/>
    <mergeCell ref="M7:N7"/>
    <mergeCell ref="S7:T7"/>
  </mergeCells>
  <dataValidations count="3">
    <dataValidation type="list" allowBlank="1" showInputMessage="1" showErrorMessage="1" error="Invalid entry. Select from dropdown list." sqref="B9:B88">
      <formula1>WPTM_Modules</formula1>
    </dataValidation>
    <dataValidation type="list" allowBlank="1" showInputMessage="1" showErrorMessage="1" error="Invalid entry. Select from dropdown list." sqref="E9:E88">
      <formula1>MergedAndDistinctPR</formula1>
    </dataValidation>
    <dataValidation type="list" allowBlank="1" showInputMessage="1" showErrorMessage="1" error="Invalid entry. Select from dropdown list." sqref="F9:F88">
      <formula1>Country</formula1>
    </dataValidation>
  </dataValidations>
  <hyperlinks>
    <hyperlink ref="B5" location="Instructions!InstructionsSectionF" display="Instructions"/>
    <hyperlink ref="C5" location="'Print - WPTM'!A1" display="Print View"/>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Invalid entry. Select from dropdown list.">
          <x14:formula1>
            <xm:f>OFFSET(Setup!$P$2,MATCH($B9,Setup!$O$2:$O$50,0)-1,1,COUNTIF(Setup!$O$2:$O$50,$B9),1)</xm:f>
          </x14:formula1>
          <xm:sqref>C9:C88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4415"/>
  <sheetViews>
    <sheetView topLeftCell="J22" zoomScaleNormal="100" workbookViewId="0">
      <selection activeCell="A3345" sqref="A3345"/>
    </sheetView>
  </sheetViews>
  <sheetFormatPr defaultColWidth="8.59765625" defaultRowHeight="15.6" x14ac:dyDescent="0.3"/>
  <cols>
    <col min="1" max="1" width="33.296875" style="383" customWidth="1"/>
    <col min="2" max="2" width="14.5" style="383" customWidth="1"/>
    <col min="3" max="3" width="27" style="383" customWidth="1"/>
    <col min="4" max="4" width="42" style="383" customWidth="1"/>
    <col min="5" max="5" width="27.796875" style="383" customWidth="1"/>
    <col min="6" max="6" width="23.59765625" style="383" customWidth="1"/>
    <col min="7" max="7" width="27.59765625" style="383" customWidth="1"/>
    <col min="8" max="8" width="24.5" style="383" customWidth="1"/>
    <col min="9" max="9" width="26.5" style="383" customWidth="1"/>
    <col min="10" max="10" width="46.59765625" style="383" customWidth="1"/>
    <col min="11" max="11" width="31.09765625" style="383" customWidth="1"/>
    <col min="12" max="12" width="26.59765625" style="383" customWidth="1"/>
    <col min="13" max="13" width="67.5" style="383" customWidth="1"/>
    <col min="14" max="14" width="35" style="383" customWidth="1"/>
    <col min="15" max="15" width="21.09765625" style="383" customWidth="1"/>
    <col min="16" max="16" width="20.59765625" style="383" customWidth="1"/>
    <col min="17" max="17" width="20.796875" style="383" customWidth="1"/>
    <col min="18" max="18" width="29.09765625" style="383" customWidth="1"/>
    <col min="19" max="19" width="31.796875" style="383" customWidth="1"/>
    <col min="20" max="20" width="34.09765625" style="383" customWidth="1"/>
    <col min="21" max="21" width="28.09765625" style="383" customWidth="1"/>
    <col min="22" max="22" width="28.796875" style="383" customWidth="1"/>
    <col min="23" max="23" width="25.296875" style="383" customWidth="1"/>
    <col min="24" max="24" width="29.796875" style="383" customWidth="1"/>
    <col min="25" max="25" width="32.796875" style="383" customWidth="1"/>
    <col min="26" max="26" width="29.296875" style="383" customWidth="1"/>
    <col min="27" max="27" width="29.59765625" style="383" customWidth="1"/>
    <col min="28" max="28" width="28.796875" style="383" customWidth="1"/>
    <col min="29" max="16384" width="8.59765625" style="383"/>
  </cols>
  <sheetData>
    <row r="1" spans="1:28" x14ac:dyDescent="0.3">
      <c r="A1" s="382" t="s">
        <v>2281</v>
      </c>
      <c r="B1" s="383" t="s">
        <v>2282</v>
      </c>
      <c r="I1" s="383" t="s">
        <v>2283</v>
      </c>
      <c r="R1" s="383" t="s">
        <v>2284</v>
      </c>
      <c r="S1" s="383" t="s">
        <v>2285</v>
      </c>
      <c r="T1" s="383" t="s">
        <v>2286</v>
      </c>
      <c r="U1" s="383" t="s">
        <v>2287</v>
      </c>
      <c r="V1" s="383" t="s">
        <v>2288</v>
      </c>
      <c r="W1" s="383" t="s">
        <v>2289</v>
      </c>
      <c r="X1" s="383" t="s">
        <v>2290</v>
      </c>
      <c r="Y1" s="383" t="s">
        <v>2291</v>
      </c>
      <c r="Z1" s="383" t="s">
        <v>2292</v>
      </c>
      <c r="AA1" s="383" t="s">
        <v>2293</v>
      </c>
      <c r="AB1" s="383" t="s">
        <v>2294</v>
      </c>
    </row>
    <row r="2" spans="1:28" x14ac:dyDescent="0.3">
      <c r="A2" s="384"/>
      <c r="B2" s="384">
        <v>5</v>
      </c>
      <c r="C2" s="384" t="s">
        <v>318</v>
      </c>
      <c r="D2" s="384" t="s">
        <v>105</v>
      </c>
      <c r="E2" s="384" t="s">
        <v>2295</v>
      </c>
      <c r="F2" s="384" t="s">
        <v>2296</v>
      </c>
      <c r="G2" s="384" t="s">
        <v>199</v>
      </c>
      <c r="H2" s="384" t="s">
        <v>741</v>
      </c>
      <c r="I2" s="384">
        <v>1</v>
      </c>
      <c r="J2" s="385" t="s">
        <v>2297</v>
      </c>
      <c r="K2" s="384" t="s">
        <v>127</v>
      </c>
      <c r="L2" s="384" t="s">
        <v>739</v>
      </c>
      <c r="M2" s="384" t="s">
        <v>2298</v>
      </c>
      <c r="N2" s="384" t="s">
        <v>120</v>
      </c>
      <c r="O2" s="384" t="s">
        <v>2299</v>
      </c>
      <c r="P2" s="384" t="s">
        <v>2300</v>
      </c>
      <c r="Q2" s="384" t="s">
        <v>737</v>
      </c>
      <c r="R2" s="383">
        <f>MAX('Overview - Section A'!B$47:B55)-1</f>
        <v>6</v>
      </c>
      <c r="S2" s="383">
        <f>MAX('Overview - Section A'!B$47:B55)-1</f>
        <v>6</v>
      </c>
      <c r="T2" s="383">
        <f>IFERROR((MAX(O$518:O880))/V2,0)</f>
        <v>6</v>
      </c>
      <c r="U2" s="383">
        <f ca="1">MAX(E$2864:E2865)</f>
        <v>9</v>
      </c>
      <c r="V2" s="383">
        <f>(COUNTA(C452:C514)-2)/2</f>
        <v>30</v>
      </c>
      <c r="W2" s="383">
        <f>IFERROR((MAX(O$518:O880))/V2,0)</f>
        <v>6</v>
      </c>
      <c r="X2" s="383">
        <f>MAX(O$518:O880)</f>
        <v>180</v>
      </c>
      <c r="Z2" s="383">
        <f>COUNTA(O$1493:O2695)-1</f>
        <v>600</v>
      </c>
      <c r="AA2" s="383">
        <f>COUNTA(O$1189:O1491)-1</f>
        <v>150</v>
      </c>
      <c r="AB2" s="383">
        <f>COUNTA(O$885:O1187)-1</f>
        <v>150</v>
      </c>
    </row>
    <row r="3" spans="1:28" hidden="1" x14ac:dyDescent="0.3">
      <c r="A3" s="384" t="b">
        <f ca="1">IF(OR(L3&lt;&gt;"",M3&lt;&gt;""),TRUE,FALSE)</f>
        <v>0</v>
      </c>
      <c r="B3" s="384">
        <f>IF(_xlfn.ISFORMULA(J3),B2+2,B2)</f>
        <v>7</v>
      </c>
      <c r="C3" s="384" t="str">
        <f>IFERROR(IF(AND(I3=2,B3=7),"blank",INDEX(C$2:C3,I3,1)),"")</f>
        <v>blank</v>
      </c>
      <c r="D3" s="386" t="str">
        <f ca="1">IFERROR(IF(INDIRECT("'Impact Indicators - Section B '!E"&amp;$B3)="","",INDIRECT("'Impact Indicators - Section B '!E"&amp;$B3)*100),"")</f>
        <v/>
      </c>
      <c r="E3" s="387" t="str">
        <f ca="1">IFERROR(IF(INDIRECT("'Impact Indicators - Section B '!D"&amp;$B3+1)="","",INDIRECT("'Impact Indicators - Section B '!D"&amp;$B3+1)),"")</f>
        <v>Baseline #N Baseline #D</v>
      </c>
      <c r="F3" s="387" t="str">
        <f ca="1">IFERROR(IF(INDIRECT("'Impact Indicators - Section B '!D"&amp;$B3)="","",INDIRECT("'Impact Indicators - Section B '!D"&amp;$B3)),"")</f>
        <v/>
      </c>
      <c r="G3" s="388" t="str">
        <f ca="1">IFERROR(IF(INDIRECT("'Impact Indicators - Section B '!G"&amp;$B3)="","",INDIRECT("'Impact Indicators - Section B '!G"&amp;$B3)),"")</f>
        <v/>
      </c>
      <c r="H3" s="388" t="str">
        <f ca="1">IFERROR(IF(INDIRECT("'Impact Indicators - Section B '!F"&amp;$B3)=0,"",INDIRECT("'Impact Indicators - Section B '!F"&amp;$B3)),"")</f>
        <v/>
      </c>
      <c r="I3" s="384">
        <f>IF(_xlfn.ISFORMULA(J3),I2+1,I2)</f>
        <v>2</v>
      </c>
      <c r="J3" s="388" t="str">
        <f ca="1">IFERROR(IF(INDIRECT("'Impact Indicators - Section B '!AA"&amp;$B3)="","",INDIRECT("'Impact Indicators - Section B '!AA"&amp;$B3)),"")</f>
        <v/>
      </c>
      <c r="K3" s="384" t="str">
        <f ca="1">IFERROR(IF(INDIRECT("'Impact Indicators - Section B '!J"&amp;$B3)=0,"",INDIRECT("'Impact Indicators - Section B '!J"&amp;$B3)),"")</f>
        <v/>
      </c>
      <c r="L3" s="388" t="str">
        <f ca="1">IFERROR(IF(INDIRECT("'Impact Indicators - Section B '!C"&amp;$B3)=0,"",INDIRECT("'Impact Indicators - Section B '!C"&amp;$B3)),"")</f>
        <v/>
      </c>
      <c r="M3" s="384" t="str">
        <f t="array" aca="1" ref="M3" ca="1">IFERROR(VLOOKUP(LEFT(INDIRECT("'Impact Indicators - Section B '!AE"&amp;$B3),255),LEFT('Reference Records'!$G$4:$H$22,255),2,0),"")</f>
        <v/>
      </c>
      <c r="N3" s="384" t="str">
        <f ca="1">IFERROR(VLOOKUP(INDIRECT("'Impact Indicators - Section B '!I"&amp;$B3),'Overview - Section A'!M$30:P41,4,0),IFERROR(VLOOKUP(INDIRECT("'Impact Indicators - Section B '!I"&amp;$B3),'Overview - Section A'!E$27:I29,5,0),""))</f>
        <v/>
      </c>
      <c r="O3" s="384" t="s">
        <v>2301</v>
      </c>
      <c r="P3" s="388" t="s">
        <v>2302</v>
      </c>
      <c r="Q3" s="389" t="s">
        <v>2303</v>
      </c>
      <c r="R3" s="390"/>
    </row>
    <row r="4" spans="1:28" x14ac:dyDescent="0.3">
      <c r="A4" s="384" t="b">
        <v>0</v>
      </c>
      <c r="B4" s="384">
        <f t="shared" ref="B4:B33" si="0">IF(_xlfn.ISFORMULA(J4),B3+2,B3)</f>
        <v>7</v>
      </c>
      <c r="C4" s="384" t="s">
        <v>2304</v>
      </c>
      <c r="D4" s="386"/>
      <c r="E4" s="387"/>
      <c r="F4" s="387"/>
      <c r="G4" s="388"/>
      <c r="H4" s="388"/>
      <c r="I4" s="384">
        <f t="shared" ref="I4:I33" si="1">IF(_xlfn.ISFORMULA(J4),I3+1,I3)</f>
        <v>2</v>
      </c>
      <c r="J4" s="388"/>
      <c r="K4" s="384"/>
      <c r="L4" s="388"/>
      <c r="M4" s="384"/>
      <c r="N4" s="384"/>
      <c r="O4" s="384"/>
      <c r="P4" s="388"/>
      <c r="Q4" s="389">
        <v>1</v>
      </c>
      <c r="R4" s="390"/>
    </row>
    <row r="5" spans="1:28" x14ac:dyDescent="0.3">
      <c r="A5" s="384" t="b">
        <v>0</v>
      </c>
      <c r="B5" s="384">
        <f t="shared" si="0"/>
        <v>7</v>
      </c>
      <c r="C5" s="384" t="s">
        <v>2305</v>
      </c>
      <c r="D5" s="386"/>
      <c r="E5" s="387"/>
      <c r="F5" s="387"/>
      <c r="G5" s="388"/>
      <c r="H5" s="388"/>
      <c r="I5" s="384">
        <f t="shared" si="1"/>
        <v>2</v>
      </c>
      <c r="J5" s="388"/>
      <c r="K5" s="384"/>
      <c r="L5" s="388"/>
      <c r="M5" s="384"/>
      <c r="N5" s="384"/>
      <c r="O5" s="384"/>
      <c r="P5" s="388"/>
      <c r="Q5" s="389">
        <v>2</v>
      </c>
      <c r="R5" s="390"/>
    </row>
    <row r="6" spans="1:28" x14ac:dyDescent="0.3">
      <c r="A6" s="384" t="b">
        <v>0</v>
      </c>
      <c r="B6" s="384">
        <f t="shared" si="0"/>
        <v>7</v>
      </c>
      <c r="C6" s="384" t="s">
        <v>2306</v>
      </c>
      <c r="D6" s="386"/>
      <c r="E6" s="387"/>
      <c r="F6" s="387"/>
      <c r="G6" s="388"/>
      <c r="H6" s="388"/>
      <c r="I6" s="384">
        <f t="shared" si="1"/>
        <v>2</v>
      </c>
      <c r="J6" s="388"/>
      <c r="K6" s="384"/>
      <c r="L6" s="388"/>
      <c r="M6" s="384"/>
      <c r="N6" s="384"/>
      <c r="O6" s="384"/>
      <c r="P6" s="388"/>
      <c r="Q6" s="389">
        <v>3</v>
      </c>
      <c r="R6" s="390"/>
    </row>
    <row r="7" spans="1:28" x14ac:dyDescent="0.3">
      <c r="A7" s="384" t="b">
        <v>0</v>
      </c>
      <c r="B7" s="384">
        <f t="shared" si="0"/>
        <v>7</v>
      </c>
      <c r="C7" s="384" t="s">
        <v>2307</v>
      </c>
      <c r="D7" s="386"/>
      <c r="E7" s="387"/>
      <c r="F7" s="387"/>
      <c r="G7" s="388"/>
      <c r="H7" s="388"/>
      <c r="I7" s="384">
        <f t="shared" si="1"/>
        <v>2</v>
      </c>
      <c r="J7" s="388"/>
      <c r="K7" s="384"/>
      <c r="L7" s="388"/>
      <c r="M7" s="384"/>
      <c r="N7" s="384"/>
      <c r="O7" s="384"/>
      <c r="P7" s="388"/>
      <c r="Q7" s="389">
        <v>4</v>
      </c>
      <c r="R7" s="390"/>
    </row>
    <row r="8" spans="1:28" x14ac:dyDescent="0.3">
      <c r="A8" s="384" t="b">
        <v>0</v>
      </c>
      <c r="B8" s="384">
        <f t="shared" si="0"/>
        <v>7</v>
      </c>
      <c r="C8" s="384" t="s">
        <v>2308</v>
      </c>
      <c r="D8" s="386"/>
      <c r="E8" s="387"/>
      <c r="F8" s="387"/>
      <c r="G8" s="388"/>
      <c r="H8" s="388"/>
      <c r="I8" s="384">
        <f t="shared" si="1"/>
        <v>2</v>
      </c>
      <c r="J8" s="388"/>
      <c r="K8" s="384"/>
      <c r="L8" s="388"/>
      <c r="M8" s="384"/>
      <c r="N8" s="384"/>
      <c r="O8" s="384"/>
      <c r="P8" s="388"/>
      <c r="Q8" s="389">
        <v>5</v>
      </c>
      <c r="R8" s="390"/>
    </row>
    <row r="9" spans="1:28" x14ac:dyDescent="0.3">
      <c r="A9" s="384" t="b">
        <v>0</v>
      </c>
      <c r="B9" s="384">
        <f t="shared" si="0"/>
        <v>7</v>
      </c>
      <c r="C9" s="384" t="s">
        <v>2309</v>
      </c>
      <c r="D9" s="386"/>
      <c r="E9" s="387"/>
      <c r="F9" s="387"/>
      <c r="G9" s="388"/>
      <c r="H9" s="388"/>
      <c r="I9" s="384">
        <f t="shared" si="1"/>
        <v>2</v>
      </c>
      <c r="J9" s="388"/>
      <c r="K9" s="384"/>
      <c r="L9" s="388"/>
      <c r="M9" s="384"/>
      <c r="N9" s="384"/>
      <c r="O9" s="384"/>
      <c r="P9" s="388"/>
      <c r="Q9" s="389">
        <v>6</v>
      </c>
      <c r="R9" s="390"/>
    </row>
    <row r="10" spans="1:28" x14ac:dyDescent="0.3">
      <c r="A10" s="384" t="b">
        <v>0</v>
      </c>
      <c r="B10" s="384">
        <f t="shared" si="0"/>
        <v>7</v>
      </c>
      <c r="C10" s="384" t="s">
        <v>2310</v>
      </c>
      <c r="D10" s="386"/>
      <c r="E10" s="387"/>
      <c r="F10" s="387"/>
      <c r="G10" s="388"/>
      <c r="H10" s="388"/>
      <c r="I10" s="384">
        <f t="shared" si="1"/>
        <v>2</v>
      </c>
      <c r="J10" s="388"/>
      <c r="K10" s="384"/>
      <c r="L10" s="388"/>
      <c r="M10" s="384"/>
      <c r="N10" s="384"/>
      <c r="O10" s="384"/>
      <c r="P10" s="388"/>
      <c r="Q10" s="389">
        <v>7</v>
      </c>
      <c r="R10" s="390"/>
    </row>
    <row r="11" spans="1:28" x14ac:dyDescent="0.3">
      <c r="A11" s="384" t="b">
        <v>0</v>
      </c>
      <c r="B11" s="384">
        <f t="shared" si="0"/>
        <v>7</v>
      </c>
      <c r="C11" s="384" t="s">
        <v>2311</v>
      </c>
      <c r="D11" s="386"/>
      <c r="E11" s="387"/>
      <c r="F11" s="387"/>
      <c r="G11" s="388"/>
      <c r="H11" s="388"/>
      <c r="I11" s="384">
        <f t="shared" si="1"/>
        <v>2</v>
      </c>
      <c r="J11" s="388"/>
      <c r="K11" s="384"/>
      <c r="L11" s="388"/>
      <c r="M11" s="384"/>
      <c r="N11" s="384"/>
      <c r="O11" s="384"/>
      <c r="P11" s="388"/>
      <c r="Q11" s="389">
        <v>8</v>
      </c>
      <c r="R11" s="390"/>
    </row>
    <row r="12" spans="1:28" x14ac:dyDescent="0.3">
      <c r="A12" s="384" t="b">
        <v>0</v>
      </c>
      <c r="B12" s="384">
        <f t="shared" si="0"/>
        <v>7</v>
      </c>
      <c r="C12" s="384" t="s">
        <v>2312</v>
      </c>
      <c r="D12" s="386"/>
      <c r="E12" s="387"/>
      <c r="F12" s="387"/>
      <c r="G12" s="388"/>
      <c r="H12" s="388"/>
      <c r="I12" s="384">
        <f t="shared" si="1"/>
        <v>2</v>
      </c>
      <c r="J12" s="388"/>
      <c r="K12" s="384"/>
      <c r="L12" s="388"/>
      <c r="M12" s="384"/>
      <c r="N12" s="384"/>
      <c r="O12" s="384"/>
      <c r="P12" s="388"/>
      <c r="Q12" s="389">
        <v>9</v>
      </c>
      <c r="R12" s="390"/>
    </row>
    <row r="13" spans="1:28" x14ac:dyDescent="0.3">
      <c r="A13" s="384" t="b">
        <v>0</v>
      </c>
      <c r="B13" s="384">
        <f t="shared" si="0"/>
        <v>7</v>
      </c>
      <c r="C13" s="384" t="s">
        <v>2313</v>
      </c>
      <c r="D13" s="386"/>
      <c r="E13" s="387"/>
      <c r="F13" s="387"/>
      <c r="G13" s="388"/>
      <c r="H13" s="388"/>
      <c r="I13" s="384">
        <f t="shared" si="1"/>
        <v>2</v>
      </c>
      <c r="J13" s="388"/>
      <c r="K13" s="384"/>
      <c r="L13" s="388"/>
      <c r="M13" s="384"/>
      <c r="N13" s="384"/>
      <c r="O13" s="384"/>
      <c r="P13" s="388"/>
      <c r="Q13" s="389">
        <v>10</v>
      </c>
      <c r="R13" s="390"/>
    </row>
    <row r="14" spans="1:28" x14ac:dyDescent="0.3">
      <c r="A14" s="384" t="b">
        <v>0</v>
      </c>
      <c r="B14" s="384">
        <f t="shared" si="0"/>
        <v>7</v>
      </c>
      <c r="C14" s="384" t="s">
        <v>2314</v>
      </c>
      <c r="D14" s="386"/>
      <c r="E14" s="387"/>
      <c r="F14" s="387"/>
      <c r="G14" s="388"/>
      <c r="H14" s="388"/>
      <c r="I14" s="384">
        <f t="shared" si="1"/>
        <v>2</v>
      </c>
      <c r="J14" s="388"/>
      <c r="K14" s="384"/>
      <c r="L14" s="388"/>
      <c r="M14" s="384"/>
      <c r="N14" s="384"/>
      <c r="O14" s="384"/>
      <c r="P14" s="388"/>
      <c r="Q14" s="389">
        <v>11</v>
      </c>
      <c r="R14" s="390"/>
    </row>
    <row r="15" spans="1:28" x14ac:dyDescent="0.3">
      <c r="A15" s="384" t="b">
        <v>0</v>
      </c>
      <c r="B15" s="384">
        <f t="shared" si="0"/>
        <v>7</v>
      </c>
      <c r="C15" s="384" t="s">
        <v>2315</v>
      </c>
      <c r="D15" s="386"/>
      <c r="E15" s="387"/>
      <c r="F15" s="387"/>
      <c r="G15" s="388"/>
      <c r="H15" s="388"/>
      <c r="I15" s="384">
        <f t="shared" si="1"/>
        <v>2</v>
      </c>
      <c r="J15" s="388"/>
      <c r="K15" s="384"/>
      <c r="L15" s="388"/>
      <c r="M15" s="384"/>
      <c r="N15" s="384"/>
      <c r="O15" s="384"/>
      <c r="P15" s="388"/>
      <c r="Q15" s="389">
        <v>12</v>
      </c>
      <c r="R15" s="390"/>
    </row>
    <row r="16" spans="1:28" x14ac:dyDescent="0.3">
      <c r="A16" s="384" t="b">
        <v>0</v>
      </c>
      <c r="B16" s="384">
        <f t="shared" si="0"/>
        <v>7</v>
      </c>
      <c r="C16" s="384" t="s">
        <v>2316</v>
      </c>
      <c r="D16" s="386"/>
      <c r="E16" s="387"/>
      <c r="F16" s="387"/>
      <c r="G16" s="388"/>
      <c r="H16" s="388"/>
      <c r="I16" s="384">
        <f t="shared" si="1"/>
        <v>2</v>
      </c>
      <c r="J16" s="388"/>
      <c r="K16" s="384"/>
      <c r="L16" s="388"/>
      <c r="M16" s="384"/>
      <c r="N16" s="384"/>
      <c r="O16" s="384"/>
      <c r="P16" s="388"/>
      <c r="Q16" s="389">
        <v>13</v>
      </c>
      <c r="R16" s="390"/>
    </row>
    <row r="17" spans="1:18" x14ac:dyDescent="0.3">
      <c r="A17" s="384" t="b">
        <v>0</v>
      </c>
      <c r="B17" s="384">
        <f t="shared" si="0"/>
        <v>7</v>
      </c>
      <c r="C17" s="384" t="s">
        <v>2317</v>
      </c>
      <c r="D17" s="386"/>
      <c r="E17" s="387"/>
      <c r="F17" s="387"/>
      <c r="G17" s="388"/>
      <c r="H17" s="388"/>
      <c r="I17" s="384">
        <f t="shared" si="1"/>
        <v>2</v>
      </c>
      <c r="J17" s="388"/>
      <c r="K17" s="384"/>
      <c r="L17" s="388"/>
      <c r="M17" s="384"/>
      <c r="N17" s="384"/>
      <c r="O17" s="384"/>
      <c r="P17" s="388"/>
      <c r="Q17" s="389">
        <v>14</v>
      </c>
      <c r="R17" s="390"/>
    </row>
    <row r="18" spans="1:18" x14ac:dyDescent="0.3">
      <c r="A18" s="384" t="b">
        <v>0</v>
      </c>
      <c r="B18" s="384">
        <f t="shared" si="0"/>
        <v>7</v>
      </c>
      <c r="C18" s="384" t="s">
        <v>2318</v>
      </c>
      <c r="D18" s="386"/>
      <c r="E18" s="387"/>
      <c r="F18" s="387"/>
      <c r="G18" s="388"/>
      <c r="H18" s="388"/>
      <c r="I18" s="384">
        <f t="shared" si="1"/>
        <v>2</v>
      </c>
      <c r="J18" s="388"/>
      <c r="K18" s="384"/>
      <c r="L18" s="388"/>
      <c r="M18" s="384"/>
      <c r="N18" s="384"/>
      <c r="O18" s="384"/>
      <c r="P18" s="388"/>
      <c r="Q18" s="389">
        <v>15</v>
      </c>
      <c r="R18" s="390"/>
    </row>
    <row r="19" spans="1:18" x14ac:dyDescent="0.3">
      <c r="A19" s="384" t="b">
        <f t="shared" ref="A19:A33" ca="1" si="2">IF(OR(L19&lt;&gt;"",M19&lt;&gt;""),TRUE,FALSE)</f>
        <v>1</v>
      </c>
      <c r="B19" s="384">
        <f t="shared" si="0"/>
        <v>9</v>
      </c>
      <c r="C19" s="393" t="str">
        <f>IFERROR(IF(AND(I19=2,B19=7),"blank",INDEX(C$2:C19,I19,1)),"")</f>
        <v>a1IDm0000004agfMAA</v>
      </c>
      <c r="D19" s="386" t="str">
        <f t="shared" ref="D19:D33" ca="1" si="3">IFERROR(IF(INDIRECT("'Impact Indicators - Section B '!E"&amp;$B19)="","",INDIRECT("'Impact Indicators - Section B '!E"&amp;$B19)*100),"")</f>
        <v/>
      </c>
      <c r="E19" s="387" t="str">
        <f t="shared" ref="E19:E33" ca="1" si="4">IFERROR(IF(INDIRECT("'Impact Indicators - Section B '!D"&amp;$B19+1)="","",INDIRECT("'Impact Indicators - Section B '!D"&amp;$B19+1)),"")</f>
        <v/>
      </c>
      <c r="F19" s="387">
        <f t="shared" ref="F19:F33" ca="1" si="5">IFERROR(IF(INDIRECT("'Impact Indicators - Section B '!D"&amp;$B19)="","",INDIRECT("'Impact Indicators - Section B '!D"&amp;$B19)),"")</f>
        <v>40</v>
      </c>
      <c r="G19" s="388" t="str">
        <f t="shared" ref="G19:G33" ca="1" si="6">IFERROR(IF(INDIRECT("'Impact Indicators - Section B '!G"&amp;$B19)="","",INDIRECT("'Impact Indicators - Section B '!G"&amp;$B19)),"")</f>
        <v>RCHV&amp;HIV, RMIC, Electronic HIV Case Tracking System</v>
      </c>
      <c r="H19" s="388">
        <f t="shared" ref="H19:H33" ca="1" si="7">IFERROR(IF(INDIRECT("'Impact Indicators - Section B '!F"&amp;$B19)=0,"",INDIRECT("'Impact Indicators - Section B '!F"&amp;$B19)),"")</f>
        <v>2021</v>
      </c>
      <c r="I19" s="384">
        <f t="shared" si="1"/>
        <v>3</v>
      </c>
      <c r="J19" s="388" t="str">
        <f t="shared" ref="J19:J33" ca="1" si="8">IFERROR(IF(INDIRECT("'Impact Indicators - Section B '!AA"&amp;$B19)="","",INDIRECT("'Impact Indicators - Section B '!AA"&amp;$B19)),"")</f>
        <v xml:space="preserve">Number of deaths attributed to HIV/AIDS-related causes in a given time period. 
Numerator: Estimated number of deaths attributed to AIDS-related causes in a given time period, per 100,000 population. 
Denominator: Total population in country (resident population), as per the National Statistic Committee.                                                                                   The absolute number of deaths in 2021 was 40, for the predicted number of deaths, the average for 2021 and 2022 was taken, which amounted to 45. </v>
      </c>
      <c r="K19" s="384" t="str">
        <f t="shared" ref="K19:K33" ca="1" si="9">IFERROR(IF(INDIRECT("'Impact Indicators - Section B '!J"&amp;$B19)=0,"",INDIRECT("'Impact Indicators - Section B '!J"&amp;$B19)),"")</f>
        <v>Kyrgyzstan</v>
      </c>
      <c r="L19" s="388" t="str">
        <f t="shared" ref="L19:L33" ca="1" si="10">IFERROR(IF(INDIRECT("'Impact Indicators - Section B '!C"&amp;$B19)=0,"",INDIRECT("'Impact Indicators - Section B '!C"&amp;$B19)),"")</f>
        <v/>
      </c>
      <c r="M19" s="384" t="str">
        <f t="array" aca="1" ref="M19" ca="1">IFERROR(VLOOKUP(LEFT(INDIRECT("'Impact Indicators - Section B '!AE"&amp;$B19),255),LEFT('Reference Records'!$G$4:$H$22,255),2,0),"")</f>
        <v>IOR-00145</v>
      </c>
      <c r="N19" s="384" t="str">
        <f ca="1">IFERROR(VLOOKUP(INDIRECT("'Impact Indicators - Section B '!I"&amp;$B19),'Overview - Section A'!M$30:P57,4,0),IFERROR(VLOOKUP(INDIRECT("'Impact Indicators - Section B '!I"&amp;$B19),'Overview - Section A'!E$27:I45,5,0),""))</f>
        <v/>
      </c>
      <c r="O19" s="384"/>
      <c r="P19" s="388"/>
      <c r="Q19" s="389"/>
      <c r="R19" s="390"/>
    </row>
    <row r="20" spans="1:18" x14ac:dyDescent="0.3">
      <c r="A20" s="384" t="b">
        <f t="shared" ca="1" si="2"/>
        <v>1</v>
      </c>
      <c r="B20" s="384">
        <f t="shared" si="0"/>
        <v>11</v>
      </c>
      <c r="C20" s="393" t="str">
        <f>IFERROR(IF(AND(I20=2,B20=7),"blank",INDEX(C$2:C20,I20,1)),"")</f>
        <v>a1IDm0000004aggMAA</v>
      </c>
      <c r="D20" s="386">
        <f t="shared" ca="1" si="3"/>
        <v>10.8</v>
      </c>
      <c r="E20" s="387" t="str">
        <f t="shared" ca="1" si="4"/>
        <v/>
      </c>
      <c r="F20" s="387" t="str">
        <f t="shared" ca="1" si="5"/>
        <v/>
      </c>
      <c r="G20" s="388" t="str">
        <f t="shared" ca="1" si="6"/>
        <v>IBBS 2021 Kyrgyz Republic</v>
      </c>
      <c r="H20" s="388">
        <f t="shared" ca="1" si="7"/>
        <v>2021</v>
      </c>
      <c r="I20" s="384">
        <f t="shared" si="1"/>
        <v>4</v>
      </c>
      <c r="J20" s="388" t="str">
        <f t="shared" ca="1" si="8"/>
        <v>As a baseline, the results of the 2021 IBBS are presented, weighted data only for the site of Bishkek, taking into account the size of the social network of respondents. So HIV prevalence among Bishkek MSM was 10.3%. RCHV&amp;HIV report "Biobehavioral study on HIV among people who inject drugs and men who have sex with men in the Kyrgyz Republic, 2021". Numerator: Number of MSM who test positive for HIV Denominator: Number of MSM tested for HIV</v>
      </c>
      <c r="K20" s="384" t="str">
        <f t="shared" ca="1" si="9"/>
        <v>Kyrgyzstan</v>
      </c>
      <c r="L20" s="388" t="str">
        <f t="shared" ca="1" si="10"/>
        <v/>
      </c>
      <c r="M20" s="384" t="str">
        <f t="array" aca="1" ref="M20" ca="1">IFERROR(VLOOKUP(LEFT(INDIRECT("'Impact Indicators - Section B '!AE"&amp;$B20),255),LEFT('Reference Records'!$G$4:$H$22,255),2,0),"")</f>
        <v>IOR-00147</v>
      </c>
      <c r="N20" s="384" t="str">
        <f ca="1">IFERROR(VLOOKUP(INDIRECT("'Impact Indicators - Section B '!I"&amp;$B20),'Overview - Section A'!M$30:P58,4,0),IFERROR(VLOOKUP(INDIRECT("'Impact Indicators - Section B '!I"&amp;$B20),'Overview - Section A'!E$27:I46,5,0),""))</f>
        <v/>
      </c>
      <c r="O20" s="384"/>
      <c r="P20" s="388"/>
      <c r="Q20" s="389"/>
      <c r="R20" s="390"/>
    </row>
    <row r="21" spans="1:18" x14ac:dyDescent="0.3">
      <c r="A21" s="384" t="b">
        <f t="shared" ca="1" si="2"/>
        <v>1</v>
      </c>
      <c r="B21" s="384">
        <f t="shared" si="0"/>
        <v>13</v>
      </c>
      <c r="C21" s="393" t="str">
        <f>IFERROR(IF(AND(I21=2,B21=7),"blank",INDEX(C$2:C21,I21,1)),"")</f>
        <v>a1IDm0000004aghMAA</v>
      </c>
      <c r="D21" s="386">
        <f t="shared" ca="1" si="3"/>
        <v>3.5900000000000003</v>
      </c>
      <c r="E21" s="387" t="str">
        <f t="shared" ca="1" si="4"/>
        <v/>
      </c>
      <c r="F21" s="387" t="str">
        <f t="shared" ca="1" si="5"/>
        <v/>
      </c>
      <c r="G21" s="388" t="str">
        <f t="shared" ca="1" si="6"/>
        <v>IBBS 2022 Kyrgyz Republic</v>
      </c>
      <c r="H21" s="388">
        <f t="shared" ca="1" si="7"/>
        <v>2022</v>
      </c>
      <c r="I21" s="384">
        <f t="shared" si="1"/>
        <v>5</v>
      </c>
      <c r="J21" s="388" t="str">
        <f t="shared" ca="1" si="8"/>
        <v>As a baseline, the results of the 2022 IBBS are presented; the next IBBS among SW is planned in 2026. The data are preliminary, no final report has been submitted. Numerator: Number of SW who test positive for HIV Denominator: Number of SW tested for HIV</v>
      </c>
      <c r="K21" s="384" t="str">
        <f t="shared" ca="1" si="9"/>
        <v>Kyrgyzstan</v>
      </c>
      <c r="L21" s="388" t="str">
        <f t="shared" ca="1" si="10"/>
        <v/>
      </c>
      <c r="M21" s="384" t="str">
        <f t="array" aca="1" ref="M21" ca="1">IFERROR(VLOOKUP(LEFT(INDIRECT("'Impact Indicators - Section B '!AE"&amp;$B21),255),LEFT('Reference Records'!$G$4:$H$22,255),2,0),"")</f>
        <v>IOR-00149</v>
      </c>
      <c r="N21" s="384" t="str">
        <f ca="1">IFERROR(VLOOKUP(INDIRECT("'Impact Indicators - Section B '!I"&amp;$B21),'Overview - Section A'!M$30:P59,4,0),IFERROR(VLOOKUP(INDIRECT("'Impact Indicators - Section B '!I"&amp;$B21),'Overview - Section A'!E$27:I47,5,0),""))</f>
        <v/>
      </c>
      <c r="O21" s="384"/>
      <c r="P21" s="388"/>
      <c r="Q21" s="389"/>
      <c r="R21" s="390"/>
    </row>
    <row r="22" spans="1:18" x14ac:dyDescent="0.3">
      <c r="A22" s="384" t="b">
        <f t="shared" ca="1" si="2"/>
        <v>1</v>
      </c>
      <c r="B22" s="384">
        <f t="shared" si="0"/>
        <v>15</v>
      </c>
      <c r="C22" s="393" t="str">
        <f>IFERROR(IF(AND(I22=2,B22=7),"blank",INDEX(C$2:C22,I22,1)),"")</f>
        <v>a1IDm0000004agiMAA</v>
      </c>
      <c r="D22" s="386">
        <f t="shared" ca="1" si="3"/>
        <v>19.64</v>
      </c>
      <c r="E22" s="387" t="str">
        <f t="shared" ca="1" si="4"/>
        <v/>
      </c>
      <c r="F22" s="387" t="str">
        <f t="shared" ca="1" si="5"/>
        <v/>
      </c>
      <c r="G22" s="388" t="str">
        <f t="shared" ca="1" si="6"/>
        <v>IBBS 2021 Kyrgyz Republic</v>
      </c>
      <c r="H22" s="388">
        <f t="shared" ca="1" si="7"/>
        <v>2021</v>
      </c>
      <c r="I22" s="384">
        <f t="shared" si="1"/>
        <v>6</v>
      </c>
      <c r="J22" s="388" t="str">
        <f t="shared" ca="1" si="8"/>
        <v>As a baseline, the results of the 2021 IBBS are presented, weighted by the size of the social network of respondents. RCHV&amp;HIV report "Biobehavioral HIV Research among Transgender People, Bishkek, 2021. Numerator: Number of TG people who test positive for HIV Denominator: Number of TG people tested for HIV</v>
      </c>
      <c r="K22" s="384" t="str">
        <f t="shared" ca="1" si="9"/>
        <v>Kyrgyzstan</v>
      </c>
      <c r="L22" s="388" t="str">
        <f t="shared" ca="1" si="10"/>
        <v/>
      </c>
      <c r="M22" s="384" t="str">
        <f t="array" aca="1" ref="M22" ca="1">IFERROR(VLOOKUP(LEFT(INDIRECT("'Impact Indicators - Section B '!AE"&amp;$B22),255),LEFT('Reference Records'!$G$4:$H$22,255),2,0),"")</f>
        <v>IOR-00148</v>
      </c>
      <c r="N22" s="384" t="str">
        <f ca="1">IFERROR(VLOOKUP(INDIRECT("'Impact Indicators - Section B '!I"&amp;$B22),'Overview - Section A'!M$30:P60,4,0),IFERROR(VLOOKUP(INDIRECT("'Impact Indicators - Section B '!I"&amp;$B22),'Overview - Section A'!E$27:I48,5,0),""))</f>
        <v/>
      </c>
      <c r="O22" s="384"/>
      <c r="P22" s="388"/>
      <c r="Q22" s="389"/>
      <c r="R22" s="390"/>
    </row>
    <row r="23" spans="1:18" x14ac:dyDescent="0.3">
      <c r="A23" s="384" t="b">
        <f t="shared" ca="1" si="2"/>
        <v>1</v>
      </c>
      <c r="B23" s="384">
        <f t="shared" si="0"/>
        <v>17</v>
      </c>
      <c r="C23" s="393" t="str">
        <f>IFERROR(IF(AND(I23=2,B23=7),"blank",INDEX(C$2:C23,I23,1)),"")</f>
        <v>a1IDm0000004agjMAA</v>
      </c>
      <c r="D23" s="386">
        <f t="shared" ca="1" si="3"/>
        <v>16.2</v>
      </c>
      <c r="E23" s="387" t="str">
        <f t="shared" ca="1" si="4"/>
        <v/>
      </c>
      <c r="F23" s="387" t="str">
        <f t="shared" ca="1" si="5"/>
        <v/>
      </c>
      <c r="G23" s="388" t="str">
        <f t="shared" ca="1" si="6"/>
        <v>IBBS 2021 Kyrgyz Republic</v>
      </c>
      <c r="H23" s="388">
        <f t="shared" ca="1" si="7"/>
        <v>2021</v>
      </c>
      <c r="I23" s="384">
        <f t="shared" si="1"/>
        <v>7</v>
      </c>
      <c r="J23" s="388" t="str">
        <f t="shared" ca="1" si="8"/>
        <v>As a baseline, the results of the 2021 IBBS are presented, weighted by the size of the social network of respondents. RCHV&amp;HIV report "Biobehavioral HIV Research among Transgender People, Bishkek, 2021. Numerator: Number of PWID people who test positive for HIV Denominator: Number of PWID tested for HIV</v>
      </c>
      <c r="K23" s="384" t="str">
        <f t="shared" ca="1" si="9"/>
        <v>Kyrgyzstan</v>
      </c>
      <c r="L23" s="388" t="str">
        <f t="shared" ca="1" si="10"/>
        <v/>
      </c>
      <c r="M23" s="384" t="str">
        <f t="array" aca="1" ref="M23" ca="1">IFERROR(VLOOKUP(LEFT(INDIRECT("'Impact Indicators - Section B '!AE"&amp;$B23),255),LEFT('Reference Records'!$G$4:$H$22,255),2,0),"")</f>
        <v>IOR-00150</v>
      </c>
      <c r="N23" s="384" t="str">
        <f ca="1">IFERROR(VLOOKUP(INDIRECT("'Impact Indicators - Section B '!I"&amp;$B23),'Overview - Section A'!M$30:P61,4,0),IFERROR(VLOOKUP(INDIRECT("'Impact Indicators - Section B '!I"&amp;$B23),'Overview - Section A'!E$27:I49,5,0),""))</f>
        <v/>
      </c>
      <c r="O23" s="384"/>
      <c r="P23" s="388"/>
      <c r="Q23" s="389"/>
      <c r="R23" s="390"/>
    </row>
    <row r="24" spans="1:18" x14ac:dyDescent="0.3">
      <c r="A24" s="384" t="b">
        <f t="shared" ca="1" si="2"/>
        <v>1</v>
      </c>
      <c r="B24" s="384">
        <f t="shared" si="0"/>
        <v>19</v>
      </c>
      <c r="C24" s="393" t="str">
        <f>IFERROR(IF(AND(I24=2,B24=7),"blank",INDEX(C$2:C24,I24,1)),"")</f>
        <v>a1IDm0000004agkMAA</v>
      </c>
      <c r="D24" s="386" t="str">
        <f t="shared" ca="1" si="3"/>
        <v/>
      </c>
      <c r="E24" s="387" t="str">
        <f t="shared" ca="1" si="4"/>
        <v/>
      </c>
      <c r="F24" s="387">
        <f t="shared" ca="1" si="5"/>
        <v>3.7</v>
      </c>
      <c r="G24" s="388" t="str">
        <f t="shared" ca="1" si="6"/>
        <v>The report of the National TB Center</v>
      </c>
      <c r="H24" s="388">
        <f t="shared" ca="1" si="7"/>
        <v>2021</v>
      </c>
      <c r="I24" s="384">
        <f t="shared" si="1"/>
        <v>8</v>
      </c>
      <c r="J24" s="388" t="str">
        <f t="shared" ca="1" si="8"/>
        <v xml:space="preserve">TB Mortality rate in Kyrgyzstan had stably decreased by 8-10% annually from 2001 till 2019. However, in 2020-2021 due to COVID-19 related impact it increased: 3.9 in 2020 and 3.8 in 2021. Striving to reach the 2025 End TB global milestone (75% reduction comparing to 2015), it is expected that the country will restore the gains of NTP and achieve declining the mortality  rate about 0.2-0.3 per 100 000 annually. Thus, the TB mortality rate will be about 2.7 in 2024, 2.5 in 2025, and 2.3 in 2026. </v>
      </c>
      <c r="K24" s="384" t="str">
        <f t="shared" ca="1" si="9"/>
        <v>Kyrgyzstan</v>
      </c>
      <c r="L24" s="388" t="str">
        <f t="shared" ca="1" si="10"/>
        <v/>
      </c>
      <c r="M24" s="384" t="str">
        <f t="array" aca="1" ref="M24" ca="1">IFERROR(VLOOKUP(LEFT(INDIRECT("'Impact Indicators - Section B '!AE"&amp;$B24),255),LEFT('Reference Records'!$G$4:$H$22,255),2,0),"")</f>
        <v>IOR-00155</v>
      </c>
      <c r="N24" s="384" t="str">
        <f ca="1">IFERROR(VLOOKUP(INDIRECT("'Impact Indicators - Section B '!I"&amp;$B24),'Overview - Section A'!M$30:P62,4,0),IFERROR(VLOOKUP(INDIRECT("'Impact Indicators - Section B '!I"&amp;$B24),'Overview - Section A'!E$27:I50,5,0),""))</f>
        <v/>
      </c>
      <c r="O24" s="384"/>
      <c r="P24" s="388"/>
      <c r="Q24" s="389"/>
      <c r="R24" s="390"/>
    </row>
    <row r="25" spans="1:18" x14ac:dyDescent="0.3">
      <c r="A25" s="384" t="b">
        <f t="shared" ca="1" si="2"/>
        <v>1</v>
      </c>
      <c r="B25" s="384">
        <f t="shared" si="0"/>
        <v>21</v>
      </c>
      <c r="C25" s="393" t="str">
        <f>IFERROR(IF(AND(I25=2,B25=7),"blank",INDEX(C$2:C25,I25,1)),"")</f>
        <v>a1IDm0000004aglMAA</v>
      </c>
      <c r="D25" s="386">
        <f t="shared" ca="1" si="3"/>
        <v>25.879917184265011</v>
      </c>
      <c r="E25" s="387">
        <f t="shared" ca="1" si="4"/>
        <v>1932</v>
      </c>
      <c r="F25" s="387">
        <f t="shared" ca="1" si="5"/>
        <v>500</v>
      </c>
      <c r="G25" s="388" t="str">
        <f t="shared" ca="1" si="6"/>
        <v>The report of the National TB Center</v>
      </c>
      <c r="H25" s="388">
        <f t="shared" ca="1" si="7"/>
        <v>2021</v>
      </c>
      <c r="I25" s="384">
        <f t="shared" si="1"/>
        <v>9</v>
      </c>
      <c r="J25" s="388" t="str">
        <f t="shared" ca="1" si="8"/>
        <v xml:space="preserve">The proportion of RR/MDR TB cases among new TB Patients were about 26-27% in 2014-2018 and increased in 2019 - 29% because of the measures on improving the implementation of the diagnostic algorithm including using the GeneXpert as the test of the first choice. With the high FL DST coverage (94% new bacteriologically confirmed cases were tested for RR in 2021), proportion of RR/MDR TB among new TB cases consisted of 25,9%. It is expected that the proportion of RR/MDR TB cases among new cases will decline insignificantly: 24,5% in 2024, 24% - in 2025, 23.5% in 2026. 
The methodology of the data collection is based on the routine DST of the TB patients. The data reporting tool for this indicator relates to the quarterly TB 06 form, (Table 3). Numerator: Number of new TB cases with  RR-TB and or MDR-TBx100. Denominator: Total number of new TB cases with DST results\Xpert result.  Extrapulmonary resistant TB cases should be excluded. </v>
      </c>
      <c r="K25" s="384" t="str">
        <f t="shared" ca="1" si="9"/>
        <v>Kyrgyzstan</v>
      </c>
      <c r="L25" s="388" t="str">
        <f t="shared" ca="1" si="10"/>
        <v/>
      </c>
      <c r="M25" s="384" t="str">
        <f t="array" aca="1" ref="M25" ca="1">IFERROR(VLOOKUP(LEFT(INDIRECT("'Impact Indicators - Section B '!AE"&amp;$B25),255),LEFT('Reference Records'!$G$4:$H$22,255),2,0),"")</f>
        <v>IOR-00156</v>
      </c>
      <c r="N25" s="384" t="str">
        <f ca="1">IFERROR(VLOOKUP(INDIRECT("'Impact Indicators - Section B '!I"&amp;$B25),'Overview - Section A'!M$30:P63,4,0),IFERROR(VLOOKUP(INDIRECT("'Impact Indicators - Section B '!I"&amp;$B25),'Overview - Section A'!E$27:I51,5,0),""))</f>
        <v/>
      </c>
      <c r="O25" s="384"/>
      <c r="P25" s="388"/>
      <c r="Q25" s="389"/>
      <c r="R25" s="390"/>
    </row>
    <row r="26" spans="1:18" x14ac:dyDescent="0.3">
      <c r="A26" s="384" t="b">
        <f t="shared" ca="1" si="2"/>
        <v>0</v>
      </c>
      <c r="B26" s="384">
        <f t="shared" si="0"/>
        <v>23</v>
      </c>
      <c r="C26" s="393" t="str">
        <f>IFERROR(IF(AND(I26=2,B26=7),"blank",INDEX(C$2:C26,I26,1)),"")</f>
        <v>a1IDm0000004agmMAA</v>
      </c>
      <c r="D26" s="386" t="str">
        <f t="shared" ca="1" si="3"/>
        <v/>
      </c>
      <c r="E26" s="387" t="str">
        <f t="shared" ca="1" si="4"/>
        <v/>
      </c>
      <c r="F26" s="387" t="str">
        <f t="shared" ca="1" si="5"/>
        <v/>
      </c>
      <c r="G26" s="388" t="str">
        <f t="shared" ca="1" si="6"/>
        <v/>
      </c>
      <c r="H26" s="388" t="str">
        <f t="shared" ca="1" si="7"/>
        <v/>
      </c>
      <c r="I26" s="384">
        <f t="shared" si="1"/>
        <v>10</v>
      </c>
      <c r="J26" s="388" t="str">
        <f t="shared" ca="1" si="8"/>
        <v/>
      </c>
      <c r="K26" s="384" t="str">
        <f t="shared" ca="1" si="9"/>
        <v/>
      </c>
      <c r="L26" s="388" t="str">
        <f t="shared" ca="1" si="10"/>
        <v/>
      </c>
      <c r="M26" s="384" t="str">
        <f t="array" aca="1" ref="M26" ca="1">IFERROR(VLOOKUP(LEFT(INDIRECT("'Impact Indicators - Section B '!AE"&amp;$B26),255),LEFT('Reference Records'!$G$4:$H$22,255),2,0),"")</f>
        <v/>
      </c>
      <c r="N26" s="384" t="str">
        <f ca="1">IFERROR(VLOOKUP(INDIRECT("'Impact Indicators - Section B '!I"&amp;$B26),'Overview - Section A'!M$30:P64,4,0),IFERROR(VLOOKUP(INDIRECT("'Impact Indicators - Section B '!I"&amp;$B26),'Overview - Section A'!E$27:I52,5,0),""))</f>
        <v/>
      </c>
      <c r="O26" s="384"/>
      <c r="P26" s="388"/>
      <c r="Q26" s="389"/>
      <c r="R26" s="390"/>
    </row>
    <row r="27" spans="1:18" x14ac:dyDescent="0.3">
      <c r="A27" s="384" t="b">
        <f t="shared" ca="1" si="2"/>
        <v>0</v>
      </c>
      <c r="B27" s="384">
        <f t="shared" si="0"/>
        <v>25</v>
      </c>
      <c r="C27" s="393" t="str">
        <f>IFERROR(IF(AND(I27=2,B27=7),"blank",INDEX(C$2:C27,I27,1)),"")</f>
        <v>a1IDm0000004agnMAA</v>
      </c>
      <c r="D27" s="386" t="str">
        <f t="shared" ca="1" si="3"/>
        <v/>
      </c>
      <c r="E27" s="387" t="str">
        <f t="shared" ca="1" si="4"/>
        <v/>
      </c>
      <c r="F27" s="387" t="str">
        <f t="shared" ca="1" si="5"/>
        <v/>
      </c>
      <c r="G27" s="388" t="str">
        <f t="shared" ca="1" si="6"/>
        <v/>
      </c>
      <c r="H27" s="388" t="str">
        <f t="shared" ca="1" si="7"/>
        <v/>
      </c>
      <c r="I27" s="384">
        <f t="shared" si="1"/>
        <v>11</v>
      </c>
      <c r="J27" s="388" t="str">
        <f t="shared" ca="1" si="8"/>
        <v/>
      </c>
      <c r="K27" s="384" t="str">
        <f t="shared" ca="1" si="9"/>
        <v/>
      </c>
      <c r="L27" s="388" t="str">
        <f t="shared" ca="1" si="10"/>
        <v/>
      </c>
      <c r="M27" s="384" t="str">
        <f t="array" aca="1" ref="M27" ca="1">IFERROR(VLOOKUP(LEFT(INDIRECT("'Impact Indicators - Section B '!AE"&amp;$B27),255),LEFT('Reference Records'!$G$4:$H$22,255),2,0),"")</f>
        <v/>
      </c>
      <c r="N27" s="384" t="str">
        <f ca="1">IFERROR(VLOOKUP(INDIRECT("'Impact Indicators - Section B '!I"&amp;$B27),'Overview - Section A'!M$30:P65,4,0),IFERROR(VLOOKUP(INDIRECT("'Impact Indicators - Section B '!I"&amp;$B27),'Overview - Section A'!E$27:I53,5,0),""))</f>
        <v/>
      </c>
      <c r="O27" s="384"/>
      <c r="P27" s="388"/>
      <c r="Q27" s="389"/>
      <c r="R27" s="390"/>
    </row>
    <row r="28" spans="1:18" x14ac:dyDescent="0.3">
      <c r="A28" s="384" t="b">
        <f t="shared" ca="1" si="2"/>
        <v>0</v>
      </c>
      <c r="B28" s="384">
        <f t="shared" si="0"/>
        <v>27</v>
      </c>
      <c r="C28" s="393" t="str">
        <f>IFERROR(IF(AND(I28=2,B28=7),"blank",INDEX(C$2:C28,I28,1)),"")</f>
        <v>a1IDm0000004agoMAA</v>
      </c>
      <c r="D28" s="386" t="str">
        <f t="shared" ca="1" si="3"/>
        <v/>
      </c>
      <c r="E28" s="387" t="str">
        <f t="shared" ca="1" si="4"/>
        <v/>
      </c>
      <c r="F28" s="387" t="str">
        <f t="shared" ca="1" si="5"/>
        <v/>
      </c>
      <c r="G28" s="388" t="str">
        <f t="shared" ca="1" si="6"/>
        <v/>
      </c>
      <c r="H28" s="388" t="str">
        <f t="shared" ca="1" si="7"/>
        <v/>
      </c>
      <c r="I28" s="384">
        <f t="shared" si="1"/>
        <v>12</v>
      </c>
      <c r="J28" s="388" t="str">
        <f t="shared" ca="1" si="8"/>
        <v/>
      </c>
      <c r="K28" s="384" t="str">
        <f t="shared" ca="1" si="9"/>
        <v/>
      </c>
      <c r="L28" s="388" t="str">
        <f t="shared" ca="1" si="10"/>
        <v/>
      </c>
      <c r="M28" s="384" t="str">
        <f t="array" aca="1" ref="M28" ca="1">IFERROR(VLOOKUP(LEFT(INDIRECT("'Impact Indicators - Section B '!AE"&amp;$B28),255),LEFT('Reference Records'!$G$4:$H$22,255),2,0),"")</f>
        <v/>
      </c>
      <c r="N28" s="384" t="str">
        <f ca="1">IFERROR(VLOOKUP(INDIRECT("'Impact Indicators - Section B '!I"&amp;$B28),'Overview - Section A'!M$30:P66,4,0),IFERROR(VLOOKUP(INDIRECT("'Impact Indicators - Section B '!I"&amp;$B28),'Overview - Section A'!E$27:I54,5,0),""))</f>
        <v/>
      </c>
      <c r="O28" s="384"/>
      <c r="P28" s="388"/>
      <c r="Q28" s="389"/>
      <c r="R28" s="390"/>
    </row>
    <row r="29" spans="1:18" x14ac:dyDescent="0.3">
      <c r="A29" s="384" t="b">
        <f t="shared" ca="1" si="2"/>
        <v>0</v>
      </c>
      <c r="B29" s="384">
        <f t="shared" si="0"/>
        <v>29</v>
      </c>
      <c r="C29" s="393" t="str">
        <f>IFERROR(IF(AND(I29=2,B29=7),"blank",INDEX(C$2:C29,I29,1)),"")</f>
        <v>a1IDm0000004agpMAA</v>
      </c>
      <c r="D29" s="386" t="str">
        <f t="shared" ca="1" si="3"/>
        <v/>
      </c>
      <c r="E29" s="387" t="str">
        <f t="shared" ca="1" si="4"/>
        <v/>
      </c>
      <c r="F29" s="387" t="str">
        <f t="shared" ca="1" si="5"/>
        <v/>
      </c>
      <c r="G29" s="388" t="str">
        <f t="shared" ca="1" si="6"/>
        <v/>
      </c>
      <c r="H29" s="388" t="str">
        <f t="shared" ca="1" si="7"/>
        <v/>
      </c>
      <c r="I29" s="384">
        <f t="shared" si="1"/>
        <v>13</v>
      </c>
      <c r="J29" s="388" t="str">
        <f t="shared" ca="1" si="8"/>
        <v/>
      </c>
      <c r="K29" s="384" t="str">
        <f t="shared" ca="1" si="9"/>
        <v/>
      </c>
      <c r="L29" s="388" t="str">
        <f t="shared" ca="1" si="10"/>
        <v/>
      </c>
      <c r="M29" s="384" t="str">
        <f t="array" aca="1" ref="M29" ca="1">IFERROR(VLOOKUP(LEFT(INDIRECT("'Impact Indicators - Section B '!AE"&amp;$B29),255),LEFT('Reference Records'!$G$4:$H$22,255),2,0),"")</f>
        <v/>
      </c>
      <c r="N29" s="384" t="str">
        <f ca="1">IFERROR(VLOOKUP(INDIRECT("'Impact Indicators - Section B '!I"&amp;$B29),'Overview - Section A'!M$30:P67,4,0),IFERROR(VLOOKUP(INDIRECT("'Impact Indicators - Section B '!I"&amp;$B29),'Overview - Section A'!E$27:I55,5,0),""))</f>
        <v/>
      </c>
      <c r="O29" s="384"/>
      <c r="P29" s="388"/>
      <c r="Q29" s="389"/>
      <c r="R29" s="390"/>
    </row>
    <row r="30" spans="1:18" x14ac:dyDescent="0.3">
      <c r="A30" s="384" t="b">
        <f t="shared" ca="1" si="2"/>
        <v>0</v>
      </c>
      <c r="B30" s="384">
        <f t="shared" si="0"/>
        <v>31</v>
      </c>
      <c r="C30" s="393" t="str">
        <f>IFERROR(IF(AND(I30=2,B30=7),"blank",INDEX(C$2:C30,I30,1)),"")</f>
        <v>a1IDm0000004agqMAA</v>
      </c>
      <c r="D30" s="386" t="str">
        <f t="shared" ca="1" si="3"/>
        <v/>
      </c>
      <c r="E30" s="387" t="str">
        <f t="shared" ca="1" si="4"/>
        <v/>
      </c>
      <c r="F30" s="387" t="str">
        <f t="shared" ca="1" si="5"/>
        <v/>
      </c>
      <c r="G30" s="388" t="str">
        <f t="shared" ca="1" si="6"/>
        <v/>
      </c>
      <c r="H30" s="388" t="str">
        <f t="shared" ca="1" si="7"/>
        <v/>
      </c>
      <c r="I30" s="384">
        <f t="shared" si="1"/>
        <v>14</v>
      </c>
      <c r="J30" s="388" t="str">
        <f t="shared" ca="1" si="8"/>
        <v/>
      </c>
      <c r="K30" s="384" t="str">
        <f t="shared" ca="1" si="9"/>
        <v/>
      </c>
      <c r="L30" s="388" t="str">
        <f t="shared" ca="1" si="10"/>
        <v/>
      </c>
      <c r="M30" s="384" t="str">
        <f t="array" aca="1" ref="M30" ca="1">IFERROR(VLOOKUP(LEFT(INDIRECT("'Impact Indicators - Section B '!AE"&amp;$B30),255),LEFT('Reference Records'!$G$4:$H$22,255),2,0),"")</f>
        <v/>
      </c>
      <c r="N30" s="384" t="str">
        <f ca="1">IFERROR(VLOOKUP(INDIRECT("'Impact Indicators - Section B '!I"&amp;$B30),'Overview - Section A'!M$30:P68,4,0),IFERROR(VLOOKUP(INDIRECT("'Impact Indicators - Section B '!I"&amp;$B30),'Overview - Section A'!E$27:I56,5,0),""))</f>
        <v/>
      </c>
      <c r="O30" s="384"/>
      <c r="P30" s="388"/>
      <c r="Q30" s="389"/>
      <c r="R30" s="390"/>
    </row>
    <row r="31" spans="1:18" x14ac:dyDescent="0.3">
      <c r="A31" s="384" t="b">
        <f t="shared" ca="1" si="2"/>
        <v>0</v>
      </c>
      <c r="B31" s="384">
        <f t="shared" si="0"/>
        <v>33</v>
      </c>
      <c r="C31" s="393" t="str">
        <f>IFERROR(IF(AND(I31=2,B31=7),"blank",INDEX(C$2:C31,I31,1)),"")</f>
        <v>a1IDm0000004agrMAA</v>
      </c>
      <c r="D31" s="386" t="str">
        <f t="shared" ca="1" si="3"/>
        <v/>
      </c>
      <c r="E31" s="387" t="str">
        <f t="shared" ca="1" si="4"/>
        <v/>
      </c>
      <c r="F31" s="387" t="str">
        <f t="shared" ca="1" si="5"/>
        <v/>
      </c>
      <c r="G31" s="388" t="str">
        <f t="shared" ca="1" si="6"/>
        <v/>
      </c>
      <c r="H31" s="388" t="str">
        <f t="shared" ca="1" si="7"/>
        <v/>
      </c>
      <c r="I31" s="384">
        <f t="shared" si="1"/>
        <v>15</v>
      </c>
      <c r="J31" s="388" t="str">
        <f t="shared" ca="1" si="8"/>
        <v/>
      </c>
      <c r="K31" s="384" t="str">
        <f t="shared" ca="1" si="9"/>
        <v/>
      </c>
      <c r="L31" s="388" t="str">
        <f t="shared" ca="1" si="10"/>
        <v/>
      </c>
      <c r="M31" s="384" t="str">
        <f t="array" aca="1" ref="M31" ca="1">IFERROR(VLOOKUP(LEFT(INDIRECT("'Impact Indicators - Section B '!AE"&amp;$B31),255),LEFT('Reference Records'!$G$4:$H$22,255),2,0),"")</f>
        <v/>
      </c>
      <c r="N31" s="384" t="str">
        <f ca="1">IFERROR(VLOOKUP(INDIRECT("'Impact Indicators - Section B '!I"&amp;$B31),'Overview - Section A'!M$30:P69,4,0),IFERROR(VLOOKUP(INDIRECT("'Impact Indicators - Section B '!I"&amp;$B31),'Overview - Section A'!E$27:I57,5,0),""))</f>
        <v/>
      </c>
      <c r="O31" s="384"/>
      <c r="P31" s="388"/>
      <c r="Q31" s="389"/>
      <c r="R31" s="390"/>
    </row>
    <row r="32" spans="1:18" x14ac:dyDescent="0.3">
      <c r="A32" s="384" t="b">
        <f t="shared" ca="1" si="2"/>
        <v>0</v>
      </c>
      <c r="B32" s="384">
        <f t="shared" si="0"/>
        <v>35</v>
      </c>
      <c r="C32" s="393" t="str">
        <f>IFERROR(IF(AND(I32=2,B32=7),"blank",INDEX(C$2:C32,I32,1)),"")</f>
        <v>a1IDm0000004agsMAA</v>
      </c>
      <c r="D32" s="386" t="str">
        <f t="shared" ca="1" si="3"/>
        <v/>
      </c>
      <c r="E32" s="387" t="str">
        <f t="shared" ca="1" si="4"/>
        <v/>
      </c>
      <c r="F32" s="387" t="str">
        <f t="shared" ca="1" si="5"/>
        <v/>
      </c>
      <c r="G32" s="388" t="str">
        <f t="shared" ca="1" si="6"/>
        <v/>
      </c>
      <c r="H32" s="388" t="str">
        <f t="shared" ca="1" si="7"/>
        <v/>
      </c>
      <c r="I32" s="384">
        <f t="shared" si="1"/>
        <v>16</v>
      </c>
      <c r="J32" s="388" t="str">
        <f t="shared" ca="1" si="8"/>
        <v/>
      </c>
      <c r="K32" s="384" t="str">
        <f t="shared" ca="1" si="9"/>
        <v/>
      </c>
      <c r="L32" s="388" t="str">
        <f t="shared" ca="1" si="10"/>
        <v/>
      </c>
      <c r="M32" s="384" t="str">
        <f t="array" aca="1" ref="M32" ca="1">IFERROR(VLOOKUP(LEFT(INDIRECT("'Impact Indicators - Section B '!AE"&amp;$B32),255),LEFT('Reference Records'!$G$4:$H$22,255),2,0),"")</f>
        <v/>
      </c>
      <c r="N32" s="384" t="str">
        <f ca="1">IFERROR(VLOOKUP(INDIRECT("'Impact Indicators - Section B '!I"&amp;$B32),'Overview - Section A'!M$30:P70,4,0),IFERROR(VLOOKUP(INDIRECT("'Impact Indicators - Section B '!I"&amp;$B32),'Overview - Section A'!E$27:I58,5,0),""))</f>
        <v/>
      </c>
      <c r="O32" s="384"/>
      <c r="P32" s="388"/>
      <c r="Q32" s="389"/>
      <c r="R32" s="390"/>
    </row>
    <row r="33" spans="1:20" x14ac:dyDescent="0.3">
      <c r="A33" s="384" t="b">
        <f t="shared" ca="1" si="2"/>
        <v>0</v>
      </c>
      <c r="B33" s="384">
        <f t="shared" si="0"/>
        <v>37</v>
      </c>
      <c r="C33" s="393" t="str">
        <f>IFERROR(IF(AND(I33=2,B33=7),"blank",INDEX(C$2:C33,I33,1)),"")</f>
        <v>a1IDm0000004agtMAA</v>
      </c>
      <c r="D33" s="386" t="str">
        <f t="shared" ca="1" si="3"/>
        <v/>
      </c>
      <c r="E33" s="387" t="str">
        <f t="shared" ca="1" si="4"/>
        <v/>
      </c>
      <c r="F33" s="387" t="str">
        <f t="shared" ca="1" si="5"/>
        <v/>
      </c>
      <c r="G33" s="388" t="str">
        <f t="shared" ca="1" si="6"/>
        <v/>
      </c>
      <c r="H33" s="388" t="str">
        <f t="shared" ca="1" si="7"/>
        <v/>
      </c>
      <c r="I33" s="384">
        <f t="shared" si="1"/>
        <v>17</v>
      </c>
      <c r="J33" s="388" t="str">
        <f t="shared" ca="1" si="8"/>
        <v/>
      </c>
      <c r="K33" s="384" t="str">
        <f t="shared" ca="1" si="9"/>
        <v/>
      </c>
      <c r="L33" s="388" t="str">
        <f t="shared" ca="1" si="10"/>
        <v/>
      </c>
      <c r="M33" s="384" t="str">
        <f t="array" aca="1" ref="M33" ca="1">IFERROR(VLOOKUP(LEFT(INDIRECT("'Impact Indicators - Section B '!AE"&amp;$B33),255),LEFT('Reference Records'!$G$4:$H$22,255),2,0),"")</f>
        <v/>
      </c>
      <c r="N33" s="384" t="str">
        <f ca="1">IFERROR(VLOOKUP(INDIRECT("'Impact Indicators - Section B '!I"&amp;$B33),'Overview - Section A'!M$30:P71,4,0),IFERROR(VLOOKUP(INDIRECT("'Impact Indicators - Section B '!I"&amp;$B33),'Overview - Section A'!E$27:I59,5,0),""))</f>
        <v/>
      </c>
      <c r="O33" s="384"/>
      <c r="P33" s="388"/>
      <c r="Q33" s="389"/>
      <c r="R33" s="390"/>
    </row>
    <row r="34" spans="1:20" x14ac:dyDescent="0.3">
      <c r="B34" s="390"/>
      <c r="C34" s="391"/>
      <c r="D34" s="391"/>
      <c r="E34" s="391"/>
    </row>
    <row r="41" spans="1:20" x14ac:dyDescent="0.3">
      <c r="A41" s="382" t="s">
        <v>2319</v>
      </c>
      <c r="D41" s="392"/>
      <c r="J41" s="383" t="str">
        <f ca="1">IF(ROW()&gt;'Impact Indicator Target Update'!A4,"",INDIRECT("'Impact Indicators - Section B'!A"&amp;'Impact Indicator Target Update'!#REF!))</f>
        <v/>
      </c>
    </row>
    <row r="42" spans="1:20" x14ac:dyDescent="0.3">
      <c r="A42" s="384" t="s">
        <v>325</v>
      </c>
      <c r="B42" s="394"/>
      <c r="C42" s="384" t="s">
        <v>318</v>
      </c>
      <c r="D42" s="384" t="s">
        <v>2320</v>
      </c>
      <c r="E42" s="384" t="s">
        <v>2321</v>
      </c>
      <c r="F42" s="384" t="s">
        <v>737</v>
      </c>
      <c r="G42" s="384"/>
      <c r="H42" s="384" t="s">
        <v>774</v>
      </c>
      <c r="I42" s="384" t="s">
        <v>776</v>
      </c>
      <c r="J42" s="384" t="s">
        <v>771</v>
      </c>
      <c r="K42" s="384" t="s">
        <v>225</v>
      </c>
      <c r="L42" s="384" t="s">
        <v>780</v>
      </c>
      <c r="M42" s="384" t="s">
        <v>744</v>
      </c>
      <c r="N42" s="384" t="s">
        <v>777</v>
      </c>
      <c r="O42" s="384" t="s">
        <v>2322</v>
      </c>
      <c r="P42" s="384">
        <v>-1</v>
      </c>
      <c r="Q42" s="384"/>
      <c r="R42" s="384"/>
      <c r="S42" s="384"/>
      <c r="T42" s="384" t="s">
        <v>462</v>
      </c>
    </row>
    <row r="43" spans="1:20" hidden="1" x14ac:dyDescent="0.3">
      <c r="A43" s="384" t="b">
        <f ca="1">IF(OR(I43&lt;&gt;"",J43&lt;&gt;"",K43&lt;&gt;"",M43&lt;&gt;"",N43&lt;&gt;""),TRUE,FALSE)</f>
        <v>0</v>
      </c>
      <c r="B43" s="394"/>
      <c r="C43" s="384" t="str">
        <f ca="1">O43</f>
        <v/>
      </c>
      <c r="D43" s="384"/>
      <c r="E43" s="384">
        <f ca="1">COUNTIF(F34:F43,F43)</f>
        <v>9</v>
      </c>
      <c r="F43" s="389" t="str">
        <f ca="1">IFERROR(IF(COUNTA($D$41:$D43)=1,"",OFFSET($F41,-COUNTA($D$41:$D43)+3,0)),"")</f>
        <v/>
      </c>
      <c r="G43" s="384"/>
      <c r="H43" s="384" t="str">
        <f ca="1">IF(F43=1,9,IF(E42=MAX(E41:E43),H41+2,H42))</f>
        <v>row number</v>
      </c>
      <c r="I43" s="395" t="str">
        <f ca="1">IFERROR(CHOOSE(E43,IFERROR(IF(INDIRECT("'Impact Indicators - Section B '!K"&amp;H43+1)="","",INDIRECT("'Impact Indicators - Section B '!K"&amp;H43+1)),""),IFERROR(IF(INDIRECT("'Impact Indicators - Section B '!O"&amp;H43+1)="","",INDIRECT("'Impact Indicators - Section B '!O"&amp;H43+1)),""),IFERROR(IF(INDIRECT("'Impact Indicators - Section B '!S"&amp;H43+1)="","",INDIRECT("'Impact Indicators - Section B '!S"&amp;H43+1)),""),IFERROR(IF(INDIRECT("'Impact Indicators - Section B '!W"&amp;H43+1)="","",INDIRECT("'Impact Indicators - Section B '!W"&amp;H43+1)),"")),"")</f>
        <v/>
      </c>
      <c r="J43" s="395" t="str">
        <f ca="1">IFERROR(CHOOSE(E43,IFERROR(IF(INDIRECT("'Impact Indicators - Section B '!K"&amp;H43)="","",INDIRECT("'Impact Indicators - Section B '!K"&amp;H43)),""),IFERROR(IF(INDIRECT("'Impact Indicators - Section B '!O"&amp;H43)="","",INDIRECT("'Impact Indicators - Section B '!O"&amp;H43)),""),IFERROR(IF(INDIRECT("'Impact Indicators - Section B '!S"&amp;H43)="","",INDIRECT("'Impact Indicators - Section B '!S"&amp;H43)),""),IFERROR(IF(INDIRECT("'Impact Indicators - Section B '!W"&amp;H43)="","",INDIRECT("'Impact Indicators - Section B '!W"&amp;H43)),"")),"")</f>
        <v/>
      </c>
      <c r="K43" s="386" t="str">
        <f ca="1">IFERROR(CHOOSE(E43,IFERROR(IF(INDIRECT("'Impact Indicators - Section B '!L"&amp;H43)="","",INDIRECT("'Impact Indicators - Section B '!L"&amp;H43)*100),""),IFERROR(IF(INDIRECT("'Impact Indicators - Section B '!P"&amp;H43)="","",INDIRECT("'Impact Indicators - Section B '!P"&amp;H43)*100),""),IFERROR(IF(INDIRECT("'Impact Indicators - Section B '!T"&amp;H43)="","",INDIRECT("'Impact Indicators - Section B '!T"&amp;H43)*100),""),IFERROR(IF(INDIRECT("'Impact Indicators - Section B '!X"&amp;H43)="","",INDIRECT("'Impact Indicators - Section B '!X"&amp;H43)*100),"")),"")</f>
        <v/>
      </c>
      <c r="L43" s="388" t="str">
        <f ca="1">IFERROR(CHOOSE(E43,'Impact Indicators - Section B '!$K$7,'Impact Indicators - Section B '!$O$7,'Impact Indicators - Section B '!$S$7,'Impact Indicators - Section B '!$W$7,'Impact Indicators - Section B '!#REF!),"")</f>
        <v/>
      </c>
      <c r="M43" s="396" t="str">
        <f ca="1">IFERROR(CHOOSE(E43,IFERROR(IF(INDIRECT("'Impact Indicators - Section B '!M"&amp;H43)="","",INDIRECT("'Impact Indicators - Section B '!M"&amp;H43)),""),IFERROR(IF(INDIRECT("'Impact Indicators - Section B '!Q"&amp;H43)=0,"",INDIRECT("'Impact Indicators - Section B '!Q"&amp;H43)),""),IFERROR(IF(INDIRECT("'Impact Indicators - Section B '!U"&amp;H43)=0,"",INDIRECT("'Impact Indicators - Section B '!U"&amp;H43)),""),IFERROR(IF(INDIRECT("'Impact Indicators - Section B '!Y"&amp;H43)=0,"",INDIRECT("'Impact Indicators - Section B '!Y"&amp;H43)),"")),"")</f>
        <v/>
      </c>
      <c r="N43" s="388" t="str">
        <f ca="1">IFERROR(CHOOSE(E43,IFERROR(IF(INDIRECT("'Impact Indicators - Section B '!N"&amp;H43)=0,"",INDIRECT("'Impact Indicators - Section B '!N"&amp;H43)),""),IFERROR(IF(INDIRECT("'Impact Indicators - Section B '!R"&amp;H43)=0,"",INDIRECT("'Impact Indicators - Section B '!R"&amp;H43)),""),IFERROR(IF(INDIRECT("'Impact Indicators - Section B '!V"&amp;H43)=0,"",INDIRECT("'Impact Indicators - Section B '!V"&amp;H43)),""),IFERROR(IF(INDIRECT("'Impact Indicators - Section B '!Z"&amp;H43)=0,"",INDIRECT("'Impact Indicators - Section B '!Z"&amp;H43)),"")),"")</f>
        <v/>
      </c>
      <c r="O43" s="384" t="str">
        <f ca="1">IFERROR(IF(COUNTA($D$41:$D43)=1,"",OFFSET($C41,-COUNTA($D$41:$D43)+3,0)),"")</f>
        <v/>
      </c>
      <c r="P43" s="384">
        <f>IF(NOT(_xlfn.ISFORMULA(I43)),P42+1,0)</f>
        <v>0</v>
      </c>
      <c r="Q43" s="384"/>
      <c r="R43" s="384"/>
      <c r="S43" s="384"/>
      <c r="T43" s="384" t="b">
        <f ca="1">IF(A43=TRUE,TRUE,FALSE)</f>
        <v>0</v>
      </c>
    </row>
    <row r="44" spans="1:20" x14ac:dyDescent="0.3">
      <c r="A44" s="384" t="b">
        <v>0</v>
      </c>
      <c r="B44" s="394"/>
      <c r="C44" s="384" t="s">
        <v>2323</v>
      </c>
      <c r="D44" s="384" t="s">
        <v>2324</v>
      </c>
      <c r="E44" s="384">
        <f t="shared" ref="E44:E107" ca="1" si="11">COUNTIF(F35:F44,F44)</f>
        <v>1</v>
      </c>
      <c r="F44" s="389">
        <v>1</v>
      </c>
      <c r="G44" s="384"/>
      <c r="H44" s="384">
        <f t="shared" ref="H44:H107" si="12">IF(F44=1,9,IF(E43=MAX(E42:E44),H42+2,H43))</f>
        <v>9</v>
      </c>
      <c r="I44" s="395"/>
      <c r="J44" s="395"/>
      <c r="K44" s="386"/>
      <c r="L44" s="388"/>
      <c r="M44" s="396"/>
      <c r="N44" s="388"/>
      <c r="O44" s="384" t="str">
        <f ca="1">IFERROR(IF(COUNTA($D$41:$D44)=1,"",OFFSET($C42,-COUNTA($D$41:$D44)+3,0)),"")</f>
        <v/>
      </c>
      <c r="P44" s="384">
        <f t="shared" ref="P44:P107" si="13">IF(NOT(_xlfn.ISFORMULA(I44)),P43+1,0)</f>
        <v>1</v>
      </c>
      <c r="Q44" s="384"/>
      <c r="R44" s="384"/>
      <c r="S44" s="384"/>
      <c r="T44" s="384" t="b">
        <v>0</v>
      </c>
    </row>
    <row r="45" spans="1:20" x14ac:dyDescent="0.3">
      <c r="A45" s="384" t="b">
        <v>0</v>
      </c>
      <c r="B45" s="394"/>
      <c r="C45" s="384" t="s">
        <v>2325</v>
      </c>
      <c r="D45" s="384" t="s">
        <v>2324</v>
      </c>
      <c r="E45" s="384">
        <f t="shared" ca="1" si="11"/>
        <v>2</v>
      </c>
      <c r="F45" s="389">
        <v>1</v>
      </c>
      <c r="G45" s="384"/>
      <c r="H45" s="384">
        <f t="shared" si="12"/>
        <v>9</v>
      </c>
      <c r="I45" s="395"/>
      <c r="J45" s="395"/>
      <c r="K45" s="386"/>
      <c r="L45" s="388"/>
      <c r="M45" s="396"/>
      <c r="N45" s="388"/>
      <c r="O45" s="384" t="str">
        <f ca="1">IFERROR(IF(COUNTA($D$41:$D45)=1,"",OFFSET($C43,-COUNTA($D$41:$D45)+3,0)),"")</f>
        <v/>
      </c>
      <c r="P45" s="384">
        <f t="shared" si="13"/>
        <v>2</v>
      </c>
      <c r="Q45" s="384"/>
      <c r="R45" s="384"/>
      <c r="S45" s="384"/>
      <c r="T45" s="384" t="b">
        <v>0</v>
      </c>
    </row>
    <row r="46" spans="1:20" x14ac:dyDescent="0.3">
      <c r="A46" s="384" t="b">
        <v>0</v>
      </c>
      <c r="B46" s="394"/>
      <c r="C46" s="384" t="s">
        <v>2326</v>
      </c>
      <c r="D46" s="384" t="s">
        <v>2324</v>
      </c>
      <c r="E46" s="384">
        <f t="shared" ca="1" si="11"/>
        <v>3</v>
      </c>
      <c r="F46" s="389">
        <v>1</v>
      </c>
      <c r="G46" s="384"/>
      <c r="H46" s="384">
        <f t="shared" si="12"/>
        <v>9</v>
      </c>
      <c r="I46" s="395"/>
      <c r="J46" s="395"/>
      <c r="K46" s="386"/>
      <c r="L46" s="388"/>
      <c r="M46" s="396"/>
      <c r="N46" s="388"/>
      <c r="O46" s="384" t="str">
        <f ca="1">IFERROR(IF(COUNTA($D$41:$D46)=1,"",OFFSET($C44,-COUNTA($D$41:$D46)+3,0)),"")</f>
        <v/>
      </c>
      <c r="P46" s="384">
        <f t="shared" si="13"/>
        <v>3</v>
      </c>
      <c r="Q46" s="384"/>
      <c r="R46" s="384"/>
      <c r="S46" s="384"/>
      <c r="T46" s="384" t="b">
        <v>0</v>
      </c>
    </row>
    <row r="47" spans="1:20" x14ac:dyDescent="0.3">
      <c r="A47" s="384" t="b">
        <v>0</v>
      </c>
      <c r="B47" s="394"/>
      <c r="C47" s="384" t="s">
        <v>2327</v>
      </c>
      <c r="D47" s="384" t="s">
        <v>2324</v>
      </c>
      <c r="E47" s="384">
        <f t="shared" ca="1" si="11"/>
        <v>4</v>
      </c>
      <c r="F47" s="389">
        <v>1</v>
      </c>
      <c r="G47" s="384"/>
      <c r="H47" s="384">
        <f t="shared" si="12"/>
        <v>9</v>
      </c>
      <c r="I47" s="395"/>
      <c r="J47" s="395"/>
      <c r="K47" s="386"/>
      <c r="L47" s="388"/>
      <c r="M47" s="396"/>
      <c r="N47" s="388"/>
      <c r="O47" s="384" t="str">
        <f ca="1">IFERROR(IF(COUNTA($D$41:$D47)=1,"",OFFSET($C45,-COUNTA($D$41:$D47)+3,0)),"")</f>
        <v/>
      </c>
      <c r="P47" s="384">
        <f t="shared" si="13"/>
        <v>4</v>
      </c>
      <c r="Q47" s="384"/>
      <c r="R47" s="384"/>
      <c r="S47" s="384"/>
      <c r="T47" s="384" t="b">
        <v>0</v>
      </c>
    </row>
    <row r="48" spans="1:20" x14ac:dyDescent="0.3">
      <c r="A48" s="384" t="b">
        <v>0</v>
      </c>
      <c r="B48" s="394"/>
      <c r="C48" s="384" t="s">
        <v>2328</v>
      </c>
      <c r="D48" s="384" t="s">
        <v>2324</v>
      </c>
      <c r="E48" s="384">
        <f t="shared" ca="1" si="11"/>
        <v>5</v>
      </c>
      <c r="F48" s="389">
        <v>1</v>
      </c>
      <c r="G48" s="384"/>
      <c r="H48" s="384">
        <f t="shared" si="12"/>
        <v>9</v>
      </c>
      <c r="I48" s="395"/>
      <c r="J48" s="395"/>
      <c r="K48" s="386"/>
      <c r="L48" s="388"/>
      <c r="M48" s="396"/>
      <c r="N48" s="388"/>
      <c r="O48" s="384" t="str">
        <f ca="1">IFERROR(IF(COUNTA($D$41:$D48)=1,"",OFFSET($C46,-COUNTA($D$41:$D48)+3,0)),"")</f>
        <v/>
      </c>
      <c r="P48" s="384">
        <f t="shared" si="13"/>
        <v>5</v>
      </c>
      <c r="Q48" s="384"/>
      <c r="R48" s="384"/>
      <c r="S48" s="384"/>
      <c r="T48" s="384" t="b">
        <v>0</v>
      </c>
    </row>
    <row r="49" spans="1:20" x14ac:dyDescent="0.3">
      <c r="A49" s="384" t="b">
        <v>0</v>
      </c>
      <c r="B49" s="394"/>
      <c r="C49" s="384" t="s">
        <v>2329</v>
      </c>
      <c r="D49" s="384" t="s">
        <v>2324</v>
      </c>
      <c r="E49" s="384">
        <f t="shared" ca="1" si="11"/>
        <v>6</v>
      </c>
      <c r="F49" s="389">
        <v>1</v>
      </c>
      <c r="G49" s="384"/>
      <c r="H49" s="384">
        <f t="shared" si="12"/>
        <v>9</v>
      </c>
      <c r="I49" s="395"/>
      <c r="J49" s="395"/>
      <c r="K49" s="386"/>
      <c r="L49" s="388"/>
      <c r="M49" s="396"/>
      <c r="N49" s="388"/>
      <c r="O49" s="384" t="str">
        <f ca="1">IFERROR(IF(COUNTA($D$41:$D49)=1,"",OFFSET($C47,-COUNTA($D$41:$D49)+3,0)),"")</f>
        <v/>
      </c>
      <c r="P49" s="384">
        <f t="shared" si="13"/>
        <v>6</v>
      </c>
      <c r="Q49" s="384"/>
      <c r="R49" s="384"/>
      <c r="S49" s="384"/>
      <c r="T49" s="384" t="b">
        <v>0</v>
      </c>
    </row>
    <row r="50" spans="1:20" x14ac:dyDescent="0.3">
      <c r="A50" s="384" t="b">
        <v>0</v>
      </c>
      <c r="B50" s="394"/>
      <c r="C50" s="384" t="s">
        <v>2330</v>
      </c>
      <c r="D50" s="384" t="s">
        <v>2331</v>
      </c>
      <c r="E50" s="384">
        <f t="shared" ca="1" si="11"/>
        <v>1</v>
      </c>
      <c r="F50" s="389">
        <v>2</v>
      </c>
      <c r="G50" s="384"/>
      <c r="H50" s="384">
        <f t="shared" ca="1" si="12"/>
        <v>11</v>
      </c>
      <c r="I50" s="395"/>
      <c r="J50" s="395"/>
      <c r="K50" s="386"/>
      <c r="L50" s="388"/>
      <c r="M50" s="396"/>
      <c r="N50" s="388"/>
      <c r="O50" s="384" t="str">
        <f ca="1">IFERROR(IF(COUNTA($D$41:$D50)=1,"",OFFSET($C48,-COUNTA($D$41:$D50)+3,0)),"")</f>
        <v/>
      </c>
      <c r="P50" s="384">
        <f t="shared" si="13"/>
        <v>7</v>
      </c>
      <c r="Q50" s="384"/>
      <c r="R50" s="384"/>
      <c r="S50" s="384"/>
      <c r="T50" s="384" t="b">
        <v>0</v>
      </c>
    </row>
    <row r="51" spans="1:20" x14ac:dyDescent="0.3">
      <c r="A51" s="384" t="b">
        <v>0</v>
      </c>
      <c r="B51" s="394"/>
      <c r="C51" s="384" t="s">
        <v>2332</v>
      </c>
      <c r="D51" s="384" t="s">
        <v>2331</v>
      </c>
      <c r="E51" s="384">
        <f t="shared" ca="1" si="11"/>
        <v>2</v>
      </c>
      <c r="F51" s="389">
        <v>2</v>
      </c>
      <c r="G51" s="384"/>
      <c r="H51" s="384">
        <f t="shared" ca="1" si="12"/>
        <v>11</v>
      </c>
      <c r="I51" s="395"/>
      <c r="J51" s="395"/>
      <c r="K51" s="386"/>
      <c r="L51" s="388"/>
      <c r="M51" s="396"/>
      <c r="N51" s="388"/>
      <c r="O51" s="384" t="str">
        <f ca="1">IFERROR(IF(COUNTA($D$41:$D51)=1,"",OFFSET($C49,-COUNTA($D$41:$D51)+3,0)),"")</f>
        <v/>
      </c>
      <c r="P51" s="384">
        <f t="shared" si="13"/>
        <v>8</v>
      </c>
      <c r="Q51" s="384"/>
      <c r="R51" s="384"/>
      <c r="S51" s="384"/>
      <c r="T51" s="384" t="b">
        <v>0</v>
      </c>
    </row>
    <row r="52" spans="1:20" x14ac:dyDescent="0.3">
      <c r="A52" s="384" t="b">
        <v>0</v>
      </c>
      <c r="B52" s="394"/>
      <c r="C52" s="384" t="s">
        <v>2333</v>
      </c>
      <c r="D52" s="384" t="s">
        <v>2331</v>
      </c>
      <c r="E52" s="384">
        <f t="shared" ca="1" si="11"/>
        <v>3</v>
      </c>
      <c r="F52" s="389">
        <v>2</v>
      </c>
      <c r="G52" s="384"/>
      <c r="H52" s="384">
        <f t="shared" ca="1" si="12"/>
        <v>11</v>
      </c>
      <c r="I52" s="395"/>
      <c r="J52" s="395"/>
      <c r="K52" s="386"/>
      <c r="L52" s="388"/>
      <c r="M52" s="396"/>
      <c r="N52" s="388"/>
      <c r="O52" s="384" t="str">
        <f ca="1">IFERROR(IF(COUNTA($D$41:$D52)=1,"",OFFSET($C50,-COUNTA($D$41:$D52)+3,0)),"")</f>
        <v/>
      </c>
      <c r="P52" s="384">
        <f t="shared" si="13"/>
        <v>9</v>
      </c>
      <c r="Q52" s="384"/>
      <c r="R52" s="384"/>
      <c r="S52" s="384"/>
      <c r="T52" s="384" t="b">
        <v>0</v>
      </c>
    </row>
    <row r="53" spans="1:20" x14ac:dyDescent="0.3">
      <c r="A53" s="384" t="b">
        <v>0</v>
      </c>
      <c r="B53" s="394"/>
      <c r="C53" s="384" t="s">
        <v>2334</v>
      </c>
      <c r="D53" s="384" t="s">
        <v>2331</v>
      </c>
      <c r="E53" s="384">
        <f t="shared" si="11"/>
        <v>4</v>
      </c>
      <c r="F53" s="389">
        <v>2</v>
      </c>
      <c r="G53" s="384"/>
      <c r="H53" s="384">
        <f t="shared" ca="1" si="12"/>
        <v>11</v>
      </c>
      <c r="I53" s="395"/>
      <c r="J53" s="395"/>
      <c r="K53" s="386"/>
      <c r="L53" s="388"/>
      <c r="M53" s="396"/>
      <c r="N53" s="388"/>
      <c r="O53" s="384" t="str">
        <f ca="1">IFERROR(IF(COUNTA($D$41:$D53)=1,"",OFFSET($C51,-COUNTA($D$41:$D53)+3,0)),"")</f>
        <v/>
      </c>
      <c r="P53" s="384">
        <f t="shared" si="13"/>
        <v>10</v>
      </c>
      <c r="Q53" s="384"/>
      <c r="R53" s="384"/>
      <c r="S53" s="384"/>
      <c r="T53" s="384" t="b">
        <v>0</v>
      </c>
    </row>
    <row r="54" spans="1:20" x14ac:dyDescent="0.3">
      <c r="A54" s="384" t="b">
        <v>0</v>
      </c>
      <c r="B54" s="394"/>
      <c r="C54" s="384" t="s">
        <v>2335</v>
      </c>
      <c r="D54" s="384" t="s">
        <v>2331</v>
      </c>
      <c r="E54" s="384">
        <f t="shared" si="11"/>
        <v>5</v>
      </c>
      <c r="F54" s="389">
        <v>2</v>
      </c>
      <c r="G54" s="384"/>
      <c r="H54" s="384">
        <f t="shared" ca="1" si="12"/>
        <v>11</v>
      </c>
      <c r="I54" s="395"/>
      <c r="J54" s="395"/>
      <c r="K54" s="386"/>
      <c r="L54" s="388"/>
      <c r="M54" s="396"/>
      <c r="N54" s="388"/>
      <c r="O54" s="384" t="str">
        <f ca="1">IFERROR(IF(COUNTA($D$41:$D54)=1,"",OFFSET($C52,-COUNTA($D$41:$D54)+3,0)),"")</f>
        <v/>
      </c>
      <c r="P54" s="384">
        <f t="shared" si="13"/>
        <v>11</v>
      </c>
      <c r="Q54" s="384"/>
      <c r="R54" s="384"/>
      <c r="S54" s="384"/>
      <c r="T54" s="384" t="b">
        <v>0</v>
      </c>
    </row>
    <row r="55" spans="1:20" x14ac:dyDescent="0.3">
      <c r="A55" s="384" t="b">
        <v>0</v>
      </c>
      <c r="B55" s="394"/>
      <c r="C55" s="384" t="s">
        <v>2336</v>
      </c>
      <c r="D55" s="384" t="s">
        <v>2331</v>
      </c>
      <c r="E55" s="384">
        <f t="shared" si="11"/>
        <v>6</v>
      </c>
      <c r="F55" s="389">
        <v>2</v>
      </c>
      <c r="G55" s="384"/>
      <c r="H55" s="384">
        <f t="shared" ca="1" si="12"/>
        <v>11</v>
      </c>
      <c r="I55" s="395"/>
      <c r="J55" s="395"/>
      <c r="K55" s="386"/>
      <c r="L55" s="388"/>
      <c r="M55" s="396"/>
      <c r="N55" s="388"/>
      <c r="O55" s="384" t="str">
        <f ca="1">IFERROR(IF(COUNTA($D$41:$D55)=1,"",OFFSET($C53,-COUNTA($D$41:$D55)+3,0)),"")</f>
        <v/>
      </c>
      <c r="P55" s="384">
        <f t="shared" si="13"/>
        <v>12</v>
      </c>
      <c r="Q55" s="384"/>
      <c r="R55" s="384"/>
      <c r="S55" s="384"/>
      <c r="T55" s="384" t="b">
        <v>0</v>
      </c>
    </row>
    <row r="56" spans="1:20" x14ac:dyDescent="0.3">
      <c r="A56" s="384" t="b">
        <v>0</v>
      </c>
      <c r="B56" s="394"/>
      <c r="C56" s="384" t="s">
        <v>2337</v>
      </c>
      <c r="D56" s="384" t="s">
        <v>2338</v>
      </c>
      <c r="E56" s="384">
        <f t="shared" si="11"/>
        <v>1</v>
      </c>
      <c r="F56" s="389">
        <v>3</v>
      </c>
      <c r="G56" s="384"/>
      <c r="H56" s="384">
        <f t="shared" ca="1" si="12"/>
        <v>13</v>
      </c>
      <c r="I56" s="395"/>
      <c r="J56" s="395"/>
      <c r="K56" s="386"/>
      <c r="L56" s="388"/>
      <c r="M56" s="396"/>
      <c r="N56" s="388"/>
      <c r="O56" s="384" t="str">
        <f ca="1">IFERROR(IF(COUNTA($D$41:$D56)=1,"",OFFSET($C54,-COUNTA($D$41:$D56)+3,0)),"")</f>
        <v/>
      </c>
      <c r="P56" s="384">
        <f t="shared" si="13"/>
        <v>13</v>
      </c>
      <c r="Q56" s="384"/>
      <c r="R56" s="384"/>
      <c r="S56" s="384"/>
      <c r="T56" s="384" t="b">
        <v>0</v>
      </c>
    </row>
    <row r="57" spans="1:20" x14ac:dyDescent="0.3">
      <c r="A57" s="384" t="b">
        <v>0</v>
      </c>
      <c r="B57" s="394"/>
      <c r="C57" s="384" t="s">
        <v>2339</v>
      </c>
      <c r="D57" s="384" t="s">
        <v>2338</v>
      </c>
      <c r="E57" s="384">
        <f t="shared" si="11"/>
        <v>2</v>
      </c>
      <c r="F57" s="389">
        <v>3</v>
      </c>
      <c r="G57" s="384"/>
      <c r="H57" s="384">
        <f t="shared" ca="1" si="12"/>
        <v>13</v>
      </c>
      <c r="I57" s="395"/>
      <c r="J57" s="395"/>
      <c r="K57" s="386"/>
      <c r="L57" s="388"/>
      <c r="M57" s="396"/>
      <c r="N57" s="388"/>
      <c r="O57" s="384" t="str">
        <f ca="1">IFERROR(IF(COUNTA($D$41:$D57)=1,"",OFFSET($C55,-COUNTA($D$41:$D57)+3,0)),"")</f>
        <v/>
      </c>
      <c r="P57" s="384">
        <f t="shared" si="13"/>
        <v>14</v>
      </c>
      <c r="Q57" s="384"/>
      <c r="R57" s="384"/>
      <c r="S57" s="384"/>
      <c r="T57" s="384" t="b">
        <v>0</v>
      </c>
    </row>
    <row r="58" spans="1:20" x14ac:dyDescent="0.3">
      <c r="A58" s="384" t="b">
        <v>0</v>
      </c>
      <c r="B58" s="394"/>
      <c r="C58" s="384" t="s">
        <v>2340</v>
      </c>
      <c r="D58" s="384" t="s">
        <v>2338</v>
      </c>
      <c r="E58" s="384">
        <f t="shared" si="11"/>
        <v>3</v>
      </c>
      <c r="F58" s="389">
        <v>3</v>
      </c>
      <c r="G58" s="384"/>
      <c r="H58" s="384">
        <f t="shared" ca="1" si="12"/>
        <v>13</v>
      </c>
      <c r="I58" s="395"/>
      <c r="J58" s="395"/>
      <c r="K58" s="386"/>
      <c r="L58" s="388"/>
      <c r="M58" s="396"/>
      <c r="N58" s="388"/>
      <c r="O58" s="384" t="str">
        <f ca="1">IFERROR(IF(COUNTA($D$41:$D58)=1,"",OFFSET($C56,-COUNTA($D$41:$D58)+3,0)),"")</f>
        <v/>
      </c>
      <c r="P58" s="384">
        <f t="shared" si="13"/>
        <v>15</v>
      </c>
      <c r="Q58" s="384"/>
      <c r="R58" s="384"/>
      <c r="S58" s="384"/>
      <c r="T58" s="384" t="b">
        <v>0</v>
      </c>
    </row>
    <row r="59" spans="1:20" x14ac:dyDescent="0.3">
      <c r="A59" s="384" t="b">
        <v>0</v>
      </c>
      <c r="B59" s="394"/>
      <c r="C59" s="384" t="s">
        <v>2341</v>
      </c>
      <c r="D59" s="384" t="s">
        <v>2338</v>
      </c>
      <c r="E59" s="384">
        <f t="shared" si="11"/>
        <v>4</v>
      </c>
      <c r="F59" s="389">
        <v>3</v>
      </c>
      <c r="G59" s="384"/>
      <c r="H59" s="384">
        <f t="shared" ca="1" si="12"/>
        <v>13</v>
      </c>
      <c r="I59" s="395"/>
      <c r="J59" s="395"/>
      <c r="K59" s="386"/>
      <c r="L59" s="388"/>
      <c r="M59" s="396"/>
      <c r="N59" s="388"/>
      <c r="O59" s="384" t="str">
        <f ca="1">IFERROR(IF(COUNTA($D$41:$D59)=1,"",OFFSET($C57,-COUNTA($D$41:$D59)+3,0)),"")</f>
        <v/>
      </c>
      <c r="P59" s="384">
        <f t="shared" si="13"/>
        <v>16</v>
      </c>
      <c r="Q59" s="384"/>
      <c r="R59" s="384"/>
      <c r="S59" s="384"/>
      <c r="T59" s="384" t="b">
        <v>0</v>
      </c>
    </row>
    <row r="60" spans="1:20" x14ac:dyDescent="0.3">
      <c r="A60" s="384" t="b">
        <v>0</v>
      </c>
      <c r="B60" s="394"/>
      <c r="C60" s="384" t="s">
        <v>2342</v>
      </c>
      <c r="D60" s="384" t="s">
        <v>2338</v>
      </c>
      <c r="E60" s="384">
        <f t="shared" si="11"/>
        <v>5</v>
      </c>
      <c r="F60" s="389">
        <v>3</v>
      </c>
      <c r="G60" s="384"/>
      <c r="H60" s="384">
        <f t="shared" ca="1" si="12"/>
        <v>13</v>
      </c>
      <c r="I60" s="395"/>
      <c r="J60" s="395"/>
      <c r="K60" s="386"/>
      <c r="L60" s="388"/>
      <c r="M60" s="396"/>
      <c r="N60" s="388"/>
      <c r="O60" s="384" t="str">
        <f ca="1">IFERROR(IF(COUNTA($D$41:$D60)=1,"",OFFSET($C58,-COUNTA($D$41:$D60)+3,0)),"")</f>
        <v/>
      </c>
      <c r="P60" s="384">
        <f t="shared" si="13"/>
        <v>17</v>
      </c>
      <c r="Q60" s="384"/>
      <c r="R60" s="384"/>
      <c r="S60" s="384"/>
      <c r="T60" s="384" t="b">
        <v>0</v>
      </c>
    </row>
    <row r="61" spans="1:20" x14ac:dyDescent="0.3">
      <c r="A61" s="384" t="b">
        <v>0</v>
      </c>
      <c r="B61" s="394"/>
      <c r="C61" s="384" t="s">
        <v>2343</v>
      </c>
      <c r="D61" s="384" t="s">
        <v>2338</v>
      </c>
      <c r="E61" s="384">
        <f t="shared" si="11"/>
        <v>6</v>
      </c>
      <c r="F61" s="389">
        <v>3</v>
      </c>
      <c r="G61" s="384"/>
      <c r="H61" s="384">
        <f t="shared" ca="1" si="12"/>
        <v>13</v>
      </c>
      <c r="I61" s="395"/>
      <c r="J61" s="395"/>
      <c r="K61" s="386"/>
      <c r="L61" s="388"/>
      <c r="M61" s="396"/>
      <c r="N61" s="388"/>
      <c r="O61" s="384" t="str">
        <f ca="1">IFERROR(IF(COUNTA($D$41:$D61)=1,"",OFFSET($C59,-COUNTA($D$41:$D61)+3,0)),"")</f>
        <v/>
      </c>
      <c r="P61" s="384">
        <f t="shared" si="13"/>
        <v>18</v>
      </c>
      <c r="Q61" s="384"/>
      <c r="R61" s="384"/>
      <c r="S61" s="384"/>
      <c r="T61" s="384" t="b">
        <v>0</v>
      </c>
    </row>
    <row r="62" spans="1:20" x14ac:dyDescent="0.3">
      <c r="A62" s="384" t="b">
        <v>0</v>
      </c>
      <c r="B62" s="394"/>
      <c r="C62" s="384" t="s">
        <v>2344</v>
      </c>
      <c r="D62" s="384" t="s">
        <v>2345</v>
      </c>
      <c r="E62" s="384">
        <f t="shared" si="11"/>
        <v>1</v>
      </c>
      <c r="F62" s="389">
        <v>4</v>
      </c>
      <c r="G62" s="384"/>
      <c r="H62" s="384">
        <f t="shared" ca="1" si="12"/>
        <v>15</v>
      </c>
      <c r="I62" s="395"/>
      <c r="J62" s="395"/>
      <c r="K62" s="386"/>
      <c r="L62" s="388"/>
      <c r="M62" s="396"/>
      <c r="N62" s="388"/>
      <c r="O62" s="384" t="str">
        <f ca="1">IFERROR(IF(COUNTA($D$41:$D62)=1,"",OFFSET($C60,-COUNTA($D$41:$D62)+3,0)),"")</f>
        <v/>
      </c>
      <c r="P62" s="384">
        <f t="shared" si="13"/>
        <v>19</v>
      </c>
      <c r="Q62" s="384"/>
      <c r="R62" s="384"/>
      <c r="S62" s="384"/>
      <c r="T62" s="384" t="b">
        <v>0</v>
      </c>
    </row>
    <row r="63" spans="1:20" x14ac:dyDescent="0.3">
      <c r="A63" s="384" t="b">
        <v>0</v>
      </c>
      <c r="B63" s="394"/>
      <c r="C63" s="384" t="s">
        <v>2346</v>
      </c>
      <c r="D63" s="384" t="s">
        <v>2345</v>
      </c>
      <c r="E63" s="384">
        <f t="shared" si="11"/>
        <v>2</v>
      </c>
      <c r="F63" s="389">
        <v>4</v>
      </c>
      <c r="G63" s="384"/>
      <c r="H63" s="384">
        <f t="shared" ca="1" si="12"/>
        <v>15</v>
      </c>
      <c r="I63" s="395"/>
      <c r="J63" s="395"/>
      <c r="K63" s="386"/>
      <c r="L63" s="388"/>
      <c r="M63" s="396"/>
      <c r="N63" s="388"/>
      <c r="O63" s="384" t="str">
        <f ca="1">IFERROR(IF(COUNTA($D$41:$D63)=1,"",OFFSET($C61,-COUNTA($D$41:$D63)+3,0)),"")</f>
        <v/>
      </c>
      <c r="P63" s="384">
        <f t="shared" si="13"/>
        <v>20</v>
      </c>
      <c r="Q63" s="384"/>
      <c r="R63" s="384"/>
      <c r="S63" s="384"/>
      <c r="T63" s="384" t="b">
        <v>0</v>
      </c>
    </row>
    <row r="64" spans="1:20" x14ac:dyDescent="0.3">
      <c r="A64" s="384" t="b">
        <v>0</v>
      </c>
      <c r="B64" s="394"/>
      <c r="C64" s="384" t="s">
        <v>2347</v>
      </c>
      <c r="D64" s="384" t="s">
        <v>2345</v>
      </c>
      <c r="E64" s="384">
        <f t="shared" si="11"/>
        <v>3</v>
      </c>
      <c r="F64" s="389">
        <v>4</v>
      </c>
      <c r="G64" s="384"/>
      <c r="H64" s="384">
        <f t="shared" ca="1" si="12"/>
        <v>15</v>
      </c>
      <c r="I64" s="395"/>
      <c r="J64" s="395"/>
      <c r="K64" s="386"/>
      <c r="L64" s="388"/>
      <c r="M64" s="396"/>
      <c r="N64" s="388"/>
      <c r="O64" s="384" t="str">
        <f ca="1">IFERROR(IF(COUNTA($D$41:$D64)=1,"",OFFSET($C62,-COUNTA($D$41:$D64)+3,0)),"")</f>
        <v/>
      </c>
      <c r="P64" s="384">
        <f t="shared" si="13"/>
        <v>21</v>
      </c>
      <c r="Q64" s="384"/>
      <c r="R64" s="384"/>
      <c r="S64" s="384"/>
      <c r="T64" s="384" t="b">
        <v>0</v>
      </c>
    </row>
    <row r="65" spans="1:20" x14ac:dyDescent="0.3">
      <c r="A65" s="384" t="b">
        <v>0</v>
      </c>
      <c r="B65" s="394"/>
      <c r="C65" s="384" t="s">
        <v>2348</v>
      </c>
      <c r="D65" s="384" t="s">
        <v>2345</v>
      </c>
      <c r="E65" s="384">
        <f t="shared" si="11"/>
        <v>4</v>
      </c>
      <c r="F65" s="389">
        <v>4</v>
      </c>
      <c r="G65" s="384"/>
      <c r="H65" s="384">
        <f t="shared" ca="1" si="12"/>
        <v>15</v>
      </c>
      <c r="I65" s="395"/>
      <c r="J65" s="395"/>
      <c r="K65" s="386"/>
      <c r="L65" s="388"/>
      <c r="M65" s="396"/>
      <c r="N65" s="388"/>
      <c r="O65" s="384" t="str">
        <f ca="1">IFERROR(IF(COUNTA($D$41:$D65)=1,"",OFFSET($C63,-COUNTA($D$41:$D65)+3,0)),"")</f>
        <v/>
      </c>
      <c r="P65" s="384">
        <f t="shared" si="13"/>
        <v>22</v>
      </c>
      <c r="Q65" s="384"/>
      <c r="R65" s="384"/>
      <c r="S65" s="384"/>
      <c r="T65" s="384" t="b">
        <v>0</v>
      </c>
    </row>
    <row r="66" spans="1:20" x14ac:dyDescent="0.3">
      <c r="A66" s="384" t="b">
        <v>0</v>
      </c>
      <c r="B66" s="394"/>
      <c r="C66" s="384" t="s">
        <v>2349</v>
      </c>
      <c r="D66" s="384" t="s">
        <v>2345</v>
      </c>
      <c r="E66" s="384">
        <f t="shared" si="11"/>
        <v>5</v>
      </c>
      <c r="F66" s="389">
        <v>4</v>
      </c>
      <c r="G66" s="384"/>
      <c r="H66" s="384">
        <f t="shared" ca="1" si="12"/>
        <v>15</v>
      </c>
      <c r="I66" s="395"/>
      <c r="J66" s="395"/>
      <c r="K66" s="386"/>
      <c r="L66" s="388"/>
      <c r="M66" s="396"/>
      <c r="N66" s="388"/>
      <c r="O66" s="384" t="str">
        <f ca="1">IFERROR(IF(COUNTA($D$41:$D66)=1,"",OFFSET($C64,-COUNTA($D$41:$D66)+3,0)),"")</f>
        <v/>
      </c>
      <c r="P66" s="384">
        <f t="shared" si="13"/>
        <v>23</v>
      </c>
      <c r="Q66" s="384"/>
      <c r="R66" s="384"/>
      <c r="S66" s="384"/>
      <c r="T66" s="384" t="b">
        <v>0</v>
      </c>
    </row>
    <row r="67" spans="1:20" x14ac:dyDescent="0.3">
      <c r="A67" s="384" t="b">
        <v>0</v>
      </c>
      <c r="B67" s="394"/>
      <c r="C67" s="384" t="s">
        <v>2350</v>
      </c>
      <c r="D67" s="384" t="s">
        <v>2345</v>
      </c>
      <c r="E67" s="384">
        <f t="shared" si="11"/>
        <v>6</v>
      </c>
      <c r="F67" s="389">
        <v>4</v>
      </c>
      <c r="G67" s="384"/>
      <c r="H67" s="384">
        <f t="shared" ca="1" si="12"/>
        <v>15</v>
      </c>
      <c r="I67" s="395"/>
      <c r="J67" s="395"/>
      <c r="K67" s="386"/>
      <c r="L67" s="388"/>
      <c r="M67" s="396"/>
      <c r="N67" s="388"/>
      <c r="O67" s="384" t="str">
        <f ca="1">IFERROR(IF(COUNTA($D$41:$D67)=1,"",OFFSET($C65,-COUNTA($D$41:$D67)+3,0)),"")</f>
        <v/>
      </c>
      <c r="P67" s="384">
        <f t="shared" si="13"/>
        <v>24</v>
      </c>
      <c r="Q67" s="384"/>
      <c r="R67" s="384"/>
      <c r="S67" s="384"/>
      <c r="T67" s="384" t="b">
        <v>0</v>
      </c>
    </row>
    <row r="68" spans="1:20" x14ac:dyDescent="0.3">
      <c r="A68" s="384" t="b">
        <v>0</v>
      </c>
      <c r="B68" s="394"/>
      <c r="C68" s="384" t="s">
        <v>2351</v>
      </c>
      <c r="D68" s="384" t="s">
        <v>2352</v>
      </c>
      <c r="E68" s="384">
        <f t="shared" si="11"/>
        <v>1</v>
      </c>
      <c r="F68" s="389">
        <v>5</v>
      </c>
      <c r="G68" s="384"/>
      <c r="H68" s="384">
        <f t="shared" ca="1" si="12"/>
        <v>17</v>
      </c>
      <c r="I68" s="395"/>
      <c r="J68" s="395"/>
      <c r="K68" s="386"/>
      <c r="L68" s="388"/>
      <c r="M68" s="396"/>
      <c r="N68" s="388"/>
      <c r="O68" s="384" t="str">
        <f ca="1">IFERROR(IF(COUNTA($D$41:$D68)=1,"",OFFSET($C66,-COUNTA($D$41:$D68)+3,0)),"")</f>
        <v/>
      </c>
      <c r="P68" s="384">
        <f t="shared" si="13"/>
        <v>25</v>
      </c>
      <c r="Q68" s="384"/>
      <c r="R68" s="384"/>
      <c r="S68" s="384"/>
      <c r="T68" s="384" t="b">
        <v>0</v>
      </c>
    </row>
    <row r="69" spans="1:20" x14ac:dyDescent="0.3">
      <c r="A69" s="384" t="b">
        <v>0</v>
      </c>
      <c r="B69" s="394"/>
      <c r="C69" s="384" t="s">
        <v>2353</v>
      </c>
      <c r="D69" s="384" t="s">
        <v>2352</v>
      </c>
      <c r="E69" s="384">
        <f t="shared" si="11"/>
        <v>2</v>
      </c>
      <c r="F69" s="389">
        <v>5</v>
      </c>
      <c r="G69" s="384"/>
      <c r="H69" s="384">
        <f t="shared" ca="1" si="12"/>
        <v>17</v>
      </c>
      <c r="I69" s="395"/>
      <c r="J69" s="395"/>
      <c r="K69" s="386"/>
      <c r="L69" s="388"/>
      <c r="M69" s="396"/>
      <c r="N69" s="388"/>
      <c r="O69" s="384" t="str">
        <f ca="1">IFERROR(IF(COUNTA($D$41:$D69)=1,"",OFFSET($C67,-COUNTA($D$41:$D69)+3,0)),"")</f>
        <v/>
      </c>
      <c r="P69" s="384">
        <f t="shared" si="13"/>
        <v>26</v>
      </c>
      <c r="Q69" s="384"/>
      <c r="R69" s="384"/>
      <c r="S69" s="384"/>
      <c r="T69" s="384" t="b">
        <v>0</v>
      </c>
    </row>
    <row r="70" spans="1:20" x14ac:dyDescent="0.3">
      <c r="A70" s="384" t="b">
        <v>0</v>
      </c>
      <c r="B70" s="394"/>
      <c r="C70" s="384" t="s">
        <v>2354</v>
      </c>
      <c r="D70" s="384" t="s">
        <v>2352</v>
      </c>
      <c r="E70" s="384">
        <f t="shared" si="11"/>
        <v>3</v>
      </c>
      <c r="F70" s="389">
        <v>5</v>
      </c>
      <c r="G70" s="384"/>
      <c r="H70" s="384">
        <f t="shared" ca="1" si="12"/>
        <v>17</v>
      </c>
      <c r="I70" s="395"/>
      <c r="J70" s="395"/>
      <c r="K70" s="386"/>
      <c r="L70" s="388"/>
      <c r="M70" s="396"/>
      <c r="N70" s="388"/>
      <c r="O70" s="384" t="str">
        <f ca="1">IFERROR(IF(COUNTA($D$41:$D70)=1,"",OFFSET($C68,-COUNTA($D$41:$D70)+3,0)),"")</f>
        <v/>
      </c>
      <c r="P70" s="384">
        <f t="shared" si="13"/>
        <v>27</v>
      </c>
      <c r="Q70" s="384"/>
      <c r="R70" s="384"/>
      <c r="S70" s="384"/>
      <c r="T70" s="384" t="b">
        <v>0</v>
      </c>
    </row>
    <row r="71" spans="1:20" x14ac:dyDescent="0.3">
      <c r="A71" s="384" t="b">
        <v>0</v>
      </c>
      <c r="B71" s="394"/>
      <c r="C71" s="384" t="s">
        <v>2355</v>
      </c>
      <c r="D71" s="384" t="s">
        <v>2352</v>
      </c>
      <c r="E71" s="384">
        <f t="shared" si="11"/>
        <v>4</v>
      </c>
      <c r="F71" s="389">
        <v>5</v>
      </c>
      <c r="G71" s="384"/>
      <c r="H71" s="384">
        <f t="shared" ca="1" si="12"/>
        <v>17</v>
      </c>
      <c r="I71" s="395"/>
      <c r="J71" s="395"/>
      <c r="K71" s="386"/>
      <c r="L71" s="388"/>
      <c r="M71" s="396"/>
      <c r="N71" s="388"/>
      <c r="O71" s="384" t="str">
        <f ca="1">IFERROR(IF(COUNTA($D$41:$D71)=1,"",OFFSET($C69,-COUNTA($D$41:$D71)+3,0)),"")</f>
        <v/>
      </c>
      <c r="P71" s="384">
        <f t="shared" si="13"/>
        <v>28</v>
      </c>
      <c r="Q71" s="384"/>
      <c r="R71" s="384"/>
      <c r="S71" s="384"/>
      <c r="T71" s="384" t="b">
        <v>0</v>
      </c>
    </row>
    <row r="72" spans="1:20" x14ac:dyDescent="0.3">
      <c r="A72" s="384" t="b">
        <v>0</v>
      </c>
      <c r="B72" s="394"/>
      <c r="C72" s="384" t="s">
        <v>2356</v>
      </c>
      <c r="D72" s="384" t="s">
        <v>2352</v>
      </c>
      <c r="E72" s="384">
        <f t="shared" si="11"/>
        <v>5</v>
      </c>
      <c r="F72" s="389">
        <v>5</v>
      </c>
      <c r="G72" s="384"/>
      <c r="H72" s="384">
        <f t="shared" ca="1" si="12"/>
        <v>17</v>
      </c>
      <c r="I72" s="395"/>
      <c r="J72" s="395"/>
      <c r="K72" s="386"/>
      <c r="L72" s="388"/>
      <c r="M72" s="396"/>
      <c r="N72" s="388"/>
      <c r="O72" s="384" t="str">
        <f ca="1">IFERROR(IF(COUNTA($D$41:$D72)=1,"",OFFSET($C70,-COUNTA($D$41:$D72)+3,0)),"")</f>
        <v/>
      </c>
      <c r="P72" s="384">
        <f t="shared" si="13"/>
        <v>29</v>
      </c>
      <c r="Q72" s="384"/>
      <c r="R72" s="384"/>
      <c r="S72" s="384"/>
      <c r="T72" s="384" t="b">
        <v>0</v>
      </c>
    </row>
    <row r="73" spans="1:20" x14ac:dyDescent="0.3">
      <c r="A73" s="384" t="b">
        <v>0</v>
      </c>
      <c r="B73" s="394"/>
      <c r="C73" s="384" t="s">
        <v>2357</v>
      </c>
      <c r="D73" s="384" t="s">
        <v>2352</v>
      </c>
      <c r="E73" s="384">
        <f t="shared" si="11"/>
        <v>6</v>
      </c>
      <c r="F73" s="389">
        <v>5</v>
      </c>
      <c r="G73" s="384"/>
      <c r="H73" s="384">
        <f t="shared" ca="1" si="12"/>
        <v>17</v>
      </c>
      <c r="I73" s="395"/>
      <c r="J73" s="395"/>
      <c r="K73" s="386"/>
      <c r="L73" s="388"/>
      <c r="M73" s="396"/>
      <c r="N73" s="388"/>
      <c r="O73" s="384" t="str">
        <f ca="1">IFERROR(IF(COUNTA($D$41:$D73)=1,"",OFFSET($C71,-COUNTA($D$41:$D73)+3,0)),"")</f>
        <v/>
      </c>
      <c r="P73" s="384">
        <f t="shared" si="13"/>
        <v>30</v>
      </c>
      <c r="Q73" s="384"/>
      <c r="R73" s="384"/>
      <c r="S73" s="384"/>
      <c r="T73" s="384" t="b">
        <v>0</v>
      </c>
    </row>
    <row r="74" spans="1:20" x14ac:dyDescent="0.3">
      <c r="A74" s="384" t="b">
        <v>0</v>
      </c>
      <c r="B74" s="394"/>
      <c r="C74" s="384" t="s">
        <v>2358</v>
      </c>
      <c r="D74" s="384" t="s">
        <v>2359</v>
      </c>
      <c r="E74" s="384">
        <f t="shared" si="11"/>
        <v>1</v>
      </c>
      <c r="F74" s="389">
        <v>6</v>
      </c>
      <c r="G74" s="384"/>
      <c r="H74" s="384">
        <f t="shared" ca="1" si="12"/>
        <v>19</v>
      </c>
      <c r="I74" s="395"/>
      <c r="J74" s="395"/>
      <c r="K74" s="386"/>
      <c r="L74" s="388"/>
      <c r="M74" s="396"/>
      <c r="N74" s="388"/>
      <c r="O74" s="384" t="str">
        <f ca="1">IFERROR(IF(COUNTA($D$41:$D74)=1,"",OFFSET($C72,-COUNTA($D$41:$D74)+3,0)),"")</f>
        <v/>
      </c>
      <c r="P74" s="384">
        <f t="shared" si="13"/>
        <v>31</v>
      </c>
      <c r="Q74" s="384"/>
      <c r="R74" s="384"/>
      <c r="S74" s="384"/>
      <c r="T74" s="384" t="b">
        <v>0</v>
      </c>
    </row>
    <row r="75" spans="1:20" x14ac:dyDescent="0.3">
      <c r="A75" s="384" t="b">
        <v>0</v>
      </c>
      <c r="B75" s="394"/>
      <c r="C75" s="384" t="s">
        <v>2360</v>
      </c>
      <c r="D75" s="384" t="s">
        <v>2359</v>
      </c>
      <c r="E75" s="384">
        <f t="shared" si="11"/>
        <v>2</v>
      </c>
      <c r="F75" s="389">
        <v>6</v>
      </c>
      <c r="G75" s="384"/>
      <c r="H75" s="384">
        <f t="shared" ca="1" si="12"/>
        <v>19</v>
      </c>
      <c r="I75" s="395"/>
      <c r="J75" s="395"/>
      <c r="K75" s="386"/>
      <c r="L75" s="388"/>
      <c r="M75" s="396"/>
      <c r="N75" s="388"/>
      <c r="O75" s="384" t="str">
        <f ca="1">IFERROR(IF(COUNTA($D$41:$D75)=1,"",OFFSET($C73,-COUNTA($D$41:$D75)+3,0)),"")</f>
        <v/>
      </c>
      <c r="P75" s="384">
        <f t="shared" si="13"/>
        <v>32</v>
      </c>
      <c r="Q75" s="384"/>
      <c r="R75" s="384"/>
      <c r="S75" s="384"/>
      <c r="T75" s="384" t="b">
        <v>0</v>
      </c>
    </row>
    <row r="76" spans="1:20" x14ac:dyDescent="0.3">
      <c r="A76" s="384" t="b">
        <v>0</v>
      </c>
      <c r="B76" s="394"/>
      <c r="C76" s="384" t="s">
        <v>2361</v>
      </c>
      <c r="D76" s="384" t="s">
        <v>2359</v>
      </c>
      <c r="E76" s="384">
        <f t="shared" si="11"/>
        <v>3</v>
      </c>
      <c r="F76" s="389">
        <v>6</v>
      </c>
      <c r="G76" s="384"/>
      <c r="H76" s="384">
        <f t="shared" ca="1" si="12"/>
        <v>19</v>
      </c>
      <c r="I76" s="395"/>
      <c r="J76" s="395"/>
      <c r="K76" s="386"/>
      <c r="L76" s="388"/>
      <c r="M76" s="396"/>
      <c r="N76" s="388"/>
      <c r="O76" s="384" t="str">
        <f ca="1">IFERROR(IF(COUNTA($D$41:$D76)=1,"",OFFSET($C74,-COUNTA($D$41:$D76)+3,0)),"")</f>
        <v/>
      </c>
      <c r="P76" s="384">
        <f t="shared" si="13"/>
        <v>33</v>
      </c>
      <c r="Q76" s="384"/>
      <c r="R76" s="384"/>
      <c r="S76" s="384"/>
      <c r="T76" s="384" t="b">
        <v>0</v>
      </c>
    </row>
    <row r="77" spans="1:20" x14ac:dyDescent="0.3">
      <c r="A77" s="384" t="b">
        <v>0</v>
      </c>
      <c r="B77" s="394"/>
      <c r="C77" s="384" t="s">
        <v>2362</v>
      </c>
      <c r="D77" s="384" t="s">
        <v>2359</v>
      </c>
      <c r="E77" s="384">
        <f t="shared" si="11"/>
        <v>4</v>
      </c>
      <c r="F77" s="389">
        <v>6</v>
      </c>
      <c r="G77" s="384"/>
      <c r="H77" s="384">
        <f t="shared" ca="1" si="12"/>
        <v>19</v>
      </c>
      <c r="I77" s="395"/>
      <c r="J77" s="395"/>
      <c r="K77" s="386"/>
      <c r="L77" s="388"/>
      <c r="M77" s="396"/>
      <c r="N77" s="388"/>
      <c r="O77" s="384" t="str">
        <f ca="1">IFERROR(IF(COUNTA($D$41:$D77)=1,"",OFFSET($C75,-COUNTA($D$41:$D77)+3,0)),"")</f>
        <v/>
      </c>
      <c r="P77" s="384">
        <f t="shared" si="13"/>
        <v>34</v>
      </c>
      <c r="Q77" s="384"/>
      <c r="R77" s="384"/>
      <c r="S77" s="384"/>
      <c r="T77" s="384" t="b">
        <v>0</v>
      </c>
    </row>
    <row r="78" spans="1:20" x14ac:dyDescent="0.3">
      <c r="A78" s="384" t="b">
        <v>0</v>
      </c>
      <c r="B78" s="394"/>
      <c r="C78" s="384" t="s">
        <v>2363</v>
      </c>
      <c r="D78" s="384" t="s">
        <v>2359</v>
      </c>
      <c r="E78" s="384">
        <f t="shared" si="11"/>
        <v>5</v>
      </c>
      <c r="F78" s="389">
        <v>6</v>
      </c>
      <c r="G78" s="384"/>
      <c r="H78" s="384">
        <f t="shared" ca="1" si="12"/>
        <v>19</v>
      </c>
      <c r="I78" s="395"/>
      <c r="J78" s="395"/>
      <c r="K78" s="386"/>
      <c r="L78" s="388"/>
      <c r="M78" s="396"/>
      <c r="N78" s="388"/>
      <c r="O78" s="384" t="str">
        <f ca="1">IFERROR(IF(COUNTA($D$41:$D78)=1,"",OFFSET($C76,-COUNTA($D$41:$D78)+3,0)),"")</f>
        <v/>
      </c>
      <c r="P78" s="384">
        <f t="shared" si="13"/>
        <v>35</v>
      </c>
      <c r="Q78" s="384"/>
      <c r="R78" s="384"/>
      <c r="S78" s="384"/>
      <c r="T78" s="384" t="b">
        <v>0</v>
      </c>
    </row>
    <row r="79" spans="1:20" x14ac:dyDescent="0.3">
      <c r="A79" s="384" t="b">
        <v>0</v>
      </c>
      <c r="B79" s="394"/>
      <c r="C79" s="384" t="s">
        <v>2364</v>
      </c>
      <c r="D79" s="384" t="s">
        <v>2359</v>
      </c>
      <c r="E79" s="384">
        <f t="shared" si="11"/>
        <v>6</v>
      </c>
      <c r="F79" s="389">
        <v>6</v>
      </c>
      <c r="G79" s="384"/>
      <c r="H79" s="384">
        <f t="shared" ca="1" si="12"/>
        <v>19</v>
      </c>
      <c r="I79" s="395"/>
      <c r="J79" s="395"/>
      <c r="K79" s="386"/>
      <c r="L79" s="388"/>
      <c r="M79" s="396"/>
      <c r="N79" s="388"/>
      <c r="O79" s="384" t="str">
        <f ca="1">IFERROR(IF(COUNTA($D$41:$D79)=1,"",OFFSET($C77,-COUNTA($D$41:$D79)+3,0)),"")</f>
        <v/>
      </c>
      <c r="P79" s="384">
        <f t="shared" si="13"/>
        <v>36</v>
      </c>
      <c r="Q79" s="384"/>
      <c r="R79" s="384"/>
      <c r="S79" s="384"/>
      <c r="T79" s="384" t="b">
        <v>0</v>
      </c>
    </row>
    <row r="80" spans="1:20" x14ac:dyDescent="0.3">
      <c r="A80" s="384" t="b">
        <v>0</v>
      </c>
      <c r="B80" s="394"/>
      <c r="C80" s="384" t="s">
        <v>2365</v>
      </c>
      <c r="D80" s="384" t="s">
        <v>2366</v>
      </c>
      <c r="E80" s="384">
        <f t="shared" si="11"/>
        <v>1</v>
      </c>
      <c r="F80" s="389">
        <v>7</v>
      </c>
      <c r="G80" s="384"/>
      <c r="H80" s="384">
        <f t="shared" ca="1" si="12"/>
        <v>21</v>
      </c>
      <c r="I80" s="395"/>
      <c r="J80" s="395"/>
      <c r="K80" s="386"/>
      <c r="L80" s="388"/>
      <c r="M80" s="396"/>
      <c r="N80" s="388"/>
      <c r="O80" s="384" t="str">
        <f ca="1">IFERROR(IF(COUNTA($D$41:$D80)=1,"",OFFSET($C78,-COUNTA($D$41:$D80)+3,0)),"")</f>
        <v/>
      </c>
      <c r="P80" s="384">
        <f t="shared" si="13"/>
        <v>37</v>
      </c>
      <c r="Q80" s="384"/>
      <c r="R80" s="384"/>
      <c r="S80" s="384"/>
      <c r="T80" s="384" t="b">
        <v>0</v>
      </c>
    </row>
    <row r="81" spans="1:20" x14ac:dyDescent="0.3">
      <c r="A81" s="384" t="b">
        <v>0</v>
      </c>
      <c r="B81" s="394"/>
      <c r="C81" s="384" t="s">
        <v>2367</v>
      </c>
      <c r="D81" s="384" t="s">
        <v>2366</v>
      </c>
      <c r="E81" s="384">
        <f t="shared" si="11"/>
        <v>2</v>
      </c>
      <c r="F81" s="389">
        <v>7</v>
      </c>
      <c r="G81" s="384"/>
      <c r="H81" s="384">
        <f t="shared" ca="1" si="12"/>
        <v>21</v>
      </c>
      <c r="I81" s="395"/>
      <c r="J81" s="395"/>
      <c r="K81" s="386"/>
      <c r="L81" s="388"/>
      <c r="M81" s="396"/>
      <c r="N81" s="388"/>
      <c r="O81" s="384" t="str">
        <f ca="1">IFERROR(IF(COUNTA($D$41:$D81)=1,"",OFFSET($C79,-COUNTA($D$41:$D81)+3,0)),"")</f>
        <v/>
      </c>
      <c r="P81" s="384">
        <f t="shared" si="13"/>
        <v>38</v>
      </c>
      <c r="Q81" s="384"/>
      <c r="R81" s="384"/>
      <c r="S81" s="384"/>
      <c r="T81" s="384" t="b">
        <v>0</v>
      </c>
    </row>
    <row r="82" spans="1:20" x14ac:dyDescent="0.3">
      <c r="A82" s="384" t="b">
        <v>0</v>
      </c>
      <c r="B82" s="394"/>
      <c r="C82" s="384" t="s">
        <v>2368</v>
      </c>
      <c r="D82" s="384" t="s">
        <v>2366</v>
      </c>
      <c r="E82" s="384">
        <f t="shared" si="11"/>
        <v>3</v>
      </c>
      <c r="F82" s="389">
        <v>7</v>
      </c>
      <c r="G82" s="384"/>
      <c r="H82" s="384">
        <f t="shared" ca="1" si="12"/>
        <v>21</v>
      </c>
      <c r="I82" s="395"/>
      <c r="J82" s="395"/>
      <c r="K82" s="386"/>
      <c r="L82" s="388"/>
      <c r="M82" s="396"/>
      <c r="N82" s="388"/>
      <c r="O82" s="384" t="str">
        <f ca="1">IFERROR(IF(COUNTA($D$41:$D82)=1,"",OFFSET($C80,-COUNTA($D$41:$D82)+3,0)),"")</f>
        <v/>
      </c>
      <c r="P82" s="384">
        <f t="shared" si="13"/>
        <v>39</v>
      </c>
      <c r="Q82" s="384"/>
      <c r="R82" s="384"/>
      <c r="S82" s="384"/>
      <c r="T82" s="384" t="b">
        <v>0</v>
      </c>
    </row>
    <row r="83" spans="1:20" x14ac:dyDescent="0.3">
      <c r="A83" s="384" t="b">
        <v>0</v>
      </c>
      <c r="B83" s="394"/>
      <c r="C83" s="384" t="s">
        <v>2369</v>
      </c>
      <c r="D83" s="384" t="s">
        <v>2366</v>
      </c>
      <c r="E83" s="384">
        <f t="shared" si="11"/>
        <v>4</v>
      </c>
      <c r="F83" s="389">
        <v>7</v>
      </c>
      <c r="G83" s="384"/>
      <c r="H83" s="384">
        <f t="shared" ca="1" si="12"/>
        <v>21</v>
      </c>
      <c r="I83" s="395"/>
      <c r="J83" s="395"/>
      <c r="K83" s="386"/>
      <c r="L83" s="388"/>
      <c r="M83" s="396"/>
      <c r="N83" s="388"/>
      <c r="O83" s="384" t="str">
        <f ca="1">IFERROR(IF(COUNTA($D$41:$D83)=1,"",OFFSET($C81,-COUNTA($D$41:$D83)+3,0)),"")</f>
        <v/>
      </c>
      <c r="P83" s="384">
        <f t="shared" si="13"/>
        <v>40</v>
      </c>
      <c r="Q83" s="384"/>
      <c r="R83" s="384"/>
      <c r="S83" s="384"/>
      <c r="T83" s="384" t="b">
        <v>0</v>
      </c>
    </row>
    <row r="84" spans="1:20" x14ac:dyDescent="0.3">
      <c r="A84" s="384" t="b">
        <v>0</v>
      </c>
      <c r="B84" s="394"/>
      <c r="C84" s="384" t="s">
        <v>2370</v>
      </c>
      <c r="D84" s="384" t="s">
        <v>2366</v>
      </c>
      <c r="E84" s="384">
        <f t="shared" si="11"/>
        <v>5</v>
      </c>
      <c r="F84" s="389">
        <v>7</v>
      </c>
      <c r="G84" s="384"/>
      <c r="H84" s="384">
        <f t="shared" ca="1" si="12"/>
        <v>21</v>
      </c>
      <c r="I84" s="395"/>
      <c r="J84" s="395"/>
      <c r="K84" s="386"/>
      <c r="L84" s="388"/>
      <c r="M84" s="396"/>
      <c r="N84" s="388"/>
      <c r="O84" s="384" t="str">
        <f ca="1">IFERROR(IF(COUNTA($D$41:$D84)=1,"",OFFSET($C82,-COUNTA($D$41:$D84)+3,0)),"")</f>
        <v/>
      </c>
      <c r="P84" s="384">
        <f t="shared" si="13"/>
        <v>41</v>
      </c>
      <c r="Q84" s="384"/>
      <c r="R84" s="384"/>
      <c r="S84" s="384"/>
      <c r="T84" s="384" t="b">
        <v>0</v>
      </c>
    </row>
    <row r="85" spans="1:20" x14ac:dyDescent="0.3">
      <c r="A85" s="384" t="b">
        <v>0</v>
      </c>
      <c r="B85" s="394"/>
      <c r="C85" s="384" t="s">
        <v>2371</v>
      </c>
      <c r="D85" s="384" t="s">
        <v>2366</v>
      </c>
      <c r="E85" s="384">
        <f t="shared" si="11"/>
        <v>6</v>
      </c>
      <c r="F85" s="389">
        <v>7</v>
      </c>
      <c r="G85" s="384"/>
      <c r="H85" s="384">
        <f t="shared" ca="1" si="12"/>
        <v>21</v>
      </c>
      <c r="I85" s="395"/>
      <c r="J85" s="395"/>
      <c r="K85" s="386"/>
      <c r="L85" s="388"/>
      <c r="M85" s="396"/>
      <c r="N85" s="388"/>
      <c r="O85" s="384" t="str">
        <f ca="1">IFERROR(IF(COUNTA($D$41:$D85)=1,"",OFFSET($C83,-COUNTA($D$41:$D85)+3,0)),"")</f>
        <v/>
      </c>
      <c r="P85" s="384">
        <f t="shared" si="13"/>
        <v>42</v>
      </c>
      <c r="Q85" s="384"/>
      <c r="R85" s="384"/>
      <c r="S85" s="384"/>
      <c r="T85" s="384" t="b">
        <v>0</v>
      </c>
    </row>
    <row r="86" spans="1:20" x14ac:dyDescent="0.3">
      <c r="A86" s="384" t="b">
        <v>0</v>
      </c>
      <c r="B86" s="394"/>
      <c r="C86" s="384" t="s">
        <v>2372</v>
      </c>
      <c r="D86" s="384" t="s">
        <v>2373</v>
      </c>
      <c r="E86" s="384">
        <f t="shared" si="11"/>
        <v>1</v>
      </c>
      <c r="F86" s="389">
        <v>8</v>
      </c>
      <c r="G86" s="384"/>
      <c r="H86" s="384">
        <f t="shared" ca="1" si="12"/>
        <v>23</v>
      </c>
      <c r="I86" s="395"/>
      <c r="J86" s="395"/>
      <c r="K86" s="386"/>
      <c r="L86" s="388"/>
      <c r="M86" s="396"/>
      <c r="N86" s="388"/>
      <c r="O86" s="384" t="str">
        <f ca="1">IFERROR(IF(COUNTA($D$41:$D86)=1,"",OFFSET($C84,-COUNTA($D$41:$D86)+3,0)),"")</f>
        <v/>
      </c>
      <c r="P86" s="384">
        <f t="shared" si="13"/>
        <v>43</v>
      </c>
      <c r="Q86" s="384"/>
      <c r="R86" s="384"/>
      <c r="S86" s="384"/>
      <c r="T86" s="384" t="b">
        <v>0</v>
      </c>
    </row>
    <row r="87" spans="1:20" x14ac:dyDescent="0.3">
      <c r="A87" s="384" t="b">
        <v>0</v>
      </c>
      <c r="B87" s="394"/>
      <c r="C87" s="384" t="s">
        <v>2374</v>
      </c>
      <c r="D87" s="384" t="s">
        <v>2373</v>
      </c>
      <c r="E87" s="384">
        <f t="shared" si="11"/>
        <v>2</v>
      </c>
      <c r="F87" s="389">
        <v>8</v>
      </c>
      <c r="G87" s="384"/>
      <c r="H87" s="384">
        <f t="shared" ca="1" si="12"/>
        <v>23</v>
      </c>
      <c r="I87" s="395"/>
      <c r="J87" s="395"/>
      <c r="K87" s="386"/>
      <c r="L87" s="388"/>
      <c r="M87" s="396"/>
      <c r="N87" s="388"/>
      <c r="O87" s="384" t="str">
        <f ca="1">IFERROR(IF(COUNTA($D$41:$D87)=1,"",OFFSET($C85,-COUNTA($D$41:$D87)+3,0)),"")</f>
        <v/>
      </c>
      <c r="P87" s="384">
        <f t="shared" si="13"/>
        <v>44</v>
      </c>
      <c r="Q87" s="384"/>
      <c r="R87" s="384"/>
      <c r="S87" s="384"/>
      <c r="T87" s="384" t="b">
        <v>0</v>
      </c>
    </row>
    <row r="88" spans="1:20" x14ac:dyDescent="0.3">
      <c r="A88" s="384" t="b">
        <v>0</v>
      </c>
      <c r="B88" s="394"/>
      <c r="C88" s="384" t="s">
        <v>2375</v>
      </c>
      <c r="D88" s="384" t="s">
        <v>2373</v>
      </c>
      <c r="E88" s="384">
        <f t="shared" si="11"/>
        <v>3</v>
      </c>
      <c r="F88" s="389">
        <v>8</v>
      </c>
      <c r="G88" s="384"/>
      <c r="H88" s="384">
        <f t="shared" ca="1" si="12"/>
        <v>23</v>
      </c>
      <c r="I88" s="395"/>
      <c r="J88" s="395"/>
      <c r="K88" s="386"/>
      <c r="L88" s="388"/>
      <c r="M88" s="396"/>
      <c r="N88" s="388"/>
      <c r="O88" s="384" t="str">
        <f ca="1">IFERROR(IF(COUNTA($D$41:$D88)=1,"",OFFSET($C86,-COUNTA($D$41:$D88)+3,0)),"")</f>
        <v/>
      </c>
      <c r="P88" s="384">
        <f t="shared" si="13"/>
        <v>45</v>
      </c>
      <c r="Q88" s="384"/>
      <c r="R88" s="384"/>
      <c r="S88" s="384"/>
      <c r="T88" s="384" t="b">
        <v>0</v>
      </c>
    </row>
    <row r="89" spans="1:20" x14ac:dyDescent="0.3">
      <c r="A89" s="384" t="b">
        <v>0</v>
      </c>
      <c r="B89" s="394"/>
      <c r="C89" s="384" t="s">
        <v>2376</v>
      </c>
      <c r="D89" s="384" t="s">
        <v>2373</v>
      </c>
      <c r="E89" s="384">
        <f t="shared" si="11"/>
        <v>4</v>
      </c>
      <c r="F89" s="389">
        <v>8</v>
      </c>
      <c r="G89" s="384"/>
      <c r="H89" s="384">
        <f t="shared" ca="1" si="12"/>
        <v>23</v>
      </c>
      <c r="I89" s="395"/>
      <c r="J89" s="395"/>
      <c r="K89" s="386"/>
      <c r="L89" s="388"/>
      <c r="M89" s="396"/>
      <c r="N89" s="388"/>
      <c r="O89" s="384" t="str">
        <f ca="1">IFERROR(IF(COUNTA($D$41:$D89)=1,"",OFFSET($C87,-COUNTA($D$41:$D89)+3,0)),"")</f>
        <v/>
      </c>
      <c r="P89" s="384">
        <f t="shared" si="13"/>
        <v>46</v>
      </c>
      <c r="Q89" s="384"/>
      <c r="R89" s="384"/>
      <c r="S89" s="384"/>
      <c r="T89" s="384" t="b">
        <v>0</v>
      </c>
    </row>
    <row r="90" spans="1:20" x14ac:dyDescent="0.3">
      <c r="A90" s="384" t="b">
        <v>0</v>
      </c>
      <c r="B90" s="394"/>
      <c r="C90" s="384" t="s">
        <v>2377</v>
      </c>
      <c r="D90" s="384" t="s">
        <v>2373</v>
      </c>
      <c r="E90" s="384">
        <f t="shared" si="11"/>
        <v>5</v>
      </c>
      <c r="F90" s="389">
        <v>8</v>
      </c>
      <c r="G90" s="384"/>
      <c r="H90" s="384">
        <f t="shared" ca="1" si="12"/>
        <v>23</v>
      </c>
      <c r="I90" s="395"/>
      <c r="J90" s="395"/>
      <c r="K90" s="386"/>
      <c r="L90" s="388"/>
      <c r="M90" s="396"/>
      <c r="N90" s="388"/>
      <c r="O90" s="384" t="str">
        <f ca="1">IFERROR(IF(COUNTA($D$41:$D90)=1,"",OFFSET($C88,-COUNTA($D$41:$D90)+3,0)),"")</f>
        <v/>
      </c>
      <c r="P90" s="384">
        <f t="shared" si="13"/>
        <v>47</v>
      </c>
      <c r="Q90" s="384"/>
      <c r="R90" s="384"/>
      <c r="S90" s="384"/>
      <c r="T90" s="384" t="b">
        <v>0</v>
      </c>
    </row>
    <row r="91" spans="1:20" x14ac:dyDescent="0.3">
      <c r="A91" s="384" t="b">
        <v>0</v>
      </c>
      <c r="B91" s="394"/>
      <c r="C91" s="384" t="s">
        <v>2378</v>
      </c>
      <c r="D91" s="384" t="s">
        <v>2373</v>
      </c>
      <c r="E91" s="384">
        <f t="shared" si="11"/>
        <v>6</v>
      </c>
      <c r="F91" s="389">
        <v>8</v>
      </c>
      <c r="G91" s="384"/>
      <c r="H91" s="384">
        <f t="shared" ca="1" si="12"/>
        <v>23</v>
      </c>
      <c r="I91" s="395"/>
      <c r="J91" s="395"/>
      <c r="K91" s="386"/>
      <c r="L91" s="388"/>
      <c r="M91" s="396"/>
      <c r="N91" s="388"/>
      <c r="O91" s="384" t="str">
        <f ca="1">IFERROR(IF(COUNTA($D$41:$D91)=1,"",OFFSET($C89,-COUNTA($D$41:$D91)+3,0)),"")</f>
        <v/>
      </c>
      <c r="P91" s="384">
        <f t="shared" si="13"/>
        <v>48</v>
      </c>
      <c r="Q91" s="384"/>
      <c r="R91" s="384"/>
      <c r="S91" s="384"/>
      <c r="T91" s="384" t="b">
        <v>0</v>
      </c>
    </row>
    <row r="92" spans="1:20" x14ac:dyDescent="0.3">
      <c r="A92" s="384" t="b">
        <v>0</v>
      </c>
      <c r="B92" s="394"/>
      <c r="C92" s="384" t="s">
        <v>2379</v>
      </c>
      <c r="D92" s="384" t="s">
        <v>2380</v>
      </c>
      <c r="E92" s="384">
        <f t="shared" si="11"/>
        <v>1</v>
      </c>
      <c r="F92" s="389">
        <v>9</v>
      </c>
      <c r="G92" s="384"/>
      <c r="H92" s="384">
        <f t="shared" ca="1" si="12"/>
        <v>25</v>
      </c>
      <c r="I92" s="395"/>
      <c r="J92" s="395"/>
      <c r="K92" s="386"/>
      <c r="L92" s="388"/>
      <c r="M92" s="396"/>
      <c r="N92" s="388"/>
      <c r="O92" s="384" t="str">
        <f ca="1">IFERROR(IF(COUNTA($D$41:$D92)=1,"",OFFSET($C90,-COUNTA($D$41:$D92)+3,0)),"")</f>
        <v/>
      </c>
      <c r="P92" s="384">
        <f t="shared" si="13"/>
        <v>49</v>
      </c>
      <c r="Q92" s="384"/>
      <c r="R92" s="384"/>
      <c r="S92" s="384"/>
      <c r="T92" s="384" t="b">
        <v>0</v>
      </c>
    </row>
    <row r="93" spans="1:20" x14ac:dyDescent="0.3">
      <c r="A93" s="384" t="b">
        <v>0</v>
      </c>
      <c r="B93" s="394"/>
      <c r="C93" s="384" t="s">
        <v>2381</v>
      </c>
      <c r="D93" s="384" t="s">
        <v>2380</v>
      </c>
      <c r="E93" s="384">
        <f t="shared" si="11"/>
        <v>2</v>
      </c>
      <c r="F93" s="389">
        <v>9</v>
      </c>
      <c r="G93" s="384"/>
      <c r="H93" s="384">
        <f t="shared" ca="1" si="12"/>
        <v>25</v>
      </c>
      <c r="I93" s="395"/>
      <c r="J93" s="395"/>
      <c r="K93" s="386"/>
      <c r="L93" s="388"/>
      <c r="M93" s="396"/>
      <c r="N93" s="388"/>
      <c r="O93" s="384" t="str">
        <f ca="1">IFERROR(IF(COUNTA($D$41:$D93)=1,"",OFFSET($C91,-COUNTA($D$41:$D93)+3,0)),"")</f>
        <v/>
      </c>
      <c r="P93" s="384">
        <f t="shared" si="13"/>
        <v>50</v>
      </c>
      <c r="Q93" s="384"/>
      <c r="R93" s="384"/>
      <c r="S93" s="384"/>
      <c r="T93" s="384" t="b">
        <v>0</v>
      </c>
    </row>
    <row r="94" spans="1:20" x14ac:dyDescent="0.3">
      <c r="A94" s="384" t="b">
        <v>0</v>
      </c>
      <c r="B94" s="394"/>
      <c r="C94" s="384" t="s">
        <v>2382</v>
      </c>
      <c r="D94" s="384" t="s">
        <v>2380</v>
      </c>
      <c r="E94" s="384">
        <f t="shared" si="11"/>
        <v>3</v>
      </c>
      <c r="F94" s="389">
        <v>9</v>
      </c>
      <c r="G94" s="384"/>
      <c r="H94" s="384">
        <f t="shared" ca="1" si="12"/>
        <v>25</v>
      </c>
      <c r="I94" s="395"/>
      <c r="J94" s="395"/>
      <c r="K94" s="386"/>
      <c r="L94" s="388"/>
      <c r="M94" s="396"/>
      <c r="N94" s="388"/>
      <c r="O94" s="384" t="str">
        <f ca="1">IFERROR(IF(COUNTA($D$41:$D94)=1,"",OFFSET($C92,-COUNTA($D$41:$D94)+3,0)),"")</f>
        <v/>
      </c>
      <c r="P94" s="384">
        <f t="shared" si="13"/>
        <v>51</v>
      </c>
      <c r="Q94" s="384"/>
      <c r="R94" s="384"/>
      <c r="S94" s="384"/>
      <c r="T94" s="384" t="b">
        <v>0</v>
      </c>
    </row>
    <row r="95" spans="1:20" x14ac:dyDescent="0.3">
      <c r="A95" s="384" t="b">
        <v>0</v>
      </c>
      <c r="B95" s="394"/>
      <c r="C95" s="384" t="s">
        <v>2383</v>
      </c>
      <c r="D95" s="384" t="s">
        <v>2380</v>
      </c>
      <c r="E95" s="384">
        <f t="shared" si="11"/>
        <v>4</v>
      </c>
      <c r="F95" s="389">
        <v>9</v>
      </c>
      <c r="G95" s="384"/>
      <c r="H95" s="384">
        <f t="shared" ca="1" si="12"/>
        <v>25</v>
      </c>
      <c r="I95" s="395"/>
      <c r="J95" s="395"/>
      <c r="K95" s="386"/>
      <c r="L95" s="388"/>
      <c r="M95" s="396"/>
      <c r="N95" s="388"/>
      <c r="O95" s="384" t="str">
        <f ca="1">IFERROR(IF(COUNTA($D$41:$D95)=1,"",OFFSET($C93,-COUNTA($D$41:$D95)+3,0)),"")</f>
        <v/>
      </c>
      <c r="P95" s="384">
        <f t="shared" si="13"/>
        <v>52</v>
      </c>
      <c r="Q95" s="384"/>
      <c r="R95" s="384"/>
      <c r="S95" s="384"/>
      <c r="T95" s="384" t="b">
        <v>0</v>
      </c>
    </row>
    <row r="96" spans="1:20" x14ac:dyDescent="0.3">
      <c r="A96" s="384" t="b">
        <v>0</v>
      </c>
      <c r="B96" s="394"/>
      <c r="C96" s="384" t="s">
        <v>2384</v>
      </c>
      <c r="D96" s="384" t="s">
        <v>2380</v>
      </c>
      <c r="E96" s="384">
        <f t="shared" si="11"/>
        <v>5</v>
      </c>
      <c r="F96" s="389">
        <v>9</v>
      </c>
      <c r="G96" s="384"/>
      <c r="H96" s="384">
        <f t="shared" ca="1" si="12"/>
        <v>25</v>
      </c>
      <c r="I96" s="395"/>
      <c r="J96" s="395"/>
      <c r="K96" s="386"/>
      <c r="L96" s="388"/>
      <c r="M96" s="396"/>
      <c r="N96" s="388"/>
      <c r="O96" s="384" t="str">
        <f ca="1">IFERROR(IF(COUNTA($D$41:$D96)=1,"",OFFSET($C94,-COUNTA($D$41:$D96)+3,0)),"")</f>
        <v/>
      </c>
      <c r="P96" s="384">
        <f t="shared" si="13"/>
        <v>53</v>
      </c>
      <c r="Q96" s="384"/>
      <c r="R96" s="384"/>
      <c r="S96" s="384"/>
      <c r="T96" s="384" t="b">
        <v>0</v>
      </c>
    </row>
    <row r="97" spans="1:20" x14ac:dyDescent="0.3">
      <c r="A97" s="384" t="b">
        <v>0</v>
      </c>
      <c r="B97" s="394"/>
      <c r="C97" s="384" t="s">
        <v>2385</v>
      </c>
      <c r="D97" s="384" t="s">
        <v>2380</v>
      </c>
      <c r="E97" s="384">
        <f t="shared" si="11"/>
        <v>6</v>
      </c>
      <c r="F97" s="389">
        <v>9</v>
      </c>
      <c r="G97" s="384"/>
      <c r="H97" s="384">
        <f t="shared" ca="1" si="12"/>
        <v>25</v>
      </c>
      <c r="I97" s="395"/>
      <c r="J97" s="395"/>
      <c r="K97" s="386"/>
      <c r="L97" s="388"/>
      <c r="M97" s="396"/>
      <c r="N97" s="388"/>
      <c r="O97" s="384" t="str">
        <f ca="1">IFERROR(IF(COUNTA($D$41:$D97)=1,"",OFFSET($C95,-COUNTA($D$41:$D97)+3,0)),"")</f>
        <v/>
      </c>
      <c r="P97" s="384">
        <f t="shared" si="13"/>
        <v>54</v>
      </c>
      <c r="Q97" s="384"/>
      <c r="R97" s="384"/>
      <c r="S97" s="384"/>
      <c r="T97" s="384" t="b">
        <v>0</v>
      </c>
    </row>
    <row r="98" spans="1:20" x14ac:dyDescent="0.3">
      <c r="A98" s="384" t="b">
        <v>0</v>
      </c>
      <c r="B98" s="394"/>
      <c r="C98" s="384" t="s">
        <v>2386</v>
      </c>
      <c r="D98" s="384" t="s">
        <v>2387</v>
      </c>
      <c r="E98" s="384">
        <f t="shared" si="11"/>
        <v>1</v>
      </c>
      <c r="F98" s="389">
        <v>10</v>
      </c>
      <c r="G98" s="384"/>
      <c r="H98" s="384">
        <f t="shared" ca="1" si="12"/>
        <v>27</v>
      </c>
      <c r="I98" s="395"/>
      <c r="J98" s="395"/>
      <c r="K98" s="386"/>
      <c r="L98" s="388"/>
      <c r="M98" s="396"/>
      <c r="N98" s="388"/>
      <c r="O98" s="384" t="str">
        <f ca="1">IFERROR(IF(COUNTA($D$41:$D98)=1,"",OFFSET($C96,-COUNTA($D$41:$D98)+3,0)),"")</f>
        <v/>
      </c>
      <c r="P98" s="384">
        <f t="shared" si="13"/>
        <v>55</v>
      </c>
      <c r="Q98" s="384"/>
      <c r="R98" s="384"/>
      <c r="S98" s="384"/>
      <c r="T98" s="384" t="b">
        <v>0</v>
      </c>
    </row>
    <row r="99" spans="1:20" x14ac:dyDescent="0.3">
      <c r="A99" s="384" t="b">
        <v>0</v>
      </c>
      <c r="B99" s="394"/>
      <c r="C99" s="384" t="s">
        <v>2388</v>
      </c>
      <c r="D99" s="384" t="s">
        <v>2387</v>
      </c>
      <c r="E99" s="384">
        <f t="shared" si="11"/>
        <v>2</v>
      </c>
      <c r="F99" s="389">
        <v>10</v>
      </c>
      <c r="G99" s="384"/>
      <c r="H99" s="384">
        <f t="shared" ca="1" si="12"/>
        <v>27</v>
      </c>
      <c r="I99" s="395"/>
      <c r="J99" s="395"/>
      <c r="K99" s="386"/>
      <c r="L99" s="388"/>
      <c r="M99" s="396"/>
      <c r="N99" s="388"/>
      <c r="O99" s="384" t="str">
        <f ca="1">IFERROR(IF(COUNTA($D$41:$D99)=1,"",OFFSET($C97,-COUNTA($D$41:$D99)+3,0)),"")</f>
        <v/>
      </c>
      <c r="P99" s="384">
        <f t="shared" si="13"/>
        <v>56</v>
      </c>
      <c r="Q99" s="384"/>
      <c r="R99" s="384"/>
      <c r="S99" s="384"/>
      <c r="T99" s="384" t="b">
        <v>0</v>
      </c>
    </row>
    <row r="100" spans="1:20" x14ac:dyDescent="0.3">
      <c r="A100" s="384" t="b">
        <v>0</v>
      </c>
      <c r="B100" s="394"/>
      <c r="C100" s="384" t="s">
        <v>2389</v>
      </c>
      <c r="D100" s="384" t="s">
        <v>2387</v>
      </c>
      <c r="E100" s="384">
        <f t="shared" si="11"/>
        <v>3</v>
      </c>
      <c r="F100" s="389">
        <v>10</v>
      </c>
      <c r="G100" s="384"/>
      <c r="H100" s="384">
        <f t="shared" ca="1" si="12"/>
        <v>27</v>
      </c>
      <c r="I100" s="395"/>
      <c r="J100" s="395"/>
      <c r="K100" s="386"/>
      <c r="L100" s="388"/>
      <c r="M100" s="396"/>
      <c r="N100" s="388"/>
      <c r="O100" s="384" t="str">
        <f ca="1">IFERROR(IF(COUNTA($D$41:$D100)=1,"",OFFSET($C98,-COUNTA($D$41:$D100)+3,0)),"")</f>
        <v/>
      </c>
      <c r="P100" s="384">
        <f t="shared" si="13"/>
        <v>57</v>
      </c>
      <c r="Q100" s="384"/>
      <c r="R100" s="384"/>
      <c r="S100" s="384"/>
      <c r="T100" s="384" t="b">
        <v>0</v>
      </c>
    </row>
    <row r="101" spans="1:20" x14ac:dyDescent="0.3">
      <c r="A101" s="384" t="b">
        <v>0</v>
      </c>
      <c r="B101" s="394"/>
      <c r="C101" s="384" t="s">
        <v>2390</v>
      </c>
      <c r="D101" s="384" t="s">
        <v>2387</v>
      </c>
      <c r="E101" s="384">
        <f t="shared" si="11"/>
        <v>4</v>
      </c>
      <c r="F101" s="389">
        <v>10</v>
      </c>
      <c r="G101" s="384"/>
      <c r="H101" s="384">
        <f t="shared" ca="1" si="12"/>
        <v>27</v>
      </c>
      <c r="I101" s="395"/>
      <c r="J101" s="395"/>
      <c r="K101" s="386"/>
      <c r="L101" s="388"/>
      <c r="M101" s="396"/>
      <c r="N101" s="388"/>
      <c r="O101" s="384" t="str">
        <f ca="1">IFERROR(IF(COUNTA($D$41:$D101)=1,"",OFFSET($C99,-COUNTA($D$41:$D101)+3,0)),"")</f>
        <v/>
      </c>
      <c r="P101" s="384">
        <f t="shared" si="13"/>
        <v>58</v>
      </c>
      <c r="Q101" s="384"/>
      <c r="R101" s="384"/>
      <c r="S101" s="384"/>
      <c r="T101" s="384" t="b">
        <v>0</v>
      </c>
    </row>
    <row r="102" spans="1:20" x14ac:dyDescent="0.3">
      <c r="A102" s="384" t="b">
        <v>0</v>
      </c>
      <c r="B102" s="394"/>
      <c r="C102" s="384" t="s">
        <v>2391</v>
      </c>
      <c r="D102" s="384" t="s">
        <v>2387</v>
      </c>
      <c r="E102" s="384">
        <f t="shared" si="11"/>
        <v>5</v>
      </c>
      <c r="F102" s="389">
        <v>10</v>
      </c>
      <c r="G102" s="384"/>
      <c r="H102" s="384">
        <f t="shared" ca="1" si="12"/>
        <v>27</v>
      </c>
      <c r="I102" s="395"/>
      <c r="J102" s="395"/>
      <c r="K102" s="386"/>
      <c r="L102" s="388"/>
      <c r="M102" s="396"/>
      <c r="N102" s="388"/>
      <c r="O102" s="384" t="str">
        <f ca="1">IFERROR(IF(COUNTA($D$41:$D102)=1,"",OFFSET($C100,-COUNTA($D$41:$D102)+3,0)),"")</f>
        <v/>
      </c>
      <c r="P102" s="384">
        <f t="shared" si="13"/>
        <v>59</v>
      </c>
      <c r="Q102" s="384"/>
      <c r="R102" s="384"/>
      <c r="S102" s="384"/>
      <c r="T102" s="384" t="b">
        <v>0</v>
      </c>
    </row>
    <row r="103" spans="1:20" x14ac:dyDescent="0.3">
      <c r="A103" s="384" t="b">
        <v>0</v>
      </c>
      <c r="B103" s="394"/>
      <c r="C103" s="384" t="s">
        <v>2392</v>
      </c>
      <c r="D103" s="384" t="s">
        <v>2387</v>
      </c>
      <c r="E103" s="384">
        <f t="shared" si="11"/>
        <v>6</v>
      </c>
      <c r="F103" s="389">
        <v>10</v>
      </c>
      <c r="G103" s="384"/>
      <c r="H103" s="384">
        <f t="shared" ca="1" si="12"/>
        <v>27</v>
      </c>
      <c r="I103" s="395"/>
      <c r="J103" s="395"/>
      <c r="K103" s="386"/>
      <c r="L103" s="388"/>
      <c r="M103" s="396"/>
      <c r="N103" s="388"/>
      <c r="O103" s="384" t="str">
        <f ca="1">IFERROR(IF(COUNTA($D$41:$D103)=1,"",OFFSET($C101,-COUNTA($D$41:$D103)+3,0)),"")</f>
        <v/>
      </c>
      <c r="P103" s="384">
        <f t="shared" si="13"/>
        <v>60</v>
      </c>
      <c r="Q103" s="384"/>
      <c r="R103" s="384"/>
      <c r="S103" s="384"/>
      <c r="T103" s="384" t="b">
        <v>0</v>
      </c>
    </row>
    <row r="104" spans="1:20" x14ac:dyDescent="0.3">
      <c r="A104" s="384" t="b">
        <v>0</v>
      </c>
      <c r="B104" s="394"/>
      <c r="C104" s="384" t="s">
        <v>2393</v>
      </c>
      <c r="D104" s="384" t="s">
        <v>2394</v>
      </c>
      <c r="E104" s="384">
        <f t="shared" si="11"/>
        <v>1</v>
      </c>
      <c r="F104" s="389">
        <v>11</v>
      </c>
      <c r="G104" s="384"/>
      <c r="H104" s="384">
        <f t="shared" ca="1" si="12"/>
        <v>29</v>
      </c>
      <c r="I104" s="395"/>
      <c r="J104" s="395"/>
      <c r="K104" s="386"/>
      <c r="L104" s="388"/>
      <c r="M104" s="396"/>
      <c r="N104" s="388"/>
      <c r="O104" s="384" t="str">
        <f ca="1">IFERROR(IF(COUNTA($D$41:$D104)=1,"",OFFSET($C102,-COUNTA($D$41:$D104)+3,0)),"")</f>
        <v/>
      </c>
      <c r="P104" s="384">
        <f t="shared" si="13"/>
        <v>61</v>
      </c>
      <c r="Q104" s="384"/>
      <c r="R104" s="384"/>
      <c r="S104" s="384"/>
      <c r="T104" s="384" t="b">
        <v>0</v>
      </c>
    </row>
    <row r="105" spans="1:20" x14ac:dyDescent="0.3">
      <c r="A105" s="384" t="b">
        <v>0</v>
      </c>
      <c r="B105" s="394"/>
      <c r="C105" s="384" t="s">
        <v>2395</v>
      </c>
      <c r="D105" s="384" t="s">
        <v>2394</v>
      </c>
      <c r="E105" s="384">
        <f t="shared" si="11"/>
        <v>2</v>
      </c>
      <c r="F105" s="389">
        <v>11</v>
      </c>
      <c r="G105" s="384"/>
      <c r="H105" s="384">
        <f t="shared" ca="1" si="12"/>
        <v>29</v>
      </c>
      <c r="I105" s="395"/>
      <c r="J105" s="395"/>
      <c r="K105" s="386"/>
      <c r="L105" s="388"/>
      <c r="M105" s="396"/>
      <c r="N105" s="388"/>
      <c r="O105" s="384" t="str">
        <f ca="1">IFERROR(IF(COUNTA($D$41:$D105)=1,"",OFFSET($C103,-COUNTA($D$41:$D105)+3,0)),"")</f>
        <v/>
      </c>
      <c r="P105" s="384">
        <f t="shared" si="13"/>
        <v>62</v>
      </c>
      <c r="Q105" s="384"/>
      <c r="R105" s="384"/>
      <c r="S105" s="384"/>
      <c r="T105" s="384" t="b">
        <v>0</v>
      </c>
    </row>
    <row r="106" spans="1:20" x14ac:dyDescent="0.3">
      <c r="A106" s="384" t="b">
        <v>0</v>
      </c>
      <c r="B106" s="394"/>
      <c r="C106" s="384" t="s">
        <v>2396</v>
      </c>
      <c r="D106" s="384" t="s">
        <v>2394</v>
      </c>
      <c r="E106" s="384">
        <f t="shared" si="11"/>
        <v>3</v>
      </c>
      <c r="F106" s="389">
        <v>11</v>
      </c>
      <c r="G106" s="384"/>
      <c r="H106" s="384">
        <f t="shared" ca="1" si="12"/>
        <v>29</v>
      </c>
      <c r="I106" s="395"/>
      <c r="J106" s="395"/>
      <c r="K106" s="386"/>
      <c r="L106" s="388"/>
      <c r="M106" s="396"/>
      <c r="N106" s="388"/>
      <c r="O106" s="384" t="str">
        <f ca="1">IFERROR(IF(COUNTA($D$41:$D106)=1,"",OFFSET($C104,-COUNTA($D$41:$D106)+3,0)),"")</f>
        <v/>
      </c>
      <c r="P106" s="384">
        <f t="shared" si="13"/>
        <v>63</v>
      </c>
      <c r="Q106" s="384"/>
      <c r="R106" s="384"/>
      <c r="S106" s="384"/>
      <c r="T106" s="384" t="b">
        <v>0</v>
      </c>
    </row>
    <row r="107" spans="1:20" x14ac:dyDescent="0.3">
      <c r="A107" s="384" t="b">
        <v>0</v>
      </c>
      <c r="B107" s="394"/>
      <c r="C107" s="384" t="s">
        <v>2397</v>
      </c>
      <c r="D107" s="384" t="s">
        <v>2394</v>
      </c>
      <c r="E107" s="384">
        <f t="shared" si="11"/>
        <v>4</v>
      </c>
      <c r="F107" s="389">
        <v>11</v>
      </c>
      <c r="G107" s="384"/>
      <c r="H107" s="384">
        <f t="shared" ca="1" si="12"/>
        <v>29</v>
      </c>
      <c r="I107" s="395"/>
      <c r="J107" s="395"/>
      <c r="K107" s="386"/>
      <c r="L107" s="388"/>
      <c r="M107" s="396"/>
      <c r="N107" s="388"/>
      <c r="O107" s="384" t="str">
        <f ca="1">IFERROR(IF(COUNTA($D$41:$D107)=1,"",OFFSET($C105,-COUNTA($D$41:$D107)+3,0)),"")</f>
        <v/>
      </c>
      <c r="P107" s="384">
        <f t="shared" si="13"/>
        <v>64</v>
      </c>
      <c r="Q107" s="384"/>
      <c r="R107" s="384"/>
      <c r="S107" s="384"/>
      <c r="T107" s="384" t="b">
        <v>0</v>
      </c>
    </row>
    <row r="108" spans="1:20" x14ac:dyDescent="0.3">
      <c r="A108" s="384" t="b">
        <v>0</v>
      </c>
      <c r="B108" s="394"/>
      <c r="C108" s="384" t="s">
        <v>2398</v>
      </c>
      <c r="D108" s="384" t="s">
        <v>2394</v>
      </c>
      <c r="E108" s="384">
        <f t="shared" ref="E108:E171" si="14">COUNTIF(F99:F108,F108)</f>
        <v>5</v>
      </c>
      <c r="F108" s="389">
        <v>11</v>
      </c>
      <c r="G108" s="384"/>
      <c r="H108" s="384">
        <f t="shared" ref="H108:H171" ca="1" si="15">IF(F108=1,9,IF(E107=MAX(E106:E108),H106+2,H107))</f>
        <v>29</v>
      </c>
      <c r="I108" s="395"/>
      <c r="J108" s="395"/>
      <c r="K108" s="386"/>
      <c r="L108" s="388"/>
      <c r="M108" s="396"/>
      <c r="N108" s="388"/>
      <c r="O108" s="384" t="str">
        <f ca="1">IFERROR(IF(COUNTA($D$41:$D108)=1,"",OFFSET($C106,-COUNTA($D$41:$D108)+3,0)),"")</f>
        <v/>
      </c>
      <c r="P108" s="384">
        <f t="shared" ref="P108:P171" si="16">IF(NOT(_xlfn.ISFORMULA(I108)),P107+1,0)</f>
        <v>65</v>
      </c>
      <c r="Q108" s="384"/>
      <c r="R108" s="384"/>
      <c r="S108" s="384"/>
      <c r="T108" s="384" t="b">
        <v>0</v>
      </c>
    </row>
    <row r="109" spans="1:20" x14ac:dyDescent="0.3">
      <c r="A109" s="384" t="b">
        <v>0</v>
      </c>
      <c r="B109" s="394"/>
      <c r="C109" s="384" t="s">
        <v>2399</v>
      </c>
      <c r="D109" s="384" t="s">
        <v>2394</v>
      </c>
      <c r="E109" s="384">
        <f t="shared" si="14"/>
        <v>6</v>
      </c>
      <c r="F109" s="389">
        <v>11</v>
      </c>
      <c r="G109" s="384"/>
      <c r="H109" s="384">
        <f t="shared" ca="1" si="15"/>
        <v>29</v>
      </c>
      <c r="I109" s="395"/>
      <c r="J109" s="395"/>
      <c r="K109" s="386"/>
      <c r="L109" s="388"/>
      <c r="M109" s="396"/>
      <c r="N109" s="388"/>
      <c r="O109" s="384" t="str">
        <f ca="1">IFERROR(IF(COUNTA($D$41:$D109)=1,"",OFFSET($C107,-COUNTA($D$41:$D109)+3,0)),"")</f>
        <v/>
      </c>
      <c r="P109" s="384">
        <f t="shared" si="16"/>
        <v>66</v>
      </c>
      <c r="Q109" s="384"/>
      <c r="R109" s="384"/>
      <c r="S109" s="384"/>
      <c r="T109" s="384" t="b">
        <v>0</v>
      </c>
    </row>
    <row r="110" spans="1:20" x14ac:dyDescent="0.3">
      <c r="A110" s="384" t="b">
        <v>0</v>
      </c>
      <c r="B110" s="394"/>
      <c r="C110" s="384" t="s">
        <v>2400</v>
      </c>
      <c r="D110" s="384" t="s">
        <v>2401</v>
      </c>
      <c r="E110" s="384">
        <f t="shared" si="14"/>
        <v>1</v>
      </c>
      <c r="F110" s="389">
        <v>12</v>
      </c>
      <c r="G110" s="384"/>
      <c r="H110" s="384">
        <f t="shared" ca="1" si="15"/>
        <v>31</v>
      </c>
      <c r="I110" s="395"/>
      <c r="J110" s="395"/>
      <c r="K110" s="386"/>
      <c r="L110" s="388"/>
      <c r="M110" s="396"/>
      <c r="N110" s="388"/>
      <c r="O110" s="384" t="str">
        <f ca="1">IFERROR(IF(COUNTA($D$41:$D110)=1,"",OFFSET($C108,-COUNTA($D$41:$D110)+3,0)),"")</f>
        <v/>
      </c>
      <c r="P110" s="384">
        <f t="shared" si="16"/>
        <v>67</v>
      </c>
      <c r="Q110" s="384"/>
      <c r="R110" s="384"/>
      <c r="S110" s="384"/>
      <c r="T110" s="384" t="b">
        <v>0</v>
      </c>
    </row>
    <row r="111" spans="1:20" x14ac:dyDescent="0.3">
      <c r="A111" s="384" t="b">
        <v>0</v>
      </c>
      <c r="B111" s="394"/>
      <c r="C111" s="384" t="s">
        <v>2402</v>
      </c>
      <c r="D111" s="384" t="s">
        <v>2401</v>
      </c>
      <c r="E111" s="384">
        <f t="shared" si="14"/>
        <v>2</v>
      </c>
      <c r="F111" s="389">
        <v>12</v>
      </c>
      <c r="G111" s="384"/>
      <c r="H111" s="384">
        <f t="shared" ca="1" si="15"/>
        <v>31</v>
      </c>
      <c r="I111" s="395"/>
      <c r="J111" s="395"/>
      <c r="K111" s="386"/>
      <c r="L111" s="388"/>
      <c r="M111" s="396"/>
      <c r="N111" s="388"/>
      <c r="O111" s="384" t="str">
        <f ca="1">IFERROR(IF(COUNTA($D$41:$D111)=1,"",OFFSET($C109,-COUNTA($D$41:$D111)+3,0)),"")</f>
        <v/>
      </c>
      <c r="P111" s="384">
        <f t="shared" si="16"/>
        <v>68</v>
      </c>
      <c r="Q111" s="384"/>
      <c r="R111" s="384"/>
      <c r="S111" s="384"/>
      <c r="T111" s="384" t="b">
        <v>0</v>
      </c>
    </row>
    <row r="112" spans="1:20" x14ac:dyDescent="0.3">
      <c r="A112" s="384" t="b">
        <v>0</v>
      </c>
      <c r="B112" s="394"/>
      <c r="C112" s="384" t="s">
        <v>2403</v>
      </c>
      <c r="D112" s="384" t="s">
        <v>2401</v>
      </c>
      <c r="E112" s="384">
        <f t="shared" si="14"/>
        <v>3</v>
      </c>
      <c r="F112" s="389">
        <v>12</v>
      </c>
      <c r="G112" s="384"/>
      <c r="H112" s="384">
        <f t="shared" ca="1" si="15"/>
        <v>31</v>
      </c>
      <c r="I112" s="395"/>
      <c r="J112" s="395"/>
      <c r="K112" s="386"/>
      <c r="L112" s="388"/>
      <c r="M112" s="396"/>
      <c r="N112" s="388"/>
      <c r="O112" s="384" t="str">
        <f ca="1">IFERROR(IF(COUNTA($D$41:$D112)=1,"",OFFSET($C110,-COUNTA($D$41:$D112)+3,0)),"")</f>
        <v/>
      </c>
      <c r="P112" s="384">
        <f t="shared" si="16"/>
        <v>69</v>
      </c>
      <c r="Q112" s="384"/>
      <c r="R112" s="384"/>
      <c r="S112" s="384"/>
      <c r="T112" s="384" t="b">
        <v>0</v>
      </c>
    </row>
    <row r="113" spans="1:20" x14ac:dyDescent="0.3">
      <c r="A113" s="384" t="b">
        <v>0</v>
      </c>
      <c r="B113" s="394"/>
      <c r="C113" s="384" t="s">
        <v>2404</v>
      </c>
      <c r="D113" s="384" t="s">
        <v>2401</v>
      </c>
      <c r="E113" s="384">
        <f t="shared" si="14"/>
        <v>4</v>
      </c>
      <c r="F113" s="389">
        <v>12</v>
      </c>
      <c r="G113" s="384"/>
      <c r="H113" s="384">
        <f t="shared" ca="1" si="15"/>
        <v>31</v>
      </c>
      <c r="I113" s="395"/>
      <c r="J113" s="395"/>
      <c r="K113" s="386"/>
      <c r="L113" s="388"/>
      <c r="M113" s="396"/>
      <c r="N113" s="388"/>
      <c r="O113" s="384" t="str">
        <f ca="1">IFERROR(IF(COUNTA($D$41:$D113)=1,"",OFFSET($C111,-COUNTA($D$41:$D113)+3,0)),"")</f>
        <v/>
      </c>
      <c r="P113" s="384">
        <f t="shared" si="16"/>
        <v>70</v>
      </c>
      <c r="Q113" s="384"/>
      <c r="R113" s="384"/>
      <c r="S113" s="384"/>
      <c r="T113" s="384" t="b">
        <v>0</v>
      </c>
    </row>
    <row r="114" spans="1:20" x14ac:dyDescent="0.3">
      <c r="A114" s="384" t="b">
        <v>0</v>
      </c>
      <c r="B114" s="394"/>
      <c r="C114" s="384" t="s">
        <v>2405</v>
      </c>
      <c r="D114" s="384" t="s">
        <v>2401</v>
      </c>
      <c r="E114" s="384">
        <f t="shared" si="14"/>
        <v>5</v>
      </c>
      <c r="F114" s="389">
        <v>12</v>
      </c>
      <c r="G114" s="384"/>
      <c r="H114" s="384">
        <f t="shared" ca="1" si="15"/>
        <v>31</v>
      </c>
      <c r="I114" s="395"/>
      <c r="J114" s="395"/>
      <c r="K114" s="386"/>
      <c r="L114" s="388"/>
      <c r="M114" s="396"/>
      <c r="N114" s="388"/>
      <c r="O114" s="384" t="str">
        <f ca="1">IFERROR(IF(COUNTA($D$41:$D114)=1,"",OFFSET($C112,-COUNTA($D$41:$D114)+3,0)),"")</f>
        <v/>
      </c>
      <c r="P114" s="384">
        <f t="shared" si="16"/>
        <v>71</v>
      </c>
      <c r="Q114" s="384"/>
      <c r="R114" s="384"/>
      <c r="S114" s="384"/>
      <c r="T114" s="384" t="b">
        <v>0</v>
      </c>
    </row>
    <row r="115" spans="1:20" x14ac:dyDescent="0.3">
      <c r="A115" s="384" t="b">
        <v>0</v>
      </c>
      <c r="B115" s="394"/>
      <c r="C115" s="384" t="s">
        <v>2406</v>
      </c>
      <c r="D115" s="384" t="s">
        <v>2401</v>
      </c>
      <c r="E115" s="384">
        <f t="shared" si="14"/>
        <v>6</v>
      </c>
      <c r="F115" s="389">
        <v>12</v>
      </c>
      <c r="G115" s="384"/>
      <c r="H115" s="384">
        <f t="shared" ca="1" si="15"/>
        <v>31</v>
      </c>
      <c r="I115" s="395"/>
      <c r="J115" s="395"/>
      <c r="K115" s="386"/>
      <c r="L115" s="388"/>
      <c r="M115" s="396"/>
      <c r="N115" s="388"/>
      <c r="O115" s="384" t="str">
        <f ca="1">IFERROR(IF(COUNTA($D$41:$D115)=1,"",OFFSET($C113,-COUNTA($D$41:$D115)+3,0)),"")</f>
        <v/>
      </c>
      <c r="P115" s="384">
        <f t="shared" si="16"/>
        <v>72</v>
      </c>
      <c r="Q115" s="384"/>
      <c r="R115" s="384"/>
      <c r="S115" s="384"/>
      <c r="T115" s="384" t="b">
        <v>0</v>
      </c>
    </row>
    <row r="116" spans="1:20" x14ac:dyDescent="0.3">
      <c r="A116" s="384" t="b">
        <v>0</v>
      </c>
      <c r="B116" s="394"/>
      <c r="C116" s="384" t="s">
        <v>2407</v>
      </c>
      <c r="D116" s="384" t="s">
        <v>2408</v>
      </c>
      <c r="E116" s="384">
        <f t="shared" si="14"/>
        <v>1</v>
      </c>
      <c r="F116" s="389">
        <v>13</v>
      </c>
      <c r="G116" s="384"/>
      <c r="H116" s="384">
        <f t="shared" ca="1" si="15"/>
        <v>33</v>
      </c>
      <c r="I116" s="395"/>
      <c r="J116" s="395"/>
      <c r="K116" s="386"/>
      <c r="L116" s="388"/>
      <c r="M116" s="396"/>
      <c r="N116" s="388"/>
      <c r="O116" s="384" t="str">
        <f ca="1">IFERROR(IF(COUNTA($D$41:$D116)=1,"",OFFSET($C114,-COUNTA($D$41:$D116)+3,0)),"")</f>
        <v/>
      </c>
      <c r="P116" s="384">
        <f t="shared" si="16"/>
        <v>73</v>
      </c>
      <c r="Q116" s="384"/>
      <c r="R116" s="384"/>
      <c r="S116" s="384"/>
      <c r="T116" s="384" t="b">
        <v>0</v>
      </c>
    </row>
    <row r="117" spans="1:20" x14ac:dyDescent="0.3">
      <c r="A117" s="384" t="b">
        <v>0</v>
      </c>
      <c r="B117" s="394"/>
      <c r="C117" s="384" t="s">
        <v>2409</v>
      </c>
      <c r="D117" s="384" t="s">
        <v>2408</v>
      </c>
      <c r="E117" s="384">
        <f t="shared" si="14"/>
        <v>2</v>
      </c>
      <c r="F117" s="389">
        <v>13</v>
      </c>
      <c r="G117" s="384"/>
      <c r="H117" s="384">
        <f t="shared" ca="1" si="15"/>
        <v>33</v>
      </c>
      <c r="I117" s="395"/>
      <c r="J117" s="395"/>
      <c r="K117" s="386"/>
      <c r="L117" s="388"/>
      <c r="M117" s="396"/>
      <c r="N117" s="388"/>
      <c r="O117" s="384" t="str">
        <f ca="1">IFERROR(IF(COUNTA($D$41:$D117)=1,"",OFFSET($C115,-COUNTA($D$41:$D117)+3,0)),"")</f>
        <v/>
      </c>
      <c r="P117" s="384">
        <f t="shared" si="16"/>
        <v>74</v>
      </c>
      <c r="Q117" s="384"/>
      <c r="R117" s="384"/>
      <c r="S117" s="384"/>
      <c r="T117" s="384" t="b">
        <v>0</v>
      </c>
    </row>
    <row r="118" spans="1:20" x14ac:dyDescent="0.3">
      <c r="A118" s="384" t="b">
        <v>0</v>
      </c>
      <c r="B118" s="394"/>
      <c r="C118" s="384" t="s">
        <v>2410</v>
      </c>
      <c r="D118" s="384" t="s">
        <v>2408</v>
      </c>
      <c r="E118" s="384">
        <f t="shared" si="14"/>
        <v>3</v>
      </c>
      <c r="F118" s="389">
        <v>13</v>
      </c>
      <c r="G118" s="384"/>
      <c r="H118" s="384">
        <f t="shared" ca="1" si="15"/>
        <v>33</v>
      </c>
      <c r="I118" s="395"/>
      <c r="J118" s="395"/>
      <c r="K118" s="386"/>
      <c r="L118" s="388"/>
      <c r="M118" s="396"/>
      <c r="N118" s="388"/>
      <c r="O118" s="384" t="str">
        <f ca="1">IFERROR(IF(COUNTA($D$41:$D118)=1,"",OFFSET($C116,-COUNTA($D$41:$D118)+3,0)),"")</f>
        <v/>
      </c>
      <c r="P118" s="384">
        <f t="shared" si="16"/>
        <v>75</v>
      </c>
      <c r="Q118" s="384"/>
      <c r="R118" s="384"/>
      <c r="S118" s="384"/>
      <c r="T118" s="384" t="b">
        <v>0</v>
      </c>
    </row>
    <row r="119" spans="1:20" x14ac:dyDescent="0.3">
      <c r="A119" s="384" t="b">
        <v>0</v>
      </c>
      <c r="B119" s="394"/>
      <c r="C119" s="384" t="s">
        <v>2411</v>
      </c>
      <c r="D119" s="384" t="s">
        <v>2408</v>
      </c>
      <c r="E119" s="384">
        <f t="shared" si="14"/>
        <v>4</v>
      </c>
      <c r="F119" s="389">
        <v>13</v>
      </c>
      <c r="G119" s="384"/>
      <c r="H119" s="384">
        <f t="shared" ca="1" si="15"/>
        <v>33</v>
      </c>
      <c r="I119" s="395"/>
      <c r="J119" s="395"/>
      <c r="K119" s="386"/>
      <c r="L119" s="388"/>
      <c r="M119" s="396"/>
      <c r="N119" s="388"/>
      <c r="O119" s="384" t="str">
        <f ca="1">IFERROR(IF(COUNTA($D$41:$D119)=1,"",OFFSET($C117,-COUNTA($D$41:$D119)+3,0)),"")</f>
        <v/>
      </c>
      <c r="P119" s="384">
        <f t="shared" si="16"/>
        <v>76</v>
      </c>
      <c r="Q119" s="384"/>
      <c r="R119" s="384"/>
      <c r="S119" s="384"/>
      <c r="T119" s="384" t="b">
        <v>0</v>
      </c>
    </row>
    <row r="120" spans="1:20" x14ac:dyDescent="0.3">
      <c r="A120" s="384" t="b">
        <v>0</v>
      </c>
      <c r="B120" s="394"/>
      <c r="C120" s="384" t="s">
        <v>2412</v>
      </c>
      <c r="D120" s="384" t="s">
        <v>2408</v>
      </c>
      <c r="E120" s="384">
        <f t="shared" si="14"/>
        <v>5</v>
      </c>
      <c r="F120" s="389">
        <v>13</v>
      </c>
      <c r="G120" s="384"/>
      <c r="H120" s="384">
        <f t="shared" ca="1" si="15"/>
        <v>33</v>
      </c>
      <c r="I120" s="395"/>
      <c r="J120" s="395"/>
      <c r="K120" s="386"/>
      <c r="L120" s="388"/>
      <c r="M120" s="396"/>
      <c r="N120" s="388"/>
      <c r="O120" s="384" t="str">
        <f ca="1">IFERROR(IF(COUNTA($D$41:$D120)=1,"",OFFSET($C118,-COUNTA($D$41:$D120)+3,0)),"")</f>
        <v/>
      </c>
      <c r="P120" s="384">
        <f t="shared" si="16"/>
        <v>77</v>
      </c>
      <c r="Q120" s="384"/>
      <c r="R120" s="384"/>
      <c r="S120" s="384"/>
      <c r="T120" s="384" t="b">
        <v>0</v>
      </c>
    </row>
    <row r="121" spans="1:20" x14ac:dyDescent="0.3">
      <c r="A121" s="384" t="b">
        <v>0</v>
      </c>
      <c r="B121" s="394"/>
      <c r="C121" s="384" t="s">
        <v>2413</v>
      </c>
      <c r="D121" s="384" t="s">
        <v>2408</v>
      </c>
      <c r="E121" s="384">
        <f t="shared" si="14"/>
        <v>6</v>
      </c>
      <c r="F121" s="389">
        <v>13</v>
      </c>
      <c r="G121" s="384"/>
      <c r="H121" s="384">
        <f t="shared" ca="1" si="15"/>
        <v>33</v>
      </c>
      <c r="I121" s="395"/>
      <c r="J121" s="395"/>
      <c r="K121" s="386"/>
      <c r="L121" s="388"/>
      <c r="M121" s="396"/>
      <c r="N121" s="388"/>
      <c r="O121" s="384" t="str">
        <f ca="1">IFERROR(IF(COUNTA($D$41:$D121)=1,"",OFFSET($C119,-COUNTA($D$41:$D121)+3,0)),"")</f>
        <v/>
      </c>
      <c r="P121" s="384">
        <f t="shared" si="16"/>
        <v>78</v>
      </c>
      <c r="Q121" s="384"/>
      <c r="R121" s="384"/>
      <c r="S121" s="384"/>
      <c r="T121" s="384" t="b">
        <v>0</v>
      </c>
    </row>
    <row r="122" spans="1:20" x14ac:dyDescent="0.3">
      <c r="A122" s="384" t="b">
        <v>0</v>
      </c>
      <c r="B122" s="394"/>
      <c r="C122" s="384" t="s">
        <v>2414</v>
      </c>
      <c r="D122" s="384" t="s">
        <v>2415</v>
      </c>
      <c r="E122" s="384">
        <f t="shared" si="14"/>
        <v>1</v>
      </c>
      <c r="F122" s="389">
        <v>14</v>
      </c>
      <c r="G122" s="384"/>
      <c r="H122" s="384">
        <f t="shared" ca="1" si="15"/>
        <v>35</v>
      </c>
      <c r="I122" s="395"/>
      <c r="J122" s="395"/>
      <c r="K122" s="386"/>
      <c r="L122" s="388"/>
      <c r="M122" s="396"/>
      <c r="N122" s="388"/>
      <c r="O122" s="384" t="str">
        <f ca="1">IFERROR(IF(COUNTA($D$41:$D122)=1,"",OFFSET($C120,-COUNTA($D$41:$D122)+3,0)),"")</f>
        <v/>
      </c>
      <c r="P122" s="384">
        <f t="shared" si="16"/>
        <v>79</v>
      </c>
      <c r="Q122" s="384"/>
      <c r="R122" s="384"/>
      <c r="S122" s="384"/>
      <c r="T122" s="384" t="b">
        <v>0</v>
      </c>
    </row>
    <row r="123" spans="1:20" x14ac:dyDescent="0.3">
      <c r="A123" s="384" t="b">
        <v>0</v>
      </c>
      <c r="B123" s="394"/>
      <c r="C123" s="384" t="s">
        <v>2416</v>
      </c>
      <c r="D123" s="384" t="s">
        <v>2415</v>
      </c>
      <c r="E123" s="384">
        <f t="shared" si="14"/>
        <v>2</v>
      </c>
      <c r="F123" s="389">
        <v>14</v>
      </c>
      <c r="G123" s="384"/>
      <c r="H123" s="384">
        <f t="shared" ca="1" si="15"/>
        <v>35</v>
      </c>
      <c r="I123" s="395"/>
      <c r="J123" s="395"/>
      <c r="K123" s="386"/>
      <c r="L123" s="388"/>
      <c r="M123" s="396"/>
      <c r="N123" s="388"/>
      <c r="O123" s="384" t="str">
        <f ca="1">IFERROR(IF(COUNTA($D$41:$D123)=1,"",OFFSET($C121,-COUNTA($D$41:$D123)+3,0)),"")</f>
        <v/>
      </c>
      <c r="P123" s="384">
        <f t="shared" si="16"/>
        <v>80</v>
      </c>
      <c r="Q123" s="384"/>
      <c r="R123" s="384"/>
      <c r="S123" s="384"/>
      <c r="T123" s="384" t="b">
        <v>0</v>
      </c>
    </row>
    <row r="124" spans="1:20" x14ac:dyDescent="0.3">
      <c r="A124" s="384" t="b">
        <v>0</v>
      </c>
      <c r="B124" s="394"/>
      <c r="C124" s="384" t="s">
        <v>2417</v>
      </c>
      <c r="D124" s="384" t="s">
        <v>2415</v>
      </c>
      <c r="E124" s="384">
        <f t="shared" si="14"/>
        <v>3</v>
      </c>
      <c r="F124" s="389">
        <v>14</v>
      </c>
      <c r="G124" s="384"/>
      <c r="H124" s="384">
        <f t="shared" ca="1" si="15"/>
        <v>35</v>
      </c>
      <c r="I124" s="395"/>
      <c r="J124" s="395"/>
      <c r="K124" s="386"/>
      <c r="L124" s="388"/>
      <c r="M124" s="396"/>
      <c r="N124" s="388"/>
      <c r="O124" s="384" t="str">
        <f ca="1">IFERROR(IF(COUNTA($D$41:$D124)=1,"",OFFSET($C122,-COUNTA($D$41:$D124)+3,0)),"")</f>
        <v/>
      </c>
      <c r="P124" s="384">
        <f t="shared" si="16"/>
        <v>81</v>
      </c>
      <c r="Q124" s="384"/>
      <c r="R124" s="384"/>
      <c r="S124" s="384"/>
      <c r="T124" s="384" t="b">
        <v>0</v>
      </c>
    </row>
    <row r="125" spans="1:20" x14ac:dyDescent="0.3">
      <c r="A125" s="384" t="b">
        <v>0</v>
      </c>
      <c r="B125" s="394"/>
      <c r="C125" s="384" t="s">
        <v>2418</v>
      </c>
      <c r="D125" s="384" t="s">
        <v>2415</v>
      </c>
      <c r="E125" s="384">
        <f t="shared" si="14"/>
        <v>4</v>
      </c>
      <c r="F125" s="389">
        <v>14</v>
      </c>
      <c r="G125" s="384"/>
      <c r="H125" s="384">
        <f t="shared" ca="1" si="15"/>
        <v>35</v>
      </c>
      <c r="I125" s="395"/>
      <c r="J125" s="395"/>
      <c r="K125" s="386"/>
      <c r="L125" s="388"/>
      <c r="M125" s="396"/>
      <c r="N125" s="388"/>
      <c r="O125" s="384" t="str">
        <f ca="1">IFERROR(IF(COUNTA($D$41:$D125)=1,"",OFFSET($C123,-COUNTA($D$41:$D125)+3,0)),"")</f>
        <v/>
      </c>
      <c r="P125" s="384">
        <f t="shared" si="16"/>
        <v>82</v>
      </c>
      <c r="Q125" s="384"/>
      <c r="R125" s="384"/>
      <c r="S125" s="384"/>
      <c r="T125" s="384" t="b">
        <v>0</v>
      </c>
    </row>
    <row r="126" spans="1:20" x14ac:dyDescent="0.3">
      <c r="A126" s="384" t="b">
        <v>0</v>
      </c>
      <c r="B126" s="394"/>
      <c r="C126" s="384" t="s">
        <v>2419</v>
      </c>
      <c r="D126" s="384" t="s">
        <v>2415</v>
      </c>
      <c r="E126" s="384">
        <f t="shared" si="14"/>
        <v>5</v>
      </c>
      <c r="F126" s="389">
        <v>14</v>
      </c>
      <c r="G126" s="384"/>
      <c r="H126" s="384">
        <f t="shared" ca="1" si="15"/>
        <v>35</v>
      </c>
      <c r="I126" s="395"/>
      <c r="J126" s="395"/>
      <c r="K126" s="386"/>
      <c r="L126" s="388"/>
      <c r="M126" s="396"/>
      <c r="N126" s="388"/>
      <c r="O126" s="384" t="str">
        <f ca="1">IFERROR(IF(COUNTA($D$41:$D126)=1,"",OFFSET($C124,-COUNTA($D$41:$D126)+3,0)),"")</f>
        <v/>
      </c>
      <c r="P126" s="384">
        <f t="shared" si="16"/>
        <v>83</v>
      </c>
      <c r="Q126" s="384"/>
      <c r="R126" s="384"/>
      <c r="S126" s="384"/>
      <c r="T126" s="384" t="b">
        <v>0</v>
      </c>
    </row>
    <row r="127" spans="1:20" x14ac:dyDescent="0.3">
      <c r="A127" s="384" t="b">
        <v>0</v>
      </c>
      <c r="B127" s="394"/>
      <c r="C127" s="384" t="s">
        <v>2420</v>
      </c>
      <c r="D127" s="384" t="s">
        <v>2415</v>
      </c>
      <c r="E127" s="384">
        <f t="shared" si="14"/>
        <v>6</v>
      </c>
      <c r="F127" s="389">
        <v>14</v>
      </c>
      <c r="G127" s="384"/>
      <c r="H127" s="384">
        <f t="shared" ca="1" si="15"/>
        <v>35</v>
      </c>
      <c r="I127" s="395"/>
      <c r="J127" s="395"/>
      <c r="K127" s="386"/>
      <c r="L127" s="388"/>
      <c r="M127" s="396"/>
      <c r="N127" s="388"/>
      <c r="O127" s="384" t="str">
        <f ca="1">IFERROR(IF(COUNTA($D$41:$D127)=1,"",OFFSET($C125,-COUNTA($D$41:$D127)+3,0)),"")</f>
        <v/>
      </c>
      <c r="P127" s="384">
        <f t="shared" si="16"/>
        <v>84</v>
      </c>
      <c r="Q127" s="384"/>
      <c r="R127" s="384"/>
      <c r="S127" s="384"/>
      <c r="T127" s="384" t="b">
        <v>0</v>
      </c>
    </row>
    <row r="128" spans="1:20" x14ac:dyDescent="0.3">
      <c r="A128" s="384" t="b">
        <v>0</v>
      </c>
      <c r="B128" s="394"/>
      <c r="C128" s="384" t="s">
        <v>2421</v>
      </c>
      <c r="D128" s="384" t="s">
        <v>2422</v>
      </c>
      <c r="E128" s="384">
        <f t="shared" si="14"/>
        <v>1</v>
      </c>
      <c r="F128" s="389">
        <v>15</v>
      </c>
      <c r="G128" s="384"/>
      <c r="H128" s="384">
        <f t="shared" ca="1" si="15"/>
        <v>37</v>
      </c>
      <c r="I128" s="395"/>
      <c r="J128" s="395"/>
      <c r="K128" s="386"/>
      <c r="L128" s="388"/>
      <c r="M128" s="396"/>
      <c r="N128" s="388"/>
      <c r="O128" s="384" t="str">
        <f ca="1">IFERROR(IF(COUNTA($D$41:$D128)=1,"",OFFSET($C126,-COUNTA($D$41:$D128)+3,0)),"")</f>
        <v/>
      </c>
      <c r="P128" s="384">
        <f t="shared" si="16"/>
        <v>85</v>
      </c>
      <c r="Q128" s="384"/>
      <c r="R128" s="384"/>
      <c r="S128" s="384"/>
      <c r="T128" s="384" t="b">
        <v>0</v>
      </c>
    </row>
    <row r="129" spans="1:20" x14ac:dyDescent="0.3">
      <c r="A129" s="384" t="b">
        <v>0</v>
      </c>
      <c r="B129" s="394"/>
      <c r="C129" s="384" t="s">
        <v>2423</v>
      </c>
      <c r="D129" s="384" t="s">
        <v>2422</v>
      </c>
      <c r="E129" s="384">
        <f t="shared" si="14"/>
        <v>2</v>
      </c>
      <c r="F129" s="389">
        <v>15</v>
      </c>
      <c r="G129" s="384"/>
      <c r="H129" s="384">
        <f t="shared" ca="1" si="15"/>
        <v>37</v>
      </c>
      <c r="I129" s="395"/>
      <c r="J129" s="395"/>
      <c r="K129" s="386"/>
      <c r="L129" s="388"/>
      <c r="M129" s="396"/>
      <c r="N129" s="388"/>
      <c r="O129" s="384" t="str">
        <f ca="1">IFERROR(IF(COUNTA($D$41:$D129)=1,"",OFFSET($C127,-COUNTA($D$41:$D129)+3,0)),"")</f>
        <v/>
      </c>
      <c r="P129" s="384">
        <f t="shared" si="16"/>
        <v>86</v>
      </c>
      <c r="Q129" s="384"/>
      <c r="R129" s="384"/>
      <c r="S129" s="384"/>
      <c r="T129" s="384" t="b">
        <v>0</v>
      </c>
    </row>
    <row r="130" spans="1:20" x14ac:dyDescent="0.3">
      <c r="A130" s="384" t="b">
        <v>0</v>
      </c>
      <c r="B130" s="394"/>
      <c r="C130" s="384" t="s">
        <v>2424</v>
      </c>
      <c r="D130" s="384" t="s">
        <v>2422</v>
      </c>
      <c r="E130" s="384">
        <f t="shared" si="14"/>
        <v>3</v>
      </c>
      <c r="F130" s="389">
        <v>15</v>
      </c>
      <c r="G130" s="384"/>
      <c r="H130" s="384">
        <f t="shared" ca="1" si="15"/>
        <v>37</v>
      </c>
      <c r="I130" s="395"/>
      <c r="J130" s="395"/>
      <c r="K130" s="386"/>
      <c r="L130" s="388"/>
      <c r="M130" s="396"/>
      <c r="N130" s="388"/>
      <c r="O130" s="384" t="str">
        <f ca="1">IFERROR(IF(COUNTA($D$41:$D130)=1,"",OFFSET($C128,-COUNTA($D$41:$D130)+3,0)),"")</f>
        <v/>
      </c>
      <c r="P130" s="384">
        <f t="shared" si="16"/>
        <v>87</v>
      </c>
      <c r="Q130" s="384"/>
      <c r="R130" s="384"/>
      <c r="S130" s="384"/>
      <c r="T130" s="384" t="b">
        <v>0</v>
      </c>
    </row>
    <row r="131" spans="1:20" x14ac:dyDescent="0.3">
      <c r="A131" s="384" t="b">
        <v>0</v>
      </c>
      <c r="B131" s="394"/>
      <c r="C131" s="384" t="s">
        <v>2425</v>
      </c>
      <c r="D131" s="384" t="s">
        <v>2422</v>
      </c>
      <c r="E131" s="384">
        <f t="shared" si="14"/>
        <v>4</v>
      </c>
      <c r="F131" s="389">
        <v>15</v>
      </c>
      <c r="G131" s="384"/>
      <c r="H131" s="384">
        <f t="shared" ca="1" si="15"/>
        <v>37</v>
      </c>
      <c r="I131" s="395"/>
      <c r="J131" s="395"/>
      <c r="K131" s="386"/>
      <c r="L131" s="388"/>
      <c r="M131" s="396"/>
      <c r="N131" s="388"/>
      <c r="O131" s="384" t="str">
        <f ca="1">IFERROR(IF(COUNTA($D$41:$D131)=1,"",OFFSET($C129,-COUNTA($D$41:$D131)+3,0)),"")</f>
        <v/>
      </c>
      <c r="P131" s="384">
        <f t="shared" si="16"/>
        <v>88</v>
      </c>
      <c r="Q131" s="384"/>
      <c r="R131" s="384"/>
      <c r="S131" s="384"/>
      <c r="T131" s="384" t="b">
        <v>0</v>
      </c>
    </row>
    <row r="132" spans="1:20" x14ac:dyDescent="0.3">
      <c r="A132" s="384" t="b">
        <v>0</v>
      </c>
      <c r="B132" s="394"/>
      <c r="C132" s="384" t="s">
        <v>2426</v>
      </c>
      <c r="D132" s="384" t="s">
        <v>2422</v>
      </c>
      <c r="E132" s="384">
        <f t="shared" si="14"/>
        <v>5</v>
      </c>
      <c r="F132" s="389">
        <v>15</v>
      </c>
      <c r="G132" s="384"/>
      <c r="H132" s="384">
        <f t="shared" ca="1" si="15"/>
        <v>37</v>
      </c>
      <c r="I132" s="395"/>
      <c r="J132" s="395"/>
      <c r="K132" s="386"/>
      <c r="L132" s="388"/>
      <c r="M132" s="396"/>
      <c r="N132" s="388"/>
      <c r="O132" s="384" t="str">
        <f ca="1">IFERROR(IF(COUNTA($D$41:$D132)=1,"",OFFSET($C130,-COUNTA($D$41:$D132)+3,0)),"")</f>
        <v/>
      </c>
      <c r="P132" s="384">
        <f t="shared" si="16"/>
        <v>89</v>
      </c>
      <c r="Q132" s="384"/>
      <c r="R132" s="384"/>
      <c r="S132" s="384"/>
      <c r="T132" s="384" t="b">
        <v>0</v>
      </c>
    </row>
    <row r="133" spans="1:20" x14ac:dyDescent="0.3">
      <c r="A133" s="384" t="b">
        <v>0</v>
      </c>
      <c r="B133" s="394"/>
      <c r="C133" s="384" t="s">
        <v>2427</v>
      </c>
      <c r="D133" s="384" t="s">
        <v>2422</v>
      </c>
      <c r="E133" s="384">
        <f t="shared" si="14"/>
        <v>6</v>
      </c>
      <c r="F133" s="389">
        <v>15</v>
      </c>
      <c r="G133" s="384"/>
      <c r="H133" s="384">
        <f t="shared" ca="1" si="15"/>
        <v>37</v>
      </c>
      <c r="I133" s="395"/>
      <c r="J133" s="395"/>
      <c r="K133" s="386"/>
      <c r="L133" s="388"/>
      <c r="M133" s="396"/>
      <c r="N133" s="388"/>
      <c r="O133" s="384" t="str">
        <f ca="1">IFERROR(IF(COUNTA($D$41:$D133)=1,"",OFFSET($C131,-COUNTA($D$41:$D133)+3,0)),"")</f>
        <v/>
      </c>
      <c r="P133" s="384">
        <f t="shared" si="16"/>
        <v>90</v>
      </c>
      <c r="Q133" s="384"/>
      <c r="R133" s="384"/>
      <c r="S133" s="384"/>
      <c r="T133" s="384" t="b">
        <v>0</v>
      </c>
    </row>
    <row r="134" spans="1:20" x14ac:dyDescent="0.3">
      <c r="A134" s="384" t="b">
        <f t="shared" ref="A134:A197" ca="1" si="17">IF(OR(I134&lt;&gt;"",J134&lt;&gt;"",K134&lt;&gt;"",M134&lt;&gt;"",N134&lt;&gt;""),TRUE,FALSE)</f>
        <v>1</v>
      </c>
      <c r="B134" s="394"/>
      <c r="C134" s="393" t="str">
        <f t="shared" ref="C134:C197" ca="1" si="18">O134</f>
        <v>a1HDm000000bvilMAA</v>
      </c>
      <c r="D134" s="384"/>
      <c r="E134" s="384">
        <f t="shared" ca="1" si="14"/>
        <v>1</v>
      </c>
      <c r="F134" s="389">
        <f ca="1">IFERROR(IF(COUNTA($D$41:$D134)=1,"",OFFSET($F132,-COUNTA($D$41:$D134)+3,0)),"")</f>
        <v>1</v>
      </c>
      <c r="G134" s="384"/>
      <c r="H134" s="384">
        <f t="shared" ca="1" si="15"/>
        <v>9</v>
      </c>
      <c r="I134" s="395" t="str">
        <f t="shared" ref="I134:I197" ca="1" si="19">IFERROR(CHOOSE(E134,IFERROR(IF(INDIRECT("'Impact Indicators - Section B '!K"&amp;H134+1)="","",INDIRECT("'Impact Indicators - Section B '!K"&amp;H134+1)),""),IFERROR(IF(INDIRECT("'Impact Indicators - Section B '!O"&amp;H134+1)="","",INDIRECT("'Impact Indicators - Section B '!O"&amp;H134+1)),""),IFERROR(IF(INDIRECT("'Impact Indicators - Section B '!S"&amp;H134+1)="","",INDIRECT("'Impact Indicators - Section B '!S"&amp;H134+1)),""),IFERROR(IF(INDIRECT("'Impact Indicators - Section B '!W"&amp;H134+1)="","",INDIRECT("'Impact Indicators - Section B '!W"&amp;H134+1)),"")),"")</f>
        <v/>
      </c>
      <c r="J134" s="395">
        <f t="shared" ref="J134:J197" ca="1" si="20">IFERROR(CHOOSE(E134,IFERROR(IF(INDIRECT("'Impact Indicators - Section B '!K"&amp;H134)="","",INDIRECT("'Impact Indicators - Section B '!K"&amp;H134)),""),IFERROR(IF(INDIRECT("'Impact Indicators - Section B '!O"&amp;H134)="","",INDIRECT("'Impact Indicators - Section B '!O"&amp;H134)),""),IFERROR(IF(INDIRECT("'Impact Indicators - Section B '!S"&amp;H134)="","",INDIRECT("'Impact Indicators - Section B '!S"&amp;H134)),""),IFERROR(IF(INDIRECT("'Impact Indicators - Section B '!W"&amp;H134)="","",INDIRECT("'Impact Indicators - Section B '!W"&amp;H134)),"")),"")</f>
        <v>45</v>
      </c>
      <c r="K134" s="386" t="str">
        <f t="shared" ref="K134:K197" ca="1" si="21">IFERROR(CHOOSE(E134,IFERROR(IF(INDIRECT("'Impact Indicators - Section B '!L"&amp;H134)="","",INDIRECT("'Impact Indicators - Section B '!L"&amp;H134)*100),""),IFERROR(IF(INDIRECT("'Impact Indicators - Section B '!P"&amp;H134)="","",INDIRECT("'Impact Indicators - Section B '!P"&amp;H134)*100),""),IFERROR(IF(INDIRECT("'Impact Indicators - Section B '!T"&amp;H134)="","",INDIRECT("'Impact Indicators - Section B '!T"&amp;H134)*100),""),IFERROR(IF(INDIRECT("'Impact Indicators - Section B '!X"&amp;H134)="","",INDIRECT("'Impact Indicators - Section B '!X"&amp;H134)*100),"")),"")</f>
        <v/>
      </c>
      <c r="L134" s="388">
        <f ca="1">IFERROR(CHOOSE(E134,'Impact Indicators - Section B '!$K$7,'Impact Indicators - Section B '!$O$7,'Impact Indicators - Section B '!$S$7,'Impact Indicators - Section B '!$W$7,'Impact Indicators - Section B '!#REF!),"")</f>
        <v>2024</v>
      </c>
      <c r="M134" s="396" t="str">
        <f t="shared" ref="M134:M197" ca="1" si="22">IFERROR(CHOOSE(E134,IFERROR(IF(INDIRECT("'Impact Indicators - Section B '!M"&amp;H134)="","",INDIRECT("'Impact Indicators - Section B '!M"&amp;H134)),""),IFERROR(IF(INDIRECT("'Impact Indicators - Section B '!Q"&amp;H134)=0,"",INDIRECT("'Impact Indicators - Section B '!Q"&amp;H134)),""),IFERROR(IF(INDIRECT("'Impact Indicators - Section B '!U"&amp;H134)=0,"",INDIRECT("'Impact Indicators - Section B '!U"&amp;H134)),""),IFERROR(IF(INDIRECT("'Impact Indicators - Section B '!Y"&amp;H134)=0,"",INDIRECT("'Impact Indicators - Section B '!Y"&amp;H134)),"")),"")</f>
        <v/>
      </c>
      <c r="N134" s="388" t="str">
        <f t="shared" ref="N134:N197" ca="1" si="23">IFERROR(CHOOSE(E134,IFERROR(IF(INDIRECT("'Impact Indicators - Section B '!N"&amp;H134)=0,"",INDIRECT("'Impact Indicators - Section B '!N"&amp;H134)),""),IFERROR(IF(INDIRECT("'Impact Indicators - Section B '!R"&amp;H134)=0,"",INDIRECT("'Impact Indicators - Section B '!R"&amp;H134)),""),IFERROR(IF(INDIRECT("'Impact Indicators - Section B '!V"&amp;H134)=0,"",INDIRECT("'Impact Indicators - Section B '!V"&amp;H134)),""),IFERROR(IF(INDIRECT("'Impact Indicators - Section B '!Z"&amp;H134)=0,"",INDIRECT("'Impact Indicators - Section B '!Z"&amp;H134)),"")),"")</f>
        <v/>
      </c>
      <c r="O134" s="384" t="str">
        <f ca="1">IFERROR(IF(COUNTA($D$41:$D134)=1,"",OFFSET($C132,-COUNTA($D$41:$D134)+3,0)),"")</f>
        <v>a1HDm000000bvilMAA</v>
      </c>
      <c r="P134" s="384">
        <f t="shared" si="16"/>
        <v>0</v>
      </c>
      <c r="Q134" s="384"/>
      <c r="R134" s="384"/>
      <c r="S134" s="384"/>
      <c r="T134" s="384" t="b">
        <f t="shared" ref="T134:T197" ca="1" si="24">IF(A134=TRUE,TRUE,FALSE)</f>
        <v>1</v>
      </c>
    </row>
    <row r="135" spans="1:20" x14ac:dyDescent="0.3">
      <c r="A135" s="384" t="b">
        <f t="shared" ca="1" si="17"/>
        <v>1</v>
      </c>
      <c r="B135" s="394"/>
      <c r="C135" s="393" t="str">
        <f t="shared" ca="1" si="18"/>
        <v>a1HDm000000bvj0MAA</v>
      </c>
      <c r="D135" s="384"/>
      <c r="E135" s="384">
        <f t="shared" ca="1" si="14"/>
        <v>2</v>
      </c>
      <c r="F135" s="389">
        <f ca="1">IFERROR(IF(COUNTA($D$41:$D135)=1,"",OFFSET($F133,-COUNTA($D$41:$D135)+3,0)),"")</f>
        <v>1</v>
      </c>
      <c r="G135" s="384"/>
      <c r="H135" s="384">
        <f t="shared" ca="1" si="15"/>
        <v>9</v>
      </c>
      <c r="I135" s="395" t="str">
        <f t="shared" ca="1" si="19"/>
        <v/>
      </c>
      <c r="J135" s="395">
        <f t="shared" ca="1" si="20"/>
        <v>45</v>
      </c>
      <c r="K135" s="386" t="str">
        <f t="shared" ca="1" si="21"/>
        <v/>
      </c>
      <c r="L135" s="388">
        <f ca="1">IFERROR(CHOOSE(E135,'Impact Indicators - Section B '!$K$7,'Impact Indicators - Section B '!$O$7,'Impact Indicators - Section B '!$S$7,'Impact Indicators - Section B '!$W$7,'Impact Indicators - Section B '!#REF!),"")</f>
        <v>2025</v>
      </c>
      <c r="M135" s="396" t="str">
        <f t="shared" ca="1" si="22"/>
        <v/>
      </c>
      <c r="N135" s="388" t="str">
        <f t="shared" ca="1" si="23"/>
        <v/>
      </c>
      <c r="O135" s="384" t="str">
        <f ca="1">IFERROR(IF(COUNTA($D$41:$D135)=1,"",OFFSET($C133,-COUNTA($D$41:$D135)+3,0)),"")</f>
        <v>a1HDm000000bvj0MAA</v>
      </c>
      <c r="P135" s="384">
        <f t="shared" si="16"/>
        <v>0</v>
      </c>
      <c r="Q135" s="384"/>
      <c r="R135" s="384"/>
      <c r="S135" s="384"/>
      <c r="T135" s="384" t="b">
        <f t="shared" ca="1" si="24"/>
        <v>1</v>
      </c>
    </row>
    <row r="136" spans="1:20" x14ac:dyDescent="0.3">
      <c r="A136" s="384" t="b">
        <f t="shared" ca="1" si="17"/>
        <v>1</v>
      </c>
      <c r="B136" s="394"/>
      <c r="C136" s="393" t="str">
        <f t="shared" ca="1" si="18"/>
        <v>a1HDm000000bvjFMAQ</v>
      </c>
      <c r="D136" s="384"/>
      <c r="E136" s="384">
        <f t="shared" ca="1" si="14"/>
        <v>3</v>
      </c>
      <c r="F136" s="389">
        <f ca="1">IFERROR(IF(COUNTA($D$41:$D136)=1,"",OFFSET($F134,-COUNTA($D$41:$D136)+3,0)),"")</f>
        <v>1</v>
      </c>
      <c r="G136" s="384"/>
      <c r="H136" s="384">
        <f t="shared" ca="1" si="15"/>
        <v>9</v>
      </c>
      <c r="I136" s="395" t="str">
        <f t="shared" ca="1" si="19"/>
        <v/>
      </c>
      <c r="J136" s="395">
        <f t="shared" ca="1" si="20"/>
        <v>45</v>
      </c>
      <c r="K136" s="386" t="str">
        <f t="shared" ca="1" si="21"/>
        <v/>
      </c>
      <c r="L136" s="388">
        <f ca="1">IFERROR(CHOOSE(E136,'Impact Indicators - Section B '!$K$7,'Impact Indicators - Section B '!$O$7,'Impact Indicators - Section B '!$S$7,'Impact Indicators - Section B '!$W$7,'Impact Indicators - Section B '!#REF!),"")</f>
        <v>2026</v>
      </c>
      <c r="M136" s="396" t="str">
        <f t="shared" ca="1" si="22"/>
        <v/>
      </c>
      <c r="N136" s="388" t="str">
        <f t="shared" ca="1" si="23"/>
        <v/>
      </c>
      <c r="O136" s="384" t="str">
        <f ca="1">IFERROR(IF(COUNTA($D$41:$D136)=1,"",OFFSET($C134,-COUNTA($D$41:$D136)+3,0)),"")</f>
        <v>a1HDm000000bvjFMAQ</v>
      </c>
      <c r="P136" s="384">
        <f t="shared" si="16"/>
        <v>0</v>
      </c>
      <c r="Q136" s="384"/>
      <c r="R136" s="384"/>
      <c r="S136" s="384"/>
      <c r="T136" s="384" t="b">
        <f t="shared" ca="1" si="24"/>
        <v>1</v>
      </c>
    </row>
    <row r="137" spans="1:20" x14ac:dyDescent="0.3">
      <c r="A137" s="384" t="b">
        <f t="shared" ca="1" si="17"/>
        <v>0</v>
      </c>
      <c r="B137" s="394"/>
      <c r="C137" s="393" t="str">
        <f t="shared" ca="1" si="18"/>
        <v>a1HDm000000bvjUMAQ</v>
      </c>
      <c r="D137" s="384"/>
      <c r="E137" s="384">
        <f t="shared" ca="1" si="14"/>
        <v>4</v>
      </c>
      <c r="F137" s="389">
        <f ca="1">IFERROR(IF(COUNTA($D$41:$D137)=1,"",OFFSET($F135,-COUNTA($D$41:$D137)+3,0)),"")</f>
        <v>1</v>
      </c>
      <c r="G137" s="384"/>
      <c r="H137" s="384">
        <f t="shared" ca="1" si="15"/>
        <v>9</v>
      </c>
      <c r="I137" s="395" t="str">
        <f t="shared" ca="1" si="19"/>
        <v/>
      </c>
      <c r="J137" s="395" t="str">
        <f t="shared" ca="1" si="20"/>
        <v/>
      </c>
      <c r="K137" s="386" t="str">
        <f t="shared" ca="1" si="21"/>
        <v/>
      </c>
      <c r="L137" s="388" t="str">
        <f ca="1">IFERROR(CHOOSE(E137,'Impact Indicators - Section B '!$K$7,'Impact Indicators - Section B '!$O$7,'Impact Indicators - Section B '!$S$7,'Impact Indicators - Section B '!$W$7,'Impact Indicators - Section B '!#REF!),"")</f>
        <v/>
      </c>
      <c r="M137" s="396" t="str">
        <f t="shared" ca="1" si="22"/>
        <v/>
      </c>
      <c r="N137" s="388" t="str">
        <f t="shared" ca="1" si="23"/>
        <v/>
      </c>
      <c r="O137" s="384" t="str">
        <f ca="1">IFERROR(IF(COUNTA($D$41:$D137)=1,"",OFFSET($C135,-COUNTA($D$41:$D137)+3,0)),"")</f>
        <v>a1HDm000000bvjUMAQ</v>
      </c>
      <c r="P137" s="384">
        <f t="shared" si="16"/>
        <v>0</v>
      </c>
      <c r="Q137" s="384"/>
      <c r="R137" s="384"/>
      <c r="S137" s="384"/>
      <c r="T137" s="384" t="b">
        <f t="shared" ca="1" si="24"/>
        <v>0</v>
      </c>
    </row>
    <row r="138" spans="1:20" x14ac:dyDescent="0.3">
      <c r="A138" s="384" t="b">
        <f t="shared" ca="1" si="17"/>
        <v>0</v>
      </c>
      <c r="B138" s="394"/>
      <c r="C138" s="393" t="str">
        <f t="shared" ca="1" si="18"/>
        <v>a1HDm000000bvjjMAA</v>
      </c>
      <c r="D138" s="384"/>
      <c r="E138" s="384">
        <f t="shared" ca="1" si="14"/>
        <v>5</v>
      </c>
      <c r="F138" s="389">
        <f ca="1">IFERROR(IF(COUNTA($D$41:$D138)=1,"",OFFSET($F136,-COUNTA($D$41:$D138)+3,0)),"")</f>
        <v>1</v>
      </c>
      <c r="G138" s="384"/>
      <c r="H138" s="384">
        <f t="shared" ca="1" si="15"/>
        <v>9</v>
      </c>
      <c r="I138" s="395" t="str">
        <f t="shared" ca="1" si="19"/>
        <v/>
      </c>
      <c r="J138" s="395" t="str">
        <f t="shared" ca="1" si="20"/>
        <v/>
      </c>
      <c r="K138" s="386" t="str">
        <f t="shared" ca="1" si="21"/>
        <v/>
      </c>
      <c r="L138" s="388" t="str">
        <f ca="1">IFERROR(CHOOSE(E138,'Impact Indicators - Section B '!$K$7,'Impact Indicators - Section B '!$O$7,'Impact Indicators - Section B '!$S$7,'Impact Indicators - Section B '!$W$7,'Impact Indicators - Section B '!#REF!),"")</f>
        <v/>
      </c>
      <c r="M138" s="396" t="str">
        <f t="shared" ca="1" si="22"/>
        <v/>
      </c>
      <c r="N138" s="388" t="str">
        <f t="shared" ca="1" si="23"/>
        <v/>
      </c>
      <c r="O138" s="384" t="str">
        <f ca="1">IFERROR(IF(COUNTA($D$41:$D138)=1,"",OFFSET($C136,-COUNTA($D$41:$D138)+3,0)),"")</f>
        <v>a1HDm000000bvjjMAA</v>
      </c>
      <c r="P138" s="384">
        <f t="shared" si="16"/>
        <v>0</v>
      </c>
      <c r="Q138" s="384"/>
      <c r="R138" s="384"/>
      <c r="S138" s="384"/>
      <c r="T138" s="384" t="b">
        <f t="shared" ca="1" si="24"/>
        <v>0</v>
      </c>
    </row>
    <row r="139" spans="1:20" x14ac:dyDescent="0.3">
      <c r="A139" s="384" t="b">
        <f t="shared" ca="1" si="17"/>
        <v>0</v>
      </c>
      <c r="B139" s="394"/>
      <c r="C139" s="393" t="str">
        <f t="shared" ca="1" si="18"/>
        <v>a1HDm000000bvjyMAA</v>
      </c>
      <c r="D139" s="384"/>
      <c r="E139" s="384">
        <f t="shared" ca="1" si="14"/>
        <v>6</v>
      </c>
      <c r="F139" s="389">
        <f ca="1">IFERROR(IF(COUNTA($D$41:$D139)=1,"",OFFSET($F137,-COUNTA($D$41:$D139)+3,0)),"")</f>
        <v>1</v>
      </c>
      <c r="G139" s="384"/>
      <c r="H139" s="384">
        <f t="shared" ca="1" si="15"/>
        <v>9</v>
      </c>
      <c r="I139" s="395" t="str">
        <f t="shared" ca="1" si="19"/>
        <v/>
      </c>
      <c r="J139" s="395" t="str">
        <f t="shared" ca="1" si="20"/>
        <v/>
      </c>
      <c r="K139" s="386" t="str">
        <f t="shared" ca="1" si="21"/>
        <v/>
      </c>
      <c r="L139" s="388" t="str">
        <f ca="1">IFERROR(CHOOSE(E139,'Impact Indicators - Section B '!$K$7,'Impact Indicators - Section B '!$O$7,'Impact Indicators - Section B '!$S$7,'Impact Indicators - Section B '!$W$7,'Impact Indicators - Section B '!#REF!),"")</f>
        <v/>
      </c>
      <c r="M139" s="396" t="str">
        <f t="shared" ca="1" si="22"/>
        <v/>
      </c>
      <c r="N139" s="388" t="str">
        <f t="shared" ca="1" si="23"/>
        <v/>
      </c>
      <c r="O139" s="384" t="str">
        <f ca="1">IFERROR(IF(COUNTA($D$41:$D139)=1,"",OFFSET($C137,-COUNTA($D$41:$D139)+3,0)),"")</f>
        <v>a1HDm000000bvjyMAA</v>
      </c>
      <c r="P139" s="384">
        <f t="shared" si="16"/>
        <v>0</v>
      </c>
      <c r="Q139" s="384"/>
      <c r="R139" s="384"/>
      <c r="S139" s="384"/>
      <c r="T139" s="384" t="b">
        <f t="shared" ca="1" si="24"/>
        <v>0</v>
      </c>
    </row>
    <row r="140" spans="1:20" x14ac:dyDescent="0.3">
      <c r="A140" s="384" t="b">
        <f t="shared" ca="1" si="17"/>
        <v>0</v>
      </c>
      <c r="B140" s="394"/>
      <c r="C140" s="393" t="str">
        <f t="shared" ca="1" si="18"/>
        <v>a1HDm000000bvimMAA</v>
      </c>
      <c r="D140" s="384"/>
      <c r="E140" s="384">
        <f t="shared" ca="1" si="14"/>
        <v>1</v>
      </c>
      <c r="F140" s="389">
        <f ca="1">IFERROR(IF(COUNTA($D$41:$D140)=1,"",OFFSET($F138,-COUNTA($D$41:$D140)+3,0)),"")</f>
        <v>2</v>
      </c>
      <c r="G140" s="384"/>
      <c r="H140" s="384">
        <f t="shared" ca="1" si="15"/>
        <v>11</v>
      </c>
      <c r="I140" s="395" t="str">
        <f t="shared" ca="1" si="19"/>
        <v/>
      </c>
      <c r="J140" s="395" t="str">
        <f t="shared" ca="1" si="20"/>
        <v/>
      </c>
      <c r="K140" s="386" t="str">
        <f t="shared" ca="1" si="21"/>
        <v/>
      </c>
      <c r="L140" s="388">
        <f ca="1">IFERROR(CHOOSE(E140,'Impact Indicators - Section B '!$K$7,'Impact Indicators - Section B '!$O$7,'Impact Indicators - Section B '!$S$7,'Impact Indicators - Section B '!$W$7,'Impact Indicators - Section B '!#REF!),"")</f>
        <v>2024</v>
      </c>
      <c r="M140" s="396" t="str">
        <f t="shared" ca="1" si="22"/>
        <v/>
      </c>
      <c r="N140" s="388" t="str">
        <f t="shared" ca="1" si="23"/>
        <v/>
      </c>
      <c r="O140" s="384" t="str">
        <f ca="1">IFERROR(IF(COUNTA($D$41:$D140)=1,"",OFFSET($C138,-COUNTA($D$41:$D140)+3,0)),"")</f>
        <v>a1HDm000000bvimMAA</v>
      </c>
      <c r="P140" s="384">
        <f t="shared" si="16"/>
        <v>0</v>
      </c>
      <c r="Q140" s="384"/>
      <c r="R140" s="384"/>
      <c r="S140" s="384"/>
      <c r="T140" s="384" t="b">
        <f t="shared" ca="1" si="24"/>
        <v>0</v>
      </c>
    </row>
    <row r="141" spans="1:20" x14ac:dyDescent="0.3">
      <c r="A141" s="384" t="b">
        <f t="shared" ca="1" si="17"/>
        <v>1</v>
      </c>
      <c r="B141" s="394"/>
      <c r="C141" s="393" t="str">
        <f t="shared" ca="1" si="18"/>
        <v>a1HDm000000bvj1MAA</v>
      </c>
      <c r="D141" s="384"/>
      <c r="E141" s="384">
        <f t="shared" ca="1" si="14"/>
        <v>2</v>
      </c>
      <c r="F141" s="389">
        <f ca="1">IFERROR(IF(COUNTA($D$41:$D141)=1,"",OFFSET($F139,-COUNTA($D$41:$D141)+3,0)),"")</f>
        <v>2</v>
      </c>
      <c r="G141" s="384"/>
      <c r="H141" s="384">
        <f t="shared" ca="1" si="15"/>
        <v>11</v>
      </c>
      <c r="I141" s="395" t="str">
        <f t="shared" ca="1" si="19"/>
        <v/>
      </c>
      <c r="J141" s="395" t="str">
        <f t="shared" ca="1" si="20"/>
        <v/>
      </c>
      <c r="K141" s="386">
        <f t="shared" ca="1" si="21"/>
        <v>10</v>
      </c>
      <c r="L141" s="388">
        <f ca="1">IFERROR(CHOOSE(E141,'Impact Indicators - Section B '!$K$7,'Impact Indicators - Section B '!$O$7,'Impact Indicators - Section B '!$S$7,'Impact Indicators - Section B '!$W$7,'Impact Indicators - Section B '!#REF!),"")</f>
        <v>2025</v>
      </c>
      <c r="M141" s="396" t="str">
        <f t="shared" ca="1" si="22"/>
        <v/>
      </c>
      <c r="N141" s="388" t="str">
        <f t="shared" ca="1" si="23"/>
        <v/>
      </c>
      <c r="O141" s="384" t="str">
        <f ca="1">IFERROR(IF(COUNTA($D$41:$D141)=1,"",OFFSET($C139,-COUNTA($D$41:$D141)+3,0)),"")</f>
        <v>a1HDm000000bvj1MAA</v>
      </c>
      <c r="P141" s="384">
        <f t="shared" si="16"/>
        <v>0</v>
      </c>
      <c r="Q141" s="384"/>
      <c r="R141" s="384"/>
      <c r="S141" s="384"/>
      <c r="T141" s="384" t="b">
        <f t="shared" ca="1" si="24"/>
        <v>1</v>
      </c>
    </row>
    <row r="142" spans="1:20" x14ac:dyDescent="0.3">
      <c r="A142" s="384" t="b">
        <f t="shared" ca="1" si="17"/>
        <v>0</v>
      </c>
      <c r="B142" s="394"/>
      <c r="C142" s="393" t="str">
        <f t="shared" ca="1" si="18"/>
        <v>a1HDm000000bvjGMAQ</v>
      </c>
      <c r="D142" s="384"/>
      <c r="E142" s="384">
        <f t="shared" ca="1" si="14"/>
        <v>3</v>
      </c>
      <c r="F142" s="389">
        <f ca="1">IFERROR(IF(COUNTA($D$41:$D142)=1,"",OFFSET($F140,-COUNTA($D$41:$D142)+3,0)),"")</f>
        <v>2</v>
      </c>
      <c r="G142" s="384"/>
      <c r="H142" s="384">
        <f t="shared" ca="1" si="15"/>
        <v>11</v>
      </c>
      <c r="I142" s="395" t="str">
        <f t="shared" ca="1" si="19"/>
        <v/>
      </c>
      <c r="J142" s="395" t="str">
        <f t="shared" ca="1" si="20"/>
        <v/>
      </c>
      <c r="K142" s="386" t="str">
        <f t="shared" ca="1" si="21"/>
        <v/>
      </c>
      <c r="L142" s="388">
        <f ca="1">IFERROR(CHOOSE(E142,'Impact Indicators - Section B '!$K$7,'Impact Indicators - Section B '!$O$7,'Impact Indicators - Section B '!$S$7,'Impact Indicators - Section B '!$W$7,'Impact Indicators - Section B '!#REF!),"")</f>
        <v>2026</v>
      </c>
      <c r="M142" s="396" t="str">
        <f t="shared" ca="1" si="22"/>
        <v/>
      </c>
      <c r="N142" s="388" t="str">
        <f t="shared" ca="1" si="23"/>
        <v/>
      </c>
      <c r="O142" s="384" t="str">
        <f ca="1">IFERROR(IF(COUNTA($D$41:$D142)=1,"",OFFSET($C140,-COUNTA($D$41:$D142)+3,0)),"")</f>
        <v>a1HDm000000bvjGMAQ</v>
      </c>
      <c r="P142" s="384">
        <f t="shared" si="16"/>
        <v>0</v>
      </c>
      <c r="Q142" s="384"/>
      <c r="R142" s="384"/>
      <c r="S142" s="384"/>
      <c r="T142" s="384" t="b">
        <f t="shared" ca="1" si="24"/>
        <v>0</v>
      </c>
    </row>
    <row r="143" spans="1:20" x14ac:dyDescent="0.3">
      <c r="A143" s="384" t="b">
        <f t="shared" ca="1" si="17"/>
        <v>0</v>
      </c>
      <c r="B143" s="394"/>
      <c r="C143" s="393" t="str">
        <f t="shared" ca="1" si="18"/>
        <v>a1HDm000000bvjVMAQ</v>
      </c>
      <c r="D143" s="384"/>
      <c r="E143" s="384">
        <f t="shared" ca="1" si="14"/>
        <v>4</v>
      </c>
      <c r="F143" s="389">
        <f ca="1">IFERROR(IF(COUNTA($D$41:$D143)=1,"",OFFSET($F141,-COUNTA($D$41:$D143)+3,0)),"")</f>
        <v>2</v>
      </c>
      <c r="G143" s="384"/>
      <c r="H143" s="384">
        <f t="shared" ca="1" si="15"/>
        <v>11</v>
      </c>
      <c r="I143" s="395" t="str">
        <f t="shared" ca="1" si="19"/>
        <v/>
      </c>
      <c r="J143" s="395" t="str">
        <f t="shared" ca="1" si="20"/>
        <v/>
      </c>
      <c r="K143" s="386" t="str">
        <f t="shared" ca="1" si="21"/>
        <v/>
      </c>
      <c r="L143" s="388" t="str">
        <f ca="1">IFERROR(CHOOSE(E143,'Impact Indicators - Section B '!$K$7,'Impact Indicators - Section B '!$O$7,'Impact Indicators - Section B '!$S$7,'Impact Indicators - Section B '!$W$7,'Impact Indicators - Section B '!#REF!),"")</f>
        <v/>
      </c>
      <c r="M143" s="396" t="str">
        <f t="shared" ca="1" si="22"/>
        <v/>
      </c>
      <c r="N143" s="388" t="str">
        <f t="shared" ca="1" si="23"/>
        <v/>
      </c>
      <c r="O143" s="384" t="str">
        <f ca="1">IFERROR(IF(COUNTA($D$41:$D143)=1,"",OFFSET($C141,-COUNTA($D$41:$D143)+3,0)),"")</f>
        <v>a1HDm000000bvjVMAQ</v>
      </c>
      <c r="P143" s="384">
        <f t="shared" si="16"/>
        <v>0</v>
      </c>
      <c r="Q143" s="384"/>
      <c r="R143" s="384"/>
      <c r="S143" s="384"/>
      <c r="T143" s="384" t="b">
        <f t="shared" ca="1" si="24"/>
        <v>0</v>
      </c>
    </row>
    <row r="144" spans="1:20" x14ac:dyDescent="0.3">
      <c r="A144" s="384" t="b">
        <f t="shared" ca="1" si="17"/>
        <v>0</v>
      </c>
      <c r="B144" s="394"/>
      <c r="C144" s="393" t="str">
        <f t="shared" ca="1" si="18"/>
        <v>a1HDm000000bvjkMAA</v>
      </c>
      <c r="D144" s="384"/>
      <c r="E144" s="384">
        <f t="shared" ca="1" si="14"/>
        <v>5</v>
      </c>
      <c r="F144" s="389">
        <f ca="1">IFERROR(IF(COUNTA($D$41:$D144)=1,"",OFFSET($F142,-COUNTA($D$41:$D144)+3,0)),"")</f>
        <v>2</v>
      </c>
      <c r="G144" s="384"/>
      <c r="H144" s="384">
        <f t="shared" ca="1" si="15"/>
        <v>11</v>
      </c>
      <c r="I144" s="395" t="str">
        <f t="shared" ca="1" si="19"/>
        <v/>
      </c>
      <c r="J144" s="395" t="str">
        <f t="shared" ca="1" si="20"/>
        <v/>
      </c>
      <c r="K144" s="386" t="str">
        <f t="shared" ca="1" si="21"/>
        <v/>
      </c>
      <c r="L144" s="388" t="str">
        <f ca="1">IFERROR(CHOOSE(E144,'Impact Indicators - Section B '!$K$7,'Impact Indicators - Section B '!$O$7,'Impact Indicators - Section B '!$S$7,'Impact Indicators - Section B '!$W$7,'Impact Indicators - Section B '!#REF!),"")</f>
        <v/>
      </c>
      <c r="M144" s="396" t="str">
        <f t="shared" ca="1" si="22"/>
        <v/>
      </c>
      <c r="N144" s="388" t="str">
        <f t="shared" ca="1" si="23"/>
        <v/>
      </c>
      <c r="O144" s="384" t="str">
        <f ca="1">IFERROR(IF(COUNTA($D$41:$D144)=1,"",OFFSET($C142,-COUNTA($D$41:$D144)+3,0)),"")</f>
        <v>a1HDm000000bvjkMAA</v>
      </c>
      <c r="P144" s="384">
        <f t="shared" si="16"/>
        <v>0</v>
      </c>
      <c r="Q144" s="384"/>
      <c r="R144" s="384"/>
      <c r="S144" s="384"/>
      <c r="T144" s="384" t="b">
        <f t="shared" ca="1" si="24"/>
        <v>0</v>
      </c>
    </row>
    <row r="145" spans="1:20" x14ac:dyDescent="0.3">
      <c r="A145" s="384" t="b">
        <f t="shared" ca="1" si="17"/>
        <v>0</v>
      </c>
      <c r="B145" s="394"/>
      <c r="C145" s="393" t="str">
        <f t="shared" ca="1" si="18"/>
        <v>a1HDm000000bvjzMAA</v>
      </c>
      <c r="D145" s="384"/>
      <c r="E145" s="384">
        <f t="shared" ca="1" si="14"/>
        <v>6</v>
      </c>
      <c r="F145" s="389">
        <f ca="1">IFERROR(IF(COUNTA($D$41:$D145)=1,"",OFFSET($F143,-COUNTA($D$41:$D145)+3,0)),"")</f>
        <v>2</v>
      </c>
      <c r="G145" s="384"/>
      <c r="H145" s="384">
        <f t="shared" ca="1" si="15"/>
        <v>11</v>
      </c>
      <c r="I145" s="395" t="str">
        <f t="shared" ca="1" si="19"/>
        <v/>
      </c>
      <c r="J145" s="395" t="str">
        <f t="shared" ca="1" si="20"/>
        <v/>
      </c>
      <c r="K145" s="386" t="str">
        <f t="shared" ca="1" si="21"/>
        <v/>
      </c>
      <c r="L145" s="388" t="str">
        <f ca="1">IFERROR(CHOOSE(E145,'Impact Indicators - Section B '!$K$7,'Impact Indicators - Section B '!$O$7,'Impact Indicators - Section B '!$S$7,'Impact Indicators - Section B '!$W$7,'Impact Indicators - Section B '!#REF!),"")</f>
        <v/>
      </c>
      <c r="M145" s="396" t="str">
        <f t="shared" ca="1" si="22"/>
        <v/>
      </c>
      <c r="N145" s="388" t="str">
        <f t="shared" ca="1" si="23"/>
        <v/>
      </c>
      <c r="O145" s="384" t="str">
        <f ca="1">IFERROR(IF(COUNTA($D$41:$D145)=1,"",OFFSET($C143,-COUNTA($D$41:$D145)+3,0)),"")</f>
        <v>a1HDm000000bvjzMAA</v>
      </c>
      <c r="P145" s="384">
        <f t="shared" si="16"/>
        <v>0</v>
      </c>
      <c r="Q145" s="384"/>
      <c r="R145" s="384"/>
      <c r="S145" s="384"/>
      <c r="T145" s="384" t="b">
        <f t="shared" ca="1" si="24"/>
        <v>0</v>
      </c>
    </row>
    <row r="146" spans="1:20" x14ac:dyDescent="0.3">
      <c r="A146" s="384" t="b">
        <f t="shared" ca="1" si="17"/>
        <v>0</v>
      </c>
      <c r="B146" s="394"/>
      <c r="C146" s="393" t="str">
        <f t="shared" ca="1" si="18"/>
        <v>a1HDm000000bvinMAA</v>
      </c>
      <c r="D146" s="384"/>
      <c r="E146" s="384">
        <f t="shared" ca="1" si="14"/>
        <v>1</v>
      </c>
      <c r="F146" s="389">
        <f ca="1">IFERROR(IF(COUNTA($D$41:$D146)=1,"",OFFSET($F144,-COUNTA($D$41:$D146)+3,0)),"")</f>
        <v>3</v>
      </c>
      <c r="G146" s="384"/>
      <c r="H146" s="384">
        <f t="shared" ca="1" si="15"/>
        <v>13</v>
      </c>
      <c r="I146" s="395" t="str">
        <f t="shared" ca="1" si="19"/>
        <v/>
      </c>
      <c r="J146" s="395" t="str">
        <f t="shared" ca="1" si="20"/>
        <v/>
      </c>
      <c r="K146" s="386" t="str">
        <f t="shared" ca="1" si="21"/>
        <v/>
      </c>
      <c r="L146" s="388">
        <f ca="1">IFERROR(CHOOSE(E146,'Impact Indicators - Section B '!$K$7,'Impact Indicators - Section B '!$O$7,'Impact Indicators - Section B '!$S$7,'Impact Indicators - Section B '!$W$7,'Impact Indicators - Section B '!#REF!),"")</f>
        <v>2024</v>
      </c>
      <c r="M146" s="396" t="str">
        <f t="shared" ca="1" si="22"/>
        <v/>
      </c>
      <c r="N146" s="388" t="str">
        <f t="shared" ca="1" si="23"/>
        <v/>
      </c>
      <c r="O146" s="384" t="str">
        <f ca="1">IFERROR(IF(COUNTA($D$41:$D146)=1,"",OFFSET($C144,-COUNTA($D$41:$D146)+3,0)),"")</f>
        <v>a1HDm000000bvinMAA</v>
      </c>
      <c r="P146" s="384">
        <f t="shared" si="16"/>
        <v>0</v>
      </c>
      <c r="Q146" s="384"/>
      <c r="R146" s="384"/>
      <c r="S146" s="384"/>
      <c r="T146" s="384" t="b">
        <f t="shared" ca="1" si="24"/>
        <v>0</v>
      </c>
    </row>
    <row r="147" spans="1:20" x14ac:dyDescent="0.3">
      <c r="A147" s="384" t="b">
        <f t="shared" ca="1" si="17"/>
        <v>0</v>
      </c>
      <c r="B147" s="394"/>
      <c r="C147" s="393" t="str">
        <f t="shared" ca="1" si="18"/>
        <v>a1HDm000000bvj2MAA</v>
      </c>
      <c r="D147" s="384"/>
      <c r="E147" s="384">
        <f t="shared" ca="1" si="14"/>
        <v>2</v>
      </c>
      <c r="F147" s="389">
        <f ca="1">IFERROR(IF(COUNTA($D$41:$D147)=1,"",OFFSET($F145,-COUNTA($D$41:$D147)+3,0)),"")</f>
        <v>3</v>
      </c>
      <c r="G147" s="384"/>
      <c r="H147" s="384">
        <f t="shared" ca="1" si="15"/>
        <v>13</v>
      </c>
      <c r="I147" s="395" t="str">
        <f t="shared" ca="1" si="19"/>
        <v/>
      </c>
      <c r="J147" s="395" t="str">
        <f t="shared" ca="1" si="20"/>
        <v/>
      </c>
      <c r="K147" s="386" t="str">
        <f t="shared" ca="1" si="21"/>
        <v/>
      </c>
      <c r="L147" s="388">
        <f ca="1">IFERROR(CHOOSE(E147,'Impact Indicators - Section B '!$K$7,'Impact Indicators - Section B '!$O$7,'Impact Indicators - Section B '!$S$7,'Impact Indicators - Section B '!$W$7,'Impact Indicators - Section B '!#REF!),"")</f>
        <v>2025</v>
      </c>
      <c r="M147" s="396" t="str">
        <f t="shared" ca="1" si="22"/>
        <v/>
      </c>
      <c r="N147" s="388" t="str">
        <f t="shared" ca="1" si="23"/>
        <v/>
      </c>
      <c r="O147" s="384" t="str">
        <f ca="1">IFERROR(IF(COUNTA($D$41:$D147)=1,"",OFFSET($C145,-COUNTA($D$41:$D147)+3,0)),"")</f>
        <v>a1HDm000000bvj2MAA</v>
      </c>
      <c r="P147" s="384">
        <f t="shared" si="16"/>
        <v>0</v>
      </c>
      <c r="Q147" s="384"/>
      <c r="R147" s="384"/>
      <c r="S147" s="384"/>
      <c r="T147" s="384" t="b">
        <f t="shared" ca="1" si="24"/>
        <v>0</v>
      </c>
    </row>
    <row r="148" spans="1:20" x14ac:dyDescent="0.3">
      <c r="A148" s="384" t="b">
        <f t="shared" ca="1" si="17"/>
        <v>1</v>
      </c>
      <c r="B148" s="394"/>
      <c r="C148" s="393" t="str">
        <f t="shared" ca="1" si="18"/>
        <v>a1HDm000000bvjHMAQ</v>
      </c>
      <c r="D148" s="384"/>
      <c r="E148" s="384">
        <f t="shared" ca="1" si="14"/>
        <v>3</v>
      </c>
      <c r="F148" s="389">
        <f ca="1">IFERROR(IF(COUNTA($D$41:$D148)=1,"",OFFSET($F146,-COUNTA($D$41:$D148)+3,0)),"")</f>
        <v>3</v>
      </c>
      <c r="G148" s="384"/>
      <c r="H148" s="384">
        <f t="shared" ca="1" si="15"/>
        <v>13</v>
      </c>
      <c r="I148" s="395" t="str">
        <f t="shared" ca="1" si="19"/>
        <v/>
      </c>
      <c r="J148" s="395" t="str">
        <f t="shared" ca="1" si="20"/>
        <v/>
      </c>
      <c r="K148" s="386">
        <f t="shared" ca="1" si="21"/>
        <v>3</v>
      </c>
      <c r="L148" s="388">
        <f ca="1">IFERROR(CHOOSE(E148,'Impact Indicators - Section B '!$K$7,'Impact Indicators - Section B '!$O$7,'Impact Indicators - Section B '!$S$7,'Impact Indicators - Section B '!$W$7,'Impact Indicators - Section B '!#REF!),"")</f>
        <v>2026</v>
      </c>
      <c r="M148" s="396" t="str">
        <f t="shared" ca="1" si="22"/>
        <v/>
      </c>
      <c r="N148" s="388" t="str">
        <f t="shared" ca="1" si="23"/>
        <v/>
      </c>
      <c r="O148" s="384" t="str">
        <f ca="1">IFERROR(IF(COUNTA($D$41:$D148)=1,"",OFFSET($C146,-COUNTA($D$41:$D148)+3,0)),"")</f>
        <v>a1HDm000000bvjHMAQ</v>
      </c>
      <c r="P148" s="384">
        <f t="shared" si="16"/>
        <v>0</v>
      </c>
      <c r="Q148" s="384"/>
      <c r="R148" s="384"/>
      <c r="S148" s="384"/>
      <c r="T148" s="384" t="b">
        <f t="shared" ca="1" si="24"/>
        <v>1</v>
      </c>
    </row>
    <row r="149" spans="1:20" x14ac:dyDescent="0.3">
      <c r="A149" s="384" t="b">
        <f t="shared" ca="1" si="17"/>
        <v>0</v>
      </c>
      <c r="B149" s="394"/>
      <c r="C149" s="393" t="str">
        <f t="shared" ca="1" si="18"/>
        <v>a1HDm000000bvjWMAQ</v>
      </c>
      <c r="D149" s="384"/>
      <c r="E149" s="384">
        <f t="shared" ca="1" si="14"/>
        <v>4</v>
      </c>
      <c r="F149" s="389">
        <f ca="1">IFERROR(IF(COUNTA($D$41:$D149)=1,"",OFFSET($F147,-COUNTA($D$41:$D149)+3,0)),"")</f>
        <v>3</v>
      </c>
      <c r="G149" s="384"/>
      <c r="H149" s="384">
        <f t="shared" ca="1" si="15"/>
        <v>13</v>
      </c>
      <c r="I149" s="395" t="str">
        <f t="shared" ca="1" si="19"/>
        <v/>
      </c>
      <c r="J149" s="395" t="str">
        <f t="shared" ca="1" si="20"/>
        <v/>
      </c>
      <c r="K149" s="386" t="str">
        <f t="shared" ca="1" si="21"/>
        <v/>
      </c>
      <c r="L149" s="388" t="str">
        <f ca="1">IFERROR(CHOOSE(E149,'Impact Indicators - Section B '!$K$7,'Impact Indicators - Section B '!$O$7,'Impact Indicators - Section B '!$S$7,'Impact Indicators - Section B '!$W$7,'Impact Indicators - Section B '!#REF!),"")</f>
        <v/>
      </c>
      <c r="M149" s="396" t="str">
        <f t="shared" ca="1" si="22"/>
        <v/>
      </c>
      <c r="N149" s="388" t="str">
        <f t="shared" ca="1" si="23"/>
        <v/>
      </c>
      <c r="O149" s="384" t="str">
        <f ca="1">IFERROR(IF(COUNTA($D$41:$D149)=1,"",OFFSET($C147,-COUNTA($D$41:$D149)+3,0)),"")</f>
        <v>a1HDm000000bvjWMAQ</v>
      </c>
      <c r="P149" s="384">
        <f t="shared" si="16"/>
        <v>0</v>
      </c>
      <c r="Q149" s="384"/>
      <c r="R149" s="384"/>
      <c r="S149" s="384"/>
      <c r="T149" s="384" t="b">
        <f t="shared" ca="1" si="24"/>
        <v>0</v>
      </c>
    </row>
    <row r="150" spans="1:20" x14ac:dyDescent="0.3">
      <c r="A150" s="384" t="b">
        <f t="shared" ca="1" si="17"/>
        <v>0</v>
      </c>
      <c r="B150" s="394"/>
      <c r="C150" s="393" t="str">
        <f t="shared" ca="1" si="18"/>
        <v>a1HDm000000bvjlMAA</v>
      </c>
      <c r="D150" s="384"/>
      <c r="E150" s="384">
        <f t="shared" ca="1" si="14"/>
        <v>5</v>
      </c>
      <c r="F150" s="389">
        <f ca="1">IFERROR(IF(COUNTA($D$41:$D150)=1,"",OFFSET($F148,-COUNTA($D$41:$D150)+3,0)),"")</f>
        <v>3</v>
      </c>
      <c r="G150" s="384"/>
      <c r="H150" s="384">
        <f t="shared" ca="1" si="15"/>
        <v>13</v>
      </c>
      <c r="I150" s="395" t="str">
        <f t="shared" ca="1" si="19"/>
        <v/>
      </c>
      <c r="J150" s="395" t="str">
        <f t="shared" ca="1" si="20"/>
        <v/>
      </c>
      <c r="K150" s="386" t="str">
        <f t="shared" ca="1" si="21"/>
        <v/>
      </c>
      <c r="L150" s="388" t="str">
        <f ca="1">IFERROR(CHOOSE(E150,'Impact Indicators - Section B '!$K$7,'Impact Indicators - Section B '!$O$7,'Impact Indicators - Section B '!$S$7,'Impact Indicators - Section B '!$W$7,'Impact Indicators - Section B '!#REF!),"")</f>
        <v/>
      </c>
      <c r="M150" s="396" t="str">
        <f t="shared" ca="1" si="22"/>
        <v/>
      </c>
      <c r="N150" s="388" t="str">
        <f t="shared" ca="1" si="23"/>
        <v/>
      </c>
      <c r="O150" s="384" t="str">
        <f ca="1">IFERROR(IF(COUNTA($D$41:$D150)=1,"",OFFSET($C148,-COUNTA($D$41:$D150)+3,0)),"")</f>
        <v>a1HDm000000bvjlMAA</v>
      </c>
      <c r="P150" s="384">
        <f t="shared" si="16"/>
        <v>0</v>
      </c>
      <c r="Q150" s="384"/>
      <c r="R150" s="384"/>
      <c r="S150" s="384"/>
      <c r="T150" s="384" t="b">
        <f t="shared" ca="1" si="24"/>
        <v>0</v>
      </c>
    </row>
    <row r="151" spans="1:20" x14ac:dyDescent="0.3">
      <c r="A151" s="384" t="b">
        <f t="shared" ca="1" si="17"/>
        <v>0</v>
      </c>
      <c r="B151" s="394"/>
      <c r="C151" s="393" t="str">
        <f t="shared" ca="1" si="18"/>
        <v>a1HDm000000bvk0MAA</v>
      </c>
      <c r="D151" s="384"/>
      <c r="E151" s="384">
        <f t="shared" ca="1" si="14"/>
        <v>6</v>
      </c>
      <c r="F151" s="389">
        <f ca="1">IFERROR(IF(COUNTA($D$41:$D151)=1,"",OFFSET($F149,-COUNTA($D$41:$D151)+3,0)),"")</f>
        <v>3</v>
      </c>
      <c r="G151" s="384"/>
      <c r="H151" s="384">
        <f t="shared" ca="1" si="15"/>
        <v>13</v>
      </c>
      <c r="I151" s="395" t="str">
        <f t="shared" ca="1" si="19"/>
        <v/>
      </c>
      <c r="J151" s="395" t="str">
        <f t="shared" ca="1" si="20"/>
        <v/>
      </c>
      <c r="K151" s="386" t="str">
        <f t="shared" ca="1" si="21"/>
        <v/>
      </c>
      <c r="L151" s="388" t="str">
        <f ca="1">IFERROR(CHOOSE(E151,'Impact Indicators - Section B '!$K$7,'Impact Indicators - Section B '!$O$7,'Impact Indicators - Section B '!$S$7,'Impact Indicators - Section B '!$W$7,'Impact Indicators - Section B '!#REF!),"")</f>
        <v/>
      </c>
      <c r="M151" s="396" t="str">
        <f t="shared" ca="1" si="22"/>
        <v/>
      </c>
      <c r="N151" s="388" t="str">
        <f t="shared" ca="1" si="23"/>
        <v/>
      </c>
      <c r="O151" s="384" t="str">
        <f ca="1">IFERROR(IF(COUNTA($D$41:$D151)=1,"",OFFSET($C149,-COUNTA($D$41:$D151)+3,0)),"")</f>
        <v>a1HDm000000bvk0MAA</v>
      </c>
      <c r="P151" s="384">
        <f t="shared" si="16"/>
        <v>0</v>
      </c>
      <c r="Q151" s="384"/>
      <c r="R151" s="384"/>
      <c r="S151" s="384"/>
      <c r="T151" s="384" t="b">
        <f t="shared" ca="1" si="24"/>
        <v>0</v>
      </c>
    </row>
    <row r="152" spans="1:20" x14ac:dyDescent="0.3">
      <c r="A152" s="384" t="b">
        <f t="shared" ca="1" si="17"/>
        <v>0</v>
      </c>
      <c r="B152" s="394"/>
      <c r="C152" s="393" t="str">
        <f t="shared" ca="1" si="18"/>
        <v>a1HDm000000bvioMAA</v>
      </c>
      <c r="D152" s="384"/>
      <c r="E152" s="384">
        <f t="shared" ca="1" si="14"/>
        <v>1</v>
      </c>
      <c r="F152" s="389">
        <f ca="1">IFERROR(IF(COUNTA($D$41:$D152)=1,"",OFFSET($F150,-COUNTA($D$41:$D152)+3,0)),"")</f>
        <v>4</v>
      </c>
      <c r="G152" s="384"/>
      <c r="H152" s="384">
        <f t="shared" ca="1" si="15"/>
        <v>15</v>
      </c>
      <c r="I152" s="395" t="str">
        <f t="shared" ca="1" si="19"/>
        <v/>
      </c>
      <c r="J152" s="395" t="str">
        <f t="shared" ca="1" si="20"/>
        <v/>
      </c>
      <c r="K152" s="386" t="str">
        <f t="shared" ca="1" si="21"/>
        <v/>
      </c>
      <c r="L152" s="388">
        <f ca="1">IFERROR(CHOOSE(E152,'Impact Indicators - Section B '!$K$7,'Impact Indicators - Section B '!$O$7,'Impact Indicators - Section B '!$S$7,'Impact Indicators - Section B '!$W$7,'Impact Indicators - Section B '!#REF!),"")</f>
        <v>2024</v>
      </c>
      <c r="M152" s="396" t="str">
        <f t="shared" ca="1" si="22"/>
        <v/>
      </c>
      <c r="N152" s="388" t="str">
        <f t="shared" ca="1" si="23"/>
        <v/>
      </c>
      <c r="O152" s="384" t="str">
        <f ca="1">IFERROR(IF(COUNTA($D$41:$D152)=1,"",OFFSET($C150,-COUNTA($D$41:$D152)+3,0)),"")</f>
        <v>a1HDm000000bvioMAA</v>
      </c>
      <c r="P152" s="384">
        <f t="shared" si="16"/>
        <v>0</v>
      </c>
      <c r="Q152" s="384"/>
      <c r="R152" s="384"/>
      <c r="S152" s="384"/>
      <c r="T152" s="384" t="b">
        <f t="shared" ca="1" si="24"/>
        <v>0</v>
      </c>
    </row>
    <row r="153" spans="1:20" x14ac:dyDescent="0.3">
      <c r="A153" s="384" t="b">
        <f t="shared" ca="1" si="17"/>
        <v>0</v>
      </c>
      <c r="B153" s="394"/>
      <c r="C153" s="393" t="str">
        <f t="shared" ca="1" si="18"/>
        <v>a1HDm000000bvj3MAA</v>
      </c>
      <c r="D153" s="384"/>
      <c r="E153" s="384">
        <f t="shared" ca="1" si="14"/>
        <v>2</v>
      </c>
      <c r="F153" s="389">
        <f ca="1">IFERROR(IF(COUNTA($D$41:$D153)=1,"",OFFSET($F151,-COUNTA($D$41:$D153)+3,0)),"")</f>
        <v>4</v>
      </c>
      <c r="G153" s="384"/>
      <c r="H153" s="384">
        <f t="shared" ca="1" si="15"/>
        <v>15</v>
      </c>
      <c r="I153" s="395" t="str">
        <f t="shared" ca="1" si="19"/>
        <v/>
      </c>
      <c r="J153" s="395" t="str">
        <f t="shared" ca="1" si="20"/>
        <v/>
      </c>
      <c r="K153" s="386" t="str">
        <f t="shared" ca="1" si="21"/>
        <v/>
      </c>
      <c r="L153" s="388">
        <f ca="1">IFERROR(CHOOSE(E153,'Impact Indicators - Section B '!$K$7,'Impact Indicators - Section B '!$O$7,'Impact Indicators - Section B '!$S$7,'Impact Indicators - Section B '!$W$7,'Impact Indicators - Section B '!#REF!),"")</f>
        <v>2025</v>
      </c>
      <c r="M153" s="396" t="str">
        <f t="shared" ca="1" si="22"/>
        <v/>
      </c>
      <c r="N153" s="388" t="str">
        <f t="shared" ca="1" si="23"/>
        <v/>
      </c>
      <c r="O153" s="384" t="str">
        <f ca="1">IFERROR(IF(COUNTA($D$41:$D153)=1,"",OFFSET($C151,-COUNTA($D$41:$D153)+3,0)),"")</f>
        <v>a1HDm000000bvj3MAA</v>
      </c>
      <c r="P153" s="384">
        <f t="shared" si="16"/>
        <v>0</v>
      </c>
      <c r="Q153" s="384"/>
      <c r="R153" s="384"/>
      <c r="S153" s="384"/>
      <c r="T153" s="384" t="b">
        <f t="shared" ca="1" si="24"/>
        <v>0</v>
      </c>
    </row>
    <row r="154" spans="1:20" x14ac:dyDescent="0.3">
      <c r="A154" s="384" t="b">
        <f t="shared" ca="1" si="17"/>
        <v>1</v>
      </c>
      <c r="B154" s="394"/>
      <c r="C154" s="393" t="str">
        <f t="shared" ca="1" si="18"/>
        <v>a1HDm000000bvjIMAQ</v>
      </c>
      <c r="D154" s="384"/>
      <c r="E154" s="384">
        <f t="shared" ca="1" si="14"/>
        <v>3</v>
      </c>
      <c r="F154" s="389">
        <f ca="1">IFERROR(IF(COUNTA($D$41:$D154)=1,"",OFFSET($F152,-COUNTA($D$41:$D154)+3,0)),"")</f>
        <v>4</v>
      </c>
      <c r="G154" s="384"/>
      <c r="H154" s="384">
        <f t="shared" ca="1" si="15"/>
        <v>15</v>
      </c>
      <c r="I154" s="395" t="str">
        <f t="shared" ca="1" si="19"/>
        <v/>
      </c>
      <c r="J154" s="395" t="str">
        <f t="shared" ca="1" si="20"/>
        <v/>
      </c>
      <c r="K154" s="386">
        <f t="shared" ca="1" si="21"/>
        <v>19</v>
      </c>
      <c r="L154" s="388">
        <f ca="1">IFERROR(CHOOSE(E154,'Impact Indicators - Section B '!$K$7,'Impact Indicators - Section B '!$O$7,'Impact Indicators - Section B '!$S$7,'Impact Indicators - Section B '!$W$7,'Impact Indicators - Section B '!#REF!),"")</f>
        <v>2026</v>
      </c>
      <c r="M154" s="396" t="str">
        <f t="shared" ca="1" si="22"/>
        <v/>
      </c>
      <c r="N154" s="388" t="str">
        <f t="shared" ca="1" si="23"/>
        <v/>
      </c>
      <c r="O154" s="384" t="str">
        <f ca="1">IFERROR(IF(COUNTA($D$41:$D154)=1,"",OFFSET($C152,-COUNTA($D$41:$D154)+3,0)),"")</f>
        <v>a1HDm000000bvjIMAQ</v>
      </c>
      <c r="P154" s="384">
        <f t="shared" si="16"/>
        <v>0</v>
      </c>
      <c r="Q154" s="384"/>
      <c r="R154" s="384"/>
      <c r="S154" s="384"/>
      <c r="T154" s="384" t="b">
        <f t="shared" ca="1" si="24"/>
        <v>1</v>
      </c>
    </row>
    <row r="155" spans="1:20" x14ac:dyDescent="0.3">
      <c r="A155" s="384" t="b">
        <f t="shared" ca="1" si="17"/>
        <v>0</v>
      </c>
      <c r="B155" s="394"/>
      <c r="C155" s="393" t="str">
        <f t="shared" ca="1" si="18"/>
        <v>a1HDm000000bvjXMAQ</v>
      </c>
      <c r="D155" s="384"/>
      <c r="E155" s="384">
        <f t="shared" ca="1" si="14"/>
        <v>4</v>
      </c>
      <c r="F155" s="389">
        <f ca="1">IFERROR(IF(COUNTA($D$41:$D155)=1,"",OFFSET($F153,-COUNTA($D$41:$D155)+3,0)),"")</f>
        <v>4</v>
      </c>
      <c r="G155" s="384"/>
      <c r="H155" s="384">
        <f t="shared" ca="1" si="15"/>
        <v>15</v>
      </c>
      <c r="I155" s="395" t="str">
        <f t="shared" ca="1" si="19"/>
        <v/>
      </c>
      <c r="J155" s="395" t="str">
        <f t="shared" ca="1" si="20"/>
        <v/>
      </c>
      <c r="K155" s="386" t="str">
        <f t="shared" ca="1" si="21"/>
        <v/>
      </c>
      <c r="L155" s="388" t="str">
        <f ca="1">IFERROR(CHOOSE(E155,'Impact Indicators - Section B '!$K$7,'Impact Indicators - Section B '!$O$7,'Impact Indicators - Section B '!$S$7,'Impact Indicators - Section B '!$W$7,'Impact Indicators - Section B '!#REF!),"")</f>
        <v/>
      </c>
      <c r="M155" s="396" t="str">
        <f t="shared" ca="1" si="22"/>
        <v/>
      </c>
      <c r="N155" s="388" t="str">
        <f t="shared" ca="1" si="23"/>
        <v/>
      </c>
      <c r="O155" s="384" t="str">
        <f ca="1">IFERROR(IF(COUNTA($D$41:$D155)=1,"",OFFSET($C153,-COUNTA($D$41:$D155)+3,0)),"")</f>
        <v>a1HDm000000bvjXMAQ</v>
      </c>
      <c r="P155" s="384">
        <f t="shared" si="16"/>
        <v>0</v>
      </c>
      <c r="Q155" s="384"/>
      <c r="R155" s="384"/>
      <c r="S155" s="384"/>
      <c r="T155" s="384" t="b">
        <f t="shared" ca="1" si="24"/>
        <v>0</v>
      </c>
    </row>
    <row r="156" spans="1:20" x14ac:dyDescent="0.3">
      <c r="A156" s="384" t="b">
        <f t="shared" ca="1" si="17"/>
        <v>0</v>
      </c>
      <c r="B156" s="394"/>
      <c r="C156" s="393" t="str">
        <f t="shared" ca="1" si="18"/>
        <v>a1HDm000000bvjmMAA</v>
      </c>
      <c r="D156" s="384"/>
      <c r="E156" s="384">
        <f t="shared" ca="1" si="14"/>
        <v>5</v>
      </c>
      <c r="F156" s="389">
        <f ca="1">IFERROR(IF(COUNTA($D$41:$D156)=1,"",OFFSET($F154,-COUNTA($D$41:$D156)+3,0)),"")</f>
        <v>4</v>
      </c>
      <c r="G156" s="384"/>
      <c r="H156" s="384">
        <f t="shared" ca="1" si="15"/>
        <v>15</v>
      </c>
      <c r="I156" s="395" t="str">
        <f t="shared" ca="1" si="19"/>
        <v/>
      </c>
      <c r="J156" s="395" t="str">
        <f t="shared" ca="1" si="20"/>
        <v/>
      </c>
      <c r="K156" s="386" t="str">
        <f t="shared" ca="1" si="21"/>
        <v/>
      </c>
      <c r="L156" s="388" t="str">
        <f ca="1">IFERROR(CHOOSE(E156,'Impact Indicators - Section B '!$K$7,'Impact Indicators - Section B '!$O$7,'Impact Indicators - Section B '!$S$7,'Impact Indicators - Section B '!$W$7,'Impact Indicators - Section B '!#REF!),"")</f>
        <v/>
      </c>
      <c r="M156" s="396" t="str">
        <f t="shared" ca="1" si="22"/>
        <v/>
      </c>
      <c r="N156" s="388" t="str">
        <f t="shared" ca="1" si="23"/>
        <v/>
      </c>
      <c r="O156" s="384" t="str">
        <f ca="1">IFERROR(IF(COUNTA($D$41:$D156)=1,"",OFFSET($C154,-COUNTA($D$41:$D156)+3,0)),"")</f>
        <v>a1HDm000000bvjmMAA</v>
      </c>
      <c r="P156" s="384">
        <f t="shared" si="16"/>
        <v>0</v>
      </c>
      <c r="Q156" s="384"/>
      <c r="R156" s="384"/>
      <c r="S156" s="384"/>
      <c r="T156" s="384" t="b">
        <f t="shared" ca="1" si="24"/>
        <v>0</v>
      </c>
    </row>
    <row r="157" spans="1:20" x14ac:dyDescent="0.3">
      <c r="A157" s="384" t="b">
        <f t="shared" ca="1" si="17"/>
        <v>0</v>
      </c>
      <c r="B157" s="394"/>
      <c r="C157" s="393" t="str">
        <f t="shared" ca="1" si="18"/>
        <v>a1HDm000000bvk1MAA</v>
      </c>
      <c r="D157" s="384"/>
      <c r="E157" s="384">
        <f t="shared" ca="1" si="14"/>
        <v>6</v>
      </c>
      <c r="F157" s="389">
        <f ca="1">IFERROR(IF(COUNTA($D$41:$D157)=1,"",OFFSET($F155,-COUNTA($D$41:$D157)+3,0)),"")</f>
        <v>4</v>
      </c>
      <c r="G157" s="384"/>
      <c r="H157" s="384">
        <f t="shared" ca="1" si="15"/>
        <v>15</v>
      </c>
      <c r="I157" s="395" t="str">
        <f t="shared" ca="1" si="19"/>
        <v/>
      </c>
      <c r="J157" s="395" t="str">
        <f t="shared" ca="1" si="20"/>
        <v/>
      </c>
      <c r="K157" s="386" t="str">
        <f t="shared" ca="1" si="21"/>
        <v/>
      </c>
      <c r="L157" s="388" t="str">
        <f ca="1">IFERROR(CHOOSE(E157,'Impact Indicators - Section B '!$K$7,'Impact Indicators - Section B '!$O$7,'Impact Indicators - Section B '!$S$7,'Impact Indicators - Section B '!$W$7,'Impact Indicators - Section B '!#REF!),"")</f>
        <v/>
      </c>
      <c r="M157" s="396" t="str">
        <f t="shared" ca="1" si="22"/>
        <v/>
      </c>
      <c r="N157" s="388" t="str">
        <f t="shared" ca="1" si="23"/>
        <v/>
      </c>
      <c r="O157" s="384" t="str">
        <f ca="1">IFERROR(IF(COUNTA($D$41:$D157)=1,"",OFFSET($C155,-COUNTA($D$41:$D157)+3,0)),"")</f>
        <v>a1HDm000000bvk1MAA</v>
      </c>
      <c r="P157" s="384">
        <f t="shared" si="16"/>
        <v>0</v>
      </c>
      <c r="Q157" s="384"/>
      <c r="R157" s="384"/>
      <c r="S157" s="384"/>
      <c r="T157" s="384" t="b">
        <f t="shared" ca="1" si="24"/>
        <v>0</v>
      </c>
    </row>
    <row r="158" spans="1:20" x14ac:dyDescent="0.3">
      <c r="A158" s="384" t="b">
        <f t="shared" ca="1" si="17"/>
        <v>0</v>
      </c>
      <c r="B158" s="394"/>
      <c r="C158" s="393" t="str">
        <f t="shared" ca="1" si="18"/>
        <v>a1HDm000000bvipMAA</v>
      </c>
      <c r="D158" s="384"/>
      <c r="E158" s="384">
        <f t="shared" ca="1" si="14"/>
        <v>1</v>
      </c>
      <c r="F158" s="389">
        <f ca="1">IFERROR(IF(COUNTA($D$41:$D158)=1,"",OFFSET($F156,-COUNTA($D$41:$D158)+3,0)),"")</f>
        <v>5</v>
      </c>
      <c r="G158" s="384"/>
      <c r="H158" s="384">
        <f t="shared" ca="1" si="15"/>
        <v>17</v>
      </c>
      <c r="I158" s="395" t="str">
        <f t="shared" ca="1" si="19"/>
        <v/>
      </c>
      <c r="J158" s="395" t="str">
        <f t="shared" ca="1" si="20"/>
        <v/>
      </c>
      <c r="K158" s="386" t="str">
        <f t="shared" ca="1" si="21"/>
        <v/>
      </c>
      <c r="L158" s="388">
        <f ca="1">IFERROR(CHOOSE(E158,'Impact Indicators - Section B '!$K$7,'Impact Indicators - Section B '!$O$7,'Impact Indicators - Section B '!$S$7,'Impact Indicators - Section B '!$W$7,'Impact Indicators - Section B '!#REF!),"")</f>
        <v>2024</v>
      </c>
      <c r="M158" s="396" t="str">
        <f t="shared" ca="1" si="22"/>
        <v/>
      </c>
      <c r="N158" s="388" t="str">
        <f t="shared" ca="1" si="23"/>
        <v/>
      </c>
      <c r="O158" s="384" t="str">
        <f ca="1">IFERROR(IF(COUNTA($D$41:$D158)=1,"",OFFSET($C156,-COUNTA($D$41:$D158)+3,0)),"")</f>
        <v>a1HDm000000bvipMAA</v>
      </c>
      <c r="P158" s="384">
        <f t="shared" si="16"/>
        <v>0</v>
      </c>
      <c r="Q158" s="384"/>
      <c r="R158" s="384"/>
      <c r="S158" s="384"/>
      <c r="T158" s="384" t="b">
        <f t="shared" ca="1" si="24"/>
        <v>0</v>
      </c>
    </row>
    <row r="159" spans="1:20" x14ac:dyDescent="0.3">
      <c r="A159" s="384" t="b">
        <f t="shared" ca="1" si="17"/>
        <v>1</v>
      </c>
      <c r="B159" s="394"/>
      <c r="C159" s="393" t="str">
        <f t="shared" ca="1" si="18"/>
        <v>a1HDm000000bvj4MAA</v>
      </c>
      <c r="D159" s="384"/>
      <c r="E159" s="384">
        <f t="shared" ca="1" si="14"/>
        <v>2</v>
      </c>
      <c r="F159" s="389">
        <f ca="1">IFERROR(IF(COUNTA($D$41:$D159)=1,"",OFFSET($F157,-COUNTA($D$41:$D159)+3,0)),"")</f>
        <v>5</v>
      </c>
      <c r="G159" s="384"/>
      <c r="H159" s="384">
        <f t="shared" ca="1" si="15"/>
        <v>17</v>
      </c>
      <c r="I159" s="395" t="str">
        <f t="shared" ca="1" si="19"/>
        <v/>
      </c>
      <c r="J159" s="395" t="str">
        <f t="shared" ca="1" si="20"/>
        <v/>
      </c>
      <c r="K159" s="386">
        <f t="shared" ca="1" si="21"/>
        <v>12</v>
      </c>
      <c r="L159" s="388">
        <f ca="1">IFERROR(CHOOSE(E159,'Impact Indicators - Section B '!$K$7,'Impact Indicators - Section B '!$O$7,'Impact Indicators - Section B '!$S$7,'Impact Indicators - Section B '!$W$7,'Impact Indicators - Section B '!#REF!),"")</f>
        <v>2025</v>
      </c>
      <c r="M159" s="396" t="str">
        <f t="shared" ca="1" si="22"/>
        <v/>
      </c>
      <c r="N159" s="388" t="str">
        <f t="shared" ca="1" si="23"/>
        <v/>
      </c>
      <c r="O159" s="384" t="str">
        <f ca="1">IFERROR(IF(COUNTA($D$41:$D159)=1,"",OFFSET($C157,-COUNTA($D$41:$D159)+3,0)),"")</f>
        <v>a1HDm000000bvj4MAA</v>
      </c>
      <c r="P159" s="384">
        <f t="shared" si="16"/>
        <v>0</v>
      </c>
      <c r="Q159" s="384"/>
      <c r="R159" s="384"/>
      <c r="S159" s="384"/>
      <c r="T159" s="384" t="b">
        <f t="shared" ca="1" si="24"/>
        <v>1</v>
      </c>
    </row>
    <row r="160" spans="1:20" x14ac:dyDescent="0.3">
      <c r="A160" s="384" t="b">
        <f t="shared" ca="1" si="17"/>
        <v>0</v>
      </c>
      <c r="B160" s="394"/>
      <c r="C160" s="393" t="str">
        <f t="shared" ca="1" si="18"/>
        <v>a1HDm000000bvjJMAQ</v>
      </c>
      <c r="D160" s="384"/>
      <c r="E160" s="384">
        <f t="shared" ca="1" si="14"/>
        <v>3</v>
      </c>
      <c r="F160" s="389">
        <f ca="1">IFERROR(IF(COUNTA($D$41:$D160)=1,"",OFFSET($F158,-COUNTA($D$41:$D160)+3,0)),"")</f>
        <v>5</v>
      </c>
      <c r="G160" s="384"/>
      <c r="H160" s="384">
        <f t="shared" ca="1" si="15"/>
        <v>17</v>
      </c>
      <c r="I160" s="395" t="str">
        <f t="shared" ca="1" si="19"/>
        <v/>
      </c>
      <c r="J160" s="395" t="str">
        <f t="shared" ca="1" si="20"/>
        <v/>
      </c>
      <c r="K160" s="386" t="str">
        <f t="shared" ca="1" si="21"/>
        <v/>
      </c>
      <c r="L160" s="388">
        <f ca="1">IFERROR(CHOOSE(E160,'Impact Indicators - Section B '!$K$7,'Impact Indicators - Section B '!$O$7,'Impact Indicators - Section B '!$S$7,'Impact Indicators - Section B '!$W$7,'Impact Indicators - Section B '!#REF!),"")</f>
        <v>2026</v>
      </c>
      <c r="M160" s="396" t="str">
        <f t="shared" ca="1" si="22"/>
        <v/>
      </c>
      <c r="N160" s="388" t="str">
        <f t="shared" ca="1" si="23"/>
        <v/>
      </c>
      <c r="O160" s="384" t="str">
        <f ca="1">IFERROR(IF(COUNTA($D$41:$D160)=1,"",OFFSET($C158,-COUNTA($D$41:$D160)+3,0)),"")</f>
        <v>a1HDm000000bvjJMAQ</v>
      </c>
      <c r="P160" s="384">
        <f t="shared" si="16"/>
        <v>0</v>
      </c>
      <c r="Q160" s="384"/>
      <c r="R160" s="384"/>
      <c r="S160" s="384"/>
      <c r="T160" s="384" t="b">
        <f t="shared" ca="1" si="24"/>
        <v>0</v>
      </c>
    </row>
    <row r="161" spans="1:20" x14ac:dyDescent="0.3">
      <c r="A161" s="384" t="b">
        <f t="shared" ca="1" si="17"/>
        <v>0</v>
      </c>
      <c r="B161" s="394"/>
      <c r="C161" s="393" t="str">
        <f t="shared" ca="1" si="18"/>
        <v>a1HDm000000bvjYMAQ</v>
      </c>
      <c r="D161" s="384"/>
      <c r="E161" s="384">
        <f t="shared" ca="1" si="14"/>
        <v>4</v>
      </c>
      <c r="F161" s="389">
        <f ca="1">IFERROR(IF(COUNTA($D$41:$D161)=1,"",OFFSET($F159,-COUNTA($D$41:$D161)+3,0)),"")</f>
        <v>5</v>
      </c>
      <c r="G161" s="384"/>
      <c r="H161" s="384">
        <f t="shared" ca="1" si="15"/>
        <v>17</v>
      </c>
      <c r="I161" s="395" t="str">
        <f t="shared" ca="1" si="19"/>
        <v/>
      </c>
      <c r="J161" s="395" t="str">
        <f t="shared" ca="1" si="20"/>
        <v/>
      </c>
      <c r="K161" s="386" t="str">
        <f t="shared" ca="1" si="21"/>
        <v/>
      </c>
      <c r="L161" s="388" t="str">
        <f ca="1">IFERROR(CHOOSE(E161,'Impact Indicators - Section B '!$K$7,'Impact Indicators - Section B '!$O$7,'Impact Indicators - Section B '!$S$7,'Impact Indicators - Section B '!$W$7,'Impact Indicators - Section B '!#REF!),"")</f>
        <v/>
      </c>
      <c r="M161" s="396" t="str">
        <f t="shared" ca="1" si="22"/>
        <v/>
      </c>
      <c r="N161" s="388" t="str">
        <f t="shared" ca="1" si="23"/>
        <v/>
      </c>
      <c r="O161" s="384" t="str">
        <f ca="1">IFERROR(IF(COUNTA($D$41:$D161)=1,"",OFFSET($C159,-COUNTA($D$41:$D161)+3,0)),"")</f>
        <v>a1HDm000000bvjYMAQ</v>
      </c>
      <c r="P161" s="384">
        <f t="shared" si="16"/>
        <v>0</v>
      </c>
      <c r="Q161" s="384"/>
      <c r="R161" s="384"/>
      <c r="S161" s="384"/>
      <c r="T161" s="384" t="b">
        <f t="shared" ca="1" si="24"/>
        <v>0</v>
      </c>
    </row>
    <row r="162" spans="1:20" x14ac:dyDescent="0.3">
      <c r="A162" s="384" t="b">
        <f t="shared" ca="1" si="17"/>
        <v>0</v>
      </c>
      <c r="B162" s="394"/>
      <c r="C162" s="393" t="str">
        <f t="shared" ca="1" si="18"/>
        <v>a1HDm000000bvjnMAA</v>
      </c>
      <c r="D162" s="384"/>
      <c r="E162" s="384">
        <f t="shared" ca="1" si="14"/>
        <v>5</v>
      </c>
      <c r="F162" s="389">
        <f ca="1">IFERROR(IF(COUNTA($D$41:$D162)=1,"",OFFSET($F160,-COUNTA($D$41:$D162)+3,0)),"")</f>
        <v>5</v>
      </c>
      <c r="G162" s="384"/>
      <c r="H162" s="384">
        <f t="shared" ca="1" si="15"/>
        <v>17</v>
      </c>
      <c r="I162" s="395" t="str">
        <f t="shared" ca="1" si="19"/>
        <v/>
      </c>
      <c r="J162" s="395" t="str">
        <f t="shared" ca="1" si="20"/>
        <v/>
      </c>
      <c r="K162" s="386" t="str">
        <f t="shared" ca="1" si="21"/>
        <v/>
      </c>
      <c r="L162" s="388" t="str">
        <f ca="1">IFERROR(CHOOSE(E162,'Impact Indicators - Section B '!$K$7,'Impact Indicators - Section B '!$O$7,'Impact Indicators - Section B '!$S$7,'Impact Indicators - Section B '!$W$7,'Impact Indicators - Section B '!#REF!),"")</f>
        <v/>
      </c>
      <c r="M162" s="396" t="str">
        <f t="shared" ca="1" si="22"/>
        <v/>
      </c>
      <c r="N162" s="388" t="str">
        <f t="shared" ca="1" si="23"/>
        <v/>
      </c>
      <c r="O162" s="384" t="str">
        <f ca="1">IFERROR(IF(COUNTA($D$41:$D162)=1,"",OFFSET($C160,-COUNTA($D$41:$D162)+3,0)),"")</f>
        <v>a1HDm000000bvjnMAA</v>
      </c>
      <c r="P162" s="384">
        <f t="shared" si="16"/>
        <v>0</v>
      </c>
      <c r="Q162" s="384"/>
      <c r="R162" s="384"/>
      <c r="S162" s="384"/>
      <c r="T162" s="384" t="b">
        <f t="shared" ca="1" si="24"/>
        <v>0</v>
      </c>
    </row>
    <row r="163" spans="1:20" x14ac:dyDescent="0.3">
      <c r="A163" s="384" t="b">
        <f t="shared" ca="1" si="17"/>
        <v>0</v>
      </c>
      <c r="B163" s="394"/>
      <c r="C163" s="393" t="str">
        <f t="shared" ca="1" si="18"/>
        <v>a1HDm000000bvk2MAA</v>
      </c>
      <c r="D163" s="384"/>
      <c r="E163" s="384">
        <f t="shared" ca="1" si="14"/>
        <v>6</v>
      </c>
      <c r="F163" s="389">
        <f ca="1">IFERROR(IF(COUNTA($D$41:$D163)=1,"",OFFSET($F161,-COUNTA($D$41:$D163)+3,0)),"")</f>
        <v>5</v>
      </c>
      <c r="G163" s="384"/>
      <c r="H163" s="384">
        <f t="shared" ca="1" si="15"/>
        <v>17</v>
      </c>
      <c r="I163" s="395" t="str">
        <f t="shared" ca="1" si="19"/>
        <v/>
      </c>
      <c r="J163" s="395" t="str">
        <f t="shared" ca="1" si="20"/>
        <v/>
      </c>
      <c r="K163" s="386" t="str">
        <f t="shared" ca="1" si="21"/>
        <v/>
      </c>
      <c r="L163" s="388" t="str">
        <f ca="1">IFERROR(CHOOSE(E163,'Impact Indicators - Section B '!$K$7,'Impact Indicators - Section B '!$O$7,'Impact Indicators - Section B '!$S$7,'Impact Indicators - Section B '!$W$7,'Impact Indicators - Section B '!#REF!),"")</f>
        <v/>
      </c>
      <c r="M163" s="396" t="str">
        <f t="shared" ca="1" si="22"/>
        <v/>
      </c>
      <c r="N163" s="388" t="str">
        <f t="shared" ca="1" si="23"/>
        <v/>
      </c>
      <c r="O163" s="384" t="str">
        <f ca="1">IFERROR(IF(COUNTA($D$41:$D163)=1,"",OFFSET($C161,-COUNTA($D$41:$D163)+3,0)),"")</f>
        <v>a1HDm000000bvk2MAA</v>
      </c>
      <c r="P163" s="384">
        <f t="shared" si="16"/>
        <v>0</v>
      </c>
      <c r="Q163" s="384"/>
      <c r="R163" s="384"/>
      <c r="S163" s="384"/>
      <c r="T163" s="384" t="b">
        <f t="shared" ca="1" si="24"/>
        <v>0</v>
      </c>
    </row>
    <row r="164" spans="1:20" x14ac:dyDescent="0.3">
      <c r="A164" s="384" t="b">
        <f t="shared" ca="1" si="17"/>
        <v>1</v>
      </c>
      <c r="B164" s="394"/>
      <c r="C164" s="393" t="str">
        <f t="shared" ca="1" si="18"/>
        <v>a1HDm000000bviqMAA</v>
      </c>
      <c r="D164" s="384"/>
      <c r="E164" s="384">
        <f t="shared" ca="1" si="14"/>
        <v>1</v>
      </c>
      <c r="F164" s="389">
        <f ca="1">IFERROR(IF(COUNTA($D$41:$D164)=1,"",OFFSET($F162,-COUNTA($D$41:$D164)+3,0)),"")</f>
        <v>6</v>
      </c>
      <c r="G164" s="384"/>
      <c r="H164" s="384">
        <f t="shared" ca="1" si="15"/>
        <v>19</v>
      </c>
      <c r="I164" s="395" t="str">
        <f t="shared" ca="1" si="19"/>
        <v/>
      </c>
      <c r="J164" s="395">
        <f t="shared" ca="1" si="20"/>
        <v>2.7</v>
      </c>
      <c r="K164" s="386" t="str">
        <f t="shared" ca="1" si="21"/>
        <v/>
      </c>
      <c r="L164" s="388">
        <f ca="1">IFERROR(CHOOSE(E164,'Impact Indicators - Section B '!$K$7,'Impact Indicators - Section B '!$O$7,'Impact Indicators - Section B '!$S$7,'Impact Indicators - Section B '!$W$7,'Impact Indicators - Section B '!#REF!),"")</f>
        <v>2024</v>
      </c>
      <c r="M164" s="396">
        <f t="shared" ca="1" si="22"/>
        <v>45748</v>
      </c>
      <c r="N164" s="388" t="str">
        <f t="shared" ca="1" si="23"/>
        <v/>
      </c>
      <c r="O164" s="384" t="str">
        <f ca="1">IFERROR(IF(COUNTA($D$41:$D164)=1,"",OFFSET($C162,-COUNTA($D$41:$D164)+3,0)),"")</f>
        <v>a1HDm000000bviqMAA</v>
      </c>
      <c r="P164" s="384">
        <f t="shared" si="16"/>
        <v>0</v>
      </c>
      <c r="Q164" s="384"/>
      <c r="R164" s="384"/>
      <c r="S164" s="384"/>
      <c r="T164" s="384" t="b">
        <f t="shared" ca="1" si="24"/>
        <v>1</v>
      </c>
    </row>
    <row r="165" spans="1:20" x14ac:dyDescent="0.3">
      <c r="A165" s="384" t="b">
        <f t="shared" ca="1" si="17"/>
        <v>0</v>
      </c>
      <c r="B165" s="394"/>
      <c r="C165" s="393" t="str">
        <f t="shared" ca="1" si="18"/>
        <v>a1HDm000000bvj5MAA</v>
      </c>
      <c r="D165" s="384"/>
      <c r="E165" s="384">
        <f t="shared" ca="1" si="14"/>
        <v>2</v>
      </c>
      <c r="F165" s="389">
        <f ca="1">IFERROR(IF(COUNTA($D$41:$D165)=1,"",OFFSET($F163,-COUNTA($D$41:$D165)+3,0)),"")</f>
        <v>6</v>
      </c>
      <c r="G165" s="384"/>
      <c r="H165" s="384">
        <f t="shared" ca="1" si="15"/>
        <v>19</v>
      </c>
      <c r="I165" s="395" t="str">
        <f t="shared" ca="1" si="19"/>
        <v/>
      </c>
      <c r="J165" s="395" t="str">
        <f t="shared" ca="1" si="20"/>
        <v/>
      </c>
      <c r="K165" s="386" t="str">
        <f t="shared" ca="1" si="21"/>
        <v/>
      </c>
      <c r="L165" s="388">
        <f ca="1">IFERROR(CHOOSE(E165,'Impact Indicators - Section B '!$K$7,'Impact Indicators - Section B '!$O$7,'Impact Indicators - Section B '!$S$7,'Impact Indicators - Section B '!$W$7,'Impact Indicators - Section B '!#REF!),"")</f>
        <v>2025</v>
      </c>
      <c r="M165" s="396" t="str">
        <f t="shared" ca="1" si="22"/>
        <v/>
      </c>
      <c r="N165" s="388" t="str">
        <f t="shared" ca="1" si="23"/>
        <v/>
      </c>
      <c r="O165" s="384" t="str">
        <f ca="1">IFERROR(IF(COUNTA($D$41:$D165)=1,"",OFFSET($C163,-COUNTA($D$41:$D165)+3,0)),"")</f>
        <v>a1HDm000000bvj5MAA</v>
      </c>
      <c r="P165" s="384">
        <f t="shared" si="16"/>
        <v>0</v>
      </c>
      <c r="Q165" s="384"/>
      <c r="R165" s="384"/>
      <c r="S165" s="384"/>
      <c r="T165" s="384" t="b">
        <f t="shared" ca="1" si="24"/>
        <v>0</v>
      </c>
    </row>
    <row r="166" spans="1:20" x14ac:dyDescent="0.3">
      <c r="A166" s="384" t="b">
        <f t="shared" ca="1" si="17"/>
        <v>1</v>
      </c>
      <c r="B166" s="394"/>
      <c r="C166" s="393" t="str">
        <f t="shared" ca="1" si="18"/>
        <v>a1HDm000000bvjKMAQ</v>
      </c>
      <c r="D166" s="384"/>
      <c r="E166" s="384">
        <f t="shared" ca="1" si="14"/>
        <v>3</v>
      </c>
      <c r="F166" s="389">
        <f ca="1">IFERROR(IF(COUNTA($D$41:$D166)=1,"",OFFSET($F164,-COUNTA($D$41:$D166)+3,0)),"")</f>
        <v>6</v>
      </c>
      <c r="G166" s="384"/>
      <c r="H166" s="384">
        <f t="shared" ca="1" si="15"/>
        <v>19</v>
      </c>
      <c r="I166" s="395" t="str">
        <f t="shared" ca="1" si="19"/>
        <v/>
      </c>
      <c r="J166" s="395">
        <f t="shared" ca="1" si="20"/>
        <v>2.5</v>
      </c>
      <c r="K166" s="386" t="str">
        <f t="shared" ca="1" si="21"/>
        <v/>
      </c>
      <c r="L166" s="388">
        <f ca="1">IFERROR(CHOOSE(E166,'Impact Indicators - Section B '!$K$7,'Impact Indicators - Section B '!$O$7,'Impact Indicators - Section B '!$S$7,'Impact Indicators - Section B '!$W$7,'Impact Indicators - Section B '!#REF!),"")</f>
        <v>2026</v>
      </c>
      <c r="M166" s="396">
        <f t="shared" ca="1" si="22"/>
        <v>46113</v>
      </c>
      <c r="N166" s="388" t="str">
        <f t="shared" ca="1" si="23"/>
        <v/>
      </c>
      <c r="O166" s="384" t="str">
        <f ca="1">IFERROR(IF(COUNTA($D$41:$D166)=1,"",OFFSET($C164,-COUNTA($D$41:$D166)+3,0)),"")</f>
        <v>a1HDm000000bvjKMAQ</v>
      </c>
      <c r="P166" s="384">
        <f t="shared" si="16"/>
        <v>0</v>
      </c>
      <c r="Q166" s="384"/>
      <c r="R166" s="384"/>
      <c r="S166" s="384"/>
      <c r="T166" s="384" t="b">
        <f t="shared" ca="1" si="24"/>
        <v>1</v>
      </c>
    </row>
    <row r="167" spans="1:20" x14ac:dyDescent="0.3">
      <c r="A167" s="384" t="b">
        <f t="shared" ca="1" si="17"/>
        <v>1</v>
      </c>
      <c r="B167" s="394"/>
      <c r="C167" s="393" t="str">
        <f t="shared" ca="1" si="18"/>
        <v>a1HDm000000bvjZMAQ</v>
      </c>
      <c r="D167" s="384"/>
      <c r="E167" s="384">
        <f t="shared" ca="1" si="14"/>
        <v>4</v>
      </c>
      <c r="F167" s="389">
        <f ca="1">IFERROR(IF(COUNTA($D$41:$D167)=1,"",OFFSET($F165,-COUNTA($D$41:$D167)+3,0)),"")</f>
        <v>6</v>
      </c>
      <c r="G167" s="384"/>
      <c r="H167" s="384">
        <f t="shared" ca="1" si="15"/>
        <v>19</v>
      </c>
      <c r="I167" s="395" t="str">
        <f t="shared" ca="1" si="19"/>
        <v/>
      </c>
      <c r="J167" s="395">
        <f t="shared" ca="1" si="20"/>
        <v>2.2999999999999998</v>
      </c>
      <c r="K167" s="386" t="str">
        <f t="shared" ca="1" si="21"/>
        <v/>
      </c>
      <c r="L167" s="388" t="str">
        <f ca="1">IFERROR(CHOOSE(E167,'Impact Indicators - Section B '!$K$7,'Impact Indicators - Section B '!$O$7,'Impact Indicators - Section B '!$S$7,'Impact Indicators - Section B '!$W$7,'Impact Indicators - Section B '!#REF!),"")</f>
        <v/>
      </c>
      <c r="M167" s="396">
        <f t="shared" ca="1" si="22"/>
        <v>46478</v>
      </c>
      <c r="N167" s="388" t="str">
        <f t="shared" ca="1" si="23"/>
        <v/>
      </c>
      <c r="O167" s="384" t="str">
        <f ca="1">IFERROR(IF(COUNTA($D$41:$D167)=1,"",OFFSET($C165,-COUNTA($D$41:$D167)+3,0)),"")</f>
        <v>a1HDm000000bvjZMAQ</v>
      </c>
      <c r="P167" s="384">
        <f t="shared" si="16"/>
        <v>0</v>
      </c>
      <c r="Q167" s="384"/>
      <c r="R167" s="384"/>
      <c r="S167" s="384"/>
      <c r="T167" s="384" t="b">
        <f t="shared" ca="1" si="24"/>
        <v>1</v>
      </c>
    </row>
    <row r="168" spans="1:20" x14ac:dyDescent="0.3">
      <c r="A168" s="384" t="b">
        <f t="shared" ca="1" si="17"/>
        <v>0</v>
      </c>
      <c r="B168" s="394"/>
      <c r="C168" s="393" t="str">
        <f t="shared" ca="1" si="18"/>
        <v>a1HDm000000bvjoMAA</v>
      </c>
      <c r="D168" s="384"/>
      <c r="E168" s="384">
        <f t="shared" ca="1" si="14"/>
        <v>5</v>
      </c>
      <c r="F168" s="389">
        <f ca="1">IFERROR(IF(COUNTA($D$41:$D168)=1,"",OFFSET($F166,-COUNTA($D$41:$D168)+3,0)),"")</f>
        <v>6</v>
      </c>
      <c r="G168" s="384"/>
      <c r="H168" s="384">
        <f t="shared" ca="1" si="15"/>
        <v>19</v>
      </c>
      <c r="I168" s="395" t="str">
        <f t="shared" ca="1" si="19"/>
        <v/>
      </c>
      <c r="J168" s="395" t="str">
        <f t="shared" ca="1" si="20"/>
        <v/>
      </c>
      <c r="K168" s="386" t="str">
        <f t="shared" ca="1" si="21"/>
        <v/>
      </c>
      <c r="L168" s="388" t="str">
        <f ca="1">IFERROR(CHOOSE(E168,'Impact Indicators - Section B '!$K$7,'Impact Indicators - Section B '!$O$7,'Impact Indicators - Section B '!$S$7,'Impact Indicators - Section B '!$W$7,'Impact Indicators - Section B '!#REF!),"")</f>
        <v/>
      </c>
      <c r="M168" s="396" t="str">
        <f t="shared" ca="1" si="22"/>
        <v/>
      </c>
      <c r="N168" s="388" t="str">
        <f t="shared" ca="1" si="23"/>
        <v/>
      </c>
      <c r="O168" s="384" t="str">
        <f ca="1">IFERROR(IF(COUNTA($D$41:$D168)=1,"",OFFSET($C166,-COUNTA($D$41:$D168)+3,0)),"")</f>
        <v>a1HDm000000bvjoMAA</v>
      </c>
      <c r="P168" s="384">
        <f t="shared" si="16"/>
        <v>0</v>
      </c>
      <c r="Q168" s="384"/>
      <c r="R168" s="384"/>
      <c r="S168" s="384"/>
      <c r="T168" s="384" t="b">
        <f t="shared" ca="1" si="24"/>
        <v>0</v>
      </c>
    </row>
    <row r="169" spans="1:20" x14ac:dyDescent="0.3">
      <c r="A169" s="384" t="b">
        <f t="shared" ca="1" si="17"/>
        <v>0</v>
      </c>
      <c r="B169" s="394"/>
      <c r="C169" s="393" t="str">
        <f t="shared" ca="1" si="18"/>
        <v>a1HDm000000bvk3MAA</v>
      </c>
      <c r="D169" s="384"/>
      <c r="E169" s="384">
        <f t="shared" ca="1" si="14"/>
        <v>6</v>
      </c>
      <c r="F169" s="389">
        <f ca="1">IFERROR(IF(COUNTA($D$41:$D169)=1,"",OFFSET($F167,-COUNTA($D$41:$D169)+3,0)),"")</f>
        <v>6</v>
      </c>
      <c r="G169" s="384"/>
      <c r="H169" s="384">
        <f t="shared" ca="1" si="15"/>
        <v>19</v>
      </c>
      <c r="I169" s="395" t="str">
        <f t="shared" ca="1" si="19"/>
        <v/>
      </c>
      <c r="J169" s="395" t="str">
        <f t="shared" ca="1" si="20"/>
        <v/>
      </c>
      <c r="K169" s="386" t="str">
        <f t="shared" ca="1" si="21"/>
        <v/>
      </c>
      <c r="L169" s="388" t="str">
        <f ca="1">IFERROR(CHOOSE(E169,'Impact Indicators - Section B '!$K$7,'Impact Indicators - Section B '!$O$7,'Impact Indicators - Section B '!$S$7,'Impact Indicators - Section B '!$W$7,'Impact Indicators - Section B '!#REF!),"")</f>
        <v/>
      </c>
      <c r="M169" s="396" t="str">
        <f t="shared" ca="1" si="22"/>
        <v/>
      </c>
      <c r="N169" s="388" t="str">
        <f t="shared" ca="1" si="23"/>
        <v/>
      </c>
      <c r="O169" s="384" t="str">
        <f ca="1">IFERROR(IF(COUNTA($D$41:$D169)=1,"",OFFSET($C167,-COUNTA($D$41:$D169)+3,0)),"")</f>
        <v>a1HDm000000bvk3MAA</v>
      </c>
      <c r="P169" s="384">
        <f t="shared" si="16"/>
        <v>0</v>
      </c>
      <c r="Q169" s="384"/>
      <c r="R169" s="384"/>
      <c r="S169" s="384"/>
      <c r="T169" s="384" t="b">
        <f t="shared" ca="1" si="24"/>
        <v>0</v>
      </c>
    </row>
    <row r="170" spans="1:20" x14ac:dyDescent="0.3">
      <c r="A170" s="384" t="b">
        <f t="shared" ca="1" si="17"/>
        <v>1</v>
      </c>
      <c r="B170" s="394"/>
      <c r="C170" s="393" t="str">
        <f t="shared" ca="1" si="18"/>
        <v>a1HDm000000bvirMAA</v>
      </c>
      <c r="D170" s="384"/>
      <c r="E170" s="384">
        <f t="shared" ca="1" si="14"/>
        <v>1</v>
      </c>
      <c r="F170" s="389">
        <f ca="1">IFERROR(IF(COUNTA($D$41:$D170)=1,"",OFFSET($F168,-COUNTA($D$41:$D170)+3,0)),"")</f>
        <v>7</v>
      </c>
      <c r="G170" s="384"/>
      <c r="H170" s="384">
        <f t="shared" ca="1" si="15"/>
        <v>21</v>
      </c>
      <c r="I170" s="395" t="str">
        <f t="shared" ca="1" si="19"/>
        <v/>
      </c>
      <c r="J170" s="395" t="str">
        <f t="shared" ca="1" si="20"/>
        <v/>
      </c>
      <c r="K170" s="386">
        <f t="shared" ca="1" si="21"/>
        <v>24.5</v>
      </c>
      <c r="L170" s="388">
        <f ca="1">IFERROR(CHOOSE(E170,'Impact Indicators - Section B '!$K$7,'Impact Indicators - Section B '!$O$7,'Impact Indicators - Section B '!$S$7,'Impact Indicators - Section B '!$W$7,'Impact Indicators - Section B '!#REF!),"")</f>
        <v>2024</v>
      </c>
      <c r="M170" s="396">
        <f t="shared" ca="1" si="22"/>
        <v>45748</v>
      </c>
      <c r="N170" s="388" t="str">
        <f t="shared" ca="1" si="23"/>
        <v/>
      </c>
      <c r="O170" s="384" t="str">
        <f ca="1">IFERROR(IF(COUNTA($D$41:$D170)=1,"",OFFSET($C168,-COUNTA($D$41:$D170)+3,0)),"")</f>
        <v>a1HDm000000bvirMAA</v>
      </c>
      <c r="P170" s="384">
        <f t="shared" si="16"/>
        <v>0</v>
      </c>
      <c r="Q170" s="384"/>
      <c r="R170" s="384"/>
      <c r="S170" s="384"/>
      <c r="T170" s="384" t="b">
        <f t="shared" ca="1" si="24"/>
        <v>1</v>
      </c>
    </row>
    <row r="171" spans="1:20" x14ac:dyDescent="0.3">
      <c r="A171" s="384" t="b">
        <f t="shared" ca="1" si="17"/>
        <v>1</v>
      </c>
      <c r="B171" s="394"/>
      <c r="C171" s="393" t="str">
        <f t="shared" ca="1" si="18"/>
        <v>a1HDm000000bvj6MAA</v>
      </c>
      <c r="D171" s="384"/>
      <c r="E171" s="384">
        <f t="shared" ca="1" si="14"/>
        <v>2</v>
      </c>
      <c r="F171" s="389">
        <f ca="1">IFERROR(IF(COUNTA($D$41:$D171)=1,"",OFFSET($F169,-COUNTA($D$41:$D171)+3,0)),"")</f>
        <v>7</v>
      </c>
      <c r="G171" s="384"/>
      <c r="H171" s="384">
        <f t="shared" ca="1" si="15"/>
        <v>21</v>
      </c>
      <c r="I171" s="395" t="str">
        <f t="shared" ca="1" si="19"/>
        <v/>
      </c>
      <c r="J171" s="395" t="str">
        <f t="shared" ca="1" si="20"/>
        <v/>
      </c>
      <c r="K171" s="386">
        <f t="shared" ca="1" si="21"/>
        <v>24</v>
      </c>
      <c r="L171" s="388">
        <f ca="1">IFERROR(CHOOSE(E171,'Impact Indicators - Section B '!$K$7,'Impact Indicators - Section B '!$O$7,'Impact Indicators - Section B '!$S$7,'Impact Indicators - Section B '!$W$7,'Impact Indicators - Section B '!#REF!),"")</f>
        <v>2025</v>
      </c>
      <c r="M171" s="396">
        <f t="shared" ca="1" si="22"/>
        <v>46113</v>
      </c>
      <c r="N171" s="388" t="str">
        <f t="shared" ca="1" si="23"/>
        <v/>
      </c>
      <c r="O171" s="384" t="str">
        <f ca="1">IFERROR(IF(COUNTA($D$41:$D171)=1,"",OFFSET($C169,-COUNTA($D$41:$D171)+3,0)),"")</f>
        <v>a1HDm000000bvj6MAA</v>
      </c>
      <c r="P171" s="384">
        <f t="shared" si="16"/>
        <v>0</v>
      </c>
      <c r="Q171" s="384"/>
      <c r="R171" s="384"/>
      <c r="S171" s="384"/>
      <c r="T171" s="384" t="b">
        <f t="shared" ca="1" si="24"/>
        <v>1</v>
      </c>
    </row>
    <row r="172" spans="1:20" x14ac:dyDescent="0.3">
      <c r="A172" s="384" t="b">
        <f t="shared" ca="1" si="17"/>
        <v>1</v>
      </c>
      <c r="B172" s="394"/>
      <c r="C172" s="393" t="str">
        <f t="shared" ca="1" si="18"/>
        <v>a1HDm000000bvjLMAQ</v>
      </c>
      <c r="D172" s="384"/>
      <c r="E172" s="384">
        <f t="shared" ref="E172:E223" ca="1" si="25">COUNTIF(F163:F172,F172)</f>
        <v>3</v>
      </c>
      <c r="F172" s="389">
        <f ca="1">IFERROR(IF(COUNTA($D$41:$D172)=1,"",OFFSET($F170,-COUNTA($D$41:$D172)+3,0)),"")</f>
        <v>7</v>
      </c>
      <c r="G172" s="384"/>
      <c r="H172" s="384">
        <f t="shared" ref="H172:H223" ca="1" si="26">IF(F172=1,9,IF(E171=MAX(E170:E172),H170+2,H171))</f>
        <v>21</v>
      </c>
      <c r="I172" s="395" t="str">
        <f t="shared" ca="1" si="19"/>
        <v/>
      </c>
      <c r="J172" s="395" t="str">
        <f t="shared" ca="1" si="20"/>
        <v/>
      </c>
      <c r="K172" s="386">
        <f t="shared" ca="1" si="21"/>
        <v>23.5</v>
      </c>
      <c r="L172" s="388">
        <f ca="1">IFERROR(CHOOSE(E172,'Impact Indicators - Section B '!$K$7,'Impact Indicators - Section B '!$O$7,'Impact Indicators - Section B '!$S$7,'Impact Indicators - Section B '!$W$7,'Impact Indicators - Section B '!#REF!),"")</f>
        <v>2026</v>
      </c>
      <c r="M172" s="396">
        <f t="shared" ca="1" si="22"/>
        <v>46478</v>
      </c>
      <c r="N172" s="388" t="str">
        <f t="shared" ca="1" si="23"/>
        <v/>
      </c>
      <c r="O172" s="384" t="str">
        <f ca="1">IFERROR(IF(COUNTA($D$41:$D172)=1,"",OFFSET($C170,-COUNTA($D$41:$D172)+3,0)),"")</f>
        <v>a1HDm000000bvjLMAQ</v>
      </c>
      <c r="P172" s="384">
        <f t="shared" ref="P172:P223" si="27">IF(NOT(_xlfn.ISFORMULA(I172)),P171+1,0)</f>
        <v>0</v>
      </c>
      <c r="Q172" s="384"/>
      <c r="R172" s="384"/>
      <c r="S172" s="384"/>
      <c r="T172" s="384" t="b">
        <f t="shared" ca="1" si="24"/>
        <v>1</v>
      </c>
    </row>
    <row r="173" spans="1:20" x14ac:dyDescent="0.3">
      <c r="A173" s="384" t="b">
        <f t="shared" ca="1" si="17"/>
        <v>0</v>
      </c>
      <c r="B173" s="394"/>
      <c r="C173" s="393" t="str">
        <f t="shared" ca="1" si="18"/>
        <v>a1HDm000000bvjaMAA</v>
      </c>
      <c r="D173" s="384"/>
      <c r="E173" s="384">
        <f t="shared" ca="1" si="25"/>
        <v>4</v>
      </c>
      <c r="F173" s="389">
        <f ca="1">IFERROR(IF(COUNTA($D$41:$D173)=1,"",OFFSET($F171,-COUNTA($D$41:$D173)+3,0)),"")</f>
        <v>7</v>
      </c>
      <c r="G173" s="384"/>
      <c r="H173" s="384">
        <f t="shared" ca="1" si="26"/>
        <v>21</v>
      </c>
      <c r="I173" s="395" t="str">
        <f t="shared" ca="1" si="19"/>
        <v/>
      </c>
      <c r="J173" s="395" t="str">
        <f t="shared" ca="1" si="20"/>
        <v/>
      </c>
      <c r="K173" s="386" t="str">
        <f t="shared" ca="1" si="21"/>
        <v/>
      </c>
      <c r="L173" s="388" t="str">
        <f ca="1">IFERROR(CHOOSE(E173,'Impact Indicators - Section B '!$K$7,'Impact Indicators - Section B '!$O$7,'Impact Indicators - Section B '!$S$7,'Impact Indicators - Section B '!$W$7,'Impact Indicators - Section B '!#REF!),"")</f>
        <v/>
      </c>
      <c r="M173" s="396" t="str">
        <f t="shared" ca="1" si="22"/>
        <v/>
      </c>
      <c r="N173" s="388" t="str">
        <f t="shared" ca="1" si="23"/>
        <v/>
      </c>
      <c r="O173" s="384" t="str">
        <f ca="1">IFERROR(IF(COUNTA($D$41:$D173)=1,"",OFFSET($C171,-COUNTA($D$41:$D173)+3,0)),"")</f>
        <v>a1HDm000000bvjaMAA</v>
      </c>
      <c r="P173" s="384">
        <f t="shared" si="27"/>
        <v>0</v>
      </c>
      <c r="Q173" s="384"/>
      <c r="R173" s="384"/>
      <c r="S173" s="384"/>
      <c r="T173" s="384" t="b">
        <f t="shared" ca="1" si="24"/>
        <v>0</v>
      </c>
    </row>
    <row r="174" spans="1:20" x14ac:dyDescent="0.3">
      <c r="A174" s="384" t="b">
        <f t="shared" ca="1" si="17"/>
        <v>0</v>
      </c>
      <c r="B174" s="394"/>
      <c r="C174" s="393" t="str">
        <f t="shared" ca="1" si="18"/>
        <v>a1HDm000000bvjpMAA</v>
      </c>
      <c r="D174" s="384"/>
      <c r="E174" s="384">
        <f t="shared" ca="1" si="25"/>
        <v>5</v>
      </c>
      <c r="F174" s="389">
        <f ca="1">IFERROR(IF(COUNTA($D$41:$D174)=1,"",OFFSET($F172,-COUNTA($D$41:$D174)+3,0)),"")</f>
        <v>7</v>
      </c>
      <c r="G174" s="384"/>
      <c r="H174" s="384">
        <f t="shared" ca="1" si="26"/>
        <v>21</v>
      </c>
      <c r="I174" s="395" t="str">
        <f t="shared" ca="1" si="19"/>
        <v/>
      </c>
      <c r="J174" s="395" t="str">
        <f t="shared" ca="1" si="20"/>
        <v/>
      </c>
      <c r="K174" s="386" t="str">
        <f t="shared" ca="1" si="21"/>
        <v/>
      </c>
      <c r="L174" s="388" t="str">
        <f ca="1">IFERROR(CHOOSE(E174,'Impact Indicators - Section B '!$K$7,'Impact Indicators - Section B '!$O$7,'Impact Indicators - Section B '!$S$7,'Impact Indicators - Section B '!$W$7,'Impact Indicators - Section B '!#REF!),"")</f>
        <v/>
      </c>
      <c r="M174" s="396" t="str">
        <f t="shared" ca="1" si="22"/>
        <v/>
      </c>
      <c r="N174" s="388" t="str">
        <f t="shared" ca="1" si="23"/>
        <v/>
      </c>
      <c r="O174" s="384" t="str">
        <f ca="1">IFERROR(IF(COUNTA($D$41:$D174)=1,"",OFFSET($C172,-COUNTA($D$41:$D174)+3,0)),"")</f>
        <v>a1HDm000000bvjpMAA</v>
      </c>
      <c r="P174" s="384">
        <f t="shared" si="27"/>
        <v>0</v>
      </c>
      <c r="Q174" s="384"/>
      <c r="R174" s="384"/>
      <c r="S174" s="384"/>
      <c r="T174" s="384" t="b">
        <f t="shared" ca="1" si="24"/>
        <v>0</v>
      </c>
    </row>
    <row r="175" spans="1:20" x14ac:dyDescent="0.3">
      <c r="A175" s="384" t="b">
        <f t="shared" ca="1" si="17"/>
        <v>0</v>
      </c>
      <c r="B175" s="394"/>
      <c r="C175" s="393" t="str">
        <f t="shared" ca="1" si="18"/>
        <v>a1HDm000000bvk4MAA</v>
      </c>
      <c r="D175" s="384"/>
      <c r="E175" s="384">
        <f t="shared" ca="1" si="25"/>
        <v>6</v>
      </c>
      <c r="F175" s="389">
        <f ca="1">IFERROR(IF(COUNTA($D$41:$D175)=1,"",OFFSET($F173,-COUNTA($D$41:$D175)+3,0)),"")</f>
        <v>7</v>
      </c>
      <c r="G175" s="384"/>
      <c r="H175" s="384">
        <f t="shared" ca="1" si="26"/>
        <v>21</v>
      </c>
      <c r="I175" s="395" t="str">
        <f t="shared" ca="1" si="19"/>
        <v/>
      </c>
      <c r="J175" s="395" t="str">
        <f t="shared" ca="1" si="20"/>
        <v/>
      </c>
      <c r="K175" s="386" t="str">
        <f t="shared" ca="1" si="21"/>
        <v/>
      </c>
      <c r="L175" s="388" t="str">
        <f ca="1">IFERROR(CHOOSE(E175,'Impact Indicators - Section B '!$K$7,'Impact Indicators - Section B '!$O$7,'Impact Indicators - Section B '!$S$7,'Impact Indicators - Section B '!$W$7,'Impact Indicators - Section B '!#REF!),"")</f>
        <v/>
      </c>
      <c r="M175" s="396" t="str">
        <f t="shared" ca="1" si="22"/>
        <v/>
      </c>
      <c r="N175" s="388" t="str">
        <f t="shared" ca="1" si="23"/>
        <v/>
      </c>
      <c r="O175" s="384" t="str">
        <f ca="1">IFERROR(IF(COUNTA($D$41:$D175)=1,"",OFFSET($C173,-COUNTA($D$41:$D175)+3,0)),"")</f>
        <v>a1HDm000000bvk4MAA</v>
      </c>
      <c r="P175" s="384">
        <f t="shared" si="27"/>
        <v>0</v>
      </c>
      <c r="Q175" s="384"/>
      <c r="R175" s="384"/>
      <c r="S175" s="384"/>
      <c r="T175" s="384" t="b">
        <f t="shared" ca="1" si="24"/>
        <v>0</v>
      </c>
    </row>
    <row r="176" spans="1:20" x14ac:dyDescent="0.3">
      <c r="A176" s="384" t="b">
        <f t="shared" ca="1" si="17"/>
        <v>0</v>
      </c>
      <c r="B176" s="394"/>
      <c r="C176" s="393" t="str">
        <f t="shared" ca="1" si="18"/>
        <v>a1HDm000000bvisMAA</v>
      </c>
      <c r="D176" s="384"/>
      <c r="E176" s="384">
        <f t="shared" ca="1" si="25"/>
        <v>1</v>
      </c>
      <c r="F176" s="389">
        <f ca="1">IFERROR(IF(COUNTA($D$41:$D176)=1,"",OFFSET($F174,-COUNTA($D$41:$D176)+3,0)),"")</f>
        <v>8</v>
      </c>
      <c r="G176" s="384"/>
      <c r="H176" s="384">
        <f t="shared" ca="1" si="26"/>
        <v>23</v>
      </c>
      <c r="I176" s="395" t="str">
        <f t="shared" ca="1" si="19"/>
        <v/>
      </c>
      <c r="J176" s="395" t="str">
        <f t="shared" ca="1" si="20"/>
        <v/>
      </c>
      <c r="K176" s="386" t="str">
        <f t="shared" ca="1" si="21"/>
        <v/>
      </c>
      <c r="L176" s="388">
        <f ca="1">IFERROR(CHOOSE(E176,'Impact Indicators - Section B '!$K$7,'Impact Indicators - Section B '!$O$7,'Impact Indicators - Section B '!$S$7,'Impact Indicators - Section B '!$W$7,'Impact Indicators - Section B '!#REF!),"")</f>
        <v>2024</v>
      </c>
      <c r="M176" s="396" t="str">
        <f t="shared" ca="1" si="22"/>
        <v/>
      </c>
      <c r="N176" s="388" t="str">
        <f t="shared" ca="1" si="23"/>
        <v/>
      </c>
      <c r="O176" s="384" t="str">
        <f ca="1">IFERROR(IF(COUNTA($D$41:$D176)=1,"",OFFSET($C174,-COUNTA($D$41:$D176)+3,0)),"")</f>
        <v>a1HDm000000bvisMAA</v>
      </c>
      <c r="P176" s="384">
        <f t="shared" si="27"/>
        <v>0</v>
      </c>
      <c r="Q176" s="384"/>
      <c r="R176" s="384"/>
      <c r="S176" s="384"/>
      <c r="T176" s="384" t="b">
        <f t="shared" ca="1" si="24"/>
        <v>0</v>
      </c>
    </row>
    <row r="177" spans="1:20" x14ac:dyDescent="0.3">
      <c r="A177" s="384" t="b">
        <f t="shared" ca="1" si="17"/>
        <v>0</v>
      </c>
      <c r="B177" s="394"/>
      <c r="C177" s="393" t="str">
        <f t="shared" ca="1" si="18"/>
        <v>a1HDm000000bvj7MAA</v>
      </c>
      <c r="D177" s="384"/>
      <c r="E177" s="384">
        <f t="shared" ca="1" si="25"/>
        <v>2</v>
      </c>
      <c r="F177" s="389">
        <f ca="1">IFERROR(IF(COUNTA($D$41:$D177)=1,"",OFFSET($F175,-COUNTA($D$41:$D177)+3,0)),"")</f>
        <v>8</v>
      </c>
      <c r="G177" s="384"/>
      <c r="H177" s="384">
        <f t="shared" ca="1" si="26"/>
        <v>23</v>
      </c>
      <c r="I177" s="395" t="str">
        <f t="shared" ca="1" si="19"/>
        <v/>
      </c>
      <c r="J177" s="395" t="str">
        <f t="shared" ca="1" si="20"/>
        <v/>
      </c>
      <c r="K177" s="386" t="str">
        <f t="shared" ca="1" si="21"/>
        <v/>
      </c>
      <c r="L177" s="388">
        <f ca="1">IFERROR(CHOOSE(E177,'Impact Indicators - Section B '!$K$7,'Impact Indicators - Section B '!$O$7,'Impact Indicators - Section B '!$S$7,'Impact Indicators - Section B '!$W$7,'Impact Indicators - Section B '!#REF!),"")</f>
        <v>2025</v>
      </c>
      <c r="M177" s="396" t="str">
        <f t="shared" ca="1" si="22"/>
        <v/>
      </c>
      <c r="N177" s="388" t="str">
        <f t="shared" ca="1" si="23"/>
        <v/>
      </c>
      <c r="O177" s="384" t="str">
        <f ca="1">IFERROR(IF(COUNTA($D$41:$D177)=1,"",OFFSET($C175,-COUNTA($D$41:$D177)+3,0)),"")</f>
        <v>a1HDm000000bvj7MAA</v>
      </c>
      <c r="P177" s="384">
        <f t="shared" si="27"/>
        <v>0</v>
      </c>
      <c r="Q177" s="384"/>
      <c r="R177" s="384"/>
      <c r="S177" s="384"/>
      <c r="T177" s="384" t="b">
        <f t="shared" ca="1" si="24"/>
        <v>0</v>
      </c>
    </row>
    <row r="178" spans="1:20" x14ac:dyDescent="0.3">
      <c r="A178" s="384" t="b">
        <f t="shared" ca="1" si="17"/>
        <v>0</v>
      </c>
      <c r="B178" s="394"/>
      <c r="C178" s="393" t="str">
        <f t="shared" ca="1" si="18"/>
        <v>a1HDm000000bvjMMAQ</v>
      </c>
      <c r="D178" s="384"/>
      <c r="E178" s="384">
        <f t="shared" ca="1" si="25"/>
        <v>3</v>
      </c>
      <c r="F178" s="389">
        <f ca="1">IFERROR(IF(COUNTA($D$41:$D178)=1,"",OFFSET($F176,-COUNTA($D$41:$D178)+3,0)),"")</f>
        <v>8</v>
      </c>
      <c r="G178" s="384"/>
      <c r="H178" s="384">
        <f t="shared" ca="1" si="26"/>
        <v>23</v>
      </c>
      <c r="I178" s="395" t="str">
        <f t="shared" ca="1" si="19"/>
        <v/>
      </c>
      <c r="J178" s="395" t="str">
        <f t="shared" ca="1" si="20"/>
        <v/>
      </c>
      <c r="K178" s="386" t="str">
        <f t="shared" ca="1" si="21"/>
        <v/>
      </c>
      <c r="L178" s="388">
        <f ca="1">IFERROR(CHOOSE(E178,'Impact Indicators - Section B '!$K$7,'Impact Indicators - Section B '!$O$7,'Impact Indicators - Section B '!$S$7,'Impact Indicators - Section B '!$W$7,'Impact Indicators - Section B '!#REF!),"")</f>
        <v>2026</v>
      </c>
      <c r="M178" s="396" t="str">
        <f t="shared" ca="1" si="22"/>
        <v/>
      </c>
      <c r="N178" s="388" t="str">
        <f t="shared" ca="1" si="23"/>
        <v/>
      </c>
      <c r="O178" s="384" t="str">
        <f ca="1">IFERROR(IF(COUNTA($D$41:$D178)=1,"",OFFSET($C176,-COUNTA($D$41:$D178)+3,0)),"")</f>
        <v>a1HDm000000bvjMMAQ</v>
      </c>
      <c r="P178" s="384">
        <f t="shared" si="27"/>
        <v>0</v>
      </c>
      <c r="Q178" s="384"/>
      <c r="R178" s="384"/>
      <c r="S178" s="384"/>
      <c r="T178" s="384" t="b">
        <f t="shared" ca="1" si="24"/>
        <v>0</v>
      </c>
    </row>
    <row r="179" spans="1:20" x14ac:dyDescent="0.3">
      <c r="A179" s="384" t="b">
        <f t="shared" ca="1" si="17"/>
        <v>0</v>
      </c>
      <c r="B179" s="394"/>
      <c r="C179" s="393" t="str">
        <f t="shared" ca="1" si="18"/>
        <v>a1HDm000000bvjbMAA</v>
      </c>
      <c r="D179" s="384"/>
      <c r="E179" s="384">
        <f t="shared" ca="1" si="25"/>
        <v>4</v>
      </c>
      <c r="F179" s="389">
        <f ca="1">IFERROR(IF(COUNTA($D$41:$D179)=1,"",OFFSET($F177,-COUNTA($D$41:$D179)+3,0)),"")</f>
        <v>8</v>
      </c>
      <c r="G179" s="384"/>
      <c r="H179" s="384">
        <f t="shared" ca="1" si="26"/>
        <v>23</v>
      </c>
      <c r="I179" s="395" t="str">
        <f t="shared" ca="1" si="19"/>
        <v/>
      </c>
      <c r="J179" s="395" t="str">
        <f t="shared" ca="1" si="20"/>
        <v/>
      </c>
      <c r="K179" s="386" t="str">
        <f t="shared" ca="1" si="21"/>
        <v/>
      </c>
      <c r="L179" s="388" t="str">
        <f ca="1">IFERROR(CHOOSE(E179,'Impact Indicators - Section B '!$K$7,'Impact Indicators - Section B '!$O$7,'Impact Indicators - Section B '!$S$7,'Impact Indicators - Section B '!$W$7,'Impact Indicators - Section B '!#REF!),"")</f>
        <v/>
      </c>
      <c r="M179" s="396" t="str">
        <f t="shared" ca="1" si="22"/>
        <v/>
      </c>
      <c r="N179" s="388" t="str">
        <f t="shared" ca="1" si="23"/>
        <v/>
      </c>
      <c r="O179" s="384" t="str">
        <f ca="1">IFERROR(IF(COUNTA($D$41:$D179)=1,"",OFFSET($C177,-COUNTA($D$41:$D179)+3,0)),"")</f>
        <v>a1HDm000000bvjbMAA</v>
      </c>
      <c r="P179" s="384">
        <f t="shared" si="27"/>
        <v>0</v>
      </c>
      <c r="Q179" s="384"/>
      <c r="R179" s="384"/>
      <c r="S179" s="384"/>
      <c r="T179" s="384" t="b">
        <f t="shared" ca="1" si="24"/>
        <v>0</v>
      </c>
    </row>
    <row r="180" spans="1:20" x14ac:dyDescent="0.3">
      <c r="A180" s="384" t="b">
        <f t="shared" ca="1" si="17"/>
        <v>0</v>
      </c>
      <c r="B180" s="394"/>
      <c r="C180" s="393" t="str">
        <f t="shared" ca="1" si="18"/>
        <v>a1HDm000000bvjqMAA</v>
      </c>
      <c r="D180" s="384"/>
      <c r="E180" s="384">
        <f t="shared" ca="1" si="25"/>
        <v>5</v>
      </c>
      <c r="F180" s="389">
        <f ca="1">IFERROR(IF(COUNTA($D$41:$D180)=1,"",OFFSET($F178,-COUNTA($D$41:$D180)+3,0)),"")</f>
        <v>8</v>
      </c>
      <c r="G180" s="384"/>
      <c r="H180" s="384">
        <f t="shared" ca="1" si="26"/>
        <v>23</v>
      </c>
      <c r="I180" s="395" t="str">
        <f t="shared" ca="1" si="19"/>
        <v/>
      </c>
      <c r="J180" s="395" t="str">
        <f t="shared" ca="1" si="20"/>
        <v/>
      </c>
      <c r="K180" s="386" t="str">
        <f t="shared" ca="1" si="21"/>
        <v/>
      </c>
      <c r="L180" s="388" t="str">
        <f ca="1">IFERROR(CHOOSE(E180,'Impact Indicators - Section B '!$K$7,'Impact Indicators - Section B '!$O$7,'Impact Indicators - Section B '!$S$7,'Impact Indicators - Section B '!$W$7,'Impact Indicators - Section B '!#REF!),"")</f>
        <v/>
      </c>
      <c r="M180" s="396" t="str">
        <f t="shared" ca="1" si="22"/>
        <v/>
      </c>
      <c r="N180" s="388" t="str">
        <f t="shared" ca="1" si="23"/>
        <v/>
      </c>
      <c r="O180" s="384" t="str">
        <f ca="1">IFERROR(IF(COUNTA($D$41:$D180)=1,"",OFFSET($C178,-COUNTA($D$41:$D180)+3,0)),"")</f>
        <v>a1HDm000000bvjqMAA</v>
      </c>
      <c r="P180" s="384">
        <f t="shared" si="27"/>
        <v>0</v>
      </c>
      <c r="Q180" s="384"/>
      <c r="R180" s="384"/>
      <c r="S180" s="384"/>
      <c r="T180" s="384" t="b">
        <f t="shared" ca="1" si="24"/>
        <v>0</v>
      </c>
    </row>
    <row r="181" spans="1:20" x14ac:dyDescent="0.3">
      <c r="A181" s="384" t="b">
        <f t="shared" ca="1" si="17"/>
        <v>0</v>
      </c>
      <c r="B181" s="394"/>
      <c r="C181" s="393" t="str">
        <f t="shared" ca="1" si="18"/>
        <v>a1HDm000000bvk5MAA</v>
      </c>
      <c r="D181" s="384"/>
      <c r="E181" s="384">
        <f t="shared" ca="1" si="25"/>
        <v>6</v>
      </c>
      <c r="F181" s="389">
        <f ca="1">IFERROR(IF(COUNTA($D$41:$D181)=1,"",OFFSET($F179,-COUNTA($D$41:$D181)+3,0)),"")</f>
        <v>8</v>
      </c>
      <c r="G181" s="384"/>
      <c r="H181" s="384">
        <f t="shared" ca="1" si="26"/>
        <v>23</v>
      </c>
      <c r="I181" s="395" t="str">
        <f t="shared" ca="1" si="19"/>
        <v/>
      </c>
      <c r="J181" s="395" t="str">
        <f t="shared" ca="1" si="20"/>
        <v/>
      </c>
      <c r="K181" s="386" t="str">
        <f t="shared" ca="1" si="21"/>
        <v/>
      </c>
      <c r="L181" s="388" t="str">
        <f ca="1">IFERROR(CHOOSE(E181,'Impact Indicators - Section B '!$K$7,'Impact Indicators - Section B '!$O$7,'Impact Indicators - Section B '!$S$7,'Impact Indicators - Section B '!$W$7,'Impact Indicators - Section B '!#REF!),"")</f>
        <v/>
      </c>
      <c r="M181" s="396" t="str">
        <f t="shared" ca="1" si="22"/>
        <v/>
      </c>
      <c r="N181" s="388" t="str">
        <f t="shared" ca="1" si="23"/>
        <v/>
      </c>
      <c r="O181" s="384" t="str">
        <f ca="1">IFERROR(IF(COUNTA($D$41:$D181)=1,"",OFFSET($C179,-COUNTA($D$41:$D181)+3,0)),"")</f>
        <v>a1HDm000000bvk5MAA</v>
      </c>
      <c r="P181" s="384">
        <f t="shared" si="27"/>
        <v>0</v>
      </c>
      <c r="Q181" s="384"/>
      <c r="R181" s="384"/>
      <c r="S181" s="384"/>
      <c r="T181" s="384" t="b">
        <f t="shared" ca="1" si="24"/>
        <v>0</v>
      </c>
    </row>
    <row r="182" spans="1:20" x14ac:dyDescent="0.3">
      <c r="A182" s="384" t="b">
        <f t="shared" ca="1" si="17"/>
        <v>0</v>
      </c>
      <c r="B182" s="394"/>
      <c r="C182" s="393" t="str">
        <f t="shared" ca="1" si="18"/>
        <v>a1HDm000000bvitMAA</v>
      </c>
      <c r="D182" s="384"/>
      <c r="E182" s="384">
        <f t="shared" ca="1" si="25"/>
        <v>1</v>
      </c>
      <c r="F182" s="389">
        <f ca="1">IFERROR(IF(COUNTA($D$41:$D182)=1,"",OFFSET($F180,-COUNTA($D$41:$D182)+3,0)),"")</f>
        <v>9</v>
      </c>
      <c r="G182" s="384"/>
      <c r="H182" s="384">
        <f t="shared" ca="1" si="26"/>
        <v>25</v>
      </c>
      <c r="I182" s="395" t="str">
        <f t="shared" ca="1" si="19"/>
        <v/>
      </c>
      <c r="J182" s="395" t="str">
        <f t="shared" ca="1" si="20"/>
        <v/>
      </c>
      <c r="K182" s="386" t="str">
        <f t="shared" ca="1" si="21"/>
        <v/>
      </c>
      <c r="L182" s="388">
        <f ca="1">IFERROR(CHOOSE(E182,'Impact Indicators - Section B '!$K$7,'Impact Indicators - Section B '!$O$7,'Impact Indicators - Section B '!$S$7,'Impact Indicators - Section B '!$W$7,'Impact Indicators - Section B '!#REF!),"")</f>
        <v>2024</v>
      </c>
      <c r="M182" s="396" t="str">
        <f t="shared" ca="1" si="22"/>
        <v/>
      </c>
      <c r="N182" s="388" t="str">
        <f t="shared" ca="1" si="23"/>
        <v/>
      </c>
      <c r="O182" s="384" t="str">
        <f ca="1">IFERROR(IF(COUNTA($D$41:$D182)=1,"",OFFSET($C180,-COUNTA($D$41:$D182)+3,0)),"")</f>
        <v>a1HDm000000bvitMAA</v>
      </c>
      <c r="P182" s="384">
        <f t="shared" si="27"/>
        <v>0</v>
      </c>
      <c r="Q182" s="384"/>
      <c r="R182" s="384"/>
      <c r="S182" s="384"/>
      <c r="T182" s="384" t="b">
        <f t="shared" ca="1" si="24"/>
        <v>0</v>
      </c>
    </row>
    <row r="183" spans="1:20" x14ac:dyDescent="0.3">
      <c r="A183" s="384" t="b">
        <f t="shared" ca="1" si="17"/>
        <v>0</v>
      </c>
      <c r="B183" s="394"/>
      <c r="C183" s="393" t="str">
        <f t="shared" ca="1" si="18"/>
        <v>a1HDm000000bvj8MAA</v>
      </c>
      <c r="D183" s="384"/>
      <c r="E183" s="384">
        <f t="shared" ca="1" si="25"/>
        <v>2</v>
      </c>
      <c r="F183" s="389">
        <f ca="1">IFERROR(IF(COUNTA($D$41:$D183)=1,"",OFFSET($F181,-COUNTA($D$41:$D183)+3,0)),"")</f>
        <v>9</v>
      </c>
      <c r="G183" s="384"/>
      <c r="H183" s="384">
        <f t="shared" ca="1" si="26"/>
        <v>25</v>
      </c>
      <c r="I183" s="395" t="str">
        <f t="shared" ca="1" si="19"/>
        <v/>
      </c>
      <c r="J183" s="395" t="str">
        <f t="shared" ca="1" si="20"/>
        <v/>
      </c>
      <c r="K183" s="386" t="str">
        <f t="shared" ca="1" si="21"/>
        <v/>
      </c>
      <c r="L183" s="388">
        <f ca="1">IFERROR(CHOOSE(E183,'Impact Indicators - Section B '!$K$7,'Impact Indicators - Section B '!$O$7,'Impact Indicators - Section B '!$S$7,'Impact Indicators - Section B '!$W$7,'Impact Indicators - Section B '!#REF!),"")</f>
        <v>2025</v>
      </c>
      <c r="M183" s="396" t="str">
        <f t="shared" ca="1" si="22"/>
        <v/>
      </c>
      <c r="N183" s="388" t="str">
        <f t="shared" ca="1" si="23"/>
        <v/>
      </c>
      <c r="O183" s="384" t="str">
        <f ca="1">IFERROR(IF(COUNTA($D$41:$D183)=1,"",OFFSET($C181,-COUNTA($D$41:$D183)+3,0)),"")</f>
        <v>a1HDm000000bvj8MAA</v>
      </c>
      <c r="P183" s="384">
        <f t="shared" si="27"/>
        <v>0</v>
      </c>
      <c r="Q183" s="384"/>
      <c r="R183" s="384"/>
      <c r="S183" s="384"/>
      <c r="T183" s="384" t="b">
        <f t="shared" ca="1" si="24"/>
        <v>0</v>
      </c>
    </row>
    <row r="184" spans="1:20" x14ac:dyDescent="0.3">
      <c r="A184" s="384" t="b">
        <f t="shared" ca="1" si="17"/>
        <v>0</v>
      </c>
      <c r="B184" s="394"/>
      <c r="C184" s="393" t="str">
        <f t="shared" ca="1" si="18"/>
        <v>a1HDm000000bvjNMAQ</v>
      </c>
      <c r="D184" s="384"/>
      <c r="E184" s="384">
        <f t="shared" ca="1" si="25"/>
        <v>3</v>
      </c>
      <c r="F184" s="389">
        <f ca="1">IFERROR(IF(COUNTA($D$41:$D184)=1,"",OFFSET($F182,-COUNTA($D$41:$D184)+3,0)),"")</f>
        <v>9</v>
      </c>
      <c r="G184" s="384"/>
      <c r="H184" s="384">
        <f t="shared" ca="1" si="26"/>
        <v>25</v>
      </c>
      <c r="I184" s="395" t="str">
        <f t="shared" ca="1" si="19"/>
        <v/>
      </c>
      <c r="J184" s="395" t="str">
        <f t="shared" ca="1" si="20"/>
        <v/>
      </c>
      <c r="K184" s="386" t="str">
        <f t="shared" ca="1" si="21"/>
        <v/>
      </c>
      <c r="L184" s="388">
        <f ca="1">IFERROR(CHOOSE(E184,'Impact Indicators - Section B '!$K$7,'Impact Indicators - Section B '!$O$7,'Impact Indicators - Section B '!$S$7,'Impact Indicators - Section B '!$W$7,'Impact Indicators - Section B '!#REF!),"")</f>
        <v>2026</v>
      </c>
      <c r="M184" s="396" t="str">
        <f t="shared" ca="1" si="22"/>
        <v/>
      </c>
      <c r="N184" s="388" t="str">
        <f t="shared" ca="1" si="23"/>
        <v/>
      </c>
      <c r="O184" s="384" t="str">
        <f ca="1">IFERROR(IF(COUNTA($D$41:$D184)=1,"",OFFSET($C182,-COUNTA($D$41:$D184)+3,0)),"")</f>
        <v>a1HDm000000bvjNMAQ</v>
      </c>
      <c r="P184" s="384">
        <f t="shared" si="27"/>
        <v>0</v>
      </c>
      <c r="Q184" s="384"/>
      <c r="R184" s="384"/>
      <c r="S184" s="384"/>
      <c r="T184" s="384" t="b">
        <f t="shared" ca="1" si="24"/>
        <v>0</v>
      </c>
    </row>
    <row r="185" spans="1:20" x14ac:dyDescent="0.3">
      <c r="A185" s="384" t="b">
        <f t="shared" ca="1" si="17"/>
        <v>0</v>
      </c>
      <c r="B185" s="394"/>
      <c r="C185" s="393" t="str">
        <f t="shared" ca="1" si="18"/>
        <v>a1HDm000000bvjcMAA</v>
      </c>
      <c r="D185" s="384"/>
      <c r="E185" s="384">
        <f t="shared" ca="1" si="25"/>
        <v>4</v>
      </c>
      <c r="F185" s="389">
        <f ca="1">IFERROR(IF(COUNTA($D$41:$D185)=1,"",OFFSET($F183,-COUNTA($D$41:$D185)+3,0)),"")</f>
        <v>9</v>
      </c>
      <c r="G185" s="384"/>
      <c r="H185" s="384">
        <f t="shared" ca="1" si="26"/>
        <v>25</v>
      </c>
      <c r="I185" s="395" t="str">
        <f t="shared" ca="1" si="19"/>
        <v/>
      </c>
      <c r="J185" s="395" t="str">
        <f t="shared" ca="1" si="20"/>
        <v/>
      </c>
      <c r="K185" s="386" t="str">
        <f t="shared" ca="1" si="21"/>
        <v/>
      </c>
      <c r="L185" s="388" t="str">
        <f ca="1">IFERROR(CHOOSE(E185,'Impact Indicators - Section B '!$K$7,'Impact Indicators - Section B '!$O$7,'Impact Indicators - Section B '!$S$7,'Impact Indicators - Section B '!$W$7,'Impact Indicators - Section B '!#REF!),"")</f>
        <v/>
      </c>
      <c r="M185" s="396" t="str">
        <f t="shared" ca="1" si="22"/>
        <v/>
      </c>
      <c r="N185" s="388" t="str">
        <f t="shared" ca="1" si="23"/>
        <v/>
      </c>
      <c r="O185" s="384" t="str">
        <f ca="1">IFERROR(IF(COUNTA($D$41:$D185)=1,"",OFFSET($C183,-COUNTA($D$41:$D185)+3,0)),"")</f>
        <v>a1HDm000000bvjcMAA</v>
      </c>
      <c r="P185" s="384">
        <f t="shared" si="27"/>
        <v>0</v>
      </c>
      <c r="Q185" s="384"/>
      <c r="R185" s="384"/>
      <c r="S185" s="384"/>
      <c r="T185" s="384" t="b">
        <f t="shared" ca="1" si="24"/>
        <v>0</v>
      </c>
    </row>
    <row r="186" spans="1:20" x14ac:dyDescent="0.3">
      <c r="A186" s="384" t="b">
        <f t="shared" ca="1" si="17"/>
        <v>0</v>
      </c>
      <c r="B186" s="394"/>
      <c r="C186" s="393" t="str">
        <f t="shared" ca="1" si="18"/>
        <v>a1HDm000000bvjrMAA</v>
      </c>
      <c r="D186" s="384"/>
      <c r="E186" s="384">
        <f t="shared" ca="1" si="25"/>
        <v>5</v>
      </c>
      <c r="F186" s="389">
        <f ca="1">IFERROR(IF(COUNTA($D$41:$D186)=1,"",OFFSET($F184,-COUNTA($D$41:$D186)+3,0)),"")</f>
        <v>9</v>
      </c>
      <c r="G186" s="384"/>
      <c r="H186" s="384">
        <f t="shared" ca="1" si="26"/>
        <v>25</v>
      </c>
      <c r="I186" s="395" t="str">
        <f t="shared" ca="1" si="19"/>
        <v/>
      </c>
      <c r="J186" s="395" t="str">
        <f t="shared" ca="1" si="20"/>
        <v/>
      </c>
      <c r="K186" s="386" t="str">
        <f t="shared" ca="1" si="21"/>
        <v/>
      </c>
      <c r="L186" s="388" t="str">
        <f ca="1">IFERROR(CHOOSE(E186,'Impact Indicators - Section B '!$K$7,'Impact Indicators - Section B '!$O$7,'Impact Indicators - Section B '!$S$7,'Impact Indicators - Section B '!$W$7,'Impact Indicators - Section B '!#REF!),"")</f>
        <v/>
      </c>
      <c r="M186" s="396" t="str">
        <f t="shared" ca="1" si="22"/>
        <v/>
      </c>
      <c r="N186" s="388" t="str">
        <f t="shared" ca="1" si="23"/>
        <v/>
      </c>
      <c r="O186" s="384" t="str">
        <f ca="1">IFERROR(IF(COUNTA($D$41:$D186)=1,"",OFFSET($C184,-COUNTA($D$41:$D186)+3,0)),"")</f>
        <v>a1HDm000000bvjrMAA</v>
      </c>
      <c r="P186" s="384">
        <f t="shared" si="27"/>
        <v>0</v>
      </c>
      <c r="Q186" s="384"/>
      <c r="R186" s="384"/>
      <c r="S186" s="384"/>
      <c r="T186" s="384" t="b">
        <f t="shared" ca="1" si="24"/>
        <v>0</v>
      </c>
    </row>
    <row r="187" spans="1:20" x14ac:dyDescent="0.3">
      <c r="A187" s="384" t="b">
        <f t="shared" ca="1" si="17"/>
        <v>0</v>
      </c>
      <c r="B187" s="394"/>
      <c r="C187" s="393" t="str">
        <f t="shared" ca="1" si="18"/>
        <v>a1HDm000000bvk6MAA</v>
      </c>
      <c r="D187" s="384"/>
      <c r="E187" s="384">
        <f t="shared" ca="1" si="25"/>
        <v>6</v>
      </c>
      <c r="F187" s="389">
        <f ca="1">IFERROR(IF(COUNTA($D$41:$D187)=1,"",OFFSET($F185,-COUNTA($D$41:$D187)+3,0)),"")</f>
        <v>9</v>
      </c>
      <c r="G187" s="384"/>
      <c r="H187" s="384">
        <f t="shared" ca="1" si="26"/>
        <v>25</v>
      </c>
      <c r="I187" s="395" t="str">
        <f t="shared" ca="1" si="19"/>
        <v/>
      </c>
      <c r="J187" s="395" t="str">
        <f t="shared" ca="1" si="20"/>
        <v/>
      </c>
      <c r="K187" s="386" t="str">
        <f t="shared" ca="1" si="21"/>
        <v/>
      </c>
      <c r="L187" s="388" t="str">
        <f ca="1">IFERROR(CHOOSE(E187,'Impact Indicators - Section B '!$K$7,'Impact Indicators - Section B '!$O$7,'Impact Indicators - Section B '!$S$7,'Impact Indicators - Section B '!$W$7,'Impact Indicators - Section B '!#REF!),"")</f>
        <v/>
      </c>
      <c r="M187" s="396" t="str">
        <f t="shared" ca="1" si="22"/>
        <v/>
      </c>
      <c r="N187" s="388" t="str">
        <f t="shared" ca="1" si="23"/>
        <v/>
      </c>
      <c r="O187" s="384" t="str">
        <f ca="1">IFERROR(IF(COUNTA($D$41:$D187)=1,"",OFFSET($C185,-COUNTA($D$41:$D187)+3,0)),"")</f>
        <v>a1HDm000000bvk6MAA</v>
      </c>
      <c r="P187" s="384">
        <f t="shared" si="27"/>
        <v>0</v>
      </c>
      <c r="Q187" s="384"/>
      <c r="R187" s="384"/>
      <c r="S187" s="384"/>
      <c r="T187" s="384" t="b">
        <f t="shared" ca="1" si="24"/>
        <v>0</v>
      </c>
    </row>
    <row r="188" spans="1:20" x14ac:dyDescent="0.3">
      <c r="A188" s="384" t="b">
        <f t="shared" ca="1" si="17"/>
        <v>0</v>
      </c>
      <c r="B188" s="394"/>
      <c r="C188" s="393" t="str">
        <f t="shared" ca="1" si="18"/>
        <v>a1HDm000000bviuMAA</v>
      </c>
      <c r="D188" s="384"/>
      <c r="E188" s="384">
        <f t="shared" ca="1" si="25"/>
        <v>1</v>
      </c>
      <c r="F188" s="389">
        <f ca="1">IFERROR(IF(COUNTA($D$41:$D188)=1,"",OFFSET($F186,-COUNTA($D$41:$D188)+3,0)),"")</f>
        <v>10</v>
      </c>
      <c r="G188" s="384"/>
      <c r="H188" s="384">
        <f t="shared" ca="1" si="26"/>
        <v>27</v>
      </c>
      <c r="I188" s="395" t="str">
        <f t="shared" ca="1" si="19"/>
        <v/>
      </c>
      <c r="J188" s="395" t="str">
        <f t="shared" ca="1" si="20"/>
        <v/>
      </c>
      <c r="K188" s="386" t="str">
        <f t="shared" ca="1" si="21"/>
        <v/>
      </c>
      <c r="L188" s="388">
        <f ca="1">IFERROR(CHOOSE(E188,'Impact Indicators - Section B '!$K$7,'Impact Indicators - Section B '!$O$7,'Impact Indicators - Section B '!$S$7,'Impact Indicators - Section B '!$W$7,'Impact Indicators - Section B '!#REF!),"")</f>
        <v>2024</v>
      </c>
      <c r="M188" s="396" t="str">
        <f t="shared" ca="1" si="22"/>
        <v/>
      </c>
      <c r="N188" s="388" t="str">
        <f t="shared" ca="1" si="23"/>
        <v/>
      </c>
      <c r="O188" s="384" t="str">
        <f ca="1">IFERROR(IF(COUNTA($D$41:$D188)=1,"",OFFSET($C186,-COUNTA($D$41:$D188)+3,0)),"")</f>
        <v>a1HDm000000bviuMAA</v>
      </c>
      <c r="P188" s="384">
        <f t="shared" si="27"/>
        <v>0</v>
      </c>
      <c r="Q188" s="384"/>
      <c r="R188" s="384"/>
      <c r="S188" s="384"/>
      <c r="T188" s="384" t="b">
        <f t="shared" ca="1" si="24"/>
        <v>0</v>
      </c>
    </row>
    <row r="189" spans="1:20" x14ac:dyDescent="0.3">
      <c r="A189" s="384" t="b">
        <f t="shared" ca="1" si="17"/>
        <v>0</v>
      </c>
      <c r="B189" s="394"/>
      <c r="C189" s="393" t="str">
        <f t="shared" ca="1" si="18"/>
        <v>a1HDm000000bvj9MAA</v>
      </c>
      <c r="D189" s="384"/>
      <c r="E189" s="384">
        <f t="shared" ca="1" si="25"/>
        <v>2</v>
      </c>
      <c r="F189" s="389">
        <f ca="1">IFERROR(IF(COUNTA($D$41:$D189)=1,"",OFFSET($F187,-COUNTA($D$41:$D189)+3,0)),"")</f>
        <v>10</v>
      </c>
      <c r="G189" s="384"/>
      <c r="H189" s="384">
        <f t="shared" ca="1" si="26"/>
        <v>27</v>
      </c>
      <c r="I189" s="395" t="str">
        <f t="shared" ca="1" si="19"/>
        <v/>
      </c>
      <c r="J189" s="395" t="str">
        <f t="shared" ca="1" si="20"/>
        <v/>
      </c>
      <c r="K189" s="386" t="str">
        <f t="shared" ca="1" si="21"/>
        <v/>
      </c>
      <c r="L189" s="388">
        <f ca="1">IFERROR(CHOOSE(E189,'Impact Indicators - Section B '!$K$7,'Impact Indicators - Section B '!$O$7,'Impact Indicators - Section B '!$S$7,'Impact Indicators - Section B '!$W$7,'Impact Indicators - Section B '!#REF!),"")</f>
        <v>2025</v>
      </c>
      <c r="M189" s="396" t="str">
        <f t="shared" ca="1" si="22"/>
        <v/>
      </c>
      <c r="N189" s="388" t="str">
        <f t="shared" ca="1" si="23"/>
        <v/>
      </c>
      <c r="O189" s="384" t="str">
        <f ca="1">IFERROR(IF(COUNTA($D$41:$D189)=1,"",OFFSET($C187,-COUNTA($D$41:$D189)+3,0)),"")</f>
        <v>a1HDm000000bvj9MAA</v>
      </c>
      <c r="P189" s="384">
        <f t="shared" si="27"/>
        <v>0</v>
      </c>
      <c r="Q189" s="384"/>
      <c r="R189" s="384"/>
      <c r="S189" s="384"/>
      <c r="T189" s="384" t="b">
        <f t="shared" ca="1" si="24"/>
        <v>0</v>
      </c>
    </row>
    <row r="190" spans="1:20" x14ac:dyDescent="0.3">
      <c r="A190" s="384" t="b">
        <f t="shared" ca="1" si="17"/>
        <v>0</v>
      </c>
      <c r="B190" s="394"/>
      <c r="C190" s="393" t="str">
        <f t="shared" ca="1" si="18"/>
        <v>a1HDm000000bvjOMAQ</v>
      </c>
      <c r="D190" s="384"/>
      <c r="E190" s="384">
        <f t="shared" ca="1" si="25"/>
        <v>3</v>
      </c>
      <c r="F190" s="389">
        <f ca="1">IFERROR(IF(COUNTA($D$41:$D190)=1,"",OFFSET($F188,-COUNTA($D$41:$D190)+3,0)),"")</f>
        <v>10</v>
      </c>
      <c r="G190" s="384"/>
      <c r="H190" s="384">
        <f t="shared" ca="1" si="26"/>
        <v>27</v>
      </c>
      <c r="I190" s="395" t="str">
        <f t="shared" ca="1" si="19"/>
        <v/>
      </c>
      <c r="J190" s="395" t="str">
        <f t="shared" ca="1" si="20"/>
        <v/>
      </c>
      <c r="K190" s="386" t="str">
        <f t="shared" ca="1" si="21"/>
        <v/>
      </c>
      <c r="L190" s="388">
        <f ca="1">IFERROR(CHOOSE(E190,'Impact Indicators - Section B '!$K$7,'Impact Indicators - Section B '!$O$7,'Impact Indicators - Section B '!$S$7,'Impact Indicators - Section B '!$W$7,'Impact Indicators - Section B '!#REF!),"")</f>
        <v>2026</v>
      </c>
      <c r="M190" s="396" t="str">
        <f t="shared" ca="1" si="22"/>
        <v/>
      </c>
      <c r="N190" s="388" t="str">
        <f t="shared" ca="1" si="23"/>
        <v/>
      </c>
      <c r="O190" s="384" t="str">
        <f ca="1">IFERROR(IF(COUNTA($D$41:$D190)=1,"",OFFSET($C188,-COUNTA($D$41:$D190)+3,0)),"")</f>
        <v>a1HDm000000bvjOMAQ</v>
      </c>
      <c r="P190" s="384">
        <f t="shared" si="27"/>
        <v>0</v>
      </c>
      <c r="Q190" s="384"/>
      <c r="R190" s="384"/>
      <c r="S190" s="384"/>
      <c r="T190" s="384" t="b">
        <f t="shared" ca="1" si="24"/>
        <v>0</v>
      </c>
    </row>
    <row r="191" spans="1:20" x14ac:dyDescent="0.3">
      <c r="A191" s="384" t="b">
        <f t="shared" ca="1" si="17"/>
        <v>0</v>
      </c>
      <c r="B191" s="394"/>
      <c r="C191" s="393" t="str">
        <f t="shared" ca="1" si="18"/>
        <v>a1HDm000000bvjdMAA</v>
      </c>
      <c r="D191" s="384"/>
      <c r="E191" s="384">
        <f t="shared" ca="1" si="25"/>
        <v>4</v>
      </c>
      <c r="F191" s="389">
        <f ca="1">IFERROR(IF(COUNTA($D$41:$D191)=1,"",OFFSET($F189,-COUNTA($D$41:$D191)+3,0)),"")</f>
        <v>10</v>
      </c>
      <c r="G191" s="384"/>
      <c r="H191" s="384">
        <f t="shared" ca="1" si="26"/>
        <v>27</v>
      </c>
      <c r="I191" s="395" t="str">
        <f t="shared" ca="1" si="19"/>
        <v/>
      </c>
      <c r="J191" s="395" t="str">
        <f t="shared" ca="1" si="20"/>
        <v/>
      </c>
      <c r="K191" s="386" t="str">
        <f t="shared" ca="1" si="21"/>
        <v/>
      </c>
      <c r="L191" s="388" t="str">
        <f ca="1">IFERROR(CHOOSE(E191,'Impact Indicators - Section B '!$K$7,'Impact Indicators - Section B '!$O$7,'Impact Indicators - Section B '!$S$7,'Impact Indicators - Section B '!$W$7,'Impact Indicators - Section B '!#REF!),"")</f>
        <v/>
      </c>
      <c r="M191" s="396" t="str">
        <f t="shared" ca="1" si="22"/>
        <v/>
      </c>
      <c r="N191" s="388" t="str">
        <f t="shared" ca="1" si="23"/>
        <v/>
      </c>
      <c r="O191" s="384" t="str">
        <f ca="1">IFERROR(IF(COUNTA($D$41:$D191)=1,"",OFFSET($C189,-COUNTA($D$41:$D191)+3,0)),"")</f>
        <v>a1HDm000000bvjdMAA</v>
      </c>
      <c r="P191" s="384">
        <f t="shared" si="27"/>
        <v>0</v>
      </c>
      <c r="Q191" s="384"/>
      <c r="R191" s="384"/>
      <c r="S191" s="384"/>
      <c r="T191" s="384" t="b">
        <f t="shared" ca="1" si="24"/>
        <v>0</v>
      </c>
    </row>
    <row r="192" spans="1:20" x14ac:dyDescent="0.3">
      <c r="A192" s="384" t="b">
        <f t="shared" ca="1" si="17"/>
        <v>0</v>
      </c>
      <c r="B192" s="394"/>
      <c r="C192" s="393" t="str">
        <f t="shared" ca="1" si="18"/>
        <v>a1HDm000000bvjsMAA</v>
      </c>
      <c r="D192" s="384"/>
      <c r="E192" s="384">
        <f t="shared" ca="1" si="25"/>
        <v>5</v>
      </c>
      <c r="F192" s="389">
        <f ca="1">IFERROR(IF(COUNTA($D$41:$D192)=1,"",OFFSET($F190,-COUNTA($D$41:$D192)+3,0)),"")</f>
        <v>10</v>
      </c>
      <c r="G192" s="384"/>
      <c r="H192" s="384">
        <f t="shared" ca="1" si="26"/>
        <v>27</v>
      </c>
      <c r="I192" s="395" t="str">
        <f t="shared" ca="1" si="19"/>
        <v/>
      </c>
      <c r="J192" s="395" t="str">
        <f t="shared" ca="1" si="20"/>
        <v/>
      </c>
      <c r="K192" s="386" t="str">
        <f t="shared" ca="1" si="21"/>
        <v/>
      </c>
      <c r="L192" s="388" t="str">
        <f ca="1">IFERROR(CHOOSE(E192,'Impact Indicators - Section B '!$K$7,'Impact Indicators - Section B '!$O$7,'Impact Indicators - Section B '!$S$7,'Impact Indicators - Section B '!$W$7,'Impact Indicators - Section B '!#REF!),"")</f>
        <v/>
      </c>
      <c r="M192" s="396" t="str">
        <f t="shared" ca="1" si="22"/>
        <v/>
      </c>
      <c r="N192" s="388" t="str">
        <f t="shared" ca="1" si="23"/>
        <v/>
      </c>
      <c r="O192" s="384" t="str">
        <f ca="1">IFERROR(IF(COUNTA($D$41:$D192)=1,"",OFFSET($C190,-COUNTA($D$41:$D192)+3,0)),"")</f>
        <v>a1HDm000000bvjsMAA</v>
      </c>
      <c r="P192" s="384">
        <f t="shared" si="27"/>
        <v>0</v>
      </c>
      <c r="Q192" s="384"/>
      <c r="R192" s="384"/>
      <c r="S192" s="384"/>
      <c r="T192" s="384" t="b">
        <f t="shared" ca="1" si="24"/>
        <v>0</v>
      </c>
    </row>
    <row r="193" spans="1:20" x14ac:dyDescent="0.3">
      <c r="A193" s="384" t="b">
        <f t="shared" ca="1" si="17"/>
        <v>0</v>
      </c>
      <c r="B193" s="394"/>
      <c r="C193" s="393" t="str">
        <f t="shared" ca="1" si="18"/>
        <v>a1HDm000000bvk7MAA</v>
      </c>
      <c r="D193" s="384"/>
      <c r="E193" s="384">
        <f t="shared" ca="1" si="25"/>
        <v>6</v>
      </c>
      <c r="F193" s="389">
        <f ca="1">IFERROR(IF(COUNTA($D$41:$D193)=1,"",OFFSET($F191,-COUNTA($D$41:$D193)+3,0)),"")</f>
        <v>10</v>
      </c>
      <c r="G193" s="384"/>
      <c r="H193" s="384">
        <f t="shared" ca="1" si="26"/>
        <v>27</v>
      </c>
      <c r="I193" s="395" t="str">
        <f t="shared" ca="1" si="19"/>
        <v/>
      </c>
      <c r="J193" s="395" t="str">
        <f t="shared" ca="1" si="20"/>
        <v/>
      </c>
      <c r="K193" s="386" t="str">
        <f t="shared" ca="1" si="21"/>
        <v/>
      </c>
      <c r="L193" s="388" t="str">
        <f ca="1">IFERROR(CHOOSE(E193,'Impact Indicators - Section B '!$K$7,'Impact Indicators - Section B '!$O$7,'Impact Indicators - Section B '!$S$7,'Impact Indicators - Section B '!$W$7,'Impact Indicators - Section B '!#REF!),"")</f>
        <v/>
      </c>
      <c r="M193" s="396" t="str">
        <f t="shared" ca="1" si="22"/>
        <v/>
      </c>
      <c r="N193" s="388" t="str">
        <f t="shared" ca="1" si="23"/>
        <v/>
      </c>
      <c r="O193" s="384" t="str">
        <f ca="1">IFERROR(IF(COUNTA($D$41:$D193)=1,"",OFFSET($C191,-COUNTA($D$41:$D193)+3,0)),"")</f>
        <v>a1HDm000000bvk7MAA</v>
      </c>
      <c r="P193" s="384">
        <f t="shared" si="27"/>
        <v>0</v>
      </c>
      <c r="Q193" s="384"/>
      <c r="R193" s="384"/>
      <c r="S193" s="384"/>
      <c r="T193" s="384" t="b">
        <f t="shared" ca="1" si="24"/>
        <v>0</v>
      </c>
    </row>
    <row r="194" spans="1:20" x14ac:dyDescent="0.3">
      <c r="A194" s="384" t="b">
        <f t="shared" ca="1" si="17"/>
        <v>0</v>
      </c>
      <c r="B194" s="394"/>
      <c r="C194" s="393" t="str">
        <f t="shared" ca="1" si="18"/>
        <v>a1HDm000000bvivMAA</v>
      </c>
      <c r="D194" s="384"/>
      <c r="E194" s="384">
        <f t="shared" ca="1" si="25"/>
        <v>1</v>
      </c>
      <c r="F194" s="389">
        <f ca="1">IFERROR(IF(COUNTA($D$41:$D194)=1,"",OFFSET($F192,-COUNTA($D$41:$D194)+3,0)),"")</f>
        <v>11</v>
      </c>
      <c r="G194" s="384"/>
      <c r="H194" s="384">
        <f t="shared" ca="1" si="26"/>
        <v>29</v>
      </c>
      <c r="I194" s="395" t="str">
        <f t="shared" ca="1" si="19"/>
        <v/>
      </c>
      <c r="J194" s="395" t="str">
        <f t="shared" ca="1" si="20"/>
        <v/>
      </c>
      <c r="K194" s="386" t="str">
        <f t="shared" ca="1" si="21"/>
        <v/>
      </c>
      <c r="L194" s="388">
        <f ca="1">IFERROR(CHOOSE(E194,'Impact Indicators - Section B '!$K$7,'Impact Indicators - Section B '!$O$7,'Impact Indicators - Section B '!$S$7,'Impact Indicators - Section B '!$W$7,'Impact Indicators - Section B '!#REF!),"")</f>
        <v>2024</v>
      </c>
      <c r="M194" s="396" t="str">
        <f t="shared" ca="1" si="22"/>
        <v/>
      </c>
      <c r="N194" s="388" t="str">
        <f t="shared" ca="1" si="23"/>
        <v/>
      </c>
      <c r="O194" s="384" t="str">
        <f ca="1">IFERROR(IF(COUNTA($D$41:$D194)=1,"",OFFSET($C192,-COUNTA($D$41:$D194)+3,0)),"")</f>
        <v>a1HDm000000bvivMAA</v>
      </c>
      <c r="P194" s="384">
        <f t="shared" si="27"/>
        <v>0</v>
      </c>
      <c r="Q194" s="384"/>
      <c r="R194" s="384"/>
      <c r="S194" s="384"/>
      <c r="T194" s="384" t="b">
        <f t="shared" ca="1" si="24"/>
        <v>0</v>
      </c>
    </row>
    <row r="195" spans="1:20" x14ac:dyDescent="0.3">
      <c r="A195" s="384" t="b">
        <f t="shared" ca="1" si="17"/>
        <v>0</v>
      </c>
      <c r="B195" s="394"/>
      <c r="C195" s="393" t="str">
        <f t="shared" ca="1" si="18"/>
        <v>a1HDm000000bvjAMAQ</v>
      </c>
      <c r="D195" s="384"/>
      <c r="E195" s="384">
        <f t="shared" ca="1" si="25"/>
        <v>2</v>
      </c>
      <c r="F195" s="389">
        <f ca="1">IFERROR(IF(COUNTA($D$41:$D195)=1,"",OFFSET($F193,-COUNTA($D$41:$D195)+3,0)),"")</f>
        <v>11</v>
      </c>
      <c r="G195" s="384"/>
      <c r="H195" s="384">
        <f t="shared" ca="1" si="26"/>
        <v>29</v>
      </c>
      <c r="I195" s="395" t="str">
        <f t="shared" ca="1" si="19"/>
        <v/>
      </c>
      <c r="J195" s="395" t="str">
        <f t="shared" ca="1" si="20"/>
        <v/>
      </c>
      <c r="K195" s="386" t="str">
        <f t="shared" ca="1" si="21"/>
        <v/>
      </c>
      <c r="L195" s="388">
        <f ca="1">IFERROR(CHOOSE(E195,'Impact Indicators - Section B '!$K$7,'Impact Indicators - Section B '!$O$7,'Impact Indicators - Section B '!$S$7,'Impact Indicators - Section B '!$W$7,'Impact Indicators - Section B '!#REF!),"")</f>
        <v>2025</v>
      </c>
      <c r="M195" s="396" t="str">
        <f t="shared" ca="1" si="22"/>
        <v/>
      </c>
      <c r="N195" s="388" t="str">
        <f t="shared" ca="1" si="23"/>
        <v/>
      </c>
      <c r="O195" s="384" t="str">
        <f ca="1">IFERROR(IF(COUNTA($D$41:$D195)=1,"",OFFSET($C193,-COUNTA($D$41:$D195)+3,0)),"")</f>
        <v>a1HDm000000bvjAMAQ</v>
      </c>
      <c r="P195" s="384">
        <f t="shared" si="27"/>
        <v>0</v>
      </c>
      <c r="Q195" s="384"/>
      <c r="R195" s="384"/>
      <c r="S195" s="384"/>
      <c r="T195" s="384" t="b">
        <f t="shared" ca="1" si="24"/>
        <v>0</v>
      </c>
    </row>
    <row r="196" spans="1:20" x14ac:dyDescent="0.3">
      <c r="A196" s="384" t="b">
        <f t="shared" ca="1" si="17"/>
        <v>0</v>
      </c>
      <c r="B196" s="394"/>
      <c r="C196" s="393" t="str">
        <f t="shared" ca="1" si="18"/>
        <v>a1HDm000000bvjPMAQ</v>
      </c>
      <c r="D196" s="384"/>
      <c r="E196" s="384">
        <f t="shared" ca="1" si="25"/>
        <v>3</v>
      </c>
      <c r="F196" s="389">
        <f ca="1">IFERROR(IF(COUNTA($D$41:$D196)=1,"",OFFSET($F194,-COUNTA($D$41:$D196)+3,0)),"")</f>
        <v>11</v>
      </c>
      <c r="G196" s="384"/>
      <c r="H196" s="384">
        <f t="shared" ca="1" si="26"/>
        <v>29</v>
      </c>
      <c r="I196" s="395" t="str">
        <f t="shared" ca="1" si="19"/>
        <v/>
      </c>
      <c r="J196" s="395" t="str">
        <f t="shared" ca="1" si="20"/>
        <v/>
      </c>
      <c r="K196" s="386" t="str">
        <f t="shared" ca="1" si="21"/>
        <v/>
      </c>
      <c r="L196" s="388">
        <f ca="1">IFERROR(CHOOSE(E196,'Impact Indicators - Section B '!$K$7,'Impact Indicators - Section B '!$O$7,'Impact Indicators - Section B '!$S$7,'Impact Indicators - Section B '!$W$7,'Impact Indicators - Section B '!#REF!),"")</f>
        <v>2026</v>
      </c>
      <c r="M196" s="396" t="str">
        <f t="shared" ca="1" si="22"/>
        <v/>
      </c>
      <c r="N196" s="388" t="str">
        <f t="shared" ca="1" si="23"/>
        <v/>
      </c>
      <c r="O196" s="384" t="str">
        <f ca="1">IFERROR(IF(COUNTA($D$41:$D196)=1,"",OFFSET($C194,-COUNTA($D$41:$D196)+3,0)),"")</f>
        <v>a1HDm000000bvjPMAQ</v>
      </c>
      <c r="P196" s="384">
        <f t="shared" si="27"/>
        <v>0</v>
      </c>
      <c r="Q196" s="384"/>
      <c r="R196" s="384"/>
      <c r="S196" s="384"/>
      <c r="T196" s="384" t="b">
        <f t="shared" ca="1" si="24"/>
        <v>0</v>
      </c>
    </row>
    <row r="197" spans="1:20" x14ac:dyDescent="0.3">
      <c r="A197" s="384" t="b">
        <f t="shared" ca="1" si="17"/>
        <v>0</v>
      </c>
      <c r="B197" s="394"/>
      <c r="C197" s="393" t="str">
        <f t="shared" ca="1" si="18"/>
        <v>a1HDm000000bvjeMAA</v>
      </c>
      <c r="D197" s="384"/>
      <c r="E197" s="384">
        <f t="shared" ca="1" si="25"/>
        <v>4</v>
      </c>
      <c r="F197" s="389">
        <f ca="1">IFERROR(IF(COUNTA($D$41:$D197)=1,"",OFFSET($F195,-COUNTA($D$41:$D197)+3,0)),"")</f>
        <v>11</v>
      </c>
      <c r="G197" s="384"/>
      <c r="H197" s="384">
        <f t="shared" ca="1" si="26"/>
        <v>29</v>
      </c>
      <c r="I197" s="395" t="str">
        <f t="shared" ca="1" si="19"/>
        <v/>
      </c>
      <c r="J197" s="395" t="str">
        <f t="shared" ca="1" si="20"/>
        <v/>
      </c>
      <c r="K197" s="386" t="str">
        <f t="shared" ca="1" si="21"/>
        <v/>
      </c>
      <c r="L197" s="388" t="str">
        <f ca="1">IFERROR(CHOOSE(E197,'Impact Indicators - Section B '!$K$7,'Impact Indicators - Section B '!$O$7,'Impact Indicators - Section B '!$S$7,'Impact Indicators - Section B '!$W$7,'Impact Indicators - Section B '!#REF!),"")</f>
        <v/>
      </c>
      <c r="M197" s="396" t="str">
        <f t="shared" ca="1" si="22"/>
        <v/>
      </c>
      <c r="N197" s="388" t="str">
        <f t="shared" ca="1" si="23"/>
        <v/>
      </c>
      <c r="O197" s="384" t="str">
        <f ca="1">IFERROR(IF(COUNTA($D$41:$D197)=1,"",OFFSET($C195,-COUNTA($D$41:$D197)+3,0)),"")</f>
        <v>a1HDm000000bvjeMAA</v>
      </c>
      <c r="P197" s="384">
        <f t="shared" si="27"/>
        <v>0</v>
      </c>
      <c r="Q197" s="384"/>
      <c r="R197" s="384"/>
      <c r="S197" s="384"/>
      <c r="T197" s="384" t="b">
        <f t="shared" ca="1" si="24"/>
        <v>0</v>
      </c>
    </row>
    <row r="198" spans="1:20" x14ac:dyDescent="0.3">
      <c r="A198" s="384" t="b">
        <f t="shared" ref="A198:A223" ca="1" si="28">IF(OR(I198&lt;&gt;"",J198&lt;&gt;"",K198&lt;&gt;"",M198&lt;&gt;"",N198&lt;&gt;""),TRUE,FALSE)</f>
        <v>0</v>
      </c>
      <c r="B198" s="394"/>
      <c r="C198" s="393" t="str">
        <f t="shared" ref="C198:C223" ca="1" si="29">O198</f>
        <v>a1HDm000000bvjtMAA</v>
      </c>
      <c r="D198" s="384"/>
      <c r="E198" s="384">
        <f t="shared" ca="1" si="25"/>
        <v>5</v>
      </c>
      <c r="F198" s="389">
        <f ca="1">IFERROR(IF(COUNTA($D$41:$D198)=1,"",OFFSET($F196,-COUNTA($D$41:$D198)+3,0)),"")</f>
        <v>11</v>
      </c>
      <c r="G198" s="384"/>
      <c r="H198" s="384">
        <f t="shared" ca="1" si="26"/>
        <v>29</v>
      </c>
      <c r="I198" s="395" t="str">
        <f t="shared" ref="I198:I223" ca="1" si="30">IFERROR(CHOOSE(E198,IFERROR(IF(INDIRECT("'Impact Indicators - Section B '!K"&amp;H198+1)="","",INDIRECT("'Impact Indicators - Section B '!K"&amp;H198+1)),""),IFERROR(IF(INDIRECT("'Impact Indicators - Section B '!O"&amp;H198+1)="","",INDIRECT("'Impact Indicators - Section B '!O"&amp;H198+1)),""),IFERROR(IF(INDIRECT("'Impact Indicators - Section B '!S"&amp;H198+1)="","",INDIRECT("'Impact Indicators - Section B '!S"&amp;H198+1)),""),IFERROR(IF(INDIRECT("'Impact Indicators - Section B '!W"&amp;H198+1)="","",INDIRECT("'Impact Indicators - Section B '!W"&amp;H198+1)),"")),"")</f>
        <v/>
      </c>
      <c r="J198" s="395" t="str">
        <f t="shared" ref="J198:J223" ca="1" si="31">IFERROR(CHOOSE(E198,IFERROR(IF(INDIRECT("'Impact Indicators - Section B '!K"&amp;H198)="","",INDIRECT("'Impact Indicators - Section B '!K"&amp;H198)),""),IFERROR(IF(INDIRECT("'Impact Indicators - Section B '!O"&amp;H198)="","",INDIRECT("'Impact Indicators - Section B '!O"&amp;H198)),""),IFERROR(IF(INDIRECT("'Impact Indicators - Section B '!S"&amp;H198)="","",INDIRECT("'Impact Indicators - Section B '!S"&amp;H198)),""),IFERROR(IF(INDIRECT("'Impact Indicators - Section B '!W"&amp;H198)="","",INDIRECT("'Impact Indicators - Section B '!W"&amp;H198)),"")),"")</f>
        <v/>
      </c>
      <c r="K198" s="386" t="str">
        <f t="shared" ref="K198:K223" ca="1" si="32">IFERROR(CHOOSE(E198,IFERROR(IF(INDIRECT("'Impact Indicators - Section B '!L"&amp;H198)="","",INDIRECT("'Impact Indicators - Section B '!L"&amp;H198)*100),""),IFERROR(IF(INDIRECT("'Impact Indicators - Section B '!P"&amp;H198)="","",INDIRECT("'Impact Indicators - Section B '!P"&amp;H198)*100),""),IFERROR(IF(INDIRECT("'Impact Indicators - Section B '!T"&amp;H198)="","",INDIRECT("'Impact Indicators - Section B '!T"&amp;H198)*100),""),IFERROR(IF(INDIRECT("'Impact Indicators - Section B '!X"&amp;H198)="","",INDIRECT("'Impact Indicators - Section B '!X"&amp;H198)*100),"")),"")</f>
        <v/>
      </c>
      <c r="L198" s="388" t="str">
        <f ca="1">IFERROR(CHOOSE(E198,'Impact Indicators - Section B '!$K$7,'Impact Indicators - Section B '!$O$7,'Impact Indicators - Section B '!$S$7,'Impact Indicators - Section B '!$W$7,'Impact Indicators - Section B '!#REF!),"")</f>
        <v/>
      </c>
      <c r="M198" s="396" t="str">
        <f t="shared" ref="M198:M223" ca="1" si="33">IFERROR(CHOOSE(E198,IFERROR(IF(INDIRECT("'Impact Indicators - Section B '!M"&amp;H198)="","",INDIRECT("'Impact Indicators - Section B '!M"&amp;H198)),""),IFERROR(IF(INDIRECT("'Impact Indicators - Section B '!Q"&amp;H198)=0,"",INDIRECT("'Impact Indicators - Section B '!Q"&amp;H198)),""),IFERROR(IF(INDIRECT("'Impact Indicators - Section B '!U"&amp;H198)=0,"",INDIRECT("'Impact Indicators - Section B '!U"&amp;H198)),""),IFERROR(IF(INDIRECT("'Impact Indicators - Section B '!Y"&amp;H198)=0,"",INDIRECT("'Impact Indicators - Section B '!Y"&amp;H198)),"")),"")</f>
        <v/>
      </c>
      <c r="N198" s="388" t="str">
        <f t="shared" ref="N198:N223" ca="1" si="34">IFERROR(CHOOSE(E198,IFERROR(IF(INDIRECT("'Impact Indicators - Section B '!N"&amp;H198)=0,"",INDIRECT("'Impact Indicators - Section B '!N"&amp;H198)),""),IFERROR(IF(INDIRECT("'Impact Indicators - Section B '!R"&amp;H198)=0,"",INDIRECT("'Impact Indicators - Section B '!R"&amp;H198)),""),IFERROR(IF(INDIRECT("'Impact Indicators - Section B '!V"&amp;H198)=0,"",INDIRECT("'Impact Indicators - Section B '!V"&amp;H198)),""),IFERROR(IF(INDIRECT("'Impact Indicators - Section B '!Z"&amp;H198)=0,"",INDIRECT("'Impact Indicators - Section B '!Z"&amp;H198)),"")),"")</f>
        <v/>
      </c>
      <c r="O198" s="384" t="str">
        <f ca="1">IFERROR(IF(COUNTA($D$41:$D198)=1,"",OFFSET($C196,-COUNTA($D$41:$D198)+3,0)),"")</f>
        <v>a1HDm000000bvjtMAA</v>
      </c>
      <c r="P198" s="384">
        <f t="shared" si="27"/>
        <v>0</v>
      </c>
      <c r="Q198" s="384"/>
      <c r="R198" s="384"/>
      <c r="S198" s="384"/>
      <c r="T198" s="384" t="b">
        <f t="shared" ref="T198:T223" ca="1" si="35">IF(A198=TRUE,TRUE,FALSE)</f>
        <v>0</v>
      </c>
    </row>
    <row r="199" spans="1:20" x14ac:dyDescent="0.3">
      <c r="A199" s="384" t="b">
        <f t="shared" ca="1" si="28"/>
        <v>0</v>
      </c>
      <c r="B199" s="394"/>
      <c r="C199" s="393" t="str">
        <f t="shared" ca="1" si="29"/>
        <v>a1HDm000000bvk8MAA</v>
      </c>
      <c r="D199" s="384"/>
      <c r="E199" s="384">
        <f t="shared" ca="1" si="25"/>
        <v>6</v>
      </c>
      <c r="F199" s="389">
        <f ca="1">IFERROR(IF(COUNTA($D$41:$D199)=1,"",OFFSET($F197,-COUNTA($D$41:$D199)+3,0)),"")</f>
        <v>11</v>
      </c>
      <c r="G199" s="384"/>
      <c r="H199" s="384">
        <f t="shared" ca="1" si="26"/>
        <v>29</v>
      </c>
      <c r="I199" s="395" t="str">
        <f t="shared" ca="1" si="30"/>
        <v/>
      </c>
      <c r="J199" s="395" t="str">
        <f t="shared" ca="1" si="31"/>
        <v/>
      </c>
      <c r="K199" s="386" t="str">
        <f t="shared" ca="1" si="32"/>
        <v/>
      </c>
      <c r="L199" s="388" t="str">
        <f ca="1">IFERROR(CHOOSE(E199,'Impact Indicators - Section B '!$K$7,'Impact Indicators - Section B '!$O$7,'Impact Indicators - Section B '!$S$7,'Impact Indicators - Section B '!$W$7,'Impact Indicators - Section B '!#REF!),"")</f>
        <v/>
      </c>
      <c r="M199" s="396" t="str">
        <f t="shared" ca="1" si="33"/>
        <v/>
      </c>
      <c r="N199" s="388" t="str">
        <f t="shared" ca="1" si="34"/>
        <v/>
      </c>
      <c r="O199" s="384" t="str">
        <f ca="1">IFERROR(IF(COUNTA($D$41:$D199)=1,"",OFFSET($C197,-COUNTA($D$41:$D199)+3,0)),"")</f>
        <v>a1HDm000000bvk8MAA</v>
      </c>
      <c r="P199" s="384">
        <f t="shared" si="27"/>
        <v>0</v>
      </c>
      <c r="Q199" s="384"/>
      <c r="R199" s="384"/>
      <c r="S199" s="384"/>
      <c r="T199" s="384" t="b">
        <f t="shared" ca="1" si="35"/>
        <v>0</v>
      </c>
    </row>
    <row r="200" spans="1:20" x14ac:dyDescent="0.3">
      <c r="A200" s="384" t="b">
        <f t="shared" ca="1" si="28"/>
        <v>0</v>
      </c>
      <c r="B200" s="394"/>
      <c r="C200" s="393" t="str">
        <f t="shared" ca="1" si="29"/>
        <v>a1HDm000000bviwMAA</v>
      </c>
      <c r="D200" s="384"/>
      <c r="E200" s="384">
        <f t="shared" ca="1" si="25"/>
        <v>1</v>
      </c>
      <c r="F200" s="389">
        <f ca="1">IFERROR(IF(COUNTA($D$41:$D200)=1,"",OFFSET($F198,-COUNTA($D$41:$D200)+3,0)),"")</f>
        <v>12</v>
      </c>
      <c r="G200" s="384"/>
      <c r="H200" s="384">
        <f t="shared" ca="1" si="26"/>
        <v>31</v>
      </c>
      <c r="I200" s="395" t="str">
        <f t="shared" ca="1" si="30"/>
        <v/>
      </c>
      <c r="J200" s="395" t="str">
        <f t="shared" ca="1" si="31"/>
        <v/>
      </c>
      <c r="K200" s="386" t="str">
        <f t="shared" ca="1" si="32"/>
        <v/>
      </c>
      <c r="L200" s="388">
        <f ca="1">IFERROR(CHOOSE(E200,'Impact Indicators - Section B '!$K$7,'Impact Indicators - Section B '!$O$7,'Impact Indicators - Section B '!$S$7,'Impact Indicators - Section B '!$W$7,'Impact Indicators - Section B '!#REF!),"")</f>
        <v>2024</v>
      </c>
      <c r="M200" s="396" t="str">
        <f t="shared" ca="1" si="33"/>
        <v/>
      </c>
      <c r="N200" s="388" t="str">
        <f t="shared" ca="1" si="34"/>
        <v/>
      </c>
      <c r="O200" s="384" t="str">
        <f ca="1">IFERROR(IF(COUNTA($D$41:$D200)=1,"",OFFSET($C198,-COUNTA($D$41:$D200)+3,0)),"")</f>
        <v>a1HDm000000bviwMAA</v>
      </c>
      <c r="P200" s="384">
        <f t="shared" si="27"/>
        <v>0</v>
      </c>
      <c r="Q200" s="384"/>
      <c r="R200" s="384"/>
      <c r="S200" s="384"/>
      <c r="T200" s="384" t="b">
        <f t="shared" ca="1" si="35"/>
        <v>0</v>
      </c>
    </row>
    <row r="201" spans="1:20" x14ac:dyDescent="0.3">
      <c r="A201" s="384" t="b">
        <f t="shared" ca="1" si="28"/>
        <v>0</v>
      </c>
      <c r="B201" s="394"/>
      <c r="C201" s="393" t="str">
        <f t="shared" ca="1" si="29"/>
        <v>a1HDm000000bvjBMAQ</v>
      </c>
      <c r="D201" s="384"/>
      <c r="E201" s="384">
        <f t="shared" ca="1" si="25"/>
        <v>2</v>
      </c>
      <c r="F201" s="389">
        <f ca="1">IFERROR(IF(COUNTA($D$41:$D201)=1,"",OFFSET($F199,-COUNTA($D$41:$D201)+3,0)),"")</f>
        <v>12</v>
      </c>
      <c r="G201" s="384"/>
      <c r="H201" s="384">
        <f t="shared" ca="1" si="26"/>
        <v>31</v>
      </c>
      <c r="I201" s="395" t="str">
        <f t="shared" ca="1" si="30"/>
        <v/>
      </c>
      <c r="J201" s="395" t="str">
        <f t="shared" ca="1" si="31"/>
        <v/>
      </c>
      <c r="K201" s="386" t="str">
        <f t="shared" ca="1" si="32"/>
        <v/>
      </c>
      <c r="L201" s="388">
        <f ca="1">IFERROR(CHOOSE(E201,'Impact Indicators - Section B '!$K$7,'Impact Indicators - Section B '!$O$7,'Impact Indicators - Section B '!$S$7,'Impact Indicators - Section B '!$W$7,'Impact Indicators - Section B '!#REF!),"")</f>
        <v>2025</v>
      </c>
      <c r="M201" s="396" t="str">
        <f t="shared" ca="1" si="33"/>
        <v/>
      </c>
      <c r="N201" s="388" t="str">
        <f t="shared" ca="1" si="34"/>
        <v/>
      </c>
      <c r="O201" s="384" t="str">
        <f ca="1">IFERROR(IF(COUNTA($D$41:$D201)=1,"",OFFSET($C199,-COUNTA($D$41:$D201)+3,0)),"")</f>
        <v>a1HDm000000bvjBMAQ</v>
      </c>
      <c r="P201" s="384">
        <f t="shared" si="27"/>
        <v>0</v>
      </c>
      <c r="Q201" s="384"/>
      <c r="R201" s="384"/>
      <c r="S201" s="384"/>
      <c r="T201" s="384" t="b">
        <f t="shared" ca="1" si="35"/>
        <v>0</v>
      </c>
    </row>
    <row r="202" spans="1:20" x14ac:dyDescent="0.3">
      <c r="A202" s="384" t="b">
        <f t="shared" ca="1" si="28"/>
        <v>0</v>
      </c>
      <c r="B202" s="394"/>
      <c r="C202" s="393" t="str">
        <f t="shared" ca="1" si="29"/>
        <v>a1HDm000000bvjQMAQ</v>
      </c>
      <c r="D202" s="384"/>
      <c r="E202" s="384">
        <f t="shared" ca="1" si="25"/>
        <v>3</v>
      </c>
      <c r="F202" s="389">
        <f ca="1">IFERROR(IF(COUNTA($D$41:$D202)=1,"",OFFSET($F200,-COUNTA($D$41:$D202)+3,0)),"")</f>
        <v>12</v>
      </c>
      <c r="G202" s="384"/>
      <c r="H202" s="384">
        <f t="shared" ca="1" si="26"/>
        <v>31</v>
      </c>
      <c r="I202" s="395" t="str">
        <f t="shared" ca="1" si="30"/>
        <v/>
      </c>
      <c r="J202" s="395" t="str">
        <f t="shared" ca="1" si="31"/>
        <v/>
      </c>
      <c r="K202" s="386" t="str">
        <f t="shared" ca="1" si="32"/>
        <v/>
      </c>
      <c r="L202" s="388">
        <f ca="1">IFERROR(CHOOSE(E202,'Impact Indicators - Section B '!$K$7,'Impact Indicators - Section B '!$O$7,'Impact Indicators - Section B '!$S$7,'Impact Indicators - Section B '!$W$7,'Impact Indicators - Section B '!#REF!),"")</f>
        <v>2026</v>
      </c>
      <c r="M202" s="396" t="str">
        <f t="shared" ca="1" si="33"/>
        <v/>
      </c>
      <c r="N202" s="388" t="str">
        <f t="shared" ca="1" si="34"/>
        <v/>
      </c>
      <c r="O202" s="384" t="str">
        <f ca="1">IFERROR(IF(COUNTA($D$41:$D202)=1,"",OFFSET($C200,-COUNTA($D$41:$D202)+3,0)),"")</f>
        <v>a1HDm000000bvjQMAQ</v>
      </c>
      <c r="P202" s="384">
        <f t="shared" si="27"/>
        <v>0</v>
      </c>
      <c r="Q202" s="384"/>
      <c r="R202" s="384"/>
      <c r="S202" s="384"/>
      <c r="T202" s="384" t="b">
        <f t="shared" ca="1" si="35"/>
        <v>0</v>
      </c>
    </row>
    <row r="203" spans="1:20" x14ac:dyDescent="0.3">
      <c r="A203" s="384" t="b">
        <f t="shared" ca="1" si="28"/>
        <v>0</v>
      </c>
      <c r="B203" s="394"/>
      <c r="C203" s="393" t="str">
        <f t="shared" ca="1" si="29"/>
        <v>a1HDm000000bvjfMAA</v>
      </c>
      <c r="D203" s="384"/>
      <c r="E203" s="384">
        <f t="shared" ca="1" si="25"/>
        <v>4</v>
      </c>
      <c r="F203" s="389">
        <f ca="1">IFERROR(IF(COUNTA($D$41:$D203)=1,"",OFFSET($F201,-COUNTA($D$41:$D203)+3,0)),"")</f>
        <v>12</v>
      </c>
      <c r="G203" s="384"/>
      <c r="H203" s="384">
        <f t="shared" ca="1" si="26"/>
        <v>31</v>
      </c>
      <c r="I203" s="395" t="str">
        <f t="shared" ca="1" si="30"/>
        <v/>
      </c>
      <c r="J203" s="395" t="str">
        <f t="shared" ca="1" si="31"/>
        <v/>
      </c>
      <c r="K203" s="386" t="str">
        <f t="shared" ca="1" si="32"/>
        <v/>
      </c>
      <c r="L203" s="388" t="str">
        <f ca="1">IFERROR(CHOOSE(E203,'Impact Indicators - Section B '!$K$7,'Impact Indicators - Section B '!$O$7,'Impact Indicators - Section B '!$S$7,'Impact Indicators - Section B '!$W$7,'Impact Indicators - Section B '!#REF!),"")</f>
        <v/>
      </c>
      <c r="M203" s="396" t="str">
        <f t="shared" ca="1" si="33"/>
        <v/>
      </c>
      <c r="N203" s="388" t="str">
        <f t="shared" ca="1" si="34"/>
        <v/>
      </c>
      <c r="O203" s="384" t="str">
        <f ca="1">IFERROR(IF(COUNTA($D$41:$D203)=1,"",OFFSET($C201,-COUNTA($D$41:$D203)+3,0)),"")</f>
        <v>a1HDm000000bvjfMAA</v>
      </c>
      <c r="P203" s="384">
        <f t="shared" si="27"/>
        <v>0</v>
      </c>
      <c r="Q203" s="384"/>
      <c r="R203" s="384"/>
      <c r="S203" s="384"/>
      <c r="T203" s="384" t="b">
        <f t="shared" ca="1" si="35"/>
        <v>0</v>
      </c>
    </row>
    <row r="204" spans="1:20" x14ac:dyDescent="0.3">
      <c r="A204" s="384" t="b">
        <f t="shared" ca="1" si="28"/>
        <v>0</v>
      </c>
      <c r="B204" s="394"/>
      <c r="C204" s="393" t="str">
        <f t="shared" ca="1" si="29"/>
        <v>a1HDm000000bvjuMAA</v>
      </c>
      <c r="D204" s="384"/>
      <c r="E204" s="384">
        <f t="shared" ca="1" si="25"/>
        <v>5</v>
      </c>
      <c r="F204" s="389">
        <f ca="1">IFERROR(IF(COUNTA($D$41:$D204)=1,"",OFFSET($F202,-COUNTA($D$41:$D204)+3,0)),"")</f>
        <v>12</v>
      </c>
      <c r="G204" s="384"/>
      <c r="H204" s="384">
        <f t="shared" ca="1" si="26"/>
        <v>31</v>
      </c>
      <c r="I204" s="395" t="str">
        <f t="shared" ca="1" si="30"/>
        <v/>
      </c>
      <c r="J204" s="395" t="str">
        <f t="shared" ca="1" si="31"/>
        <v/>
      </c>
      <c r="K204" s="386" t="str">
        <f t="shared" ca="1" si="32"/>
        <v/>
      </c>
      <c r="L204" s="388" t="str">
        <f ca="1">IFERROR(CHOOSE(E204,'Impact Indicators - Section B '!$K$7,'Impact Indicators - Section B '!$O$7,'Impact Indicators - Section B '!$S$7,'Impact Indicators - Section B '!$W$7,'Impact Indicators - Section B '!#REF!),"")</f>
        <v/>
      </c>
      <c r="M204" s="396" t="str">
        <f t="shared" ca="1" si="33"/>
        <v/>
      </c>
      <c r="N204" s="388" t="str">
        <f t="shared" ca="1" si="34"/>
        <v/>
      </c>
      <c r="O204" s="384" t="str">
        <f ca="1">IFERROR(IF(COUNTA($D$41:$D204)=1,"",OFFSET($C202,-COUNTA($D$41:$D204)+3,0)),"")</f>
        <v>a1HDm000000bvjuMAA</v>
      </c>
      <c r="P204" s="384">
        <f t="shared" si="27"/>
        <v>0</v>
      </c>
      <c r="Q204" s="384"/>
      <c r="R204" s="384"/>
      <c r="S204" s="384"/>
      <c r="T204" s="384" t="b">
        <f t="shared" ca="1" si="35"/>
        <v>0</v>
      </c>
    </row>
    <row r="205" spans="1:20" x14ac:dyDescent="0.3">
      <c r="A205" s="384" t="b">
        <f t="shared" ca="1" si="28"/>
        <v>0</v>
      </c>
      <c r="B205" s="394"/>
      <c r="C205" s="393" t="str">
        <f t="shared" ca="1" si="29"/>
        <v>a1HDm000000bvk9MAA</v>
      </c>
      <c r="D205" s="384"/>
      <c r="E205" s="384">
        <f t="shared" ca="1" si="25"/>
        <v>6</v>
      </c>
      <c r="F205" s="389">
        <f ca="1">IFERROR(IF(COUNTA($D$41:$D205)=1,"",OFFSET($F203,-COUNTA($D$41:$D205)+3,0)),"")</f>
        <v>12</v>
      </c>
      <c r="G205" s="384"/>
      <c r="H205" s="384">
        <f t="shared" ca="1" si="26"/>
        <v>31</v>
      </c>
      <c r="I205" s="395" t="str">
        <f t="shared" ca="1" si="30"/>
        <v/>
      </c>
      <c r="J205" s="395" t="str">
        <f t="shared" ca="1" si="31"/>
        <v/>
      </c>
      <c r="K205" s="386" t="str">
        <f t="shared" ca="1" si="32"/>
        <v/>
      </c>
      <c r="L205" s="388" t="str">
        <f ca="1">IFERROR(CHOOSE(E205,'Impact Indicators - Section B '!$K$7,'Impact Indicators - Section B '!$O$7,'Impact Indicators - Section B '!$S$7,'Impact Indicators - Section B '!$W$7,'Impact Indicators - Section B '!#REF!),"")</f>
        <v/>
      </c>
      <c r="M205" s="396" t="str">
        <f t="shared" ca="1" si="33"/>
        <v/>
      </c>
      <c r="N205" s="388" t="str">
        <f t="shared" ca="1" si="34"/>
        <v/>
      </c>
      <c r="O205" s="384" t="str">
        <f ca="1">IFERROR(IF(COUNTA($D$41:$D205)=1,"",OFFSET($C203,-COUNTA($D$41:$D205)+3,0)),"")</f>
        <v>a1HDm000000bvk9MAA</v>
      </c>
      <c r="P205" s="384">
        <f t="shared" si="27"/>
        <v>0</v>
      </c>
      <c r="Q205" s="384"/>
      <c r="R205" s="384"/>
      <c r="S205" s="384"/>
      <c r="T205" s="384" t="b">
        <f t="shared" ca="1" si="35"/>
        <v>0</v>
      </c>
    </row>
    <row r="206" spans="1:20" x14ac:dyDescent="0.3">
      <c r="A206" s="384" t="b">
        <f t="shared" ca="1" si="28"/>
        <v>0</v>
      </c>
      <c r="B206" s="394"/>
      <c r="C206" s="393" t="str">
        <f t="shared" ca="1" si="29"/>
        <v>a1HDm000000bvixMAA</v>
      </c>
      <c r="D206" s="384"/>
      <c r="E206" s="384">
        <f t="shared" ca="1" si="25"/>
        <v>1</v>
      </c>
      <c r="F206" s="389">
        <f ca="1">IFERROR(IF(COUNTA($D$41:$D206)=1,"",OFFSET($F204,-COUNTA($D$41:$D206)+3,0)),"")</f>
        <v>13</v>
      </c>
      <c r="G206" s="384"/>
      <c r="H206" s="384">
        <f t="shared" ca="1" si="26"/>
        <v>33</v>
      </c>
      <c r="I206" s="395" t="str">
        <f t="shared" ca="1" si="30"/>
        <v/>
      </c>
      <c r="J206" s="395" t="str">
        <f t="shared" ca="1" si="31"/>
        <v/>
      </c>
      <c r="K206" s="386" t="str">
        <f t="shared" ca="1" si="32"/>
        <v/>
      </c>
      <c r="L206" s="388">
        <f ca="1">IFERROR(CHOOSE(E206,'Impact Indicators - Section B '!$K$7,'Impact Indicators - Section B '!$O$7,'Impact Indicators - Section B '!$S$7,'Impact Indicators - Section B '!$W$7,'Impact Indicators - Section B '!#REF!),"")</f>
        <v>2024</v>
      </c>
      <c r="M206" s="396" t="str">
        <f t="shared" ca="1" si="33"/>
        <v/>
      </c>
      <c r="N206" s="388" t="str">
        <f t="shared" ca="1" si="34"/>
        <v/>
      </c>
      <c r="O206" s="384" t="str">
        <f ca="1">IFERROR(IF(COUNTA($D$41:$D206)=1,"",OFFSET($C204,-COUNTA($D$41:$D206)+3,0)),"")</f>
        <v>a1HDm000000bvixMAA</v>
      </c>
      <c r="P206" s="384">
        <f t="shared" si="27"/>
        <v>0</v>
      </c>
      <c r="Q206" s="384"/>
      <c r="R206" s="384"/>
      <c r="S206" s="384"/>
      <c r="T206" s="384" t="b">
        <f t="shared" ca="1" si="35"/>
        <v>0</v>
      </c>
    </row>
    <row r="207" spans="1:20" x14ac:dyDescent="0.3">
      <c r="A207" s="384" t="b">
        <f t="shared" ca="1" si="28"/>
        <v>0</v>
      </c>
      <c r="B207" s="394"/>
      <c r="C207" s="393" t="str">
        <f t="shared" ca="1" si="29"/>
        <v>a1HDm000000bvjCMAQ</v>
      </c>
      <c r="D207" s="384"/>
      <c r="E207" s="384">
        <f t="shared" ca="1" si="25"/>
        <v>2</v>
      </c>
      <c r="F207" s="389">
        <f ca="1">IFERROR(IF(COUNTA($D$41:$D207)=1,"",OFFSET($F205,-COUNTA($D$41:$D207)+3,0)),"")</f>
        <v>13</v>
      </c>
      <c r="G207" s="384"/>
      <c r="H207" s="384">
        <f t="shared" ca="1" si="26"/>
        <v>33</v>
      </c>
      <c r="I207" s="395" t="str">
        <f t="shared" ca="1" si="30"/>
        <v/>
      </c>
      <c r="J207" s="395" t="str">
        <f t="shared" ca="1" si="31"/>
        <v/>
      </c>
      <c r="K207" s="386" t="str">
        <f t="shared" ca="1" si="32"/>
        <v/>
      </c>
      <c r="L207" s="388">
        <f ca="1">IFERROR(CHOOSE(E207,'Impact Indicators - Section B '!$K$7,'Impact Indicators - Section B '!$O$7,'Impact Indicators - Section B '!$S$7,'Impact Indicators - Section B '!$W$7,'Impact Indicators - Section B '!#REF!),"")</f>
        <v>2025</v>
      </c>
      <c r="M207" s="396" t="str">
        <f t="shared" ca="1" si="33"/>
        <v/>
      </c>
      <c r="N207" s="388" t="str">
        <f t="shared" ca="1" si="34"/>
        <v/>
      </c>
      <c r="O207" s="384" t="str">
        <f ca="1">IFERROR(IF(COUNTA($D$41:$D207)=1,"",OFFSET($C205,-COUNTA($D$41:$D207)+3,0)),"")</f>
        <v>a1HDm000000bvjCMAQ</v>
      </c>
      <c r="P207" s="384">
        <f t="shared" si="27"/>
        <v>0</v>
      </c>
      <c r="Q207" s="384"/>
      <c r="R207" s="384"/>
      <c r="S207" s="384"/>
      <c r="T207" s="384" t="b">
        <f t="shared" ca="1" si="35"/>
        <v>0</v>
      </c>
    </row>
    <row r="208" spans="1:20" x14ac:dyDescent="0.3">
      <c r="A208" s="384" t="b">
        <f t="shared" ca="1" si="28"/>
        <v>0</v>
      </c>
      <c r="B208" s="394"/>
      <c r="C208" s="393" t="str">
        <f t="shared" ca="1" si="29"/>
        <v>a1HDm000000bvjRMAQ</v>
      </c>
      <c r="D208" s="384"/>
      <c r="E208" s="384">
        <f t="shared" ca="1" si="25"/>
        <v>3</v>
      </c>
      <c r="F208" s="389">
        <f ca="1">IFERROR(IF(COUNTA($D$41:$D208)=1,"",OFFSET($F206,-COUNTA($D$41:$D208)+3,0)),"")</f>
        <v>13</v>
      </c>
      <c r="G208" s="384"/>
      <c r="H208" s="384">
        <f t="shared" ca="1" si="26"/>
        <v>33</v>
      </c>
      <c r="I208" s="395" t="str">
        <f t="shared" ca="1" si="30"/>
        <v/>
      </c>
      <c r="J208" s="395" t="str">
        <f t="shared" ca="1" si="31"/>
        <v/>
      </c>
      <c r="K208" s="386" t="str">
        <f t="shared" ca="1" si="32"/>
        <v/>
      </c>
      <c r="L208" s="388">
        <f ca="1">IFERROR(CHOOSE(E208,'Impact Indicators - Section B '!$K$7,'Impact Indicators - Section B '!$O$7,'Impact Indicators - Section B '!$S$7,'Impact Indicators - Section B '!$W$7,'Impact Indicators - Section B '!#REF!),"")</f>
        <v>2026</v>
      </c>
      <c r="M208" s="396" t="str">
        <f t="shared" ca="1" si="33"/>
        <v/>
      </c>
      <c r="N208" s="388" t="str">
        <f t="shared" ca="1" si="34"/>
        <v/>
      </c>
      <c r="O208" s="384" t="str">
        <f ca="1">IFERROR(IF(COUNTA($D$41:$D208)=1,"",OFFSET($C206,-COUNTA($D$41:$D208)+3,0)),"")</f>
        <v>a1HDm000000bvjRMAQ</v>
      </c>
      <c r="P208" s="384">
        <f t="shared" si="27"/>
        <v>0</v>
      </c>
      <c r="Q208" s="384"/>
      <c r="R208" s="384"/>
      <c r="S208" s="384"/>
      <c r="T208" s="384" t="b">
        <f t="shared" ca="1" si="35"/>
        <v>0</v>
      </c>
    </row>
    <row r="209" spans="1:20" x14ac:dyDescent="0.3">
      <c r="A209" s="384" t="b">
        <f t="shared" ca="1" si="28"/>
        <v>0</v>
      </c>
      <c r="B209" s="394"/>
      <c r="C209" s="393" t="str">
        <f t="shared" ca="1" si="29"/>
        <v>a1HDm000000bvjgMAA</v>
      </c>
      <c r="D209" s="384"/>
      <c r="E209" s="384">
        <f t="shared" ca="1" si="25"/>
        <v>4</v>
      </c>
      <c r="F209" s="389">
        <f ca="1">IFERROR(IF(COUNTA($D$41:$D209)=1,"",OFFSET($F207,-COUNTA($D$41:$D209)+3,0)),"")</f>
        <v>13</v>
      </c>
      <c r="G209" s="384"/>
      <c r="H209" s="384">
        <f t="shared" ca="1" si="26"/>
        <v>33</v>
      </c>
      <c r="I209" s="395" t="str">
        <f t="shared" ca="1" si="30"/>
        <v/>
      </c>
      <c r="J209" s="395" t="str">
        <f t="shared" ca="1" si="31"/>
        <v/>
      </c>
      <c r="K209" s="386" t="str">
        <f t="shared" ca="1" si="32"/>
        <v/>
      </c>
      <c r="L209" s="388" t="str">
        <f ca="1">IFERROR(CHOOSE(E209,'Impact Indicators - Section B '!$K$7,'Impact Indicators - Section B '!$O$7,'Impact Indicators - Section B '!$S$7,'Impact Indicators - Section B '!$W$7,'Impact Indicators - Section B '!#REF!),"")</f>
        <v/>
      </c>
      <c r="M209" s="396" t="str">
        <f t="shared" ca="1" si="33"/>
        <v/>
      </c>
      <c r="N209" s="388" t="str">
        <f t="shared" ca="1" si="34"/>
        <v/>
      </c>
      <c r="O209" s="384" t="str">
        <f ca="1">IFERROR(IF(COUNTA($D$41:$D209)=1,"",OFFSET($C207,-COUNTA($D$41:$D209)+3,0)),"")</f>
        <v>a1HDm000000bvjgMAA</v>
      </c>
      <c r="P209" s="384">
        <f t="shared" si="27"/>
        <v>0</v>
      </c>
      <c r="Q209" s="384"/>
      <c r="R209" s="384"/>
      <c r="S209" s="384"/>
      <c r="T209" s="384" t="b">
        <f t="shared" ca="1" si="35"/>
        <v>0</v>
      </c>
    </row>
    <row r="210" spans="1:20" x14ac:dyDescent="0.3">
      <c r="A210" s="384" t="b">
        <f t="shared" ca="1" si="28"/>
        <v>0</v>
      </c>
      <c r="B210" s="394"/>
      <c r="C210" s="393" t="str">
        <f t="shared" ca="1" si="29"/>
        <v>a1HDm000000bvjvMAA</v>
      </c>
      <c r="D210" s="384"/>
      <c r="E210" s="384">
        <f t="shared" ca="1" si="25"/>
        <v>5</v>
      </c>
      <c r="F210" s="389">
        <f ca="1">IFERROR(IF(COUNTA($D$41:$D210)=1,"",OFFSET($F208,-COUNTA($D$41:$D210)+3,0)),"")</f>
        <v>13</v>
      </c>
      <c r="G210" s="384"/>
      <c r="H210" s="384">
        <f t="shared" ca="1" si="26"/>
        <v>33</v>
      </c>
      <c r="I210" s="395" t="str">
        <f t="shared" ca="1" si="30"/>
        <v/>
      </c>
      <c r="J210" s="395" t="str">
        <f t="shared" ca="1" si="31"/>
        <v/>
      </c>
      <c r="K210" s="386" t="str">
        <f t="shared" ca="1" si="32"/>
        <v/>
      </c>
      <c r="L210" s="388" t="str">
        <f ca="1">IFERROR(CHOOSE(E210,'Impact Indicators - Section B '!$K$7,'Impact Indicators - Section B '!$O$7,'Impact Indicators - Section B '!$S$7,'Impact Indicators - Section B '!$W$7,'Impact Indicators - Section B '!#REF!),"")</f>
        <v/>
      </c>
      <c r="M210" s="396" t="str">
        <f t="shared" ca="1" si="33"/>
        <v/>
      </c>
      <c r="N210" s="388" t="str">
        <f t="shared" ca="1" si="34"/>
        <v/>
      </c>
      <c r="O210" s="384" t="str">
        <f ca="1">IFERROR(IF(COUNTA($D$41:$D210)=1,"",OFFSET($C208,-COUNTA($D$41:$D210)+3,0)),"")</f>
        <v>a1HDm000000bvjvMAA</v>
      </c>
      <c r="P210" s="384">
        <f t="shared" si="27"/>
        <v>0</v>
      </c>
      <c r="Q210" s="384"/>
      <c r="R210" s="384"/>
      <c r="S210" s="384"/>
      <c r="T210" s="384" t="b">
        <f t="shared" ca="1" si="35"/>
        <v>0</v>
      </c>
    </row>
    <row r="211" spans="1:20" x14ac:dyDescent="0.3">
      <c r="A211" s="384" t="b">
        <f t="shared" ca="1" si="28"/>
        <v>0</v>
      </c>
      <c r="B211" s="394"/>
      <c r="C211" s="393" t="str">
        <f t="shared" ca="1" si="29"/>
        <v>a1HDm000000bvkAMAQ</v>
      </c>
      <c r="D211" s="384"/>
      <c r="E211" s="384">
        <f t="shared" ca="1" si="25"/>
        <v>6</v>
      </c>
      <c r="F211" s="389">
        <f ca="1">IFERROR(IF(COUNTA($D$41:$D211)=1,"",OFFSET($F209,-COUNTA($D$41:$D211)+3,0)),"")</f>
        <v>13</v>
      </c>
      <c r="G211" s="384"/>
      <c r="H211" s="384">
        <f t="shared" ca="1" si="26"/>
        <v>33</v>
      </c>
      <c r="I211" s="395" t="str">
        <f t="shared" ca="1" si="30"/>
        <v/>
      </c>
      <c r="J211" s="395" t="str">
        <f t="shared" ca="1" si="31"/>
        <v/>
      </c>
      <c r="K211" s="386" t="str">
        <f t="shared" ca="1" si="32"/>
        <v/>
      </c>
      <c r="L211" s="388" t="str">
        <f ca="1">IFERROR(CHOOSE(E211,'Impact Indicators - Section B '!$K$7,'Impact Indicators - Section B '!$O$7,'Impact Indicators - Section B '!$S$7,'Impact Indicators - Section B '!$W$7,'Impact Indicators - Section B '!#REF!),"")</f>
        <v/>
      </c>
      <c r="M211" s="396" t="str">
        <f t="shared" ca="1" si="33"/>
        <v/>
      </c>
      <c r="N211" s="388" t="str">
        <f t="shared" ca="1" si="34"/>
        <v/>
      </c>
      <c r="O211" s="384" t="str">
        <f ca="1">IFERROR(IF(COUNTA($D$41:$D211)=1,"",OFFSET($C209,-COUNTA($D$41:$D211)+3,0)),"")</f>
        <v>a1HDm000000bvkAMAQ</v>
      </c>
      <c r="P211" s="384">
        <f t="shared" si="27"/>
        <v>0</v>
      </c>
      <c r="Q211" s="384"/>
      <c r="R211" s="384"/>
      <c r="S211" s="384"/>
      <c r="T211" s="384" t="b">
        <f t="shared" ca="1" si="35"/>
        <v>0</v>
      </c>
    </row>
    <row r="212" spans="1:20" x14ac:dyDescent="0.3">
      <c r="A212" s="384" t="b">
        <f t="shared" ca="1" si="28"/>
        <v>0</v>
      </c>
      <c r="B212" s="394"/>
      <c r="C212" s="393" t="str">
        <f t="shared" ca="1" si="29"/>
        <v>a1HDm000000bviyMAA</v>
      </c>
      <c r="D212" s="384"/>
      <c r="E212" s="384">
        <f t="shared" ca="1" si="25"/>
        <v>1</v>
      </c>
      <c r="F212" s="389">
        <f ca="1">IFERROR(IF(COUNTA($D$41:$D212)=1,"",OFFSET($F210,-COUNTA($D$41:$D212)+3,0)),"")</f>
        <v>14</v>
      </c>
      <c r="G212" s="384"/>
      <c r="H212" s="384">
        <f t="shared" ca="1" si="26"/>
        <v>35</v>
      </c>
      <c r="I212" s="395" t="str">
        <f t="shared" ca="1" si="30"/>
        <v/>
      </c>
      <c r="J212" s="395" t="str">
        <f t="shared" ca="1" si="31"/>
        <v/>
      </c>
      <c r="K212" s="386" t="str">
        <f t="shared" ca="1" si="32"/>
        <v/>
      </c>
      <c r="L212" s="388">
        <f ca="1">IFERROR(CHOOSE(E212,'Impact Indicators - Section B '!$K$7,'Impact Indicators - Section B '!$O$7,'Impact Indicators - Section B '!$S$7,'Impact Indicators - Section B '!$W$7,'Impact Indicators - Section B '!#REF!),"")</f>
        <v>2024</v>
      </c>
      <c r="M212" s="396" t="str">
        <f t="shared" ca="1" si="33"/>
        <v/>
      </c>
      <c r="N212" s="388" t="str">
        <f t="shared" ca="1" si="34"/>
        <v/>
      </c>
      <c r="O212" s="384" t="str">
        <f ca="1">IFERROR(IF(COUNTA($D$41:$D212)=1,"",OFFSET($C210,-COUNTA($D$41:$D212)+3,0)),"")</f>
        <v>a1HDm000000bviyMAA</v>
      </c>
      <c r="P212" s="384">
        <f t="shared" si="27"/>
        <v>0</v>
      </c>
      <c r="Q212" s="384"/>
      <c r="R212" s="384"/>
      <c r="S212" s="384"/>
      <c r="T212" s="384" t="b">
        <f t="shared" ca="1" si="35"/>
        <v>0</v>
      </c>
    </row>
    <row r="213" spans="1:20" x14ac:dyDescent="0.3">
      <c r="A213" s="384" t="b">
        <f t="shared" ca="1" si="28"/>
        <v>0</v>
      </c>
      <c r="B213" s="394"/>
      <c r="C213" s="393" t="str">
        <f t="shared" ca="1" si="29"/>
        <v>a1HDm000000bvjDMAQ</v>
      </c>
      <c r="D213" s="384"/>
      <c r="E213" s="384">
        <f t="shared" ca="1" si="25"/>
        <v>2</v>
      </c>
      <c r="F213" s="389">
        <f ca="1">IFERROR(IF(COUNTA($D$41:$D213)=1,"",OFFSET($F211,-COUNTA($D$41:$D213)+3,0)),"")</f>
        <v>14</v>
      </c>
      <c r="G213" s="384"/>
      <c r="H213" s="384">
        <f t="shared" ca="1" si="26"/>
        <v>35</v>
      </c>
      <c r="I213" s="395" t="str">
        <f t="shared" ca="1" si="30"/>
        <v/>
      </c>
      <c r="J213" s="395" t="str">
        <f t="shared" ca="1" si="31"/>
        <v/>
      </c>
      <c r="K213" s="386" t="str">
        <f t="shared" ca="1" si="32"/>
        <v/>
      </c>
      <c r="L213" s="388">
        <f ca="1">IFERROR(CHOOSE(E213,'Impact Indicators - Section B '!$K$7,'Impact Indicators - Section B '!$O$7,'Impact Indicators - Section B '!$S$7,'Impact Indicators - Section B '!$W$7,'Impact Indicators - Section B '!#REF!),"")</f>
        <v>2025</v>
      </c>
      <c r="M213" s="396" t="str">
        <f t="shared" ca="1" si="33"/>
        <v/>
      </c>
      <c r="N213" s="388" t="str">
        <f t="shared" ca="1" si="34"/>
        <v/>
      </c>
      <c r="O213" s="384" t="str">
        <f ca="1">IFERROR(IF(COUNTA($D$41:$D213)=1,"",OFFSET($C211,-COUNTA($D$41:$D213)+3,0)),"")</f>
        <v>a1HDm000000bvjDMAQ</v>
      </c>
      <c r="P213" s="384">
        <f t="shared" si="27"/>
        <v>0</v>
      </c>
      <c r="Q213" s="384"/>
      <c r="R213" s="384"/>
      <c r="S213" s="384"/>
      <c r="T213" s="384" t="b">
        <f t="shared" ca="1" si="35"/>
        <v>0</v>
      </c>
    </row>
    <row r="214" spans="1:20" x14ac:dyDescent="0.3">
      <c r="A214" s="384" t="b">
        <f t="shared" ca="1" si="28"/>
        <v>0</v>
      </c>
      <c r="B214" s="394"/>
      <c r="C214" s="393" t="str">
        <f t="shared" ca="1" si="29"/>
        <v>a1HDm000000bvjSMAQ</v>
      </c>
      <c r="D214" s="384"/>
      <c r="E214" s="384">
        <f t="shared" ca="1" si="25"/>
        <v>3</v>
      </c>
      <c r="F214" s="389">
        <f ca="1">IFERROR(IF(COUNTA($D$41:$D214)=1,"",OFFSET($F212,-COUNTA($D$41:$D214)+3,0)),"")</f>
        <v>14</v>
      </c>
      <c r="G214" s="384"/>
      <c r="H214" s="384">
        <f t="shared" ca="1" si="26"/>
        <v>35</v>
      </c>
      <c r="I214" s="395" t="str">
        <f t="shared" ca="1" si="30"/>
        <v/>
      </c>
      <c r="J214" s="395" t="str">
        <f t="shared" ca="1" si="31"/>
        <v/>
      </c>
      <c r="K214" s="386" t="str">
        <f t="shared" ca="1" si="32"/>
        <v/>
      </c>
      <c r="L214" s="388">
        <f ca="1">IFERROR(CHOOSE(E214,'Impact Indicators - Section B '!$K$7,'Impact Indicators - Section B '!$O$7,'Impact Indicators - Section B '!$S$7,'Impact Indicators - Section B '!$W$7,'Impact Indicators - Section B '!#REF!),"")</f>
        <v>2026</v>
      </c>
      <c r="M214" s="396" t="str">
        <f t="shared" ca="1" si="33"/>
        <v/>
      </c>
      <c r="N214" s="388" t="str">
        <f t="shared" ca="1" si="34"/>
        <v/>
      </c>
      <c r="O214" s="384" t="str">
        <f ca="1">IFERROR(IF(COUNTA($D$41:$D214)=1,"",OFFSET($C212,-COUNTA($D$41:$D214)+3,0)),"")</f>
        <v>a1HDm000000bvjSMAQ</v>
      </c>
      <c r="P214" s="384">
        <f t="shared" si="27"/>
        <v>0</v>
      </c>
      <c r="Q214" s="384"/>
      <c r="R214" s="384"/>
      <c r="S214" s="384"/>
      <c r="T214" s="384" t="b">
        <f t="shared" ca="1" si="35"/>
        <v>0</v>
      </c>
    </row>
    <row r="215" spans="1:20" x14ac:dyDescent="0.3">
      <c r="A215" s="384" t="b">
        <f t="shared" ca="1" si="28"/>
        <v>0</v>
      </c>
      <c r="B215" s="394"/>
      <c r="C215" s="393" t="str">
        <f t="shared" ca="1" si="29"/>
        <v>a1HDm000000bvjhMAA</v>
      </c>
      <c r="D215" s="384"/>
      <c r="E215" s="384">
        <f t="shared" ca="1" si="25"/>
        <v>4</v>
      </c>
      <c r="F215" s="389">
        <f ca="1">IFERROR(IF(COUNTA($D$41:$D215)=1,"",OFFSET($F213,-COUNTA($D$41:$D215)+3,0)),"")</f>
        <v>14</v>
      </c>
      <c r="G215" s="384"/>
      <c r="H215" s="384">
        <f t="shared" ca="1" si="26"/>
        <v>35</v>
      </c>
      <c r="I215" s="395" t="str">
        <f t="shared" ca="1" si="30"/>
        <v/>
      </c>
      <c r="J215" s="395" t="str">
        <f t="shared" ca="1" si="31"/>
        <v/>
      </c>
      <c r="K215" s="386" t="str">
        <f t="shared" ca="1" si="32"/>
        <v/>
      </c>
      <c r="L215" s="388" t="str">
        <f ca="1">IFERROR(CHOOSE(E215,'Impact Indicators - Section B '!$K$7,'Impact Indicators - Section B '!$O$7,'Impact Indicators - Section B '!$S$7,'Impact Indicators - Section B '!$W$7,'Impact Indicators - Section B '!#REF!),"")</f>
        <v/>
      </c>
      <c r="M215" s="396" t="str">
        <f t="shared" ca="1" si="33"/>
        <v/>
      </c>
      <c r="N215" s="388" t="str">
        <f t="shared" ca="1" si="34"/>
        <v/>
      </c>
      <c r="O215" s="384" t="str">
        <f ca="1">IFERROR(IF(COUNTA($D$41:$D215)=1,"",OFFSET($C213,-COUNTA($D$41:$D215)+3,0)),"")</f>
        <v>a1HDm000000bvjhMAA</v>
      </c>
      <c r="P215" s="384">
        <f t="shared" si="27"/>
        <v>0</v>
      </c>
      <c r="Q215" s="384"/>
      <c r="R215" s="384"/>
      <c r="S215" s="384"/>
      <c r="T215" s="384" t="b">
        <f t="shared" ca="1" si="35"/>
        <v>0</v>
      </c>
    </row>
    <row r="216" spans="1:20" x14ac:dyDescent="0.3">
      <c r="A216" s="384" t="b">
        <f t="shared" ca="1" si="28"/>
        <v>0</v>
      </c>
      <c r="B216" s="394"/>
      <c r="C216" s="393" t="str">
        <f t="shared" ca="1" si="29"/>
        <v>a1HDm000000bvjwMAA</v>
      </c>
      <c r="D216" s="384"/>
      <c r="E216" s="384">
        <f t="shared" ca="1" si="25"/>
        <v>5</v>
      </c>
      <c r="F216" s="389">
        <f ca="1">IFERROR(IF(COUNTA($D$41:$D216)=1,"",OFFSET($F214,-COUNTA($D$41:$D216)+3,0)),"")</f>
        <v>14</v>
      </c>
      <c r="G216" s="384"/>
      <c r="H216" s="384">
        <f t="shared" ca="1" si="26"/>
        <v>35</v>
      </c>
      <c r="I216" s="395" t="str">
        <f t="shared" ca="1" si="30"/>
        <v/>
      </c>
      <c r="J216" s="395" t="str">
        <f t="shared" ca="1" si="31"/>
        <v/>
      </c>
      <c r="K216" s="386" t="str">
        <f t="shared" ca="1" si="32"/>
        <v/>
      </c>
      <c r="L216" s="388" t="str">
        <f ca="1">IFERROR(CHOOSE(E216,'Impact Indicators - Section B '!$K$7,'Impact Indicators - Section B '!$O$7,'Impact Indicators - Section B '!$S$7,'Impact Indicators - Section B '!$W$7,'Impact Indicators - Section B '!#REF!),"")</f>
        <v/>
      </c>
      <c r="M216" s="396" t="str">
        <f t="shared" ca="1" si="33"/>
        <v/>
      </c>
      <c r="N216" s="388" t="str">
        <f t="shared" ca="1" si="34"/>
        <v/>
      </c>
      <c r="O216" s="384" t="str">
        <f ca="1">IFERROR(IF(COUNTA($D$41:$D216)=1,"",OFFSET($C214,-COUNTA($D$41:$D216)+3,0)),"")</f>
        <v>a1HDm000000bvjwMAA</v>
      </c>
      <c r="P216" s="384">
        <f t="shared" si="27"/>
        <v>0</v>
      </c>
      <c r="Q216" s="384"/>
      <c r="R216" s="384"/>
      <c r="S216" s="384"/>
      <c r="T216" s="384" t="b">
        <f t="shared" ca="1" si="35"/>
        <v>0</v>
      </c>
    </row>
    <row r="217" spans="1:20" x14ac:dyDescent="0.3">
      <c r="A217" s="384" t="b">
        <f t="shared" ca="1" si="28"/>
        <v>0</v>
      </c>
      <c r="B217" s="394"/>
      <c r="C217" s="393" t="str">
        <f t="shared" ca="1" si="29"/>
        <v>a1HDm000000bvkBMAQ</v>
      </c>
      <c r="D217" s="384"/>
      <c r="E217" s="384">
        <f t="shared" ca="1" si="25"/>
        <v>6</v>
      </c>
      <c r="F217" s="389">
        <f ca="1">IFERROR(IF(COUNTA($D$41:$D217)=1,"",OFFSET($F215,-COUNTA($D$41:$D217)+3,0)),"")</f>
        <v>14</v>
      </c>
      <c r="G217" s="384"/>
      <c r="H217" s="384">
        <f t="shared" ca="1" si="26"/>
        <v>35</v>
      </c>
      <c r="I217" s="395" t="str">
        <f t="shared" ca="1" si="30"/>
        <v/>
      </c>
      <c r="J217" s="395" t="str">
        <f t="shared" ca="1" si="31"/>
        <v/>
      </c>
      <c r="K217" s="386" t="str">
        <f t="shared" ca="1" si="32"/>
        <v/>
      </c>
      <c r="L217" s="388" t="str">
        <f ca="1">IFERROR(CHOOSE(E217,'Impact Indicators - Section B '!$K$7,'Impact Indicators - Section B '!$O$7,'Impact Indicators - Section B '!$S$7,'Impact Indicators - Section B '!$W$7,'Impact Indicators - Section B '!#REF!),"")</f>
        <v/>
      </c>
      <c r="M217" s="396" t="str">
        <f t="shared" ca="1" si="33"/>
        <v/>
      </c>
      <c r="N217" s="388" t="str">
        <f t="shared" ca="1" si="34"/>
        <v/>
      </c>
      <c r="O217" s="384" t="str">
        <f ca="1">IFERROR(IF(COUNTA($D$41:$D217)=1,"",OFFSET($C215,-COUNTA($D$41:$D217)+3,0)),"")</f>
        <v>a1HDm000000bvkBMAQ</v>
      </c>
      <c r="P217" s="384">
        <f t="shared" si="27"/>
        <v>0</v>
      </c>
      <c r="Q217" s="384"/>
      <c r="R217" s="384"/>
      <c r="S217" s="384"/>
      <c r="T217" s="384" t="b">
        <f t="shared" ca="1" si="35"/>
        <v>0</v>
      </c>
    </row>
    <row r="218" spans="1:20" x14ac:dyDescent="0.3">
      <c r="A218" s="384" t="b">
        <f t="shared" ca="1" si="28"/>
        <v>0</v>
      </c>
      <c r="B218" s="394"/>
      <c r="C218" s="393" t="str">
        <f t="shared" ca="1" si="29"/>
        <v>a1HDm000000bvizMAA</v>
      </c>
      <c r="D218" s="384"/>
      <c r="E218" s="384">
        <f t="shared" ca="1" si="25"/>
        <v>1</v>
      </c>
      <c r="F218" s="389">
        <f ca="1">IFERROR(IF(COUNTA($D$41:$D218)=1,"",OFFSET($F216,-COUNTA($D$41:$D218)+3,0)),"")</f>
        <v>15</v>
      </c>
      <c r="G218" s="384"/>
      <c r="H218" s="384">
        <f t="shared" ca="1" si="26"/>
        <v>37</v>
      </c>
      <c r="I218" s="395" t="str">
        <f t="shared" ca="1" si="30"/>
        <v/>
      </c>
      <c r="J218" s="395" t="str">
        <f t="shared" ca="1" si="31"/>
        <v/>
      </c>
      <c r="K218" s="386" t="str">
        <f t="shared" ca="1" si="32"/>
        <v/>
      </c>
      <c r="L218" s="388">
        <f ca="1">IFERROR(CHOOSE(E218,'Impact Indicators - Section B '!$K$7,'Impact Indicators - Section B '!$O$7,'Impact Indicators - Section B '!$S$7,'Impact Indicators - Section B '!$W$7,'Impact Indicators - Section B '!#REF!),"")</f>
        <v>2024</v>
      </c>
      <c r="M218" s="396" t="str">
        <f t="shared" ca="1" si="33"/>
        <v/>
      </c>
      <c r="N218" s="388" t="str">
        <f t="shared" ca="1" si="34"/>
        <v/>
      </c>
      <c r="O218" s="384" t="str">
        <f ca="1">IFERROR(IF(COUNTA($D$41:$D218)=1,"",OFFSET($C216,-COUNTA($D$41:$D218)+3,0)),"")</f>
        <v>a1HDm000000bvizMAA</v>
      </c>
      <c r="P218" s="384">
        <f t="shared" si="27"/>
        <v>0</v>
      </c>
      <c r="Q218" s="384"/>
      <c r="R218" s="384"/>
      <c r="S218" s="384"/>
      <c r="T218" s="384" t="b">
        <f t="shared" ca="1" si="35"/>
        <v>0</v>
      </c>
    </row>
    <row r="219" spans="1:20" x14ac:dyDescent="0.3">
      <c r="A219" s="384" t="b">
        <f t="shared" ca="1" si="28"/>
        <v>0</v>
      </c>
      <c r="B219" s="394"/>
      <c r="C219" s="393" t="str">
        <f t="shared" ca="1" si="29"/>
        <v>a1HDm000000bvjEMAQ</v>
      </c>
      <c r="D219" s="384"/>
      <c r="E219" s="384">
        <f t="shared" ca="1" si="25"/>
        <v>2</v>
      </c>
      <c r="F219" s="389">
        <f ca="1">IFERROR(IF(COUNTA($D$41:$D219)=1,"",OFFSET($F217,-COUNTA($D$41:$D219)+3,0)),"")</f>
        <v>15</v>
      </c>
      <c r="G219" s="384"/>
      <c r="H219" s="384">
        <f t="shared" ca="1" si="26"/>
        <v>37</v>
      </c>
      <c r="I219" s="395" t="str">
        <f t="shared" ca="1" si="30"/>
        <v/>
      </c>
      <c r="J219" s="395" t="str">
        <f t="shared" ca="1" si="31"/>
        <v/>
      </c>
      <c r="K219" s="386" t="str">
        <f t="shared" ca="1" si="32"/>
        <v/>
      </c>
      <c r="L219" s="388">
        <f ca="1">IFERROR(CHOOSE(E219,'Impact Indicators - Section B '!$K$7,'Impact Indicators - Section B '!$O$7,'Impact Indicators - Section B '!$S$7,'Impact Indicators - Section B '!$W$7,'Impact Indicators - Section B '!#REF!),"")</f>
        <v>2025</v>
      </c>
      <c r="M219" s="396" t="str">
        <f t="shared" ca="1" si="33"/>
        <v/>
      </c>
      <c r="N219" s="388" t="str">
        <f t="shared" ca="1" si="34"/>
        <v/>
      </c>
      <c r="O219" s="384" t="str">
        <f ca="1">IFERROR(IF(COUNTA($D$41:$D219)=1,"",OFFSET($C217,-COUNTA($D$41:$D219)+3,0)),"")</f>
        <v>a1HDm000000bvjEMAQ</v>
      </c>
      <c r="P219" s="384">
        <f t="shared" si="27"/>
        <v>0</v>
      </c>
      <c r="Q219" s="384"/>
      <c r="R219" s="384"/>
      <c r="S219" s="384"/>
      <c r="T219" s="384" t="b">
        <f t="shared" ca="1" si="35"/>
        <v>0</v>
      </c>
    </row>
    <row r="220" spans="1:20" x14ac:dyDescent="0.3">
      <c r="A220" s="384" t="b">
        <f t="shared" ca="1" si="28"/>
        <v>0</v>
      </c>
      <c r="B220" s="394"/>
      <c r="C220" s="393" t="str">
        <f t="shared" ca="1" si="29"/>
        <v>a1HDm000000bvjTMAQ</v>
      </c>
      <c r="D220" s="384"/>
      <c r="E220" s="384">
        <f t="shared" ca="1" si="25"/>
        <v>3</v>
      </c>
      <c r="F220" s="389">
        <f ca="1">IFERROR(IF(COUNTA($D$41:$D220)=1,"",OFFSET($F218,-COUNTA($D$41:$D220)+3,0)),"")</f>
        <v>15</v>
      </c>
      <c r="G220" s="384"/>
      <c r="H220" s="384">
        <f t="shared" ca="1" si="26"/>
        <v>37</v>
      </c>
      <c r="I220" s="395" t="str">
        <f t="shared" ca="1" si="30"/>
        <v/>
      </c>
      <c r="J220" s="395" t="str">
        <f t="shared" ca="1" si="31"/>
        <v/>
      </c>
      <c r="K220" s="386" t="str">
        <f t="shared" ca="1" si="32"/>
        <v/>
      </c>
      <c r="L220" s="388">
        <f ca="1">IFERROR(CHOOSE(E220,'Impact Indicators - Section B '!$K$7,'Impact Indicators - Section B '!$O$7,'Impact Indicators - Section B '!$S$7,'Impact Indicators - Section B '!$W$7,'Impact Indicators - Section B '!#REF!),"")</f>
        <v>2026</v>
      </c>
      <c r="M220" s="396" t="str">
        <f t="shared" ca="1" si="33"/>
        <v/>
      </c>
      <c r="N220" s="388" t="str">
        <f t="shared" ca="1" si="34"/>
        <v/>
      </c>
      <c r="O220" s="384" t="str">
        <f ca="1">IFERROR(IF(COUNTA($D$41:$D220)=1,"",OFFSET($C218,-COUNTA($D$41:$D220)+3,0)),"")</f>
        <v>a1HDm000000bvjTMAQ</v>
      </c>
      <c r="P220" s="384">
        <f t="shared" si="27"/>
        <v>0</v>
      </c>
      <c r="Q220" s="384"/>
      <c r="R220" s="384"/>
      <c r="S220" s="384"/>
      <c r="T220" s="384" t="b">
        <f t="shared" ca="1" si="35"/>
        <v>0</v>
      </c>
    </row>
    <row r="221" spans="1:20" x14ac:dyDescent="0.3">
      <c r="A221" s="384" t="b">
        <f t="shared" ca="1" si="28"/>
        <v>0</v>
      </c>
      <c r="B221" s="394"/>
      <c r="C221" s="393" t="str">
        <f t="shared" ca="1" si="29"/>
        <v>a1HDm000000bvjiMAA</v>
      </c>
      <c r="D221" s="384"/>
      <c r="E221" s="384">
        <f t="shared" ca="1" si="25"/>
        <v>4</v>
      </c>
      <c r="F221" s="389">
        <f ca="1">IFERROR(IF(COUNTA($D$41:$D221)=1,"",OFFSET($F219,-COUNTA($D$41:$D221)+3,0)),"")</f>
        <v>15</v>
      </c>
      <c r="G221" s="384"/>
      <c r="H221" s="384">
        <f t="shared" ca="1" si="26"/>
        <v>37</v>
      </c>
      <c r="I221" s="395" t="str">
        <f t="shared" ca="1" si="30"/>
        <v/>
      </c>
      <c r="J221" s="395" t="str">
        <f t="shared" ca="1" si="31"/>
        <v/>
      </c>
      <c r="K221" s="386" t="str">
        <f t="shared" ca="1" si="32"/>
        <v/>
      </c>
      <c r="L221" s="388" t="str">
        <f ca="1">IFERROR(CHOOSE(E221,'Impact Indicators - Section B '!$K$7,'Impact Indicators - Section B '!$O$7,'Impact Indicators - Section B '!$S$7,'Impact Indicators - Section B '!$W$7,'Impact Indicators - Section B '!#REF!),"")</f>
        <v/>
      </c>
      <c r="M221" s="396" t="str">
        <f t="shared" ca="1" si="33"/>
        <v/>
      </c>
      <c r="N221" s="388" t="str">
        <f t="shared" ca="1" si="34"/>
        <v/>
      </c>
      <c r="O221" s="384" t="str">
        <f ca="1">IFERROR(IF(COUNTA($D$41:$D221)=1,"",OFFSET($C219,-COUNTA($D$41:$D221)+3,0)),"")</f>
        <v>a1HDm000000bvjiMAA</v>
      </c>
      <c r="P221" s="384">
        <f t="shared" si="27"/>
        <v>0</v>
      </c>
      <c r="Q221" s="384"/>
      <c r="R221" s="384"/>
      <c r="S221" s="384"/>
      <c r="T221" s="384" t="b">
        <f t="shared" ca="1" si="35"/>
        <v>0</v>
      </c>
    </row>
    <row r="222" spans="1:20" x14ac:dyDescent="0.3">
      <c r="A222" s="384" t="b">
        <f t="shared" ca="1" si="28"/>
        <v>0</v>
      </c>
      <c r="B222" s="394"/>
      <c r="C222" s="393" t="str">
        <f t="shared" ca="1" si="29"/>
        <v>a1HDm000000bvjxMAA</v>
      </c>
      <c r="D222" s="384"/>
      <c r="E222" s="384">
        <f t="shared" ca="1" si="25"/>
        <v>5</v>
      </c>
      <c r="F222" s="389">
        <f ca="1">IFERROR(IF(COUNTA($D$41:$D222)=1,"",OFFSET($F220,-COUNTA($D$41:$D222)+3,0)),"")</f>
        <v>15</v>
      </c>
      <c r="G222" s="384"/>
      <c r="H222" s="384">
        <f t="shared" ca="1" si="26"/>
        <v>37</v>
      </c>
      <c r="I222" s="395" t="str">
        <f t="shared" ca="1" si="30"/>
        <v/>
      </c>
      <c r="J222" s="395" t="str">
        <f t="shared" ca="1" si="31"/>
        <v/>
      </c>
      <c r="K222" s="386" t="str">
        <f t="shared" ca="1" si="32"/>
        <v/>
      </c>
      <c r="L222" s="388" t="str">
        <f ca="1">IFERROR(CHOOSE(E222,'Impact Indicators - Section B '!$K$7,'Impact Indicators - Section B '!$O$7,'Impact Indicators - Section B '!$S$7,'Impact Indicators - Section B '!$W$7,'Impact Indicators - Section B '!#REF!),"")</f>
        <v/>
      </c>
      <c r="M222" s="396" t="str">
        <f t="shared" ca="1" si="33"/>
        <v/>
      </c>
      <c r="N222" s="388" t="str">
        <f t="shared" ca="1" si="34"/>
        <v/>
      </c>
      <c r="O222" s="384" t="str">
        <f ca="1">IFERROR(IF(COUNTA($D$41:$D222)=1,"",OFFSET($C220,-COUNTA($D$41:$D222)+3,0)),"")</f>
        <v>a1HDm000000bvjxMAA</v>
      </c>
      <c r="P222" s="384">
        <f t="shared" si="27"/>
        <v>0</v>
      </c>
      <c r="Q222" s="384"/>
      <c r="R222" s="384"/>
      <c r="S222" s="384"/>
      <c r="T222" s="384" t="b">
        <f t="shared" ca="1" si="35"/>
        <v>0</v>
      </c>
    </row>
    <row r="223" spans="1:20" x14ac:dyDescent="0.3">
      <c r="A223" s="384" t="b">
        <f t="shared" ca="1" si="28"/>
        <v>0</v>
      </c>
      <c r="B223" s="394"/>
      <c r="C223" s="393" t="str">
        <f t="shared" ca="1" si="29"/>
        <v>a1HDm000000bvkCMAQ</v>
      </c>
      <c r="D223" s="384"/>
      <c r="E223" s="384">
        <f t="shared" ca="1" si="25"/>
        <v>6</v>
      </c>
      <c r="F223" s="389">
        <f ca="1">IFERROR(IF(COUNTA($D$41:$D223)=1,"",OFFSET($F221,-COUNTA($D$41:$D223)+3,0)),"")</f>
        <v>15</v>
      </c>
      <c r="G223" s="384"/>
      <c r="H223" s="384">
        <f t="shared" ca="1" si="26"/>
        <v>37</v>
      </c>
      <c r="I223" s="395" t="str">
        <f t="shared" ca="1" si="30"/>
        <v/>
      </c>
      <c r="J223" s="395" t="str">
        <f t="shared" ca="1" si="31"/>
        <v/>
      </c>
      <c r="K223" s="386" t="str">
        <f t="shared" ca="1" si="32"/>
        <v/>
      </c>
      <c r="L223" s="388" t="str">
        <f ca="1">IFERROR(CHOOSE(E223,'Impact Indicators - Section B '!$K$7,'Impact Indicators - Section B '!$O$7,'Impact Indicators - Section B '!$S$7,'Impact Indicators - Section B '!$W$7,'Impact Indicators - Section B '!#REF!),"")</f>
        <v/>
      </c>
      <c r="M223" s="396" t="str">
        <f t="shared" ca="1" si="33"/>
        <v/>
      </c>
      <c r="N223" s="388" t="str">
        <f t="shared" ca="1" si="34"/>
        <v/>
      </c>
      <c r="O223" s="384" t="str">
        <f ca="1">IFERROR(IF(COUNTA($D$41:$D223)=1,"",OFFSET($C221,-COUNTA($D$41:$D223)+3,0)),"")</f>
        <v>a1HDm000000bvkCMAQ</v>
      </c>
      <c r="P223" s="384">
        <f t="shared" si="27"/>
        <v>0</v>
      </c>
      <c r="Q223" s="384"/>
      <c r="R223" s="384"/>
      <c r="S223" s="384"/>
      <c r="T223" s="384" t="b">
        <f t="shared" ca="1" si="35"/>
        <v>0</v>
      </c>
    </row>
    <row r="224" spans="1:20" x14ac:dyDescent="0.3">
      <c r="J224" s="383" t="str">
        <f ca="1">IF(ROW()&gt;'Impact Indicator Target Update'!A6,"",INDIRECT("'Impact Indicators - Section B'!A"&amp;'Impact Indicator Target Update'!D6))</f>
        <v/>
      </c>
    </row>
    <row r="225" spans="1:17" x14ac:dyDescent="0.3">
      <c r="A225" s="382" t="s">
        <v>2428</v>
      </c>
      <c r="B225" s="383" t="s">
        <v>2282</v>
      </c>
      <c r="I225" s="383" t="s">
        <v>2283</v>
      </c>
      <c r="J225" s="383" t="str">
        <f ca="1">IF(ROW()&gt;'Impact Indicator Target Update'!A7,"",INDIRECT("'Impact Indicators - Section B'!A"&amp;'Impact Indicator Target Update'!D7))</f>
        <v/>
      </c>
    </row>
    <row r="226" spans="1:17" x14ac:dyDescent="0.3">
      <c r="A226" s="384" t="s">
        <v>325</v>
      </c>
      <c r="B226" s="384">
        <v>5</v>
      </c>
      <c r="C226" s="384" t="s">
        <v>318</v>
      </c>
      <c r="D226" s="384" t="s">
        <v>105</v>
      </c>
      <c r="E226" s="384" t="s">
        <v>2295</v>
      </c>
      <c r="F226" s="384" t="s">
        <v>2296</v>
      </c>
      <c r="G226" s="384" t="s">
        <v>741</v>
      </c>
      <c r="H226" s="384" t="s">
        <v>199</v>
      </c>
      <c r="I226" s="384">
        <v>1</v>
      </c>
      <c r="J226" s="384" t="s">
        <v>2297</v>
      </c>
      <c r="K226" s="384" t="s">
        <v>2429</v>
      </c>
      <c r="L226" s="384" t="s">
        <v>2430</v>
      </c>
      <c r="M226" s="384" t="s">
        <v>2431</v>
      </c>
      <c r="N226" s="384" t="s">
        <v>2084</v>
      </c>
      <c r="O226" s="384" t="s">
        <v>120</v>
      </c>
      <c r="P226" s="384" t="s">
        <v>2432</v>
      </c>
      <c r="Q226" s="384" t="s">
        <v>2299</v>
      </c>
    </row>
    <row r="227" spans="1:17" hidden="1" x14ac:dyDescent="0.3">
      <c r="A227" s="384" t="b">
        <f ca="1">IF(OR(L227&lt;&gt;"",M227&lt;&gt;""),TRUE,FALSE)</f>
        <v>0</v>
      </c>
      <c r="B227" s="384">
        <f>IF(_xlfn.ISFORMULA(J227),B226+2,B226)</f>
        <v>7</v>
      </c>
      <c r="C227" s="384" t="str">
        <f>IFERROR(IF(AND(I227=2,B227=7),"blank",INDEX(C$226:C227,I227,1)),"")</f>
        <v>blank</v>
      </c>
      <c r="D227" s="386" t="str">
        <f ca="1">IFERROR(IF(INDIRECT("'Outcome Indicators - Section C '!E"&amp;$B227)="","",INDIRECT("'Outcome Indicators - Section C '!E"&amp;$B227)*100),"")</f>
        <v/>
      </c>
      <c r="E227" s="387" t="str">
        <f ca="1">IFERROR(IF(INDIRECT("'Outcome Indicators - Section C '!D"&amp;$B227+1)="","",INDIRECT("'Outcome Indicators - Section C '!D"&amp;$B227+1)),"")</f>
        <v>Baseline #N Baseline #D</v>
      </c>
      <c r="F227" s="387" t="str">
        <f ca="1">IFERROR(IF(INDIRECT("'Outcome Indicators - Section C '!D"&amp;$B227)="","",INDIRECT("'Outcome Indicators - Section C '!D"&amp;$B227)),"")</f>
        <v/>
      </c>
      <c r="G227" s="388" t="str">
        <f ca="1">IFERROR(IF(INDIRECT("'Outcome Indicators - Section C '!F"&amp;$B227)=0,"",INDIRECT("'Outcome Indicators - Section C '!F"&amp;$B227)),"")</f>
        <v/>
      </c>
      <c r="H227" s="388" t="str">
        <f ca="1">IFERROR(IF(INDIRECT("'Outcome Indicators - Section C '!G"&amp;$B227)="","",INDIRECT("'Outcome Indicators - Section C '!G"&amp;$B227)),"")</f>
        <v/>
      </c>
      <c r="I227" s="384">
        <f>IF(_xlfn.ISFORMULA(J227),I226+1,I226)</f>
        <v>2</v>
      </c>
      <c r="J227" s="388" t="str">
        <f ca="1">IFERROR(IF(INDIRECT("'Outcome Indicators - Section C '!AA"&amp;$B227)="","",INDIRECT("'Outcome Indicators - Section C '!AA"&amp;$B227)),"")</f>
        <v/>
      </c>
      <c r="K227" s="389" t="e">
        <f>IF(K226=15,1,K226+1)</f>
        <v>#VALUE!</v>
      </c>
      <c r="L227" s="388" t="str">
        <f ca="1">IFERROR(IF(INDIRECT("'Outcome Indicators - Section C '!C"&amp;$B227)=0,"",INDIRECT("'Outcome Indicators - Section C '!C"&amp;$B227)),"")</f>
        <v/>
      </c>
      <c r="M227" s="384" t="str">
        <f t="array" aca="1" ref="M227" ca="1">IFERROR(VLOOKUP(LEFT(INDIRECT("'Outcome Indicators - Section C '!B"&amp;$B227),255),LEFT('Reference Records'!$C$26:$L$81,255),10,0),"")</f>
        <v/>
      </c>
      <c r="N227" s="384" t="str">
        <f ca="1">IFERROR(IF(INDIRECT("'Outcome Indicators - Section C '!j"&amp;$B227)=0,"",INDIRECT("'Outcome Indicators - Section C '!j"&amp;$B227)),"")</f>
        <v/>
      </c>
      <c r="O227" s="384" t="str">
        <f ca="1">IFERROR(VLOOKUP(INDIRECT("'Outcome Indicators - Section C '!I"&amp;$B227),'Overview - Section A'!M$30:P41,4,0),IFERROR(VLOOKUP(INDIRECT("'Outcome Indicators - Section C '!I"&amp;$B227),'Overview - Section A'!E$27:I29,5,0),""))</f>
        <v/>
      </c>
      <c r="P227" s="388" t="s">
        <v>2433</v>
      </c>
      <c r="Q227" s="384" t="s">
        <v>2301</v>
      </c>
    </row>
    <row r="228" spans="1:17" x14ac:dyDescent="0.3">
      <c r="A228" s="384" t="b">
        <v>0</v>
      </c>
      <c r="B228" s="384">
        <f t="shared" ref="B228:B257" si="36">IF(_xlfn.ISFORMULA(J228),B227+2,B227)</f>
        <v>7</v>
      </c>
      <c r="C228" s="384" t="s">
        <v>2434</v>
      </c>
      <c r="D228" s="386"/>
      <c r="E228" s="387"/>
      <c r="F228" s="387"/>
      <c r="G228" s="388"/>
      <c r="H228" s="388"/>
      <c r="I228" s="384">
        <f t="shared" ref="I228:I257" si="37">IF(_xlfn.ISFORMULA(J228),I227+1,I227)</f>
        <v>2</v>
      </c>
      <c r="J228" s="388"/>
      <c r="K228" s="389">
        <v>1</v>
      </c>
      <c r="L228" s="388"/>
      <c r="M228" s="384"/>
      <c r="N228" s="384"/>
      <c r="O228" s="384"/>
      <c r="P228" s="388"/>
      <c r="Q228" s="384"/>
    </row>
    <row r="229" spans="1:17" x14ac:dyDescent="0.3">
      <c r="A229" s="384" t="b">
        <v>0</v>
      </c>
      <c r="B229" s="384">
        <f t="shared" si="36"/>
        <v>7</v>
      </c>
      <c r="C229" s="384" t="s">
        <v>2435</v>
      </c>
      <c r="D229" s="386"/>
      <c r="E229" s="387"/>
      <c r="F229" s="387"/>
      <c r="G229" s="388"/>
      <c r="H229" s="388"/>
      <c r="I229" s="384">
        <f t="shared" si="37"/>
        <v>2</v>
      </c>
      <c r="J229" s="388"/>
      <c r="K229" s="389">
        <v>2</v>
      </c>
      <c r="L229" s="388"/>
      <c r="M229" s="384"/>
      <c r="N229" s="384"/>
      <c r="O229" s="384"/>
      <c r="P229" s="388"/>
      <c r="Q229" s="384"/>
    </row>
    <row r="230" spans="1:17" x14ac:dyDescent="0.3">
      <c r="A230" s="384" t="b">
        <v>0</v>
      </c>
      <c r="B230" s="384">
        <f t="shared" si="36"/>
        <v>7</v>
      </c>
      <c r="C230" s="384" t="s">
        <v>2436</v>
      </c>
      <c r="D230" s="386"/>
      <c r="E230" s="387"/>
      <c r="F230" s="387"/>
      <c r="G230" s="388"/>
      <c r="H230" s="388"/>
      <c r="I230" s="384">
        <f t="shared" si="37"/>
        <v>2</v>
      </c>
      <c r="J230" s="388"/>
      <c r="K230" s="389">
        <v>3</v>
      </c>
      <c r="L230" s="388"/>
      <c r="M230" s="384"/>
      <c r="N230" s="384"/>
      <c r="O230" s="384"/>
      <c r="P230" s="388"/>
      <c r="Q230" s="384"/>
    </row>
    <row r="231" spans="1:17" x14ac:dyDescent="0.3">
      <c r="A231" s="384" t="b">
        <v>0</v>
      </c>
      <c r="B231" s="384">
        <f t="shared" si="36"/>
        <v>7</v>
      </c>
      <c r="C231" s="384" t="s">
        <v>2437</v>
      </c>
      <c r="D231" s="386"/>
      <c r="E231" s="387"/>
      <c r="F231" s="387"/>
      <c r="G231" s="388"/>
      <c r="H231" s="388"/>
      <c r="I231" s="384">
        <f t="shared" si="37"/>
        <v>2</v>
      </c>
      <c r="J231" s="388"/>
      <c r="K231" s="389">
        <v>4</v>
      </c>
      <c r="L231" s="388"/>
      <c r="M231" s="384"/>
      <c r="N231" s="384"/>
      <c r="O231" s="384"/>
      <c r="P231" s="388"/>
      <c r="Q231" s="384"/>
    </row>
    <row r="232" spans="1:17" x14ac:dyDescent="0.3">
      <c r="A232" s="384" t="b">
        <v>0</v>
      </c>
      <c r="B232" s="384">
        <f t="shared" si="36"/>
        <v>7</v>
      </c>
      <c r="C232" s="384" t="s">
        <v>2438</v>
      </c>
      <c r="D232" s="386"/>
      <c r="E232" s="387"/>
      <c r="F232" s="387"/>
      <c r="G232" s="388"/>
      <c r="H232" s="388"/>
      <c r="I232" s="384">
        <f t="shared" si="37"/>
        <v>2</v>
      </c>
      <c r="J232" s="388"/>
      <c r="K232" s="389">
        <v>5</v>
      </c>
      <c r="L232" s="388"/>
      <c r="M232" s="384"/>
      <c r="N232" s="384"/>
      <c r="O232" s="384"/>
      <c r="P232" s="388"/>
      <c r="Q232" s="384"/>
    </row>
    <row r="233" spans="1:17" x14ac:dyDescent="0.3">
      <c r="A233" s="384" t="b">
        <v>0</v>
      </c>
      <c r="B233" s="384">
        <f t="shared" si="36"/>
        <v>7</v>
      </c>
      <c r="C233" s="384" t="s">
        <v>2439</v>
      </c>
      <c r="D233" s="386"/>
      <c r="E233" s="387"/>
      <c r="F233" s="387"/>
      <c r="G233" s="388"/>
      <c r="H233" s="388"/>
      <c r="I233" s="384">
        <f t="shared" si="37"/>
        <v>2</v>
      </c>
      <c r="J233" s="388"/>
      <c r="K233" s="389">
        <v>6</v>
      </c>
      <c r="L233" s="388"/>
      <c r="M233" s="384"/>
      <c r="N233" s="384"/>
      <c r="O233" s="384"/>
      <c r="P233" s="388"/>
      <c r="Q233" s="384"/>
    </row>
    <row r="234" spans="1:17" x14ac:dyDescent="0.3">
      <c r="A234" s="384" t="b">
        <v>0</v>
      </c>
      <c r="B234" s="384">
        <f t="shared" si="36"/>
        <v>7</v>
      </c>
      <c r="C234" s="384" t="s">
        <v>2440</v>
      </c>
      <c r="D234" s="386"/>
      <c r="E234" s="387"/>
      <c r="F234" s="387"/>
      <c r="G234" s="388"/>
      <c r="H234" s="388"/>
      <c r="I234" s="384">
        <f t="shared" si="37"/>
        <v>2</v>
      </c>
      <c r="J234" s="388"/>
      <c r="K234" s="389">
        <v>7</v>
      </c>
      <c r="L234" s="388"/>
      <c r="M234" s="384"/>
      <c r="N234" s="384"/>
      <c r="O234" s="384"/>
      <c r="P234" s="388"/>
      <c r="Q234" s="384"/>
    </row>
    <row r="235" spans="1:17" x14ac:dyDescent="0.3">
      <c r="A235" s="384" t="b">
        <v>0</v>
      </c>
      <c r="B235" s="384">
        <f t="shared" si="36"/>
        <v>7</v>
      </c>
      <c r="C235" s="384" t="s">
        <v>2441</v>
      </c>
      <c r="D235" s="386"/>
      <c r="E235" s="387"/>
      <c r="F235" s="387"/>
      <c r="G235" s="388"/>
      <c r="H235" s="388"/>
      <c r="I235" s="384">
        <f t="shared" si="37"/>
        <v>2</v>
      </c>
      <c r="J235" s="388"/>
      <c r="K235" s="389">
        <v>8</v>
      </c>
      <c r="L235" s="388"/>
      <c r="M235" s="384"/>
      <c r="N235" s="384"/>
      <c r="O235" s="384"/>
      <c r="P235" s="388"/>
      <c r="Q235" s="384"/>
    </row>
    <row r="236" spans="1:17" x14ac:dyDescent="0.3">
      <c r="A236" s="384" t="b">
        <v>0</v>
      </c>
      <c r="B236" s="384">
        <f t="shared" si="36"/>
        <v>7</v>
      </c>
      <c r="C236" s="384" t="s">
        <v>2442</v>
      </c>
      <c r="D236" s="386"/>
      <c r="E236" s="387"/>
      <c r="F236" s="387"/>
      <c r="G236" s="388"/>
      <c r="H236" s="388"/>
      <c r="I236" s="384">
        <f t="shared" si="37"/>
        <v>2</v>
      </c>
      <c r="J236" s="388"/>
      <c r="K236" s="389">
        <v>9</v>
      </c>
      <c r="L236" s="388"/>
      <c r="M236" s="384"/>
      <c r="N236" s="384"/>
      <c r="O236" s="384"/>
      <c r="P236" s="388"/>
      <c r="Q236" s="384"/>
    </row>
    <row r="237" spans="1:17" x14ac:dyDescent="0.3">
      <c r="A237" s="384" t="b">
        <v>0</v>
      </c>
      <c r="B237" s="384">
        <f t="shared" si="36"/>
        <v>7</v>
      </c>
      <c r="C237" s="384" t="s">
        <v>2443</v>
      </c>
      <c r="D237" s="386"/>
      <c r="E237" s="387"/>
      <c r="F237" s="387"/>
      <c r="G237" s="388"/>
      <c r="H237" s="388"/>
      <c r="I237" s="384">
        <f t="shared" si="37"/>
        <v>2</v>
      </c>
      <c r="J237" s="388"/>
      <c r="K237" s="389">
        <v>10</v>
      </c>
      <c r="L237" s="388"/>
      <c r="M237" s="384"/>
      <c r="N237" s="384"/>
      <c r="O237" s="384"/>
      <c r="P237" s="388"/>
      <c r="Q237" s="384"/>
    </row>
    <row r="238" spans="1:17" x14ac:dyDescent="0.3">
      <c r="A238" s="384" t="b">
        <v>0</v>
      </c>
      <c r="B238" s="384">
        <f t="shared" si="36"/>
        <v>7</v>
      </c>
      <c r="C238" s="384" t="s">
        <v>2444</v>
      </c>
      <c r="D238" s="386"/>
      <c r="E238" s="387"/>
      <c r="F238" s="387"/>
      <c r="G238" s="388"/>
      <c r="H238" s="388"/>
      <c r="I238" s="384">
        <f t="shared" si="37"/>
        <v>2</v>
      </c>
      <c r="J238" s="388"/>
      <c r="K238" s="389">
        <v>11</v>
      </c>
      <c r="L238" s="388"/>
      <c r="M238" s="384"/>
      <c r="N238" s="384"/>
      <c r="O238" s="384"/>
      <c r="P238" s="388"/>
      <c r="Q238" s="384"/>
    </row>
    <row r="239" spans="1:17" x14ac:dyDescent="0.3">
      <c r="A239" s="384" t="b">
        <v>0</v>
      </c>
      <c r="B239" s="384">
        <f t="shared" si="36"/>
        <v>7</v>
      </c>
      <c r="C239" s="384" t="s">
        <v>2445</v>
      </c>
      <c r="D239" s="386"/>
      <c r="E239" s="387"/>
      <c r="F239" s="387"/>
      <c r="G239" s="388"/>
      <c r="H239" s="388"/>
      <c r="I239" s="384">
        <f t="shared" si="37"/>
        <v>2</v>
      </c>
      <c r="J239" s="388"/>
      <c r="K239" s="389">
        <v>12</v>
      </c>
      <c r="L239" s="388"/>
      <c r="M239" s="384"/>
      <c r="N239" s="384"/>
      <c r="O239" s="384"/>
      <c r="P239" s="388"/>
      <c r="Q239" s="384"/>
    </row>
    <row r="240" spans="1:17" x14ac:dyDescent="0.3">
      <c r="A240" s="384" t="b">
        <v>0</v>
      </c>
      <c r="B240" s="384">
        <f t="shared" si="36"/>
        <v>7</v>
      </c>
      <c r="C240" s="384" t="s">
        <v>2446</v>
      </c>
      <c r="D240" s="386"/>
      <c r="E240" s="387"/>
      <c r="F240" s="387"/>
      <c r="G240" s="388"/>
      <c r="H240" s="388"/>
      <c r="I240" s="384">
        <f t="shared" si="37"/>
        <v>2</v>
      </c>
      <c r="J240" s="388"/>
      <c r="K240" s="389">
        <v>13</v>
      </c>
      <c r="L240" s="388"/>
      <c r="M240" s="384"/>
      <c r="N240" s="384"/>
      <c r="O240" s="384"/>
      <c r="P240" s="388"/>
      <c r="Q240" s="384"/>
    </row>
    <row r="241" spans="1:17" x14ac:dyDescent="0.3">
      <c r="A241" s="384" t="b">
        <v>0</v>
      </c>
      <c r="B241" s="384">
        <f t="shared" si="36"/>
        <v>7</v>
      </c>
      <c r="C241" s="384" t="s">
        <v>2447</v>
      </c>
      <c r="D241" s="386"/>
      <c r="E241" s="387"/>
      <c r="F241" s="387"/>
      <c r="G241" s="388"/>
      <c r="H241" s="388"/>
      <c r="I241" s="384">
        <f t="shared" si="37"/>
        <v>2</v>
      </c>
      <c r="J241" s="388"/>
      <c r="K241" s="389">
        <v>14</v>
      </c>
      <c r="L241" s="388"/>
      <c r="M241" s="384"/>
      <c r="N241" s="384"/>
      <c r="O241" s="384"/>
      <c r="P241" s="388"/>
      <c r="Q241" s="384"/>
    </row>
    <row r="242" spans="1:17" x14ac:dyDescent="0.3">
      <c r="A242" s="384" t="b">
        <v>0</v>
      </c>
      <c r="B242" s="384">
        <f t="shared" si="36"/>
        <v>7</v>
      </c>
      <c r="C242" s="384" t="s">
        <v>2448</v>
      </c>
      <c r="D242" s="386"/>
      <c r="E242" s="387"/>
      <c r="F242" s="387"/>
      <c r="G242" s="388"/>
      <c r="H242" s="388"/>
      <c r="I242" s="384">
        <f t="shared" si="37"/>
        <v>2</v>
      </c>
      <c r="J242" s="388"/>
      <c r="K242" s="389">
        <v>15</v>
      </c>
      <c r="L242" s="388"/>
      <c r="M242" s="384"/>
      <c r="N242" s="384"/>
      <c r="O242" s="384"/>
      <c r="P242" s="388"/>
      <c r="Q242" s="384"/>
    </row>
    <row r="243" spans="1:17" x14ac:dyDescent="0.3">
      <c r="A243" s="384" t="b">
        <f t="shared" ref="A243:A257" ca="1" si="38">IF(OR(L243&lt;&gt;"",M243&lt;&gt;""),TRUE,FALSE)</f>
        <v>1</v>
      </c>
      <c r="B243" s="384">
        <f t="shared" si="36"/>
        <v>9</v>
      </c>
      <c r="C243" s="393" t="str">
        <f>IFERROR(IF(AND(I243=2,B243=7),"blank",INDEX(C$226:C243,I243,1)),"")</f>
        <v>a1XDm000000GoW7MAK</v>
      </c>
      <c r="D243" s="386">
        <f t="shared" ref="D243:D257" ca="1" si="39">IFERROR(IF(INDIRECT("'Outcome Indicators - Section C '!E"&amp;$B243)="","",INDIRECT("'Outcome Indicators - Section C '!E"&amp;$B243)*100),"")</f>
        <v>53</v>
      </c>
      <c r="E243" s="387" t="str">
        <f t="shared" ref="E243:E257" ca="1" si="40">IFERROR(IF(INDIRECT("'Outcome Indicators - Section C '!D"&amp;$B243+1)="","",INDIRECT("'Outcome Indicators - Section C '!D"&amp;$B243+1)),"")</f>
        <v/>
      </c>
      <c r="F243" s="387" t="str">
        <f t="shared" ref="F243:F257" ca="1" si="41">IFERROR(IF(INDIRECT("'Outcome Indicators - Section C '!D"&amp;$B243)="","",INDIRECT("'Outcome Indicators - Section C '!D"&amp;$B243)),"")</f>
        <v/>
      </c>
      <c r="G243" s="388">
        <f t="shared" ref="G243:G257" ca="1" si="42">IFERROR(IF(INDIRECT("'Outcome Indicators - Section C '!F"&amp;$B243)=0,"",INDIRECT("'Outcome Indicators - Section C '!F"&amp;$B243)),"")</f>
        <v>2021</v>
      </c>
      <c r="H243" s="388" t="str">
        <f t="shared" ref="H243:H257" ca="1" si="43">IFERROR(IF(INDIRECT("'Outcome Indicators - Section C '!G"&amp;$B243)="","",INDIRECT("'Outcome Indicators - Section C '!G"&amp;$B243)),"")</f>
        <v>IBBS 2021 Kyrgyz Republic</v>
      </c>
      <c r="I243" s="384">
        <f t="shared" si="37"/>
        <v>3</v>
      </c>
      <c r="J243" s="388" t="str">
        <f t="shared" ref="J243:J257" ca="1" si="44">IFERROR(IF(INDIRECT("'Outcome Indicators - Section C '!AA"&amp;$B243)="","",INDIRECT("'Outcome Indicators - Section C '!AA"&amp;$B243)),"")</f>
        <v>As a baseline, the results of the 2021 IBBS are presented, weighted by the Bishkek site only, taking into account the size of the social network of respondents. RCHV&amp;HIV report "Biobehavioral HIV survey among people who inject drugs and men who have sex with men in the Kyrgyz Republic, 2021.  Numerator: Number of men who have sex with men who reported using a condom the last time they had anal sex Denominator: Number of men who have sex with men who reported having had anal sex with a male partner in the past six months</v>
      </c>
      <c r="K243" s="389">
        <f t="shared" ref="K243:K257" si="45">IF(K242=15,1,K242+1)</f>
        <v>1</v>
      </c>
      <c r="L243" s="388" t="str">
        <f t="shared" ref="L243:L257" ca="1" si="46">IFERROR(IF(INDIRECT("'Outcome Indicators - Section C '!C"&amp;$B243)=0,"",INDIRECT("'Outcome Indicators - Section C '!C"&amp;$B243)),"")</f>
        <v/>
      </c>
      <c r="M243" s="384" t="str">
        <f t="array" aca="1" ref="M243" ca="1">IFERROR(VLOOKUP(LEFT(INDIRECT("'Outcome Indicators - Section C '!B"&amp;$B243),255),LEFT('Reference Records'!$C$26:$L$81,255),10,0),"")</f>
        <v>IOR-00171</v>
      </c>
      <c r="N243" s="384" t="str">
        <f t="shared" ref="N243:N257" ca="1" si="47">IFERROR(IF(INDIRECT("'Outcome Indicators - Section C '!j"&amp;$B243)=0,"",INDIRECT("'Outcome Indicators - Section C '!j"&amp;$B243)),"")</f>
        <v/>
      </c>
      <c r="O243" s="384" t="str">
        <f ca="1">IFERROR(VLOOKUP(INDIRECT("'Outcome Indicators - Section C '!I"&amp;$B243),'Overview - Section A'!M$30:P57,4,0),IFERROR(VLOOKUP(INDIRECT("'Outcome Indicators - Section C '!I"&amp;$B243),'Overview - Section A'!E$27:I45,5,0),""))</f>
        <v/>
      </c>
      <c r="P243" s="388"/>
      <c r="Q243" s="384"/>
    </row>
    <row r="244" spans="1:17" x14ac:dyDescent="0.3">
      <c r="A244" s="384" t="b">
        <f t="shared" ca="1" si="38"/>
        <v>1</v>
      </c>
      <c r="B244" s="384">
        <f t="shared" si="36"/>
        <v>11</v>
      </c>
      <c r="C244" s="393" t="str">
        <f>IFERROR(IF(AND(I244=2,B244=7),"blank",INDEX(C$226:C244,I244,1)),"")</f>
        <v>a1XDm000000GoW8MAK</v>
      </c>
      <c r="D244" s="386">
        <f t="shared" ca="1" si="39"/>
        <v>93.037974683544306</v>
      </c>
      <c r="E244" s="387">
        <f t="shared" ca="1" si="40"/>
        <v>474</v>
      </c>
      <c r="F244" s="387">
        <f t="shared" ca="1" si="41"/>
        <v>441</v>
      </c>
      <c r="G244" s="388">
        <f t="shared" ca="1" si="42"/>
        <v>2022</v>
      </c>
      <c r="H244" s="388" t="str">
        <f t="shared" ca="1" si="43"/>
        <v>IBBS 2022 Kyrgyz Republic</v>
      </c>
      <c r="I244" s="384">
        <f t="shared" si="37"/>
        <v>4</v>
      </c>
      <c r="J244" s="388" t="str">
        <f t="shared" ca="1" si="44"/>
        <v>As a baseline, preliminary 2022 IBBS results are presented, no final report has been submitted at the time of application. Numerator: Number of sex workers who reported using a condom with their last client Denominator: Number of sex workers who reported having commercial sex in the past 12 months</v>
      </c>
      <c r="K244" s="389">
        <f t="shared" si="45"/>
        <v>2</v>
      </c>
      <c r="L244" s="388" t="str">
        <f t="shared" ca="1" si="46"/>
        <v/>
      </c>
      <c r="M244" s="384" t="str">
        <f t="array" aca="1" ref="M244" ca="1">IFERROR(VLOOKUP(LEFT(INDIRECT("'Outcome Indicators - Section C '!B"&amp;$B244),255),LEFT('Reference Records'!$C$26:$L$81,255),10,0),"")</f>
        <v>IOR-00173</v>
      </c>
      <c r="N244" s="384" t="str">
        <f t="shared" ca="1" si="47"/>
        <v/>
      </c>
      <c r="O244" s="384" t="str">
        <f ca="1">IFERROR(VLOOKUP(INDIRECT("'Outcome Indicators - Section C '!I"&amp;$B244),'Overview - Section A'!M$30:P58,4,0),IFERROR(VLOOKUP(INDIRECT("'Outcome Indicators - Section C '!I"&amp;$B244),'Overview - Section A'!E$27:I46,5,0),""))</f>
        <v/>
      </c>
      <c r="P244" s="388"/>
      <c r="Q244" s="384"/>
    </row>
    <row r="245" spans="1:17" x14ac:dyDescent="0.3">
      <c r="A245" s="384" t="b">
        <f t="shared" ca="1" si="38"/>
        <v>1</v>
      </c>
      <c r="B245" s="384">
        <f t="shared" si="36"/>
        <v>13</v>
      </c>
      <c r="C245" s="393" t="str">
        <f>IFERROR(IF(AND(I245=2,B245=7),"blank",INDEX(C$226:C245,I245,1)),"")</f>
        <v>a1XDm000000GoW9MAK</v>
      </c>
      <c r="D245" s="386">
        <f t="shared" ca="1" si="39"/>
        <v>75</v>
      </c>
      <c r="E245" s="387" t="str">
        <f t="shared" ca="1" si="40"/>
        <v/>
      </c>
      <c r="F245" s="387" t="str">
        <f t="shared" ca="1" si="41"/>
        <v/>
      </c>
      <c r="G245" s="388">
        <f t="shared" ca="1" si="42"/>
        <v>2021</v>
      </c>
      <c r="H245" s="388" t="str">
        <f t="shared" ca="1" si="43"/>
        <v>IBBS 2021 Kyrgyz Republic</v>
      </c>
      <c r="I245" s="384">
        <f t="shared" si="37"/>
        <v>5</v>
      </c>
      <c r="J245" s="388" t="str">
        <f t="shared" ca="1" si="44"/>
        <v>As a baseline, the results of the 2021 IBBS are presented, weighted by the size of the social network of respondents. RCHV&amp;HIV report "Biobehavioral HIV Research among Transgender People, Bishkek, 2021. Numerator: Number of transgender people who reported using a condom at last sexual intercourse or anal sex Denominator:Number of transgender people surveyed who reported having sexual intercourse or anal sex in the past six months</v>
      </c>
      <c r="K245" s="389">
        <f t="shared" si="45"/>
        <v>3</v>
      </c>
      <c r="L245" s="388" t="str">
        <f t="shared" ca="1" si="46"/>
        <v/>
      </c>
      <c r="M245" s="384" t="str">
        <f t="array" aca="1" ref="M245" ca="1">IFERROR(VLOOKUP(LEFT(INDIRECT("'Outcome Indicators - Section C '!B"&amp;$B245),255),LEFT('Reference Records'!$C$26:$L$81,255),10,0),"")</f>
        <v>IOR-00172</v>
      </c>
      <c r="N245" s="384" t="str">
        <f t="shared" ca="1" si="47"/>
        <v/>
      </c>
      <c r="O245" s="384" t="str">
        <f ca="1">IFERROR(VLOOKUP(INDIRECT("'Outcome Indicators - Section C '!I"&amp;$B245),'Overview - Section A'!M$30:P59,4,0),IFERROR(VLOOKUP(INDIRECT("'Outcome Indicators - Section C '!I"&amp;$B245),'Overview - Section A'!E$27:I47,5,0),""))</f>
        <v/>
      </c>
      <c r="P245" s="388"/>
      <c r="Q245" s="384"/>
    </row>
    <row r="246" spans="1:17" x14ac:dyDescent="0.3">
      <c r="A246" s="384" t="b">
        <f t="shared" ca="1" si="38"/>
        <v>1</v>
      </c>
      <c r="B246" s="384">
        <f t="shared" si="36"/>
        <v>15</v>
      </c>
      <c r="C246" s="393" t="str">
        <f>IFERROR(IF(AND(I246=2,B246=7),"blank",INDEX(C$226:C246,I246,1)),"")</f>
        <v>a1XDm000000GoWAMA0</v>
      </c>
      <c r="D246" s="386">
        <f t="shared" ca="1" si="39"/>
        <v>95.899999999999991</v>
      </c>
      <c r="E246" s="387" t="str">
        <f t="shared" ca="1" si="40"/>
        <v/>
      </c>
      <c r="F246" s="387" t="str">
        <f t="shared" ca="1" si="41"/>
        <v/>
      </c>
      <c r="G246" s="388">
        <f t="shared" ca="1" si="42"/>
        <v>2021</v>
      </c>
      <c r="H246" s="388" t="str">
        <f t="shared" ca="1" si="43"/>
        <v>IBBS 2021 Kyrgyz Republic</v>
      </c>
      <c r="I246" s="384">
        <f t="shared" si="37"/>
        <v>6</v>
      </c>
      <c r="J246" s="388" t="str">
        <f t="shared" ca="1" si="44"/>
        <v>As a baseline, the results of the 2021 IBBS are presented, weighted by the size of the social network of respondents. RCHV&amp;HIV report "Biobehavioral HIV Research among Transgender People, Bishkek, 2021. Numerator: Number of people who inject drugs who report using sterile injecting equipment the last time they injected drugs Denominator: Number of people who inject drugs who report injecting drugs in the past month</v>
      </c>
      <c r="K246" s="389">
        <f t="shared" si="45"/>
        <v>4</v>
      </c>
      <c r="L246" s="388" t="str">
        <f t="shared" ca="1" si="46"/>
        <v/>
      </c>
      <c r="M246" s="384" t="str">
        <f t="array" aca="1" ref="M246" ca="1">IFERROR(VLOOKUP(LEFT(INDIRECT("'Outcome Indicators - Section C '!B"&amp;$B246),255),LEFT('Reference Records'!$C$26:$L$81,255),10,0),"")</f>
        <v>IOR-00174</v>
      </c>
      <c r="N246" s="384" t="str">
        <f t="shared" ca="1" si="47"/>
        <v/>
      </c>
      <c r="O246" s="384" t="str">
        <f ca="1">IFERROR(VLOOKUP(INDIRECT("'Outcome Indicators - Section C '!I"&amp;$B246),'Overview - Section A'!M$30:P60,4,0),IFERROR(VLOOKUP(INDIRECT("'Outcome Indicators - Section C '!I"&amp;$B246),'Overview - Section A'!E$27:I48,5,0),""))</f>
        <v/>
      </c>
      <c r="P246" s="388"/>
      <c r="Q246" s="384"/>
    </row>
    <row r="247" spans="1:17" x14ac:dyDescent="0.3">
      <c r="A247" s="384" t="b">
        <f t="shared" ca="1" si="38"/>
        <v>1</v>
      </c>
      <c r="B247" s="384">
        <f t="shared" si="36"/>
        <v>17</v>
      </c>
      <c r="C247" s="393" t="str">
        <f>IFERROR(IF(AND(I247=2,B247=7),"blank",INDEX(C$226:C247,I247,1)),"")</f>
        <v>a1XDm000000GoWBMA0</v>
      </c>
      <c r="D247" s="386">
        <f t="shared" ca="1" si="39"/>
        <v>83.07</v>
      </c>
      <c r="E247" s="387">
        <f t="shared" ca="1" si="40"/>
        <v>10000</v>
      </c>
      <c r="F247" s="387">
        <f t="shared" ca="1" si="41"/>
        <v>8307</v>
      </c>
      <c r="G247" s="388">
        <f t="shared" ca="1" si="42"/>
        <v>2022</v>
      </c>
      <c r="H247" s="388" t="str">
        <f t="shared" ca="1" si="43"/>
        <v>RCHV&amp;HIV, Electronic HIV Case Tracking System</v>
      </c>
      <c r="I247" s="384">
        <f t="shared" si="37"/>
        <v>7</v>
      </c>
      <c r="J247" s="388" t="str">
        <f t="shared" ca="1" si="44"/>
        <v xml:space="preserve">Numerator: Number of people living with HIV who know their HIV status. 
Denominator: Number of people living with HIV (estimated numbers according to the SPECTRUM data. 
 </v>
      </c>
      <c r="K247" s="389">
        <f t="shared" si="45"/>
        <v>5</v>
      </c>
      <c r="L247" s="388" t="str">
        <f t="shared" ca="1" si="46"/>
        <v/>
      </c>
      <c r="M247" s="384" t="str">
        <f t="array" aca="1" ref="M247" ca="1">IFERROR(VLOOKUP(LEFT(INDIRECT("'Outcome Indicators - Section C '!B"&amp;$B247),255),LEFT('Reference Records'!$C$26:$L$81,255),10,0),"")</f>
        <v>IOR-00177</v>
      </c>
      <c r="N247" s="384" t="str">
        <f t="shared" ca="1" si="47"/>
        <v/>
      </c>
      <c r="O247" s="384" t="str">
        <f ca="1">IFERROR(VLOOKUP(INDIRECT("'Outcome Indicators - Section C '!I"&amp;$B247),'Overview - Section A'!M$30:P61,4,0),IFERROR(VLOOKUP(INDIRECT("'Outcome Indicators - Section C '!I"&amp;$B247),'Overview - Section A'!E$27:I49,5,0),""))</f>
        <v/>
      </c>
      <c r="P247" s="388"/>
      <c r="Q247" s="384"/>
    </row>
    <row r="248" spans="1:17" x14ac:dyDescent="0.3">
      <c r="A248" s="384" t="b">
        <f t="shared" ca="1" si="38"/>
        <v>1</v>
      </c>
      <c r="B248" s="384">
        <f t="shared" si="36"/>
        <v>19</v>
      </c>
      <c r="C248" s="393" t="str">
        <f>IFERROR(IF(AND(I248=2,B248=7),"blank",INDEX(C$226:C248,I248,1)),"")</f>
        <v>a1XDm000000GoWCMA0</v>
      </c>
      <c r="D248" s="386">
        <f t="shared" ca="1" si="39"/>
        <v>95.899999999999991</v>
      </c>
      <c r="E248" s="387">
        <f t="shared" ca="1" si="40"/>
        <v>4953</v>
      </c>
      <c r="F248" s="387">
        <f t="shared" ca="1" si="41"/>
        <v>4750</v>
      </c>
      <c r="G248" s="388">
        <f t="shared" ca="1" si="42"/>
        <v>2022</v>
      </c>
      <c r="H248" s="388" t="str">
        <f t="shared" ca="1" si="43"/>
        <v>RCHV&amp;HIV, Electronic HIV Case Tracking System</v>
      </c>
      <c r="I248" s="384">
        <f t="shared" si="37"/>
        <v>8</v>
      </c>
      <c r="J248" s="388" t="str">
        <f t="shared" ca="1" si="44"/>
        <v xml:space="preserve">Numerator: Number of people living with HIV on ART for at least 6 months and with at least one routine VL test result who have virological suppression (&lt;1000 copies/mL) during the reporting period Denominator: Number of people living with HIV on ART for at least 6 months with at least one routine VL result in a medical or lab record during the reporting period. </v>
      </c>
      <c r="K248" s="389">
        <f t="shared" si="45"/>
        <v>6</v>
      </c>
      <c r="L248" s="388" t="str">
        <f t="shared" ca="1" si="46"/>
        <v/>
      </c>
      <c r="M248" s="384" t="str">
        <f t="array" aca="1" ref="M248" ca="1">IFERROR(VLOOKUP(LEFT(INDIRECT("'Outcome Indicators - Section C '!B"&amp;$B248),255),LEFT('Reference Records'!$C$26:$L$81,255),10,0),"")</f>
        <v>IOR-00179</v>
      </c>
      <c r="N248" s="384" t="str">
        <f t="shared" ca="1" si="47"/>
        <v/>
      </c>
      <c r="O248" s="384" t="str">
        <f ca="1">IFERROR(VLOOKUP(INDIRECT("'Outcome Indicators - Section C '!I"&amp;$B248),'Overview - Section A'!M$30:P62,4,0),IFERROR(VLOOKUP(INDIRECT("'Outcome Indicators - Section C '!I"&amp;$B248),'Overview - Section A'!E$27:I50,5,0),""))</f>
        <v/>
      </c>
      <c r="P248" s="388"/>
      <c r="Q248" s="384"/>
    </row>
    <row r="249" spans="1:17" x14ac:dyDescent="0.3">
      <c r="A249" s="384" t="b">
        <f t="shared" ca="1" si="38"/>
        <v>1</v>
      </c>
      <c r="B249" s="384">
        <f t="shared" si="36"/>
        <v>21</v>
      </c>
      <c r="C249" s="393" t="str">
        <f>IFERROR(IF(AND(I249=2,B249=7),"blank",INDEX(C$226:C249,I249,1)),"")</f>
        <v>a1XDm000000GoWDMA0</v>
      </c>
      <c r="D249" s="386">
        <f t="shared" ca="1" si="39"/>
        <v>10.1620029455081</v>
      </c>
      <c r="E249" s="387">
        <f t="shared" ca="1" si="40"/>
        <v>679</v>
      </c>
      <c r="F249" s="387">
        <f t="shared" ca="1" si="41"/>
        <v>69</v>
      </c>
      <c r="G249" s="388">
        <f t="shared" ca="1" si="42"/>
        <v>2022</v>
      </c>
      <c r="H249" s="388" t="str">
        <f t="shared" ca="1" si="43"/>
        <v>Index Stigmy-2.0</v>
      </c>
      <c r="I249" s="384">
        <f t="shared" si="37"/>
        <v>9</v>
      </c>
      <c r="J249" s="388" t="str">
        <f t="shared" ca="1" si="44"/>
        <v>The last PLHIV Stigma Index was conducted in 2020-2022, with the next Stigma Index scheduled for 2023. A report on the results of the study is provided by: https://www.stigmaindex.org/country-reports/#/m/KG                    Numerator: Number of respondents who respond in the affirmative (“Yes”) to at least one of the seven items per question Denominator: Number of survey respondents</v>
      </c>
      <c r="K249" s="389">
        <f t="shared" si="45"/>
        <v>7</v>
      </c>
      <c r="L249" s="388" t="str">
        <f t="shared" ca="1" si="46"/>
        <v/>
      </c>
      <c r="M249" s="384" t="str">
        <f t="array" aca="1" ref="M249" ca="1">IFERROR(VLOOKUP(LEFT(INDIRECT("'Outcome Indicators - Section C '!B"&amp;$B249),255),LEFT('Reference Records'!$C$26:$L$81,255),10,0),"")</f>
        <v>IOR-00183</v>
      </c>
      <c r="N249" s="384" t="str">
        <f t="shared" ca="1" si="47"/>
        <v/>
      </c>
      <c r="O249" s="384" t="str">
        <f ca="1">IFERROR(VLOOKUP(INDIRECT("'Outcome Indicators - Section C '!I"&amp;$B249),'Overview - Section A'!M$30:P63,4,0),IFERROR(VLOOKUP(INDIRECT("'Outcome Indicators - Section C '!I"&amp;$B249),'Overview - Section A'!E$27:I51,5,0),""))</f>
        <v/>
      </c>
      <c r="P249" s="388"/>
      <c r="Q249" s="384"/>
    </row>
    <row r="250" spans="1:17" x14ac:dyDescent="0.3">
      <c r="A250" s="384" t="b">
        <f t="shared" ca="1" si="38"/>
        <v>1</v>
      </c>
      <c r="B250" s="384">
        <f t="shared" si="36"/>
        <v>23</v>
      </c>
      <c r="C250" s="393" t="str">
        <f>IFERROR(IF(AND(I250=2,B250=7),"blank",INDEX(C$226:C250,I250,1)),"")</f>
        <v>a1XDm000000GoWEMA0</v>
      </c>
      <c r="D250" s="386">
        <f t="shared" ca="1" si="39"/>
        <v>54</v>
      </c>
      <c r="E250" s="387" t="str">
        <f t="shared" ca="1" si="40"/>
        <v/>
      </c>
      <c r="F250" s="387" t="str">
        <f t="shared" ca="1" si="41"/>
        <v/>
      </c>
      <c r="G250" s="388">
        <f t="shared" ca="1" si="42"/>
        <v>2021</v>
      </c>
      <c r="H250" s="388" t="str">
        <f t="shared" ca="1" si="43"/>
        <v>Global TB report</v>
      </c>
      <c r="I250" s="384">
        <f t="shared" si="37"/>
        <v>10</v>
      </c>
      <c r="J250" s="388" t="str">
        <f t="shared" ca="1" si="44"/>
        <v>This indicator was included first time in the grant application in 2018-2020, and up to COVID-19 pandemic continuously approved: 77% in 2017, 87% in 2018 and 2019. Due to COVID-19 related impact, the TB treatment coverage decreased till 62% in 2020, and continues to decline in 2021 (54%). It is expected that activities within active case finding, contact investigation and screening will contribute to detection of TB cases to be enrolled on treatment. Thus, TB treatment coverage will be improving: 60% in 2024, 65% in 2025 and 70% in 2026. Numerator: Number of new and relapse cases that were notified and treated. Denominator: Estimated number of incident people with TB in the same year (all form of TB - bacteriologically confirmed plus clinically diagnosed). Data will be reported based on published WHO Global TB report: 2024 – to be reported in October 2025, 2025 - to be reported in October 2026, 2026 - to be reported in October 2027.</v>
      </c>
      <c r="K250" s="389">
        <f t="shared" si="45"/>
        <v>8</v>
      </c>
      <c r="L250" s="388" t="str">
        <f t="shared" ca="1" si="46"/>
        <v/>
      </c>
      <c r="M250" s="384" t="str">
        <f t="array" aca="1" ref="M250" ca="1">IFERROR(VLOOKUP(LEFT(INDIRECT("'Outcome Indicators - Section C '!B"&amp;$B250),255),LEFT('Reference Records'!$C$26:$L$81,255),10,0),"")</f>
        <v>IOR-00198</v>
      </c>
      <c r="N250" s="384" t="str">
        <f t="shared" ca="1" si="47"/>
        <v>Kyrgyzstan</v>
      </c>
      <c r="O250" s="384" t="str">
        <f ca="1">IFERROR(VLOOKUP(INDIRECT("'Outcome Indicators - Section C '!I"&amp;$B250),'Overview - Section A'!M$30:P64,4,0),IFERROR(VLOOKUP(INDIRECT("'Outcome Indicators - Section C '!I"&amp;$B250),'Overview - Section A'!E$27:I52,5,0),""))</f>
        <v/>
      </c>
      <c r="P250" s="388"/>
      <c r="Q250" s="384"/>
    </row>
    <row r="251" spans="1:17" x14ac:dyDescent="0.3">
      <c r="A251" s="384" t="b">
        <f t="shared" ca="1" si="38"/>
        <v>1</v>
      </c>
      <c r="B251" s="384">
        <f t="shared" si="36"/>
        <v>25</v>
      </c>
      <c r="C251" s="393" t="str">
        <f>IFERROR(IF(AND(I251=2,B251=7),"blank",INDEX(C$226:C251,I251,1)),"")</f>
        <v>a1XDm000000GoWFMA0</v>
      </c>
      <c r="D251" s="386">
        <f t="shared" ca="1" si="39"/>
        <v>70.944881889763778</v>
      </c>
      <c r="E251" s="387">
        <f t="shared" ca="1" si="40"/>
        <v>1270</v>
      </c>
      <c r="F251" s="387">
        <f t="shared" ca="1" si="41"/>
        <v>901</v>
      </c>
      <c r="G251" s="388">
        <f t="shared" ca="1" si="42"/>
        <v>2021</v>
      </c>
      <c r="H251" s="388" t="str">
        <f t="shared" ca="1" si="43"/>
        <v>The report of the National TB CEnter</v>
      </c>
      <c r="I251" s="384">
        <f t="shared" si="37"/>
        <v>11</v>
      </c>
      <c r="J251" s="388" t="str">
        <f t="shared" ca="1" si="44"/>
        <v>Only the comprehensive patient-oriented approach and availability of the most effective treatment schemes countrywide promote improving the treatment results. It is envisaged, that 40-50% RR/MDR TB patient will be covered by new shorten regimens (BPaL and BPalM), which also contribute to increasing a treatment success rate in the country. Kyrgyzstan will achieve the 2025 WHO Europe regional milestone (≥80% treatment success). Numerator: Number of bacteriologically-confirmed RR and/or MDR-TB cases enrolled on second-line anti-TB treatment during the year of assessment who are successfully treated (cured plus completed treatment). Denominator: Total number of bacteriologically-confirmed RR TB and/or MDR-TB cases enrolled on second-line anti-TB treatment during the year of assessment. The National annual TB report. The data reporting tool for this indicator relates to the quarterly TB 08 U form.
According to the reporting cycle applied in the country (National Guidance on M&amp;E), the results on cohort 2022 will be assessed in 2024 and data will be available in April 2025. The data will be collected, processed and provided by NTP.</v>
      </c>
      <c r="K251" s="389">
        <f t="shared" si="45"/>
        <v>9</v>
      </c>
      <c r="L251" s="388" t="str">
        <f t="shared" ca="1" si="46"/>
        <v/>
      </c>
      <c r="M251" s="384" t="str">
        <f t="array" aca="1" ref="M251" ca="1">IFERROR(VLOOKUP(LEFT(INDIRECT("'Outcome Indicators - Section C '!B"&amp;$B251),255),LEFT('Reference Records'!$C$26:$L$81,255),10,0),"")</f>
        <v>IOR-00201</v>
      </c>
      <c r="N251" s="384" t="str">
        <f t="shared" ca="1" si="47"/>
        <v>Kyrgyzstan</v>
      </c>
      <c r="O251" s="384" t="str">
        <f ca="1">IFERROR(VLOOKUP(INDIRECT("'Outcome Indicators - Section C '!I"&amp;$B251),'Overview - Section A'!M$30:P65,4,0),IFERROR(VLOOKUP(INDIRECT("'Outcome Indicators - Section C '!I"&amp;$B251),'Overview - Section A'!E$27:I53,5,0),""))</f>
        <v/>
      </c>
      <c r="P251" s="388"/>
      <c r="Q251" s="384"/>
    </row>
    <row r="252" spans="1:17" x14ac:dyDescent="0.3">
      <c r="A252" s="384" t="b">
        <f t="shared" ca="1" si="38"/>
        <v>1</v>
      </c>
      <c r="B252" s="384">
        <f t="shared" si="36"/>
        <v>27</v>
      </c>
      <c r="C252" s="393" t="str">
        <f>IFERROR(IF(AND(I252=2,B252=7),"blank",INDEX(C$226:C252,I252,1)),"")</f>
        <v>a1XDm000000GoWGMA0</v>
      </c>
      <c r="D252" s="386" t="str">
        <f t="shared" ca="1" si="39"/>
        <v/>
      </c>
      <c r="E252" s="387" t="str">
        <f t="shared" ca="1" si="40"/>
        <v/>
      </c>
      <c r="F252" s="387" t="str">
        <f t="shared" ca="1" si="41"/>
        <v/>
      </c>
      <c r="G252" s="388">
        <f t="shared" ca="1" si="42"/>
        <v>2023</v>
      </c>
      <c r="H252" s="388" t="str">
        <f t="shared" ca="1" si="43"/>
        <v>TB Index Stigma Assesment</v>
      </c>
      <c r="I252" s="384">
        <f t="shared" si="37"/>
        <v>12</v>
      </c>
      <c r="J252" s="388" t="str">
        <f t="shared" ca="1" si="44"/>
        <v>The baseline data will be available in the end of 2023 when the TB Stigma Assessment (the first stigma assessment which is conducted by community using the Stigma Assessment Tool developed by Stop TB Partnership) is completed. Based on results of the Assessment, the targets will be defined. Numerator: Number of people diagnosed with TB who report stigma in health care settings that inhibited them from seeking and accessing TB services. Denominator: Number of people diagnosed with TB who participated at the TB Stigma Assessment. The results will be collected once in year 2025 and reported in 2026.</v>
      </c>
      <c r="K252" s="389">
        <f t="shared" si="45"/>
        <v>10</v>
      </c>
      <c r="L252" s="388" t="str">
        <f t="shared" ca="1" si="46"/>
        <v/>
      </c>
      <c r="M252" s="384" t="str">
        <f t="array" aca="1" ref="M252" ca="1">IFERROR(VLOOKUP(LEFT(INDIRECT("'Outcome Indicators - Section C '!B"&amp;$B252),255),LEFT('Reference Records'!$C$26:$L$81,255),10,0),"")</f>
        <v>IOR-00203</v>
      </c>
      <c r="N252" s="384" t="str">
        <f t="shared" ca="1" si="47"/>
        <v>Kyrgyzstan</v>
      </c>
      <c r="O252" s="384" t="str">
        <f ca="1">IFERROR(VLOOKUP(INDIRECT("'Outcome Indicators - Section C '!I"&amp;$B252),'Overview - Section A'!M$30:P66,4,0),IFERROR(VLOOKUP(INDIRECT("'Outcome Indicators - Section C '!I"&amp;$B252),'Overview - Section A'!E$27:I54,5,0),""))</f>
        <v/>
      </c>
      <c r="P252" s="388"/>
      <c r="Q252" s="384"/>
    </row>
    <row r="253" spans="1:17" x14ac:dyDescent="0.3">
      <c r="A253" s="384" t="b">
        <f t="shared" ca="1" si="38"/>
        <v>0</v>
      </c>
      <c r="B253" s="384">
        <f t="shared" si="36"/>
        <v>29</v>
      </c>
      <c r="C253" s="393" t="str">
        <f>IFERROR(IF(AND(I253=2,B253=7),"blank",INDEX(C$226:C253,I253,1)),"")</f>
        <v>a1XDm000000GoWHMA0</v>
      </c>
      <c r="D253" s="386" t="str">
        <f t="shared" ca="1" si="39"/>
        <v/>
      </c>
      <c r="E253" s="387" t="str">
        <f t="shared" ca="1" si="40"/>
        <v/>
      </c>
      <c r="F253" s="387" t="str">
        <f t="shared" ca="1" si="41"/>
        <v/>
      </c>
      <c r="G253" s="388" t="str">
        <f t="shared" ca="1" si="42"/>
        <v/>
      </c>
      <c r="H253" s="388" t="str">
        <f t="shared" ca="1" si="43"/>
        <v/>
      </c>
      <c r="I253" s="384">
        <f t="shared" si="37"/>
        <v>13</v>
      </c>
      <c r="J253" s="388" t="str">
        <f t="shared" ca="1" si="44"/>
        <v/>
      </c>
      <c r="K253" s="389">
        <f t="shared" si="45"/>
        <v>11</v>
      </c>
      <c r="L253" s="388" t="str">
        <f t="shared" ca="1" si="46"/>
        <v/>
      </c>
      <c r="M253" s="384" t="str">
        <f t="array" aca="1" ref="M253" ca="1">IFERROR(VLOOKUP(LEFT(INDIRECT("'Outcome Indicators - Section C '!B"&amp;$B253),255),LEFT('Reference Records'!$C$26:$L$81,255),10,0),"")</f>
        <v/>
      </c>
      <c r="N253" s="384" t="str">
        <f t="shared" ca="1" si="47"/>
        <v/>
      </c>
      <c r="O253" s="384" t="str">
        <f ca="1">IFERROR(VLOOKUP(INDIRECT("'Outcome Indicators - Section C '!I"&amp;$B253),'Overview - Section A'!M$30:P67,4,0),IFERROR(VLOOKUP(INDIRECT("'Outcome Indicators - Section C '!I"&amp;$B253),'Overview - Section A'!E$27:I55,5,0),""))</f>
        <v/>
      </c>
      <c r="P253" s="388"/>
      <c r="Q253" s="384"/>
    </row>
    <row r="254" spans="1:17" x14ac:dyDescent="0.3">
      <c r="A254" s="384" t="b">
        <f t="shared" ca="1" si="38"/>
        <v>0</v>
      </c>
      <c r="B254" s="384">
        <f t="shared" si="36"/>
        <v>31</v>
      </c>
      <c r="C254" s="393" t="str">
        <f>IFERROR(IF(AND(I254=2,B254=7),"blank",INDEX(C$226:C254,I254,1)),"")</f>
        <v>a1XDm000000GoWIMA0</v>
      </c>
      <c r="D254" s="386" t="str">
        <f t="shared" ca="1" si="39"/>
        <v/>
      </c>
      <c r="E254" s="387" t="str">
        <f t="shared" ca="1" si="40"/>
        <v/>
      </c>
      <c r="F254" s="387" t="str">
        <f t="shared" ca="1" si="41"/>
        <v/>
      </c>
      <c r="G254" s="388" t="str">
        <f t="shared" ca="1" si="42"/>
        <v/>
      </c>
      <c r="H254" s="388" t="str">
        <f t="shared" ca="1" si="43"/>
        <v/>
      </c>
      <c r="I254" s="384">
        <f t="shared" si="37"/>
        <v>14</v>
      </c>
      <c r="J254" s="388" t="str">
        <f t="shared" ca="1" si="44"/>
        <v/>
      </c>
      <c r="K254" s="389">
        <f t="shared" si="45"/>
        <v>12</v>
      </c>
      <c r="L254" s="388" t="str">
        <f t="shared" ca="1" si="46"/>
        <v/>
      </c>
      <c r="M254" s="384" t="str">
        <f t="array" aca="1" ref="M254" ca="1">IFERROR(VLOOKUP(LEFT(INDIRECT("'Outcome Indicators - Section C '!B"&amp;$B254),255),LEFT('Reference Records'!$C$26:$L$81,255),10,0),"")</f>
        <v/>
      </c>
      <c r="N254" s="384" t="str">
        <f t="shared" ca="1" si="47"/>
        <v/>
      </c>
      <c r="O254" s="384" t="str">
        <f ca="1">IFERROR(VLOOKUP(INDIRECT("'Outcome Indicators - Section C '!I"&amp;$B254),'Overview - Section A'!M$30:P68,4,0),IFERROR(VLOOKUP(INDIRECT("'Outcome Indicators - Section C '!I"&amp;$B254),'Overview - Section A'!E$27:I56,5,0),""))</f>
        <v/>
      </c>
      <c r="P254" s="388"/>
      <c r="Q254" s="384"/>
    </row>
    <row r="255" spans="1:17" x14ac:dyDescent="0.3">
      <c r="A255" s="384" t="b">
        <f t="shared" ca="1" si="38"/>
        <v>0</v>
      </c>
      <c r="B255" s="384">
        <f t="shared" si="36"/>
        <v>33</v>
      </c>
      <c r="C255" s="393" t="str">
        <f>IFERROR(IF(AND(I255=2,B255=7),"blank",INDEX(C$226:C255,I255,1)),"")</f>
        <v>a1XDm000000GoWJMA0</v>
      </c>
      <c r="D255" s="386" t="str">
        <f t="shared" ca="1" si="39"/>
        <v/>
      </c>
      <c r="E255" s="387" t="str">
        <f t="shared" ca="1" si="40"/>
        <v/>
      </c>
      <c r="F255" s="387" t="str">
        <f t="shared" ca="1" si="41"/>
        <v/>
      </c>
      <c r="G255" s="388" t="str">
        <f t="shared" ca="1" si="42"/>
        <v/>
      </c>
      <c r="H255" s="388" t="str">
        <f t="shared" ca="1" si="43"/>
        <v/>
      </c>
      <c r="I255" s="384">
        <f t="shared" si="37"/>
        <v>15</v>
      </c>
      <c r="J255" s="388" t="str">
        <f t="shared" ca="1" si="44"/>
        <v/>
      </c>
      <c r="K255" s="389">
        <f t="shared" si="45"/>
        <v>13</v>
      </c>
      <c r="L255" s="388" t="str">
        <f t="shared" ca="1" si="46"/>
        <v/>
      </c>
      <c r="M255" s="384" t="str">
        <f t="array" aca="1" ref="M255" ca="1">IFERROR(VLOOKUP(LEFT(INDIRECT("'Outcome Indicators - Section C '!B"&amp;$B255),255),LEFT('Reference Records'!$C$26:$L$81,255),10,0),"")</f>
        <v/>
      </c>
      <c r="N255" s="384" t="str">
        <f t="shared" ca="1" si="47"/>
        <v/>
      </c>
      <c r="O255" s="384" t="str">
        <f ca="1">IFERROR(VLOOKUP(INDIRECT("'Outcome Indicators - Section C '!I"&amp;$B255),'Overview - Section A'!M$30:P69,4,0),IFERROR(VLOOKUP(INDIRECT("'Outcome Indicators - Section C '!I"&amp;$B255),'Overview - Section A'!E$27:I57,5,0),""))</f>
        <v/>
      </c>
      <c r="P255" s="388"/>
      <c r="Q255" s="384"/>
    </row>
    <row r="256" spans="1:17" x14ac:dyDescent="0.3">
      <c r="A256" s="384" t="b">
        <f t="shared" ca="1" si="38"/>
        <v>0</v>
      </c>
      <c r="B256" s="384">
        <f t="shared" si="36"/>
        <v>35</v>
      </c>
      <c r="C256" s="393" t="str">
        <f>IFERROR(IF(AND(I256=2,B256=7),"blank",INDEX(C$226:C256,I256,1)),"")</f>
        <v>a1XDm000000GoWKMA0</v>
      </c>
      <c r="D256" s="386" t="str">
        <f t="shared" ca="1" si="39"/>
        <v/>
      </c>
      <c r="E256" s="387" t="str">
        <f t="shared" ca="1" si="40"/>
        <v/>
      </c>
      <c r="F256" s="387" t="str">
        <f t="shared" ca="1" si="41"/>
        <v/>
      </c>
      <c r="G256" s="388" t="str">
        <f t="shared" ca="1" si="42"/>
        <v/>
      </c>
      <c r="H256" s="388" t="str">
        <f t="shared" ca="1" si="43"/>
        <v/>
      </c>
      <c r="I256" s="384">
        <f t="shared" si="37"/>
        <v>16</v>
      </c>
      <c r="J256" s="388" t="str">
        <f t="shared" ca="1" si="44"/>
        <v/>
      </c>
      <c r="K256" s="389">
        <f t="shared" si="45"/>
        <v>14</v>
      </c>
      <c r="L256" s="388" t="str">
        <f t="shared" ca="1" si="46"/>
        <v/>
      </c>
      <c r="M256" s="384" t="str">
        <f t="array" aca="1" ref="M256" ca="1">IFERROR(VLOOKUP(LEFT(INDIRECT("'Outcome Indicators - Section C '!B"&amp;$B256),255),LEFT('Reference Records'!$C$26:$L$81,255),10,0),"")</f>
        <v/>
      </c>
      <c r="N256" s="384" t="str">
        <f t="shared" ca="1" si="47"/>
        <v/>
      </c>
      <c r="O256" s="384" t="str">
        <f ca="1">IFERROR(VLOOKUP(INDIRECT("'Outcome Indicators - Section C '!I"&amp;$B256),'Overview - Section A'!M$30:P70,4,0),IFERROR(VLOOKUP(INDIRECT("'Outcome Indicators - Section C '!I"&amp;$B256),'Overview - Section A'!E$27:I58,5,0),""))</f>
        <v/>
      </c>
      <c r="P256" s="388"/>
      <c r="Q256" s="384"/>
    </row>
    <row r="257" spans="1:17" x14ac:dyDescent="0.3">
      <c r="A257" s="384" t="b">
        <f t="shared" ca="1" si="38"/>
        <v>0</v>
      </c>
      <c r="B257" s="384">
        <f t="shared" si="36"/>
        <v>37</v>
      </c>
      <c r="C257" s="393" t="str">
        <f>IFERROR(IF(AND(I257=2,B257=7),"blank",INDEX(C$226:C257,I257,1)),"")</f>
        <v>a1XDm000000GoWLMA0</v>
      </c>
      <c r="D257" s="386" t="str">
        <f t="shared" ca="1" si="39"/>
        <v/>
      </c>
      <c r="E257" s="387" t="str">
        <f t="shared" ca="1" si="40"/>
        <v/>
      </c>
      <c r="F257" s="387" t="str">
        <f t="shared" ca="1" si="41"/>
        <v/>
      </c>
      <c r="G257" s="388" t="str">
        <f t="shared" ca="1" si="42"/>
        <v/>
      </c>
      <c r="H257" s="388" t="str">
        <f t="shared" ca="1" si="43"/>
        <v/>
      </c>
      <c r="I257" s="384">
        <f t="shared" si="37"/>
        <v>17</v>
      </c>
      <c r="J257" s="388" t="str">
        <f t="shared" ca="1" si="44"/>
        <v/>
      </c>
      <c r="K257" s="389">
        <f t="shared" si="45"/>
        <v>15</v>
      </c>
      <c r="L257" s="388" t="str">
        <f t="shared" ca="1" si="46"/>
        <v/>
      </c>
      <c r="M257" s="384" t="str">
        <f t="array" aca="1" ref="M257" ca="1">IFERROR(VLOOKUP(LEFT(INDIRECT("'Outcome Indicators - Section C '!B"&amp;$B257),255),LEFT('Reference Records'!$C$26:$L$81,255),10,0),"")</f>
        <v/>
      </c>
      <c r="N257" s="384" t="str">
        <f t="shared" ca="1" si="47"/>
        <v/>
      </c>
      <c r="O257" s="384" t="str">
        <f ca="1">IFERROR(VLOOKUP(INDIRECT("'Outcome Indicators - Section C '!I"&amp;$B257),'Overview - Section A'!M$30:P71,4,0),IFERROR(VLOOKUP(INDIRECT("'Outcome Indicators - Section C '!I"&amp;$B257),'Overview - Section A'!E$27:I59,5,0),""))</f>
        <v/>
      </c>
      <c r="P257" s="388"/>
      <c r="Q257" s="384"/>
    </row>
    <row r="258" spans="1:17" x14ac:dyDescent="0.3">
      <c r="B258" s="390"/>
      <c r="I258" s="390"/>
    </row>
    <row r="259" spans="1:17" x14ac:dyDescent="0.3">
      <c r="B259" s="390"/>
      <c r="I259" s="390"/>
    </row>
    <row r="260" spans="1:17" x14ac:dyDescent="0.3">
      <c r="B260" s="390"/>
      <c r="I260" s="390"/>
    </row>
    <row r="261" spans="1:17" x14ac:dyDescent="0.3">
      <c r="B261" s="390"/>
      <c r="I261" s="390"/>
    </row>
    <row r="262" spans="1:17" x14ac:dyDescent="0.3">
      <c r="B262" s="390"/>
      <c r="I262" s="390"/>
    </row>
    <row r="263" spans="1:17" x14ac:dyDescent="0.3">
      <c r="B263" s="390"/>
      <c r="I263" s="390"/>
    </row>
    <row r="264" spans="1:17" x14ac:dyDescent="0.3">
      <c r="J264" s="383" t="str">
        <f ca="1">IF(ROW()&gt;'Impact Indicator Target Update'!A9,"",INDIRECT("'Impact Indicators - Section B'!A"&amp;'Impact Indicator Target Update'!D9))</f>
        <v/>
      </c>
    </row>
    <row r="265" spans="1:17" x14ac:dyDescent="0.3">
      <c r="A265" s="382" t="s">
        <v>2449</v>
      </c>
      <c r="J265" s="383" t="str">
        <f ca="1">IF(ROW()&gt;'Impact Indicator Target Update'!A10,"",INDIRECT("'Impact Indicators - Section B'!A"&amp;'Impact Indicator Target Update'!D10))</f>
        <v/>
      </c>
    </row>
    <row r="266" spans="1:17" x14ac:dyDescent="0.3">
      <c r="A266" s="384"/>
      <c r="B266" s="394">
        <v>-151</v>
      </c>
      <c r="C266" s="384" t="s">
        <v>318</v>
      </c>
      <c r="D266" s="384" t="s">
        <v>2450</v>
      </c>
      <c r="E266" s="384" t="s">
        <v>2321</v>
      </c>
      <c r="F266" s="384" t="s">
        <v>2225</v>
      </c>
      <c r="G266" s="384"/>
      <c r="H266" s="384" t="s">
        <v>774</v>
      </c>
      <c r="I266" s="384" t="s">
        <v>776</v>
      </c>
      <c r="J266" s="384" t="s">
        <v>771</v>
      </c>
      <c r="K266" s="384" t="s">
        <v>225</v>
      </c>
      <c r="L266" s="384" t="s">
        <v>780</v>
      </c>
      <c r="M266" s="384" t="s">
        <v>744</v>
      </c>
      <c r="N266" s="384" t="s">
        <v>777</v>
      </c>
    </row>
    <row r="267" spans="1:17" hidden="1" x14ac:dyDescent="0.3">
      <c r="A267" s="384" t="b">
        <f ca="1">IF(OR(I267&lt;&gt;"",J267&lt;&gt;"",K267&lt;&gt;"",M267&lt;&gt;"",N267&lt;&gt;""),TRUE,FALSE)</f>
        <v>0</v>
      </c>
      <c r="B267" s="394">
        <f>B266+1</f>
        <v>-150</v>
      </c>
      <c r="C267" s="397" t="str">
        <f ca="1">IF(COUNTA(D$265:D266)=1,"",OFFSET(B265,-COUNTA(D$265:D266)+3,1))</f>
        <v/>
      </c>
      <c r="D267" s="384"/>
      <c r="E267" s="384">
        <f ca="1">COUNTIF(F258:F267,F267)</f>
        <v>9</v>
      </c>
      <c r="F267" s="398" t="str">
        <f ca="1">IF(COUNTA(D$265:D266)=1,"",OFFSET(F265,-COUNTA(D$265:D266)+3,0))</f>
        <v/>
      </c>
      <c r="G267" s="384"/>
      <c r="H267" s="384" t="str">
        <f ca="1">IF(F267=1,9,IF(E266=MAX(E265:E267),H265+2,H266))</f>
        <v>row number</v>
      </c>
      <c r="I267" s="389" t="str">
        <f ca="1">IFERROR(CHOOSE(E267,IFERROR(IF(INDIRECT("'Outcome Indicators - Section C '!K"&amp;H267+1)="","",INDIRECT("'Outcome Indicators - Section C '!K"&amp;H267+1)),""),IFERROR(IF(INDIRECT("'Outcome Indicators - Section C '!O"&amp;H267+1)="","",INDIRECT("'Outcome Indicators - Section C '!O"&amp;H267+1)),""),IFERROR(IF(INDIRECT("'Outcome Indicators - Section C '!S"&amp;H267+1)="","",INDIRECT("'Outcome Indicators - Section C '!S"&amp;H267+1)),""),IFERROR(IF(INDIRECT("'Outcome Indicators - Section C '!W"&amp;H267+1)="","",INDIRECT("'Outcome Indicators - Section C '!W"&amp;H267+1)),"")),"")</f>
        <v/>
      </c>
      <c r="J267" s="399" t="str">
        <f ca="1">IFERROR(CHOOSE(E267,IFERROR(IF(INDIRECT("'Outcome Indicators - Section C '!K"&amp;H267)="","",INDIRECT("'Outcome Indicators - Section C '!K"&amp;H267)),""),IFERROR(IF(INDIRECT("'Outcome Indicators - Section C '!O"&amp;H267)="","",INDIRECT("'Outcome Indicators - Section C '!O"&amp;H267)),""),IFERROR(IF(INDIRECT("'Outcome Indicators - Section C '!S"&amp;H267)="","",INDIRECT("'Outcome Indicators - Section C '!S"&amp;H267)),""),IFERROR(IF(INDIRECT("'Outcome Indicators - Section C '!W"&amp;H267)="","",INDIRECT("'Outcome Indicators - Section C '!W"&amp;H267)),"")),"")</f>
        <v/>
      </c>
      <c r="K267" s="386" t="str">
        <f ca="1">IFERROR(CHOOSE(E267,IFERROR(IF(INDIRECT("'Outcome Indicators - Section C '!L"&amp;H267)="","",INDIRECT("'Outcome Indicators - Section C '!L"&amp;H267)*100),""),IFERROR(IF(INDIRECT("'Outcome Indicators - Section C '!P"&amp;H267)="","",INDIRECT("'Outcome Indicators - Section C '!P"&amp;H267)*100),""),IFERROR(IF(INDIRECT("'Outcome Indicators - Section C '!T"&amp;H267)="","",INDIRECT("'Outcome Indicators - Section C '!T"&amp;H267)*100),""),IFERROR(IF(INDIRECT("'Outcome Indicators - Section C '!X"&amp;H267)="","",INDIRECT("'Outcome Indicators - Section C '!X"&amp;H267)*100),"")),"")</f>
        <v/>
      </c>
      <c r="L267" s="388" t="str">
        <f ca="1">IFERROR(CHOOSE(E267,'Outcome Indicators - Section C '!$K$7,'Outcome Indicators - Section C '!$O$7,'Outcome Indicators - Section C '!$S$7,'Outcome Indicators - Section C '!$W$7,'Outcome Indicators - Section C '!#REF!),"")</f>
        <v/>
      </c>
      <c r="M267" s="396" t="str">
        <f ca="1">IFERROR(CHOOSE(E267,IFERROR(IF(INDIRECT("'Outcome Indicators - Section C '!M"&amp;H267)="","",INDIRECT("'Outcome Indicators - Section C '!M"&amp;H267)),""),IFERROR(IF(INDIRECT("'Outcome Indicators - Section C '!Q"&amp;H267)="","",INDIRECT("'Outcome Indicators - Section C '!Q"&amp;H267)),""),IFERROR(IF(INDIRECT("'Outcome Indicators - Section C '!U"&amp;H267)="","",INDIRECT("'Outcome Indicators - Section C '!U"&amp;H267)),""),IFERROR(IF(INDIRECT("'Outcome Indicators - Section C '!Y"&amp;H267)="","",INDIRECT("'Outcome Indicators - Section C '!Y"&amp;H267)),"")),"")</f>
        <v/>
      </c>
      <c r="N267" s="388" t="str">
        <f ca="1">IF(IFERROR(CHOOSE(E267,IFERROR(IF(INDIRECT("'Outcome Indicators - Section C '!N"&amp;H267)=0,"",INDIRECT("'Outcome Indicators - Section C '!N"&amp;H267)),""),IFERROR(IF(INDIRECT("'Outcome Indicators - Section C '!R"&amp;H267)=0,"",INDIRECT("'Outcome Indicators - Section C '!R"&amp;H267)),""),IFERROR(IF(INDIRECT("'Outcome Indicators - Section C '!V"&amp;H267)=0,"",INDIRECT("'Outcome Indicators - Section C '!V"&amp;H267)),""),IFERROR(IF(INDIRECT("'Outcome Indicators - Section C '!Z"&amp;H267)=0,"",INDIRECT("'Outcome Indicators - Section C '!Z"&amp;H267)),""),),"")=0,"",IFERROR(CHOOSE(E267,IFERROR(IF(INDIRECT("'Outcome Indicators - Section C '!N"&amp;H267)=0,"",INDIRECT("'Outcome Indicators - Section C '!N"&amp;H267)),""),IFERROR(IF(INDIRECT("'Outcome Indicators - Section C '!R"&amp;H267)=0,"",INDIRECT("'Outcome Indicators - Section C '!R"&amp;H267)),""),IFERROR(IF(INDIRECT("'Outcome Indicators - Section C '!V"&amp;H267)=0,"",INDIRECT("'Outcome Indicators - Section C '!V"&amp;H267)),""),IFERROR(IF(INDIRECT("'Outcome Indicators - Section C '!Z"&amp;H267)=0,"",INDIRECT("'Outcome Indicators - Section C '!Z"&amp;H267)),""),),""))</f>
        <v/>
      </c>
    </row>
    <row r="268" spans="1:17" x14ac:dyDescent="0.3">
      <c r="A268" s="384" t="b">
        <v>0</v>
      </c>
      <c r="B268" s="394">
        <f t="shared" ref="B268:B331" si="48">B267+1</f>
        <v>-149</v>
      </c>
      <c r="C268" s="397" t="s">
        <v>2451</v>
      </c>
      <c r="D268" s="384" t="s">
        <v>2452</v>
      </c>
      <c r="E268" s="384">
        <f t="shared" ref="E268:E331" ca="1" si="49">COUNTIF(F259:F268,F268)</f>
        <v>1</v>
      </c>
      <c r="F268" s="398">
        <v>1</v>
      </c>
      <c r="G268" s="384"/>
      <c r="H268" s="384">
        <f t="shared" ref="H268:H331" si="50">IF(F268=1,9,IF(E267=MAX(E266:E268),H266+2,H267))</f>
        <v>9</v>
      </c>
      <c r="I268" s="389"/>
      <c r="J268" s="399"/>
      <c r="K268" s="386"/>
      <c r="L268" s="388"/>
      <c r="M268" s="396"/>
      <c r="N268" s="388"/>
    </row>
    <row r="269" spans="1:17" x14ac:dyDescent="0.3">
      <c r="A269" s="384" t="b">
        <v>0</v>
      </c>
      <c r="B269" s="394">
        <f t="shared" si="48"/>
        <v>-148</v>
      </c>
      <c r="C269" s="397" t="s">
        <v>2453</v>
      </c>
      <c r="D269" s="384" t="s">
        <v>2452</v>
      </c>
      <c r="E269" s="384">
        <f t="shared" ca="1" si="49"/>
        <v>2</v>
      </c>
      <c r="F269" s="398">
        <v>1</v>
      </c>
      <c r="G269" s="384"/>
      <c r="H269" s="384">
        <f t="shared" si="50"/>
        <v>9</v>
      </c>
      <c r="I269" s="389"/>
      <c r="J269" s="399"/>
      <c r="K269" s="386"/>
      <c r="L269" s="388"/>
      <c r="M269" s="396"/>
      <c r="N269" s="388"/>
    </row>
    <row r="270" spans="1:17" x14ac:dyDescent="0.3">
      <c r="A270" s="384" t="b">
        <v>0</v>
      </c>
      <c r="B270" s="394">
        <f t="shared" si="48"/>
        <v>-147</v>
      </c>
      <c r="C270" s="397" t="s">
        <v>2454</v>
      </c>
      <c r="D270" s="384" t="s">
        <v>2452</v>
      </c>
      <c r="E270" s="384">
        <f t="shared" ca="1" si="49"/>
        <v>3</v>
      </c>
      <c r="F270" s="398">
        <v>1</v>
      </c>
      <c r="G270" s="384"/>
      <c r="H270" s="384">
        <f t="shared" si="50"/>
        <v>9</v>
      </c>
      <c r="I270" s="389"/>
      <c r="J270" s="399"/>
      <c r="K270" s="386"/>
      <c r="L270" s="388"/>
      <c r="M270" s="396"/>
      <c r="N270" s="388"/>
    </row>
    <row r="271" spans="1:17" x14ac:dyDescent="0.3">
      <c r="A271" s="384" t="b">
        <v>0</v>
      </c>
      <c r="B271" s="394">
        <f t="shared" si="48"/>
        <v>-146</v>
      </c>
      <c r="C271" s="397" t="s">
        <v>2455</v>
      </c>
      <c r="D271" s="384" t="s">
        <v>2452</v>
      </c>
      <c r="E271" s="384">
        <f t="shared" ca="1" si="49"/>
        <v>4</v>
      </c>
      <c r="F271" s="398">
        <v>1</v>
      </c>
      <c r="G271" s="384"/>
      <c r="H271" s="384">
        <f t="shared" si="50"/>
        <v>9</v>
      </c>
      <c r="I271" s="389"/>
      <c r="J271" s="399"/>
      <c r="K271" s="386"/>
      <c r="L271" s="388"/>
      <c r="M271" s="396"/>
      <c r="N271" s="388"/>
    </row>
    <row r="272" spans="1:17" x14ac:dyDescent="0.3">
      <c r="A272" s="384" t="b">
        <v>0</v>
      </c>
      <c r="B272" s="394">
        <f t="shared" si="48"/>
        <v>-145</v>
      </c>
      <c r="C272" s="397" t="s">
        <v>2456</v>
      </c>
      <c r="D272" s="384" t="s">
        <v>2452</v>
      </c>
      <c r="E272" s="384">
        <f t="shared" ca="1" si="49"/>
        <v>5</v>
      </c>
      <c r="F272" s="398">
        <v>1</v>
      </c>
      <c r="G272" s="384"/>
      <c r="H272" s="384">
        <f t="shared" si="50"/>
        <v>9</v>
      </c>
      <c r="I272" s="389"/>
      <c r="J272" s="399"/>
      <c r="K272" s="386"/>
      <c r="L272" s="388"/>
      <c r="M272" s="396"/>
      <c r="N272" s="388"/>
    </row>
    <row r="273" spans="1:14" x14ac:dyDescent="0.3">
      <c r="A273" s="384" t="b">
        <v>0</v>
      </c>
      <c r="B273" s="394">
        <f t="shared" si="48"/>
        <v>-144</v>
      </c>
      <c r="C273" s="397" t="s">
        <v>2457</v>
      </c>
      <c r="D273" s="384" t="s">
        <v>2452</v>
      </c>
      <c r="E273" s="384">
        <f t="shared" ca="1" si="49"/>
        <v>6</v>
      </c>
      <c r="F273" s="398">
        <v>1</v>
      </c>
      <c r="G273" s="384"/>
      <c r="H273" s="384">
        <f t="shared" si="50"/>
        <v>9</v>
      </c>
      <c r="I273" s="389"/>
      <c r="J273" s="399"/>
      <c r="K273" s="386"/>
      <c r="L273" s="388"/>
      <c r="M273" s="396"/>
      <c r="N273" s="388"/>
    </row>
    <row r="274" spans="1:14" x14ac:dyDescent="0.3">
      <c r="A274" s="384" t="b">
        <v>0</v>
      </c>
      <c r="B274" s="394">
        <f t="shared" si="48"/>
        <v>-143</v>
      </c>
      <c r="C274" s="397" t="s">
        <v>2458</v>
      </c>
      <c r="D274" s="384" t="s">
        <v>2459</v>
      </c>
      <c r="E274" s="384">
        <f t="shared" ca="1" si="49"/>
        <v>1</v>
      </c>
      <c r="F274" s="398">
        <v>2</v>
      </c>
      <c r="G274" s="384"/>
      <c r="H274" s="384">
        <f t="shared" ca="1" si="50"/>
        <v>11</v>
      </c>
      <c r="I274" s="389"/>
      <c r="J274" s="399"/>
      <c r="K274" s="386"/>
      <c r="L274" s="388"/>
      <c r="M274" s="396"/>
      <c r="N274" s="388"/>
    </row>
    <row r="275" spans="1:14" x14ac:dyDescent="0.3">
      <c r="A275" s="384" t="b">
        <v>0</v>
      </c>
      <c r="B275" s="394">
        <f t="shared" si="48"/>
        <v>-142</v>
      </c>
      <c r="C275" s="397" t="s">
        <v>2460</v>
      </c>
      <c r="D275" s="384" t="s">
        <v>2459</v>
      </c>
      <c r="E275" s="384">
        <f t="shared" ca="1" si="49"/>
        <v>2</v>
      </c>
      <c r="F275" s="398">
        <v>2</v>
      </c>
      <c r="G275" s="384"/>
      <c r="H275" s="384">
        <f t="shared" ca="1" si="50"/>
        <v>11</v>
      </c>
      <c r="I275" s="389"/>
      <c r="J275" s="399"/>
      <c r="K275" s="386"/>
      <c r="L275" s="388"/>
      <c r="M275" s="396"/>
      <c r="N275" s="388"/>
    </row>
    <row r="276" spans="1:14" x14ac:dyDescent="0.3">
      <c r="A276" s="384" t="b">
        <v>0</v>
      </c>
      <c r="B276" s="394">
        <f t="shared" si="48"/>
        <v>-141</v>
      </c>
      <c r="C276" s="397" t="s">
        <v>2461</v>
      </c>
      <c r="D276" s="384" t="s">
        <v>2459</v>
      </c>
      <c r="E276" s="384">
        <f t="shared" ca="1" si="49"/>
        <v>3</v>
      </c>
      <c r="F276" s="398">
        <v>2</v>
      </c>
      <c r="G276" s="384"/>
      <c r="H276" s="384">
        <f t="shared" ca="1" si="50"/>
        <v>11</v>
      </c>
      <c r="I276" s="389"/>
      <c r="J276" s="399"/>
      <c r="K276" s="386"/>
      <c r="L276" s="388"/>
      <c r="M276" s="396"/>
      <c r="N276" s="388"/>
    </row>
    <row r="277" spans="1:14" x14ac:dyDescent="0.3">
      <c r="A277" s="384" t="b">
        <v>0</v>
      </c>
      <c r="B277" s="394">
        <f t="shared" si="48"/>
        <v>-140</v>
      </c>
      <c r="C277" s="397" t="s">
        <v>2462</v>
      </c>
      <c r="D277" s="384" t="s">
        <v>2459</v>
      </c>
      <c r="E277" s="384">
        <f t="shared" si="49"/>
        <v>4</v>
      </c>
      <c r="F277" s="398">
        <v>2</v>
      </c>
      <c r="G277" s="384"/>
      <c r="H277" s="384">
        <f t="shared" ca="1" si="50"/>
        <v>11</v>
      </c>
      <c r="I277" s="389"/>
      <c r="J277" s="399"/>
      <c r="K277" s="386"/>
      <c r="L277" s="388"/>
      <c r="M277" s="396"/>
      <c r="N277" s="388"/>
    </row>
    <row r="278" spans="1:14" x14ac:dyDescent="0.3">
      <c r="A278" s="384" t="b">
        <v>0</v>
      </c>
      <c r="B278" s="394">
        <f t="shared" si="48"/>
        <v>-139</v>
      </c>
      <c r="C278" s="397" t="s">
        <v>2463</v>
      </c>
      <c r="D278" s="384" t="s">
        <v>2459</v>
      </c>
      <c r="E278" s="384">
        <f t="shared" si="49"/>
        <v>5</v>
      </c>
      <c r="F278" s="398">
        <v>2</v>
      </c>
      <c r="G278" s="384"/>
      <c r="H278" s="384">
        <f t="shared" ca="1" si="50"/>
        <v>11</v>
      </c>
      <c r="I278" s="389"/>
      <c r="J278" s="399"/>
      <c r="K278" s="386"/>
      <c r="L278" s="388"/>
      <c r="M278" s="396"/>
      <c r="N278" s="388"/>
    </row>
    <row r="279" spans="1:14" x14ac:dyDescent="0.3">
      <c r="A279" s="384" t="b">
        <v>0</v>
      </c>
      <c r="B279" s="394">
        <f t="shared" si="48"/>
        <v>-138</v>
      </c>
      <c r="C279" s="397" t="s">
        <v>2464</v>
      </c>
      <c r="D279" s="384" t="s">
        <v>2459</v>
      </c>
      <c r="E279" s="384">
        <f t="shared" si="49"/>
        <v>6</v>
      </c>
      <c r="F279" s="398">
        <v>2</v>
      </c>
      <c r="G279" s="384"/>
      <c r="H279" s="384">
        <f t="shared" ca="1" si="50"/>
        <v>11</v>
      </c>
      <c r="I279" s="389"/>
      <c r="J279" s="399"/>
      <c r="K279" s="386"/>
      <c r="L279" s="388"/>
      <c r="M279" s="396"/>
      <c r="N279" s="388"/>
    </row>
    <row r="280" spans="1:14" x14ac:dyDescent="0.3">
      <c r="A280" s="384" t="b">
        <v>0</v>
      </c>
      <c r="B280" s="394">
        <f t="shared" si="48"/>
        <v>-137</v>
      </c>
      <c r="C280" s="397" t="s">
        <v>2465</v>
      </c>
      <c r="D280" s="384" t="s">
        <v>2466</v>
      </c>
      <c r="E280" s="384">
        <f t="shared" si="49"/>
        <v>1</v>
      </c>
      <c r="F280" s="398">
        <v>3</v>
      </c>
      <c r="G280" s="384"/>
      <c r="H280" s="384">
        <f t="shared" ca="1" si="50"/>
        <v>13</v>
      </c>
      <c r="I280" s="389"/>
      <c r="J280" s="399"/>
      <c r="K280" s="386"/>
      <c r="L280" s="388"/>
      <c r="M280" s="396"/>
      <c r="N280" s="388"/>
    </row>
    <row r="281" spans="1:14" x14ac:dyDescent="0.3">
      <c r="A281" s="384" t="b">
        <v>0</v>
      </c>
      <c r="B281" s="394">
        <f t="shared" si="48"/>
        <v>-136</v>
      </c>
      <c r="C281" s="397" t="s">
        <v>2467</v>
      </c>
      <c r="D281" s="384" t="s">
        <v>2466</v>
      </c>
      <c r="E281" s="384">
        <f t="shared" si="49"/>
        <v>2</v>
      </c>
      <c r="F281" s="398">
        <v>3</v>
      </c>
      <c r="G281" s="384"/>
      <c r="H281" s="384">
        <f t="shared" ca="1" si="50"/>
        <v>13</v>
      </c>
      <c r="I281" s="389"/>
      <c r="J281" s="399"/>
      <c r="K281" s="386"/>
      <c r="L281" s="388"/>
      <c r="M281" s="396"/>
      <c r="N281" s="388"/>
    </row>
    <row r="282" spans="1:14" x14ac:dyDescent="0.3">
      <c r="A282" s="384" t="b">
        <v>0</v>
      </c>
      <c r="B282" s="394">
        <f t="shared" si="48"/>
        <v>-135</v>
      </c>
      <c r="C282" s="397" t="s">
        <v>2468</v>
      </c>
      <c r="D282" s="384" t="s">
        <v>2466</v>
      </c>
      <c r="E282" s="384">
        <f t="shared" si="49"/>
        <v>3</v>
      </c>
      <c r="F282" s="398">
        <v>3</v>
      </c>
      <c r="G282" s="384"/>
      <c r="H282" s="384">
        <f t="shared" ca="1" si="50"/>
        <v>13</v>
      </c>
      <c r="I282" s="389"/>
      <c r="J282" s="399"/>
      <c r="K282" s="386"/>
      <c r="L282" s="388"/>
      <c r="M282" s="396"/>
      <c r="N282" s="388"/>
    </row>
    <row r="283" spans="1:14" x14ac:dyDescent="0.3">
      <c r="A283" s="384" t="b">
        <v>0</v>
      </c>
      <c r="B283" s="394">
        <f t="shared" si="48"/>
        <v>-134</v>
      </c>
      <c r="C283" s="397" t="s">
        <v>2469</v>
      </c>
      <c r="D283" s="384" t="s">
        <v>2466</v>
      </c>
      <c r="E283" s="384">
        <f t="shared" si="49"/>
        <v>4</v>
      </c>
      <c r="F283" s="398">
        <v>3</v>
      </c>
      <c r="G283" s="384"/>
      <c r="H283" s="384">
        <f t="shared" ca="1" si="50"/>
        <v>13</v>
      </c>
      <c r="I283" s="389"/>
      <c r="J283" s="399"/>
      <c r="K283" s="386"/>
      <c r="L283" s="388"/>
      <c r="M283" s="396"/>
      <c r="N283" s="388"/>
    </row>
    <row r="284" spans="1:14" x14ac:dyDescent="0.3">
      <c r="A284" s="384" t="b">
        <v>0</v>
      </c>
      <c r="B284" s="394">
        <f t="shared" si="48"/>
        <v>-133</v>
      </c>
      <c r="C284" s="397" t="s">
        <v>2470</v>
      </c>
      <c r="D284" s="384" t="s">
        <v>2466</v>
      </c>
      <c r="E284" s="384">
        <f t="shared" si="49"/>
        <v>5</v>
      </c>
      <c r="F284" s="398">
        <v>3</v>
      </c>
      <c r="G284" s="384"/>
      <c r="H284" s="384">
        <f t="shared" ca="1" si="50"/>
        <v>13</v>
      </c>
      <c r="I284" s="389"/>
      <c r="J284" s="399"/>
      <c r="K284" s="386"/>
      <c r="L284" s="388"/>
      <c r="M284" s="396"/>
      <c r="N284" s="388"/>
    </row>
    <row r="285" spans="1:14" x14ac:dyDescent="0.3">
      <c r="A285" s="384" t="b">
        <v>0</v>
      </c>
      <c r="B285" s="394">
        <f t="shared" si="48"/>
        <v>-132</v>
      </c>
      <c r="C285" s="397" t="s">
        <v>2471</v>
      </c>
      <c r="D285" s="384" t="s">
        <v>2466</v>
      </c>
      <c r="E285" s="384">
        <f t="shared" si="49"/>
        <v>6</v>
      </c>
      <c r="F285" s="398">
        <v>3</v>
      </c>
      <c r="G285" s="384"/>
      <c r="H285" s="384">
        <f t="shared" ca="1" si="50"/>
        <v>13</v>
      </c>
      <c r="I285" s="389"/>
      <c r="J285" s="399"/>
      <c r="K285" s="386"/>
      <c r="L285" s="388"/>
      <c r="M285" s="396"/>
      <c r="N285" s="388"/>
    </row>
    <row r="286" spans="1:14" x14ac:dyDescent="0.3">
      <c r="A286" s="384" t="b">
        <v>0</v>
      </c>
      <c r="B286" s="394">
        <f t="shared" si="48"/>
        <v>-131</v>
      </c>
      <c r="C286" s="397" t="s">
        <v>2472</v>
      </c>
      <c r="D286" s="384" t="s">
        <v>2473</v>
      </c>
      <c r="E286" s="384">
        <f t="shared" si="49"/>
        <v>1</v>
      </c>
      <c r="F286" s="398">
        <v>4</v>
      </c>
      <c r="G286" s="384"/>
      <c r="H286" s="384">
        <f t="shared" ca="1" si="50"/>
        <v>15</v>
      </c>
      <c r="I286" s="389"/>
      <c r="J286" s="399"/>
      <c r="K286" s="386"/>
      <c r="L286" s="388"/>
      <c r="M286" s="396"/>
      <c r="N286" s="388"/>
    </row>
    <row r="287" spans="1:14" x14ac:dyDescent="0.3">
      <c r="A287" s="384" t="b">
        <v>0</v>
      </c>
      <c r="B287" s="394">
        <f t="shared" si="48"/>
        <v>-130</v>
      </c>
      <c r="C287" s="397" t="s">
        <v>2474</v>
      </c>
      <c r="D287" s="384" t="s">
        <v>2473</v>
      </c>
      <c r="E287" s="384">
        <f t="shared" si="49"/>
        <v>2</v>
      </c>
      <c r="F287" s="398">
        <v>4</v>
      </c>
      <c r="G287" s="384"/>
      <c r="H287" s="384">
        <f t="shared" ca="1" si="50"/>
        <v>15</v>
      </c>
      <c r="I287" s="389"/>
      <c r="J287" s="399"/>
      <c r="K287" s="386"/>
      <c r="L287" s="388"/>
      <c r="M287" s="396"/>
      <c r="N287" s="388"/>
    </row>
    <row r="288" spans="1:14" x14ac:dyDescent="0.3">
      <c r="A288" s="384" t="b">
        <v>0</v>
      </c>
      <c r="B288" s="394">
        <f t="shared" si="48"/>
        <v>-129</v>
      </c>
      <c r="C288" s="397" t="s">
        <v>2475</v>
      </c>
      <c r="D288" s="384" t="s">
        <v>2473</v>
      </c>
      <c r="E288" s="384">
        <f t="shared" si="49"/>
        <v>3</v>
      </c>
      <c r="F288" s="398">
        <v>4</v>
      </c>
      <c r="G288" s="384"/>
      <c r="H288" s="384">
        <f t="shared" ca="1" si="50"/>
        <v>15</v>
      </c>
      <c r="I288" s="389"/>
      <c r="J288" s="399"/>
      <c r="K288" s="386"/>
      <c r="L288" s="388"/>
      <c r="M288" s="396"/>
      <c r="N288" s="388"/>
    </row>
    <row r="289" spans="1:14" x14ac:dyDescent="0.3">
      <c r="A289" s="384" t="b">
        <v>0</v>
      </c>
      <c r="B289" s="394">
        <f t="shared" si="48"/>
        <v>-128</v>
      </c>
      <c r="C289" s="397" t="s">
        <v>2476</v>
      </c>
      <c r="D289" s="384" t="s">
        <v>2473</v>
      </c>
      <c r="E289" s="384">
        <f t="shared" si="49"/>
        <v>4</v>
      </c>
      <c r="F289" s="398">
        <v>4</v>
      </c>
      <c r="G289" s="384"/>
      <c r="H289" s="384">
        <f t="shared" ca="1" si="50"/>
        <v>15</v>
      </c>
      <c r="I289" s="389"/>
      <c r="J289" s="399"/>
      <c r="K289" s="386"/>
      <c r="L289" s="388"/>
      <c r="M289" s="396"/>
      <c r="N289" s="388"/>
    </row>
    <row r="290" spans="1:14" x14ac:dyDescent="0.3">
      <c r="A290" s="384" t="b">
        <v>0</v>
      </c>
      <c r="B290" s="394">
        <f t="shared" si="48"/>
        <v>-127</v>
      </c>
      <c r="C290" s="397" t="s">
        <v>2477</v>
      </c>
      <c r="D290" s="384" t="s">
        <v>2473</v>
      </c>
      <c r="E290" s="384">
        <f t="shared" si="49"/>
        <v>5</v>
      </c>
      <c r="F290" s="398">
        <v>4</v>
      </c>
      <c r="G290" s="384"/>
      <c r="H290" s="384">
        <f t="shared" ca="1" si="50"/>
        <v>15</v>
      </c>
      <c r="I290" s="389"/>
      <c r="J290" s="399"/>
      <c r="K290" s="386"/>
      <c r="L290" s="388"/>
      <c r="M290" s="396"/>
      <c r="N290" s="388"/>
    </row>
    <row r="291" spans="1:14" x14ac:dyDescent="0.3">
      <c r="A291" s="384" t="b">
        <v>0</v>
      </c>
      <c r="B291" s="394">
        <f t="shared" si="48"/>
        <v>-126</v>
      </c>
      <c r="C291" s="397" t="s">
        <v>2478</v>
      </c>
      <c r="D291" s="384" t="s">
        <v>2473</v>
      </c>
      <c r="E291" s="384">
        <f t="shared" si="49"/>
        <v>6</v>
      </c>
      <c r="F291" s="398">
        <v>4</v>
      </c>
      <c r="G291" s="384"/>
      <c r="H291" s="384">
        <f t="shared" ca="1" si="50"/>
        <v>15</v>
      </c>
      <c r="I291" s="389"/>
      <c r="J291" s="399"/>
      <c r="K291" s="386"/>
      <c r="L291" s="388"/>
      <c r="M291" s="396"/>
      <c r="N291" s="388"/>
    </row>
    <row r="292" spans="1:14" x14ac:dyDescent="0.3">
      <c r="A292" s="384" t="b">
        <v>0</v>
      </c>
      <c r="B292" s="394">
        <f t="shared" si="48"/>
        <v>-125</v>
      </c>
      <c r="C292" s="397" t="s">
        <v>2479</v>
      </c>
      <c r="D292" s="384" t="s">
        <v>2480</v>
      </c>
      <c r="E292" s="384">
        <f t="shared" si="49"/>
        <v>1</v>
      </c>
      <c r="F292" s="398">
        <v>5</v>
      </c>
      <c r="G292" s="384"/>
      <c r="H292" s="384">
        <f t="shared" ca="1" si="50"/>
        <v>17</v>
      </c>
      <c r="I292" s="389"/>
      <c r="J292" s="399"/>
      <c r="K292" s="386"/>
      <c r="L292" s="388"/>
      <c r="M292" s="396"/>
      <c r="N292" s="388"/>
    </row>
    <row r="293" spans="1:14" x14ac:dyDescent="0.3">
      <c r="A293" s="384" t="b">
        <v>0</v>
      </c>
      <c r="B293" s="394">
        <f t="shared" si="48"/>
        <v>-124</v>
      </c>
      <c r="C293" s="397" t="s">
        <v>2481</v>
      </c>
      <c r="D293" s="384" t="s">
        <v>2480</v>
      </c>
      <c r="E293" s="384">
        <f t="shared" si="49"/>
        <v>2</v>
      </c>
      <c r="F293" s="398">
        <v>5</v>
      </c>
      <c r="G293" s="384"/>
      <c r="H293" s="384">
        <f t="shared" ca="1" si="50"/>
        <v>17</v>
      </c>
      <c r="I293" s="389"/>
      <c r="J293" s="399"/>
      <c r="K293" s="386"/>
      <c r="L293" s="388"/>
      <c r="M293" s="396"/>
      <c r="N293" s="388"/>
    </row>
    <row r="294" spans="1:14" x14ac:dyDescent="0.3">
      <c r="A294" s="384" t="b">
        <v>0</v>
      </c>
      <c r="B294" s="394">
        <f t="shared" si="48"/>
        <v>-123</v>
      </c>
      <c r="C294" s="397" t="s">
        <v>2482</v>
      </c>
      <c r="D294" s="384" t="s">
        <v>2480</v>
      </c>
      <c r="E294" s="384">
        <f t="shared" si="49"/>
        <v>3</v>
      </c>
      <c r="F294" s="398">
        <v>5</v>
      </c>
      <c r="G294" s="384"/>
      <c r="H294" s="384">
        <f t="shared" ca="1" si="50"/>
        <v>17</v>
      </c>
      <c r="I294" s="389"/>
      <c r="J294" s="399"/>
      <c r="K294" s="386"/>
      <c r="L294" s="388"/>
      <c r="M294" s="396"/>
      <c r="N294" s="388"/>
    </row>
    <row r="295" spans="1:14" x14ac:dyDescent="0.3">
      <c r="A295" s="384" t="b">
        <v>0</v>
      </c>
      <c r="B295" s="394">
        <f t="shared" si="48"/>
        <v>-122</v>
      </c>
      <c r="C295" s="397" t="s">
        <v>2483</v>
      </c>
      <c r="D295" s="384" t="s">
        <v>2480</v>
      </c>
      <c r="E295" s="384">
        <f t="shared" si="49"/>
        <v>4</v>
      </c>
      <c r="F295" s="398">
        <v>5</v>
      </c>
      <c r="G295" s="384"/>
      <c r="H295" s="384">
        <f t="shared" ca="1" si="50"/>
        <v>17</v>
      </c>
      <c r="I295" s="389"/>
      <c r="J295" s="399"/>
      <c r="K295" s="386"/>
      <c r="L295" s="388"/>
      <c r="M295" s="396"/>
      <c r="N295" s="388"/>
    </row>
    <row r="296" spans="1:14" x14ac:dyDescent="0.3">
      <c r="A296" s="384" t="b">
        <v>0</v>
      </c>
      <c r="B296" s="394">
        <f t="shared" si="48"/>
        <v>-121</v>
      </c>
      <c r="C296" s="397" t="s">
        <v>2484</v>
      </c>
      <c r="D296" s="384" t="s">
        <v>2480</v>
      </c>
      <c r="E296" s="384">
        <f t="shared" si="49"/>
        <v>5</v>
      </c>
      <c r="F296" s="398">
        <v>5</v>
      </c>
      <c r="G296" s="384"/>
      <c r="H296" s="384">
        <f t="shared" ca="1" si="50"/>
        <v>17</v>
      </c>
      <c r="I296" s="389"/>
      <c r="J296" s="399"/>
      <c r="K296" s="386"/>
      <c r="L296" s="388"/>
      <c r="M296" s="396"/>
      <c r="N296" s="388"/>
    </row>
    <row r="297" spans="1:14" x14ac:dyDescent="0.3">
      <c r="A297" s="384" t="b">
        <v>0</v>
      </c>
      <c r="B297" s="394">
        <f t="shared" si="48"/>
        <v>-120</v>
      </c>
      <c r="C297" s="397" t="s">
        <v>2485</v>
      </c>
      <c r="D297" s="384" t="s">
        <v>2480</v>
      </c>
      <c r="E297" s="384">
        <f t="shared" si="49"/>
        <v>6</v>
      </c>
      <c r="F297" s="398">
        <v>5</v>
      </c>
      <c r="G297" s="384"/>
      <c r="H297" s="384">
        <f t="shared" ca="1" si="50"/>
        <v>17</v>
      </c>
      <c r="I297" s="389"/>
      <c r="J297" s="399"/>
      <c r="K297" s="386"/>
      <c r="L297" s="388"/>
      <c r="M297" s="396"/>
      <c r="N297" s="388"/>
    </row>
    <row r="298" spans="1:14" x14ac:dyDescent="0.3">
      <c r="A298" s="384" t="b">
        <v>0</v>
      </c>
      <c r="B298" s="394">
        <f t="shared" si="48"/>
        <v>-119</v>
      </c>
      <c r="C298" s="397" t="s">
        <v>2486</v>
      </c>
      <c r="D298" s="384" t="s">
        <v>2487</v>
      </c>
      <c r="E298" s="384">
        <f t="shared" si="49"/>
        <v>1</v>
      </c>
      <c r="F298" s="398">
        <v>6</v>
      </c>
      <c r="G298" s="384"/>
      <c r="H298" s="384">
        <f t="shared" ca="1" si="50"/>
        <v>19</v>
      </c>
      <c r="I298" s="389"/>
      <c r="J298" s="399"/>
      <c r="K298" s="386"/>
      <c r="L298" s="388"/>
      <c r="M298" s="396"/>
      <c r="N298" s="388"/>
    </row>
    <row r="299" spans="1:14" x14ac:dyDescent="0.3">
      <c r="A299" s="384" t="b">
        <v>0</v>
      </c>
      <c r="B299" s="394">
        <f t="shared" si="48"/>
        <v>-118</v>
      </c>
      <c r="C299" s="397" t="s">
        <v>2488</v>
      </c>
      <c r="D299" s="384" t="s">
        <v>2487</v>
      </c>
      <c r="E299" s="384">
        <f t="shared" si="49"/>
        <v>2</v>
      </c>
      <c r="F299" s="398">
        <v>6</v>
      </c>
      <c r="G299" s="384"/>
      <c r="H299" s="384">
        <f t="shared" ca="1" si="50"/>
        <v>19</v>
      </c>
      <c r="I299" s="389"/>
      <c r="J299" s="399"/>
      <c r="K299" s="386"/>
      <c r="L299" s="388"/>
      <c r="M299" s="396"/>
      <c r="N299" s="388"/>
    </row>
    <row r="300" spans="1:14" x14ac:dyDescent="0.3">
      <c r="A300" s="384" t="b">
        <v>0</v>
      </c>
      <c r="B300" s="394">
        <f t="shared" si="48"/>
        <v>-117</v>
      </c>
      <c r="C300" s="397" t="s">
        <v>2489</v>
      </c>
      <c r="D300" s="384" t="s">
        <v>2487</v>
      </c>
      <c r="E300" s="384">
        <f t="shared" si="49"/>
        <v>3</v>
      </c>
      <c r="F300" s="398">
        <v>6</v>
      </c>
      <c r="G300" s="384"/>
      <c r="H300" s="384">
        <f t="shared" ca="1" si="50"/>
        <v>19</v>
      </c>
      <c r="I300" s="389"/>
      <c r="J300" s="399"/>
      <c r="K300" s="386"/>
      <c r="L300" s="388"/>
      <c r="M300" s="396"/>
      <c r="N300" s="388"/>
    </row>
    <row r="301" spans="1:14" x14ac:dyDescent="0.3">
      <c r="A301" s="384" t="b">
        <v>0</v>
      </c>
      <c r="B301" s="394">
        <f t="shared" si="48"/>
        <v>-116</v>
      </c>
      <c r="C301" s="397" t="s">
        <v>2490</v>
      </c>
      <c r="D301" s="384" t="s">
        <v>2487</v>
      </c>
      <c r="E301" s="384">
        <f t="shared" si="49"/>
        <v>4</v>
      </c>
      <c r="F301" s="398">
        <v>6</v>
      </c>
      <c r="G301" s="384"/>
      <c r="H301" s="384">
        <f t="shared" ca="1" si="50"/>
        <v>19</v>
      </c>
      <c r="I301" s="389"/>
      <c r="J301" s="399"/>
      <c r="K301" s="386"/>
      <c r="L301" s="388"/>
      <c r="M301" s="396"/>
      <c r="N301" s="388"/>
    </row>
    <row r="302" spans="1:14" x14ac:dyDescent="0.3">
      <c r="A302" s="384" t="b">
        <v>0</v>
      </c>
      <c r="B302" s="394">
        <f t="shared" si="48"/>
        <v>-115</v>
      </c>
      <c r="C302" s="397" t="s">
        <v>2491</v>
      </c>
      <c r="D302" s="384" t="s">
        <v>2487</v>
      </c>
      <c r="E302" s="384">
        <f t="shared" si="49"/>
        <v>5</v>
      </c>
      <c r="F302" s="398">
        <v>6</v>
      </c>
      <c r="G302" s="384"/>
      <c r="H302" s="384">
        <f t="shared" ca="1" si="50"/>
        <v>19</v>
      </c>
      <c r="I302" s="389"/>
      <c r="J302" s="399"/>
      <c r="K302" s="386"/>
      <c r="L302" s="388"/>
      <c r="M302" s="396"/>
      <c r="N302" s="388"/>
    </row>
    <row r="303" spans="1:14" x14ac:dyDescent="0.3">
      <c r="A303" s="384" t="b">
        <v>0</v>
      </c>
      <c r="B303" s="394">
        <f t="shared" si="48"/>
        <v>-114</v>
      </c>
      <c r="C303" s="397" t="s">
        <v>2492</v>
      </c>
      <c r="D303" s="384" t="s">
        <v>2487</v>
      </c>
      <c r="E303" s="384">
        <f t="shared" si="49"/>
        <v>6</v>
      </c>
      <c r="F303" s="398">
        <v>6</v>
      </c>
      <c r="G303" s="384"/>
      <c r="H303" s="384">
        <f t="shared" ca="1" si="50"/>
        <v>19</v>
      </c>
      <c r="I303" s="389"/>
      <c r="J303" s="399"/>
      <c r="K303" s="386"/>
      <c r="L303" s="388"/>
      <c r="M303" s="396"/>
      <c r="N303" s="388"/>
    </row>
    <row r="304" spans="1:14" x14ac:dyDescent="0.3">
      <c r="A304" s="384" t="b">
        <v>0</v>
      </c>
      <c r="B304" s="394">
        <f t="shared" si="48"/>
        <v>-113</v>
      </c>
      <c r="C304" s="397" t="s">
        <v>2493</v>
      </c>
      <c r="D304" s="384" t="s">
        <v>2494</v>
      </c>
      <c r="E304" s="384">
        <f t="shared" si="49"/>
        <v>1</v>
      </c>
      <c r="F304" s="398">
        <v>7</v>
      </c>
      <c r="G304" s="384"/>
      <c r="H304" s="384">
        <f t="shared" ca="1" si="50"/>
        <v>21</v>
      </c>
      <c r="I304" s="389"/>
      <c r="J304" s="399"/>
      <c r="K304" s="386"/>
      <c r="L304" s="388"/>
      <c r="M304" s="396"/>
      <c r="N304" s="388"/>
    </row>
    <row r="305" spans="1:14" x14ac:dyDescent="0.3">
      <c r="A305" s="384" t="b">
        <v>0</v>
      </c>
      <c r="B305" s="394">
        <f t="shared" si="48"/>
        <v>-112</v>
      </c>
      <c r="C305" s="397" t="s">
        <v>2495</v>
      </c>
      <c r="D305" s="384" t="s">
        <v>2494</v>
      </c>
      <c r="E305" s="384">
        <f t="shared" si="49"/>
        <v>2</v>
      </c>
      <c r="F305" s="398">
        <v>7</v>
      </c>
      <c r="G305" s="384"/>
      <c r="H305" s="384">
        <f t="shared" ca="1" si="50"/>
        <v>21</v>
      </c>
      <c r="I305" s="389"/>
      <c r="J305" s="399"/>
      <c r="K305" s="386"/>
      <c r="L305" s="388"/>
      <c r="M305" s="396"/>
      <c r="N305" s="388"/>
    </row>
    <row r="306" spans="1:14" x14ac:dyDescent="0.3">
      <c r="A306" s="384" t="b">
        <v>0</v>
      </c>
      <c r="B306" s="394">
        <f t="shared" si="48"/>
        <v>-111</v>
      </c>
      <c r="C306" s="397" t="s">
        <v>2496</v>
      </c>
      <c r="D306" s="384" t="s">
        <v>2494</v>
      </c>
      <c r="E306" s="384">
        <f t="shared" si="49"/>
        <v>3</v>
      </c>
      <c r="F306" s="398">
        <v>7</v>
      </c>
      <c r="G306" s="384"/>
      <c r="H306" s="384">
        <f t="shared" ca="1" si="50"/>
        <v>21</v>
      </c>
      <c r="I306" s="389"/>
      <c r="J306" s="399"/>
      <c r="K306" s="386"/>
      <c r="L306" s="388"/>
      <c r="M306" s="396"/>
      <c r="N306" s="388"/>
    </row>
    <row r="307" spans="1:14" x14ac:dyDescent="0.3">
      <c r="A307" s="384" t="b">
        <v>0</v>
      </c>
      <c r="B307" s="394">
        <f t="shared" si="48"/>
        <v>-110</v>
      </c>
      <c r="C307" s="397" t="s">
        <v>2497</v>
      </c>
      <c r="D307" s="384" t="s">
        <v>2494</v>
      </c>
      <c r="E307" s="384">
        <f t="shared" si="49"/>
        <v>4</v>
      </c>
      <c r="F307" s="398">
        <v>7</v>
      </c>
      <c r="G307" s="384"/>
      <c r="H307" s="384">
        <f t="shared" ca="1" si="50"/>
        <v>21</v>
      </c>
      <c r="I307" s="389"/>
      <c r="J307" s="399"/>
      <c r="K307" s="386"/>
      <c r="L307" s="388"/>
      <c r="M307" s="396"/>
      <c r="N307" s="388"/>
    </row>
    <row r="308" spans="1:14" x14ac:dyDescent="0.3">
      <c r="A308" s="384" t="b">
        <v>0</v>
      </c>
      <c r="B308" s="394">
        <f t="shared" si="48"/>
        <v>-109</v>
      </c>
      <c r="C308" s="397" t="s">
        <v>2498</v>
      </c>
      <c r="D308" s="384" t="s">
        <v>2494</v>
      </c>
      <c r="E308" s="384">
        <f t="shared" si="49"/>
        <v>5</v>
      </c>
      <c r="F308" s="398">
        <v>7</v>
      </c>
      <c r="G308" s="384"/>
      <c r="H308" s="384">
        <f t="shared" ca="1" si="50"/>
        <v>21</v>
      </c>
      <c r="I308" s="389"/>
      <c r="J308" s="399"/>
      <c r="K308" s="386"/>
      <c r="L308" s="388"/>
      <c r="M308" s="396"/>
      <c r="N308" s="388"/>
    </row>
    <row r="309" spans="1:14" x14ac:dyDescent="0.3">
      <c r="A309" s="384" t="b">
        <v>0</v>
      </c>
      <c r="B309" s="394">
        <f t="shared" si="48"/>
        <v>-108</v>
      </c>
      <c r="C309" s="397" t="s">
        <v>2499</v>
      </c>
      <c r="D309" s="384" t="s">
        <v>2494</v>
      </c>
      <c r="E309" s="384">
        <f t="shared" si="49"/>
        <v>6</v>
      </c>
      <c r="F309" s="398">
        <v>7</v>
      </c>
      <c r="G309" s="384"/>
      <c r="H309" s="384">
        <f t="shared" ca="1" si="50"/>
        <v>21</v>
      </c>
      <c r="I309" s="389"/>
      <c r="J309" s="399"/>
      <c r="K309" s="386"/>
      <c r="L309" s="388"/>
      <c r="M309" s="396"/>
      <c r="N309" s="388"/>
    </row>
    <row r="310" spans="1:14" x14ac:dyDescent="0.3">
      <c r="A310" s="384" t="b">
        <v>0</v>
      </c>
      <c r="B310" s="394">
        <f t="shared" si="48"/>
        <v>-107</v>
      </c>
      <c r="C310" s="397" t="s">
        <v>2500</v>
      </c>
      <c r="D310" s="384" t="s">
        <v>2501</v>
      </c>
      <c r="E310" s="384">
        <f t="shared" si="49"/>
        <v>1</v>
      </c>
      <c r="F310" s="398">
        <v>8</v>
      </c>
      <c r="G310" s="384"/>
      <c r="H310" s="384">
        <f t="shared" ca="1" si="50"/>
        <v>23</v>
      </c>
      <c r="I310" s="389"/>
      <c r="J310" s="399"/>
      <c r="K310" s="386"/>
      <c r="L310" s="388"/>
      <c r="M310" s="396"/>
      <c r="N310" s="388"/>
    </row>
    <row r="311" spans="1:14" x14ac:dyDescent="0.3">
      <c r="A311" s="384" t="b">
        <v>0</v>
      </c>
      <c r="B311" s="394">
        <f t="shared" si="48"/>
        <v>-106</v>
      </c>
      <c r="C311" s="397" t="s">
        <v>2502</v>
      </c>
      <c r="D311" s="384" t="s">
        <v>2501</v>
      </c>
      <c r="E311" s="384">
        <f t="shared" si="49"/>
        <v>2</v>
      </c>
      <c r="F311" s="398">
        <v>8</v>
      </c>
      <c r="G311" s="384"/>
      <c r="H311" s="384">
        <f t="shared" ca="1" si="50"/>
        <v>23</v>
      </c>
      <c r="I311" s="389"/>
      <c r="J311" s="399"/>
      <c r="K311" s="386"/>
      <c r="L311" s="388"/>
      <c r="M311" s="396"/>
      <c r="N311" s="388"/>
    </row>
    <row r="312" spans="1:14" x14ac:dyDescent="0.3">
      <c r="A312" s="384" t="b">
        <v>0</v>
      </c>
      <c r="B312" s="394">
        <f t="shared" si="48"/>
        <v>-105</v>
      </c>
      <c r="C312" s="397" t="s">
        <v>2503</v>
      </c>
      <c r="D312" s="384" t="s">
        <v>2501</v>
      </c>
      <c r="E312" s="384">
        <f t="shared" si="49"/>
        <v>3</v>
      </c>
      <c r="F312" s="398">
        <v>8</v>
      </c>
      <c r="G312" s="384"/>
      <c r="H312" s="384">
        <f t="shared" ca="1" si="50"/>
        <v>23</v>
      </c>
      <c r="I312" s="389"/>
      <c r="J312" s="399"/>
      <c r="K312" s="386"/>
      <c r="L312" s="388"/>
      <c r="M312" s="396"/>
      <c r="N312" s="388"/>
    </row>
    <row r="313" spans="1:14" x14ac:dyDescent="0.3">
      <c r="A313" s="384" t="b">
        <v>0</v>
      </c>
      <c r="B313" s="394">
        <f t="shared" si="48"/>
        <v>-104</v>
      </c>
      <c r="C313" s="397" t="s">
        <v>2504</v>
      </c>
      <c r="D313" s="384" t="s">
        <v>2501</v>
      </c>
      <c r="E313" s="384">
        <f t="shared" si="49"/>
        <v>4</v>
      </c>
      <c r="F313" s="398">
        <v>8</v>
      </c>
      <c r="G313" s="384"/>
      <c r="H313" s="384">
        <f t="shared" ca="1" si="50"/>
        <v>23</v>
      </c>
      <c r="I313" s="389"/>
      <c r="J313" s="399"/>
      <c r="K313" s="386"/>
      <c r="L313" s="388"/>
      <c r="M313" s="396"/>
      <c r="N313" s="388"/>
    </row>
    <row r="314" spans="1:14" x14ac:dyDescent="0.3">
      <c r="A314" s="384" t="b">
        <v>0</v>
      </c>
      <c r="B314" s="394">
        <f t="shared" si="48"/>
        <v>-103</v>
      </c>
      <c r="C314" s="397" t="s">
        <v>2505</v>
      </c>
      <c r="D314" s="384" t="s">
        <v>2501</v>
      </c>
      <c r="E314" s="384">
        <f t="shared" si="49"/>
        <v>5</v>
      </c>
      <c r="F314" s="398">
        <v>8</v>
      </c>
      <c r="G314" s="384"/>
      <c r="H314" s="384">
        <f t="shared" ca="1" si="50"/>
        <v>23</v>
      </c>
      <c r="I314" s="389"/>
      <c r="J314" s="399"/>
      <c r="K314" s="386"/>
      <c r="L314" s="388"/>
      <c r="M314" s="396"/>
      <c r="N314" s="388"/>
    </row>
    <row r="315" spans="1:14" x14ac:dyDescent="0.3">
      <c r="A315" s="384" t="b">
        <v>0</v>
      </c>
      <c r="B315" s="394">
        <f t="shared" si="48"/>
        <v>-102</v>
      </c>
      <c r="C315" s="397" t="s">
        <v>2506</v>
      </c>
      <c r="D315" s="384" t="s">
        <v>2501</v>
      </c>
      <c r="E315" s="384">
        <f t="shared" si="49"/>
        <v>6</v>
      </c>
      <c r="F315" s="398">
        <v>8</v>
      </c>
      <c r="G315" s="384"/>
      <c r="H315" s="384">
        <f t="shared" ca="1" si="50"/>
        <v>23</v>
      </c>
      <c r="I315" s="389"/>
      <c r="J315" s="399"/>
      <c r="K315" s="386"/>
      <c r="L315" s="388"/>
      <c r="M315" s="396"/>
      <c r="N315" s="388"/>
    </row>
    <row r="316" spans="1:14" x14ac:dyDescent="0.3">
      <c r="A316" s="384" t="b">
        <v>0</v>
      </c>
      <c r="B316" s="394">
        <f t="shared" si="48"/>
        <v>-101</v>
      </c>
      <c r="C316" s="397" t="s">
        <v>2507</v>
      </c>
      <c r="D316" s="384" t="s">
        <v>2508</v>
      </c>
      <c r="E316" s="384">
        <f t="shared" si="49"/>
        <v>1</v>
      </c>
      <c r="F316" s="398">
        <v>9</v>
      </c>
      <c r="G316" s="384"/>
      <c r="H316" s="384">
        <f t="shared" ca="1" si="50"/>
        <v>25</v>
      </c>
      <c r="I316" s="389"/>
      <c r="J316" s="399"/>
      <c r="K316" s="386"/>
      <c r="L316" s="388"/>
      <c r="M316" s="396"/>
      <c r="N316" s="388"/>
    </row>
    <row r="317" spans="1:14" x14ac:dyDescent="0.3">
      <c r="A317" s="384" t="b">
        <v>0</v>
      </c>
      <c r="B317" s="394">
        <f t="shared" si="48"/>
        <v>-100</v>
      </c>
      <c r="C317" s="397" t="s">
        <v>2509</v>
      </c>
      <c r="D317" s="384" t="s">
        <v>2508</v>
      </c>
      <c r="E317" s="384">
        <f t="shared" si="49"/>
        <v>2</v>
      </c>
      <c r="F317" s="398">
        <v>9</v>
      </c>
      <c r="G317" s="384"/>
      <c r="H317" s="384">
        <f t="shared" ca="1" si="50"/>
        <v>25</v>
      </c>
      <c r="I317" s="389"/>
      <c r="J317" s="399"/>
      <c r="K317" s="386"/>
      <c r="L317" s="388"/>
      <c r="M317" s="396"/>
      <c r="N317" s="388"/>
    </row>
    <row r="318" spans="1:14" x14ac:dyDescent="0.3">
      <c r="A318" s="384" t="b">
        <v>0</v>
      </c>
      <c r="B318" s="394">
        <f t="shared" si="48"/>
        <v>-99</v>
      </c>
      <c r="C318" s="397" t="s">
        <v>2510</v>
      </c>
      <c r="D318" s="384" t="s">
        <v>2508</v>
      </c>
      <c r="E318" s="384">
        <f t="shared" si="49"/>
        <v>3</v>
      </c>
      <c r="F318" s="398">
        <v>9</v>
      </c>
      <c r="G318" s="384"/>
      <c r="H318" s="384">
        <f t="shared" ca="1" si="50"/>
        <v>25</v>
      </c>
      <c r="I318" s="389"/>
      <c r="J318" s="399"/>
      <c r="K318" s="386"/>
      <c r="L318" s="388"/>
      <c r="M318" s="396"/>
      <c r="N318" s="388"/>
    </row>
    <row r="319" spans="1:14" x14ac:dyDescent="0.3">
      <c r="A319" s="384" t="b">
        <v>0</v>
      </c>
      <c r="B319" s="394">
        <f t="shared" si="48"/>
        <v>-98</v>
      </c>
      <c r="C319" s="397" t="s">
        <v>2511</v>
      </c>
      <c r="D319" s="384" t="s">
        <v>2508</v>
      </c>
      <c r="E319" s="384">
        <f t="shared" si="49"/>
        <v>4</v>
      </c>
      <c r="F319" s="398">
        <v>9</v>
      </c>
      <c r="G319" s="384"/>
      <c r="H319" s="384">
        <f t="shared" ca="1" si="50"/>
        <v>25</v>
      </c>
      <c r="I319" s="389"/>
      <c r="J319" s="399"/>
      <c r="K319" s="386"/>
      <c r="L319" s="388"/>
      <c r="M319" s="396"/>
      <c r="N319" s="388"/>
    </row>
    <row r="320" spans="1:14" x14ac:dyDescent="0.3">
      <c r="A320" s="384" t="b">
        <v>0</v>
      </c>
      <c r="B320" s="394">
        <f t="shared" si="48"/>
        <v>-97</v>
      </c>
      <c r="C320" s="397" t="s">
        <v>2512</v>
      </c>
      <c r="D320" s="384" t="s">
        <v>2508</v>
      </c>
      <c r="E320" s="384">
        <f t="shared" si="49"/>
        <v>5</v>
      </c>
      <c r="F320" s="398">
        <v>9</v>
      </c>
      <c r="G320" s="384"/>
      <c r="H320" s="384">
        <f t="shared" ca="1" si="50"/>
        <v>25</v>
      </c>
      <c r="I320" s="389"/>
      <c r="J320" s="399"/>
      <c r="K320" s="386"/>
      <c r="L320" s="388"/>
      <c r="M320" s="396"/>
      <c r="N320" s="388"/>
    </row>
    <row r="321" spans="1:14" x14ac:dyDescent="0.3">
      <c r="A321" s="384" t="b">
        <v>0</v>
      </c>
      <c r="B321" s="394">
        <f t="shared" si="48"/>
        <v>-96</v>
      </c>
      <c r="C321" s="397" t="s">
        <v>2513</v>
      </c>
      <c r="D321" s="384" t="s">
        <v>2508</v>
      </c>
      <c r="E321" s="384">
        <f t="shared" si="49"/>
        <v>6</v>
      </c>
      <c r="F321" s="398">
        <v>9</v>
      </c>
      <c r="G321" s="384"/>
      <c r="H321" s="384">
        <f t="shared" ca="1" si="50"/>
        <v>25</v>
      </c>
      <c r="I321" s="389"/>
      <c r="J321" s="399"/>
      <c r="K321" s="386"/>
      <c r="L321" s="388"/>
      <c r="M321" s="396"/>
      <c r="N321" s="388"/>
    </row>
    <row r="322" spans="1:14" x14ac:dyDescent="0.3">
      <c r="A322" s="384" t="b">
        <v>0</v>
      </c>
      <c r="B322" s="394">
        <f t="shared" si="48"/>
        <v>-95</v>
      </c>
      <c r="C322" s="397" t="s">
        <v>2514</v>
      </c>
      <c r="D322" s="384" t="s">
        <v>2515</v>
      </c>
      <c r="E322" s="384">
        <f t="shared" si="49"/>
        <v>1</v>
      </c>
      <c r="F322" s="398">
        <v>10</v>
      </c>
      <c r="G322" s="384"/>
      <c r="H322" s="384">
        <f t="shared" ca="1" si="50"/>
        <v>27</v>
      </c>
      <c r="I322" s="389"/>
      <c r="J322" s="399"/>
      <c r="K322" s="386"/>
      <c r="L322" s="388"/>
      <c r="M322" s="396"/>
      <c r="N322" s="388"/>
    </row>
    <row r="323" spans="1:14" x14ac:dyDescent="0.3">
      <c r="A323" s="384" t="b">
        <v>0</v>
      </c>
      <c r="B323" s="394">
        <f t="shared" si="48"/>
        <v>-94</v>
      </c>
      <c r="C323" s="397" t="s">
        <v>2516</v>
      </c>
      <c r="D323" s="384" t="s">
        <v>2515</v>
      </c>
      <c r="E323" s="384">
        <f t="shared" si="49"/>
        <v>2</v>
      </c>
      <c r="F323" s="398">
        <v>10</v>
      </c>
      <c r="G323" s="384"/>
      <c r="H323" s="384">
        <f t="shared" ca="1" si="50"/>
        <v>27</v>
      </c>
      <c r="I323" s="389"/>
      <c r="J323" s="399"/>
      <c r="K323" s="386"/>
      <c r="L323" s="388"/>
      <c r="M323" s="396"/>
      <c r="N323" s="388"/>
    </row>
    <row r="324" spans="1:14" x14ac:dyDescent="0.3">
      <c r="A324" s="384" t="b">
        <v>0</v>
      </c>
      <c r="B324" s="394">
        <f t="shared" si="48"/>
        <v>-93</v>
      </c>
      <c r="C324" s="397" t="s">
        <v>2517</v>
      </c>
      <c r="D324" s="384" t="s">
        <v>2515</v>
      </c>
      <c r="E324" s="384">
        <f t="shared" si="49"/>
        <v>3</v>
      </c>
      <c r="F324" s="398">
        <v>10</v>
      </c>
      <c r="G324" s="384"/>
      <c r="H324" s="384">
        <f t="shared" ca="1" si="50"/>
        <v>27</v>
      </c>
      <c r="I324" s="389"/>
      <c r="J324" s="399"/>
      <c r="K324" s="386"/>
      <c r="L324" s="388"/>
      <c r="M324" s="396"/>
      <c r="N324" s="388"/>
    </row>
    <row r="325" spans="1:14" x14ac:dyDescent="0.3">
      <c r="A325" s="384" t="b">
        <v>0</v>
      </c>
      <c r="B325" s="394">
        <f t="shared" si="48"/>
        <v>-92</v>
      </c>
      <c r="C325" s="397" t="s">
        <v>2518</v>
      </c>
      <c r="D325" s="384" t="s">
        <v>2515</v>
      </c>
      <c r="E325" s="384">
        <f t="shared" si="49"/>
        <v>4</v>
      </c>
      <c r="F325" s="398">
        <v>10</v>
      </c>
      <c r="G325" s="384"/>
      <c r="H325" s="384">
        <f t="shared" ca="1" si="50"/>
        <v>27</v>
      </c>
      <c r="I325" s="389"/>
      <c r="J325" s="399"/>
      <c r="K325" s="386"/>
      <c r="L325" s="388"/>
      <c r="M325" s="396"/>
      <c r="N325" s="388"/>
    </row>
    <row r="326" spans="1:14" x14ac:dyDescent="0.3">
      <c r="A326" s="384" t="b">
        <v>0</v>
      </c>
      <c r="B326" s="394">
        <f t="shared" si="48"/>
        <v>-91</v>
      </c>
      <c r="C326" s="397" t="s">
        <v>2519</v>
      </c>
      <c r="D326" s="384" t="s">
        <v>2515</v>
      </c>
      <c r="E326" s="384">
        <f t="shared" si="49"/>
        <v>5</v>
      </c>
      <c r="F326" s="398">
        <v>10</v>
      </c>
      <c r="G326" s="384"/>
      <c r="H326" s="384">
        <f t="shared" ca="1" si="50"/>
        <v>27</v>
      </c>
      <c r="I326" s="389"/>
      <c r="J326" s="399"/>
      <c r="K326" s="386"/>
      <c r="L326" s="388"/>
      <c r="M326" s="396"/>
      <c r="N326" s="388"/>
    </row>
    <row r="327" spans="1:14" x14ac:dyDescent="0.3">
      <c r="A327" s="384" t="b">
        <v>0</v>
      </c>
      <c r="B327" s="394">
        <f t="shared" si="48"/>
        <v>-90</v>
      </c>
      <c r="C327" s="397" t="s">
        <v>2520</v>
      </c>
      <c r="D327" s="384" t="s">
        <v>2515</v>
      </c>
      <c r="E327" s="384">
        <f t="shared" si="49"/>
        <v>6</v>
      </c>
      <c r="F327" s="398">
        <v>10</v>
      </c>
      <c r="G327" s="384"/>
      <c r="H327" s="384">
        <f t="shared" ca="1" si="50"/>
        <v>27</v>
      </c>
      <c r="I327" s="389"/>
      <c r="J327" s="399"/>
      <c r="K327" s="386"/>
      <c r="L327" s="388"/>
      <c r="M327" s="396"/>
      <c r="N327" s="388"/>
    </row>
    <row r="328" spans="1:14" x14ac:dyDescent="0.3">
      <c r="A328" s="384" t="b">
        <v>0</v>
      </c>
      <c r="B328" s="394">
        <f t="shared" si="48"/>
        <v>-89</v>
      </c>
      <c r="C328" s="397" t="s">
        <v>2521</v>
      </c>
      <c r="D328" s="384" t="s">
        <v>2522</v>
      </c>
      <c r="E328" s="384">
        <f t="shared" si="49"/>
        <v>1</v>
      </c>
      <c r="F328" s="398">
        <v>11</v>
      </c>
      <c r="G328" s="384"/>
      <c r="H328" s="384">
        <f t="shared" ca="1" si="50"/>
        <v>29</v>
      </c>
      <c r="I328" s="389"/>
      <c r="J328" s="399"/>
      <c r="K328" s="386"/>
      <c r="L328" s="388"/>
      <c r="M328" s="396"/>
      <c r="N328" s="388"/>
    </row>
    <row r="329" spans="1:14" x14ac:dyDescent="0.3">
      <c r="A329" s="384" t="b">
        <v>0</v>
      </c>
      <c r="B329" s="394">
        <f t="shared" si="48"/>
        <v>-88</v>
      </c>
      <c r="C329" s="397" t="s">
        <v>2523</v>
      </c>
      <c r="D329" s="384" t="s">
        <v>2522</v>
      </c>
      <c r="E329" s="384">
        <f t="shared" si="49"/>
        <v>2</v>
      </c>
      <c r="F329" s="398">
        <v>11</v>
      </c>
      <c r="G329" s="384"/>
      <c r="H329" s="384">
        <f t="shared" ca="1" si="50"/>
        <v>29</v>
      </c>
      <c r="I329" s="389"/>
      <c r="J329" s="399"/>
      <c r="K329" s="386"/>
      <c r="L329" s="388"/>
      <c r="M329" s="396"/>
      <c r="N329" s="388"/>
    </row>
    <row r="330" spans="1:14" x14ac:dyDescent="0.3">
      <c r="A330" s="384" t="b">
        <v>0</v>
      </c>
      <c r="B330" s="394">
        <f t="shared" si="48"/>
        <v>-87</v>
      </c>
      <c r="C330" s="397" t="s">
        <v>2524</v>
      </c>
      <c r="D330" s="384" t="s">
        <v>2522</v>
      </c>
      <c r="E330" s="384">
        <f t="shared" si="49"/>
        <v>3</v>
      </c>
      <c r="F330" s="398">
        <v>11</v>
      </c>
      <c r="G330" s="384"/>
      <c r="H330" s="384">
        <f t="shared" ca="1" si="50"/>
        <v>29</v>
      </c>
      <c r="I330" s="389"/>
      <c r="J330" s="399"/>
      <c r="K330" s="386"/>
      <c r="L330" s="388"/>
      <c r="M330" s="396"/>
      <c r="N330" s="388"/>
    </row>
    <row r="331" spans="1:14" x14ac:dyDescent="0.3">
      <c r="A331" s="384" t="b">
        <v>0</v>
      </c>
      <c r="B331" s="394">
        <f t="shared" si="48"/>
        <v>-86</v>
      </c>
      <c r="C331" s="397" t="s">
        <v>2525</v>
      </c>
      <c r="D331" s="384" t="s">
        <v>2522</v>
      </c>
      <c r="E331" s="384">
        <f t="shared" si="49"/>
        <v>4</v>
      </c>
      <c r="F331" s="398">
        <v>11</v>
      </c>
      <c r="G331" s="384"/>
      <c r="H331" s="384">
        <f t="shared" ca="1" si="50"/>
        <v>29</v>
      </c>
      <c r="I331" s="389"/>
      <c r="J331" s="399"/>
      <c r="K331" s="386"/>
      <c r="L331" s="388"/>
      <c r="M331" s="396"/>
      <c r="N331" s="388"/>
    </row>
    <row r="332" spans="1:14" x14ac:dyDescent="0.3">
      <c r="A332" s="384" t="b">
        <v>0</v>
      </c>
      <c r="B332" s="394">
        <f t="shared" ref="B332:B395" si="51">B331+1</f>
        <v>-85</v>
      </c>
      <c r="C332" s="397" t="s">
        <v>2526</v>
      </c>
      <c r="D332" s="384" t="s">
        <v>2522</v>
      </c>
      <c r="E332" s="384">
        <f t="shared" ref="E332:E395" si="52">COUNTIF(F323:F332,F332)</f>
        <v>5</v>
      </c>
      <c r="F332" s="398">
        <v>11</v>
      </c>
      <c r="G332" s="384"/>
      <c r="H332" s="384">
        <f t="shared" ref="H332:H395" ca="1" si="53">IF(F332=1,9,IF(E331=MAX(E330:E332),H330+2,H331))</f>
        <v>29</v>
      </c>
      <c r="I332" s="389"/>
      <c r="J332" s="399"/>
      <c r="K332" s="386"/>
      <c r="L332" s="388"/>
      <c r="M332" s="396"/>
      <c r="N332" s="388"/>
    </row>
    <row r="333" spans="1:14" x14ac:dyDescent="0.3">
      <c r="A333" s="384" t="b">
        <v>0</v>
      </c>
      <c r="B333" s="394">
        <f t="shared" si="51"/>
        <v>-84</v>
      </c>
      <c r="C333" s="397" t="s">
        <v>2527</v>
      </c>
      <c r="D333" s="384" t="s">
        <v>2522</v>
      </c>
      <c r="E333" s="384">
        <f t="shared" si="52"/>
        <v>6</v>
      </c>
      <c r="F333" s="398">
        <v>11</v>
      </c>
      <c r="G333" s="384"/>
      <c r="H333" s="384">
        <f t="shared" ca="1" si="53"/>
        <v>29</v>
      </c>
      <c r="I333" s="389"/>
      <c r="J333" s="399"/>
      <c r="K333" s="386"/>
      <c r="L333" s="388"/>
      <c r="M333" s="396"/>
      <c r="N333" s="388"/>
    </row>
    <row r="334" spans="1:14" x14ac:dyDescent="0.3">
      <c r="A334" s="384" t="b">
        <v>0</v>
      </c>
      <c r="B334" s="394">
        <f t="shared" si="51"/>
        <v>-83</v>
      </c>
      <c r="C334" s="397" t="s">
        <v>2528</v>
      </c>
      <c r="D334" s="384" t="s">
        <v>2529</v>
      </c>
      <c r="E334" s="384">
        <f t="shared" si="52"/>
        <v>1</v>
      </c>
      <c r="F334" s="398">
        <v>12</v>
      </c>
      <c r="G334" s="384"/>
      <c r="H334" s="384">
        <f t="shared" ca="1" si="53"/>
        <v>31</v>
      </c>
      <c r="I334" s="389"/>
      <c r="J334" s="399"/>
      <c r="K334" s="386"/>
      <c r="L334" s="388"/>
      <c r="M334" s="396"/>
      <c r="N334" s="388"/>
    </row>
    <row r="335" spans="1:14" x14ac:dyDescent="0.3">
      <c r="A335" s="384" t="b">
        <v>0</v>
      </c>
      <c r="B335" s="394">
        <f t="shared" si="51"/>
        <v>-82</v>
      </c>
      <c r="C335" s="397" t="s">
        <v>2530</v>
      </c>
      <c r="D335" s="384" t="s">
        <v>2529</v>
      </c>
      <c r="E335" s="384">
        <f t="shared" si="52"/>
        <v>2</v>
      </c>
      <c r="F335" s="398">
        <v>12</v>
      </c>
      <c r="G335" s="384"/>
      <c r="H335" s="384">
        <f t="shared" ca="1" si="53"/>
        <v>31</v>
      </c>
      <c r="I335" s="389"/>
      <c r="J335" s="399"/>
      <c r="K335" s="386"/>
      <c r="L335" s="388"/>
      <c r="M335" s="396"/>
      <c r="N335" s="388"/>
    </row>
    <row r="336" spans="1:14" x14ac:dyDescent="0.3">
      <c r="A336" s="384" t="b">
        <v>0</v>
      </c>
      <c r="B336" s="394">
        <f t="shared" si="51"/>
        <v>-81</v>
      </c>
      <c r="C336" s="397" t="s">
        <v>2531</v>
      </c>
      <c r="D336" s="384" t="s">
        <v>2529</v>
      </c>
      <c r="E336" s="384">
        <f t="shared" si="52"/>
        <v>3</v>
      </c>
      <c r="F336" s="398">
        <v>12</v>
      </c>
      <c r="G336" s="384"/>
      <c r="H336" s="384">
        <f t="shared" ca="1" si="53"/>
        <v>31</v>
      </c>
      <c r="I336" s="389"/>
      <c r="J336" s="399"/>
      <c r="K336" s="386"/>
      <c r="L336" s="388"/>
      <c r="M336" s="396"/>
      <c r="N336" s="388"/>
    </row>
    <row r="337" spans="1:14" x14ac:dyDescent="0.3">
      <c r="A337" s="384" t="b">
        <v>0</v>
      </c>
      <c r="B337" s="394">
        <f t="shared" si="51"/>
        <v>-80</v>
      </c>
      <c r="C337" s="397" t="s">
        <v>2532</v>
      </c>
      <c r="D337" s="384" t="s">
        <v>2529</v>
      </c>
      <c r="E337" s="384">
        <f t="shared" si="52"/>
        <v>4</v>
      </c>
      <c r="F337" s="398">
        <v>12</v>
      </c>
      <c r="G337" s="384"/>
      <c r="H337" s="384">
        <f t="shared" ca="1" si="53"/>
        <v>31</v>
      </c>
      <c r="I337" s="389"/>
      <c r="J337" s="399"/>
      <c r="K337" s="386"/>
      <c r="L337" s="388"/>
      <c r="M337" s="396"/>
      <c r="N337" s="388"/>
    </row>
    <row r="338" spans="1:14" x14ac:dyDescent="0.3">
      <c r="A338" s="384" t="b">
        <v>0</v>
      </c>
      <c r="B338" s="394">
        <f t="shared" si="51"/>
        <v>-79</v>
      </c>
      <c r="C338" s="397" t="s">
        <v>2533</v>
      </c>
      <c r="D338" s="384" t="s">
        <v>2529</v>
      </c>
      <c r="E338" s="384">
        <f t="shared" si="52"/>
        <v>5</v>
      </c>
      <c r="F338" s="398">
        <v>12</v>
      </c>
      <c r="G338" s="384"/>
      <c r="H338" s="384">
        <f t="shared" ca="1" si="53"/>
        <v>31</v>
      </c>
      <c r="I338" s="389"/>
      <c r="J338" s="399"/>
      <c r="K338" s="386"/>
      <c r="L338" s="388"/>
      <c r="M338" s="396"/>
      <c r="N338" s="388"/>
    </row>
    <row r="339" spans="1:14" x14ac:dyDescent="0.3">
      <c r="A339" s="384" t="b">
        <v>0</v>
      </c>
      <c r="B339" s="394">
        <f t="shared" si="51"/>
        <v>-78</v>
      </c>
      <c r="C339" s="397" t="s">
        <v>2534</v>
      </c>
      <c r="D339" s="384" t="s">
        <v>2529</v>
      </c>
      <c r="E339" s="384">
        <f t="shared" si="52"/>
        <v>6</v>
      </c>
      <c r="F339" s="398">
        <v>12</v>
      </c>
      <c r="G339" s="384"/>
      <c r="H339" s="384">
        <f t="shared" ca="1" si="53"/>
        <v>31</v>
      </c>
      <c r="I339" s="389"/>
      <c r="J339" s="399"/>
      <c r="K339" s="386"/>
      <c r="L339" s="388"/>
      <c r="M339" s="396"/>
      <c r="N339" s="388"/>
    </row>
    <row r="340" spans="1:14" x14ac:dyDescent="0.3">
      <c r="A340" s="384" t="b">
        <v>0</v>
      </c>
      <c r="B340" s="394">
        <f t="shared" si="51"/>
        <v>-77</v>
      </c>
      <c r="C340" s="397" t="s">
        <v>2535</v>
      </c>
      <c r="D340" s="384" t="s">
        <v>2536</v>
      </c>
      <c r="E340" s="384">
        <f t="shared" si="52"/>
        <v>1</v>
      </c>
      <c r="F340" s="398">
        <v>13</v>
      </c>
      <c r="G340" s="384"/>
      <c r="H340" s="384">
        <f t="shared" ca="1" si="53"/>
        <v>33</v>
      </c>
      <c r="I340" s="389"/>
      <c r="J340" s="399"/>
      <c r="K340" s="386"/>
      <c r="L340" s="388"/>
      <c r="M340" s="396"/>
      <c r="N340" s="388"/>
    </row>
    <row r="341" spans="1:14" x14ac:dyDescent="0.3">
      <c r="A341" s="384" t="b">
        <v>0</v>
      </c>
      <c r="B341" s="394">
        <f t="shared" si="51"/>
        <v>-76</v>
      </c>
      <c r="C341" s="397" t="s">
        <v>2537</v>
      </c>
      <c r="D341" s="384" t="s">
        <v>2536</v>
      </c>
      <c r="E341" s="384">
        <f t="shared" si="52"/>
        <v>2</v>
      </c>
      <c r="F341" s="398">
        <v>13</v>
      </c>
      <c r="G341" s="384"/>
      <c r="H341" s="384">
        <f t="shared" ca="1" si="53"/>
        <v>33</v>
      </c>
      <c r="I341" s="389"/>
      <c r="J341" s="399"/>
      <c r="K341" s="386"/>
      <c r="L341" s="388"/>
      <c r="M341" s="396"/>
      <c r="N341" s="388"/>
    </row>
    <row r="342" spans="1:14" x14ac:dyDescent="0.3">
      <c r="A342" s="384" t="b">
        <v>0</v>
      </c>
      <c r="B342" s="394">
        <f t="shared" si="51"/>
        <v>-75</v>
      </c>
      <c r="C342" s="397" t="s">
        <v>2538</v>
      </c>
      <c r="D342" s="384" t="s">
        <v>2536</v>
      </c>
      <c r="E342" s="384">
        <f t="shared" si="52"/>
        <v>3</v>
      </c>
      <c r="F342" s="398">
        <v>13</v>
      </c>
      <c r="G342" s="384"/>
      <c r="H342" s="384">
        <f t="shared" ca="1" si="53"/>
        <v>33</v>
      </c>
      <c r="I342" s="389"/>
      <c r="J342" s="399"/>
      <c r="K342" s="386"/>
      <c r="L342" s="388"/>
      <c r="M342" s="396"/>
      <c r="N342" s="388"/>
    </row>
    <row r="343" spans="1:14" x14ac:dyDescent="0.3">
      <c r="A343" s="384" t="b">
        <v>0</v>
      </c>
      <c r="B343" s="394">
        <f t="shared" si="51"/>
        <v>-74</v>
      </c>
      <c r="C343" s="397" t="s">
        <v>2539</v>
      </c>
      <c r="D343" s="384" t="s">
        <v>2536</v>
      </c>
      <c r="E343" s="384">
        <f t="shared" si="52"/>
        <v>4</v>
      </c>
      <c r="F343" s="398">
        <v>13</v>
      </c>
      <c r="G343" s="384"/>
      <c r="H343" s="384">
        <f t="shared" ca="1" si="53"/>
        <v>33</v>
      </c>
      <c r="I343" s="389"/>
      <c r="J343" s="399"/>
      <c r="K343" s="386"/>
      <c r="L343" s="388"/>
      <c r="M343" s="396"/>
      <c r="N343" s="388"/>
    </row>
    <row r="344" spans="1:14" x14ac:dyDescent="0.3">
      <c r="A344" s="384" t="b">
        <v>0</v>
      </c>
      <c r="B344" s="394">
        <f t="shared" si="51"/>
        <v>-73</v>
      </c>
      <c r="C344" s="397" t="s">
        <v>2540</v>
      </c>
      <c r="D344" s="384" t="s">
        <v>2536</v>
      </c>
      <c r="E344" s="384">
        <f t="shared" si="52"/>
        <v>5</v>
      </c>
      <c r="F344" s="398">
        <v>13</v>
      </c>
      <c r="G344" s="384"/>
      <c r="H344" s="384">
        <f t="shared" ca="1" si="53"/>
        <v>33</v>
      </c>
      <c r="I344" s="389"/>
      <c r="J344" s="399"/>
      <c r="K344" s="386"/>
      <c r="L344" s="388"/>
      <c r="M344" s="396"/>
      <c r="N344" s="388"/>
    </row>
    <row r="345" spans="1:14" x14ac:dyDescent="0.3">
      <c r="A345" s="384" t="b">
        <v>0</v>
      </c>
      <c r="B345" s="394">
        <f t="shared" si="51"/>
        <v>-72</v>
      </c>
      <c r="C345" s="397" t="s">
        <v>2541</v>
      </c>
      <c r="D345" s="384" t="s">
        <v>2536</v>
      </c>
      <c r="E345" s="384">
        <f t="shared" si="52"/>
        <v>6</v>
      </c>
      <c r="F345" s="398">
        <v>13</v>
      </c>
      <c r="G345" s="384"/>
      <c r="H345" s="384">
        <f t="shared" ca="1" si="53"/>
        <v>33</v>
      </c>
      <c r="I345" s="389"/>
      <c r="J345" s="399"/>
      <c r="K345" s="386"/>
      <c r="L345" s="388"/>
      <c r="M345" s="396"/>
      <c r="N345" s="388"/>
    </row>
    <row r="346" spans="1:14" x14ac:dyDescent="0.3">
      <c r="A346" s="384" t="b">
        <v>0</v>
      </c>
      <c r="B346" s="394">
        <f t="shared" si="51"/>
        <v>-71</v>
      </c>
      <c r="C346" s="397" t="s">
        <v>2542</v>
      </c>
      <c r="D346" s="384" t="s">
        <v>2543</v>
      </c>
      <c r="E346" s="384">
        <f t="shared" si="52"/>
        <v>1</v>
      </c>
      <c r="F346" s="398">
        <v>14</v>
      </c>
      <c r="G346" s="384"/>
      <c r="H346" s="384">
        <f t="shared" ca="1" si="53"/>
        <v>35</v>
      </c>
      <c r="I346" s="389"/>
      <c r="J346" s="399"/>
      <c r="K346" s="386"/>
      <c r="L346" s="388"/>
      <c r="M346" s="396"/>
      <c r="N346" s="388"/>
    </row>
    <row r="347" spans="1:14" x14ac:dyDescent="0.3">
      <c r="A347" s="384" t="b">
        <v>0</v>
      </c>
      <c r="B347" s="394">
        <f t="shared" si="51"/>
        <v>-70</v>
      </c>
      <c r="C347" s="397" t="s">
        <v>2544</v>
      </c>
      <c r="D347" s="384" t="s">
        <v>2543</v>
      </c>
      <c r="E347" s="384">
        <f t="shared" si="52"/>
        <v>2</v>
      </c>
      <c r="F347" s="398">
        <v>14</v>
      </c>
      <c r="G347" s="384"/>
      <c r="H347" s="384">
        <f t="shared" ca="1" si="53"/>
        <v>35</v>
      </c>
      <c r="I347" s="389"/>
      <c r="J347" s="399"/>
      <c r="K347" s="386"/>
      <c r="L347" s="388"/>
      <c r="M347" s="396"/>
      <c r="N347" s="388"/>
    </row>
    <row r="348" spans="1:14" x14ac:dyDescent="0.3">
      <c r="A348" s="384" t="b">
        <v>0</v>
      </c>
      <c r="B348" s="394">
        <f t="shared" si="51"/>
        <v>-69</v>
      </c>
      <c r="C348" s="397" t="s">
        <v>2545</v>
      </c>
      <c r="D348" s="384" t="s">
        <v>2543</v>
      </c>
      <c r="E348" s="384">
        <f t="shared" si="52"/>
        <v>3</v>
      </c>
      <c r="F348" s="398">
        <v>14</v>
      </c>
      <c r="G348" s="384"/>
      <c r="H348" s="384">
        <f t="shared" ca="1" si="53"/>
        <v>35</v>
      </c>
      <c r="I348" s="389"/>
      <c r="J348" s="399"/>
      <c r="K348" s="386"/>
      <c r="L348" s="388"/>
      <c r="M348" s="396"/>
      <c r="N348" s="388"/>
    </row>
    <row r="349" spans="1:14" x14ac:dyDescent="0.3">
      <c r="A349" s="384" t="b">
        <v>0</v>
      </c>
      <c r="B349" s="394">
        <f t="shared" si="51"/>
        <v>-68</v>
      </c>
      <c r="C349" s="397" t="s">
        <v>2546</v>
      </c>
      <c r="D349" s="384" t="s">
        <v>2543</v>
      </c>
      <c r="E349" s="384">
        <f t="shared" si="52"/>
        <v>4</v>
      </c>
      <c r="F349" s="398">
        <v>14</v>
      </c>
      <c r="G349" s="384"/>
      <c r="H349" s="384">
        <f t="shared" ca="1" si="53"/>
        <v>35</v>
      </c>
      <c r="I349" s="389"/>
      <c r="J349" s="399"/>
      <c r="K349" s="386"/>
      <c r="L349" s="388"/>
      <c r="M349" s="396"/>
      <c r="N349" s="388"/>
    </row>
    <row r="350" spans="1:14" x14ac:dyDescent="0.3">
      <c r="A350" s="384" t="b">
        <v>0</v>
      </c>
      <c r="B350" s="394">
        <f t="shared" si="51"/>
        <v>-67</v>
      </c>
      <c r="C350" s="397" t="s">
        <v>2547</v>
      </c>
      <c r="D350" s="384" t="s">
        <v>2543</v>
      </c>
      <c r="E350" s="384">
        <f t="shared" si="52"/>
        <v>5</v>
      </c>
      <c r="F350" s="398">
        <v>14</v>
      </c>
      <c r="G350" s="384"/>
      <c r="H350" s="384">
        <f t="shared" ca="1" si="53"/>
        <v>35</v>
      </c>
      <c r="I350" s="389"/>
      <c r="J350" s="399"/>
      <c r="K350" s="386"/>
      <c r="L350" s="388"/>
      <c r="M350" s="396"/>
      <c r="N350" s="388"/>
    </row>
    <row r="351" spans="1:14" x14ac:dyDescent="0.3">
      <c r="A351" s="384" t="b">
        <v>0</v>
      </c>
      <c r="B351" s="394">
        <f t="shared" si="51"/>
        <v>-66</v>
      </c>
      <c r="C351" s="397" t="s">
        <v>2548</v>
      </c>
      <c r="D351" s="384" t="s">
        <v>2543</v>
      </c>
      <c r="E351" s="384">
        <f t="shared" si="52"/>
        <v>6</v>
      </c>
      <c r="F351" s="398">
        <v>14</v>
      </c>
      <c r="G351" s="384"/>
      <c r="H351" s="384">
        <f t="shared" ca="1" si="53"/>
        <v>35</v>
      </c>
      <c r="I351" s="389"/>
      <c r="J351" s="399"/>
      <c r="K351" s="386"/>
      <c r="L351" s="388"/>
      <c r="M351" s="396"/>
      <c r="N351" s="388"/>
    </row>
    <row r="352" spans="1:14" x14ac:dyDescent="0.3">
      <c r="A352" s="384" t="b">
        <v>0</v>
      </c>
      <c r="B352" s="394">
        <f t="shared" si="51"/>
        <v>-65</v>
      </c>
      <c r="C352" s="397" t="s">
        <v>2549</v>
      </c>
      <c r="D352" s="384" t="s">
        <v>2550</v>
      </c>
      <c r="E352" s="384">
        <f t="shared" si="52"/>
        <v>1</v>
      </c>
      <c r="F352" s="398">
        <v>15</v>
      </c>
      <c r="G352" s="384"/>
      <c r="H352" s="384">
        <f t="shared" ca="1" si="53"/>
        <v>37</v>
      </c>
      <c r="I352" s="389"/>
      <c r="J352" s="399"/>
      <c r="K352" s="386"/>
      <c r="L352" s="388"/>
      <c r="M352" s="396"/>
      <c r="N352" s="388"/>
    </row>
    <row r="353" spans="1:14" x14ac:dyDescent="0.3">
      <c r="A353" s="384" t="b">
        <v>0</v>
      </c>
      <c r="B353" s="394">
        <f t="shared" si="51"/>
        <v>-64</v>
      </c>
      <c r="C353" s="397" t="s">
        <v>2551</v>
      </c>
      <c r="D353" s="384" t="s">
        <v>2550</v>
      </c>
      <c r="E353" s="384">
        <f t="shared" si="52"/>
        <v>2</v>
      </c>
      <c r="F353" s="398">
        <v>15</v>
      </c>
      <c r="G353" s="384"/>
      <c r="H353" s="384">
        <f t="shared" ca="1" si="53"/>
        <v>37</v>
      </c>
      <c r="I353" s="389"/>
      <c r="J353" s="399"/>
      <c r="K353" s="386"/>
      <c r="L353" s="388"/>
      <c r="M353" s="396"/>
      <c r="N353" s="388"/>
    </row>
    <row r="354" spans="1:14" x14ac:dyDescent="0.3">
      <c r="A354" s="384" t="b">
        <v>0</v>
      </c>
      <c r="B354" s="394">
        <f t="shared" si="51"/>
        <v>-63</v>
      </c>
      <c r="C354" s="397" t="s">
        <v>2552</v>
      </c>
      <c r="D354" s="384" t="s">
        <v>2550</v>
      </c>
      <c r="E354" s="384">
        <f t="shared" si="52"/>
        <v>3</v>
      </c>
      <c r="F354" s="398">
        <v>15</v>
      </c>
      <c r="G354" s="384"/>
      <c r="H354" s="384">
        <f t="shared" ca="1" si="53"/>
        <v>37</v>
      </c>
      <c r="I354" s="389"/>
      <c r="J354" s="399"/>
      <c r="K354" s="386"/>
      <c r="L354" s="388"/>
      <c r="M354" s="396"/>
      <c r="N354" s="388"/>
    </row>
    <row r="355" spans="1:14" x14ac:dyDescent="0.3">
      <c r="A355" s="384" t="b">
        <v>0</v>
      </c>
      <c r="B355" s="394">
        <f t="shared" si="51"/>
        <v>-62</v>
      </c>
      <c r="C355" s="397" t="s">
        <v>2553</v>
      </c>
      <c r="D355" s="384" t="s">
        <v>2550</v>
      </c>
      <c r="E355" s="384">
        <f t="shared" si="52"/>
        <v>4</v>
      </c>
      <c r="F355" s="398">
        <v>15</v>
      </c>
      <c r="G355" s="384"/>
      <c r="H355" s="384">
        <f t="shared" ca="1" si="53"/>
        <v>37</v>
      </c>
      <c r="I355" s="389"/>
      <c r="J355" s="399"/>
      <c r="K355" s="386"/>
      <c r="L355" s="388"/>
      <c r="M355" s="396"/>
      <c r="N355" s="388"/>
    </row>
    <row r="356" spans="1:14" x14ac:dyDescent="0.3">
      <c r="A356" s="384" t="b">
        <v>0</v>
      </c>
      <c r="B356" s="394">
        <f t="shared" si="51"/>
        <v>-61</v>
      </c>
      <c r="C356" s="397" t="s">
        <v>2554</v>
      </c>
      <c r="D356" s="384" t="s">
        <v>2550</v>
      </c>
      <c r="E356" s="384">
        <f t="shared" si="52"/>
        <v>5</v>
      </c>
      <c r="F356" s="398">
        <v>15</v>
      </c>
      <c r="G356" s="384"/>
      <c r="H356" s="384">
        <f t="shared" ca="1" si="53"/>
        <v>37</v>
      </c>
      <c r="I356" s="389"/>
      <c r="J356" s="399"/>
      <c r="K356" s="386"/>
      <c r="L356" s="388"/>
      <c r="M356" s="396"/>
      <c r="N356" s="388"/>
    </row>
    <row r="357" spans="1:14" x14ac:dyDescent="0.3">
      <c r="A357" s="384" t="b">
        <v>0</v>
      </c>
      <c r="B357" s="394">
        <f t="shared" si="51"/>
        <v>-60</v>
      </c>
      <c r="C357" s="397" t="s">
        <v>2555</v>
      </c>
      <c r="D357" s="384" t="s">
        <v>2550</v>
      </c>
      <c r="E357" s="384">
        <f t="shared" si="52"/>
        <v>6</v>
      </c>
      <c r="F357" s="398">
        <v>15</v>
      </c>
      <c r="G357" s="384"/>
      <c r="H357" s="384">
        <f t="shared" ca="1" si="53"/>
        <v>37</v>
      </c>
      <c r="I357" s="389"/>
      <c r="J357" s="399"/>
      <c r="K357" s="386"/>
      <c r="L357" s="388"/>
      <c r="M357" s="396"/>
      <c r="N357" s="388"/>
    </row>
    <row r="358" spans="1:14" x14ac:dyDescent="0.3">
      <c r="A358" s="384" t="b">
        <f t="shared" ref="A358:A421" ca="1" si="54">IF(OR(I358&lt;&gt;"",J358&lt;&gt;"",K358&lt;&gt;"",M358&lt;&gt;"",N358&lt;&gt;""),TRUE,FALSE)</f>
        <v>0</v>
      </c>
      <c r="B358" s="394">
        <f t="shared" si="51"/>
        <v>-59</v>
      </c>
      <c r="C358" s="400" t="str">
        <f ca="1">IF(COUNTA(D$265:D357)=1,"",OFFSET(B356,-COUNTA(D$265:D357)+3,1))</f>
        <v>a1WDm000000bx0UMAQ</v>
      </c>
      <c r="D358" s="384"/>
      <c r="E358" s="384">
        <f t="shared" ca="1" si="52"/>
        <v>1</v>
      </c>
      <c r="F358" s="398">
        <f ca="1">IF(COUNTA(D$265:D357)=1,"",OFFSET(F356,-COUNTA(D$265:D357)+3,0))</f>
        <v>1</v>
      </c>
      <c r="G358" s="384"/>
      <c r="H358" s="384">
        <f t="shared" ca="1" si="53"/>
        <v>9</v>
      </c>
      <c r="I358" s="389" t="str">
        <f t="shared" ref="I358:I421" ca="1" si="55">IFERROR(CHOOSE(E358,IFERROR(IF(INDIRECT("'Outcome Indicators - Section C '!K"&amp;H358+1)="","",INDIRECT("'Outcome Indicators - Section C '!K"&amp;H358+1)),""),IFERROR(IF(INDIRECT("'Outcome Indicators - Section C '!O"&amp;H358+1)="","",INDIRECT("'Outcome Indicators - Section C '!O"&amp;H358+1)),""),IFERROR(IF(INDIRECT("'Outcome Indicators - Section C '!S"&amp;H358+1)="","",INDIRECT("'Outcome Indicators - Section C '!S"&amp;H358+1)),""),IFERROR(IF(INDIRECT("'Outcome Indicators - Section C '!W"&amp;H358+1)="","",INDIRECT("'Outcome Indicators - Section C '!W"&amp;H358+1)),"")),"")</f>
        <v/>
      </c>
      <c r="J358" s="399" t="str">
        <f t="shared" ref="J358:J421" ca="1" si="56">IFERROR(CHOOSE(E358,IFERROR(IF(INDIRECT("'Outcome Indicators - Section C '!K"&amp;H358)="","",INDIRECT("'Outcome Indicators - Section C '!K"&amp;H358)),""),IFERROR(IF(INDIRECT("'Outcome Indicators - Section C '!O"&amp;H358)="","",INDIRECT("'Outcome Indicators - Section C '!O"&amp;H358)),""),IFERROR(IF(INDIRECT("'Outcome Indicators - Section C '!S"&amp;H358)="","",INDIRECT("'Outcome Indicators - Section C '!S"&amp;H358)),""),IFERROR(IF(INDIRECT("'Outcome Indicators - Section C '!W"&amp;H358)="","",INDIRECT("'Outcome Indicators - Section C '!W"&amp;H358)),"")),"")</f>
        <v/>
      </c>
      <c r="K358" s="386" t="str">
        <f t="shared" ref="K358:K421" ca="1" si="57">IFERROR(CHOOSE(E358,IFERROR(IF(INDIRECT("'Outcome Indicators - Section C '!L"&amp;H358)="","",INDIRECT("'Outcome Indicators - Section C '!L"&amp;H358)*100),""),IFERROR(IF(INDIRECT("'Outcome Indicators - Section C '!P"&amp;H358)="","",INDIRECT("'Outcome Indicators - Section C '!P"&amp;H358)*100),""),IFERROR(IF(INDIRECT("'Outcome Indicators - Section C '!T"&amp;H358)="","",INDIRECT("'Outcome Indicators - Section C '!T"&amp;H358)*100),""),IFERROR(IF(INDIRECT("'Outcome Indicators - Section C '!X"&amp;H358)="","",INDIRECT("'Outcome Indicators - Section C '!X"&amp;H358)*100),"")),"")</f>
        <v/>
      </c>
      <c r="L358" s="388">
        <f ca="1">IFERROR(CHOOSE(E358,'Outcome Indicators - Section C '!$K$7,'Outcome Indicators - Section C '!$O$7,'Outcome Indicators - Section C '!$S$7,'Outcome Indicators - Section C '!$W$7,'Outcome Indicators - Section C '!#REF!),"")</f>
        <v>2024</v>
      </c>
      <c r="M358" s="396" t="str">
        <f t="shared" ref="M358:M421" ca="1" si="58">IFERROR(CHOOSE(E358,IFERROR(IF(INDIRECT("'Outcome Indicators - Section C '!M"&amp;H358)="","",INDIRECT("'Outcome Indicators - Section C '!M"&amp;H358)),""),IFERROR(IF(INDIRECT("'Outcome Indicators - Section C '!Q"&amp;H358)="","",INDIRECT("'Outcome Indicators - Section C '!Q"&amp;H358)),""),IFERROR(IF(INDIRECT("'Outcome Indicators - Section C '!U"&amp;H358)="","",INDIRECT("'Outcome Indicators - Section C '!U"&amp;H358)),""),IFERROR(IF(INDIRECT("'Outcome Indicators - Section C '!Y"&amp;H358)="","",INDIRECT("'Outcome Indicators - Section C '!Y"&amp;H358)),"")),"")</f>
        <v/>
      </c>
      <c r="N358" s="388" t="str">
        <f t="shared" ref="N358:N421" ca="1" si="59">IF(IFERROR(CHOOSE(E358,IFERROR(IF(INDIRECT("'Outcome Indicators - Section C '!N"&amp;H358)=0,"",INDIRECT("'Outcome Indicators - Section C '!N"&amp;H358)),""),IFERROR(IF(INDIRECT("'Outcome Indicators - Section C '!R"&amp;H358)=0,"",INDIRECT("'Outcome Indicators - Section C '!R"&amp;H358)),""),IFERROR(IF(INDIRECT("'Outcome Indicators - Section C '!V"&amp;H358)=0,"",INDIRECT("'Outcome Indicators - Section C '!V"&amp;H358)),""),IFERROR(IF(INDIRECT("'Outcome Indicators - Section C '!Z"&amp;H358)=0,"",INDIRECT("'Outcome Indicators - Section C '!Z"&amp;H358)),""),),"")=0,"",IFERROR(CHOOSE(E358,IFERROR(IF(INDIRECT("'Outcome Indicators - Section C '!N"&amp;H358)=0,"",INDIRECT("'Outcome Indicators - Section C '!N"&amp;H358)),""),IFERROR(IF(INDIRECT("'Outcome Indicators - Section C '!R"&amp;H358)=0,"",INDIRECT("'Outcome Indicators - Section C '!R"&amp;H358)),""),IFERROR(IF(INDIRECT("'Outcome Indicators - Section C '!V"&amp;H358)=0,"",INDIRECT("'Outcome Indicators - Section C '!V"&amp;H358)),""),IFERROR(IF(INDIRECT("'Outcome Indicators - Section C '!Z"&amp;H358)=0,"",INDIRECT("'Outcome Indicators - Section C '!Z"&amp;H358)),""),),""))</f>
        <v/>
      </c>
    </row>
    <row r="359" spans="1:14" x14ac:dyDescent="0.3">
      <c r="A359" s="384" t="b">
        <f t="shared" ca="1" si="54"/>
        <v>1</v>
      </c>
      <c r="B359" s="394">
        <f t="shared" si="51"/>
        <v>-58</v>
      </c>
      <c r="C359" s="400" t="str">
        <f ca="1">IF(COUNTA(D$265:D358)=1,"",OFFSET(B357,-COUNTA(D$265:D358)+3,1))</f>
        <v>a1WDm000000bx0jMAA</v>
      </c>
      <c r="D359" s="384"/>
      <c r="E359" s="384">
        <f t="shared" ca="1" si="52"/>
        <v>2</v>
      </c>
      <c r="F359" s="398">
        <f ca="1">IF(COUNTA(D$265:D358)=1,"",OFFSET(F357,-COUNTA(D$265:D358)+3,0))</f>
        <v>1</v>
      </c>
      <c r="G359" s="384"/>
      <c r="H359" s="384">
        <f t="shared" ca="1" si="53"/>
        <v>9</v>
      </c>
      <c r="I359" s="389" t="str">
        <f t="shared" ca="1" si="55"/>
        <v/>
      </c>
      <c r="J359" s="399" t="str">
        <f t="shared" ca="1" si="56"/>
        <v/>
      </c>
      <c r="K359" s="386">
        <f t="shared" ca="1" si="57"/>
        <v>60</v>
      </c>
      <c r="L359" s="388">
        <f ca="1">IFERROR(CHOOSE(E359,'Outcome Indicators - Section C '!$K$7,'Outcome Indicators - Section C '!$O$7,'Outcome Indicators - Section C '!$S$7,'Outcome Indicators - Section C '!$W$7,'Outcome Indicators - Section C '!#REF!),"")</f>
        <v>2025</v>
      </c>
      <c r="M359" s="396" t="str">
        <f t="shared" ca="1" si="58"/>
        <v/>
      </c>
      <c r="N359" s="388" t="str">
        <f t="shared" ca="1" si="59"/>
        <v/>
      </c>
    </row>
    <row r="360" spans="1:14" x14ac:dyDescent="0.3">
      <c r="A360" s="384" t="b">
        <f t="shared" ca="1" si="54"/>
        <v>0</v>
      </c>
      <c r="B360" s="394">
        <f t="shared" si="51"/>
        <v>-57</v>
      </c>
      <c r="C360" s="400" t="str">
        <f ca="1">IF(COUNTA(D$265:D359)=1,"",OFFSET(B358,-COUNTA(D$265:D359)+3,1))</f>
        <v>a1WDm000000bx0yMAA</v>
      </c>
      <c r="D360" s="384"/>
      <c r="E360" s="384">
        <f t="shared" ca="1" si="52"/>
        <v>3</v>
      </c>
      <c r="F360" s="398">
        <f ca="1">IF(COUNTA(D$265:D359)=1,"",OFFSET(F358,-COUNTA(D$265:D359)+3,0))</f>
        <v>1</v>
      </c>
      <c r="G360" s="384"/>
      <c r="H360" s="384">
        <f t="shared" ca="1" si="53"/>
        <v>9</v>
      </c>
      <c r="I360" s="389" t="str">
        <f t="shared" ca="1" si="55"/>
        <v/>
      </c>
      <c r="J360" s="399" t="str">
        <f t="shared" ca="1" si="56"/>
        <v/>
      </c>
      <c r="K360" s="386" t="str">
        <f t="shared" ca="1" si="57"/>
        <v/>
      </c>
      <c r="L360" s="388">
        <f ca="1">IFERROR(CHOOSE(E360,'Outcome Indicators - Section C '!$K$7,'Outcome Indicators - Section C '!$O$7,'Outcome Indicators - Section C '!$S$7,'Outcome Indicators - Section C '!$W$7,'Outcome Indicators - Section C '!#REF!),"")</f>
        <v>2026</v>
      </c>
      <c r="M360" s="396" t="str">
        <f t="shared" ca="1" si="58"/>
        <v/>
      </c>
      <c r="N360" s="388" t="str">
        <f t="shared" ca="1" si="59"/>
        <v/>
      </c>
    </row>
    <row r="361" spans="1:14" x14ac:dyDescent="0.3">
      <c r="A361" s="384" t="b">
        <f t="shared" ca="1" si="54"/>
        <v>0</v>
      </c>
      <c r="B361" s="394">
        <f t="shared" si="51"/>
        <v>-56</v>
      </c>
      <c r="C361" s="400" t="str">
        <f ca="1">IF(COUNTA(D$265:D360)=1,"",OFFSET(B359,-COUNTA(D$265:D360)+3,1))</f>
        <v>a1WDm000000bx1DMAQ</v>
      </c>
      <c r="D361" s="384"/>
      <c r="E361" s="384">
        <f t="shared" ca="1" si="52"/>
        <v>4</v>
      </c>
      <c r="F361" s="398">
        <f ca="1">IF(COUNTA(D$265:D360)=1,"",OFFSET(F359,-COUNTA(D$265:D360)+3,0))</f>
        <v>1</v>
      </c>
      <c r="G361" s="384"/>
      <c r="H361" s="384">
        <f t="shared" ca="1" si="53"/>
        <v>9</v>
      </c>
      <c r="I361" s="389" t="str">
        <f t="shared" ca="1" si="55"/>
        <v/>
      </c>
      <c r="J361" s="399" t="str">
        <f t="shared" ca="1" si="56"/>
        <v/>
      </c>
      <c r="K361" s="386" t="str">
        <f t="shared" ca="1" si="57"/>
        <v/>
      </c>
      <c r="L361" s="388" t="str">
        <f ca="1">IFERROR(CHOOSE(E361,'Outcome Indicators - Section C '!$K$7,'Outcome Indicators - Section C '!$O$7,'Outcome Indicators - Section C '!$S$7,'Outcome Indicators - Section C '!$W$7,'Outcome Indicators - Section C '!#REF!),"")</f>
        <v/>
      </c>
      <c r="M361" s="396" t="str">
        <f t="shared" ca="1" si="58"/>
        <v/>
      </c>
      <c r="N361" s="388" t="str">
        <f t="shared" ca="1" si="59"/>
        <v/>
      </c>
    </row>
    <row r="362" spans="1:14" x14ac:dyDescent="0.3">
      <c r="A362" s="384" t="b">
        <f t="shared" ca="1" si="54"/>
        <v>0</v>
      </c>
      <c r="B362" s="394">
        <f t="shared" si="51"/>
        <v>-55</v>
      </c>
      <c r="C362" s="400" t="str">
        <f ca="1">IF(COUNTA(D$265:D361)=1,"",OFFSET(B360,-COUNTA(D$265:D361)+3,1))</f>
        <v>a1WDm000000bx1SMAQ</v>
      </c>
      <c r="D362" s="384"/>
      <c r="E362" s="384">
        <f t="shared" ca="1" si="52"/>
        <v>5</v>
      </c>
      <c r="F362" s="398">
        <f ca="1">IF(COUNTA(D$265:D361)=1,"",OFFSET(F360,-COUNTA(D$265:D361)+3,0))</f>
        <v>1</v>
      </c>
      <c r="G362" s="384"/>
      <c r="H362" s="384">
        <f t="shared" ca="1" si="53"/>
        <v>9</v>
      </c>
      <c r="I362" s="389" t="str">
        <f t="shared" ca="1" si="55"/>
        <v/>
      </c>
      <c r="J362" s="399" t="str">
        <f t="shared" ca="1" si="56"/>
        <v/>
      </c>
      <c r="K362" s="386" t="str">
        <f t="shared" ca="1" si="57"/>
        <v/>
      </c>
      <c r="L362" s="388" t="str">
        <f ca="1">IFERROR(CHOOSE(E362,'Outcome Indicators - Section C '!$K$7,'Outcome Indicators - Section C '!$O$7,'Outcome Indicators - Section C '!$S$7,'Outcome Indicators - Section C '!$W$7,'Outcome Indicators - Section C '!#REF!),"")</f>
        <v/>
      </c>
      <c r="M362" s="396" t="str">
        <f t="shared" ca="1" si="58"/>
        <v/>
      </c>
      <c r="N362" s="388" t="str">
        <f t="shared" ca="1" si="59"/>
        <v/>
      </c>
    </row>
    <row r="363" spans="1:14" x14ac:dyDescent="0.3">
      <c r="A363" s="384" t="b">
        <f t="shared" ca="1" si="54"/>
        <v>0</v>
      </c>
      <c r="B363" s="394">
        <f t="shared" si="51"/>
        <v>-54</v>
      </c>
      <c r="C363" s="400" t="str">
        <f ca="1">IF(COUNTA(D$265:D362)=1,"",OFFSET(B361,-COUNTA(D$265:D362)+3,1))</f>
        <v>a1WDm000000bx1hMAA</v>
      </c>
      <c r="D363" s="384"/>
      <c r="E363" s="384">
        <f t="shared" ca="1" si="52"/>
        <v>6</v>
      </c>
      <c r="F363" s="398">
        <f ca="1">IF(COUNTA(D$265:D362)=1,"",OFFSET(F361,-COUNTA(D$265:D362)+3,0))</f>
        <v>1</v>
      </c>
      <c r="G363" s="384"/>
      <c r="H363" s="384">
        <f t="shared" ca="1" si="53"/>
        <v>9</v>
      </c>
      <c r="I363" s="389" t="str">
        <f t="shared" ca="1" si="55"/>
        <v/>
      </c>
      <c r="J363" s="399" t="str">
        <f t="shared" ca="1" si="56"/>
        <v/>
      </c>
      <c r="K363" s="386" t="str">
        <f t="shared" ca="1" si="57"/>
        <v/>
      </c>
      <c r="L363" s="388" t="str">
        <f ca="1">IFERROR(CHOOSE(E363,'Outcome Indicators - Section C '!$K$7,'Outcome Indicators - Section C '!$O$7,'Outcome Indicators - Section C '!$S$7,'Outcome Indicators - Section C '!$W$7,'Outcome Indicators - Section C '!#REF!),"")</f>
        <v/>
      </c>
      <c r="M363" s="396" t="str">
        <f t="shared" ca="1" si="58"/>
        <v/>
      </c>
      <c r="N363" s="388" t="str">
        <f t="shared" ca="1" si="59"/>
        <v/>
      </c>
    </row>
    <row r="364" spans="1:14" x14ac:dyDescent="0.3">
      <c r="A364" s="384" t="b">
        <f t="shared" ca="1" si="54"/>
        <v>0</v>
      </c>
      <c r="B364" s="394">
        <f t="shared" si="51"/>
        <v>-53</v>
      </c>
      <c r="C364" s="400" t="str">
        <f ca="1">IF(COUNTA(D$265:D363)=1,"",OFFSET(B362,-COUNTA(D$265:D363)+3,1))</f>
        <v>a1WDm000000bx0VMAQ</v>
      </c>
      <c r="D364" s="384"/>
      <c r="E364" s="384">
        <f t="shared" ca="1" si="52"/>
        <v>1</v>
      </c>
      <c r="F364" s="398">
        <f ca="1">IF(COUNTA(D$265:D363)=1,"",OFFSET(F362,-COUNTA(D$265:D363)+3,0))</f>
        <v>2</v>
      </c>
      <c r="G364" s="384"/>
      <c r="H364" s="384">
        <f t="shared" ca="1" si="53"/>
        <v>11</v>
      </c>
      <c r="I364" s="389" t="str">
        <f t="shared" ca="1" si="55"/>
        <v/>
      </c>
      <c r="J364" s="399" t="str">
        <f t="shared" ca="1" si="56"/>
        <v/>
      </c>
      <c r="K364" s="386" t="str">
        <f t="shared" ca="1" si="57"/>
        <v/>
      </c>
      <c r="L364" s="388">
        <f ca="1">IFERROR(CHOOSE(E364,'Outcome Indicators - Section C '!$K$7,'Outcome Indicators - Section C '!$O$7,'Outcome Indicators - Section C '!$S$7,'Outcome Indicators - Section C '!$W$7,'Outcome Indicators - Section C '!#REF!),"")</f>
        <v>2024</v>
      </c>
      <c r="M364" s="396" t="str">
        <f t="shared" ca="1" si="58"/>
        <v/>
      </c>
      <c r="N364" s="388" t="str">
        <f t="shared" ca="1" si="59"/>
        <v/>
      </c>
    </row>
    <row r="365" spans="1:14" x14ac:dyDescent="0.3">
      <c r="A365" s="384" t="b">
        <f t="shared" ca="1" si="54"/>
        <v>0</v>
      </c>
      <c r="B365" s="394">
        <f t="shared" si="51"/>
        <v>-52</v>
      </c>
      <c r="C365" s="400" t="str">
        <f ca="1">IF(COUNTA(D$265:D364)=1,"",OFFSET(B363,-COUNTA(D$265:D364)+3,1))</f>
        <v>a1WDm000000bx0kMAA</v>
      </c>
      <c r="D365" s="384"/>
      <c r="E365" s="384">
        <f t="shared" ca="1" si="52"/>
        <v>2</v>
      </c>
      <c r="F365" s="398">
        <f ca="1">IF(COUNTA(D$265:D364)=1,"",OFFSET(F363,-COUNTA(D$265:D364)+3,0))</f>
        <v>2</v>
      </c>
      <c r="G365" s="384"/>
      <c r="H365" s="384">
        <f t="shared" ca="1" si="53"/>
        <v>11</v>
      </c>
      <c r="I365" s="389" t="str">
        <f t="shared" ca="1" si="55"/>
        <v/>
      </c>
      <c r="J365" s="399" t="str">
        <f t="shared" ca="1" si="56"/>
        <v/>
      </c>
      <c r="K365" s="386" t="str">
        <f t="shared" ca="1" si="57"/>
        <v/>
      </c>
      <c r="L365" s="388">
        <f ca="1">IFERROR(CHOOSE(E365,'Outcome Indicators - Section C '!$K$7,'Outcome Indicators - Section C '!$O$7,'Outcome Indicators - Section C '!$S$7,'Outcome Indicators - Section C '!$W$7,'Outcome Indicators - Section C '!#REF!),"")</f>
        <v>2025</v>
      </c>
      <c r="M365" s="396" t="str">
        <f t="shared" ca="1" si="58"/>
        <v/>
      </c>
      <c r="N365" s="388" t="str">
        <f t="shared" ca="1" si="59"/>
        <v/>
      </c>
    </row>
    <row r="366" spans="1:14" x14ac:dyDescent="0.3">
      <c r="A366" s="384" t="b">
        <f t="shared" ca="1" si="54"/>
        <v>1</v>
      </c>
      <c r="B366" s="394">
        <f t="shared" si="51"/>
        <v>-51</v>
      </c>
      <c r="C366" s="400" t="str">
        <f ca="1">IF(COUNTA(D$265:D365)=1,"",OFFSET(B364,-COUNTA(D$265:D365)+3,1))</f>
        <v>a1WDm000000bx0zMAA</v>
      </c>
      <c r="D366" s="384"/>
      <c r="E366" s="384">
        <f t="shared" ca="1" si="52"/>
        <v>3</v>
      </c>
      <c r="F366" s="398">
        <f ca="1">IF(COUNTA(D$265:D365)=1,"",OFFSET(F364,-COUNTA(D$265:D365)+3,0))</f>
        <v>2</v>
      </c>
      <c r="G366" s="384"/>
      <c r="H366" s="384">
        <f t="shared" ca="1" si="53"/>
        <v>11</v>
      </c>
      <c r="I366" s="389" t="str">
        <f t="shared" ca="1" si="55"/>
        <v/>
      </c>
      <c r="J366" s="399" t="str">
        <f t="shared" ca="1" si="56"/>
        <v/>
      </c>
      <c r="K366" s="386">
        <f t="shared" ca="1" si="57"/>
        <v>95</v>
      </c>
      <c r="L366" s="388">
        <f ca="1">IFERROR(CHOOSE(E366,'Outcome Indicators - Section C '!$K$7,'Outcome Indicators - Section C '!$O$7,'Outcome Indicators - Section C '!$S$7,'Outcome Indicators - Section C '!$W$7,'Outcome Indicators - Section C '!#REF!),"")</f>
        <v>2026</v>
      </c>
      <c r="M366" s="396" t="str">
        <f t="shared" ca="1" si="58"/>
        <v/>
      </c>
      <c r="N366" s="388" t="str">
        <f t="shared" ca="1" si="59"/>
        <v/>
      </c>
    </row>
    <row r="367" spans="1:14" x14ac:dyDescent="0.3">
      <c r="A367" s="384" t="b">
        <f t="shared" ca="1" si="54"/>
        <v>0</v>
      </c>
      <c r="B367" s="394">
        <f t="shared" si="51"/>
        <v>-50</v>
      </c>
      <c r="C367" s="400" t="str">
        <f ca="1">IF(COUNTA(D$265:D366)=1,"",OFFSET(B365,-COUNTA(D$265:D366)+3,1))</f>
        <v>a1WDm000000bx1EMAQ</v>
      </c>
      <c r="D367" s="384"/>
      <c r="E367" s="384">
        <f t="shared" ca="1" si="52"/>
        <v>4</v>
      </c>
      <c r="F367" s="398">
        <f ca="1">IF(COUNTA(D$265:D366)=1,"",OFFSET(F365,-COUNTA(D$265:D366)+3,0))</f>
        <v>2</v>
      </c>
      <c r="G367" s="384"/>
      <c r="H367" s="384">
        <f t="shared" ca="1" si="53"/>
        <v>11</v>
      </c>
      <c r="I367" s="389" t="str">
        <f t="shared" ca="1" si="55"/>
        <v/>
      </c>
      <c r="J367" s="399" t="str">
        <f t="shared" ca="1" si="56"/>
        <v/>
      </c>
      <c r="K367" s="386" t="str">
        <f t="shared" ca="1" si="57"/>
        <v/>
      </c>
      <c r="L367" s="388" t="str">
        <f ca="1">IFERROR(CHOOSE(E367,'Outcome Indicators - Section C '!$K$7,'Outcome Indicators - Section C '!$O$7,'Outcome Indicators - Section C '!$S$7,'Outcome Indicators - Section C '!$W$7,'Outcome Indicators - Section C '!#REF!),"")</f>
        <v/>
      </c>
      <c r="M367" s="396" t="str">
        <f t="shared" ca="1" si="58"/>
        <v/>
      </c>
      <c r="N367" s="388" t="str">
        <f t="shared" ca="1" si="59"/>
        <v/>
      </c>
    </row>
    <row r="368" spans="1:14" x14ac:dyDescent="0.3">
      <c r="A368" s="384" t="b">
        <f t="shared" ca="1" si="54"/>
        <v>0</v>
      </c>
      <c r="B368" s="394">
        <f t="shared" si="51"/>
        <v>-49</v>
      </c>
      <c r="C368" s="400" t="str">
        <f ca="1">IF(COUNTA(D$265:D367)=1,"",OFFSET(B366,-COUNTA(D$265:D367)+3,1))</f>
        <v>a1WDm000000bx1TMAQ</v>
      </c>
      <c r="D368" s="384"/>
      <c r="E368" s="384">
        <f t="shared" ca="1" si="52"/>
        <v>5</v>
      </c>
      <c r="F368" s="398">
        <f ca="1">IF(COUNTA(D$265:D367)=1,"",OFFSET(F366,-COUNTA(D$265:D367)+3,0))</f>
        <v>2</v>
      </c>
      <c r="G368" s="384"/>
      <c r="H368" s="384">
        <f t="shared" ca="1" si="53"/>
        <v>11</v>
      </c>
      <c r="I368" s="389" t="str">
        <f t="shared" ca="1" si="55"/>
        <v/>
      </c>
      <c r="J368" s="399" t="str">
        <f t="shared" ca="1" si="56"/>
        <v/>
      </c>
      <c r="K368" s="386" t="str">
        <f t="shared" ca="1" si="57"/>
        <v/>
      </c>
      <c r="L368" s="388" t="str">
        <f ca="1">IFERROR(CHOOSE(E368,'Outcome Indicators - Section C '!$K$7,'Outcome Indicators - Section C '!$O$7,'Outcome Indicators - Section C '!$S$7,'Outcome Indicators - Section C '!$W$7,'Outcome Indicators - Section C '!#REF!),"")</f>
        <v/>
      </c>
      <c r="M368" s="396" t="str">
        <f t="shared" ca="1" si="58"/>
        <v/>
      </c>
      <c r="N368" s="388" t="str">
        <f t="shared" ca="1" si="59"/>
        <v/>
      </c>
    </row>
    <row r="369" spans="1:14" x14ac:dyDescent="0.3">
      <c r="A369" s="384" t="b">
        <f t="shared" ca="1" si="54"/>
        <v>0</v>
      </c>
      <c r="B369" s="394">
        <f t="shared" si="51"/>
        <v>-48</v>
      </c>
      <c r="C369" s="400" t="str">
        <f ca="1">IF(COUNTA(D$265:D368)=1,"",OFFSET(B367,-COUNTA(D$265:D368)+3,1))</f>
        <v>a1WDm000000bx1iMAA</v>
      </c>
      <c r="D369" s="384"/>
      <c r="E369" s="384">
        <f t="shared" ca="1" si="52"/>
        <v>6</v>
      </c>
      <c r="F369" s="398">
        <f ca="1">IF(COUNTA(D$265:D368)=1,"",OFFSET(F367,-COUNTA(D$265:D368)+3,0))</f>
        <v>2</v>
      </c>
      <c r="G369" s="384"/>
      <c r="H369" s="384">
        <f t="shared" ca="1" si="53"/>
        <v>11</v>
      </c>
      <c r="I369" s="389" t="str">
        <f t="shared" ca="1" si="55"/>
        <v/>
      </c>
      <c r="J369" s="399" t="str">
        <f t="shared" ca="1" si="56"/>
        <v/>
      </c>
      <c r="K369" s="386" t="str">
        <f t="shared" ca="1" si="57"/>
        <v/>
      </c>
      <c r="L369" s="388" t="str">
        <f ca="1">IFERROR(CHOOSE(E369,'Outcome Indicators - Section C '!$K$7,'Outcome Indicators - Section C '!$O$7,'Outcome Indicators - Section C '!$S$7,'Outcome Indicators - Section C '!$W$7,'Outcome Indicators - Section C '!#REF!),"")</f>
        <v/>
      </c>
      <c r="M369" s="396" t="str">
        <f t="shared" ca="1" si="58"/>
        <v/>
      </c>
      <c r="N369" s="388" t="str">
        <f t="shared" ca="1" si="59"/>
        <v/>
      </c>
    </row>
    <row r="370" spans="1:14" x14ac:dyDescent="0.3">
      <c r="A370" s="384" t="b">
        <f t="shared" ca="1" si="54"/>
        <v>0</v>
      </c>
      <c r="B370" s="394">
        <f t="shared" si="51"/>
        <v>-47</v>
      </c>
      <c r="C370" s="400" t="str">
        <f ca="1">IF(COUNTA(D$265:D369)=1,"",OFFSET(B368,-COUNTA(D$265:D369)+3,1))</f>
        <v>a1WDm000000bx0WMAQ</v>
      </c>
      <c r="D370" s="384"/>
      <c r="E370" s="384">
        <f t="shared" ca="1" si="52"/>
        <v>1</v>
      </c>
      <c r="F370" s="398">
        <f ca="1">IF(COUNTA(D$265:D369)=1,"",OFFSET(F368,-COUNTA(D$265:D369)+3,0))</f>
        <v>3</v>
      </c>
      <c r="G370" s="384"/>
      <c r="H370" s="384">
        <f t="shared" ca="1" si="53"/>
        <v>13</v>
      </c>
      <c r="I370" s="389" t="str">
        <f t="shared" ca="1" si="55"/>
        <v/>
      </c>
      <c r="J370" s="399" t="str">
        <f t="shared" ca="1" si="56"/>
        <v/>
      </c>
      <c r="K370" s="386" t="str">
        <f t="shared" ca="1" si="57"/>
        <v/>
      </c>
      <c r="L370" s="388">
        <f ca="1">IFERROR(CHOOSE(E370,'Outcome Indicators - Section C '!$K$7,'Outcome Indicators - Section C '!$O$7,'Outcome Indicators - Section C '!$S$7,'Outcome Indicators - Section C '!$W$7,'Outcome Indicators - Section C '!#REF!),"")</f>
        <v>2024</v>
      </c>
      <c r="M370" s="396" t="str">
        <f t="shared" ca="1" si="58"/>
        <v/>
      </c>
      <c r="N370" s="388" t="str">
        <f t="shared" ca="1" si="59"/>
        <v/>
      </c>
    </row>
    <row r="371" spans="1:14" x14ac:dyDescent="0.3">
      <c r="A371" s="384" t="b">
        <f t="shared" ca="1" si="54"/>
        <v>1</v>
      </c>
      <c r="B371" s="394">
        <f t="shared" si="51"/>
        <v>-46</v>
      </c>
      <c r="C371" s="400" t="str">
        <f ca="1">IF(COUNTA(D$265:D370)=1,"",OFFSET(B369,-COUNTA(D$265:D370)+3,1))</f>
        <v>a1WDm000000bx0lMAA</v>
      </c>
      <c r="D371" s="384"/>
      <c r="E371" s="384">
        <f t="shared" ca="1" si="52"/>
        <v>2</v>
      </c>
      <c r="F371" s="398">
        <f ca="1">IF(COUNTA(D$265:D370)=1,"",OFFSET(F369,-COUNTA(D$265:D370)+3,0))</f>
        <v>3</v>
      </c>
      <c r="G371" s="384"/>
      <c r="H371" s="384">
        <f t="shared" ca="1" si="53"/>
        <v>13</v>
      </c>
      <c r="I371" s="389" t="str">
        <f t="shared" ca="1" si="55"/>
        <v/>
      </c>
      <c r="J371" s="399" t="str">
        <f t="shared" ca="1" si="56"/>
        <v/>
      </c>
      <c r="K371" s="386">
        <f t="shared" ca="1" si="57"/>
        <v>80</v>
      </c>
      <c r="L371" s="388">
        <f ca="1">IFERROR(CHOOSE(E371,'Outcome Indicators - Section C '!$K$7,'Outcome Indicators - Section C '!$O$7,'Outcome Indicators - Section C '!$S$7,'Outcome Indicators - Section C '!$W$7,'Outcome Indicators - Section C '!#REF!),"")</f>
        <v>2025</v>
      </c>
      <c r="M371" s="396" t="str">
        <f t="shared" ca="1" si="58"/>
        <v/>
      </c>
      <c r="N371" s="388" t="str">
        <f t="shared" ca="1" si="59"/>
        <v/>
      </c>
    </row>
    <row r="372" spans="1:14" x14ac:dyDescent="0.3">
      <c r="A372" s="384" t="b">
        <f t="shared" ca="1" si="54"/>
        <v>0</v>
      </c>
      <c r="B372" s="394">
        <f t="shared" si="51"/>
        <v>-45</v>
      </c>
      <c r="C372" s="400" t="str">
        <f ca="1">IF(COUNTA(D$265:D371)=1,"",OFFSET(B370,-COUNTA(D$265:D371)+3,1))</f>
        <v>a1WDm000000bx10MAA</v>
      </c>
      <c r="D372" s="384"/>
      <c r="E372" s="384">
        <f t="shared" ca="1" si="52"/>
        <v>3</v>
      </c>
      <c r="F372" s="398">
        <f ca="1">IF(COUNTA(D$265:D371)=1,"",OFFSET(F370,-COUNTA(D$265:D371)+3,0))</f>
        <v>3</v>
      </c>
      <c r="G372" s="384"/>
      <c r="H372" s="384">
        <f t="shared" ca="1" si="53"/>
        <v>13</v>
      </c>
      <c r="I372" s="389" t="str">
        <f t="shared" ca="1" si="55"/>
        <v/>
      </c>
      <c r="J372" s="399" t="str">
        <f t="shared" ca="1" si="56"/>
        <v/>
      </c>
      <c r="K372" s="386" t="str">
        <f t="shared" ca="1" si="57"/>
        <v/>
      </c>
      <c r="L372" s="388">
        <f ca="1">IFERROR(CHOOSE(E372,'Outcome Indicators - Section C '!$K$7,'Outcome Indicators - Section C '!$O$7,'Outcome Indicators - Section C '!$S$7,'Outcome Indicators - Section C '!$W$7,'Outcome Indicators - Section C '!#REF!),"")</f>
        <v>2026</v>
      </c>
      <c r="M372" s="396" t="str">
        <f t="shared" ca="1" si="58"/>
        <v/>
      </c>
      <c r="N372" s="388" t="str">
        <f t="shared" ca="1" si="59"/>
        <v/>
      </c>
    </row>
    <row r="373" spans="1:14" x14ac:dyDescent="0.3">
      <c r="A373" s="384" t="b">
        <f t="shared" ca="1" si="54"/>
        <v>0</v>
      </c>
      <c r="B373" s="394">
        <f t="shared" si="51"/>
        <v>-44</v>
      </c>
      <c r="C373" s="400" t="str">
        <f ca="1">IF(COUNTA(D$265:D372)=1,"",OFFSET(B371,-COUNTA(D$265:D372)+3,1))</f>
        <v>a1WDm000000bx1FMAQ</v>
      </c>
      <c r="D373" s="384"/>
      <c r="E373" s="384">
        <f t="shared" ca="1" si="52"/>
        <v>4</v>
      </c>
      <c r="F373" s="398">
        <f ca="1">IF(COUNTA(D$265:D372)=1,"",OFFSET(F371,-COUNTA(D$265:D372)+3,0))</f>
        <v>3</v>
      </c>
      <c r="G373" s="384"/>
      <c r="H373" s="384">
        <f t="shared" ca="1" si="53"/>
        <v>13</v>
      </c>
      <c r="I373" s="389" t="str">
        <f t="shared" ca="1" si="55"/>
        <v/>
      </c>
      <c r="J373" s="399" t="str">
        <f t="shared" ca="1" si="56"/>
        <v/>
      </c>
      <c r="K373" s="386" t="str">
        <f t="shared" ca="1" si="57"/>
        <v/>
      </c>
      <c r="L373" s="388" t="str">
        <f ca="1">IFERROR(CHOOSE(E373,'Outcome Indicators - Section C '!$K$7,'Outcome Indicators - Section C '!$O$7,'Outcome Indicators - Section C '!$S$7,'Outcome Indicators - Section C '!$W$7,'Outcome Indicators - Section C '!#REF!),"")</f>
        <v/>
      </c>
      <c r="M373" s="396" t="str">
        <f t="shared" ca="1" si="58"/>
        <v/>
      </c>
      <c r="N373" s="388" t="str">
        <f t="shared" ca="1" si="59"/>
        <v/>
      </c>
    </row>
    <row r="374" spans="1:14" x14ac:dyDescent="0.3">
      <c r="A374" s="384" t="b">
        <f t="shared" ca="1" si="54"/>
        <v>0</v>
      </c>
      <c r="B374" s="394">
        <f t="shared" si="51"/>
        <v>-43</v>
      </c>
      <c r="C374" s="400" t="str">
        <f ca="1">IF(COUNTA(D$265:D373)=1,"",OFFSET(B372,-COUNTA(D$265:D373)+3,1))</f>
        <v>a1WDm000000bx1UMAQ</v>
      </c>
      <c r="D374" s="384"/>
      <c r="E374" s="384">
        <f t="shared" ca="1" si="52"/>
        <v>5</v>
      </c>
      <c r="F374" s="398">
        <f ca="1">IF(COUNTA(D$265:D373)=1,"",OFFSET(F372,-COUNTA(D$265:D373)+3,0))</f>
        <v>3</v>
      </c>
      <c r="G374" s="384"/>
      <c r="H374" s="384">
        <f t="shared" ca="1" si="53"/>
        <v>13</v>
      </c>
      <c r="I374" s="389" t="str">
        <f t="shared" ca="1" si="55"/>
        <v/>
      </c>
      <c r="J374" s="399" t="str">
        <f t="shared" ca="1" si="56"/>
        <v/>
      </c>
      <c r="K374" s="386" t="str">
        <f t="shared" ca="1" si="57"/>
        <v/>
      </c>
      <c r="L374" s="388" t="str">
        <f ca="1">IFERROR(CHOOSE(E374,'Outcome Indicators - Section C '!$K$7,'Outcome Indicators - Section C '!$O$7,'Outcome Indicators - Section C '!$S$7,'Outcome Indicators - Section C '!$W$7,'Outcome Indicators - Section C '!#REF!),"")</f>
        <v/>
      </c>
      <c r="M374" s="396" t="str">
        <f t="shared" ca="1" si="58"/>
        <v/>
      </c>
      <c r="N374" s="388" t="str">
        <f t="shared" ca="1" si="59"/>
        <v/>
      </c>
    </row>
    <row r="375" spans="1:14" x14ac:dyDescent="0.3">
      <c r="A375" s="384" t="b">
        <f t="shared" ca="1" si="54"/>
        <v>0</v>
      </c>
      <c r="B375" s="394">
        <f t="shared" si="51"/>
        <v>-42</v>
      </c>
      <c r="C375" s="400" t="str">
        <f ca="1">IF(COUNTA(D$265:D374)=1,"",OFFSET(B373,-COUNTA(D$265:D374)+3,1))</f>
        <v>a1WDm000000bx1jMAA</v>
      </c>
      <c r="D375" s="384"/>
      <c r="E375" s="384">
        <f t="shared" ca="1" si="52"/>
        <v>6</v>
      </c>
      <c r="F375" s="398">
        <f ca="1">IF(COUNTA(D$265:D374)=1,"",OFFSET(F373,-COUNTA(D$265:D374)+3,0))</f>
        <v>3</v>
      </c>
      <c r="G375" s="384"/>
      <c r="H375" s="384">
        <f t="shared" ca="1" si="53"/>
        <v>13</v>
      </c>
      <c r="I375" s="389" t="str">
        <f t="shared" ca="1" si="55"/>
        <v/>
      </c>
      <c r="J375" s="399" t="str">
        <f t="shared" ca="1" si="56"/>
        <v/>
      </c>
      <c r="K375" s="386" t="str">
        <f t="shared" ca="1" si="57"/>
        <v/>
      </c>
      <c r="L375" s="388" t="str">
        <f ca="1">IFERROR(CHOOSE(E375,'Outcome Indicators - Section C '!$K$7,'Outcome Indicators - Section C '!$O$7,'Outcome Indicators - Section C '!$S$7,'Outcome Indicators - Section C '!$W$7,'Outcome Indicators - Section C '!#REF!),"")</f>
        <v/>
      </c>
      <c r="M375" s="396" t="str">
        <f t="shared" ca="1" si="58"/>
        <v/>
      </c>
      <c r="N375" s="388" t="str">
        <f t="shared" ca="1" si="59"/>
        <v/>
      </c>
    </row>
    <row r="376" spans="1:14" x14ac:dyDescent="0.3">
      <c r="A376" s="384" t="b">
        <f t="shared" ca="1" si="54"/>
        <v>0</v>
      </c>
      <c r="B376" s="394">
        <f t="shared" si="51"/>
        <v>-41</v>
      </c>
      <c r="C376" s="400" t="str">
        <f ca="1">IF(COUNTA(D$265:D375)=1,"",OFFSET(B374,-COUNTA(D$265:D375)+3,1))</f>
        <v>a1WDm000000bx0XMAQ</v>
      </c>
      <c r="D376" s="384"/>
      <c r="E376" s="384">
        <f t="shared" ca="1" si="52"/>
        <v>1</v>
      </c>
      <c r="F376" s="398">
        <f ca="1">IF(COUNTA(D$265:D375)=1,"",OFFSET(F374,-COUNTA(D$265:D375)+3,0))</f>
        <v>4</v>
      </c>
      <c r="G376" s="384"/>
      <c r="H376" s="384">
        <f t="shared" ca="1" si="53"/>
        <v>15</v>
      </c>
      <c r="I376" s="389" t="str">
        <f t="shared" ca="1" si="55"/>
        <v/>
      </c>
      <c r="J376" s="399" t="str">
        <f t="shared" ca="1" si="56"/>
        <v/>
      </c>
      <c r="K376" s="386" t="str">
        <f t="shared" ca="1" si="57"/>
        <v/>
      </c>
      <c r="L376" s="388">
        <f ca="1">IFERROR(CHOOSE(E376,'Outcome Indicators - Section C '!$K$7,'Outcome Indicators - Section C '!$O$7,'Outcome Indicators - Section C '!$S$7,'Outcome Indicators - Section C '!$W$7,'Outcome Indicators - Section C '!#REF!),"")</f>
        <v>2024</v>
      </c>
      <c r="M376" s="396" t="str">
        <f t="shared" ca="1" si="58"/>
        <v/>
      </c>
      <c r="N376" s="388" t="str">
        <f t="shared" ca="1" si="59"/>
        <v/>
      </c>
    </row>
    <row r="377" spans="1:14" x14ac:dyDescent="0.3">
      <c r="A377" s="384" t="b">
        <f t="shared" ca="1" si="54"/>
        <v>1</v>
      </c>
      <c r="B377" s="394">
        <f t="shared" si="51"/>
        <v>-40</v>
      </c>
      <c r="C377" s="400" t="str">
        <f ca="1">IF(COUNTA(D$265:D376)=1,"",OFFSET(B375,-COUNTA(D$265:D376)+3,1))</f>
        <v>a1WDm000000bx0mMAA</v>
      </c>
      <c r="D377" s="384"/>
      <c r="E377" s="384">
        <f t="shared" ca="1" si="52"/>
        <v>2</v>
      </c>
      <c r="F377" s="398">
        <f ca="1">IF(COUNTA(D$265:D376)=1,"",OFFSET(F375,-COUNTA(D$265:D376)+3,0))</f>
        <v>4</v>
      </c>
      <c r="G377" s="384"/>
      <c r="H377" s="384">
        <f t="shared" ca="1" si="53"/>
        <v>15</v>
      </c>
      <c r="I377" s="389" t="str">
        <f t="shared" ca="1" si="55"/>
        <v/>
      </c>
      <c r="J377" s="399" t="str">
        <f t="shared" ca="1" si="56"/>
        <v/>
      </c>
      <c r="K377" s="386">
        <f t="shared" ca="1" si="57"/>
        <v>97</v>
      </c>
      <c r="L377" s="388">
        <f ca="1">IFERROR(CHOOSE(E377,'Outcome Indicators - Section C '!$K$7,'Outcome Indicators - Section C '!$O$7,'Outcome Indicators - Section C '!$S$7,'Outcome Indicators - Section C '!$W$7,'Outcome Indicators - Section C '!#REF!),"")</f>
        <v>2025</v>
      </c>
      <c r="M377" s="396" t="str">
        <f t="shared" ca="1" si="58"/>
        <v/>
      </c>
      <c r="N377" s="388" t="str">
        <f t="shared" ca="1" si="59"/>
        <v/>
      </c>
    </row>
    <row r="378" spans="1:14" x14ac:dyDescent="0.3">
      <c r="A378" s="384" t="b">
        <f t="shared" ca="1" si="54"/>
        <v>0</v>
      </c>
      <c r="B378" s="394">
        <f t="shared" si="51"/>
        <v>-39</v>
      </c>
      <c r="C378" s="400" t="str">
        <f ca="1">IF(COUNTA(D$265:D377)=1,"",OFFSET(B376,-COUNTA(D$265:D377)+3,1))</f>
        <v>a1WDm000000bx11MAA</v>
      </c>
      <c r="D378" s="384"/>
      <c r="E378" s="384">
        <f t="shared" ca="1" si="52"/>
        <v>3</v>
      </c>
      <c r="F378" s="398">
        <f ca="1">IF(COUNTA(D$265:D377)=1,"",OFFSET(F376,-COUNTA(D$265:D377)+3,0))</f>
        <v>4</v>
      </c>
      <c r="G378" s="384"/>
      <c r="H378" s="384">
        <f t="shared" ca="1" si="53"/>
        <v>15</v>
      </c>
      <c r="I378" s="389" t="str">
        <f t="shared" ca="1" si="55"/>
        <v/>
      </c>
      <c r="J378" s="399" t="str">
        <f t="shared" ca="1" si="56"/>
        <v/>
      </c>
      <c r="K378" s="386" t="str">
        <f t="shared" ca="1" si="57"/>
        <v/>
      </c>
      <c r="L378" s="388">
        <f ca="1">IFERROR(CHOOSE(E378,'Outcome Indicators - Section C '!$K$7,'Outcome Indicators - Section C '!$O$7,'Outcome Indicators - Section C '!$S$7,'Outcome Indicators - Section C '!$W$7,'Outcome Indicators - Section C '!#REF!),"")</f>
        <v>2026</v>
      </c>
      <c r="M378" s="396" t="str">
        <f t="shared" ca="1" si="58"/>
        <v/>
      </c>
      <c r="N378" s="388" t="str">
        <f t="shared" ca="1" si="59"/>
        <v/>
      </c>
    </row>
    <row r="379" spans="1:14" x14ac:dyDescent="0.3">
      <c r="A379" s="384" t="b">
        <f t="shared" ca="1" si="54"/>
        <v>0</v>
      </c>
      <c r="B379" s="394">
        <f t="shared" si="51"/>
        <v>-38</v>
      </c>
      <c r="C379" s="400" t="str">
        <f ca="1">IF(COUNTA(D$265:D378)=1,"",OFFSET(B377,-COUNTA(D$265:D378)+3,1))</f>
        <v>a1WDm000000bx1GMAQ</v>
      </c>
      <c r="D379" s="384"/>
      <c r="E379" s="384">
        <f t="shared" ca="1" si="52"/>
        <v>4</v>
      </c>
      <c r="F379" s="398">
        <f ca="1">IF(COUNTA(D$265:D378)=1,"",OFFSET(F377,-COUNTA(D$265:D378)+3,0))</f>
        <v>4</v>
      </c>
      <c r="G379" s="384"/>
      <c r="H379" s="384">
        <f t="shared" ca="1" si="53"/>
        <v>15</v>
      </c>
      <c r="I379" s="389" t="str">
        <f t="shared" ca="1" si="55"/>
        <v/>
      </c>
      <c r="J379" s="399" t="str">
        <f t="shared" ca="1" si="56"/>
        <v/>
      </c>
      <c r="K379" s="386" t="str">
        <f t="shared" ca="1" si="57"/>
        <v/>
      </c>
      <c r="L379" s="388" t="str">
        <f ca="1">IFERROR(CHOOSE(E379,'Outcome Indicators - Section C '!$K$7,'Outcome Indicators - Section C '!$O$7,'Outcome Indicators - Section C '!$S$7,'Outcome Indicators - Section C '!$W$7,'Outcome Indicators - Section C '!#REF!),"")</f>
        <v/>
      </c>
      <c r="M379" s="396" t="str">
        <f t="shared" ca="1" si="58"/>
        <v/>
      </c>
      <c r="N379" s="388" t="str">
        <f t="shared" ca="1" si="59"/>
        <v/>
      </c>
    </row>
    <row r="380" spans="1:14" x14ac:dyDescent="0.3">
      <c r="A380" s="384" t="b">
        <f t="shared" ca="1" si="54"/>
        <v>0</v>
      </c>
      <c r="B380" s="394">
        <f t="shared" si="51"/>
        <v>-37</v>
      </c>
      <c r="C380" s="400" t="str">
        <f ca="1">IF(COUNTA(D$265:D379)=1,"",OFFSET(B378,-COUNTA(D$265:D379)+3,1))</f>
        <v>a1WDm000000bx1VMAQ</v>
      </c>
      <c r="D380" s="384"/>
      <c r="E380" s="384">
        <f t="shared" ca="1" si="52"/>
        <v>5</v>
      </c>
      <c r="F380" s="398">
        <f ca="1">IF(COUNTA(D$265:D379)=1,"",OFFSET(F378,-COUNTA(D$265:D379)+3,0))</f>
        <v>4</v>
      </c>
      <c r="G380" s="384"/>
      <c r="H380" s="384">
        <f t="shared" ca="1" si="53"/>
        <v>15</v>
      </c>
      <c r="I380" s="389" t="str">
        <f t="shared" ca="1" si="55"/>
        <v/>
      </c>
      <c r="J380" s="399" t="str">
        <f t="shared" ca="1" si="56"/>
        <v/>
      </c>
      <c r="K380" s="386" t="str">
        <f t="shared" ca="1" si="57"/>
        <v/>
      </c>
      <c r="L380" s="388" t="str">
        <f ca="1">IFERROR(CHOOSE(E380,'Outcome Indicators - Section C '!$K$7,'Outcome Indicators - Section C '!$O$7,'Outcome Indicators - Section C '!$S$7,'Outcome Indicators - Section C '!$W$7,'Outcome Indicators - Section C '!#REF!),"")</f>
        <v/>
      </c>
      <c r="M380" s="396" t="str">
        <f t="shared" ca="1" si="58"/>
        <v/>
      </c>
      <c r="N380" s="388" t="str">
        <f t="shared" ca="1" si="59"/>
        <v/>
      </c>
    </row>
    <row r="381" spans="1:14" x14ac:dyDescent="0.3">
      <c r="A381" s="384" t="b">
        <f t="shared" ca="1" si="54"/>
        <v>0</v>
      </c>
      <c r="B381" s="394">
        <f t="shared" si="51"/>
        <v>-36</v>
      </c>
      <c r="C381" s="400" t="str">
        <f ca="1">IF(COUNTA(D$265:D380)=1,"",OFFSET(B379,-COUNTA(D$265:D380)+3,1))</f>
        <v>a1WDm000000bx1kMAA</v>
      </c>
      <c r="D381" s="384"/>
      <c r="E381" s="384">
        <f t="shared" ca="1" si="52"/>
        <v>6</v>
      </c>
      <c r="F381" s="398">
        <f ca="1">IF(COUNTA(D$265:D380)=1,"",OFFSET(F379,-COUNTA(D$265:D380)+3,0))</f>
        <v>4</v>
      </c>
      <c r="G381" s="384"/>
      <c r="H381" s="384">
        <f t="shared" ca="1" si="53"/>
        <v>15</v>
      </c>
      <c r="I381" s="389" t="str">
        <f t="shared" ca="1" si="55"/>
        <v/>
      </c>
      <c r="J381" s="399" t="str">
        <f t="shared" ca="1" si="56"/>
        <v/>
      </c>
      <c r="K381" s="386" t="str">
        <f t="shared" ca="1" si="57"/>
        <v/>
      </c>
      <c r="L381" s="388" t="str">
        <f ca="1">IFERROR(CHOOSE(E381,'Outcome Indicators - Section C '!$K$7,'Outcome Indicators - Section C '!$O$7,'Outcome Indicators - Section C '!$S$7,'Outcome Indicators - Section C '!$W$7,'Outcome Indicators - Section C '!#REF!),"")</f>
        <v/>
      </c>
      <c r="M381" s="396" t="str">
        <f t="shared" ca="1" si="58"/>
        <v/>
      </c>
      <c r="N381" s="388" t="str">
        <f t="shared" ca="1" si="59"/>
        <v/>
      </c>
    </row>
    <row r="382" spans="1:14" x14ac:dyDescent="0.3">
      <c r="A382" s="384" t="b">
        <f t="shared" ca="1" si="54"/>
        <v>1</v>
      </c>
      <c r="B382" s="394">
        <f t="shared" si="51"/>
        <v>-35</v>
      </c>
      <c r="C382" s="400" t="str">
        <f ca="1">IF(COUNTA(D$265:D381)=1,"",OFFSET(B380,-COUNTA(D$265:D381)+3,1))</f>
        <v>a1WDm000000bx0YMAQ</v>
      </c>
      <c r="D382" s="384"/>
      <c r="E382" s="384">
        <f t="shared" ca="1" si="52"/>
        <v>1</v>
      </c>
      <c r="F382" s="398">
        <f ca="1">IF(COUNTA(D$265:D381)=1,"",OFFSET(F380,-COUNTA(D$265:D381)+3,0))</f>
        <v>5</v>
      </c>
      <c r="G382" s="384"/>
      <c r="H382" s="384">
        <f t="shared" ca="1" si="53"/>
        <v>17</v>
      </c>
      <c r="I382" s="389" t="str">
        <f t="shared" ca="1" si="55"/>
        <v/>
      </c>
      <c r="J382" s="399" t="str">
        <f t="shared" ca="1" si="56"/>
        <v/>
      </c>
      <c r="K382" s="386">
        <f t="shared" ca="1" si="57"/>
        <v>95</v>
      </c>
      <c r="L382" s="388">
        <f ca="1">IFERROR(CHOOSE(E382,'Outcome Indicators - Section C '!$K$7,'Outcome Indicators - Section C '!$O$7,'Outcome Indicators - Section C '!$S$7,'Outcome Indicators - Section C '!$W$7,'Outcome Indicators - Section C '!#REF!),"")</f>
        <v>2024</v>
      </c>
      <c r="M382" s="396" t="str">
        <f t="shared" ca="1" si="58"/>
        <v/>
      </c>
      <c r="N382" s="388" t="str">
        <f t="shared" ca="1" si="59"/>
        <v/>
      </c>
    </row>
    <row r="383" spans="1:14" x14ac:dyDescent="0.3">
      <c r="A383" s="384" t="b">
        <f t="shared" ca="1" si="54"/>
        <v>1</v>
      </c>
      <c r="B383" s="394">
        <f t="shared" si="51"/>
        <v>-34</v>
      </c>
      <c r="C383" s="400" t="str">
        <f ca="1">IF(COUNTA(D$265:D382)=1,"",OFFSET(B381,-COUNTA(D$265:D382)+3,1))</f>
        <v>a1WDm000000bx0nMAA</v>
      </c>
      <c r="D383" s="384"/>
      <c r="E383" s="384">
        <f t="shared" ca="1" si="52"/>
        <v>2</v>
      </c>
      <c r="F383" s="398">
        <f ca="1">IF(COUNTA(D$265:D382)=1,"",OFFSET(F381,-COUNTA(D$265:D382)+3,0))</f>
        <v>5</v>
      </c>
      <c r="G383" s="384"/>
      <c r="H383" s="384">
        <f t="shared" ca="1" si="53"/>
        <v>17</v>
      </c>
      <c r="I383" s="389" t="str">
        <f t="shared" ca="1" si="55"/>
        <v/>
      </c>
      <c r="J383" s="399" t="str">
        <f t="shared" ca="1" si="56"/>
        <v/>
      </c>
      <c r="K383" s="386">
        <f t="shared" ca="1" si="57"/>
        <v>95</v>
      </c>
      <c r="L383" s="388">
        <f ca="1">IFERROR(CHOOSE(E383,'Outcome Indicators - Section C '!$K$7,'Outcome Indicators - Section C '!$O$7,'Outcome Indicators - Section C '!$S$7,'Outcome Indicators - Section C '!$W$7,'Outcome Indicators - Section C '!#REF!),"")</f>
        <v>2025</v>
      </c>
      <c r="M383" s="396" t="str">
        <f t="shared" ca="1" si="58"/>
        <v/>
      </c>
      <c r="N383" s="388" t="str">
        <f t="shared" ca="1" si="59"/>
        <v/>
      </c>
    </row>
    <row r="384" spans="1:14" x14ac:dyDescent="0.3">
      <c r="A384" s="384" t="b">
        <f t="shared" ca="1" si="54"/>
        <v>1</v>
      </c>
      <c r="B384" s="394">
        <f t="shared" si="51"/>
        <v>-33</v>
      </c>
      <c r="C384" s="400" t="str">
        <f ca="1">IF(COUNTA(D$265:D383)=1,"",OFFSET(B382,-COUNTA(D$265:D383)+3,1))</f>
        <v>a1WDm000000bx12MAA</v>
      </c>
      <c r="D384" s="384"/>
      <c r="E384" s="384">
        <f t="shared" ca="1" si="52"/>
        <v>3</v>
      </c>
      <c r="F384" s="398">
        <f ca="1">IF(COUNTA(D$265:D383)=1,"",OFFSET(F382,-COUNTA(D$265:D383)+3,0))</f>
        <v>5</v>
      </c>
      <c r="G384" s="384"/>
      <c r="H384" s="384">
        <f t="shared" ca="1" si="53"/>
        <v>17</v>
      </c>
      <c r="I384" s="389" t="str">
        <f t="shared" ca="1" si="55"/>
        <v/>
      </c>
      <c r="J384" s="399" t="str">
        <f t="shared" ca="1" si="56"/>
        <v/>
      </c>
      <c r="K384" s="386">
        <f t="shared" ca="1" si="57"/>
        <v>95</v>
      </c>
      <c r="L384" s="388">
        <f ca="1">IFERROR(CHOOSE(E384,'Outcome Indicators - Section C '!$K$7,'Outcome Indicators - Section C '!$O$7,'Outcome Indicators - Section C '!$S$7,'Outcome Indicators - Section C '!$W$7,'Outcome Indicators - Section C '!#REF!),"")</f>
        <v>2026</v>
      </c>
      <c r="M384" s="396" t="str">
        <f t="shared" ca="1" si="58"/>
        <v/>
      </c>
      <c r="N384" s="388" t="str">
        <f t="shared" ca="1" si="59"/>
        <v/>
      </c>
    </row>
    <row r="385" spans="1:14" x14ac:dyDescent="0.3">
      <c r="A385" s="384" t="b">
        <f t="shared" ca="1" si="54"/>
        <v>0</v>
      </c>
      <c r="B385" s="394">
        <f t="shared" si="51"/>
        <v>-32</v>
      </c>
      <c r="C385" s="400" t="str">
        <f ca="1">IF(COUNTA(D$265:D384)=1,"",OFFSET(B383,-COUNTA(D$265:D384)+3,1))</f>
        <v>a1WDm000000bx1HMAQ</v>
      </c>
      <c r="D385" s="384"/>
      <c r="E385" s="384">
        <f t="shared" ca="1" si="52"/>
        <v>4</v>
      </c>
      <c r="F385" s="398">
        <f ca="1">IF(COUNTA(D$265:D384)=1,"",OFFSET(F383,-COUNTA(D$265:D384)+3,0))</f>
        <v>5</v>
      </c>
      <c r="G385" s="384"/>
      <c r="H385" s="384">
        <f t="shared" ca="1" si="53"/>
        <v>17</v>
      </c>
      <c r="I385" s="389" t="str">
        <f t="shared" ca="1" si="55"/>
        <v/>
      </c>
      <c r="J385" s="399" t="str">
        <f t="shared" ca="1" si="56"/>
        <v/>
      </c>
      <c r="K385" s="386" t="str">
        <f t="shared" ca="1" si="57"/>
        <v/>
      </c>
      <c r="L385" s="388" t="str">
        <f ca="1">IFERROR(CHOOSE(E385,'Outcome Indicators - Section C '!$K$7,'Outcome Indicators - Section C '!$O$7,'Outcome Indicators - Section C '!$S$7,'Outcome Indicators - Section C '!$W$7,'Outcome Indicators - Section C '!#REF!),"")</f>
        <v/>
      </c>
      <c r="M385" s="396" t="str">
        <f t="shared" ca="1" si="58"/>
        <v/>
      </c>
      <c r="N385" s="388" t="str">
        <f t="shared" ca="1" si="59"/>
        <v/>
      </c>
    </row>
    <row r="386" spans="1:14" x14ac:dyDescent="0.3">
      <c r="A386" s="384" t="b">
        <f t="shared" ca="1" si="54"/>
        <v>0</v>
      </c>
      <c r="B386" s="394">
        <f t="shared" si="51"/>
        <v>-31</v>
      </c>
      <c r="C386" s="400" t="str">
        <f ca="1">IF(COUNTA(D$265:D385)=1,"",OFFSET(B384,-COUNTA(D$265:D385)+3,1))</f>
        <v>a1WDm000000bx1WMAQ</v>
      </c>
      <c r="D386" s="384"/>
      <c r="E386" s="384">
        <f t="shared" ca="1" si="52"/>
        <v>5</v>
      </c>
      <c r="F386" s="398">
        <f ca="1">IF(COUNTA(D$265:D385)=1,"",OFFSET(F384,-COUNTA(D$265:D385)+3,0))</f>
        <v>5</v>
      </c>
      <c r="G386" s="384"/>
      <c r="H386" s="384">
        <f t="shared" ca="1" si="53"/>
        <v>17</v>
      </c>
      <c r="I386" s="389" t="str">
        <f t="shared" ca="1" si="55"/>
        <v/>
      </c>
      <c r="J386" s="399" t="str">
        <f t="shared" ca="1" si="56"/>
        <v/>
      </c>
      <c r="K386" s="386" t="str">
        <f t="shared" ca="1" si="57"/>
        <v/>
      </c>
      <c r="L386" s="388" t="str">
        <f ca="1">IFERROR(CHOOSE(E386,'Outcome Indicators - Section C '!$K$7,'Outcome Indicators - Section C '!$O$7,'Outcome Indicators - Section C '!$S$7,'Outcome Indicators - Section C '!$W$7,'Outcome Indicators - Section C '!#REF!),"")</f>
        <v/>
      </c>
      <c r="M386" s="396" t="str">
        <f t="shared" ca="1" si="58"/>
        <v/>
      </c>
      <c r="N386" s="388" t="str">
        <f t="shared" ca="1" si="59"/>
        <v/>
      </c>
    </row>
    <row r="387" spans="1:14" x14ac:dyDescent="0.3">
      <c r="A387" s="384" t="b">
        <f t="shared" ca="1" si="54"/>
        <v>0</v>
      </c>
      <c r="B387" s="394">
        <f t="shared" si="51"/>
        <v>-30</v>
      </c>
      <c r="C387" s="400" t="str">
        <f ca="1">IF(COUNTA(D$265:D386)=1,"",OFFSET(B385,-COUNTA(D$265:D386)+3,1))</f>
        <v>a1WDm000000bx1lMAA</v>
      </c>
      <c r="D387" s="384"/>
      <c r="E387" s="384">
        <f t="shared" ca="1" si="52"/>
        <v>6</v>
      </c>
      <c r="F387" s="398">
        <f ca="1">IF(COUNTA(D$265:D386)=1,"",OFFSET(F385,-COUNTA(D$265:D386)+3,0))</f>
        <v>5</v>
      </c>
      <c r="G387" s="384"/>
      <c r="H387" s="384">
        <f t="shared" ca="1" si="53"/>
        <v>17</v>
      </c>
      <c r="I387" s="389" t="str">
        <f t="shared" ca="1" si="55"/>
        <v/>
      </c>
      <c r="J387" s="399" t="str">
        <f t="shared" ca="1" si="56"/>
        <v/>
      </c>
      <c r="K387" s="386" t="str">
        <f t="shared" ca="1" si="57"/>
        <v/>
      </c>
      <c r="L387" s="388" t="str">
        <f ca="1">IFERROR(CHOOSE(E387,'Outcome Indicators - Section C '!$K$7,'Outcome Indicators - Section C '!$O$7,'Outcome Indicators - Section C '!$S$7,'Outcome Indicators - Section C '!$W$7,'Outcome Indicators - Section C '!#REF!),"")</f>
        <v/>
      </c>
      <c r="M387" s="396" t="str">
        <f t="shared" ca="1" si="58"/>
        <v/>
      </c>
      <c r="N387" s="388" t="str">
        <f t="shared" ca="1" si="59"/>
        <v/>
      </c>
    </row>
    <row r="388" spans="1:14" x14ac:dyDescent="0.3">
      <c r="A388" s="384" t="b">
        <f t="shared" ca="1" si="54"/>
        <v>1</v>
      </c>
      <c r="B388" s="394">
        <f t="shared" si="51"/>
        <v>-29</v>
      </c>
      <c r="C388" s="400" t="str">
        <f ca="1">IF(COUNTA(D$265:D387)=1,"",OFFSET(B386,-COUNTA(D$265:D387)+3,1))</f>
        <v>a1WDm000000bx0ZMAQ</v>
      </c>
      <c r="D388" s="384"/>
      <c r="E388" s="384">
        <f t="shared" ca="1" si="52"/>
        <v>1</v>
      </c>
      <c r="F388" s="398">
        <f ca="1">IF(COUNTA(D$265:D387)=1,"",OFFSET(F386,-COUNTA(D$265:D387)+3,0))</f>
        <v>6</v>
      </c>
      <c r="G388" s="384"/>
      <c r="H388" s="384">
        <f t="shared" ca="1" si="53"/>
        <v>19</v>
      </c>
      <c r="I388" s="389" t="str">
        <f t="shared" ca="1" si="55"/>
        <v/>
      </c>
      <c r="J388" s="399" t="str">
        <f t="shared" ca="1" si="56"/>
        <v/>
      </c>
      <c r="K388" s="386">
        <f t="shared" ca="1" si="57"/>
        <v>95</v>
      </c>
      <c r="L388" s="388">
        <f ca="1">IFERROR(CHOOSE(E388,'Outcome Indicators - Section C '!$K$7,'Outcome Indicators - Section C '!$O$7,'Outcome Indicators - Section C '!$S$7,'Outcome Indicators - Section C '!$W$7,'Outcome Indicators - Section C '!#REF!),"")</f>
        <v>2024</v>
      </c>
      <c r="M388" s="396" t="str">
        <f t="shared" ca="1" si="58"/>
        <v/>
      </c>
      <c r="N388" s="388" t="str">
        <f t="shared" ca="1" si="59"/>
        <v/>
      </c>
    </row>
    <row r="389" spans="1:14" x14ac:dyDescent="0.3">
      <c r="A389" s="384" t="b">
        <f t="shared" ca="1" si="54"/>
        <v>1</v>
      </c>
      <c r="B389" s="394">
        <f t="shared" si="51"/>
        <v>-28</v>
      </c>
      <c r="C389" s="400" t="str">
        <f ca="1">IF(COUNTA(D$265:D388)=1,"",OFFSET(B387,-COUNTA(D$265:D388)+3,1))</f>
        <v>a1WDm000000bx0oMAA</v>
      </c>
      <c r="D389" s="384"/>
      <c r="E389" s="384">
        <f t="shared" ca="1" si="52"/>
        <v>2</v>
      </c>
      <c r="F389" s="398">
        <f ca="1">IF(COUNTA(D$265:D388)=1,"",OFFSET(F387,-COUNTA(D$265:D388)+3,0))</f>
        <v>6</v>
      </c>
      <c r="G389" s="384"/>
      <c r="H389" s="384">
        <f t="shared" ca="1" si="53"/>
        <v>19</v>
      </c>
      <c r="I389" s="389" t="str">
        <f t="shared" ca="1" si="55"/>
        <v/>
      </c>
      <c r="J389" s="399" t="str">
        <f t="shared" ca="1" si="56"/>
        <v/>
      </c>
      <c r="K389" s="386">
        <f t="shared" ca="1" si="57"/>
        <v>95</v>
      </c>
      <c r="L389" s="388">
        <f ca="1">IFERROR(CHOOSE(E389,'Outcome Indicators - Section C '!$K$7,'Outcome Indicators - Section C '!$O$7,'Outcome Indicators - Section C '!$S$7,'Outcome Indicators - Section C '!$W$7,'Outcome Indicators - Section C '!#REF!),"")</f>
        <v>2025</v>
      </c>
      <c r="M389" s="396" t="str">
        <f t="shared" ca="1" si="58"/>
        <v/>
      </c>
      <c r="N389" s="388" t="str">
        <f t="shared" ca="1" si="59"/>
        <v/>
      </c>
    </row>
    <row r="390" spans="1:14" x14ac:dyDescent="0.3">
      <c r="A390" s="384" t="b">
        <f t="shared" ca="1" si="54"/>
        <v>1</v>
      </c>
      <c r="B390" s="394">
        <f t="shared" si="51"/>
        <v>-27</v>
      </c>
      <c r="C390" s="400" t="str">
        <f ca="1">IF(COUNTA(D$265:D389)=1,"",OFFSET(B388,-COUNTA(D$265:D389)+3,1))</f>
        <v>a1WDm000000bx13MAA</v>
      </c>
      <c r="D390" s="384"/>
      <c r="E390" s="384">
        <f t="shared" ca="1" si="52"/>
        <v>3</v>
      </c>
      <c r="F390" s="398">
        <f ca="1">IF(COUNTA(D$265:D389)=1,"",OFFSET(F388,-COUNTA(D$265:D389)+3,0))</f>
        <v>6</v>
      </c>
      <c r="G390" s="384"/>
      <c r="H390" s="384">
        <f t="shared" ca="1" si="53"/>
        <v>19</v>
      </c>
      <c r="I390" s="389" t="str">
        <f t="shared" ca="1" si="55"/>
        <v/>
      </c>
      <c r="J390" s="399" t="str">
        <f t="shared" ca="1" si="56"/>
        <v/>
      </c>
      <c r="K390" s="386">
        <f t="shared" ca="1" si="57"/>
        <v>95</v>
      </c>
      <c r="L390" s="388">
        <f ca="1">IFERROR(CHOOSE(E390,'Outcome Indicators - Section C '!$K$7,'Outcome Indicators - Section C '!$O$7,'Outcome Indicators - Section C '!$S$7,'Outcome Indicators - Section C '!$W$7,'Outcome Indicators - Section C '!#REF!),"")</f>
        <v>2026</v>
      </c>
      <c r="M390" s="396" t="str">
        <f t="shared" ca="1" si="58"/>
        <v/>
      </c>
      <c r="N390" s="388" t="str">
        <f t="shared" ca="1" si="59"/>
        <v/>
      </c>
    </row>
    <row r="391" spans="1:14" x14ac:dyDescent="0.3">
      <c r="A391" s="384" t="b">
        <f t="shared" ca="1" si="54"/>
        <v>0</v>
      </c>
      <c r="B391" s="394">
        <f t="shared" si="51"/>
        <v>-26</v>
      </c>
      <c r="C391" s="400" t="str">
        <f ca="1">IF(COUNTA(D$265:D390)=1,"",OFFSET(B389,-COUNTA(D$265:D390)+3,1))</f>
        <v>a1WDm000000bx1IMAQ</v>
      </c>
      <c r="D391" s="384"/>
      <c r="E391" s="384">
        <f t="shared" ca="1" si="52"/>
        <v>4</v>
      </c>
      <c r="F391" s="398">
        <f ca="1">IF(COUNTA(D$265:D390)=1,"",OFFSET(F389,-COUNTA(D$265:D390)+3,0))</f>
        <v>6</v>
      </c>
      <c r="G391" s="384"/>
      <c r="H391" s="384">
        <f t="shared" ca="1" si="53"/>
        <v>19</v>
      </c>
      <c r="I391" s="389" t="str">
        <f t="shared" ca="1" si="55"/>
        <v/>
      </c>
      <c r="J391" s="399" t="str">
        <f t="shared" ca="1" si="56"/>
        <v/>
      </c>
      <c r="K391" s="386" t="str">
        <f t="shared" ca="1" si="57"/>
        <v/>
      </c>
      <c r="L391" s="388" t="str">
        <f ca="1">IFERROR(CHOOSE(E391,'Outcome Indicators - Section C '!$K$7,'Outcome Indicators - Section C '!$O$7,'Outcome Indicators - Section C '!$S$7,'Outcome Indicators - Section C '!$W$7,'Outcome Indicators - Section C '!#REF!),"")</f>
        <v/>
      </c>
      <c r="M391" s="396" t="str">
        <f t="shared" ca="1" si="58"/>
        <v/>
      </c>
      <c r="N391" s="388" t="str">
        <f t="shared" ca="1" si="59"/>
        <v/>
      </c>
    </row>
    <row r="392" spans="1:14" x14ac:dyDescent="0.3">
      <c r="A392" s="384" t="b">
        <f t="shared" ca="1" si="54"/>
        <v>0</v>
      </c>
      <c r="B392" s="394">
        <f t="shared" si="51"/>
        <v>-25</v>
      </c>
      <c r="C392" s="400" t="str">
        <f ca="1">IF(COUNTA(D$265:D391)=1,"",OFFSET(B390,-COUNTA(D$265:D391)+3,1))</f>
        <v>a1WDm000000bx1XMAQ</v>
      </c>
      <c r="D392" s="384"/>
      <c r="E392" s="384">
        <f t="shared" ca="1" si="52"/>
        <v>5</v>
      </c>
      <c r="F392" s="398">
        <f ca="1">IF(COUNTA(D$265:D391)=1,"",OFFSET(F390,-COUNTA(D$265:D391)+3,0))</f>
        <v>6</v>
      </c>
      <c r="G392" s="384"/>
      <c r="H392" s="384">
        <f t="shared" ca="1" si="53"/>
        <v>19</v>
      </c>
      <c r="I392" s="389" t="str">
        <f t="shared" ca="1" si="55"/>
        <v/>
      </c>
      <c r="J392" s="399" t="str">
        <f t="shared" ca="1" si="56"/>
        <v/>
      </c>
      <c r="K392" s="386" t="str">
        <f t="shared" ca="1" si="57"/>
        <v/>
      </c>
      <c r="L392" s="388" t="str">
        <f ca="1">IFERROR(CHOOSE(E392,'Outcome Indicators - Section C '!$K$7,'Outcome Indicators - Section C '!$O$7,'Outcome Indicators - Section C '!$S$7,'Outcome Indicators - Section C '!$W$7,'Outcome Indicators - Section C '!#REF!),"")</f>
        <v/>
      </c>
      <c r="M392" s="396" t="str">
        <f t="shared" ca="1" si="58"/>
        <v/>
      </c>
      <c r="N392" s="388" t="str">
        <f t="shared" ca="1" si="59"/>
        <v/>
      </c>
    </row>
    <row r="393" spans="1:14" x14ac:dyDescent="0.3">
      <c r="A393" s="384" t="b">
        <f t="shared" ca="1" si="54"/>
        <v>0</v>
      </c>
      <c r="B393" s="394">
        <f t="shared" si="51"/>
        <v>-24</v>
      </c>
      <c r="C393" s="400" t="str">
        <f ca="1">IF(COUNTA(D$265:D392)=1,"",OFFSET(B391,-COUNTA(D$265:D392)+3,1))</f>
        <v>a1WDm000000bx1mMAA</v>
      </c>
      <c r="D393" s="384"/>
      <c r="E393" s="384">
        <f t="shared" ca="1" si="52"/>
        <v>6</v>
      </c>
      <c r="F393" s="398">
        <f ca="1">IF(COUNTA(D$265:D392)=1,"",OFFSET(F391,-COUNTA(D$265:D392)+3,0))</f>
        <v>6</v>
      </c>
      <c r="G393" s="384"/>
      <c r="H393" s="384">
        <f t="shared" ca="1" si="53"/>
        <v>19</v>
      </c>
      <c r="I393" s="389" t="str">
        <f t="shared" ca="1" si="55"/>
        <v/>
      </c>
      <c r="J393" s="399" t="str">
        <f t="shared" ca="1" si="56"/>
        <v/>
      </c>
      <c r="K393" s="386" t="str">
        <f t="shared" ca="1" si="57"/>
        <v/>
      </c>
      <c r="L393" s="388" t="str">
        <f ca="1">IFERROR(CHOOSE(E393,'Outcome Indicators - Section C '!$K$7,'Outcome Indicators - Section C '!$O$7,'Outcome Indicators - Section C '!$S$7,'Outcome Indicators - Section C '!$W$7,'Outcome Indicators - Section C '!#REF!),"")</f>
        <v/>
      </c>
      <c r="M393" s="396" t="str">
        <f t="shared" ca="1" si="58"/>
        <v/>
      </c>
      <c r="N393" s="388" t="str">
        <f t="shared" ca="1" si="59"/>
        <v/>
      </c>
    </row>
    <row r="394" spans="1:14" x14ac:dyDescent="0.3">
      <c r="A394" s="384" t="b">
        <f t="shared" ca="1" si="54"/>
        <v>0</v>
      </c>
      <c r="B394" s="394">
        <f t="shared" si="51"/>
        <v>-23</v>
      </c>
      <c r="C394" s="400" t="str">
        <f ca="1">IF(COUNTA(D$265:D393)=1,"",OFFSET(B392,-COUNTA(D$265:D393)+3,1))</f>
        <v>a1WDm000000bx0aMAA</v>
      </c>
      <c r="D394" s="384"/>
      <c r="E394" s="384">
        <f t="shared" ca="1" si="52"/>
        <v>1</v>
      </c>
      <c r="F394" s="398">
        <f ca="1">IF(COUNTA(D$265:D393)=1,"",OFFSET(F392,-COUNTA(D$265:D393)+3,0))</f>
        <v>7</v>
      </c>
      <c r="G394" s="384"/>
      <c r="H394" s="384">
        <f t="shared" ca="1" si="53"/>
        <v>21</v>
      </c>
      <c r="I394" s="389" t="str">
        <f t="shared" ca="1" si="55"/>
        <v/>
      </c>
      <c r="J394" s="399" t="str">
        <f t="shared" ca="1" si="56"/>
        <v/>
      </c>
      <c r="K394" s="386" t="str">
        <f t="shared" ca="1" si="57"/>
        <v/>
      </c>
      <c r="L394" s="388">
        <f ca="1">IFERROR(CHOOSE(E394,'Outcome Indicators - Section C '!$K$7,'Outcome Indicators - Section C '!$O$7,'Outcome Indicators - Section C '!$S$7,'Outcome Indicators - Section C '!$W$7,'Outcome Indicators - Section C '!#REF!),"")</f>
        <v>2024</v>
      </c>
      <c r="M394" s="396" t="str">
        <f t="shared" ca="1" si="58"/>
        <v/>
      </c>
      <c r="N394" s="388" t="str">
        <f t="shared" ca="1" si="59"/>
        <v/>
      </c>
    </row>
    <row r="395" spans="1:14" x14ac:dyDescent="0.3">
      <c r="A395" s="384" t="b">
        <f t="shared" ca="1" si="54"/>
        <v>1</v>
      </c>
      <c r="B395" s="394">
        <f t="shared" si="51"/>
        <v>-22</v>
      </c>
      <c r="C395" s="400" t="str">
        <f ca="1">IF(COUNTA(D$265:D394)=1,"",OFFSET(B393,-COUNTA(D$265:D394)+3,1))</f>
        <v>a1WDm000000bx0pMAA</v>
      </c>
      <c r="D395" s="384"/>
      <c r="E395" s="384">
        <f t="shared" ca="1" si="52"/>
        <v>2</v>
      </c>
      <c r="F395" s="398">
        <f ca="1">IF(COUNTA(D$265:D394)=1,"",OFFSET(F393,-COUNTA(D$265:D394)+3,0))</f>
        <v>7</v>
      </c>
      <c r="G395" s="384"/>
      <c r="H395" s="384">
        <f t="shared" ca="1" si="53"/>
        <v>21</v>
      </c>
      <c r="I395" s="389" t="str">
        <f t="shared" ca="1" si="55"/>
        <v/>
      </c>
      <c r="J395" s="399" t="str">
        <f t="shared" ca="1" si="56"/>
        <v/>
      </c>
      <c r="K395" s="386">
        <f t="shared" ca="1" si="57"/>
        <v>7.0000000000000009</v>
      </c>
      <c r="L395" s="388">
        <f ca="1">IFERROR(CHOOSE(E395,'Outcome Indicators - Section C '!$K$7,'Outcome Indicators - Section C '!$O$7,'Outcome Indicators - Section C '!$S$7,'Outcome Indicators - Section C '!$W$7,'Outcome Indicators - Section C '!#REF!),"")</f>
        <v>2025</v>
      </c>
      <c r="M395" s="396" t="str">
        <f t="shared" ca="1" si="58"/>
        <v/>
      </c>
      <c r="N395" s="388" t="str">
        <f t="shared" ca="1" si="59"/>
        <v/>
      </c>
    </row>
    <row r="396" spans="1:14" x14ac:dyDescent="0.3">
      <c r="A396" s="384" t="b">
        <f t="shared" ca="1" si="54"/>
        <v>0</v>
      </c>
      <c r="B396" s="394">
        <f t="shared" ref="B396:B447" si="60">B395+1</f>
        <v>-21</v>
      </c>
      <c r="C396" s="400" t="str">
        <f ca="1">IF(COUNTA(D$265:D395)=1,"",OFFSET(B394,-COUNTA(D$265:D395)+3,1))</f>
        <v>a1WDm000000bx14MAA</v>
      </c>
      <c r="D396" s="384"/>
      <c r="E396" s="384">
        <f t="shared" ref="E396:E447" ca="1" si="61">COUNTIF(F387:F396,F396)</f>
        <v>3</v>
      </c>
      <c r="F396" s="398">
        <f ca="1">IF(COUNTA(D$265:D395)=1,"",OFFSET(F394,-COUNTA(D$265:D395)+3,0))</f>
        <v>7</v>
      </c>
      <c r="G396" s="384"/>
      <c r="H396" s="384">
        <f t="shared" ref="H396:H447" ca="1" si="62">IF(F396=1,9,IF(E395=MAX(E394:E396),H394+2,H395))</f>
        <v>21</v>
      </c>
      <c r="I396" s="389" t="str">
        <f t="shared" ca="1" si="55"/>
        <v/>
      </c>
      <c r="J396" s="399" t="str">
        <f t="shared" ca="1" si="56"/>
        <v/>
      </c>
      <c r="K396" s="386" t="str">
        <f t="shared" ca="1" si="57"/>
        <v/>
      </c>
      <c r="L396" s="388">
        <f ca="1">IFERROR(CHOOSE(E396,'Outcome Indicators - Section C '!$K$7,'Outcome Indicators - Section C '!$O$7,'Outcome Indicators - Section C '!$S$7,'Outcome Indicators - Section C '!$W$7,'Outcome Indicators - Section C '!#REF!),"")</f>
        <v>2026</v>
      </c>
      <c r="M396" s="396" t="str">
        <f t="shared" ca="1" si="58"/>
        <v/>
      </c>
      <c r="N396" s="388" t="str">
        <f t="shared" ca="1" si="59"/>
        <v/>
      </c>
    </row>
    <row r="397" spans="1:14" x14ac:dyDescent="0.3">
      <c r="A397" s="384" t="b">
        <f t="shared" ca="1" si="54"/>
        <v>0</v>
      </c>
      <c r="B397" s="394">
        <f t="shared" si="60"/>
        <v>-20</v>
      </c>
      <c r="C397" s="400" t="str">
        <f ca="1">IF(COUNTA(D$265:D396)=1,"",OFFSET(B395,-COUNTA(D$265:D396)+3,1))</f>
        <v>a1WDm000000bx1JMAQ</v>
      </c>
      <c r="D397" s="384"/>
      <c r="E397" s="384">
        <f t="shared" ca="1" si="61"/>
        <v>4</v>
      </c>
      <c r="F397" s="398">
        <f ca="1">IF(COUNTA(D$265:D396)=1,"",OFFSET(F395,-COUNTA(D$265:D396)+3,0))</f>
        <v>7</v>
      </c>
      <c r="G397" s="384"/>
      <c r="H397" s="384">
        <f t="shared" ca="1" si="62"/>
        <v>21</v>
      </c>
      <c r="I397" s="389" t="str">
        <f t="shared" ca="1" si="55"/>
        <v/>
      </c>
      <c r="J397" s="399" t="str">
        <f t="shared" ca="1" si="56"/>
        <v/>
      </c>
      <c r="K397" s="386" t="str">
        <f t="shared" ca="1" si="57"/>
        <v/>
      </c>
      <c r="L397" s="388" t="str">
        <f ca="1">IFERROR(CHOOSE(E397,'Outcome Indicators - Section C '!$K$7,'Outcome Indicators - Section C '!$O$7,'Outcome Indicators - Section C '!$S$7,'Outcome Indicators - Section C '!$W$7,'Outcome Indicators - Section C '!#REF!),"")</f>
        <v/>
      </c>
      <c r="M397" s="396" t="str">
        <f t="shared" ca="1" si="58"/>
        <v/>
      </c>
      <c r="N397" s="388" t="str">
        <f t="shared" ca="1" si="59"/>
        <v/>
      </c>
    </row>
    <row r="398" spans="1:14" x14ac:dyDescent="0.3">
      <c r="A398" s="384" t="b">
        <f t="shared" ca="1" si="54"/>
        <v>0</v>
      </c>
      <c r="B398" s="394">
        <f t="shared" si="60"/>
        <v>-19</v>
      </c>
      <c r="C398" s="400" t="str">
        <f ca="1">IF(COUNTA(D$265:D397)=1,"",OFFSET(B396,-COUNTA(D$265:D397)+3,1))</f>
        <v>a1WDm000000bx1YMAQ</v>
      </c>
      <c r="D398" s="384"/>
      <c r="E398" s="384">
        <f t="shared" ca="1" si="61"/>
        <v>5</v>
      </c>
      <c r="F398" s="398">
        <f ca="1">IF(COUNTA(D$265:D397)=1,"",OFFSET(F396,-COUNTA(D$265:D397)+3,0))</f>
        <v>7</v>
      </c>
      <c r="G398" s="384"/>
      <c r="H398" s="384">
        <f t="shared" ca="1" si="62"/>
        <v>21</v>
      </c>
      <c r="I398" s="389" t="str">
        <f t="shared" ca="1" si="55"/>
        <v/>
      </c>
      <c r="J398" s="399" t="str">
        <f t="shared" ca="1" si="56"/>
        <v/>
      </c>
      <c r="K398" s="386" t="str">
        <f t="shared" ca="1" si="57"/>
        <v/>
      </c>
      <c r="L398" s="388" t="str">
        <f ca="1">IFERROR(CHOOSE(E398,'Outcome Indicators - Section C '!$K$7,'Outcome Indicators - Section C '!$O$7,'Outcome Indicators - Section C '!$S$7,'Outcome Indicators - Section C '!$W$7,'Outcome Indicators - Section C '!#REF!),"")</f>
        <v/>
      </c>
      <c r="M398" s="396" t="str">
        <f t="shared" ca="1" si="58"/>
        <v/>
      </c>
      <c r="N398" s="388" t="str">
        <f t="shared" ca="1" si="59"/>
        <v/>
      </c>
    </row>
    <row r="399" spans="1:14" x14ac:dyDescent="0.3">
      <c r="A399" s="384" t="b">
        <f t="shared" ca="1" si="54"/>
        <v>0</v>
      </c>
      <c r="B399" s="394">
        <f t="shared" si="60"/>
        <v>-18</v>
      </c>
      <c r="C399" s="400" t="str">
        <f ca="1">IF(COUNTA(D$265:D398)=1,"",OFFSET(B397,-COUNTA(D$265:D398)+3,1))</f>
        <v>a1WDm000000bx1nMAA</v>
      </c>
      <c r="D399" s="384"/>
      <c r="E399" s="384">
        <f t="shared" ca="1" si="61"/>
        <v>6</v>
      </c>
      <c r="F399" s="398">
        <f ca="1">IF(COUNTA(D$265:D398)=1,"",OFFSET(F397,-COUNTA(D$265:D398)+3,0))</f>
        <v>7</v>
      </c>
      <c r="G399" s="384"/>
      <c r="H399" s="384">
        <f t="shared" ca="1" si="62"/>
        <v>21</v>
      </c>
      <c r="I399" s="389" t="str">
        <f t="shared" ca="1" si="55"/>
        <v/>
      </c>
      <c r="J399" s="399" t="str">
        <f t="shared" ca="1" si="56"/>
        <v/>
      </c>
      <c r="K399" s="386" t="str">
        <f t="shared" ca="1" si="57"/>
        <v/>
      </c>
      <c r="L399" s="388" t="str">
        <f ca="1">IFERROR(CHOOSE(E399,'Outcome Indicators - Section C '!$K$7,'Outcome Indicators - Section C '!$O$7,'Outcome Indicators - Section C '!$S$7,'Outcome Indicators - Section C '!$W$7,'Outcome Indicators - Section C '!#REF!),"")</f>
        <v/>
      </c>
      <c r="M399" s="396" t="str">
        <f t="shared" ca="1" si="58"/>
        <v/>
      </c>
      <c r="N399" s="388" t="str">
        <f t="shared" ca="1" si="59"/>
        <v/>
      </c>
    </row>
    <row r="400" spans="1:14" x14ac:dyDescent="0.3">
      <c r="A400" s="384" t="b">
        <f t="shared" ca="1" si="54"/>
        <v>1</v>
      </c>
      <c r="B400" s="394">
        <f t="shared" si="60"/>
        <v>-17</v>
      </c>
      <c r="C400" s="400" t="str">
        <f ca="1">IF(COUNTA(D$265:D399)=1,"",OFFSET(B398,-COUNTA(D$265:D399)+3,1))</f>
        <v>a1WDm000000bx0bMAA</v>
      </c>
      <c r="D400" s="384"/>
      <c r="E400" s="384">
        <f t="shared" ca="1" si="61"/>
        <v>1</v>
      </c>
      <c r="F400" s="398">
        <f ca="1">IF(COUNTA(D$265:D399)=1,"",OFFSET(F398,-COUNTA(D$265:D399)+3,0))</f>
        <v>8</v>
      </c>
      <c r="G400" s="384"/>
      <c r="H400" s="384">
        <f t="shared" ca="1" si="62"/>
        <v>23</v>
      </c>
      <c r="I400" s="389" t="str">
        <f t="shared" ca="1" si="55"/>
        <v/>
      </c>
      <c r="J400" s="399" t="str">
        <f t="shared" ca="1" si="56"/>
        <v/>
      </c>
      <c r="K400" s="386">
        <f t="shared" ca="1" si="57"/>
        <v>60</v>
      </c>
      <c r="L400" s="388">
        <f ca="1">IFERROR(CHOOSE(E400,'Outcome Indicators - Section C '!$K$7,'Outcome Indicators - Section C '!$O$7,'Outcome Indicators - Section C '!$S$7,'Outcome Indicators - Section C '!$W$7,'Outcome Indicators - Section C '!#REF!),"")</f>
        <v>2024</v>
      </c>
      <c r="M400" s="396">
        <f t="shared" ca="1" si="58"/>
        <v>45931</v>
      </c>
      <c r="N400" s="388" t="str">
        <f t="shared" ca="1" si="59"/>
        <v/>
      </c>
    </row>
    <row r="401" spans="1:14" x14ac:dyDescent="0.3">
      <c r="A401" s="384" t="b">
        <f t="shared" ca="1" si="54"/>
        <v>1</v>
      </c>
      <c r="B401" s="394">
        <f t="shared" si="60"/>
        <v>-16</v>
      </c>
      <c r="C401" s="400" t="str">
        <f ca="1">IF(COUNTA(D$265:D400)=1,"",OFFSET(B399,-COUNTA(D$265:D400)+3,1))</f>
        <v>a1WDm000000bx0qMAA</v>
      </c>
      <c r="D401" s="384"/>
      <c r="E401" s="384">
        <f t="shared" ca="1" si="61"/>
        <v>2</v>
      </c>
      <c r="F401" s="398">
        <f ca="1">IF(COUNTA(D$265:D400)=1,"",OFFSET(F399,-COUNTA(D$265:D400)+3,0))</f>
        <v>8</v>
      </c>
      <c r="G401" s="384"/>
      <c r="H401" s="384">
        <f t="shared" ca="1" si="62"/>
        <v>23</v>
      </c>
      <c r="I401" s="389" t="str">
        <f t="shared" ca="1" si="55"/>
        <v/>
      </c>
      <c r="J401" s="399" t="str">
        <f t="shared" ca="1" si="56"/>
        <v/>
      </c>
      <c r="K401" s="386">
        <f t="shared" ca="1" si="57"/>
        <v>65</v>
      </c>
      <c r="L401" s="388">
        <f ca="1">IFERROR(CHOOSE(E401,'Outcome Indicators - Section C '!$K$7,'Outcome Indicators - Section C '!$O$7,'Outcome Indicators - Section C '!$S$7,'Outcome Indicators - Section C '!$W$7,'Outcome Indicators - Section C '!#REF!),"")</f>
        <v>2025</v>
      </c>
      <c r="M401" s="396">
        <f t="shared" ca="1" si="58"/>
        <v>46296</v>
      </c>
      <c r="N401" s="388" t="str">
        <f t="shared" ca="1" si="59"/>
        <v/>
      </c>
    </row>
    <row r="402" spans="1:14" x14ac:dyDescent="0.3">
      <c r="A402" s="384" t="b">
        <f t="shared" ca="1" si="54"/>
        <v>1</v>
      </c>
      <c r="B402" s="394">
        <f t="shared" si="60"/>
        <v>-15</v>
      </c>
      <c r="C402" s="400" t="str">
        <f ca="1">IF(COUNTA(D$265:D401)=1,"",OFFSET(B400,-COUNTA(D$265:D401)+3,1))</f>
        <v>a1WDm000000bx15MAA</v>
      </c>
      <c r="D402" s="384"/>
      <c r="E402" s="384">
        <f t="shared" ca="1" si="61"/>
        <v>3</v>
      </c>
      <c r="F402" s="398">
        <f ca="1">IF(COUNTA(D$265:D401)=1,"",OFFSET(F400,-COUNTA(D$265:D401)+3,0))</f>
        <v>8</v>
      </c>
      <c r="G402" s="384"/>
      <c r="H402" s="384">
        <f t="shared" ca="1" si="62"/>
        <v>23</v>
      </c>
      <c r="I402" s="389" t="str">
        <f t="shared" ca="1" si="55"/>
        <v/>
      </c>
      <c r="J402" s="399" t="str">
        <f t="shared" ca="1" si="56"/>
        <v/>
      </c>
      <c r="K402" s="386">
        <f t="shared" ca="1" si="57"/>
        <v>70</v>
      </c>
      <c r="L402" s="388">
        <f ca="1">IFERROR(CHOOSE(E402,'Outcome Indicators - Section C '!$K$7,'Outcome Indicators - Section C '!$O$7,'Outcome Indicators - Section C '!$S$7,'Outcome Indicators - Section C '!$W$7,'Outcome Indicators - Section C '!#REF!),"")</f>
        <v>2026</v>
      </c>
      <c r="M402" s="396">
        <f t="shared" ca="1" si="58"/>
        <v>46661</v>
      </c>
      <c r="N402" s="388" t="str">
        <f t="shared" ca="1" si="59"/>
        <v/>
      </c>
    </row>
    <row r="403" spans="1:14" x14ac:dyDescent="0.3">
      <c r="A403" s="384" t="b">
        <f t="shared" ca="1" si="54"/>
        <v>0</v>
      </c>
      <c r="B403" s="394">
        <f t="shared" si="60"/>
        <v>-14</v>
      </c>
      <c r="C403" s="400" t="str">
        <f ca="1">IF(COUNTA(D$265:D402)=1,"",OFFSET(B401,-COUNTA(D$265:D402)+3,1))</f>
        <v>a1WDm000000bx1KMAQ</v>
      </c>
      <c r="D403" s="384"/>
      <c r="E403" s="384">
        <f t="shared" ca="1" si="61"/>
        <v>4</v>
      </c>
      <c r="F403" s="398">
        <f ca="1">IF(COUNTA(D$265:D402)=1,"",OFFSET(F401,-COUNTA(D$265:D402)+3,0))</f>
        <v>8</v>
      </c>
      <c r="G403" s="384"/>
      <c r="H403" s="384">
        <f t="shared" ca="1" si="62"/>
        <v>23</v>
      </c>
      <c r="I403" s="389" t="str">
        <f t="shared" ca="1" si="55"/>
        <v/>
      </c>
      <c r="J403" s="399" t="str">
        <f t="shared" ca="1" si="56"/>
        <v/>
      </c>
      <c r="K403" s="386" t="str">
        <f t="shared" ca="1" si="57"/>
        <v/>
      </c>
      <c r="L403" s="388" t="str">
        <f ca="1">IFERROR(CHOOSE(E403,'Outcome Indicators - Section C '!$K$7,'Outcome Indicators - Section C '!$O$7,'Outcome Indicators - Section C '!$S$7,'Outcome Indicators - Section C '!$W$7,'Outcome Indicators - Section C '!#REF!),"")</f>
        <v/>
      </c>
      <c r="M403" s="396" t="str">
        <f t="shared" ca="1" si="58"/>
        <v/>
      </c>
      <c r="N403" s="388" t="str">
        <f t="shared" ca="1" si="59"/>
        <v/>
      </c>
    </row>
    <row r="404" spans="1:14" x14ac:dyDescent="0.3">
      <c r="A404" s="384" t="b">
        <f t="shared" ca="1" si="54"/>
        <v>0</v>
      </c>
      <c r="B404" s="394">
        <f t="shared" si="60"/>
        <v>-13</v>
      </c>
      <c r="C404" s="400" t="str">
        <f ca="1">IF(COUNTA(D$265:D403)=1,"",OFFSET(B402,-COUNTA(D$265:D403)+3,1))</f>
        <v>a1WDm000000bx1ZMAQ</v>
      </c>
      <c r="D404" s="384"/>
      <c r="E404" s="384">
        <f t="shared" ca="1" si="61"/>
        <v>5</v>
      </c>
      <c r="F404" s="398">
        <f ca="1">IF(COUNTA(D$265:D403)=1,"",OFFSET(F402,-COUNTA(D$265:D403)+3,0))</f>
        <v>8</v>
      </c>
      <c r="G404" s="384"/>
      <c r="H404" s="384">
        <f t="shared" ca="1" si="62"/>
        <v>23</v>
      </c>
      <c r="I404" s="389" t="str">
        <f t="shared" ca="1" si="55"/>
        <v/>
      </c>
      <c r="J404" s="399" t="str">
        <f t="shared" ca="1" si="56"/>
        <v/>
      </c>
      <c r="K404" s="386" t="str">
        <f t="shared" ca="1" si="57"/>
        <v/>
      </c>
      <c r="L404" s="388" t="str">
        <f ca="1">IFERROR(CHOOSE(E404,'Outcome Indicators - Section C '!$K$7,'Outcome Indicators - Section C '!$O$7,'Outcome Indicators - Section C '!$S$7,'Outcome Indicators - Section C '!$W$7,'Outcome Indicators - Section C '!#REF!),"")</f>
        <v/>
      </c>
      <c r="M404" s="396" t="str">
        <f t="shared" ca="1" si="58"/>
        <v/>
      </c>
      <c r="N404" s="388" t="str">
        <f t="shared" ca="1" si="59"/>
        <v/>
      </c>
    </row>
    <row r="405" spans="1:14" x14ac:dyDescent="0.3">
      <c r="A405" s="384" t="b">
        <f t="shared" ca="1" si="54"/>
        <v>0</v>
      </c>
      <c r="B405" s="394">
        <f t="shared" si="60"/>
        <v>-12</v>
      </c>
      <c r="C405" s="400" t="str">
        <f ca="1">IF(COUNTA(D$265:D404)=1,"",OFFSET(B403,-COUNTA(D$265:D404)+3,1))</f>
        <v>a1WDm000000bx1oMAA</v>
      </c>
      <c r="D405" s="384"/>
      <c r="E405" s="384">
        <f t="shared" ca="1" si="61"/>
        <v>6</v>
      </c>
      <c r="F405" s="398">
        <f ca="1">IF(COUNTA(D$265:D404)=1,"",OFFSET(F403,-COUNTA(D$265:D404)+3,0))</f>
        <v>8</v>
      </c>
      <c r="G405" s="384"/>
      <c r="H405" s="384">
        <f t="shared" ca="1" si="62"/>
        <v>23</v>
      </c>
      <c r="I405" s="389" t="str">
        <f t="shared" ca="1" si="55"/>
        <v/>
      </c>
      <c r="J405" s="399" t="str">
        <f t="shared" ca="1" si="56"/>
        <v/>
      </c>
      <c r="K405" s="386" t="str">
        <f t="shared" ca="1" si="57"/>
        <v/>
      </c>
      <c r="L405" s="388" t="str">
        <f ca="1">IFERROR(CHOOSE(E405,'Outcome Indicators - Section C '!$K$7,'Outcome Indicators - Section C '!$O$7,'Outcome Indicators - Section C '!$S$7,'Outcome Indicators - Section C '!$W$7,'Outcome Indicators - Section C '!#REF!),"")</f>
        <v/>
      </c>
      <c r="M405" s="396" t="str">
        <f t="shared" ca="1" si="58"/>
        <v/>
      </c>
      <c r="N405" s="388" t="str">
        <f t="shared" ca="1" si="59"/>
        <v/>
      </c>
    </row>
    <row r="406" spans="1:14" x14ac:dyDescent="0.3">
      <c r="A406" s="384" t="b">
        <f t="shared" ca="1" si="54"/>
        <v>1</v>
      </c>
      <c r="B406" s="394">
        <f t="shared" si="60"/>
        <v>-11</v>
      </c>
      <c r="C406" s="400" t="str">
        <f ca="1">IF(COUNTA(D$265:D405)=1,"",OFFSET(B404,-COUNTA(D$265:D405)+3,1))</f>
        <v>a1WDm000000bx0cMAA</v>
      </c>
      <c r="D406" s="384"/>
      <c r="E406" s="384">
        <f t="shared" ca="1" si="61"/>
        <v>1</v>
      </c>
      <c r="F406" s="398">
        <f ca="1">IF(COUNTA(D$265:D405)=1,"",OFFSET(F404,-COUNTA(D$265:D405)+3,0))</f>
        <v>9</v>
      </c>
      <c r="G406" s="384"/>
      <c r="H406" s="384">
        <f t="shared" ca="1" si="62"/>
        <v>25</v>
      </c>
      <c r="I406" s="389" t="str">
        <f t="shared" ca="1" si="55"/>
        <v/>
      </c>
      <c r="J406" s="399" t="str">
        <f t="shared" ca="1" si="56"/>
        <v/>
      </c>
      <c r="K406" s="386">
        <f t="shared" ca="1" si="57"/>
        <v>75</v>
      </c>
      <c r="L406" s="388">
        <f ca="1">IFERROR(CHOOSE(E406,'Outcome Indicators - Section C '!$K$7,'Outcome Indicators - Section C '!$O$7,'Outcome Indicators - Section C '!$S$7,'Outcome Indicators - Section C '!$W$7,'Outcome Indicators - Section C '!#REF!),"")</f>
        <v>2024</v>
      </c>
      <c r="M406" s="396">
        <f t="shared" ca="1" si="58"/>
        <v>45748</v>
      </c>
      <c r="N406" s="388" t="str">
        <f t="shared" ca="1" si="59"/>
        <v/>
      </c>
    </row>
    <row r="407" spans="1:14" x14ac:dyDescent="0.3">
      <c r="A407" s="384" t="b">
        <f t="shared" ca="1" si="54"/>
        <v>1</v>
      </c>
      <c r="B407" s="394">
        <f t="shared" si="60"/>
        <v>-10</v>
      </c>
      <c r="C407" s="400" t="str">
        <f ca="1">IF(COUNTA(D$265:D406)=1,"",OFFSET(B405,-COUNTA(D$265:D406)+3,1))</f>
        <v>a1WDm000000bx0rMAA</v>
      </c>
      <c r="D407" s="384"/>
      <c r="E407" s="384">
        <f t="shared" ca="1" si="61"/>
        <v>2</v>
      </c>
      <c r="F407" s="398">
        <f ca="1">IF(COUNTA(D$265:D406)=1,"",OFFSET(F405,-COUNTA(D$265:D406)+3,0))</f>
        <v>9</v>
      </c>
      <c r="G407" s="384"/>
      <c r="H407" s="384">
        <f t="shared" ca="1" si="62"/>
        <v>25</v>
      </c>
      <c r="I407" s="389" t="str">
        <f t="shared" ca="1" si="55"/>
        <v/>
      </c>
      <c r="J407" s="399" t="str">
        <f t="shared" ca="1" si="56"/>
        <v/>
      </c>
      <c r="K407" s="386">
        <f t="shared" ca="1" si="57"/>
        <v>78</v>
      </c>
      <c r="L407" s="388">
        <f ca="1">IFERROR(CHOOSE(E407,'Outcome Indicators - Section C '!$K$7,'Outcome Indicators - Section C '!$O$7,'Outcome Indicators - Section C '!$S$7,'Outcome Indicators - Section C '!$W$7,'Outcome Indicators - Section C '!#REF!),"")</f>
        <v>2025</v>
      </c>
      <c r="M407" s="396">
        <f t="shared" ca="1" si="58"/>
        <v>46113</v>
      </c>
      <c r="N407" s="388" t="str">
        <f t="shared" ca="1" si="59"/>
        <v/>
      </c>
    </row>
    <row r="408" spans="1:14" x14ac:dyDescent="0.3">
      <c r="A408" s="384" t="b">
        <f t="shared" ca="1" si="54"/>
        <v>1</v>
      </c>
      <c r="B408" s="394">
        <f t="shared" si="60"/>
        <v>-9</v>
      </c>
      <c r="C408" s="400" t="str">
        <f ca="1">IF(COUNTA(D$265:D407)=1,"",OFFSET(B406,-COUNTA(D$265:D407)+3,1))</f>
        <v>a1WDm000000bx16MAA</v>
      </c>
      <c r="D408" s="384"/>
      <c r="E408" s="384">
        <f t="shared" ca="1" si="61"/>
        <v>3</v>
      </c>
      <c r="F408" s="398">
        <f ca="1">IF(COUNTA(D$265:D407)=1,"",OFFSET(F406,-COUNTA(D$265:D407)+3,0))</f>
        <v>9</v>
      </c>
      <c r="G408" s="384"/>
      <c r="H408" s="384">
        <f t="shared" ca="1" si="62"/>
        <v>25</v>
      </c>
      <c r="I408" s="389" t="str">
        <f t="shared" ca="1" si="55"/>
        <v/>
      </c>
      <c r="J408" s="399" t="str">
        <f t="shared" ca="1" si="56"/>
        <v/>
      </c>
      <c r="K408" s="386">
        <f t="shared" ca="1" si="57"/>
        <v>80</v>
      </c>
      <c r="L408" s="388">
        <f ca="1">IFERROR(CHOOSE(E408,'Outcome Indicators - Section C '!$K$7,'Outcome Indicators - Section C '!$O$7,'Outcome Indicators - Section C '!$S$7,'Outcome Indicators - Section C '!$W$7,'Outcome Indicators - Section C '!#REF!),"")</f>
        <v>2026</v>
      </c>
      <c r="M408" s="396">
        <f t="shared" ca="1" si="58"/>
        <v>46478</v>
      </c>
      <c r="N408" s="388" t="str">
        <f t="shared" ca="1" si="59"/>
        <v/>
      </c>
    </row>
    <row r="409" spans="1:14" x14ac:dyDescent="0.3">
      <c r="A409" s="384" t="b">
        <f t="shared" ca="1" si="54"/>
        <v>0</v>
      </c>
      <c r="B409" s="394">
        <f t="shared" si="60"/>
        <v>-8</v>
      </c>
      <c r="C409" s="400" t="str">
        <f ca="1">IF(COUNTA(D$265:D408)=1,"",OFFSET(B407,-COUNTA(D$265:D408)+3,1))</f>
        <v>a1WDm000000bx1LMAQ</v>
      </c>
      <c r="D409" s="384"/>
      <c r="E409" s="384">
        <f t="shared" ca="1" si="61"/>
        <v>4</v>
      </c>
      <c r="F409" s="398">
        <f ca="1">IF(COUNTA(D$265:D408)=1,"",OFFSET(F407,-COUNTA(D$265:D408)+3,0))</f>
        <v>9</v>
      </c>
      <c r="G409" s="384"/>
      <c r="H409" s="384">
        <f t="shared" ca="1" si="62"/>
        <v>25</v>
      </c>
      <c r="I409" s="389" t="str">
        <f t="shared" ca="1" si="55"/>
        <v/>
      </c>
      <c r="J409" s="399" t="str">
        <f t="shared" ca="1" si="56"/>
        <v/>
      </c>
      <c r="K409" s="386" t="str">
        <f t="shared" ca="1" si="57"/>
        <v/>
      </c>
      <c r="L409" s="388" t="str">
        <f ca="1">IFERROR(CHOOSE(E409,'Outcome Indicators - Section C '!$K$7,'Outcome Indicators - Section C '!$O$7,'Outcome Indicators - Section C '!$S$7,'Outcome Indicators - Section C '!$W$7,'Outcome Indicators - Section C '!#REF!),"")</f>
        <v/>
      </c>
      <c r="M409" s="396" t="str">
        <f t="shared" ca="1" si="58"/>
        <v/>
      </c>
      <c r="N409" s="388" t="str">
        <f t="shared" ca="1" si="59"/>
        <v/>
      </c>
    </row>
    <row r="410" spans="1:14" x14ac:dyDescent="0.3">
      <c r="A410" s="384" t="b">
        <f t="shared" ca="1" si="54"/>
        <v>0</v>
      </c>
      <c r="B410" s="394">
        <f t="shared" si="60"/>
        <v>-7</v>
      </c>
      <c r="C410" s="400" t="str">
        <f ca="1">IF(COUNTA(D$265:D409)=1,"",OFFSET(B408,-COUNTA(D$265:D409)+3,1))</f>
        <v>a1WDm000000bx1aMAA</v>
      </c>
      <c r="D410" s="384"/>
      <c r="E410" s="384">
        <f t="shared" ca="1" si="61"/>
        <v>5</v>
      </c>
      <c r="F410" s="398">
        <f ca="1">IF(COUNTA(D$265:D409)=1,"",OFFSET(F408,-COUNTA(D$265:D409)+3,0))</f>
        <v>9</v>
      </c>
      <c r="G410" s="384"/>
      <c r="H410" s="384">
        <f t="shared" ca="1" si="62"/>
        <v>25</v>
      </c>
      <c r="I410" s="389" t="str">
        <f t="shared" ca="1" si="55"/>
        <v/>
      </c>
      <c r="J410" s="399" t="str">
        <f t="shared" ca="1" si="56"/>
        <v/>
      </c>
      <c r="K410" s="386" t="str">
        <f t="shared" ca="1" si="57"/>
        <v/>
      </c>
      <c r="L410" s="388" t="str">
        <f ca="1">IFERROR(CHOOSE(E410,'Outcome Indicators - Section C '!$K$7,'Outcome Indicators - Section C '!$O$7,'Outcome Indicators - Section C '!$S$7,'Outcome Indicators - Section C '!$W$7,'Outcome Indicators - Section C '!#REF!),"")</f>
        <v/>
      </c>
      <c r="M410" s="396" t="str">
        <f t="shared" ca="1" si="58"/>
        <v/>
      </c>
      <c r="N410" s="388" t="str">
        <f t="shared" ca="1" si="59"/>
        <v/>
      </c>
    </row>
    <row r="411" spans="1:14" x14ac:dyDescent="0.3">
      <c r="A411" s="384" t="b">
        <f t="shared" ca="1" si="54"/>
        <v>0</v>
      </c>
      <c r="B411" s="394">
        <f t="shared" si="60"/>
        <v>-6</v>
      </c>
      <c r="C411" s="400" t="str">
        <f ca="1">IF(COUNTA(D$265:D410)=1,"",OFFSET(B409,-COUNTA(D$265:D410)+3,1))</f>
        <v>a1WDm000000bx1pMAA</v>
      </c>
      <c r="D411" s="384"/>
      <c r="E411" s="384">
        <f t="shared" ca="1" si="61"/>
        <v>6</v>
      </c>
      <c r="F411" s="398">
        <f ca="1">IF(COUNTA(D$265:D410)=1,"",OFFSET(F409,-COUNTA(D$265:D410)+3,0))</f>
        <v>9</v>
      </c>
      <c r="G411" s="384"/>
      <c r="H411" s="384">
        <f t="shared" ca="1" si="62"/>
        <v>25</v>
      </c>
      <c r="I411" s="389" t="str">
        <f t="shared" ca="1" si="55"/>
        <v/>
      </c>
      <c r="J411" s="399" t="str">
        <f t="shared" ca="1" si="56"/>
        <v/>
      </c>
      <c r="K411" s="386" t="str">
        <f t="shared" ca="1" si="57"/>
        <v/>
      </c>
      <c r="L411" s="388" t="str">
        <f ca="1">IFERROR(CHOOSE(E411,'Outcome Indicators - Section C '!$K$7,'Outcome Indicators - Section C '!$O$7,'Outcome Indicators - Section C '!$S$7,'Outcome Indicators - Section C '!$W$7,'Outcome Indicators - Section C '!#REF!),"")</f>
        <v/>
      </c>
      <c r="M411" s="396" t="str">
        <f t="shared" ca="1" si="58"/>
        <v/>
      </c>
      <c r="N411" s="388" t="str">
        <f t="shared" ca="1" si="59"/>
        <v/>
      </c>
    </row>
    <row r="412" spans="1:14" x14ac:dyDescent="0.3">
      <c r="A412" s="384" t="b">
        <f t="shared" ca="1" si="54"/>
        <v>0</v>
      </c>
      <c r="B412" s="394">
        <f t="shared" si="60"/>
        <v>-5</v>
      </c>
      <c r="C412" s="400" t="str">
        <f ca="1">IF(COUNTA(D$265:D411)=1,"",OFFSET(B410,-COUNTA(D$265:D411)+3,1))</f>
        <v>a1WDm000000bx0dMAA</v>
      </c>
      <c r="D412" s="384"/>
      <c r="E412" s="384">
        <f t="shared" ca="1" si="61"/>
        <v>1</v>
      </c>
      <c r="F412" s="398">
        <f ca="1">IF(COUNTA(D$265:D411)=1,"",OFFSET(F410,-COUNTA(D$265:D411)+3,0))</f>
        <v>10</v>
      </c>
      <c r="G412" s="384"/>
      <c r="H412" s="384">
        <f t="shared" ca="1" si="62"/>
        <v>27</v>
      </c>
      <c r="I412" s="389" t="str">
        <f t="shared" ca="1" si="55"/>
        <v/>
      </c>
      <c r="J412" s="399" t="str">
        <f t="shared" ca="1" si="56"/>
        <v/>
      </c>
      <c r="K412" s="386" t="str">
        <f t="shared" ca="1" si="57"/>
        <v/>
      </c>
      <c r="L412" s="388">
        <f ca="1">IFERROR(CHOOSE(E412,'Outcome Indicators - Section C '!$K$7,'Outcome Indicators - Section C '!$O$7,'Outcome Indicators - Section C '!$S$7,'Outcome Indicators - Section C '!$W$7,'Outcome Indicators - Section C '!#REF!),"")</f>
        <v>2024</v>
      </c>
      <c r="M412" s="396" t="str">
        <f t="shared" ca="1" si="58"/>
        <v/>
      </c>
      <c r="N412" s="388" t="str">
        <f t="shared" ca="1" si="59"/>
        <v/>
      </c>
    </row>
    <row r="413" spans="1:14" x14ac:dyDescent="0.3">
      <c r="A413" s="384" t="b">
        <f t="shared" ca="1" si="54"/>
        <v>1</v>
      </c>
      <c r="B413" s="394">
        <f t="shared" si="60"/>
        <v>-4</v>
      </c>
      <c r="C413" s="400" t="str">
        <f ca="1">IF(COUNTA(D$265:D412)=1,"",OFFSET(B411,-COUNTA(D$265:D412)+3,1))</f>
        <v>a1WDm000000bx0sMAA</v>
      </c>
      <c r="D413" s="384"/>
      <c r="E413" s="384">
        <f t="shared" ca="1" si="61"/>
        <v>2</v>
      </c>
      <c r="F413" s="398">
        <f ca="1">IF(COUNTA(D$265:D412)=1,"",OFFSET(F411,-COUNTA(D$265:D412)+3,0))</f>
        <v>10</v>
      </c>
      <c r="G413" s="384"/>
      <c r="H413" s="384">
        <f t="shared" ca="1" si="62"/>
        <v>27</v>
      </c>
      <c r="I413" s="389" t="str">
        <f t="shared" ca="1" si="55"/>
        <v/>
      </c>
      <c r="J413" s="399" t="str">
        <f t="shared" ca="1" si="56"/>
        <v/>
      </c>
      <c r="K413" s="386" t="str">
        <f t="shared" ca="1" si="57"/>
        <v/>
      </c>
      <c r="L413" s="388">
        <f ca="1">IFERROR(CHOOSE(E413,'Outcome Indicators - Section C '!$K$7,'Outcome Indicators - Section C '!$O$7,'Outcome Indicators - Section C '!$S$7,'Outcome Indicators - Section C '!$W$7,'Outcome Indicators - Section C '!#REF!),"")</f>
        <v>2025</v>
      </c>
      <c r="M413" s="396">
        <f t="shared" ca="1" si="58"/>
        <v>46023</v>
      </c>
      <c r="N413" s="388" t="str">
        <f t="shared" ca="1" si="59"/>
        <v>TBD</v>
      </c>
    </row>
    <row r="414" spans="1:14" x14ac:dyDescent="0.3">
      <c r="A414" s="384" t="b">
        <f t="shared" ca="1" si="54"/>
        <v>0</v>
      </c>
      <c r="B414" s="394">
        <f t="shared" si="60"/>
        <v>-3</v>
      </c>
      <c r="C414" s="400" t="str">
        <f ca="1">IF(COUNTA(D$265:D413)=1,"",OFFSET(B412,-COUNTA(D$265:D413)+3,1))</f>
        <v>a1WDm000000bx17MAA</v>
      </c>
      <c r="D414" s="384"/>
      <c r="E414" s="384">
        <f t="shared" ca="1" si="61"/>
        <v>3</v>
      </c>
      <c r="F414" s="398">
        <f ca="1">IF(COUNTA(D$265:D413)=1,"",OFFSET(F412,-COUNTA(D$265:D413)+3,0))</f>
        <v>10</v>
      </c>
      <c r="G414" s="384"/>
      <c r="H414" s="384">
        <f t="shared" ca="1" si="62"/>
        <v>27</v>
      </c>
      <c r="I414" s="389" t="str">
        <f t="shared" ca="1" si="55"/>
        <v/>
      </c>
      <c r="J414" s="399" t="str">
        <f t="shared" ca="1" si="56"/>
        <v/>
      </c>
      <c r="K414" s="386" t="str">
        <f t="shared" ca="1" si="57"/>
        <v/>
      </c>
      <c r="L414" s="388">
        <f ca="1">IFERROR(CHOOSE(E414,'Outcome Indicators - Section C '!$K$7,'Outcome Indicators - Section C '!$O$7,'Outcome Indicators - Section C '!$S$7,'Outcome Indicators - Section C '!$W$7,'Outcome Indicators - Section C '!#REF!),"")</f>
        <v>2026</v>
      </c>
      <c r="M414" s="396" t="str">
        <f t="shared" ca="1" si="58"/>
        <v/>
      </c>
      <c r="N414" s="388" t="str">
        <f t="shared" ca="1" si="59"/>
        <v/>
      </c>
    </row>
    <row r="415" spans="1:14" x14ac:dyDescent="0.3">
      <c r="A415" s="384" t="b">
        <f t="shared" ca="1" si="54"/>
        <v>0</v>
      </c>
      <c r="B415" s="394">
        <f t="shared" si="60"/>
        <v>-2</v>
      </c>
      <c r="C415" s="400" t="str">
        <f ca="1">IF(COUNTA(D$265:D414)=1,"",OFFSET(B413,-COUNTA(D$265:D414)+3,1))</f>
        <v>a1WDm000000bx1MMAQ</v>
      </c>
      <c r="D415" s="384"/>
      <c r="E415" s="384">
        <f t="shared" ca="1" si="61"/>
        <v>4</v>
      </c>
      <c r="F415" s="398">
        <f ca="1">IF(COUNTA(D$265:D414)=1,"",OFFSET(F413,-COUNTA(D$265:D414)+3,0))</f>
        <v>10</v>
      </c>
      <c r="G415" s="384"/>
      <c r="H415" s="384">
        <f t="shared" ca="1" si="62"/>
        <v>27</v>
      </c>
      <c r="I415" s="389" t="str">
        <f t="shared" ca="1" si="55"/>
        <v/>
      </c>
      <c r="J415" s="399" t="str">
        <f t="shared" ca="1" si="56"/>
        <v/>
      </c>
      <c r="K415" s="386" t="str">
        <f t="shared" ca="1" si="57"/>
        <v/>
      </c>
      <c r="L415" s="388" t="str">
        <f ca="1">IFERROR(CHOOSE(E415,'Outcome Indicators - Section C '!$K$7,'Outcome Indicators - Section C '!$O$7,'Outcome Indicators - Section C '!$S$7,'Outcome Indicators - Section C '!$W$7,'Outcome Indicators - Section C '!#REF!),"")</f>
        <v/>
      </c>
      <c r="M415" s="396" t="str">
        <f t="shared" ca="1" si="58"/>
        <v/>
      </c>
      <c r="N415" s="388" t="str">
        <f t="shared" ca="1" si="59"/>
        <v/>
      </c>
    </row>
    <row r="416" spans="1:14" x14ac:dyDescent="0.3">
      <c r="A416" s="384" t="b">
        <f t="shared" ca="1" si="54"/>
        <v>0</v>
      </c>
      <c r="B416" s="394">
        <f t="shared" si="60"/>
        <v>-1</v>
      </c>
      <c r="C416" s="400" t="str">
        <f ca="1">IF(COUNTA(D$265:D415)=1,"",OFFSET(B414,-COUNTA(D$265:D415)+3,1))</f>
        <v>a1WDm000000bx1bMAA</v>
      </c>
      <c r="D416" s="384"/>
      <c r="E416" s="384">
        <f t="shared" ca="1" si="61"/>
        <v>5</v>
      </c>
      <c r="F416" s="398">
        <f ca="1">IF(COUNTA(D$265:D415)=1,"",OFFSET(F414,-COUNTA(D$265:D415)+3,0))</f>
        <v>10</v>
      </c>
      <c r="G416" s="384"/>
      <c r="H416" s="384">
        <f t="shared" ca="1" si="62"/>
        <v>27</v>
      </c>
      <c r="I416" s="389" t="str">
        <f t="shared" ca="1" si="55"/>
        <v/>
      </c>
      <c r="J416" s="399" t="str">
        <f t="shared" ca="1" si="56"/>
        <v/>
      </c>
      <c r="K416" s="386" t="str">
        <f t="shared" ca="1" si="57"/>
        <v/>
      </c>
      <c r="L416" s="388" t="str">
        <f ca="1">IFERROR(CHOOSE(E416,'Outcome Indicators - Section C '!$K$7,'Outcome Indicators - Section C '!$O$7,'Outcome Indicators - Section C '!$S$7,'Outcome Indicators - Section C '!$W$7,'Outcome Indicators - Section C '!#REF!),"")</f>
        <v/>
      </c>
      <c r="M416" s="396" t="str">
        <f t="shared" ca="1" si="58"/>
        <v/>
      </c>
      <c r="N416" s="388" t="str">
        <f t="shared" ca="1" si="59"/>
        <v/>
      </c>
    </row>
    <row r="417" spans="1:14" x14ac:dyDescent="0.3">
      <c r="A417" s="384" t="b">
        <f t="shared" ca="1" si="54"/>
        <v>0</v>
      </c>
      <c r="B417" s="394">
        <f t="shared" si="60"/>
        <v>0</v>
      </c>
      <c r="C417" s="400" t="str">
        <f ca="1">IF(COUNTA(D$265:D416)=1,"",OFFSET(B415,-COUNTA(D$265:D416)+3,1))</f>
        <v>a1WDm000000bx1qMAA</v>
      </c>
      <c r="D417" s="384"/>
      <c r="E417" s="384">
        <f t="shared" ca="1" si="61"/>
        <v>6</v>
      </c>
      <c r="F417" s="398">
        <f ca="1">IF(COUNTA(D$265:D416)=1,"",OFFSET(F415,-COUNTA(D$265:D416)+3,0))</f>
        <v>10</v>
      </c>
      <c r="G417" s="384"/>
      <c r="H417" s="384">
        <f t="shared" ca="1" si="62"/>
        <v>27</v>
      </c>
      <c r="I417" s="389" t="str">
        <f t="shared" ca="1" si="55"/>
        <v/>
      </c>
      <c r="J417" s="399" t="str">
        <f t="shared" ca="1" si="56"/>
        <v/>
      </c>
      <c r="K417" s="386" t="str">
        <f t="shared" ca="1" si="57"/>
        <v/>
      </c>
      <c r="L417" s="388" t="str">
        <f ca="1">IFERROR(CHOOSE(E417,'Outcome Indicators - Section C '!$K$7,'Outcome Indicators - Section C '!$O$7,'Outcome Indicators - Section C '!$S$7,'Outcome Indicators - Section C '!$W$7,'Outcome Indicators - Section C '!#REF!),"")</f>
        <v/>
      </c>
      <c r="M417" s="396" t="str">
        <f t="shared" ca="1" si="58"/>
        <v/>
      </c>
      <c r="N417" s="388" t="str">
        <f t="shared" ca="1" si="59"/>
        <v/>
      </c>
    </row>
    <row r="418" spans="1:14" x14ac:dyDescent="0.3">
      <c r="A418" s="384" t="b">
        <f t="shared" ca="1" si="54"/>
        <v>0</v>
      </c>
      <c r="B418" s="394">
        <f t="shared" si="60"/>
        <v>1</v>
      </c>
      <c r="C418" s="400" t="str">
        <f ca="1">IF(COUNTA(D$265:D417)=1,"",OFFSET(B416,-COUNTA(D$265:D417)+3,1))</f>
        <v>a1WDm000000bx0eMAA</v>
      </c>
      <c r="D418" s="384"/>
      <c r="E418" s="384">
        <f t="shared" ca="1" si="61"/>
        <v>1</v>
      </c>
      <c r="F418" s="398">
        <f ca="1">IF(COUNTA(D$265:D417)=1,"",OFFSET(F416,-COUNTA(D$265:D417)+3,0))</f>
        <v>11</v>
      </c>
      <c r="G418" s="384"/>
      <c r="H418" s="384">
        <f t="shared" ca="1" si="62"/>
        <v>29</v>
      </c>
      <c r="I418" s="389" t="str">
        <f t="shared" ca="1" si="55"/>
        <v/>
      </c>
      <c r="J418" s="399" t="str">
        <f t="shared" ca="1" si="56"/>
        <v/>
      </c>
      <c r="K418" s="386" t="str">
        <f t="shared" ca="1" si="57"/>
        <v/>
      </c>
      <c r="L418" s="388">
        <f ca="1">IFERROR(CHOOSE(E418,'Outcome Indicators - Section C '!$K$7,'Outcome Indicators - Section C '!$O$7,'Outcome Indicators - Section C '!$S$7,'Outcome Indicators - Section C '!$W$7,'Outcome Indicators - Section C '!#REF!),"")</f>
        <v>2024</v>
      </c>
      <c r="M418" s="396" t="str">
        <f t="shared" ca="1" si="58"/>
        <v/>
      </c>
      <c r="N418" s="388" t="str">
        <f t="shared" ca="1" si="59"/>
        <v/>
      </c>
    </row>
    <row r="419" spans="1:14" x14ac:dyDescent="0.3">
      <c r="A419" s="384" t="b">
        <f t="shared" ca="1" si="54"/>
        <v>0</v>
      </c>
      <c r="B419" s="394">
        <f t="shared" si="60"/>
        <v>2</v>
      </c>
      <c r="C419" s="400" t="str">
        <f ca="1">IF(COUNTA(D$265:D418)=1,"",OFFSET(B417,-COUNTA(D$265:D418)+3,1))</f>
        <v>a1WDm000000bx0tMAA</v>
      </c>
      <c r="D419" s="384"/>
      <c r="E419" s="384">
        <f t="shared" ca="1" si="61"/>
        <v>2</v>
      </c>
      <c r="F419" s="398">
        <f ca="1">IF(COUNTA(D$265:D418)=1,"",OFFSET(F417,-COUNTA(D$265:D418)+3,0))</f>
        <v>11</v>
      </c>
      <c r="G419" s="384"/>
      <c r="H419" s="384">
        <f t="shared" ca="1" si="62"/>
        <v>29</v>
      </c>
      <c r="I419" s="389" t="str">
        <f t="shared" ca="1" si="55"/>
        <v/>
      </c>
      <c r="J419" s="399" t="str">
        <f t="shared" ca="1" si="56"/>
        <v/>
      </c>
      <c r="K419" s="386" t="str">
        <f t="shared" ca="1" si="57"/>
        <v/>
      </c>
      <c r="L419" s="388">
        <f ca="1">IFERROR(CHOOSE(E419,'Outcome Indicators - Section C '!$K$7,'Outcome Indicators - Section C '!$O$7,'Outcome Indicators - Section C '!$S$7,'Outcome Indicators - Section C '!$W$7,'Outcome Indicators - Section C '!#REF!),"")</f>
        <v>2025</v>
      </c>
      <c r="M419" s="396" t="str">
        <f t="shared" ca="1" si="58"/>
        <v/>
      </c>
      <c r="N419" s="388" t="str">
        <f t="shared" ca="1" si="59"/>
        <v/>
      </c>
    </row>
    <row r="420" spans="1:14" x14ac:dyDescent="0.3">
      <c r="A420" s="384" t="b">
        <f t="shared" ca="1" si="54"/>
        <v>0</v>
      </c>
      <c r="B420" s="394">
        <f t="shared" si="60"/>
        <v>3</v>
      </c>
      <c r="C420" s="400" t="str">
        <f ca="1">IF(COUNTA(D$265:D419)=1,"",OFFSET(B418,-COUNTA(D$265:D419)+3,1))</f>
        <v>a1WDm000000bx18MAA</v>
      </c>
      <c r="D420" s="384"/>
      <c r="E420" s="384">
        <f t="shared" ca="1" si="61"/>
        <v>3</v>
      </c>
      <c r="F420" s="398">
        <f ca="1">IF(COUNTA(D$265:D419)=1,"",OFFSET(F418,-COUNTA(D$265:D419)+3,0))</f>
        <v>11</v>
      </c>
      <c r="G420" s="384"/>
      <c r="H420" s="384">
        <f t="shared" ca="1" si="62"/>
        <v>29</v>
      </c>
      <c r="I420" s="389" t="str">
        <f t="shared" ca="1" si="55"/>
        <v/>
      </c>
      <c r="J420" s="399" t="str">
        <f t="shared" ca="1" si="56"/>
        <v/>
      </c>
      <c r="K420" s="386" t="str">
        <f t="shared" ca="1" si="57"/>
        <v/>
      </c>
      <c r="L420" s="388">
        <f ca="1">IFERROR(CHOOSE(E420,'Outcome Indicators - Section C '!$K$7,'Outcome Indicators - Section C '!$O$7,'Outcome Indicators - Section C '!$S$7,'Outcome Indicators - Section C '!$W$7,'Outcome Indicators - Section C '!#REF!),"")</f>
        <v>2026</v>
      </c>
      <c r="M420" s="396" t="str">
        <f t="shared" ca="1" si="58"/>
        <v/>
      </c>
      <c r="N420" s="388" t="str">
        <f t="shared" ca="1" si="59"/>
        <v/>
      </c>
    </row>
    <row r="421" spans="1:14" x14ac:dyDescent="0.3">
      <c r="A421" s="384" t="b">
        <f t="shared" ca="1" si="54"/>
        <v>0</v>
      </c>
      <c r="B421" s="394">
        <f t="shared" si="60"/>
        <v>4</v>
      </c>
      <c r="C421" s="400" t="str">
        <f ca="1">IF(COUNTA(D$265:D420)=1,"",OFFSET(B419,-COUNTA(D$265:D420)+3,1))</f>
        <v>a1WDm000000bx1NMAQ</v>
      </c>
      <c r="D421" s="384"/>
      <c r="E421" s="384">
        <f t="shared" ca="1" si="61"/>
        <v>4</v>
      </c>
      <c r="F421" s="398">
        <f ca="1">IF(COUNTA(D$265:D420)=1,"",OFFSET(F419,-COUNTA(D$265:D420)+3,0))</f>
        <v>11</v>
      </c>
      <c r="G421" s="384"/>
      <c r="H421" s="384">
        <f t="shared" ca="1" si="62"/>
        <v>29</v>
      </c>
      <c r="I421" s="389" t="str">
        <f t="shared" ca="1" si="55"/>
        <v/>
      </c>
      <c r="J421" s="399" t="str">
        <f t="shared" ca="1" si="56"/>
        <v/>
      </c>
      <c r="K421" s="386" t="str">
        <f t="shared" ca="1" si="57"/>
        <v/>
      </c>
      <c r="L421" s="388" t="str">
        <f ca="1">IFERROR(CHOOSE(E421,'Outcome Indicators - Section C '!$K$7,'Outcome Indicators - Section C '!$O$7,'Outcome Indicators - Section C '!$S$7,'Outcome Indicators - Section C '!$W$7,'Outcome Indicators - Section C '!#REF!),"")</f>
        <v/>
      </c>
      <c r="M421" s="396" t="str">
        <f t="shared" ca="1" si="58"/>
        <v/>
      </c>
      <c r="N421" s="388" t="str">
        <f t="shared" ca="1" si="59"/>
        <v/>
      </c>
    </row>
    <row r="422" spans="1:14" x14ac:dyDescent="0.3">
      <c r="A422" s="384" t="b">
        <f t="shared" ref="A422:A447" ca="1" si="63">IF(OR(I422&lt;&gt;"",J422&lt;&gt;"",K422&lt;&gt;"",M422&lt;&gt;"",N422&lt;&gt;""),TRUE,FALSE)</f>
        <v>0</v>
      </c>
      <c r="B422" s="394">
        <f t="shared" si="60"/>
        <v>5</v>
      </c>
      <c r="C422" s="400" t="str">
        <f ca="1">IF(COUNTA(D$265:D421)=1,"",OFFSET(B420,-COUNTA(D$265:D421)+3,1))</f>
        <v>a1WDm000000bx1cMAA</v>
      </c>
      <c r="D422" s="384"/>
      <c r="E422" s="384">
        <f t="shared" ca="1" si="61"/>
        <v>5</v>
      </c>
      <c r="F422" s="398">
        <f ca="1">IF(COUNTA(D$265:D421)=1,"",OFFSET(F420,-COUNTA(D$265:D421)+3,0))</f>
        <v>11</v>
      </c>
      <c r="G422" s="384"/>
      <c r="H422" s="384">
        <f t="shared" ca="1" si="62"/>
        <v>29</v>
      </c>
      <c r="I422" s="389" t="str">
        <f t="shared" ref="I422:I447" ca="1" si="64">IFERROR(CHOOSE(E422,IFERROR(IF(INDIRECT("'Outcome Indicators - Section C '!K"&amp;H422+1)="","",INDIRECT("'Outcome Indicators - Section C '!K"&amp;H422+1)),""),IFERROR(IF(INDIRECT("'Outcome Indicators - Section C '!O"&amp;H422+1)="","",INDIRECT("'Outcome Indicators - Section C '!O"&amp;H422+1)),""),IFERROR(IF(INDIRECT("'Outcome Indicators - Section C '!S"&amp;H422+1)="","",INDIRECT("'Outcome Indicators - Section C '!S"&amp;H422+1)),""),IFERROR(IF(INDIRECT("'Outcome Indicators - Section C '!W"&amp;H422+1)="","",INDIRECT("'Outcome Indicators - Section C '!W"&amp;H422+1)),"")),"")</f>
        <v/>
      </c>
      <c r="J422" s="399" t="str">
        <f t="shared" ref="J422:J447" ca="1" si="65">IFERROR(CHOOSE(E422,IFERROR(IF(INDIRECT("'Outcome Indicators - Section C '!K"&amp;H422)="","",INDIRECT("'Outcome Indicators - Section C '!K"&amp;H422)),""),IFERROR(IF(INDIRECT("'Outcome Indicators - Section C '!O"&amp;H422)="","",INDIRECT("'Outcome Indicators - Section C '!O"&amp;H422)),""),IFERROR(IF(INDIRECT("'Outcome Indicators - Section C '!S"&amp;H422)="","",INDIRECT("'Outcome Indicators - Section C '!S"&amp;H422)),""),IFERROR(IF(INDIRECT("'Outcome Indicators - Section C '!W"&amp;H422)="","",INDIRECT("'Outcome Indicators - Section C '!W"&amp;H422)),"")),"")</f>
        <v/>
      </c>
      <c r="K422" s="386" t="str">
        <f t="shared" ref="K422:K447" ca="1" si="66">IFERROR(CHOOSE(E422,IFERROR(IF(INDIRECT("'Outcome Indicators - Section C '!L"&amp;H422)="","",INDIRECT("'Outcome Indicators - Section C '!L"&amp;H422)*100),""),IFERROR(IF(INDIRECT("'Outcome Indicators - Section C '!P"&amp;H422)="","",INDIRECT("'Outcome Indicators - Section C '!P"&amp;H422)*100),""),IFERROR(IF(INDIRECT("'Outcome Indicators - Section C '!T"&amp;H422)="","",INDIRECT("'Outcome Indicators - Section C '!T"&amp;H422)*100),""),IFERROR(IF(INDIRECT("'Outcome Indicators - Section C '!X"&amp;H422)="","",INDIRECT("'Outcome Indicators - Section C '!X"&amp;H422)*100),"")),"")</f>
        <v/>
      </c>
      <c r="L422" s="388" t="str">
        <f ca="1">IFERROR(CHOOSE(E422,'Outcome Indicators - Section C '!$K$7,'Outcome Indicators - Section C '!$O$7,'Outcome Indicators - Section C '!$S$7,'Outcome Indicators - Section C '!$W$7,'Outcome Indicators - Section C '!#REF!),"")</f>
        <v/>
      </c>
      <c r="M422" s="396" t="str">
        <f t="shared" ref="M422:M447" ca="1" si="67">IFERROR(CHOOSE(E422,IFERROR(IF(INDIRECT("'Outcome Indicators - Section C '!M"&amp;H422)="","",INDIRECT("'Outcome Indicators - Section C '!M"&amp;H422)),""),IFERROR(IF(INDIRECT("'Outcome Indicators - Section C '!Q"&amp;H422)="","",INDIRECT("'Outcome Indicators - Section C '!Q"&amp;H422)),""),IFERROR(IF(INDIRECT("'Outcome Indicators - Section C '!U"&amp;H422)="","",INDIRECT("'Outcome Indicators - Section C '!U"&amp;H422)),""),IFERROR(IF(INDIRECT("'Outcome Indicators - Section C '!Y"&amp;H422)="","",INDIRECT("'Outcome Indicators - Section C '!Y"&amp;H422)),"")),"")</f>
        <v/>
      </c>
      <c r="N422" s="388" t="str">
        <f t="shared" ref="N422:N447" ca="1" si="68">IF(IFERROR(CHOOSE(E422,IFERROR(IF(INDIRECT("'Outcome Indicators - Section C '!N"&amp;H422)=0,"",INDIRECT("'Outcome Indicators - Section C '!N"&amp;H422)),""),IFERROR(IF(INDIRECT("'Outcome Indicators - Section C '!R"&amp;H422)=0,"",INDIRECT("'Outcome Indicators - Section C '!R"&amp;H422)),""),IFERROR(IF(INDIRECT("'Outcome Indicators - Section C '!V"&amp;H422)=0,"",INDIRECT("'Outcome Indicators - Section C '!V"&amp;H422)),""),IFERROR(IF(INDIRECT("'Outcome Indicators - Section C '!Z"&amp;H422)=0,"",INDIRECT("'Outcome Indicators - Section C '!Z"&amp;H422)),""),),"")=0,"",IFERROR(CHOOSE(E422,IFERROR(IF(INDIRECT("'Outcome Indicators - Section C '!N"&amp;H422)=0,"",INDIRECT("'Outcome Indicators - Section C '!N"&amp;H422)),""),IFERROR(IF(INDIRECT("'Outcome Indicators - Section C '!R"&amp;H422)=0,"",INDIRECT("'Outcome Indicators - Section C '!R"&amp;H422)),""),IFERROR(IF(INDIRECT("'Outcome Indicators - Section C '!V"&amp;H422)=0,"",INDIRECT("'Outcome Indicators - Section C '!V"&amp;H422)),""),IFERROR(IF(INDIRECT("'Outcome Indicators - Section C '!Z"&amp;H422)=0,"",INDIRECT("'Outcome Indicators - Section C '!Z"&amp;H422)),""),),""))</f>
        <v/>
      </c>
    </row>
    <row r="423" spans="1:14" x14ac:dyDescent="0.3">
      <c r="A423" s="384" t="b">
        <f t="shared" ca="1" si="63"/>
        <v>0</v>
      </c>
      <c r="B423" s="394">
        <f t="shared" si="60"/>
        <v>6</v>
      </c>
      <c r="C423" s="400" t="str">
        <f ca="1">IF(COUNTA(D$265:D422)=1,"",OFFSET(B421,-COUNTA(D$265:D422)+3,1))</f>
        <v>a1WDm000000bx1rMAA</v>
      </c>
      <c r="D423" s="384"/>
      <c r="E423" s="384">
        <f t="shared" ca="1" si="61"/>
        <v>6</v>
      </c>
      <c r="F423" s="398">
        <f ca="1">IF(COUNTA(D$265:D422)=1,"",OFFSET(F421,-COUNTA(D$265:D422)+3,0))</f>
        <v>11</v>
      </c>
      <c r="G423" s="384"/>
      <c r="H423" s="384">
        <f t="shared" ca="1" si="62"/>
        <v>29</v>
      </c>
      <c r="I423" s="389" t="str">
        <f t="shared" ca="1" si="64"/>
        <v/>
      </c>
      <c r="J423" s="399" t="str">
        <f t="shared" ca="1" si="65"/>
        <v/>
      </c>
      <c r="K423" s="386" t="str">
        <f t="shared" ca="1" si="66"/>
        <v/>
      </c>
      <c r="L423" s="388" t="str">
        <f ca="1">IFERROR(CHOOSE(E423,'Outcome Indicators - Section C '!$K$7,'Outcome Indicators - Section C '!$O$7,'Outcome Indicators - Section C '!$S$7,'Outcome Indicators - Section C '!$W$7,'Outcome Indicators - Section C '!#REF!),"")</f>
        <v/>
      </c>
      <c r="M423" s="396" t="str">
        <f t="shared" ca="1" si="67"/>
        <v/>
      </c>
      <c r="N423" s="388" t="str">
        <f t="shared" ca="1" si="68"/>
        <v/>
      </c>
    </row>
    <row r="424" spans="1:14" x14ac:dyDescent="0.3">
      <c r="A424" s="384" t="b">
        <f t="shared" ca="1" si="63"/>
        <v>0</v>
      </c>
      <c r="B424" s="394">
        <f t="shared" si="60"/>
        <v>7</v>
      </c>
      <c r="C424" s="400" t="str">
        <f ca="1">IF(COUNTA(D$265:D423)=1,"",OFFSET(B422,-COUNTA(D$265:D423)+3,1))</f>
        <v>a1WDm000000bx0fMAA</v>
      </c>
      <c r="D424" s="384"/>
      <c r="E424" s="384">
        <f t="shared" ca="1" si="61"/>
        <v>1</v>
      </c>
      <c r="F424" s="398">
        <f ca="1">IF(COUNTA(D$265:D423)=1,"",OFFSET(F422,-COUNTA(D$265:D423)+3,0))</f>
        <v>12</v>
      </c>
      <c r="G424" s="384"/>
      <c r="H424" s="384">
        <f t="shared" ca="1" si="62"/>
        <v>31</v>
      </c>
      <c r="I424" s="389" t="str">
        <f t="shared" ca="1" si="64"/>
        <v/>
      </c>
      <c r="J424" s="399" t="str">
        <f t="shared" ca="1" si="65"/>
        <v/>
      </c>
      <c r="K424" s="386" t="str">
        <f t="shared" ca="1" si="66"/>
        <v/>
      </c>
      <c r="L424" s="388">
        <f ca="1">IFERROR(CHOOSE(E424,'Outcome Indicators - Section C '!$K$7,'Outcome Indicators - Section C '!$O$7,'Outcome Indicators - Section C '!$S$7,'Outcome Indicators - Section C '!$W$7,'Outcome Indicators - Section C '!#REF!),"")</f>
        <v>2024</v>
      </c>
      <c r="M424" s="396" t="str">
        <f t="shared" ca="1" si="67"/>
        <v/>
      </c>
      <c r="N424" s="388" t="str">
        <f t="shared" ca="1" si="68"/>
        <v/>
      </c>
    </row>
    <row r="425" spans="1:14" x14ac:dyDescent="0.3">
      <c r="A425" s="384" t="b">
        <f t="shared" ca="1" si="63"/>
        <v>0</v>
      </c>
      <c r="B425" s="394">
        <f t="shared" si="60"/>
        <v>8</v>
      </c>
      <c r="C425" s="400" t="str">
        <f ca="1">IF(COUNTA(D$265:D424)=1,"",OFFSET(B423,-COUNTA(D$265:D424)+3,1))</f>
        <v>a1WDm000000bx0uMAA</v>
      </c>
      <c r="D425" s="384"/>
      <c r="E425" s="384">
        <f t="shared" ca="1" si="61"/>
        <v>2</v>
      </c>
      <c r="F425" s="398">
        <f ca="1">IF(COUNTA(D$265:D424)=1,"",OFFSET(F423,-COUNTA(D$265:D424)+3,0))</f>
        <v>12</v>
      </c>
      <c r="G425" s="384"/>
      <c r="H425" s="384">
        <f t="shared" ca="1" si="62"/>
        <v>31</v>
      </c>
      <c r="I425" s="389" t="str">
        <f t="shared" ca="1" si="64"/>
        <v/>
      </c>
      <c r="J425" s="399" t="str">
        <f t="shared" ca="1" si="65"/>
        <v/>
      </c>
      <c r="K425" s="386" t="str">
        <f t="shared" ca="1" si="66"/>
        <v/>
      </c>
      <c r="L425" s="388">
        <f ca="1">IFERROR(CHOOSE(E425,'Outcome Indicators - Section C '!$K$7,'Outcome Indicators - Section C '!$O$7,'Outcome Indicators - Section C '!$S$7,'Outcome Indicators - Section C '!$W$7,'Outcome Indicators - Section C '!#REF!),"")</f>
        <v>2025</v>
      </c>
      <c r="M425" s="396" t="str">
        <f t="shared" ca="1" si="67"/>
        <v/>
      </c>
      <c r="N425" s="388" t="str">
        <f t="shared" ca="1" si="68"/>
        <v/>
      </c>
    </row>
    <row r="426" spans="1:14" x14ac:dyDescent="0.3">
      <c r="A426" s="384" t="b">
        <f t="shared" ca="1" si="63"/>
        <v>0</v>
      </c>
      <c r="B426" s="394">
        <f t="shared" si="60"/>
        <v>9</v>
      </c>
      <c r="C426" s="400" t="str">
        <f ca="1">IF(COUNTA(D$265:D425)=1,"",OFFSET(B424,-COUNTA(D$265:D425)+3,1))</f>
        <v>a1WDm000000bx19MAA</v>
      </c>
      <c r="D426" s="384"/>
      <c r="E426" s="384">
        <f t="shared" ca="1" si="61"/>
        <v>3</v>
      </c>
      <c r="F426" s="398">
        <f ca="1">IF(COUNTA(D$265:D425)=1,"",OFFSET(F424,-COUNTA(D$265:D425)+3,0))</f>
        <v>12</v>
      </c>
      <c r="G426" s="384"/>
      <c r="H426" s="384">
        <f t="shared" ca="1" si="62"/>
        <v>31</v>
      </c>
      <c r="I426" s="389" t="str">
        <f t="shared" ca="1" si="64"/>
        <v/>
      </c>
      <c r="J426" s="399" t="str">
        <f t="shared" ca="1" si="65"/>
        <v/>
      </c>
      <c r="K426" s="386" t="str">
        <f t="shared" ca="1" si="66"/>
        <v/>
      </c>
      <c r="L426" s="388">
        <f ca="1">IFERROR(CHOOSE(E426,'Outcome Indicators - Section C '!$K$7,'Outcome Indicators - Section C '!$O$7,'Outcome Indicators - Section C '!$S$7,'Outcome Indicators - Section C '!$W$7,'Outcome Indicators - Section C '!#REF!),"")</f>
        <v>2026</v>
      </c>
      <c r="M426" s="396" t="str">
        <f t="shared" ca="1" si="67"/>
        <v/>
      </c>
      <c r="N426" s="388" t="str">
        <f t="shared" ca="1" si="68"/>
        <v/>
      </c>
    </row>
    <row r="427" spans="1:14" x14ac:dyDescent="0.3">
      <c r="A427" s="384" t="b">
        <f t="shared" ca="1" si="63"/>
        <v>0</v>
      </c>
      <c r="B427" s="394">
        <f t="shared" si="60"/>
        <v>10</v>
      </c>
      <c r="C427" s="400" t="str">
        <f ca="1">IF(COUNTA(D$265:D426)=1,"",OFFSET(B425,-COUNTA(D$265:D426)+3,1))</f>
        <v>a1WDm000000bx1OMAQ</v>
      </c>
      <c r="D427" s="384"/>
      <c r="E427" s="384">
        <f t="shared" ca="1" si="61"/>
        <v>4</v>
      </c>
      <c r="F427" s="398">
        <f ca="1">IF(COUNTA(D$265:D426)=1,"",OFFSET(F425,-COUNTA(D$265:D426)+3,0))</f>
        <v>12</v>
      </c>
      <c r="G427" s="384"/>
      <c r="H427" s="384">
        <f t="shared" ca="1" si="62"/>
        <v>31</v>
      </c>
      <c r="I427" s="389" t="str">
        <f t="shared" ca="1" si="64"/>
        <v/>
      </c>
      <c r="J427" s="399" t="str">
        <f t="shared" ca="1" si="65"/>
        <v/>
      </c>
      <c r="K427" s="386" t="str">
        <f t="shared" ca="1" si="66"/>
        <v/>
      </c>
      <c r="L427" s="388" t="str">
        <f ca="1">IFERROR(CHOOSE(E427,'Outcome Indicators - Section C '!$K$7,'Outcome Indicators - Section C '!$O$7,'Outcome Indicators - Section C '!$S$7,'Outcome Indicators - Section C '!$W$7,'Outcome Indicators - Section C '!#REF!),"")</f>
        <v/>
      </c>
      <c r="M427" s="396" t="str">
        <f t="shared" ca="1" si="67"/>
        <v/>
      </c>
      <c r="N427" s="388" t="str">
        <f t="shared" ca="1" si="68"/>
        <v/>
      </c>
    </row>
    <row r="428" spans="1:14" x14ac:dyDescent="0.3">
      <c r="A428" s="384" t="b">
        <f t="shared" ca="1" si="63"/>
        <v>0</v>
      </c>
      <c r="B428" s="394">
        <f t="shared" si="60"/>
        <v>11</v>
      </c>
      <c r="C428" s="400" t="str">
        <f ca="1">IF(COUNTA(D$265:D427)=1,"",OFFSET(B426,-COUNTA(D$265:D427)+3,1))</f>
        <v>a1WDm000000bx1dMAA</v>
      </c>
      <c r="D428" s="384"/>
      <c r="E428" s="384">
        <f t="shared" ca="1" si="61"/>
        <v>5</v>
      </c>
      <c r="F428" s="398">
        <f ca="1">IF(COUNTA(D$265:D427)=1,"",OFFSET(F426,-COUNTA(D$265:D427)+3,0))</f>
        <v>12</v>
      </c>
      <c r="G428" s="384"/>
      <c r="H428" s="384">
        <f t="shared" ca="1" si="62"/>
        <v>31</v>
      </c>
      <c r="I428" s="389" t="str">
        <f t="shared" ca="1" si="64"/>
        <v/>
      </c>
      <c r="J428" s="399" t="str">
        <f t="shared" ca="1" si="65"/>
        <v/>
      </c>
      <c r="K428" s="386" t="str">
        <f t="shared" ca="1" si="66"/>
        <v/>
      </c>
      <c r="L428" s="388" t="str">
        <f ca="1">IFERROR(CHOOSE(E428,'Outcome Indicators - Section C '!$K$7,'Outcome Indicators - Section C '!$O$7,'Outcome Indicators - Section C '!$S$7,'Outcome Indicators - Section C '!$W$7,'Outcome Indicators - Section C '!#REF!),"")</f>
        <v/>
      </c>
      <c r="M428" s="396" t="str">
        <f t="shared" ca="1" si="67"/>
        <v/>
      </c>
      <c r="N428" s="388" t="str">
        <f t="shared" ca="1" si="68"/>
        <v/>
      </c>
    </row>
    <row r="429" spans="1:14" x14ac:dyDescent="0.3">
      <c r="A429" s="384" t="b">
        <f t="shared" ca="1" si="63"/>
        <v>0</v>
      </c>
      <c r="B429" s="394">
        <f t="shared" si="60"/>
        <v>12</v>
      </c>
      <c r="C429" s="400" t="str">
        <f ca="1">IF(COUNTA(D$265:D428)=1,"",OFFSET(B427,-COUNTA(D$265:D428)+3,1))</f>
        <v>a1WDm000000bx1sMAA</v>
      </c>
      <c r="D429" s="384"/>
      <c r="E429" s="384">
        <f t="shared" ca="1" si="61"/>
        <v>6</v>
      </c>
      <c r="F429" s="398">
        <f ca="1">IF(COUNTA(D$265:D428)=1,"",OFFSET(F427,-COUNTA(D$265:D428)+3,0))</f>
        <v>12</v>
      </c>
      <c r="G429" s="384"/>
      <c r="H429" s="384">
        <f t="shared" ca="1" si="62"/>
        <v>31</v>
      </c>
      <c r="I429" s="389" t="str">
        <f t="shared" ca="1" si="64"/>
        <v/>
      </c>
      <c r="J429" s="399" t="str">
        <f t="shared" ca="1" si="65"/>
        <v/>
      </c>
      <c r="K429" s="386" t="str">
        <f t="shared" ca="1" si="66"/>
        <v/>
      </c>
      <c r="L429" s="388" t="str">
        <f ca="1">IFERROR(CHOOSE(E429,'Outcome Indicators - Section C '!$K$7,'Outcome Indicators - Section C '!$O$7,'Outcome Indicators - Section C '!$S$7,'Outcome Indicators - Section C '!$W$7,'Outcome Indicators - Section C '!#REF!),"")</f>
        <v/>
      </c>
      <c r="M429" s="396" t="str">
        <f t="shared" ca="1" si="67"/>
        <v/>
      </c>
      <c r="N429" s="388" t="str">
        <f t="shared" ca="1" si="68"/>
        <v/>
      </c>
    </row>
    <row r="430" spans="1:14" x14ac:dyDescent="0.3">
      <c r="A430" s="384" t="b">
        <f t="shared" ca="1" si="63"/>
        <v>0</v>
      </c>
      <c r="B430" s="394">
        <f t="shared" si="60"/>
        <v>13</v>
      </c>
      <c r="C430" s="400" t="str">
        <f ca="1">IF(COUNTA(D$265:D429)=1,"",OFFSET(B428,-COUNTA(D$265:D429)+3,1))</f>
        <v>a1WDm000000bx0gMAA</v>
      </c>
      <c r="D430" s="384"/>
      <c r="E430" s="384">
        <f t="shared" ca="1" si="61"/>
        <v>1</v>
      </c>
      <c r="F430" s="398">
        <f ca="1">IF(COUNTA(D$265:D429)=1,"",OFFSET(F428,-COUNTA(D$265:D429)+3,0))</f>
        <v>13</v>
      </c>
      <c r="G430" s="384"/>
      <c r="H430" s="384">
        <f t="shared" ca="1" si="62"/>
        <v>33</v>
      </c>
      <c r="I430" s="389" t="str">
        <f t="shared" ca="1" si="64"/>
        <v/>
      </c>
      <c r="J430" s="399" t="str">
        <f t="shared" ca="1" si="65"/>
        <v/>
      </c>
      <c r="K430" s="386" t="str">
        <f t="shared" ca="1" si="66"/>
        <v/>
      </c>
      <c r="L430" s="388">
        <f ca="1">IFERROR(CHOOSE(E430,'Outcome Indicators - Section C '!$K$7,'Outcome Indicators - Section C '!$O$7,'Outcome Indicators - Section C '!$S$7,'Outcome Indicators - Section C '!$W$7,'Outcome Indicators - Section C '!#REF!),"")</f>
        <v>2024</v>
      </c>
      <c r="M430" s="396" t="str">
        <f t="shared" ca="1" si="67"/>
        <v/>
      </c>
      <c r="N430" s="388" t="str">
        <f t="shared" ca="1" si="68"/>
        <v/>
      </c>
    </row>
    <row r="431" spans="1:14" x14ac:dyDescent="0.3">
      <c r="A431" s="384" t="b">
        <f t="shared" ca="1" si="63"/>
        <v>0</v>
      </c>
      <c r="B431" s="394">
        <f t="shared" si="60"/>
        <v>14</v>
      </c>
      <c r="C431" s="400" t="str">
        <f ca="1">IF(COUNTA(D$265:D430)=1,"",OFFSET(B429,-COUNTA(D$265:D430)+3,1))</f>
        <v>a1WDm000000bx0vMAA</v>
      </c>
      <c r="D431" s="384"/>
      <c r="E431" s="384">
        <f t="shared" ca="1" si="61"/>
        <v>2</v>
      </c>
      <c r="F431" s="398">
        <f ca="1">IF(COUNTA(D$265:D430)=1,"",OFFSET(F429,-COUNTA(D$265:D430)+3,0))</f>
        <v>13</v>
      </c>
      <c r="G431" s="384"/>
      <c r="H431" s="384">
        <f t="shared" ca="1" si="62"/>
        <v>33</v>
      </c>
      <c r="I431" s="389" t="str">
        <f t="shared" ca="1" si="64"/>
        <v/>
      </c>
      <c r="J431" s="399" t="str">
        <f t="shared" ca="1" si="65"/>
        <v/>
      </c>
      <c r="K431" s="386" t="str">
        <f t="shared" ca="1" si="66"/>
        <v/>
      </c>
      <c r="L431" s="388">
        <f ca="1">IFERROR(CHOOSE(E431,'Outcome Indicators - Section C '!$K$7,'Outcome Indicators - Section C '!$O$7,'Outcome Indicators - Section C '!$S$7,'Outcome Indicators - Section C '!$W$7,'Outcome Indicators - Section C '!#REF!),"")</f>
        <v>2025</v>
      </c>
      <c r="M431" s="396" t="str">
        <f t="shared" ca="1" si="67"/>
        <v/>
      </c>
      <c r="N431" s="388" t="str">
        <f t="shared" ca="1" si="68"/>
        <v/>
      </c>
    </row>
    <row r="432" spans="1:14" x14ac:dyDescent="0.3">
      <c r="A432" s="384" t="b">
        <f t="shared" ca="1" si="63"/>
        <v>0</v>
      </c>
      <c r="B432" s="394">
        <f t="shared" si="60"/>
        <v>15</v>
      </c>
      <c r="C432" s="400" t="str">
        <f ca="1">IF(COUNTA(D$265:D431)=1,"",OFFSET(B430,-COUNTA(D$265:D431)+3,1))</f>
        <v>a1WDm000000bx1AMAQ</v>
      </c>
      <c r="D432" s="384"/>
      <c r="E432" s="384">
        <f t="shared" ca="1" si="61"/>
        <v>3</v>
      </c>
      <c r="F432" s="398">
        <f ca="1">IF(COUNTA(D$265:D431)=1,"",OFFSET(F430,-COUNTA(D$265:D431)+3,0))</f>
        <v>13</v>
      </c>
      <c r="G432" s="384"/>
      <c r="H432" s="384">
        <f t="shared" ca="1" si="62"/>
        <v>33</v>
      </c>
      <c r="I432" s="389" t="str">
        <f t="shared" ca="1" si="64"/>
        <v/>
      </c>
      <c r="J432" s="399" t="str">
        <f t="shared" ca="1" si="65"/>
        <v/>
      </c>
      <c r="K432" s="386" t="str">
        <f t="shared" ca="1" si="66"/>
        <v/>
      </c>
      <c r="L432" s="388">
        <f ca="1">IFERROR(CHOOSE(E432,'Outcome Indicators - Section C '!$K$7,'Outcome Indicators - Section C '!$O$7,'Outcome Indicators - Section C '!$S$7,'Outcome Indicators - Section C '!$W$7,'Outcome Indicators - Section C '!#REF!),"")</f>
        <v>2026</v>
      </c>
      <c r="M432" s="396" t="str">
        <f t="shared" ca="1" si="67"/>
        <v/>
      </c>
      <c r="N432" s="388" t="str">
        <f t="shared" ca="1" si="68"/>
        <v/>
      </c>
    </row>
    <row r="433" spans="1:14" x14ac:dyDescent="0.3">
      <c r="A433" s="384" t="b">
        <f t="shared" ca="1" si="63"/>
        <v>0</v>
      </c>
      <c r="B433" s="394">
        <f t="shared" si="60"/>
        <v>16</v>
      </c>
      <c r="C433" s="400" t="str">
        <f ca="1">IF(COUNTA(D$265:D432)=1,"",OFFSET(B431,-COUNTA(D$265:D432)+3,1))</f>
        <v>a1WDm000000bx1PMAQ</v>
      </c>
      <c r="D433" s="384"/>
      <c r="E433" s="384">
        <f t="shared" ca="1" si="61"/>
        <v>4</v>
      </c>
      <c r="F433" s="398">
        <f ca="1">IF(COUNTA(D$265:D432)=1,"",OFFSET(F431,-COUNTA(D$265:D432)+3,0))</f>
        <v>13</v>
      </c>
      <c r="G433" s="384"/>
      <c r="H433" s="384">
        <f t="shared" ca="1" si="62"/>
        <v>33</v>
      </c>
      <c r="I433" s="389" t="str">
        <f t="shared" ca="1" si="64"/>
        <v/>
      </c>
      <c r="J433" s="399" t="str">
        <f t="shared" ca="1" si="65"/>
        <v/>
      </c>
      <c r="K433" s="386" t="str">
        <f t="shared" ca="1" si="66"/>
        <v/>
      </c>
      <c r="L433" s="388" t="str">
        <f ca="1">IFERROR(CHOOSE(E433,'Outcome Indicators - Section C '!$K$7,'Outcome Indicators - Section C '!$O$7,'Outcome Indicators - Section C '!$S$7,'Outcome Indicators - Section C '!$W$7,'Outcome Indicators - Section C '!#REF!),"")</f>
        <v/>
      </c>
      <c r="M433" s="396" t="str">
        <f t="shared" ca="1" si="67"/>
        <v/>
      </c>
      <c r="N433" s="388" t="str">
        <f t="shared" ca="1" si="68"/>
        <v/>
      </c>
    </row>
    <row r="434" spans="1:14" x14ac:dyDescent="0.3">
      <c r="A434" s="384" t="b">
        <f t="shared" ca="1" si="63"/>
        <v>0</v>
      </c>
      <c r="B434" s="394">
        <f t="shared" si="60"/>
        <v>17</v>
      </c>
      <c r="C434" s="400" t="str">
        <f ca="1">IF(COUNTA(D$265:D433)=1,"",OFFSET(B432,-COUNTA(D$265:D433)+3,1))</f>
        <v>a1WDm000000bx1eMAA</v>
      </c>
      <c r="D434" s="384"/>
      <c r="E434" s="384">
        <f t="shared" ca="1" si="61"/>
        <v>5</v>
      </c>
      <c r="F434" s="398">
        <f ca="1">IF(COUNTA(D$265:D433)=1,"",OFFSET(F432,-COUNTA(D$265:D433)+3,0))</f>
        <v>13</v>
      </c>
      <c r="G434" s="384"/>
      <c r="H434" s="384">
        <f t="shared" ca="1" si="62"/>
        <v>33</v>
      </c>
      <c r="I434" s="389" t="str">
        <f t="shared" ca="1" si="64"/>
        <v/>
      </c>
      <c r="J434" s="399" t="str">
        <f t="shared" ca="1" si="65"/>
        <v/>
      </c>
      <c r="K434" s="386" t="str">
        <f t="shared" ca="1" si="66"/>
        <v/>
      </c>
      <c r="L434" s="388" t="str">
        <f ca="1">IFERROR(CHOOSE(E434,'Outcome Indicators - Section C '!$K$7,'Outcome Indicators - Section C '!$O$7,'Outcome Indicators - Section C '!$S$7,'Outcome Indicators - Section C '!$W$7,'Outcome Indicators - Section C '!#REF!),"")</f>
        <v/>
      </c>
      <c r="M434" s="396" t="str">
        <f t="shared" ca="1" si="67"/>
        <v/>
      </c>
      <c r="N434" s="388" t="str">
        <f t="shared" ca="1" si="68"/>
        <v/>
      </c>
    </row>
    <row r="435" spans="1:14" x14ac:dyDescent="0.3">
      <c r="A435" s="384" t="b">
        <f t="shared" ca="1" si="63"/>
        <v>0</v>
      </c>
      <c r="B435" s="394">
        <f t="shared" si="60"/>
        <v>18</v>
      </c>
      <c r="C435" s="400" t="str">
        <f ca="1">IF(COUNTA(D$265:D434)=1,"",OFFSET(B433,-COUNTA(D$265:D434)+3,1))</f>
        <v>a1WDm000000bx1tMAA</v>
      </c>
      <c r="D435" s="384"/>
      <c r="E435" s="384">
        <f t="shared" ca="1" si="61"/>
        <v>6</v>
      </c>
      <c r="F435" s="398">
        <f ca="1">IF(COUNTA(D$265:D434)=1,"",OFFSET(F433,-COUNTA(D$265:D434)+3,0))</f>
        <v>13</v>
      </c>
      <c r="G435" s="384"/>
      <c r="H435" s="384">
        <f t="shared" ca="1" si="62"/>
        <v>33</v>
      </c>
      <c r="I435" s="389" t="str">
        <f t="shared" ca="1" si="64"/>
        <v/>
      </c>
      <c r="J435" s="399" t="str">
        <f t="shared" ca="1" si="65"/>
        <v/>
      </c>
      <c r="K435" s="386" t="str">
        <f t="shared" ca="1" si="66"/>
        <v/>
      </c>
      <c r="L435" s="388" t="str">
        <f ca="1">IFERROR(CHOOSE(E435,'Outcome Indicators - Section C '!$K$7,'Outcome Indicators - Section C '!$O$7,'Outcome Indicators - Section C '!$S$7,'Outcome Indicators - Section C '!$W$7,'Outcome Indicators - Section C '!#REF!),"")</f>
        <v/>
      </c>
      <c r="M435" s="396" t="str">
        <f t="shared" ca="1" si="67"/>
        <v/>
      </c>
      <c r="N435" s="388" t="str">
        <f t="shared" ca="1" si="68"/>
        <v/>
      </c>
    </row>
    <row r="436" spans="1:14" x14ac:dyDescent="0.3">
      <c r="A436" s="384" t="b">
        <f t="shared" ca="1" si="63"/>
        <v>0</v>
      </c>
      <c r="B436" s="394">
        <f t="shared" si="60"/>
        <v>19</v>
      </c>
      <c r="C436" s="400" t="str">
        <f ca="1">IF(COUNTA(D$265:D435)=1,"",OFFSET(B434,-COUNTA(D$265:D435)+3,1))</f>
        <v>a1WDm000000bx0hMAA</v>
      </c>
      <c r="D436" s="384"/>
      <c r="E436" s="384">
        <f t="shared" ca="1" si="61"/>
        <v>1</v>
      </c>
      <c r="F436" s="398">
        <f ca="1">IF(COUNTA(D$265:D435)=1,"",OFFSET(F434,-COUNTA(D$265:D435)+3,0))</f>
        <v>14</v>
      </c>
      <c r="G436" s="384"/>
      <c r="H436" s="384">
        <f t="shared" ca="1" si="62"/>
        <v>35</v>
      </c>
      <c r="I436" s="389" t="str">
        <f t="shared" ca="1" si="64"/>
        <v/>
      </c>
      <c r="J436" s="399" t="str">
        <f t="shared" ca="1" si="65"/>
        <v/>
      </c>
      <c r="K436" s="386" t="str">
        <f t="shared" ca="1" si="66"/>
        <v/>
      </c>
      <c r="L436" s="388">
        <f ca="1">IFERROR(CHOOSE(E436,'Outcome Indicators - Section C '!$K$7,'Outcome Indicators - Section C '!$O$7,'Outcome Indicators - Section C '!$S$7,'Outcome Indicators - Section C '!$W$7,'Outcome Indicators - Section C '!#REF!),"")</f>
        <v>2024</v>
      </c>
      <c r="M436" s="396" t="str">
        <f t="shared" ca="1" si="67"/>
        <v/>
      </c>
      <c r="N436" s="388" t="str">
        <f t="shared" ca="1" si="68"/>
        <v/>
      </c>
    </row>
    <row r="437" spans="1:14" x14ac:dyDescent="0.3">
      <c r="A437" s="384" t="b">
        <f t="shared" ca="1" si="63"/>
        <v>0</v>
      </c>
      <c r="B437" s="394">
        <f t="shared" si="60"/>
        <v>20</v>
      </c>
      <c r="C437" s="400" t="str">
        <f ca="1">IF(COUNTA(D$265:D436)=1,"",OFFSET(B435,-COUNTA(D$265:D436)+3,1))</f>
        <v>a1WDm000000bx0wMAA</v>
      </c>
      <c r="D437" s="384"/>
      <c r="E437" s="384">
        <f t="shared" ca="1" si="61"/>
        <v>2</v>
      </c>
      <c r="F437" s="398">
        <f ca="1">IF(COUNTA(D$265:D436)=1,"",OFFSET(F435,-COUNTA(D$265:D436)+3,0))</f>
        <v>14</v>
      </c>
      <c r="G437" s="384"/>
      <c r="H437" s="384">
        <f t="shared" ca="1" si="62"/>
        <v>35</v>
      </c>
      <c r="I437" s="389" t="str">
        <f t="shared" ca="1" si="64"/>
        <v/>
      </c>
      <c r="J437" s="399" t="str">
        <f t="shared" ca="1" si="65"/>
        <v/>
      </c>
      <c r="K437" s="386" t="str">
        <f t="shared" ca="1" si="66"/>
        <v/>
      </c>
      <c r="L437" s="388">
        <f ca="1">IFERROR(CHOOSE(E437,'Outcome Indicators - Section C '!$K$7,'Outcome Indicators - Section C '!$O$7,'Outcome Indicators - Section C '!$S$7,'Outcome Indicators - Section C '!$W$7,'Outcome Indicators - Section C '!#REF!),"")</f>
        <v>2025</v>
      </c>
      <c r="M437" s="396" t="str">
        <f t="shared" ca="1" si="67"/>
        <v/>
      </c>
      <c r="N437" s="388" t="str">
        <f t="shared" ca="1" si="68"/>
        <v/>
      </c>
    </row>
    <row r="438" spans="1:14" x14ac:dyDescent="0.3">
      <c r="A438" s="384" t="b">
        <f t="shared" ca="1" si="63"/>
        <v>0</v>
      </c>
      <c r="B438" s="394">
        <f t="shared" si="60"/>
        <v>21</v>
      </c>
      <c r="C438" s="400" t="str">
        <f ca="1">IF(COUNTA(D$265:D437)=1,"",OFFSET(B436,-COUNTA(D$265:D437)+3,1))</f>
        <v>a1WDm000000bx1BMAQ</v>
      </c>
      <c r="D438" s="384"/>
      <c r="E438" s="384">
        <f t="shared" ca="1" si="61"/>
        <v>3</v>
      </c>
      <c r="F438" s="398">
        <f ca="1">IF(COUNTA(D$265:D437)=1,"",OFFSET(F436,-COUNTA(D$265:D437)+3,0))</f>
        <v>14</v>
      </c>
      <c r="G438" s="384"/>
      <c r="H438" s="384">
        <f t="shared" ca="1" si="62"/>
        <v>35</v>
      </c>
      <c r="I438" s="389" t="str">
        <f t="shared" ca="1" si="64"/>
        <v/>
      </c>
      <c r="J438" s="399" t="str">
        <f t="shared" ca="1" si="65"/>
        <v/>
      </c>
      <c r="K438" s="386" t="str">
        <f t="shared" ca="1" si="66"/>
        <v/>
      </c>
      <c r="L438" s="388">
        <f ca="1">IFERROR(CHOOSE(E438,'Outcome Indicators - Section C '!$K$7,'Outcome Indicators - Section C '!$O$7,'Outcome Indicators - Section C '!$S$7,'Outcome Indicators - Section C '!$W$7,'Outcome Indicators - Section C '!#REF!),"")</f>
        <v>2026</v>
      </c>
      <c r="M438" s="396" t="str">
        <f t="shared" ca="1" si="67"/>
        <v/>
      </c>
      <c r="N438" s="388" t="str">
        <f t="shared" ca="1" si="68"/>
        <v/>
      </c>
    </row>
    <row r="439" spans="1:14" x14ac:dyDescent="0.3">
      <c r="A439" s="384" t="b">
        <f t="shared" ca="1" si="63"/>
        <v>0</v>
      </c>
      <c r="B439" s="394">
        <f t="shared" si="60"/>
        <v>22</v>
      </c>
      <c r="C439" s="400" t="str">
        <f ca="1">IF(COUNTA(D$265:D438)=1,"",OFFSET(B437,-COUNTA(D$265:D438)+3,1))</f>
        <v>a1WDm000000bx1QMAQ</v>
      </c>
      <c r="D439" s="384"/>
      <c r="E439" s="384">
        <f t="shared" ca="1" si="61"/>
        <v>4</v>
      </c>
      <c r="F439" s="398">
        <f ca="1">IF(COUNTA(D$265:D438)=1,"",OFFSET(F437,-COUNTA(D$265:D438)+3,0))</f>
        <v>14</v>
      </c>
      <c r="G439" s="384"/>
      <c r="H439" s="384">
        <f t="shared" ca="1" si="62"/>
        <v>35</v>
      </c>
      <c r="I439" s="389" t="str">
        <f t="shared" ca="1" si="64"/>
        <v/>
      </c>
      <c r="J439" s="399" t="str">
        <f t="shared" ca="1" si="65"/>
        <v/>
      </c>
      <c r="K439" s="386" t="str">
        <f t="shared" ca="1" si="66"/>
        <v/>
      </c>
      <c r="L439" s="388" t="str">
        <f ca="1">IFERROR(CHOOSE(E439,'Outcome Indicators - Section C '!$K$7,'Outcome Indicators - Section C '!$O$7,'Outcome Indicators - Section C '!$S$7,'Outcome Indicators - Section C '!$W$7,'Outcome Indicators - Section C '!#REF!),"")</f>
        <v/>
      </c>
      <c r="M439" s="396" t="str">
        <f t="shared" ca="1" si="67"/>
        <v/>
      </c>
      <c r="N439" s="388" t="str">
        <f t="shared" ca="1" si="68"/>
        <v/>
      </c>
    </row>
    <row r="440" spans="1:14" x14ac:dyDescent="0.3">
      <c r="A440" s="384" t="b">
        <f t="shared" ca="1" si="63"/>
        <v>0</v>
      </c>
      <c r="B440" s="394">
        <f t="shared" si="60"/>
        <v>23</v>
      </c>
      <c r="C440" s="400" t="str">
        <f ca="1">IF(COUNTA(D$265:D439)=1,"",OFFSET(B438,-COUNTA(D$265:D439)+3,1))</f>
        <v>a1WDm000000bx1fMAA</v>
      </c>
      <c r="D440" s="384"/>
      <c r="E440" s="384">
        <f t="shared" ca="1" si="61"/>
        <v>5</v>
      </c>
      <c r="F440" s="398">
        <f ca="1">IF(COUNTA(D$265:D439)=1,"",OFFSET(F438,-COUNTA(D$265:D439)+3,0))</f>
        <v>14</v>
      </c>
      <c r="G440" s="384"/>
      <c r="H440" s="384">
        <f t="shared" ca="1" si="62"/>
        <v>35</v>
      </c>
      <c r="I440" s="389" t="str">
        <f t="shared" ca="1" si="64"/>
        <v/>
      </c>
      <c r="J440" s="399" t="str">
        <f t="shared" ca="1" si="65"/>
        <v/>
      </c>
      <c r="K440" s="386" t="str">
        <f t="shared" ca="1" si="66"/>
        <v/>
      </c>
      <c r="L440" s="388" t="str">
        <f ca="1">IFERROR(CHOOSE(E440,'Outcome Indicators - Section C '!$K$7,'Outcome Indicators - Section C '!$O$7,'Outcome Indicators - Section C '!$S$7,'Outcome Indicators - Section C '!$W$7,'Outcome Indicators - Section C '!#REF!),"")</f>
        <v/>
      </c>
      <c r="M440" s="396" t="str">
        <f t="shared" ca="1" si="67"/>
        <v/>
      </c>
      <c r="N440" s="388" t="str">
        <f t="shared" ca="1" si="68"/>
        <v/>
      </c>
    </row>
    <row r="441" spans="1:14" x14ac:dyDescent="0.3">
      <c r="A441" s="384" t="b">
        <f t="shared" ca="1" si="63"/>
        <v>0</v>
      </c>
      <c r="B441" s="394">
        <f t="shared" si="60"/>
        <v>24</v>
      </c>
      <c r="C441" s="400" t="str">
        <f ca="1">IF(COUNTA(D$265:D440)=1,"",OFFSET(B439,-COUNTA(D$265:D440)+3,1))</f>
        <v>a1WDm000000bx1uMAA</v>
      </c>
      <c r="D441" s="384"/>
      <c r="E441" s="384">
        <f t="shared" ca="1" si="61"/>
        <v>6</v>
      </c>
      <c r="F441" s="398">
        <f ca="1">IF(COUNTA(D$265:D440)=1,"",OFFSET(F439,-COUNTA(D$265:D440)+3,0))</f>
        <v>14</v>
      </c>
      <c r="G441" s="384"/>
      <c r="H441" s="384">
        <f t="shared" ca="1" si="62"/>
        <v>35</v>
      </c>
      <c r="I441" s="389" t="str">
        <f t="shared" ca="1" si="64"/>
        <v/>
      </c>
      <c r="J441" s="399" t="str">
        <f t="shared" ca="1" si="65"/>
        <v/>
      </c>
      <c r="K441" s="386" t="str">
        <f t="shared" ca="1" si="66"/>
        <v/>
      </c>
      <c r="L441" s="388" t="str">
        <f ca="1">IFERROR(CHOOSE(E441,'Outcome Indicators - Section C '!$K$7,'Outcome Indicators - Section C '!$O$7,'Outcome Indicators - Section C '!$S$7,'Outcome Indicators - Section C '!$W$7,'Outcome Indicators - Section C '!#REF!),"")</f>
        <v/>
      </c>
      <c r="M441" s="396" t="str">
        <f t="shared" ca="1" si="67"/>
        <v/>
      </c>
      <c r="N441" s="388" t="str">
        <f t="shared" ca="1" si="68"/>
        <v/>
      </c>
    </row>
    <row r="442" spans="1:14" x14ac:dyDescent="0.3">
      <c r="A442" s="384" t="b">
        <f t="shared" ca="1" si="63"/>
        <v>0</v>
      </c>
      <c r="B442" s="394">
        <f t="shared" si="60"/>
        <v>25</v>
      </c>
      <c r="C442" s="400" t="str">
        <f ca="1">IF(COUNTA(D$265:D441)=1,"",OFFSET(B440,-COUNTA(D$265:D441)+3,1))</f>
        <v>a1WDm000000bx0iMAA</v>
      </c>
      <c r="D442" s="384"/>
      <c r="E442" s="384">
        <f t="shared" ca="1" si="61"/>
        <v>1</v>
      </c>
      <c r="F442" s="398">
        <f ca="1">IF(COUNTA(D$265:D441)=1,"",OFFSET(F440,-COUNTA(D$265:D441)+3,0))</f>
        <v>15</v>
      </c>
      <c r="G442" s="384"/>
      <c r="H442" s="384">
        <f t="shared" ca="1" si="62"/>
        <v>37</v>
      </c>
      <c r="I442" s="389" t="str">
        <f t="shared" ca="1" si="64"/>
        <v/>
      </c>
      <c r="J442" s="399" t="str">
        <f t="shared" ca="1" si="65"/>
        <v/>
      </c>
      <c r="K442" s="386" t="str">
        <f t="shared" ca="1" si="66"/>
        <v/>
      </c>
      <c r="L442" s="388">
        <f ca="1">IFERROR(CHOOSE(E442,'Outcome Indicators - Section C '!$K$7,'Outcome Indicators - Section C '!$O$7,'Outcome Indicators - Section C '!$S$7,'Outcome Indicators - Section C '!$W$7,'Outcome Indicators - Section C '!#REF!),"")</f>
        <v>2024</v>
      </c>
      <c r="M442" s="396" t="str">
        <f t="shared" ca="1" si="67"/>
        <v/>
      </c>
      <c r="N442" s="388" t="str">
        <f t="shared" ca="1" si="68"/>
        <v/>
      </c>
    </row>
    <row r="443" spans="1:14" x14ac:dyDescent="0.3">
      <c r="A443" s="384" t="b">
        <f t="shared" ca="1" si="63"/>
        <v>0</v>
      </c>
      <c r="B443" s="394">
        <f t="shared" si="60"/>
        <v>26</v>
      </c>
      <c r="C443" s="400" t="str">
        <f ca="1">IF(COUNTA(D$265:D442)=1,"",OFFSET(B441,-COUNTA(D$265:D442)+3,1))</f>
        <v>a1WDm000000bx0xMAA</v>
      </c>
      <c r="D443" s="384"/>
      <c r="E443" s="384">
        <f t="shared" ca="1" si="61"/>
        <v>2</v>
      </c>
      <c r="F443" s="398">
        <f ca="1">IF(COUNTA(D$265:D442)=1,"",OFFSET(F441,-COUNTA(D$265:D442)+3,0))</f>
        <v>15</v>
      </c>
      <c r="G443" s="384"/>
      <c r="H443" s="384">
        <f t="shared" ca="1" si="62"/>
        <v>37</v>
      </c>
      <c r="I443" s="389" t="str">
        <f t="shared" ca="1" si="64"/>
        <v/>
      </c>
      <c r="J443" s="399" t="str">
        <f t="shared" ca="1" si="65"/>
        <v/>
      </c>
      <c r="K443" s="386" t="str">
        <f t="shared" ca="1" si="66"/>
        <v/>
      </c>
      <c r="L443" s="388">
        <f ca="1">IFERROR(CHOOSE(E443,'Outcome Indicators - Section C '!$K$7,'Outcome Indicators - Section C '!$O$7,'Outcome Indicators - Section C '!$S$7,'Outcome Indicators - Section C '!$W$7,'Outcome Indicators - Section C '!#REF!),"")</f>
        <v>2025</v>
      </c>
      <c r="M443" s="396" t="str">
        <f t="shared" ca="1" si="67"/>
        <v/>
      </c>
      <c r="N443" s="388" t="str">
        <f t="shared" ca="1" si="68"/>
        <v/>
      </c>
    </row>
    <row r="444" spans="1:14" x14ac:dyDescent="0.3">
      <c r="A444" s="384" t="b">
        <f t="shared" ca="1" si="63"/>
        <v>0</v>
      </c>
      <c r="B444" s="394">
        <f t="shared" si="60"/>
        <v>27</v>
      </c>
      <c r="C444" s="400" t="str">
        <f ca="1">IF(COUNTA(D$265:D443)=1,"",OFFSET(B442,-COUNTA(D$265:D443)+3,1))</f>
        <v>a1WDm000000bx1CMAQ</v>
      </c>
      <c r="D444" s="384"/>
      <c r="E444" s="384">
        <f t="shared" ca="1" si="61"/>
        <v>3</v>
      </c>
      <c r="F444" s="398">
        <f ca="1">IF(COUNTA(D$265:D443)=1,"",OFFSET(F442,-COUNTA(D$265:D443)+3,0))</f>
        <v>15</v>
      </c>
      <c r="G444" s="384"/>
      <c r="H444" s="384">
        <f t="shared" ca="1" si="62"/>
        <v>37</v>
      </c>
      <c r="I444" s="389" t="str">
        <f t="shared" ca="1" si="64"/>
        <v/>
      </c>
      <c r="J444" s="399" t="str">
        <f t="shared" ca="1" si="65"/>
        <v/>
      </c>
      <c r="K444" s="386" t="str">
        <f t="shared" ca="1" si="66"/>
        <v/>
      </c>
      <c r="L444" s="388">
        <f ca="1">IFERROR(CHOOSE(E444,'Outcome Indicators - Section C '!$K$7,'Outcome Indicators - Section C '!$O$7,'Outcome Indicators - Section C '!$S$7,'Outcome Indicators - Section C '!$W$7,'Outcome Indicators - Section C '!#REF!),"")</f>
        <v>2026</v>
      </c>
      <c r="M444" s="396" t="str">
        <f t="shared" ca="1" si="67"/>
        <v/>
      </c>
      <c r="N444" s="388" t="str">
        <f t="shared" ca="1" si="68"/>
        <v/>
      </c>
    </row>
    <row r="445" spans="1:14" x14ac:dyDescent="0.3">
      <c r="A445" s="384" t="b">
        <f t="shared" ca="1" si="63"/>
        <v>0</v>
      </c>
      <c r="B445" s="394">
        <f t="shared" si="60"/>
        <v>28</v>
      </c>
      <c r="C445" s="400" t="str">
        <f ca="1">IF(COUNTA(D$265:D444)=1,"",OFFSET(B443,-COUNTA(D$265:D444)+3,1))</f>
        <v>a1WDm000000bx1RMAQ</v>
      </c>
      <c r="D445" s="384"/>
      <c r="E445" s="384">
        <f t="shared" ca="1" si="61"/>
        <v>4</v>
      </c>
      <c r="F445" s="398">
        <f ca="1">IF(COUNTA(D$265:D444)=1,"",OFFSET(F443,-COUNTA(D$265:D444)+3,0))</f>
        <v>15</v>
      </c>
      <c r="G445" s="384"/>
      <c r="H445" s="384">
        <f t="shared" ca="1" si="62"/>
        <v>37</v>
      </c>
      <c r="I445" s="389" t="str">
        <f t="shared" ca="1" si="64"/>
        <v/>
      </c>
      <c r="J445" s="399" t="str">
        <f t="shared" ca="1" si="65"/>
        <v/>
      </c>
      <c r="K445" s="386" t="str">
        <f t="shared" ca="1" si="66"/>
        <v/>
      </c>
      <c r="L445" s="388" t="str">
        <f ca="1">IFERROR(CHOOSE(E445,'Outcome Indicators - Section C '!$K$7,'Outcome Indicators - Section C '!$O$7,'Outcome Indicators - Section C '!$S$7,'Outcome Indicators - Section C '!$W$7,'Outcome Indicators - Section C '!#REF!),"")</f>
        <v/>
      </c>
      <c r="M445" s="396" t="str">
        <f t="shared" ca="1" si="67"/>
        <v/>
      </c>
      <c r="N445" s="388" t="str">
        <f t="shared" ca="1" si="68"/>
        <v/>
      </c>
    </row>
    <row r="446" spans="1:14" x14ac:dyDescent="0.3">
      <c r="A446" s="384" t="b">
        <f t="shared" ca="1" si="63"/>
        <v>0</v>
      </c>
      <c r="B446" s="394">
        <f t="shared" si="60"/>
        <v>29</v>
      </c>
      <c r="C446" s="400" t="str">
        <f ca="1">IF(COUNTA(D$265:D445)=1,"",OFFSET(B444,-COUNTA(D$265:D445)+3,1))</f>
        <v>a1WDm000000bx1gMAA</v>
      </c>
      <c r="D446" s="384"/>
      <c r="E446" s="384">
        <f t="shared" ca="1" si="61"/>
        <v>5</v>
      </c>
      <c r="F446" s="398">
        <f ca="1">IF(COUNTA(D$265:D445)=1,"",OFFSET(F444,-COUNTA(D$265:D445)+3,0))</f>
        <v>15</v>
      </c>
      <c r="G446" s="384"/>
      <c r="H446" s="384">
        <f t="shared" ca="1" si="62"/>
        <v>37</v>
      </c>
      <c r="I446" s="389" t="str">
        <f t="shared" ca="1" si="64"/>
        <v/>
      </c>
      <c r="J446" s="399" t="str">
        <f t="shared" ca="1" si="65"/>
        <v/>
      </c>
      <c r="K446" s="386" t="str">
        <f t="shared" ca="1" si="66"/>
        <v/>
      </c>
      <c r="L446" s="388" t="str">
        <f ca="1">IFERROR(CHOOSE(E446,'Outcome Indicators - Section C '!$K$7,'Outcome Indicators - Section C '!$O$7,'Outcome Indicators - Section C '!$S$7,'Outcome Indicators - Section C '!$W$7,'Outcome Indicators - Section C '!#REF!),"")</f>
        <v/>
      </c>
      <c r="M446" s="396" t="str">
        <f t="shared" ca="1" si="67"/>
        <v/>
      </c>
      <c r="N446" s="388" t="str">
        <f t="shared" ca="1" si="68"/>
        <v/>
      </c>
    </row>
    <row r="447" spans="1:14" x14ac:dyDescent="0.3">
      <c r="A447" s="384" t="b">
        <f t="shared" ca="1" si="63"/>
        <v>0</v>
      </c>
      <c r="B447" s="394">
        <f t="shared" si="60"/>
        <v>30</v>
      </c>
      <c r="C447" s="400" t="str">
        <f ca="1">IF(COUNTA(D$265:D446)=1,"",OFFSET(B445,-COUNTA(D$265:D446)+3,1))</f>
        <v>a1WDm000000bx1vMAA</v>
      </c>
      <c r="D447" s="384"/>
      <c r="E447" s="384">
        <f t="shared" ca="1" si="61"/>
        <v>6</v>
      </c>
      <c r="F447" s="398">
        <f ca="1">IF(COUNTA(D$265:D446)=1,"",OFFSET(F445,-COUNTA(D$265:D446)+3,0))</f>
        <v>15</v>
      </c>
      <c r="G447" s="384"/>
      <c r="H447" s="384">
        <f t="shared" ca="1" si="62"/>
        <v>37</v>
      </c>
      <c r="I447" s="389" t="str">
        <f t="shared" ca="1" si="64"/>
        <v/>
      </c>
      <c r="J447" s="399" t="str">
        <f t="shared" ca="1" si="65"/>
        <v/>
      </c>
      <c r="K447" s="386" t="str">
        <f t="shared" ca="1" si="66"/>
        <v/>
      </c>
      <c r="L447" s="388" t="str">
        <f ca="1">IFERROR(CHOOSE(E447,'Outcome Indicators - Section C '!$K$7,'Outcome Indicators - Section C '!$O$7,'Outcome Indicators - Section C '!$S$7,'Outcome Indicators - Section C '!$W$7,'Outcome Indicators - Section C '!#REF!),"")</f>
        <v/>
      </c>
      <c r="M447" s="396" t="str">
        <f t="shared" ca="1" si="67"/>
        <v/>
      </c>
      <c r="N447" s="388" t="str">
        <f t="shared" ca="1" si="68"/>
        <v/>
      </c>
    </row>
    <row r="450" spans="1:24" x14ac:dyDescent="0.3">
      <c r="J450" s="383" t="str">
        <f ca="1">IF(ROW()&gt;'Impact Indicator Target Update'!A12,"",INDIRECT("'Impact Indicators - Section B'!A"&amp;'Impact Indicator Target Update'!D12))</f>
        <v/>
      </c>
    </row>
    <row r="451" spans="1:24" x14ac:dyDescent="0.3">
      <c r="A451" s="382" t="s">
        <v>2556</v>
      </c>
      <c r="B451" s="383" t="s">
        <v>2282</v>
      </c>
      <c r="H451" s="383" t="s">
        <v>2283</v>
      </c>
      <c r="J451" s="383" t="str">
        <f ca="1">IF(ROW()&gt;'Impact Indicator Target Update'!A13,"",INDIRECT("'Impact Indicators - Section B'!A"&amp;'Impact Indicator Target Update'!D13))</f>
        <v/>
      </c>
    </row>
    <row r="452" spans="1:24" x14ac:dyDescent="0.3">
      <c r="A452" s="384" t="s">
        <v>325</v>
      </c>
      <c r="B452" s="384">
        <v>5</v>
      </c>
      <c r="C452" s="384" t="s">
        <v>318</v>
      </c>
      <c r="D452" s="384" t="s">
        <v>105</v>
      </c>
      <c r="E452" s="384" t="s">
        <v>2295</v>
      </c>
      <c r="F452" s="384" t="s">
        <v>2296</v>
      </c>
      <c r="G452" s="384" t="s">
        <v>199</v>
      </c>
      <c r="H452" s="384">
        <v>1</v>
      </c>
      <c r="I452" s="384" t="s">
        <v>2297</v>
      </c>
      <c r="J452" s="384" t="s">
        <v>2557</v>
      </c>
      <c r="K452" s="384" t="s">
        <v>2558</v>
      </c>
      <c r="L452" s="384" t="s">
        <v>2559</v>
      </c>
      <c r="M452" s="384" t="s">
        <v>2560</v>
      </c>
      <c r="N452" s="384" t="s">
        <v>2561</v>
      </c>
      <c r="O452" s="384" t="s">
        <v>2084</v>
      </c>
      <c r="P452" s="384" t="s">
        <v>2562</v>
      </c>
      <c r="Q452" s="384" t="s">
        <v>2563</v>
      </c>
      <c r="R452" s="384" t="s">
        <v>2564</v>
      </c>
      <c r="S452" s="384" t="s">
        <v>120</v>
      </c>
      <c r="T452" s="384" t="s">
        <v>2174</v>
      </c>
      <c r="U452" s="384" t="s">
        <v>2565</v>
      </c>
      <c r="V452" s="384" t="s">
        <v>256</v>
      </c>
      <c r="W452" s="384" t="s">
        <v>2566</v>
      </c>
      <c r="X452" s="390"/>
    </row>
    <row r="453" spans="1:24" hidden="1" x14ac:dyDescent="0.3">
      <c r="A453" s="384" t="b">
        <f ca="1">IF(OR(J453&lt;&gt;"",N453&lt;&gt;""),TRUE,FALSE)</f>
        <v>0</v>
      </c>
      <c r="B453" s="384">
        <f>IF(_xlfn.ISFORMULA(I453),B452+2,B452)</f>
        <v>7</v>
      </c>
      <c r="C453" s="384" t="str">
        <f>IFERROR(IF(AND(H453=2,B453=7),"blank",INDEX(C$452:C453,H453,1)),"")</f>
        <v>blank</v>
      </c>
      <c r="D453" s="386" t="str">
        <f ca="1">IFERROR(IF(INDIRECT("'Coverage Indicators - Section D'!F"&amp;$B453)="","",INDIRECT("'Coverage Indicators - Section D'!F"&amp;$B453)*100),"")</f>
        <v/>
      </c>
      <c r="E453" s="387" t="str">
        <f ca="1">IFERROR(IF(INDIRECT("'Coverage Indicators - Section D'!E"&amp;$B453+1)="","",INDIRECT("'Coverage Indicators - Section D'!E"&amp;$B453+1)),"")</f>
        <v>Baseline #N Baseline #D</v>
      </c>
      <c r="F453" s="387" t="str">
        <f ca="1">IFERROR(IF(INDIRECT("'Coverage Indicators - Section D'!E"&amp;$B453)="","",INDIRECT("'Coverage Indicators - Section D'!E"&amp;$B453)),"")</f>
        <v/>
      </c>
      <c r="G453" s="388" t="str">
        <f ca="1">IFERROR(IF(INDIRECT("'Coverage Indicators - Section D'!H"&amp;$B453)="","",INDIRECT("'Coverage Indicators - Section D'!H"&amp;$B453)),"")</f>
        <v/>
      </c>
      <c r="H453" s="384">
        <f>IF(_xlfn.ISFORMULA(I453),H452+1,H452)</f>
        <v>2</v>
      </c>
      <c r="I453" s="388" t="str">
        <f ca="1">IFERROR(IF(INDIRECT("'Coverage Indicators - Section D'!AL"&amp;$B453)="","",INDIRECT("'Coverage Indicators - Section D'!AL"&amp;$B453)),"")</f>
        <v/>
      </c>
      <c r="J453" s="384" t="str" cm="1">
        <f t="array" aca="1" ref="J453" ca="1">IFERROR(VLOOKUP(LEFT(INDIRECT("'Coverage Indicators - Section D'!C"&amp;$B453),255),LEFT('Reference Records'!C1:F245,255),4,0),"")</f>
        <v/>
      </c>
      <c r="K453" s="384" t="str">
        <f ca="1">IFERROR(VLOOKUP(IF(INDIRECT("'Coverage Indicators - Section D'!B"&amp;$B453)="","--select--",INDIRECT("'Coverage Indicators - Section D'!B"&amp;$B453)),'Overview - Section A'!C$101:D102,2,0),"")</f>
        <v/>
      </c>
      <c r="L453" s="388" t="str">
        <f ca="1">IFERROR(IF(INDIRECT("'Coverage Indicators - Section D'!G"&amp;$B453)=0,"",INDIRECT("'Coverage Indicators - Section D'!G"&amp;$B453)),"")</f>
        <v/>
      </c>
      <c r="M453" s="384"/>
      <c r="N453" s="388" t="str">
        <f ca="1">IFERROR(IF(INDIRECT("'Coverage Indicators - Section D'!D"&amp;$B453)=0,"",INDIRECT("'Coverage Indicators - Section D'!D"&amp;$B453)),"")</f>
        <v/>
      </c>
      <c r="O453" s="384" t="str">
        <f ca="1">IFERROR(IF(INDIRECT("'Coverage Indicators - Section D'!L"&amp;$B453)=0,"",INDIRECT("'Coverage Indicators - Section D'!L"&amp;$B453)),"")</f>
        <v/>
      </c>
      <c r="P453" s="388" t="str">
        <f ca="1">IFERROR(IF(INDIRECT("'Coverage Indicators - Section D'!L"&amp;$B453+1)=0,"",INDIRECT("'Coverage Indicators - Section D'!L"&amp;$B453+1)),"")</f>
        <v>Country / Scope of targets</v>
      </c>
      <c r="Q453" s="388" t="str">
        <f ca="1">IFERROR(IF(INDIRECT("'Coverage Indicators - Section D'!M"&amp;$B453)=0,"",INDIRECT("'Coverage Indicators - Section D'!M"&amp;$B453)),"")</f>
        <v/>
      </c>
      <c r="R453" s="384" t="str">
        <f ca="1">IFERROR(IF(INDIRECT("'Coverage Indicators - Section D'!J"&amp;$B453)=0,"FALSE",IF(INDIRECT("'Coverage Indicators - Section D'!J"&amp;$B453)="Yes",TRUE,FALSE)),"")</f>
        <v>FALSE</v>
      </c>
      <c r="S453" s="384" t="str">
        <f ca="1">IFERROR(VLOOKUP(INDIRECT("'Coverage Indicators - Section D'!K"&amp;$B453),'Overview - Section A'!M$30:P41,4,0),IFERROR(IF(VLOOKUP(INDIRECT("'Coverage Indicators - Section D'!K"&amp;$B453),'Overview - Section A'!E$27:I29,5,0)=0,"",VLOOKUP(INDIRECT("'Coverage Indicators - Section D'!K"&amp;$B453),'Overview - Section A'!E$27:I29,5,0)),""))</f>
        <v/>
      </c>
      <c r="T453" s="389" t="s">
        <v>2567</v>
      </c>
      <c r="U453" s="388" t="s">
        <v>2568</v>
      </c>
      <c r="V453" s="388" t="s">
        <v>2569</v>
      </c>
      <c r="W453" s="384" t="b">
        <f ca="1">IF(IFERROR(IF(INDIRECT("'Coverage Indicators - Section D'!C"&amp;$B453)&lt;&gt; 0,INDIRECT("'Coverage Indicators - Section D'!AZ"&amp;$B453),
 IF(INDIRECT("'Coverage Indicators - Section D'!D"&amp;$B453)&lt;&gt;0,INDIRECT("'Coverage Indicators - Section D'!BA"&amp;$B453),"FALSE")
 ),"") = "Yes", TRUE, FALSE)</f>
        <v>0</v>
      </c>
    </row>
    <row r="454" spans="1:24" x14ac:dyDescent="0.3">
      <c r="A454" s="384" t="b">
        <v>0</v>
      </c>
      <c r="B454" s="384">
        <f t="shared" ref="B454:B513" si="69">IF(_xlfn.ISFORMULA(I454),B453+2,B453)</f>
        <v>7</v>
      </c>
      <c r="C454" s="384" t="s">
        <v>2570</v>
      </c>
      <c r="D454" s="386"/>
      <c r="E454" s="387"/>
      <c r="F454" s="387"/>
      <c r="G454" s="388"/>
      <c r="H454" s="384">
        <f t="shared" ref="H454:H513" si="70">IF(_xlfn.ISFORMULA(I454),H453+1,H453)</f>
        <v>2</v>
      </c>
      <c r="I454" s="388"/>
      <c r="J454" s="384"/>
      <c r="K454" s="384" t="s">
        <v>410</v>
      </c>
      <c r="L454" s="388"/>
      <c r="M454" s="384"/>
      <c r="N454" s="388"/>
      <c r="O454" s="384"/>
      <c r="P454" s="388"/>
      <c r="Q454" s="388"/>
      <c r="R454" s="384" t="b">
        <v>0</v>
      </c>
      <c r="S454" s="384"/>
      <c r="T454" s="389">
        <v>1</v>
      </c>
      <c r="U454" s="388"/>
      <c r="V454" s="388"/>
      <c r="W454" s="384" t="b">
        <v>0</v>
      </c>
    </row>
    <row r="455" spans="1:24" x14ac:dyDescent="0.3">
      <c r="A455" s="384" t="b">
        <v>0</v>
      </c>
      <c r="B455" s="384">
        <f t="shared" si="69"/>
        <v>7</v>
      </c>
      <c r="C455" s="384" t="s">
        <v>2571</v>
      </c>
      <c r="D455" s="386"/>
      <c r="E455" s="387"/>
      <c r="F455" s="387"/>
      <c r="G455" s="388"/>
      <c r="H455" s="384">
        <f t="shared" si="70"/>
        <v>2</v>
      </c>
      <c r="I455" s="388"/>
      <c r="J455" s="384"/>
      <c r="K455" s="384" t="s">
        <v>410</v>
      </c>
      <c r="L455" s="388"/>
      <c r="M455" s="384"/>
      <c r="N455" s="388"/>
      <c r="O455" s="384"/>
      <c r="P455" s="388"/>
      <c r="Q455" s="388"/>
      <c r="R455" s="384" t="b">
        <v>0</v>
      </c>
      <c r="S455" s="384"/>
      <c r="T455" s="389">
        <v>2</v>
      </c>
      <c r="U455" s="388"/>
      <c r="V455" s="388"/>
      <c r="W455" s="384" t="b">
        <v>0</v>
      </c>
    </row>
    <row r="456" spans="1:24" x14ac:dyDescent="0.3">
      <c r="A456" s="384" t="b">
        <v>0</v>
      </c>
      <c r="B456" s="384">
        <f t="shared" si="69"/>
        <v>7</v>
      </c>
      <c r="C456" s="384" t="s">
        <v>2572</v>
      </c>
      <c r="D456" s="386"/>
      <c r="E456" s="387"/>
      <c r="F456" s="387"/>
      <c r="G456" s="388"/>
      <c r="H456" s="384">
        <f t="shared" si="70"/>
        <v>2</v>
      </c>
      <c r="I456" s="388"/>
      <c r="J456" s="384"/>
      <c r="K456" s="384" t="s">
        <v>410</v>
      </c>
      <c r="L456" s="388"/>
      <c r="M456" s="384"/>
      <c r="N456" s="388"/>
      <c r="O456" s="384"/>
      <c r="P456" s="388"/>
      <c r="Q456" s="388"/>
      <c r="R456" s="384" t="b">
        <v>0</v>
      </c>
      <c r="S456" s="384"/>
      <c r="T456" s="389">
        <v>3</v>
      </c>
      <c r="U456" s="388"/>
      <c r="V456" s="388"/>
      <c r="W456" s="384" t="b">
        <v>0</v>
      </c>
    </row>
    <row r="457" spans="1:24" x14ac:dyDescent="0.3">
      <c r="A457" s="384" t="b">
        <v>0</v>
      </c>
      <c r="B457" s="384">
        <f t="shared" si="69"/>
        <v>7</v>
      </c>
      <c r="C457" s="384" t="s">
        <v>2573</v>
      </c>
      <c r="D457" s="386"/>
      <c r="E457" s="387"/>
      <c r="F457" s="387"/>
      <c r="G457" s="388"/>
      <c r="H457" s="384">
        <f t="shared" si="70"/>
        <v>2</v>
      </c>
      <c r="I457" s="388"/>
      <c r="J457" s="384"/>
      <c r="K457" s="384" t="s">
        <v>410</v>
      </c>
      <c r="L457" s="388"/>
      <c r="M457" s="384"/>
      <c r="N457" s="388"/>
      <c r="O457" s="384"/>
      <c r="P457" s="388"/>
      <c r="Q457" s="388"/>
      <c r="R457" s="384" t="b">
        <v>0</v>
      </c>
      <c r="S457" s="384"/>
      <c r="T457" s="389">
        <v>4</v>
      </c>
      <c r="U457" s="388"/>
      <c r="V457" s="388"/>
      <c r="W457" s="384" t="b">
        <v>0</v>
      </c>
    </row>
    <row r="458" spans="1:24" x14ac:dyDescent="0.3">
      <c r="A458" s="384" t="b">
        <v>0</v>
      </c>
      <c r="B458" s="384">
        <f t="shared" si="69"/>
        <v>7</v>
      </c>
      <c r="C458" s="384" t="s">
        <v>2574</v>
      </c>
      <c r="D458" s="386"/>
      <c r="E458" s="387"/>
      <c r="F458" s="387"/>
      <c r="G458" s="388"/>
      <c r="H458" s="384">
        <f t="shared" si="70"/>
        <v>2</v>
      </c>
      <c r="I458" s="388"/>
      <c r="J458" s="384"/>
      <c r="K458" s="384" t="s">
        <v>410</v>
      </c>
      <c r="L458" s="388"/>
      <c r="M458" s="384"/>
      <c r="N458" s="388"/>
      <c r="O458" s="384"/>
      <c r="P458" s="388"/>
      <c r="Q458" s="388"/>
      <c r="R458" s="384" t="b">
        <v>0</v>
      </c>
      <c r="S458" s="384"/>
      <c r="T458" s="389">
        <v>5</v>
      </c>
      <c r="U458" s="388"/>
      <c r="V458" s="388"/>
      <c r="W458" s="384" t="b">
        <v>0</v>
      </c>
    </row>
    <row r="459" spans="1:24" x14ac:dyDescent="0.3">
      <c r="A459" s="384" t="b">
        <v>0</v>
      </c>
      <c r="B459" s="384">
        <f t="shared" si="69"/>
        <v>7</v>
      </c>
      <c r="C459" s="384" t="s">
        <v>2575</v>
      </c>
      <c r="D459" s="386"/>
      <c r="E459" s="387"/>
      <c r="F459" s="387"/>
      <c r="G459" s="388"/>
      <c r="H459" s="384">
        <f t="shared" si="70"/>
        <v>2</v>
      </c>
      <c r="I459" s="388"/>
      <c r="J459" s="384"/>
      <c r="K459" s="384" t="s">
        <v>410</v>
      </c>
      <c r="L459" s="388"/>
      <c r="M459" s="384"/>
      <c r="N459" s="388"/>
      <c r="O459" s="384"/>
      <c r="P459" s="388"/>
      <c r="Q459" s="388"/>
      <c r="R459" s="384" t="b">
        <v>0</v>
      </c>
      <c r="S459" s="384"/>
      <c r="T459" s="389">
        <v>6</v>
      </c>
      <c r="U459" s="388"/>
      <c r="V459" s="388"/>
      <c r="W459" s="384" t="b">
        <v>0</v>
      </c>
    </row>
    <row r="460" spans="1:24" x14ac:dyDescent="0.3">
      <c r="A460" s="384" t="b">
        <v>0</v>
      </c>
      <c r="B460" s="384">
        <f t="shared" si="69"/>
        <v>7</v>
      </c>
      <c r="C460" s="384" t="s">
        <v>2576</v>
      </c>
      <c r="D460" s="386"/>
      <c r="E460" s="387"/>
      <c r="F460" s="387"/>
      <c r="G460" s="388"/>
      <c r="H460" s="384">
        <f t="shared" si="70"/>
        <v>2</v>
      </c>
      <c r="I460" s="388"/>
      <c r="J460" s="384"/>
      <c r="K460" s="384" t="s">
        <v>410</v>
      </c>
      <c r="L460" s="388"/>
      <c r="M460" s="384"/>
      <c r="N460" s="388"/>
      <c r="O460" s="384"/>
      <c r="P460" s="388"/>
      <c r="Q460" s="388"/>
      <c r="R460" s="384" t="b">
        <v>0</v>
      </c>
      <c r="S460" s="384"/>
      <c r="T460" s="389">
        <v>7</v>
      </c>
      <c r="U460" s="388"/>
      <c r="V460" s="388"/>
      <c r="W460" s="384" t="b">
        <v>0</v>
      </c>
    </row>
    <row r="461" spans="1:24" x14ac:dyDescent="0.3">
      <c r="A461" s="384" t="b">
        <v>0</v>
      </c>
      <c r="B461" s="384">
        <f t="shared" si="69"/>
        <v>7</v>
      </c>
      <c r="C461" s="384" t="s">
        <v>2577</v>
      </c>
      <c r="D461" s="386"/>
      <c r="E461" s="387"/>
      <c r="F461" s="387"/>
      <c r="G461" s="388"/>
      <c r="H461" s="384">
        <f t="shared" si="70"/>
        <v>2</v>
      </c>
      <c r="I461" s="388"/>
      <c r="J461" s="384"/>
      <c r="K461" s="384" t="s">
        <v>410</v>
      </c>
      <c r="L461" s="388"/>
      <c r="M461" s="384"/>
      <c r="N461" s="388"/>
      <c r="O461" s="384"/>
      <c r="P461" s="388"/>
      <c r="Q461" s="388"/>
      <c r="R461" s="384" t="b">
        <v>0</v>
      </c>
      <c r="S461" s="384"/>
      <c r="T461" s="389">
        <v>8</v>
      </c>
      <c r="U461" s="388"/>
      <c r="V461" s="388"/>
      <c r="W461" s="384" t="b">
        <v>0</v>
      </c>
    </row>
    <row r="462" spans="1:24" x14ac:dyDescent="0.3">
      <c r="A462" s="384" t="b">
        <v>0</v>
      </c>
      <c r="B462" s="384">
        <f t="shared" si="69"/>
        <v>7</v>
      </c>
      <c r="C462" s="384" t="s">
        <v>2578</v>
      </c>
      <c r="D462" s="386"/>
      <c r="E462" s="387"/>
      <c r="F462" s="387"/>
      <c r="G462" s="388"/>
      <c r="H462" s="384">
        <f t="shared" si="70"/>
        <v>2</v>
      </c>
      <c r="I462" s="388"/>
      <c r="J462" s="384"/>
      <c r="K462" s="384" t="s">
        <v>410</v>
      </c>
      <c r="L462" s="388"/>
      <c r="M462" s="384"/>
      <c r="N462" s="388"/>
      <c r="O462" s="384"/>
      <c r="P462" s="388"/>
      <c r="Q462" s="388"/>
      <c r="R462" s="384" t="b">
        <v>0</v>
      </c>
      <c r="S462" s="384"/>
      <c r="T462" s="389">
        <v>9</v>
      </c>
      <c r="U462" s="388"/>
      <c r="V462" s="388"/>
      <c r="W462" s="384" t="b">
        <v>0</v>
      </c>
    </row>
    <row r="463" spans="1:24" x14ac:dyDescent="0.3">
      <c r="A463" s="384" t="b">
        <v>0</v>
      </c>
      <c r="B463" s="384">
        <f t="shared" si="69"/>
        <v>7</v>
      </c>
      <c r="C463" s="384" t="s">
        <v>2579</v>
      </c>
      <c r="D463" s="386"/>
      <c r="E463" s="387"/>
      <c r="F463" s="387"/>
      <c r="G463" s="388"/>
      <c r="H463" s="384">
        <f t="shared" si="70"/>
        <v>2</v>
      </c>
      <c r="I463" s="388"/>
      <c r="J463" s="384"/>
      <c r="K463" s="384" t="s">
        <v>410</v>
      </c>
      <c r="L463" s="388"/>
      <c r="M463" s="384"/>
      <c r="N463" s="388"/>
      <c r="O463" s="384"/>
      <c r="P463" s="388"/>
      <c r="Q463" s="388"/>
      <c r="R463" s="384" t="b">
        <v>0</v>
      </c>
      <c r="S463" s="384"/>
      <c r="T463" s="389">
        <v>10</v>
      </c>
      <c r="U463" s="388"/>
      <c r="V463" s="388"/>
      <c r="W463" s="384" t="b">
        <v>0</v>
      </c>
    </row>
    <row r="464" spans="1:24" x14ac:dyDescent="0.3">
      <c r="A464" s="384" t="b">
        <v>0</v>
      </c>
      <c r="B464" s="384">
        <f t="shared" si="69"/>
        <v>7</v>
      </c>
      <c r="C464" s="384" t="s">
        <v>2580</v>
      </c>
      <c r="D464" s="386"/>
      <c r="E464" s="387"/>
      <c r="F464" s="387"/>
      <c r="G464" s="388"/>
      <c r="H464" s="384">
        <f t="shared" si="70"/>
        <v>2</v>
      </c>
      <c r="I464" s="388"/>
      <c r="J464" s="384"/>
      <c r="K464" s="384" t="s">
        <v>410</v>
      </c>
      <c r="L464" s="388"/>
      <c r="M464" s="384"/>
      <c r="N464" s="388"/>
      <c r="O464" s="384"/>
      <c r="P464" s="388"/>
      <c r="Q464" s="388"/>
      <c r="R464" s="384" t="b">
        <v>0</v>
      </c>
      <c r="S464" s="384"/>
      <c r="T464" s="389">
        <v>11</v>
      </c>
      <c r="U464" s="388"/>
      <c r="V464" s="388"/>
      <c r="W464" s="384" t="b">
        <v>0</v>
      </c>
    </row>
    <row r="465" spans="1:23" x14ac:dyDescent="0.3">
      <c r="A465" s="384" t="b">
        <v>0</v>
      </c>
      <c r="B465" s="384">
        <f t="shared" si="69"/>
        <v>7</v>
      </c>
      <c r="C465" s="384" t="s">
        <v>2581</v>
      </c>
      <c r="D465" s="386"/>
      <c r="E465" s="387"/>
      <c r="F465" s="387"/>
      <c r="G465" s="388"/>
      <c r="H465" s="384">
        <f t="shared" si="70"/>
        <v>2</v>
      </c>
      <c r="I465" s="388"/>
      <c r="J465" s="384"/>
      <c r="K465" s="384" t="s">
        <v>410</v>
      </c>
      <c r="L465" s="388"/>
      <c r="M465" s="384"/>
      <c r="N465" s="388"/>
      <c r="O465" s="384"/>
      <c r="P465" s="388"/>
      <c r="Q465" s="388"/>
      <c r="R465" s="384" t="b">
        <v>0</v>
      </c>
      <c r="S465" s="384"/>
      <c r="T465" s="389">
        <v>12</v>
      </c>
      <c r="U465" s="388"/>
      <c r="V465" s="388"/>
      <c r="W465" s="384" t="b">
        <v>0</v>
      </c>
    </row>
    <row r="466" spans="1:23" x14ac:dyDescent="0.3">
      <c r="A466" s="384" t="b">
        <v>0</v>
      </c>
      <c r="B466" s="384">
        <f t="shared" si="69"/>
        <v>7</v>
      </c>
      <c r="C466" s="384" t="s">
        <v>2582</v>
      </c>
      <c r="D466" s="386"/>
      <c r="E466" s="387"/>
      <c r="F466" s="387"/>
      <c r="G466" s="388"/>
      <c r="H466" s="384">
        <f t="shared" si="70"/>
        <v>2</v>
      </c>
      <c r="I466" s="388"/>
      <c r="J466" s="384"/>
      <c r="K466" s="384" t="s">
        <v>410</v>
      </c>
      <c r="L466" s="388"/>
      <c r="M466" s="384"/>
      <c r="N466" s="388"/>
      <c r="O466" s="384"/>
      <c r="P466" s="388"/>
      <c r="Q466" s="388"/>
      <c r="R466" s="384" t="b">
        <v>0</v>
      </c>
      <c r="S466" s="384"/>
      <c r="T466" s="389">
        <v>13</v>
      </c>
      <c r="U466" s="388"/>
      <c r="V466" s="388"/>
      <c r="W466" s="384" t="b">
        <v>0</v>
      </c>
    </row>
    <row r="467" spans="1:23" x14ac:dyDescent="0.3">
      <c r="A467" s="384" t="b">
        <v>0</v>
      </c>
      <c r="B467" s="384">
        <f t="shared" si="69"/>
        <v>7</v>
      </c>
      <c r="C467" s="384" t="s">
        <v>2583</v>
      </c>
      <c r="D467" s="386"/>
      <c r="E467" s="387"/>
      <c r="F467" s="387"/>
      <c r="G467" s="388"/>
      <c r="H467" s="384">
        <f t="shared" si="70"/>
        <v>2</v>
      </c>
      <c r="I467" s="388"/>
      <c r="J467" s="384"/>
      <c r="K467" s="384" t="s">
        <v>410</v>
      </c>
      <c r="L467" s="388"/>
      <c r="M467" s="384"/>
      <c r="N467" s="388"/>
      <c r="O467" s="384"/>
      <c r="P467" s="388"/>
      <c r="Q467" s="388"/>
      <c r="R467" s="384" t="b">
        <v>0</v>
      </c>
      <c r="S467" s="384"/>
      <c r="T467" s="389">
        <v>14</v>
      </c>
      <c r="U467" s="388"/>
      <c r="V467" s="388"/>
      <c r="W467" s="384" t="b">
        <v>0</v>
      </c>
    </row>
    <row r="468" spans="1:23" x14ac:dyDescent="0.3">
      <c r="A468" s="384" t="b">
        <v>0</v>
      </c>
      <c r="B468" s="384">
        <f t="shared" si="69"/>
        <v>7</v>
      </c>
      <c r="C468" s="384" t="s">
        <v>2584</v>
      </c>
      <c r="D468" s="386"/>
      <c r="E468" s="387"/>
      <c r="F468" s="387"/>
      <c r="G468" s="388"/>
      <c r="H468" s="384">
        <f t="shared" si="70"/>
        <v>2</v>
      </c>
      <c r="I468" s="388"/>
      <c r="J468" s="384"/>
      <c r="K468" s="384" t="s">
        <v>410</v>
      </c>
      <c r="L468" s="388"/>
      <c r="M468" s="384"/>
      <c r="N468" s="388"/>
      <c r="O468" s="384"/>
      <c r="P468" s="388"/>
      <c r="Q468" s="388"/>
      <c r="R468" s="384" t="b">
        <v>0</v>
      </c>
      <c r="S468" s="384"/>
      <c r="T468" s="389">
        <v>15</v>
      </c>
      <c r="U468" s="388"/>
      <c r="V468" s="388"/>
      <c r="W468" s="384" t="b">
        <v>0</v>
      </c>
    </row>
    <row r="469" spans="1:23" x14ac:dyDescent="0.3">
      <c r="A469" s="384" t="b">
        <v>0</v>
      </c>
      <c r="B469" s="384">
        <f t="shared" si="69"/>
        <v>7</v>
      </c>
      <c r="C469" s="384" t="s">
        <v>2585</v>
      </c>
      <c r="D469" s="386"/>
      <c r="E469" s="387"/>
      <c r="F469" s="387"/>
      <c r="G469" s="388"/>
      <c r="H469" s="384">
        <f t="shared" si="70"/>
        <v>2</v>
      </c>
      <c r="I469" s="388"/>
      <c r="J469" s="384"/>
      <c r="K469" s="384" t="s">
        <v>410</v>
      </c>
      <c r="L469" s="388"/>
      <c r="M469" s="384"/>
      <c r="N469" s="388"/>
      <c r="O469" s="384"/>
      <c r="P469" s="388"/>
      <c r="Q469" s="388"/>
      <c r="R469" s="384" t="b">
        <v>0</v>
      </c>
      <c r="S469" s="384"/>
      <c r="T469" s="389">
        <v>16</v>
      </c>
      <c r="U469" s="388"/>
      <c r="V469" s="388"/>
      <c r="W469" s="384" t="b">
        <v>0</v>
      </c>
    </row>
    <row r="470" spans="1:23" x14ac:dyDescent="0.3">
      <c r="A470" s="384" t="b">
        <v>0</v>
      </c>
      <c r="B470" s="384">
        <f t="shared" si="69"/>
        <v>7</v>
      </c>
      <c r="C470" s="384" t="s">
        <v>2586</v>
      </c>
      <c r="D470" s="386"/>
      <c r="E470" s="387"/>
      <c r="F470" s="387"/>
      <c r="G470" s="388"/>
      <c r="H470" s="384">
        <f t="shared" si="70"/>
        <v>2</v>
      </c>
      <c r="I470" s="388"/>
      <c r="J470" s="384"/>
      <c r="K470" s="384" t="s">
        <v>410</v>
      </c>
      <c r="L470" s="388"/>
      <c r="M470" s="384"/>
      <c r="N470" s="388"/>
      <c r="O470" s="384"/>
      <c r="P470" s="388"/>
      <c r="Q470" s="388"/>
      <c r="R470" s="384" t="b">
        <v>0</v>
      </c>
      <c r="S470" s="384"/>
      <c r="T470" s="389">
        <v>17</v>
      </c>
      <c r="U470" s="388"/>
      <c r="V470" s="388"/>
      <c r="W470" s="384" t="b">
        <v>0</v>
      </c>
    </row>
    <row r="471" spans="1:23" x14ac:dyDescent="0.3">
      <c r="A471" s="384" t="b">
        <v>0</v>
      </c>
      <c r="B471" s="384">
        <f t="shared" si="69"/>
        <v>7</v>
      </c>
      <c r="C471" s="384" t="s">
        <v>2587</v>
      </c>
      <c r="D471" s="386"/>
      <c r="E471" s="387"/>
      <c r="F471" s="387"/>
      <c r="G471" s="388"/>
      <c r="H471" s="384">
        <f t="shared" si="70"/>
        <v>2</v>
      </c>
      <c r="I471" s="388"/>
      <c r="J471" s="384"/>
      <c r="K471" s="384" t="s">
        <v>410</v>
      </c>
      <c r="L471" s="388"/>
      <c r="M471" s="384"/>
      <c r="N471" s="388"/>
      <c r="O471" s="384"/>
      <c r="P471" s="388"/>
      <c r="Q471" s="388"/>
      <c r="R471" s="384" t="b">
        <v>0</v>
      </c>
      <c r="S471" s="384"/>
      <c r="T471" s="389">
        <v>18</v>
      </c>
      <c r="U471" s="388"/>
      <c r="V471" s="388"/>
      <c r="W471" s="384" t="b">
        <v>0</v>
      </c>
    </row>
    <row r="472" spans="1:23" x14ac:dyDescent="0.3">
      <c r="A472" s="384" t="b">
        <v>0</v>
      </c>
      <c r="B472" s="384">
        <f t="shared" si="69"/>
        <v>7</v>
      </c>
      <c r="C472" s="384" t="s">
        <v>2588</v>
      </c>
      <c r="D472" s="386"/>
      <c r="E472" s="387"/>
      <c r="F472" s="387"/>
      <c r="G472" s="388"/>
      <c r="H472" s="384">
        <f t="shared" si="70"/>
        <v>2</v>
      </c>
      <c r="I472" s="388"/>
      <c r="J472" s="384"/>
      <c r="K472" s="384" t="s">
        <v>410</v>
      </c>
      <c r="L472" s="388"/>
      <c r="M472" s="384"/>
      <c r="N472" s="388"/>
      <c r="O472" s="384"/>
      <c r="P472" s="388"/>
      <c r="Q472" s="388"/>
      <c r="R472" s="384" t="b">
        <v>0</v>
      </c>
      <c r="S472" s="384"/>
      <c r="T472" s="389">
        <v>19</v>
      </c>
      <c r="U472" s="388"/>
      <c r="V472" s="388"/>
      <c r="W472" s="384" t="b">
        <v>0</v>
      </c>
    </row>
    <row r="473" spans="1:23" x14ac:dyDescent="0.3">
      <c r="A473" s="384" t="b">
        <v>0</v>
      </c>
      <c r="B473" s="384">
        <f t="shared" si="69"/>
        <v>7</v>
      </c>
      <c r="C473" s="384" t="s">
        <v>2589</v>
      </c>
      <c r="D473" s="386"/>
      <c r="E473" s="387"/>
      <c r="F473" s="387"/>
      <c r="G473" s="388"/>
      <c r="H473" s="384">
        <f t="shared" si="70"/>
        <v>2</v>
      </c>
      <c r="I473" s="388"/>
      <c r="J473" s="384"/>
      <c r="K473" s="384" t="s">
        <v>410</v>
      </c>
      <c r="L473" s="388"/>
      <c r="M473" s="384"/>
      <c r="N473" s="388"/>
      <c r="O473" s="384"/>
      <c r="P473" s="388"/>
      <c r="Q473" s="388"/>
      <c r="R473" s="384" t="b">
        <v>0</v>
      </c>
      <c r="S473" s="384"/>
      <c r="T473" s="389">
        <v>20</v>
      </c>
      <c r="U473" s="388"/>
      <c r="V473" s="388"/>
      <c r="W473" s="384" t="b">
        <v>0</v>
      </c>
    </row>
    <row r="474" spans="1:23" x14ac:dyDescent="0.3">
      <c r="A474" s="384" t="b">
        <v>0</v>
      </c>
      <c r="B474" s="384">
        <f t="shared" si="69"/>
        <v>7</v>
      </c>
      <c r="C474" s="384" t="s">
        <v>2590</v>
      </c>
      <c r="D474" s="386"/>
      <c r="E474" s="387"/>
      <c r="F474" s="387"/>
      <c r="G474" s="388"/>
      <c r="H474" s="384">
        <f t="shared" si="70"/>
        <v>2</v>
      </c>
      <c r="I474" s="388"/>
      <c r="J474" s="384"/>
      <c r="K474" s="384" t="s">
        <v>410</v>
      </c>
      <c r="L474" s="388"/>
      <c r="M474" s="384"/>
      <c r="N474" s="388"/>
      <c r="O474" s="384"/>
      <c r="P474" s="388"/>
      <c r="Q474" s="388"/>
      <c r="R474" s="384" t="b">
        <v>0</v>
      </c>
      <c r="S474" s="384"/>
      <c r="T474" s="389">
        <v>21</v>
      </c>
      <c r="U474" s="388"/>
      <c r="V474" s="388"/>
      <c r="W474" s="384" t="b">
        <v>0</v>
      </c>
    </row>
    <row r="475" spans="1:23" x14ac:dyDescent="0.3">
      <c r="A475" s="384" t="b">
        <v>0</v>
      </c>
      <c r="B475" s="384">
        <f t="shared" si="69"/>
        <v>7</v>
      </c>
      <c r="C475" s="384" t="s">
        <v>2591</v>
      </c>
      <c r="D475" s="386"/>
      <c r="E475" s="387"/>
      <c r="F475" s="387"/>
      <c r="G475" s="388"/>
      <c r="H475" s="384">
        <f t="shared" si="70"/>
        <v>2</v>
      </c>
      <c r="I475" s="388"/>
      <c r="J475" s="384"/>
      <c r="K475" s="384" t="s">
        <v>410</v>
      </c>
      <c r="L475" s="388"/>
      <c r="M475" s="384"/>
      <c r="N475" s="388"/>
      <c r="O475" s="384"/>
      <c r="P475" s="388"/>
      <c r="Q475" s="388"/>
      <c r="R475" s="384" t="b">
        <v>0</v>
      </c>
      <c r="S475" s="384"/>
      <c r="T475" s="389">
        <v>22</v>
      </c>
      <c r="U475" s="388"/>
      <c r="V475" s="388"/>
      <c r="W475" s="384" t="b">
        <v>0</v>
      </c>
    </row>
    <row r="476" spans="1:23" x14ac:dyDescent="0.3">
      <c r="A476" s="384" t="b">
        <v>0</v>
      </c>
      <c r="B476" s="384">
        <f t="shared" si="69"/>
        <v>7</v>
      </c>
      <c r="C476" s="384" t="s">
        <v>2592</v>
      </c>
      <c r="D476" s="386"/>
      <c r="E476" s="387"/>
      <c r="F476" s="387"/>
      <c r="G476" s="388"/>
      <c r="H476" s="384">
        <f t="shared" si="70"/>
        <v>2</v>
      </c>
      <c r="I476" s="388"/>
      <c r="J476" s="384"/>
      <c r="K476" s="384" t="s">
        <v>410</v>
      </c>
      <c r="L476" s="388"/>
      <c r="M476" s="384"/>
      <c r="N476" s="388"/>
      <c r="O476" s="384"/>
      <c r="P476" s="388"/>
      <c r="Q476" s="388"/>
      <c r="R476" s="384" t="b">
        <v>0</v>
      </c>
      <c r="S476" s="384"/>
      <c r="T476" s="389">
        <v>23</v>
      </c>
      <c r="U476" s="388"/>
      <c r="V476" s="388"/>
      <c r="W476" s="384" t="b">
        <v>0</v>
      </c>
    </row>
    <row r="477" spans="1:23" x14ac:dyDescent="0.3">
      <c r="A477" s="384" t="b">
        <v>0</v>
      </c>
      <c r="B477" s="384">
        <f t="shared" si="69"/>
        <v>7</v>
      </c>
      <c r="C477" s="384" t="s">
        <v>2593</v>
      </c>
      <c r="D477" s="386"/>
      <c r="E477" s="387"/>
      <c r="F477" s="387"/>
      <c r="G477" s="388"/>
      <c r="H477" s="384">
        <f t="shared" si="70"/>
        <v>2</v>
      </c>
      <c r="I477" s="388"/>
      <c r="J477" s="384"/>
      <c r="K477" s="384" t="s">
        <v>410</v>
      </c>
      <c r="L477" s="388"/>
      <c r="M477" s="384"/>
      <c r="N477" s="388"/>
      <c r="O477" s="384"/>
      <c r="P477" s="388"/>
      <c r="Q477" s="388"/>
      <c r="R477" s="384" t="b">
        <v>0</v>
      </c>
      <c r="S477" s="384"/>
      <c r="T477" s="389">
        <v>24</v>
      </c>
      <c r="U477" s="388"/>
      <c r="V477" s="388"/>
      <c r="W477" s="384" t="b">
        <v>0</v>
      </c>
    </row>
    <row r="478" spans="1:23" x14ac:dyDescent="0.3">
      <c r="A478" s="384" t="b">
        <v>0</v>
      </c>
      <c r="B478" s="384">
        <f t="shared" si="69"/>
        <v>7</v>
      </c>
      <c r="C478" s="384" t="s">
        <v>2594</v>
      </c>
      <c r="D478" s="386"/>
      <c r="E478" s="387"/>
      <c r="F478" s="387"/>
      <c r="G478" s="388"/>
      <c r="H478" s="384">
        <f t="shared" si="70"/>
        <v>2</v>
      </c>
      <c r="I478" s="388"/>
      <c r="J478" s="384"/>
      <c r="K478" s="384" t="s">
        <v>410</v>
      </c>
      <c r="L478" s="388"/>
      <c r="M478" s="384"/>
      <c r="N478" s="388"/>
      <c r="O478" s="384"/>
      <c r="P478" s="388"/>
      <c r="Q478" s="388"/>
      <c r="R478" s="384" t="b">
        <v>0</v>
      </c>
      <c r="S478" s="384"/>
      <c r="T478" s="389">
        <v>25</v>
      </c>
      <c r="U478" s="388"/>
      <c r="V478" s="388"/>
      <c r="W478" s="384" t="b">
        <v>0</v>
      </c>
    </row>
    <row r="479" spans="1:23" x14ac:dyDescent="0.3">
      <c r="A479" s="384" t="b">
        <v>0</v>
      </c>
      <c r="B479" s="384">
        <f t="shared" si="69"/>
        <v>7</v>
      </c>
      <c r="C479" s="384" t="s">
        <v>2595</v>
      </c>
      <c r="D479" s="386"/>
      <c r="E479" s="387"/>
      <c r="F479" s="387"/>
      <c r="G479" s="388"/>
      <c r="H479" s="384">
        <f t="shared" si="70"/>
        <v>2</v>
      </c>
      <c r="I479" s="388"/>
      <c r="J479" s="384"/>
      <c r="K479" s="384" t="s">
        <v>410</v>
      </c>
      <c r="L479" s="388"/>
      <c r="M479" s="384"/>
      <c r="N479" s="388"/>
      <c r="O479" s="384"/>
      <c r="P479" s="388"/>
      <c r="Q479" s="388"/>
      <c r="R479" s="384" t="b">
        <v>0</v>
      </c>
      <c r="S479" s="384"/>
      <c r="T479" s="389">
        <v>26</v>
      </c>
      <c r="U479" s="388"/>
      <c r="V479" s="388"/>
      <c r="W479" s="384" t="b">
        <v>0</v>
      </c>
    </row>
    <row r="480" spans="1:23" x14ac:dyDescent="0.3">
      <c r="A480" s="384" t="b">
        <v>0</v>
      </c>
      <c r="B480" s="384">
        <f t="shared" si="69"/>
        <v>7</v>
      </c>
      <c r="C480" s="384" t="s">
        <v>2596</v>
      </c>
      <c r="D480" s="386"/>
      <c r="E480" s="387"/>
      <c r="F480" s="387"/>
      <c r="G480" s="388"/>
      <c r="H480" s="384">
        <f t="shared" si="70"/>
        <v>2</v>
      </c>
      <c r="I480" s="388"/>
      <c r="J480" s="384"/>
      <c r="K480" s="384" t="s">
        <v>410</v>
      </c>
      <c r="L480" s="388"/>
      <c r="M480" s="384"/>
      <c r="N480" s="388"/>
      <c r="O480" s="384"/>
      <c r="P480" s="388"/>
      <c r="Q480" s="388"/>
      <c r="R480" s="384" t="b">
        <v>0</v>
      </c>
      <c r="S480" s="384"/>
      <c r="T480" s="389">
        <v>27</v>
      </c>
      <c r="U480" s="388"/>
      <c r="V480" s="388"/>
      <c r="W480" s="384" t="b">
        <v>0</v>
      </c>
    </row>
    <row r="481" spans="1:23" x14ac:dyDescent="0.3">
      <c r="A481" s="384" t="b">
        <v>0</v>
      </c>
      <c r="B481" s="384">
        <f t="shared" si="69"/>
        <v>7</v>
      </c>
      <c r="C481" s="384" t="s">
        <v>2597</v>
      </c>
      <c r="D481" s="386"/>
      <c r="E481" s="387"/>
      <c r="F481" s="387"/>
      <c r="G481" s="388"/>
      <c r="H481" s="384">
        <f t="shared" si="70"/>
        <v>2</v>
      </c>
      <c r="I481" s="388"/>
      <c r="J481" s="384"/>
      <c r="K481" s="384" t="s">
        <v>410</v>
      </c>
      <c r="L481" s="388"/>
      <c r="M481" s="384"/>
      <c r="N481" s="388"/>
      <c r="O481" s="384"/>
      <c r="P481" s="388"/>
      <c r="Q481" s="388"/>
      <c r="R481" s="384" t="b">
        <v>0</v>
      </c>
      <c r="S481" s="384"/>
      <c r="T481" s="389">
        <v>28</v>
      </c>
      <c r="U481" s="388"/>
      <c r="V481" s="388"/>
      <c r="W481" s="384" t="b">
        <v>0</v>
      </c>
    </row>
    <row r="482" spans="1:23" x14ac:dyDescent="0.3">
      <c r="A482" s="384" t="b">
        <v>0</v>
      </c>
      <c r="B482" s="384">
        <f t="shared" si="69"/>
        <v>7</v>
      </c>
      <c r="C482" s="384" t="s">
        <v>2598</v>
      </c>
      <c r="D482" s="386"/>
      <c r="E482" s="387"/>
      <c r="F482" s="387"/>
      <c r="G482" s="388"/>
      <c r="H482" s="384">
        <f t="shared" si="70"/>
        <v>2</v>
      </c>
      <c r="I482" s="388"/>
      <c r="J482" s="384"/>
      <c r="K482" s="384" t="s">
        <v>410</v>
      </c>
      <c r="L482" s="388"/>
      <c r="M482" s="384"/>
      <c r="N482" s="388"/>
      <c r="O482" s="384"/>
      <c r="P482" s="388"/>
      <c r="Q482" s="388"/>
      <c r="R482" s="384" t="b">
        <v>0</v>
      </c>
      <c r="S482" s="384"/>
      <c r="T482" s="389">
        <v>29</v>
      </c>
      <c r="U482" s="388"/>
      <c r="V482" s="388"/>
      <c r="W482" s="384" t="b">
        <v>0</v>
      </c>
    </row>
    <row r="483" spans="1:23" x14ac:dyDescent="0.3">
      <c r="A483" s="384" t="b">
        <v>0</v>
      </c>
      <c r="B483" s="384">
        <f t="shared" si="69"/>
        <v>7</v>
      </c>
      <c r="C483" s="384" t="s">
        <v>2599</v>
      </c>
      <c r="D483" s="386"/>
      <c r="E483" s="387"/>
      <c r="F483" s="387"/>
      <c r="G483" s="388"/>
      <c r="H483" s="384">
        <f t="shared" si="70"/>
        <v>2</v>
      </c>
      <c r="I483" s="388"/>
      <c r="J483" s="384"/>
      <c r="K483" s="384" t="s">
        <v>410</v>
      </c>
      <c r="L483" s="388"/>
      <c r="M483" s="384"/>
      <c r="N483" s="388"/>
      <c r="O483" s="384"/>
      <c r="P483" s="388"/>
      <c r="Q483" s="388"/>
      <c r="R483" s="384" t="b">
        <v>0</v>
      </c>
      <c r="S483" s="384"/>
      <c r="T483" s="389">
        <v>30</v>
      </c>
      <c r="U483" s="388"/>
      <c r="V483" s="388"/>
      <c r="W483" s="384" t="b">
        <v>0</v>
      </c>
    </row>
    <row r="484" spans="1:23" x14ac:dyDescent="0.3">
      <c r="A484" s="384" t="b">
        <f t="shared" ref="A484:A513" ca="1" si="71">IF(OR(J484&lt;&gt;"",N484&lt;&gt;""),TRUE,FALSE)</f>
        <v>1</v>
      </c>
      <c r="B484" s="384">
        <f t="shared" si="69"/>
        <v>9</v>
      </c>
      <c r="C484" s="393" t="str">
        <f>IFERROR(IF(AND(H484=2,B484=7),"blank",INDEX(C$452:C484,H484,1)),"")</f>
        <v>a18Dm000000GrolIAC</v>
      </c>
      <c r="D484" s="386">
        <f t="shared" ref="D484:D513" ca="1" si="72">IFERROR(IF(INDIRECT("'Coverage Indicators - Section D'!F"&amp;$B484)="","",INDIRECT("'Coverage Indicators - Section D'!F"&amp;$B484)*100),"")</f>
        <v>85.585798816568044</v>
      </c>
      <c r="E484" s="387">
        <f t="shared" ref="E484:E513" ca="1" si="73">IFERROR(IF(INDIRECT("'Coverage Indicators - Section D'!E"&amp;$B484+1)="","",INDIRECT("'Coverage Indicators - Section D'!E"&amp;$B484+1)),"")</f>
        <v>16900</v>
      </c>
      <c r="F484" s="387">
        <f t="shared" ref="F484:F513" ca="1" si="74">IFERROR(IF(INDIRECT("'Coverage Indicators - Section D'!E"&amp;$B484)="","",INDIRECT("'Coverage Indicators - Section D'!E"&amp;$B484)),"")</f>
        <v>14464</v>
      </c>
      <c r="G484" s="388" t="str">
        <f t="shared" ref="G484:G513" ca="1" si="75">IFERROR(IF(INDIRECT("'Coverage Indicators - Section D'!H"&amp;$B484)="","",INDIRECT("'Coverage Indicators - Section D'!H"&amp;$B484)),"")</f>
        <v>Administrative reports</v>
      </c>
      <c r="H484" s="384">
        <f t="shared" si="70"/>
        <v>3</v>
      </c>
      <c r="I484" s="388" t="str">
        <f t="shared" ref="I484:I513" ca="1" si="76">IFERROR(IF(INDIRECT("'Coverage Indicators - Section D'!AL"&amp;$B484)="","",INDIRECT("'Coverage Indicators - Section D'!AL"&amp;$B484)),"")</f>
        <v xml:space="preserve">For 2022 there are no up-to-date data on the estimate of the number of MSM in the country. The last IBBS was conducted in 2021 with the technical support of the CDC, but only for Bishkek, the IBBS for Osh could not be conducted. The denominator shows the MSM population estimates for 2016, the denominator will be revised after the MSM population estimate in the new cycle.                                                                           Numerator: Number of clients of the organization (UIC) who received at least once the minimal package of services (condoms and information component (IEM and/or counseling) during the reporting period. The results will also include those who received a minimum package of services through the online platform. For 1 year of implementation the minimum package through the online platform is 10% of the total coverage, the second year-15%, the third year-20%. Denumerator: Estimated number of men who have sex with men in the targeted area </v>
      </c>
      <c r="J484" s="384" t="str" cm="1">
        <f t="array" aca="1" ref="J484" ca="1">IFERROR(VLOOKUP(LEFT(INDIRECT("'Coverage Indicators - Section D'!C"&amp;$B484),255),LEFT('Reference Records'!C32:F276,255),4,0),"")</f>
        <v>MCI-01623</v>
      </c>
      <c r="K484" s="384" t="str">
        <f ca="1">IFERROR(VLOOKUP(IF(INDIRECT("'Coverage Indicators - Section D'!B"&amp;$B484)="","--select--",INDIRECT("'Coverage Indicators - Section D'!B"&amp;$B484)),'Overview - Section A'!C$101:D133,2,0),"")</f>
        <v>M-82411</v>
      </c>
      <c r="L484" s="388">
        <f t="shared" ref="L484:L513" ca="1" si="77">IFERROR(IF(INDIRECT("'Coverage Indicators - Section D'!G"&amp;$B484)=0,"",INDIRECT("'Coverage Indicators - Section D'!G"&amp;$B484)),"")</f>
        <v>2022</v>
      </c>
      <c r="M484" s="384"/>
      <c r="N484" s="388" t="str">
        <f t="shared" ref="N484:N513" ca="1" si="78">IFERROR(IF(INDIRECT("'Coverage Indicators - Section D'!D"&amp;$B484)=0,"",INDIRECT("'Coverage Indicators - Section D'!D"&amp;$B484)),"")</f>
        <v/>
      </c>
      <c r="O484" s="384" t="str">
        <f t="shared" ref="O484:O513" ca="1" si="79">IFERROR(IF(INDIRECT("'Coverage Indicators - Section D'!L"&amp;$B484)=0,"",INDIRECT("'Coverage Indicators - Section D'!L"&amp;$B484)),"")</f>
        <v/>
      </c>
      <c r="P484" s="388" t="str">
        <f t="shared" ref="P484:P513" ca="1" si="80">IFERROR(IF(INDIRECT("'Coverage Indicators - Section D'!L"&amp;$B484+1)=0,"",INDIRECT("'Coverage Indicators - Section D'!L"&amp;$B484+1)),"")</f>
        <v>Geographic National, 100% of national program target</v>
      </c>
      <c r="Q484" s="388" t="str">
        <f t="shared" ref="Q484:Q513" ca="1" si="81">IFERROR(IF(INDIRECT("'Coverage Indicators - Section D'!M"&amp;$B484)=0,"",INDIRECT("'Coverage Indicators - Section D'!M"&amp;$B484)),"")</f>
        <v/>
      </c>
      <c r="R484" s="384" t="b">
        <f t="shared" ref="R484:R513" ca="1" si="82">IFERROR(IF(INDIRECT("'Coverage Indicators - Section D'!J"&amp;$B484)=0,"FALSE",IF(INDIRECT("'Coverage Indicators - Section D'!J"&amp;$B484)="Yes",TRUE,FALSE)),"")</f>
        <v>1</v>
      </c>
      <c r="S484" s="384" t="str">
        <f ca="1">IFERROR(VLOOKUP(INDIRECT("'Coverage Indicators - Section D'!K"&amp;$B484),'Overview - Section A'!M$30:P72,4,0),IFERROR(IF(VLOOKUP(INDIRECT("'Coverage Indicators - Section D'!K"&amp;$B484),'Overview - Section A'!E$27:I60,5,0)=0,"",VLOOKUP(INDIRECT("'Coverage Indicators - Section D'!K"&amp;$B484),'Overview - Section A'!E$27:I60,5,0)),""))</f>
        <v/>
      </c>
      <c r="T484" s="389"/>
      <c r="U484" s="388"/>
      <c r="V484" s="388"/>
      <c r="W484" s="384" t="b">
        <f t="shared" ref="W484:W513" ca="1" si="83">IF(IFERROR(IF(INDIRECT("'Coverage Indicators - Section D'!C"&amp;$B484)&lt;&gt; 0,INDIRECT("'Coverage Indicators - Section D'!AZ"&amp;$B484),
 IF(INDIRECT("'Coverage Indicators - Section D'!D"&amp;$B484)&lt;&gt;0,INDIRECT("'Coverage Indicators - Section D'!BA"&amp;$B484),"FALSE")
 ),"") = "Yes", TRUE, FALSE)</f>
        <v>0</v>
      </c>
    </row>
    <row r="485" spans="1:23" x14ac:dyDescent="0.3">
      <c r="A485" s="384" t="b">
        <f t="shared" ca="1" si="71"/>
        <v>1</v>
      </c>
      <c r="B485" s="384">
        <f t="shared" si="69"/>
        <v>11</v>
      </c>
      <c r="C485" s="393" t="str">
        <f>IFERROR(IF(AND(H485=2,B485=7),"blank",INDEX(C$452:C485,H485,1)),"")</f>
        <v>a18Dm000000GromIAC</v>
      </c>
      <c r="D485" s="386">
        <f t="shared" ca="1" si="72"/>
        <v>65.113332394762779</v>
      </c>
      <c r="E485" s="387">
        <f t="shared" ca="1" si="73"/>
        <v>7103</v>
      </c>
      <c r="F485" s="387">
        <f t="shared" ca="1" si="74"/>
        <v>4625</v>
      </c>
      <c r="G485" s="388" t="str">
        <f t="shared" ca="1" si="75"/>
        <v>Administrative reports</v>
      </c>
      <c r="H485" s="384">
        <f t="shared" si="70"/>
        <v>4</v>
      </c>
      <c r="I485" s="388" t="str">
        <f t="shared" ca="1" si="76"/>
        <v>For 2022 there is no current data on the estimate of the number of SW in the country. Analysis of data on SW has not been completed. In the denominator there are estimates of the number of SW in 2013.              Numerator: Number of clients of the organization (UIC) who received at least once the minimal package of services (condoms and information component (IEM and/or counseling) during the reporting period. The results will also include those who received a minimum package of services through the online platform. For 1 year of implementation the minimum package through the online platform is 10% of the total coverage, the second year-15%, the third year-20%. Denumerator: Estimated number of SW in the targeted area. Coverage of SWs in this cycle was not fully achieved for various reasons. Coverage of SWs in this cycle was not fully achieved for various reasons.</v>
      </c>
      <c r="J485" s="384" t="str" cm="1">
        <f t="array" aca="1" ref="J485" ca="1">IFERROR(VLOOKUP(LEFT(INDIRECT("'Coverage Indicators - Section D'!C"&amp;$B485),255),LEFT('Reference Records'!C33:F277,255),4,0),"")</f>
        <v>MCI-01521</v>
      </c>
      <c r="K485" s="384" t="str">
        <f ca="1">IFERROR(VLOOKUP(IF(INDIRECT("'Coverage Indicators - Section D'!B"&amp;$B485)="","--select--",INDIRECT("'Coverage Indicators - Section D'!B"&amp;$B485)),'Overview - Section A'!C$101:D134,2,0),"")</f>
        <v>M-82412</v>
      </c>
      <c r="L485" s="388">
        <f t="shared" ca="1" si="77"/>
        <v>2022</v>
      </c>
      <c r="M485" s="384"/>
      <c r="N485" s="388" t="str">
        <f t="shared" ca="1" si="78"/>
        <v/>
      </c>
      <c r="O485" s="384" t="str">
        <f t="shared" ca="1" si="79"/>
        <v/>
      </c>
      <c r="P485" s="388" t="str">
        <f t="shared" ca="1" si="80"/>
        <v>Geographic National, 100% of national program target</v>
      </c>
      <c r="Q485" s="388" t="str">
        <f t="shared" ca="1" si="81"/>
        <v/>
      </c>
      <c r="R485" s="384" t="b">
        <f t="shared" ca="1" si="82"/>
        <v>1</v>
      </c>
      <c r="S485" s="384" t="str">
        <f ca="1">IFERROR(VLOOKUP(INDIRECT("'Coverage Indicators - Section D'!K"&amp;$B485),'Overview - Section A'!M$30:P73,4,0),IFERROR(IF(VLOOKUP(INDIRECT("'Coverage Indicators - Section D'!K"&amp;$B485),'Overview - Section A'!E$27:I61,5,0)=0,"",VLOOKUP(INDIRECT("'Coverage Indicators - Section D'!K"&amp;$B485),'Overview - Section A'!E$27:I61,5,0)),""))</f>
        <v/>
      </c>
      <c r="T485" s="389"/>
      <c r="U485" s="388"/>
      <c r="V485" s="388"/>
      <c r="W485" s="384" t="b">
        <f t="shared" ca="1" si="83"/>
        <v>0</v>
      </c>
    </row>
    <row r="486" spans="1:23" x14ac:dyDescent="0.3">
      <c r="A486" s="384" t="b">
        <f t="shared" ca="1" si="71"/>
        <v>1</v>
      </c>
      <c r="B486" s="384">
        <f t="shared" si="69"/>
        <v>13</v>
      </c>
      <c r="C486" s="393" t="str">
        <f>IFERROR(IF(AND(H486=2,B486=7),"blank",INDEX(C$452:C486,H486,1)),"")</f>
        <v>a18Dm000000GronIAC</v>
      </c>
      <c r="D486" s="386">
        <f t="shared" ca="1" si="72"/>
        <v>99</v>
      </c>
      <c r="E486" s="387">
        <f t="shared" ca="1" si="73"/>
        <v>300</v>
      </c>
      <c r="F486" s="387">
        <f t="shared" ca="1" si="74"/>
        <v>297</v>
      </c>
      <c r="G486" s="388" t="str">
        <f t="shared" ca="1" si="75"/>
        <v>Administrative reports</v>
      </c>
      <c r="H486" s="384">
        <f t="shared" si="70"/>
        <v>5</v>
      </c>
      <c r="I486" s="388" t="str">
        <f t="shared" ca="1" si="76"/>
        <v>In the denominator program data on coverage of TG people in the framework of UNDP/GF project for 2022, there is no estimated data on the number of TG people in the country. In 2022 there was an attempt to conduct IBBS among TG people (RDS was used), but 56 TG people took part in IBBS and did not reach convergence.                                                               Numerator: Number of clients of the organization (UIC) who received at least once the minimal package of services (condoms and information component (IEM and/or counseling) during the reporting period. The results will also include those who received a minimum package of services through the online platform. For 1 year of implementation the minimum package through the online platform is 10% of the total coverage, the second year-15%, the third year-20%. Denumerator: Number of TG people in the project. In this cycle, there was no separate indicator for the TG group, TG people were in MSM coverage.</v>
      </c>
      <c r="J486" s="384" t="str" cm="1">
        <f t="array" aca="1" ref="J486" ca="1">IFERROR(VLOOKUP(LEFT(INDIRECT("'Coverage Indicators - Section D'!C"&amp;$B486),255),LEFT('Reference Records'!C34:F278,255),4,0),"")</f>
        <v>MCI-01609</v>
      </c>
      <c r="K486" s="384" t="str">
        <f ca="1">IFERROR(VLOOKUP(IF(INDIRECT("'Coverage Indicators - Section D'!B"&amp;$B486)="","--select--",INDIRECT("'Coverage Indicators - Section D'!B"&amp;$B486)),'Overview - Section A'!C$101:D135,2,0),"")</f>
        <v>M-82413</v>
      </c>
      <c r="L486" s="388">
        <f t="shared" ca="1" si="77"/>
        <v>2022</v>
      </c>
      <c r="M486" s="384"/>
      <c r="N486" s="388" t="str">
        <f t="shared" ca="1" si="78"/>
        <v/>
      </c>
      <c r="O486" s="384" t="str">
        <f t="shared" ca="1" si="79"/>
        <v/>
      </c>
      <c r="P486" s="388" t="str">
        <f t="shared" ca="1" si="80"/>
        <v>Geographic National, 100% of national program target</v>
      </c>
      <c r="Q486" s="388" t="str">
        <f t="shared" ca="1" si="81"/>
        <v/>
      </c>
      <c r="R486" s="384" t="b">
        <f t="shared" ca="1" si="82"/>
        <v>1</v>
      </c>
      <c r="S486" s="384" t="str">
        <f ca="1">IFERROR(VLOOKUP(INDIRECT("'Coverage Indicators - Section D'!K"&amp;$B486),'Overview - Section A'!M$30:P74,4,0),IFERROR(IF(VLOOKUP(INDIRECT("'Coverage Indicators - Section D'!K"&amp;$B486),'Overview - Section A'!E$27:I62,5,0)=0,"",VLOOKUP(INDIRECT("'Coverage Indicators - Section D'!K"&amp;$B486),'Overview - Section A'!E$27:I62,5,0)),""))</f>
        <v/>
      </c>
      <c r="T486" s="389"/>
      <c r="U486" s="388"/>
      <c r="V486" s="388"/>
      <c r="W486" s="384" t="b">
        <f t="shared" ca="1" si="83"/>
        <v>0</v>
      </c>
    </row>
    <row r="487" spans="1:23" x14ac:dyDescent="0.3">
      <c r="A487" s="384" t="b">
        <f t="shared" ca="1" si="71"/>
        <v>1</v>
      </c>
      <c r="B487" s="384">
        <f t="shared" si="69"/>
        <v>15</v>
      </c>
      <c r="C487" s="393" t="str">
        <f>IFERROR(IF(AND(H487=2,B487=7),"blank",INDEX(C$452:C487,H487,1)),"")</f>
        <v>a18Dm000000GrooIAC</v>
      </c>
      <c r="D487" s="386">
        <f t="shared" ca="1" si="72"/>
        <v>100</v>
      </c>
      <c r="E487" s="387">
        <f t="shared" ca="1" si="73"/>
        <v>17379</v>
      </c>
      <c r="F487" s="387">
        <f t="shared" ca="1" si="74"/>
        <v>17379</v>
      </c>
      <c r="G487" s="388" t="str">
        <f t="shared" ca="1" si="75"/>
        <v>Administrative reports</v>
      </c>
      <c r="H487" s="384">
        <f t="shared" si="70"/>
        <v>6</v>
      </c>
      <c r="I487" s="388" t="str">
        <f t="shared" ca="1" si="76"/>
        <v xml:space="preserve">According to the 2021 PWID data, the estimate of the number of PWID in the country was 11,500, while the coverage of PWID by prevention programs was 17,379 for the year 2022. The denominator is program data, but prevention programs do not cover all PWID in the country, so the denominator is set at 20,000. After assessing the number of PWID in the country, the denominator will be revised.                                                                               Numerator: Number of clients of the organization (UIC) who received at least once the minimal package of services (syringes, condoms, information component). The results will also include those who received a minimum package of services through the online platform. For 1 year of implementation the minimum package through the online platform is 10% of the total coverage, the second year-15%, the third year-20%. Denumerator: Estimated number of PWID in the targeted area.  </v>
      </c>
      <c r="J487" s="384" t="str" cm="1">
        <f t="array" aca="1" ref="J487" ca="1">IFERROR(VLOOKUP(LEFT(INDIRECT("'Coverage Indicators - Section D'!C"&amp;$B487),255),LEFT('Reference Records'!C35:F279,255),4,0),"")</f>
        <v>MCI-01524</v>
      </c>
      <c r="K487" s="384" t="str">
        <f ca="1">IFERROR(VLOOKUP(IF(INDIRECT("'Coverage Indicators - Section D'!B"&amp;$B487)="","--select--",INDIRECT("'Coverage Indicators - Section D'!B"&amp;$B487)),'Overview - Section A'!C$101:D136,2,0),"")</f>
        <v>M-82414</v>
      </c>
      <c r="L487" s="388">
        <f t="shared" ca="1" si="77"/>
        <v>2022</v>
      </c>
      <c r="M487" s="384"/>
      <c r="N487" s="388" t="str">
        <f t="shared" ca="1" si="78"/>
        <v/>
      </c>
      <c r="O487" s="384" t="str">
        <f t="shared" ca="1" si="79"/>
        <v/>
      </c>
      <c r="P487" s="388" t="str">
        <f t="shared" ca="1" si="80"/>
        <v>Geographic National, 100% of national program target</v>
      </c>
      <c r="Q487" s="388" t="str">
        <f t="shared" ca="1" si="81"/>
        <v/>
      </c>
      <c r="R487" s="384" t="b">
        <f t="shared" ca="1" si="82"/>
        <v>1</v>
      </c>
      <c r="S487" s="384" t="str">
        <f ca="1">IFERROR(VLOOKUP(INDIRECT("'Coverage Indicators - Section D'!K"&amp;$B487),'Overview - Section A'!M$30:P75,4,0),IFERROR(IF(VLOOKUP(INDIRECT("'Coverage Indicators - Section D'!K"&amp;$B487),'Overview - Section A'!E$27:I63,5,0)=0,"",VLOOKUP(INDIRECT("'Coverage Indicators - Section D'!K"&amp;$B487),'Overview - Section A'!E$27:I63,5,0)),""))</f>
        <v/>
      </c>
      <c r="T487" s="389"/>
      <c r="U487" s="388"/>
      <c r="V487" s="388"/>
      <c r="W487" s="384" t="b">
        <f t="shared" ca="1" si="83"/>
        <v>0</v>
      </c>
    </row>
    <row r="488" spans="1:23" x14ac:dyDescent="0.3">
      <c r="A488" s="384" t="b">
        <f t="shared" ca="1" si="71"/>
        <v>1</v>
      </c>
      <c r="B488" s="384">
        <f t="shared" si="69"/>
        <v>17</v>
      </c>
      <c r="C488" s="393" t="str">
        <f>IFERROR(IF(AND(H488=2,B488=7),"blank",INDEX(C$452:C488,H488,1)),"")</f>
        <v>a18Dm000000GropIAC</v>
      </c>
      <c r="D488" s="386">
        <f t="shared" ca="1" si="72"/>
        <v>98</v>
      </c>
      <c r="E488" s="387">
        <f t="shared" ca="1" si="73"/>
        <v>150</v>
      </c>
      <c r="F488" s="387">
        <f t="shared" ca="1" si="74"/>
        <v>147</v>
      </c>
      <c r="G488" s="388" t="str">
        <f t="shared" ca="1" si="75"/>
        <v>Electronic HIV Case Tracking System and RCHV&amp;HIV report
and data from UNAIDS (Estimated Number on PLHIV)</v>
      </c>
      <c r="H488" s="384">
        <f t="shared" si="70"/>
        <v>7</v>
      </c>
      <c r="I488" s="388" t="str">
        <f t="shared" ca="1" si="76"/>
        <v>In the previous cycle, the target for MSM pre-exposure prophylaxis coverage was 150 MSM per year, an indicator new to the country; in the new cycle the target is 170 MSM per year, in the second year 200, in the third year 250.                                                                                                 Number of clients (UIC) who received pre-treatment counseling services and were accompanied to the AIDS Center for pre-exposure prophylaxis in this reporting period.</v>
      </c>
      <c r="J488" s="384" t="str" cm="1">
        <f t="array" aca="1" ref="J488" ca="1">IFERROR(VLOOKUP(LEFT(INDIRECT("'Coverage Indicators - Section D'!C"&amp;$B488),255),LEFT('Reference Records'!C36:F280,255),4,0),"")</f>
        <v>MCI-01624</v>
      </c>
      <c r="K488" s="384" t="str">
        <f ca="1">IFERROR(VLOOKUP(IF(INDIRECT("'Coverage Indicators - Section D'!B"&amp;$B488)="","--select--",INDIRECT("'Coverage Indicators - Section D'!B"&amp;$B488)),'Overview - Section A'!C$101:D137,2,0),"")</f>
        <v>M-82411</v>
      </c>
      <c r="L488" s="388">
        <f t="shared" ca="1" si="77"/>
        <v>2022</v>
      </c>
      <c r="M488" s="384"/>
      <c r="N488" s="388" t="str">
        <f t="shared" ca="1" si="78"/>
        <v/>
      </c>
      <c r="O488" s="384" t="str">
        <f t="shared" ca="1" si="79"/>
        <v/>
      </c>
      <c r="P488" s="388" t="str">
        <f t="shared" ca="1" si="80"/>
        <v>Geographic National, 100% of national program target</v>
      </c>
      <c r="Q488" s="388" t="str">
        <f t="shared" ca="1" si="81"/>
        <v/>
      </c>
      <c r="R488" s="384" t="str">
        <f t="shared" ca="1" si="82"/>
        <v>FALSE</v>
      </c>
      <c r="S488" s="384" t="str">
        <f ca="1">IFERROR(VLOOKUP(INDIRECT("'Coverage Indicators - Section D'!K"&amp;$B488),'Overview - Section A'!M$30:P76,4,0),IFERROR(IF(VLOOKUP(INDIRECT("'Coverage Indicators - Section D'!K"&amp;$B488),'Overview - Section A'!E$27:I64,5,0)=0,"",VLOOKUP(INDIRECT("'Coverage Indicators - Section D'!K"&amp;$B488),'Overview - Section A'!E$27:I64,5,0)),""))</f>
        <v/>
      </c>
      <c r="T488" s="389"/>
      <c r="U488" s="388"/>
      <c r="V488" s="388"/>
      <c r="W488" s="384" t="b">
        <f t="shared" ca="1" si="83"/>
        <v>0</v>
      </c>
    </row>
    <row r="489" spans="1:23" x14ac:dyDescent="0.3">
      <c r="A489" s="384" t="b">
        <f t="shared" ca="1" si="71"/>
        <v>1</v>
      </c>
      <c r="B489" s="384">
        <f t="shared" si="69"/>
        <v>19</v>
      </c>
      <c r="C489" s="393" t="str">
        <f>IFERROR(IF(AND(H489=2,B489=7),"blank",INDEX(C$452:C489,H489,1)),"")</f>
        <v>a18Dm000000GroqIAC</v>
      </c>
      <c r="D489" s="386">
        <f t="shared" ca="1" si="72"/>
        <v>60.994082840236686</v>
      </c>
      <c r="E489" s="387">
        <f t="shared" ca="1" si="73"/>
        <v>16900</v>
      </c>
      <c r="F489" s="387">
        <f t="shared" ca="1" si="74"/>
        <v>10308</v>
      </c>
      <c r="G489" s="388" t="str">
        <f t="shared" ca="1" si="75"/>
        <v>Administrative reports</v>
      </c>
      <c r="H489" s="384">
        <f t="shared" si="70"/>
        <v>8</v>
      </c>
      <c r="I489" s="388" t="str">
        <f t="shared" ca="1" si="76"/>
        <v xml:space="preserve">Numerator: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Denumerator: The number of program clients covered by the minimum package of services
Each quarter, different clients (UIC) must be tested, so the number of customers tested for quarters in total should give the total number of customers tested (UIC) for six months. </v>
      </c>
      <c r="J489" s="384" t="str" cm="1">
        <f t="array" aca="1" ref="J489" ca="1">IFERROR(VLOOKUP(LEFT(INDIRECT("'Coverage Indicators - Section D'!C"&amp;$B489),255),LEFT('Reference Records'!C37:F281,255),4,0),"")</f>
        <v>MCI-01614</v>
      </c>
      <c r="K489" s="384" t="str">
        <f ca="1">IFERROR(VLOOKUP(IF(INDIRECT("'Coverage Indicators - Section D'!B"&amp;$B489)="","--select--",INDIRECT("'Coverage Indicators - Section D'!B"&amp;$B489)),'Overview - Section A'!C$101:D138,2,0),"")</f>
        <v>M-82415</v>
      </c>
      <c r="L489" s="388">
        <f t="shared" ca="1" si="77"/>
        <v>2022</v>
      </c>
      <c r="M489" s="384"/>
      <c r="N489" s="388" t="str">
        <f t="shared" ca="1" si="78"/>
        <v/>
      </c>
      <c r="O489" s="384" t="str">
        <f t="shared" ca="1" si="79"/>
        <v/>
      </c>
      <c r="P489" s="388" t="str">
        <f t="shared" ca="1" si="80"/>
        <v>Geographic National, 100% of national program target</v>
      </c>
      <c r="Q489" s="388" t="str">
        <f t="shared" ca="1" si="81"/>
        <v/>
      </c>
      <c r="R489" s="384" t="b">
        <f t="shared" ca="1" si="82"/>
        <v>1</v>
      </c>
      <c r="S489" s="384" t="str">
        <f ca="1">IFERROR(VLOOKUP(INDIRECT("'Coverage Indicators - Section D'!K"&amp;$B489),'Overview - Section A'!M$30:P77,4,0),IFERROR(IF(VLOOKUP(INDIRECT("'Coverage Indicators - Section D'!K"&amp;$B489),'Overview - Section A'!E$27:I65,5,0)=0,"",VLOOKUP(INDIRECT("'Coverage Indicators - Section D'!K"&amp;$B489),'Overview - Section A'!E$27:I65,5,0)),""))</f>
        <v/>
      </c>
      <c r="T489" s="389"/>
      <c r="U489" s="388"/>
      <c r="V489" s="388"/>
      <c r="W489" s="384" t="b">
        <f t="shared" ca="1" si="83"/>
        <v>0</v>
      </c>
    </row>
    <row r="490" spans="1:23" x14ac:dyDescent="0.3">
      <c r="A490" s="384" t="b">
        <f t="shared" ca="1" si="71"/>
        <v>1</v>
      </c>
      <c r="B490" s="384">
        <f t="shared" si="69"/>
        <v>21</v>
      </c>
      <c r="C490" s="393" t="str">
        <f>IFERROR(IF(AND(H490=2,B490=7),"blank",INDEX(C$452:C490,H490,1)),"")</f>
        <v>a18Dm000000GrorIAC</v>
      </c>
      <c r="D490" s="386">
        <f t="shared" ca="1" si="72"/>
        <v>54.103899760664511</v>
      </c>
      <c r="E490" s="387">
        <f t="shared" ca="1" si="73"/>
        <v>7103</v>
      </c>
      <c r="F490" s="387">
        <f t="shared" ca="1" si="74"/>
        <v>3843</v>
      </c>
      <c r="G490" s="388" t="str">
        <f t="shared" ca="1" si="75"/>
        <v>Administrative reports</v>
      </c>
      <c r="H490" s="384">
        <f t="shared" si="70"/>
        <v>9</v>
      </c>
      <c r="I490" s="388" t="str">
        <f t="shared" ca="1" si="76"/>
        <v>Numerator: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Denumerator: The number of program clients covered by the minimum package of services
Each quarter, different clients (UIC) must be tested, so the number of customers tested for quarters in total should give the total number of customers tested (UIC) for six months. Due to the fact that SW coverage with the minimum package of services is not achieved, testing coverage was also not achieved in this cycle.</v>
      </c>
      <c r="J490" s="384" t="str" cm="1">
        <f t="array" aca="1" ref="J490" ca="1">IFERROR(VLOOKUP(LEFT(INDIRECT("'Coverage Indicators - Section D'!C"&amp;$B490),255),LEFT('Reference Records'!C38:F282,255),4,0),"")</f>
        <v>MCI-01616</v>
      </c>
      <c r="K490" s="384" t="str">
        <f ca="1">IFERROR(VLOOKUP(IF(INDIRECT("'Coverage Indicators - Section D'!B"&amp;$B490)="","--select--",INDIRECT("'Coverage Indicators - Section D'!B"&amp;$B490)),'Overview - Section A'!C$101:D139,2,0),"")</f>
        <v>M-82415</v>
      </c>
      <c r="L490" s="388">
        <f t="shared" ca="1" si="77"/>
        <v>2022</v>
      </c>
      <c r="M490" s="384"/>
      <c r="N490" s="388" t="str">
        <f t="shared" ca="1" si="78"/>
        <v/>
      </c>
      <c r="O490" s="384" t="str">
        <f t="shared" ca="1" si="79"/>
        <v/>
      </c>
      <c r="P490" s="388" t="str">
        <f t="shared" ca="1" si="80"/>
        <v>Geographic National, 100% of national program target</v>
      </c>
      <c r="Q490" s="388" t="str">
        <f t="shared" ca="1" si="81"/>
        <v/>
      </c>
      <c r="R490" s="384" t="b">
        <f t="shared" ca="1" si="82"/>
        <v>1</v>
      </c>
      <c r="S490" s="384" t="str">
        <f ca="1">IFERROR(VLOOKUP(INDIRECT("'Coverage Indicators - Section D'!K"&amp;$B490),'Overview - Section A'!M$30:P78,4,0),IFERROR(IF(VLOOKUP(INDIRECT("'Coverage Indicators - Section D'!K"&amp;$B490),'Overview - Section A'!E$27:I66,5,0)=0,"",VLOOKUP(INDIRECT("'Coverage Indicators - Section D'!K"&amp;$B490),'Overview - Section A'!E$27:I66,5,0)),""))</f>
        <v/>
      </c>
      <c r="T490" s="389"/>
      <c r="U490" s="388"/>
      <c r="V490" s="388"/>
      <c r="W490" s="384" t="b">
        <f t="shared" ca="1" si="83"/>
        <v>0</v>
      </c>
    </row>
    <row r="491" spans="1:23" x14ac:dyDescent="0.3">
      <c r="A491" s="384" t="b">
        <f t="shared" ca="1" si="71"/>
        <v>1</v>
      </c>
      <c r="B491" s="384">
        <f t="shared" si="69"/>
        <v>23</v>
      </c>
      <c r="C491" s="393" t="str">
        <f>IFERROR(IF(AND(H491=2,B491=7),"blank",INDEX(C$452:C491,H491,1)),"")</f>
        <v>a18Dm000000GrosIAC</v>
      </c>
      <c r="D491" s="386">
        <f t="shared" ca="1" si="72"/>
        <v>95</v>
      </c>
      <c r="E491" s="387">
        <f t="shared" ca="1" si="73"/>
        <v>300</v>
      </c>
      <c r="F491" s="387">
        <f t="shared" ca="1" si="74"/>
        <v>285</v>
      </c>
      <c r="G491" s="388" t="str">
        <f t="shared" ca="1" si="75"/>
        <v>Administrative reports</v>
      </c>
      <c r="H491" s="384">
        <f t="shared" si="70"/>
        <v>10</v>
      </c>
      <c r="I491" s="388" t="str">
        <f t="shared" ca="1" si="76"/>
        <v>Numerator: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Denumerator: The number of program clients covered by the minimum package of services
Each quarter, different clients (UIC) must be tested, so the number of customers tested for quarters in total should give the total number of customers tested (UIC) for six months. In this cycle, there was no separate indicator for the TG group, TG people were in MSM coverage.</v>
      </c>
      <c r="J491" s="384" t="str" cm="1">
        <f t="array" aca="1" ref="J491" ca="1">IFERROR(VLOOKUP(LEFT(INDIRECT("'Coverage Indicators - Section D'!C"&amp;$B491),255),LEFT('Reference Records'!C39:F283,255),4,0),"")</f>
        <v>MCI-01615</v>
      </c>
      <c r="K491" s="384" t="str">
        <f ca="1">IFERROR(VLOOKUP(IF(INDIRECT("'Coverage Indicators - Section D'!B"&amp;$B491)="","--select--",INDIRECT("'Coverage Indicators - Section D'!B"&amp;$B491)),'Overview - Section A'!C$101:D140,2,0),"")</f>
        <v>M-82415</v>
      </c>
      <c r="L491" s="388">
        <f t="shared" ca="1" si="77"/>
        <v>2022</v>
      </c>
      <c r="M491" s="384"/>
      <c r="N491" s="388" t="str">
        <f t="shared" ca="1" si="78"/>
        <v/>
      </c>
      <c r="O491" s="384" t="str">
        <f t="shared" ca="1" si="79"/>
        <v/>
      </c>
      <c r="P491" s="388" t="str">
        <f t="shared" ca="1" si="80"/>
        <v>Geographic National, 100% of national program target</v>
      </c>
      <c r="Q491" s="388" t="str">
        <f t="shared" ca="1" si="81"/>
        <v/>
      </c>
      <c r="R491" s="384" t="b">
        <f t="shared" ca="1" si="82"/>
        <v>1</v>
      </c>
      <c r="S491" s="384" t="str">
        <f ca="1">IFERROR(VLOOKUP(INDIRECT("'Coverage Indicators - Section D'!K"&amp;$B491),'Overview - Section A'!M$30:P79,4,0),IFERROR(IF(VLOOKUP(INDIRECT("'Coverage Indicators - Section D'!K"&amp;$B491),'Overview - Section A'!E$27:I67,5,0)=0,"",VLOOKUP(INDIRECT("'Coverage Indicators - Section D'!K"&amp;$B491),'Overview - Section A'!E$27:I67,5,0)),""))</f>
        <v/>
      </c>
      <c r="T491" s="389"/>
      <c r="U491" s="388"/>
      <c r="V491" s="388"/>
      <c r="W491" s="384" t="b">
        <f t="shared" ca="1" si="83"/>
        <v>0</v>
      </c>
    </row>
    <row r="492" spans="1:23" x14ac:dyDescent="0.3">
      <c r="A492" s="384" t="b">
        <f t="shared" ca="1" si="71"/>
        <v>1</v>
      </c>
      <c r="B492" s="384">
        <f t="shared" si="69"/>
        <v>25</v>
      </c>
      <c r="C492" s="393" t="str">
        <f>IFERROR(IF(AND(H492=2,B492=7),"blank",INDEX(C$452:C492,H492,1)),"")</f>
        <v>a18Dm000000GrotIAC</v>
      </c>
      <c r="D492" s="386">
        <f t="shared" ca="1" si="72"/>
        <v>92.652051326313369</v>
      </c>
      <c r="E492" s="387">
        <f t="shared" ca="1" si="73"/>
        <v>17379</v>
      </c>
      <c r="F492" s="387">
        <f t="shared" ca="1" si="74"/>
        <v>16102</v>
      </c>
      <c r="G492" s="388" t="str">
        <f t="shared" ca="1" si="75"/>
        <v>Administrative reports</v>
      </c>
      <c r="H492" s="384">
        <f t="shared" si="70"/>
        <v>11</v>
      </c>
      <c r="I492" s="388" t="str">
        <f t="shared" ca="1" si="76"/>
        <v>Numerator: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Denumerator: The number of program clients covered by the minimum package of services
Each quarter, different clients (UIC) must be tested, so the number of customers tested for quarters in total should give the total number of customers tested (UIC) for six months</v>
      </c>
      <c r="J492" s="384" t="str" cm="1">
        <f t="array" aca="1" ref="J492" ca="1">IFERROR(VLOOKUP(LEFT(INDIRECT("'Coverage Indicators - Section D'!C"&amp;$B492),255),LEFT('Reference Records'!C40:F284,255),4,0),"")</f>
        <v>MCI-01617</v>
      </c>
      <c r="K492" s="384" t="str">
        <f ca="1">IFERROR(VLOOKUP(IF(INDIRECT("'Coverage Indicators - Section D'!B"&amp;$B492)="","--select--",INDIRECT("'Coverage Indicators - Section D'!B"&amp;$B492)),'Overview - Section A'!C$101:D141,2,0),"")</f>
        <v>M-82415</v>
      </c>
      <c r="L492" s="388">
        <f t="shared" ca="1" si="77"/>
        <v>2022</v>
      </c>
      <c r="M492" s="384"/>
      <c r="N492" s="388" t="str">
        <f t="shared" ca="1" si="78"/>
        <v/>
      </c>
      <c r="O492" s="384" t="str">
        <f t="shared" ca="1" si="79"/>
        <v/>
      </c>
      <c r="P492" s="388" t="str">
        <f t="shared" ca="1" si="80"/>
        <v>Geographic National, 100% of national program target</v>
      </c>
      <c r="Q492" s="388" t="str">
        <f t="shared" ca="1" si="81"/>
        <v/>
      </c>
      <c r="R492" s="384" t="b">
        <f t="shared" ca="1" si="82"/>
        <v>1</v>
      </c>
      <c r="S492" s="384" t="str">
        <f ca="1">IFERROR(VLOOKUP(INDIRECT("'Coverage Indicators - Section D'!K"&amp;$B492),'Overview - Section A'!M$30:P80,4,0),IFERROR(IF(VLOOKUP(INDIRECT("'Coverage Indicators - Section D'!K"&amp;$B492),'Overview - Section A'!E$27:I68,5,0)=0,"",VLOOKUP(INDIRECT("'Coverage Indicators - Section D'!K"&amp;$B492),'Overview - Section A'!E$27:I68,5,0)),""))</f>
        <v/>
      </c>
      <c r="T492" s="389"/>
      <c r="U492" s="388"/>
      <c r="V492" s="388"/>
      <c r="W492" s="384" t="b">
        <f t="shared" ca="1" si="83"/>
        <v>0</v>
      </c>
    </row>
    <row r="493" spans="1:23" x14ac:dyDescent="0.3">
      <c r="A493" s="384" t="b">
        <f t="shared" ca="1" si="71"/>
        <v>1</v>
      </c>
      <c r="B493" s="384">
        <f t="shared" si="69"/>
        <v>27</v>
      </c>
      <c r="C493" s="393" t="str">
        <f>IFERROR(IF(AND(H493=2,B493=7),"blank",INDEX(C$452:C493,H493,1)),"")</f>
        <v>a18Dm000000GrouIAC</v>
      </c>
      <c r="D493" s="386">
        <f t="shared" ca="1" si="72"/>
        <v>70.414012738853501</v>
      </c>
      <c r="E493" s="387">
        <f t="shared" ca="1" si="73"/>
        <v>6280</v>
      </c>
      <c r="F493" s="387">
        <f t="shared" ca="1" si="74"/>
        <v>4422</v>
      </c>
      <c r="G493" s="388" t="str">
        <f t="shared" ca="1" si="75"/>
        <v xml:space="preserve">VCT register, consolidated table on SSES in Excel table </v>
      </c>
      <c r="H493" s="384">
        <f t="shared" si="70"/>
        <v>12</v>
      </c>
      <c r="I493" s="388" t="str">
        <f t="shared" ca="1" si="76"/>
        <v>Numerator:The number of clients (UIN) who passed a rapid HIV testing in this reporting period (including pre and post counseling) or received referrals for HIV testing. Denumerator: The number of prison population                                                            Each quarter should be tested different clients ans the sum of tested cleints is the number of tested for the Semester. 
Every year  71% people in prison should be tested for HIV and know their results.</v>
      </c>
      <c r="J493" s="384" t="str" cm="1">
        <f t="array" aca="1" ref="J493" ca="1">IFERROR(VLOOKUP(LEFT(INDIRECT("'Coverage Indicators - Section D'!C"&amp;$B493),255),LEFT('Reference Records'!C41:F285,255),4,0),"")</f>
        <v>MCI-01619</v>
      </c>
      <c r="K493" s="384" t="str">
        <f ca="1">IFERROR(VLOOKUP(IF(INDIRECT("'Coverage Indicators - Section D'!B"&amp;$B493)="","--select--",INDIRECT("'Coverage Indicators - Section D'!B"&amp;$B493)),'Overview - Section A'!C$101:D142,2,0),"")</f>
        <v>M-82415</v>
      </c>
      <c r="L493" s="388">
        <f t="shared" ca="1" si="77"/>
        <v>2022</v>
      </c>
      <c r="M493" s="384"/>
      <c r="N493" s="388" t="str">
        <f t="shared" ca="1" si="78"/>
        <v/>
      </c>
      <c r="O493" s="384" t="str">
        <f t="shared" ca="1" si="79"/>
        <v/>
      </c>
      <c r="P493" s="388" t="str">
        <f t="shared" ca="1" si="80"/>
        <v>Geographic National, 100% of national program target</v>
      </c>
      <c r="Q493" s="388" t="str">
        <f t="shared" ca="1" si="81"/>
        <v/>
      </c>
      <c r="R493" s="384" t="b">
        <f t="shared" ca="1" si="82"/>
        <v>1</v>
      </c>
      <c r="S493" s="384" t="str">
        <f ca="1">IFERROR(VLOOKUP(INDIRECT("'Coverage Indicators - Section D'!K"&amp;$B493),'Overview - Section A'!M$30:P81,4,0),IFERROR(IF(VLOOKUP(INDIRECT("'Coverage Indicators - Section D'!K"&amp;$B493),'Overview - Section A'!E$27:I69,5,0)=0,"",VLOOKUP(INDIRECT("'Coverage Indicators - Section D'!K"&amp;$B493),'Overview - Section A'!E$27:I69,5,0)),""))</f>
        <v/>
      </c>
      <c r="T493" s="389"/>
      <c r="U493" s="388"/>
      <c r="V493" s="388"/>
      <c r="W493" s="384" t="b">
        <f t="shared" ca="1" si="83"/>
        <v>0</v>
      </c>
    </row>
    <row r="494" spans="1:23" x14ac:dyDescent="0.3">
      <c r="A494" s="384" t="b">
        <f t="shared" ca="1" si="71"/>
        <v>1</v>
      </c>
      <c r="B494" s="384">
        <f t="shared" si="69"/>
        <v>29</v>
      </c>
      <c r="C494" s="393" t="str">
        <f>IFERROR(IF(AND(H494=2,B494=7),"blank",INDEX(C$452:C494,H494,1)),"")</f>
        <v>a18Dm000000GrovIAC</v>
      </c>
      <c r="D494" s="386">
        <f t="shared" ca="1" si="72"/>
        <v>57.709999999999994</v>
      </c>
      <c r="E494" s="387">
        <f t="shared" ca="1" si="73"/>
        <v>10000</v>
      </c>
      <c r="F494" s="387">
        <f t="shared" ca="1" si="74"/>
        <v>5771</v>
      </c>
      <c r="G494" s="388" t="str">
        <f t="shared" ca="1" si="75"/>
        <v>Electronic HIV Case Tracking System and RCHV&amp;HIV report
and data from UNAIDS (Estimated Number on PLHIV)</v>
      </c>
      <c r="H494" s="384">
        <f t="shared" si="70"/>
        <v>13</v>
      </c>
      <c r="I494" s="388" t="str">
        <f t="shared" ca="1" si="76"/>
        <v>Numerator: Number of people on ART at the end of the reporting period. 
Denominator: Estimated number of people living with HIV (data - generated by SPECTRUM) according to the UNAIDS (average numbers, pls refer to the link for more information: ahttp://aidsinfo.unaids.org/). The updated data according to the Spectrum on denominator will be provided in each reporting period. It is expected that all measures within the grant in support of HIV new cases identification and adherence to ART will allow country to achieve target 95.</v>
      </c>
      <c r="J494" s="384" t="str" cm="1">
        <f t="array" aca="1" ref="J494" ca="1">IFERROR(VLOOKUP(LEFT(INDIRECT("'Coverage Indicators - Section D'!C"&amp;$B494),255),LEFT('Reference Records'!C42:F286,255),4,0),"")</f>
        <v>MCI-01533</v>
      </c>
      <c r="K494" s="384" t="str">
        <f ca="1">IFERROR(VLOOKUP(IF(INDIRECT("'Coverage Indicators - Section D'!B"&amp;$B494)="","--select--",INDIRECT("'Coverage Indicators - Section D'!B"&amp;$B494)),'Overview - Section A'!C$101:D143,2,0),"")</f>
        <v>M-82416</v>
      </c>
      <c r="L494" s="388">
        <f t="shared" ca="1" si="77"/>
        <v>2022</v>
      </c>
      <c r="M494" s="384"/>
      <c r="N494" s="388" t="str">
        <f t="shared" ca="1" si="78"/>
        <v/>
      </c>
      <c r="O494" s="384" t="str">
        <f t="shared" ca="1" si="79"/>
        <v/>
      </c>
      <c r="P494" s="388" t="str">
        <f t="shared" ca="1" si="80"/>
        <v>Geographic National, 100% of national program target</v>
      </c>
      <c r="Q494" s="388" t="str">
        <f t="shared" ca="1" si="81"/>
        <v/>
      </c>
      <c r="R494" s="384" t="b">
        <f t="shared" ca="1" si="82"/>
        <v>1</v>
      </c>
      <c r="S494" s="384" t="str">
        <f ca="1">IFERROR(VLOOKUP(INDIRECT("'Coverage Indicators - Section D'!K"&amp;$B494),'Overview - Section A'!M$30:P82,4,0),IFERROR(IF(VLOOKUP(INDIRECT("'Coverage Indicators - Section D'!K"&amp;$B494),'Overview - Section A'!E$27:I70,5,0)=0,"",VLOOKUP(INDIRECT("'Coverage Indicators - Section D'!K"&amp;$B494),'Overview - Section A'!E$27:I70,5,0)),""))</f>
        <v/>
      </c>
      <c r="T494" s="389"/>
      <c r="U494" s="388"/>
      <c r="V494" s="388"/>
      <c r="W494" s="384" t="b">
        <f t="shared" ca="1" si="83"/>
        <v>0</v>
      </c>
    </row>
    <row r="495" spans="1:23" x14ac:dyDescent="0.3">
      <c r="A495" s="384" t="b">
        <f t="shared" ca="1" si="71"/>
        <v>1</v>
      </c>
      <c r="B495" s="384">
        <f t="shared" si="69"/>
        <v>31</v>
      </c>
      <c r="C495" s="393" t="str">
        <f>IFERROR(IF(AND(H495=2,B495=7),"blank",INDEX(C$452:C495,H495,1)),"")</f>
        <v>a18Dm000000GrowIAC</v>
      </c>
      <c r="D495" s="386">
        <f t="shared" ca="1" si="72"/>
        <v>58.375</v>
      </c>
      <c r="E495" s="387">
        <f t="shared" ca="1" si="73"/>
        <v>9600</v>
      </c>
      <c r="F495" s="387">
        <f t="shared" ca="1" si="74"/>
        <v>5604</v>
      </c>
      <c r="G495" s="388" t="str">
        <f t="shared" ca="1" si="75"/>
        <v>Electronic HIV Case Tracking System and RCHV&amp;HIV report
and data from UNAIDS (Estimated Number on PLHIV)</v>
      </c>
      <c r="H495" s="384">
        <f t="shared" si="70"/>
        <v>14</v>
      </c>
      <c r="I495" s="388" t="str">
        <f t="shared" ca="1" si="76"/>
        <v>Numerator: Number of adults (15 and above) on ART at the end of the reporting period. 
Denominator: Estimated number of adults (15 and above) living with HIV (data - generated by SPECTRUM) according to the UNAIDS (average numbers, pls refer to the link for more information: ahttp://aidsinfo.unaids.org/). The updated data according to the Spectrum on denominator will be provided in each reporting period. It is expected that all measures within the grant in support of HIV new cases identification and adherence to ART will allow country to achieve target 95.</v>
      </c>
      <c r="J495" s="384" t="str" cm="1">
        <f t="array" aca="1" ref="J495" ca="1">IFERROR(VLOOKUP(LEFT(INDIRECT("'Coverage Indicators - Section D'!C"&amp;$B495),255),LEFT('Reference Records'!C43:F287,255),4,0),"")</f>
        <v>MCI-01534</v>
      </c>
      <c r="K495" s="384" t="str">
        <f ca="1">IFERROR(VLOOKUP(IF(INDIRECT("'Coverage Indicators - Section D'!B"&amp;$B495)="","--select--",INDIRECT("'Coverage Indicators - Section D'!B"&amp;$B495)),'Overview - Section A'!C$101:D144,2,0),"")</f>
        <v>M-82416</v>
      </c>
      <c r="L495" s="388">
        <f t="shared" ca="1" si="77"/>
        <v>2022</v>
      </c>
      <c r="M495" s="384"/>
      <c r="N495" s="388" t="str">
        <f t="shared" ca="1" si="78"/>
        <v/>
      </c>
      <c r="O495" s="384" t="str">
        <f t="shared" ca="1" si="79"/>
        <v/>
      </c>
      <c r="P495" s="388" t="str">
        <f t="shared" ca="1" si="80"/>
        <v>Geographic National, 100% of national program target</v>
      </c>
      <c r="Q495" s="388" t="str">
        <f t="shared" ca="1" si="81"/>
        <v/>
      </c>
      <c r="R495" s="384" t="b">
        <f t="shared" ca="1" si="82"/>
        <v>1</v>
      </c>
      <c r="S495" s="384" t="str">
        <f ca="1">IFERROR(VLOOKUP(INDIRECT("'Coverage Indicators - Section D'!K"&amp;$B495),'Overview - Section A'!M$30:P83,4,0),IFERROR(IF(VLOOKUP(INDIRECT("'Coverage Indicators - Section D'!K"&amp;$B495),'Overview - Section A'!E$27:I71,5,0)=0,"",VLOOKUP(INDIRECT("'Coverage Indicators - Section D'!K"&amp;$B495),'Overview - Section A'!E$27:I71,5,0)),""))</f>
        <v/>
      </c>
      <c r="T495" s="389"/>
      <c r="U495" s="388"/>
      <c r="V495" s="388"/>
      <c r="W495" s="384" t="b">
        <f t="shared" ca="1" si="83"/>
        <v>0</v>
      </c>
    </row>
    <row r="496" spans="1:23" x14ac:dyDescent="0.3">
      <c r="A496" s="384" t="b">
        <f t="shared" ca="1" si="71"/>
        <v>1</v>
      </c>
      <c r="B496" s="384">
        <f t="shared" si="69"/>
        <v>33</v>
      </c>
      <c r="C496" s="393" t="str">
        <f>IFERROR(IF(AND(H496=2,B496=7),"blank",INDEX(C$452:C496,H496,1)),"")</f>
        <v>a18Dm000000GroxIAC</v>
      </c>
      <c r="D496" s="386">
        <f t="shared" ca="1" si="72"/>
        <v>41.75</v>
      </c>
      <c r="E496" s="387">
        <f t="shared" ca="1" si="73"/>
        <v>400</v>
      </c>
      <c r="F496" s="387">
        <f t="shared" ca="1" si="74"/>
        <v>167</v>
      </c>
      <c r="G496" s="388" t="str">
        <f t="shared" ca="1" si="75"/>
        <v>Electronic HIV Case Tracking System and RCHV&amp;HIV report
and data from UNAIDS (Estimated Number on PLHIV)</v>
      </c>
      <c r="H496" s="384">
        <f t="shared" si="70"/>
        <v>15</v>
      </c>
      <c r="I496" s="388" t="str">
        <f t="shared" ca="1" si="76"/>
        <v>Numerator: Number of children (under 15) ART at the end of the reporting period. 
Denominator: Estimated number of children (under 15) living with HIV (data - generated by SPECTRUM) according to the UNAIDS (average numbers, pls refer to the link for more information: ahttp://aidsinfo.unaids.org/). The updated data according to the Spectrum on denominator will be provided in each reporting period. It is expected that all measures within the grant in support of HIV new cases identification and adherence to ART will allow country to achieve target 95.</v>
      </c>
      <c r="J496" s="384" t="str" cm="1">
        <f t="array" aca="1" ref="J496" ca="1">IFERROR(VLOOKUP(LEFT(INDIRECT("'Coverage Indicators - Section D'!C"&amp;$B496),255),LEFT('Reference Records'!C44:F288,255),4,0),"")</f>
        <v>MCI-01535</v>
      </c>
      <c r="K496" s="384" t="str">
        <f ca="1">IFERROR(VLOOKUP(IF(INDIRECT("'Coverage Indicators - Section D'!B"&amp;$B496)="","--select--",INDIRECT("'Coverage Indicators - Section D'!B"&amp;$B496)),'Overview - Section A'!C$101:D145,2,0),"")</f>
        <v>M-82416</v>
      </c>
      <c r="L496" s="388">
        <f t="shared" ca="1" si="77"/>
        <v>2022</v>
      </c>
      <c r="M496" s="384"/>
      <c r="N496" s="388" t="str">
        <f t="shared" ca="1" si="78"/>
        <v/>
      </c>
      <c r="O496" s="384" t="str">
        <f t="shared" ca="1" si="79"/>
        <v/>
      </c>
      <c r="P496" s="388" t="str">
        <f t="shared" ca="1" si="80"/>
        <v>Geographic National, 100% of national program target</v>
      </c>
      <c r="Q496" s="388" t="str">
        <f t="shared" ca="1" si="81"/>
        <v/>
      </c>
      <c r="R496" s="384" t="b">
        <f t="shared" ca="1" si="82"/>
        <v>1</v>
      </c>
      <c r="S496" s="384" t="str">
        <f ca="1">IFERROR(VLOOKUP(INDIRECT("'Coverage Indicators - Section D'!K"&amp;$B496),'Overview - Section A'!M$30:P84,4,0),IFERROR(IF(VLOOKUP(INDIRECT("'Coverage Indicators - Section D'!K"&amp;$B496),'Overview - Section A'!E$27:I72,5,0)=0,"",VLOOKUP(INDIRECT("'Coverage Indicators - Section D'!K"&amp;$B496),'Overview - Section A'!E$27:I72,5,0)),""))</f>
        <v/>
      </c>
      <c r="T496" s="389"/>
      <c r="U496" s="388"/>
      <c r="V496" s="388"/>
      <c r="W496" s="384" t="b">
        <f t="shared" ca="1" si="83"/>
        <v>0</v>
      </c>
    </row>
    <row r="497" spans="1:23" x14ac:dyDescent="0.3">
      <c r="A497" s="384" t="b">
        <f t="shared" ca="1" si="71"/>
        <v>1</v>
      </c>
      <c r="B497" s="384">
        <f t="shared" si="69"/>
        <v>35</v>
      </c>
      <c r="C497" s="393" t="str">
        <f>IFERROR(IF(AND(H497=2,B497=7),"blank",INDEX(C$452:C497,H497,1)),"")</f>
        <v>a18Dm000000GroyIAC</v>
      </c>
      <c r="D497" s="386">
        <f t="shared" ca="1" si="72"/>
        <v>96.527777777777786</v>
      </c>
      <c r="E497" s="387">
        <f t="shared" ca="1" si="73"/>
        <v>144</v>
      </c>
      <c r="F497" s="387">
        <f t="shared" ca="1" si="74"/>
        <v>139</v>
      </c>
      <c r="G497" s="388" t="str">
        <f t="shared" ca="1" si="75"/>
        <v>Electronic HIV Case Tracking System and RCHV&amp;HIV report
and data from UNAIDS (Estimated Number on PLHIV)</v>
      </c>
      <c r="H497" s="384">
        <f t="shared" si="70"/>
        <v>16</v>
      </c>
      <c r="I497" s="388" t="str">
        <f t="shared" ca="1" si="76"/>
        <v xml:space="preserve">Numerator: Number of HIV-positive new and relapsed TB patients started on TB treatment during the reporting period who are already on ART or who start on ART during TB treatment. 
Denominator: Number of HIV-positive new and relapsed TB patients registered during the reporting period. The indicator is linked to percentage and absolute numbers will be provided when 
reporting results. </v>
      </c>
      <c r="J497" s="384" t="str" cm="1">
        <f t="array" aca="1" ref="J497" ca="1">IFERROR(VLOOKUP(LEFT(INDIRECT("'Coverage Indicators - Section D'!C"&amp;$B497),255),LEFT('Reference Records'!C45:F289,255),4,0),"")</f>
        <v>MCI-01547</v>
      </c>
      <c r="K497" s="384" t="str">
        <f ca="1">IFERROR(VLOOKUP(IF(INDIRECT("'Coverage Indicators - Section D'!B"&amp;$B497)="","--select--",INDIRECT("'Coverage Indicators - Section D'!B"&amp;$B497)),'Overview - Section A'!C$101:D146,2,0),"")</f>
        <v>M-82417</v>
      </c>
      <c r="L497" s="388">
        <f t="shared" ca="1" si="77"/>
        <v>2022</v>
      </c>
      <c r="M497" s="384"/>
      <c r="N497" s="388" t="str">
        <f t="shared" ca="1" si="78"/>
        <v/>
      </c>
      <c r="O497" s="384" t="str">
        <f t="shared" ca="1" si="79"/>
        <v/>
      </c>
      <c r="P497" s="388" t="str">
        <f t="shared" ca="1" si="80"/>
        <v>Geographic National, 100% of national program target</v>
      </c>
      <c r="Q497" s="388" t="str">
        <f t="shared" ca="1" si="81"/>
        <v/>
      </c>
      <c r="R497" s="384" t="b">
        <f t="shared" ca="1" si="82"/>
        <v>1</v>
      </c>
      <c r="S497" s="384" t="str">
        <f ca="1">IFERROR(VLOOKUP(INDIRECT("'Coverage Indicators - Section D'!K"&amp;$B497),'Overview - Section A'!M$30:P85,4,0),IFERROR(IF(VLOOKUP(INDIRECT("'Coverage Indicators - Section D'!K"&amp;$B497),'Overview - Section A'!E$27:I73,5,0)=0,"",VLOOKUP(INDIRECT("'Coverage Indicators - Section D'!K"&amp;$B497),'Overview - Section A'!E$27:I73,5,0)),""))</f>
        <v/>
      </c>
      <c r="T497" s="389"/>
      <c r="U497" s="388"/>
      <c r="V497" s="388"/>
      <c r="W497" s="384" t="b">
        <f t="shared" ca="1" si="83"/>
        <v>0</v>
      </c>
    </row>
    <row r="498" spans="1:23" x14ac:dyDescent="0.3">
      <c r="A498" s="384" t="b">
        <f t="shared" ca="1" si="71"/>
        <v>1</v>
      </c>
      <c r="B498" s="384">
        <f t="shared" si="69"/>
        <v>37</v>
      </c>
      <c r="C498" s="393" t="str">
        <f>IFERROR(IF(AND(H498=2,B498=7),"blank",INDEX(C$452:C498,H498,1)),"")</f>
        <v>a18Dm000000GrozIAC</v>
      </c>
      <c r="D498" s="386">
        <f t="shared" ca="1" si="72"/>
        <v>4.7939393939393939</v>
      </c>
      <c r="E498" s="387">
        <f t="shared" ca="1" si="73"/>
        <v>16500</v>
      </c>
      <c r="F498" s="387">
        <f t="shared" ca="1" si="74"/>
        <v>791</v>
      </c>
      <c r="G498" s="388" t="str">
        <f t="shared" ca="1" si="75"/>
        <v xml:space="preserve">VCT register, consolidated table on SSES in Excel table </v>
      </c>
      <c r="H498" s="384">
        <f t="shared" si="70"/>
        <v>17</v>
      </c>
      <c r="I498" s="388" t="str">
        <f t="shared" ca="1" si="76"/>
        <v xml:space="preserve">Numerator: Number of people who inject drugs and are receiving opioid substitution therapy at a specified date                                                     Denominator: Estimated number of opioid-dependent people who inject drugs in the targeted area.                                                                      About 5% of PWID in the country are in the OST program each year. Given that the drug scene in the country is changing and new substance users are emerging, the number of OST participants is decreasing from year to year. The results for 2022 are taken as a baseline. </v>
      </c>
      <c r="J498" s="384" t="str" cm="1">
        <f t="array" aca="1" ref="J498" ca="1">IFERROR(VLOOKUP(LEFT(INDIRECT("'Coverage Indicators - Section D'!C"&amp;$B498),255),LEFT('Reference Records'!C46:F290,255),4,0),"")</f>
        <v>MCI-01528</v>
      </c>
      <c r="K498" s="384" t="str">
        <f ca="1">IFERROR(VLOOKUP(IF(INDIRECT("'Coverage Indicators - Section D'!B"&amp;$B498)="","--select--",INDIRECT("'Coverage Indicators - Section D'!B"&amp;$B498)),'Overview - Section A'!C$101:D147,2,0),"")</f>
        <v>M-82414</v>
      </c>
      <c r="L498" s="388">
        <f t="shared" ca="1" si="77"/>
        <v>2022</v>
      </c>
      <c r="M498" s="384"/>
      <c r="N498" s="388" t="str">
        <f t="shared" ca="1" si="78"/>
        <v/>
      </c>
      <c r="O498" s="384" t="str">
        <f t="shared" ca="1" si="79"/>
        <v/>
      </c>
      <c r="P498" s="388" t="str">
        <f t="shared" ca="1" si="80"/>
        <v>Geographic National, 100% of national program target</v>
      </c>
      <c r="Q498" s="388" t="str">
        <f t="shared" ca="1" si="81"/>
        <v/>
      </c>
      <c r="R498" s="384" t="b">
        <f t="shared" ca="1" si="82"/>
        <v>1</v>
      </c>
      <c r="S498" s="384" t="str">
        <f ca="1">IFERROR(VLOOKUP(INDIRECT("'Coverage Indicators - Section D'!K"&amp;$B498),'Overview - Section A'!M$30:P86,4,0),IFERROR(IF(VLOOKUP(INDIRECT("'Coverage Indicators - Section D'!K"&amp;$B498),'Overview - Section A'!E$27:I74,5,0)=0,"",VLOOKUP(INDIRECT("'Coverage Indicators - Section D'!K"&amp;$B498),'Overview - Section A'!E$27:I74,5,0)),""))</f>
        <v/>
      </c>
      <c r="T498" s="389"/>
      <c r="U498" s="388"/>
      <c r="V498" s="388"/>
      <c r="W498" s="384" t="b">
        <f t="shared" ca="1" si="83"/>
        <v>0</v>
      </c>
    </row>
    <row r="499" spans="1:23" x14ac:dyDescent="0.3">
      <c r="A499" s="384" t="b">
        <f t="shared" ca="1" si="71"/>
        <v>1</v>
      </c>
      <c r="B499" s="384">
        <f t="shared" si="69"/>
        <v>39</v>
      </c>
      <c r="C499" s="393" t="str">
        <f>IFERROR(IF(AND(H499=2,B499=7),"blank",INDEX(C$452:C499,H499,1)),"")</f>
        <v>a18Dm000000Grp0IAC</v>
      </c>
      <c r="D499" s="386">
        <f t="shared" ca="1" si="72"/>
        <v>92.070030895983521</v>
      </c>
      <c r="E499" s="387">
        <f t="shared" ca="1" si="73"/>
        <v>971</v>
      </c>
      <c r="F499" s="387">
        <f t="shared" ca="1" si="74"/>
        <v>894</v>
      </c>
      <c r="G499" s="388" t="str">
        <f t="shared" ca="1" si="75"/>
        <v>Electronic HIV Case Tracking System and RCHV&amp;HIV report
and data from UNAIDS (Estimated Number on PLHIV)</v>
      </c>
      <c r="H499" s="384">
        <f t="shared" si="70"/>
        <v>18</v>
      </c>
      <c r="I499" s="388" t="str">
        <f t="shared" ca="1" si="76"/>
        <v xml:space="preserve">Numerator: Number of people newly diagnosed with HIV during the reporting period who started ART. Initiation on ART will be measured for treatment initiation- 30 days of diagnosis. Thus, people newly diagnosed with HIV should start treatment within 30 days after they are diagnosed. Denominator: Number of people 
newly diagnosed with HIV during the reporting period. Denominator will include number of people newly diagnosed with HIV during the reporting period who already have 30 days of diagnosis. 
Disaggregated reporting by time period after diagnosis (30 days) provides an indication of the quality of care with respect to national guidelines on when treatment should be started. This indicator will be reported on annual basis. </v>
      </c>
      <c r="J499" s="384" t="str" cm="1">
        <f t="array" aca="1" ref="J499" ca="1">IFERROR(VLOOKUP(LEFT(INDIRECT("'Coverage Indicators - Section D'!C"&amp;$B499),255),LEFT('Reference Records'!C47:F291,255),4,0),"")</f>
        <v>MCI-01621</v>
      </c>
      <c r="K499" s="384" t="str">
        <f ca="1">IFERROR(VLOOKUP(IF(INDIRECT("'Coverage Indicators - Section D'!B"&amp;$B499)="","--select--",INDIRECT("'Coverage Indicators - Section D'!B"&amp;$B499)),'Overview - Section A'!C$101:D148,2,0),"")</f>
        <v>M-82415</v>
      </c>
      <c r="L499" s="388">
        <f t="shared" ca="1" si="77"/>
        <v>2022</v>
      </c>
      <c r="M499" s="384"/>
      <c r="N499" s="388" t="str">
        <f t="shared" ca="1" si="78"/>
        <v/>
      </c>
      <c r="O499" s="384" t="str">
        <f t="shared" ca="1" si="79"/>
        <v/>
      </c>
      <c r="P499" s="388" t="str">
        <f t="shared" ca="1" si="80"/>
        <v>Geographic National, 100% of national program target</v>
      </c>
      <c r="Q499" s="388" t="str">
        <f t="shared" ca="1" si="81"/>
        <v/>
      </c>
      <c r="R499" s="384" t="b">
        <f t="shared" ca="1" si="82"/>
        <v>1</v>
      </c>
      <c r="S499" s="384" t="str">
        <f ca="1">IFERROR(VLOOKUP(INDIRECT("'Coverage Indicators - Section D'!K"&amp;$B499),'Overview - Section A'!M$30:P87,4,0),IFERROR(IF(VLOOKUP(INDIRECT("'Coverage Indicators - Section D'!K"&amp;$B499),'Overview - Section A'!E$27:I75,5,0)=0,"",VLOOKUP(INDIRECT("'Coverage Indicators - Section D'!K"&amp;$B499),'Overview - Section A'!E$27:I75,5,0)),""))</f>
        <v/>
      </c>
      <c r="T499" s="389"/>
      <c r="U499" s="388"/>
      <c r="V499" s="388"/>
      <c r="W499" s="384" t="b">
        <f t="shared" ca="1" si="83"/>
        <v>0</v>
      </c>
    </row>
    <row r="500" spans="1:23" x14ac:dyDescent="0.3">
      <c r="A500" s="384" t="b">
        <f t="shared" ca="1" si="71"/>
        <v>1</v>
      </c>
      <c r="B500" s="384">
        <f t="shared" si="69"/>
        <v>41</v>
      </c>
      <c r="C500" s="393" t="str">
        <f>IFERROR(IF(AND(H500=2,B500=7),"blank",INDEX(C$452:C500,H500,1)),"")</f>
        <v>a18Dm000000Grp1IAC</v>
      </c>
      <c r="D500" s="386">
        <f t="shared" ca="1" si="72"/>
        <v>42</v>
      </c>
      <c r="E500" s="387">
        <f t="shared" ca="1" si="73"/>
        <v>800</v>
      </c>
      <c r="F500" s="387">
        <f t="shared" ca="1" si="74"/>
        <v>336</v>
      </c>
      <c r="G500" s="388" t="str">
        <f t="shared" ca="1" si="75"/>
        <v>Electronic HIV Case Tracking System and RCHV&amp;HIV report</v>
      </c>
      <c r="H500" s="384">
        <f t="shared" si="70"/>
        <v>19</v>
      </c>
      <c r="I500" s="388" t="str">
        <f t="shared" ca="1" si="76"/>
        <v>This indicator is new, we have not previously reported on it. In the country about 45% of PLHIV on ART receive preventive TB treatment annually. According to the clinical protocol, preventive TB treatment is given to newly diagnosed PLHIV or for clinical indications. Denominator, the number of PLHIV who started ART and do not have active tuberculosis.</v>
      </c>
      <c r="J500" s="384" t="str" cm="1">
        <f t="array" aca="1" ref="J500" ca="1">IFERROR(VLOOKUP(LEFT(INDIRECT("'Coverage Indicators - Section D'!C"&amp;$B500),255),LEFT('Reference Records'!C48:F292,255),4,0),"")</f>
        <v>MCI-01548</v>
      </c>
      <c r="K500" s="384" t="str">
        <f ca="1">IFERROR(VLOOKUP(IF(INDIRECT("'Coverage Indicators - Section D'!B"&amp;$B500)="","--select--",INDIRECT("'Coverage Indicators - Section D'!B"&amp;$B500)),'Overview - Section A'!C$101:D149,2,0),"")</f>
        <v>M-82417</v>
      </c>
      <c r="L500" s="388">
        <f t="shared" ca="1" si="77"/>
        <v>2022</v>
      </c>
      <c r="M500" s="384"/>
      <c r="N500" s="388" t="str">
        <f t="shared" ca="1" si="78"/>
        <v/>
      </c>
      <c r="O500" s="384" t="str">
        <f t="shared" ca="1" si="79"/>
        <v/>
      </c>
      <c r="P500" s="388" t="str">
        <f t="shared" ca="1" si="80"/>
        <v>Geographic National, 100% of national program target</v>
      </c>
      <c r="Q500" s="388" t="str">
        <f t="shared" ca="1" si="81"/>
        <v/>
      </c>
      <c r="R500" s="384" t="b">
        <f t="shared" ca="1" si="82"/>
        <v>1</v>
      </c>
      <c r="S500" s="384" t="str">
        <f ca="1">IFERROR(VLOOKUP(INDIRECT("'Coverage Indicators - Section D'!K"&amp;$B500),'Overview - Section A'!M$30:P88,4,0),IFERROR(IF(VLOOKUP(INDIRECT("'Coverage Indicators - Section D'!K"&amp;$B500),'Overview - Section A'!E$27:I76,5,0)=0,"",VLOOKUP(INDIRECT("'Coverage Indicators - Section D'!K"&amp;$B500),'Overview - Section A'!E$27:I76,5,0)),""))</f>
        <v/>
      </c>
      <c r="T500" s="389"/>
      <c r="U500" s="388"/>
      <c r="V500" s="388"/>
      <c r="W500" s="384" t="b">
        <f t="shared" ca="1" si="83"/>
        <v>0</v>
      </c>
    </row>
    <row r="501" spans="1:23" x14ac:dyDescent="0.3">
      <c r="A501" s="384" t="b">
        <f t="shared" ca="1" si="71"/>
        <v>1</v>
      </c>
      <c r="B501" s="384">
        <f t="shared" si="69"/>
        <v>43</v>
      </c>
      <c r="C501" s="393" t="str">
        <f>IFERROR(IF(AND(H501=2,B501=7),"blank",INDEX(C$452:C501,H501,1)),"")</f>
        <v>a18Dm000000Grp2IAC</v>
      </c>
      <c r="D501" s="386">
        <f t="shared" ca="1" si="72"/>
        <v>0</v>
      </c>
      <c r="E501" s="387">
        <f t="shared" ca="1" si="73"/>
        <v>0</v>
      </c>
      <c r="F501" s="387">
        <f t="shared" ca="1" si="74"/>
        <v>0</v>
      </c>
      <c r="G501" s="388" t="str">
        <f t="shared" ca="1" si="75"/>
        <v>Administrative reports</v>
      </c>
      <c r="H501" s="384">
        <f t="shared" si="70"/>
        <v>20</v>
      </c>
      <c r="I501" s="388" t="str">
        <f t="shared" ca="1" si="76"/>
        <v>In the previous cycle, the self-test service was not available. For the next cycle 2024-2026, it is planned to cover part of the clients of preventive programs through the online platform. Since the indicator is new, 80-90% of coverage through the online platform is planned to be covered by self-testing.</v>
      </c>
      <c r="J501" s="384" t="str" cm="1">
        <f t="array" aca="1" ref="J501" ca="1">IFERROR(VLOOKUP(LEFT(INDIRECT("'Coverage Indicators - Section D'!C"&amp;$B501),255),LEFT('Reference Records'!C49:F293,255),4,0),"")</f>
        <v>MCI-01622</v>
      </c>
      <c r="K501" s="384" t="str">
        <f ca="1">IFERROR(VLOOKUP(IF(INDIRECT("'Coverage Indicators - Section D'!B"&amp;$B501)="","--select--",INDIRECT("'Coverage Indicators - Section D'!B"&amp;$B501)),'Overview - Section A'!C$101:D150,2,0),"")</f>
        <v>M-82415</v>
      </c>
      <c r="L501" s="388" t="str">
        <f t="shared" ca="1" si="77"/>
        <v/>
      </c>
      <c r="M501" s="384"/>
      <c r="N501" s="388" t="str">
        <f t="shared" ca="1" si="78"/>
        <v/>
      </c>
      <c r="O501" s="384" t="str">
        <f t="shared" ca="1" si="79"/>
        <v/>
      </c>
      <c r="P501" s="388" t="str">
        <f t="shared" ca="1" si="80"/>
        <v>Geographic Subnational, 100% of national program target</v>
      </c>
      <c r="Q501" s="388" t="str">
        <f t="shared" ca="1" si="81"/>
        <v/>
      </c>
      <c r="R501" s="384" t="b">
        <f t="shared" ca="1" si="82"/>
        <v>1</v>
      </c>
      <c r="S501" s="384" t="str">
        <f ca="1">IFERROR(VLOOKUP(INDIRECT("'Coverage Indicators - Section D'!K"&amp;$B501),'Overview - Section A'!M$30:P89,4,0),IFERROR(IF(VLOOKUP(INDIRECT("'Coverage Indicators - Section D'!K"&amp;$B501),'Overview - Section A'!E$27:I77,5,0)=0,"",VLOOKUP(INDIRECT("'Coverage Indicators - Section D'!K"&amp;$B501),'Overview - Section A'!E$27:I77,5,0)),""))</f>
        <v/>
      </c>
      <c r="T501" s="389"/>
      <c r="U501" s="388"/>
      <c r="V501" s="388"/>
      <c r="W501" s="384" t="b">
        <f t="shared" ca="1" si="83"/>
        <v>0</v>
      </c>
    </row>
    <row r="502" spans="1:23" x14ac:dyDescent="0.3">
      <c r="A502" s="384" t="b">
        <f t="shared" ca="1" si="71"/>
        <v>1</v>
      </c>
      <c r="B502" s="384">
        <f t="shared" si="69"/>
        <v>45</v>
      </c>
      <c r="C502" s="393" t="str">
        <f>IFERROR(IF(AND(H502=2,B502=7),"blank",INDEX(C$452:C502,H502,1)),"")</f>
        <v>a18Dm000000Grp3IAC</v>
      </c>
      <c r="D502" s="386">
        <f t="shared" ca="1" si="72"/>
        <v>74.631779587593144</v>
      </c>
      <c r="E502" s="387">
        <f t="shared" ca="1" si="73"/>
        <v>5771</v>
      </c>
      <c r="F502" s="387">
        <f t="shared" ca="1" si="74"/>
        <v>4307</v>
      </c>
      <c r="G502" s="388" t="str">
        <f t="shared" ca="1" si="75"/>
        <v>Electronic HIV Case Tracking System and RCHV&amp;HIV report</v>
      </c>
      <c r="H502" s="384">
        <f t="shared" si="70"/>
        <v>21</v>
      </c>
      <c r="I502" s="388" t="str">
        <f t="shared" ca="1" si="76"/>
        <v>Аs a baseline, the results for 2022 are taken.                                    Numerator: Number of people living with HIV and currently on ART who received 3 – 5 or &gt;6 months of ARV medicine at their most recent ARV medicine pick-up                                                                          Denominator: Number of people living with HIV and currently on ART</v>
      </c>
      <c r="J502" s="384" t="str" cm="1">
        <f t="array" aca="1" ref="J502" ca="1">IFERROR(VLOOKUP(LEFT(INDIRECT("'Coverage Indicators - Section D'!C"&amp;$B502),255),LEFT('Reference Records'!C50:F294,255),4,0),"")</f>
        <v>MCI-01537</v>
      </c>
      <c r="K502" s="384" t="str">
        <f ca="1">IFERROR(VLOOKUP(IF(INDIRECT("'Coverage Indicators - Section D'!B"&amp;$B502)="","--select--",INDIRECT("'Coverage Indicators - Section D'!B"&amp;$B502)),'Overview - Section A'!C$101:D151,2,0),"")</f>
        <v>M-82416</v>
      </c>
      <c r="L502" s="388">
        <f t="shared" ca="1" si="77"/>
        <v>2022</v>
      </c>
      <c r="M502" s="384"/>
      <c r="N502" s="388" t="str">
        <f t="shared" ca="1" si="78"/>
        <v/>
      </c>
      <c r="O502" s="384" t="str">
        <f t="shared" ca="1" si="79"/>
        <v/>
      </c>
      <c r="P502" s="388" t="str">
        <f t="shared" ca="1" si="80"/>
        <v>Geographic Subnational, 100% of national program target</v>
      </c>
      <c r="Q502" s="388" t="str">
        <f t="shared" ca="1" si="81"/>
        <v/>
      </c>
      <c r="R502" s="384" t="b">
        <f t="shared" ca="1" si="82"/>
        <v>1</v>
      </c>
      <c r="S502" s="384" t="str">
        <f ca="1">IFERROR(VLOOKUP(INDIRECT("'Coverage Indicators - Section D'!K"&amp;$B502),'Overview - Section A'!M$30:P90,4,0),IFERROR(IF(VLOOKUP(INDIRECT("'Coverage Indicators - Section D'!K"&amp;$B502),'Overview - Section A'!E$27:I78,5,0)=0,"",VLOOKUP(INDIRECT("'Coverage Indicators - Section D'!K"&amp;$B502),'Overview - Section A'!E$27:I78,5,0)),""))</f>
        <v/>
      </c>
      <c r="T502" s="389"/>
      <c r="U502" s="388"/>
      <c r="V502" s="388"/>
      <c r="W502" s="384" t="b">
        <f t="shared" ca="1" si="83"/>
        <v>0</v>
      </c>
    </row>
    <row r="503" spans="1:23" x14ac:dyDescent="0.3">
      <c r="A503" s="384" t="b">
        <f t="shared" ca="1" si="71"/>
        <v>1</v>
      </c>
      <c r="B503" s="384">
        <f t="shared" si="69"/>
        <v>47</v>
      </c>
      <c r="C503" s="393" t="str">
        <f>IFERROR(IF(AND(H503=2,B503=7),"blank",INDEX(C$452:C503,H503,1)),"")</f>
        <v>a18Dm000000Grp4IAC</v>
      </c>
      <c r="D503" s="386" t="str">
        <f t="shared" ca="1" si="72"/>
        <v/>
      </c>
      <c r="E503" s="387" t="str">
        <f t="shared" ca="1" si="73"/>
        <v/>
      </c>
      <c r="F503" s="387">
        <f t="shared" ca="1" si="74"/>
        <v>918</v>
      </c>
      <c r="G503" s="388" t="str">
        <f t="shared" ca="1" si="75"/>
        <v>The report of the National TB center</v>
      </c>
      <c r="H503" s="384">
        <f t="shared" si="70"/>
        <v>22</v>
      </c>
      <c r="I503" s="388" t="str">
        <f t="shared" ca="1" si="76"/>
        <v xml:space="preserve">The number of reported TB cases annually, including RR/MDR-TB, has fallen by more than 30% during the COVID-19 period. In 2021, 918 confirmed RR/MDR-TB cases were notified, which is 37% lower than in 2019 (1468). The total number of RR/MDR-TB cases was 968 in 2021, 5.2% of them were clinically diagnosed cases.
It is expected that activities aimed at active case finding and contact testing, as well as improved access to rapid diagnostic methods recommended by WHO, will increase the number of detected TB cases in 2024-2026 and return to 2019 level. Thus, it is planned that in 2024 about 1200 RR/MDR-TB cases will be detected, incl. 1150 confirmed RR/MDR-TB cases, in 2025 - about 1250 cases, incl. 1200 confirmed RR/MDR-TB cases, and in 2026 - more than 1300, incl. 1250 confirmed RR/MDR-TB cases. Numerator: Number of bacteriologically confirmed RR-TB and/or MDR-TB cases notified. Denominator: Not applicable. The source of information is TB06U form. The reporting cycle for 2024-2026 will be applied in the Q-1 modality: the data on 2024 will be available in April 2025, etc. The data will be collected, processed and provided by NTP.
</v>
      </c>
      <c r="J503" s="384" t="str" cm="1">
        <f t="array" aca="1" ref="J503" ca="1">IFERROR(VLOOKUP(LEFT(INDIRECT("'Coverage Indicators - Section D'!C"&amp;$B503),255),LEFT('Reference Records'!C51:F295,255),4,0),"")</f>
        <v>MCI-01550</v>
      </c>
      <c r="K503" s="384" t="str">
        <f ca="1">IFERROR(VLOOKUP(IF(INDIRECT("'Coverage Indicators - Section D'!B"&amp;$B503)="","--select--",INDIRECT("'Coverage Indicators - Section D'!B"&amp;$B503)),'Overview - Section A'!C$101:D152,2,0),"")</f>
        <v>M-82418</v>
      </c>
      <c r="L503" s="388">
        <f t="shared" ca="1" si="77"/>
        <v>2021</v>
      </c>
      <c r="M503" s="384"/>
      <c r="N503" s="388" t="str">
        <f t="shared" ca="1" si="78"/>
        <v/>
      </c>
      <c r="O503" s="384" t="str">
        <f t="shared" ca="1" si="79"/>
        <v>Kyrgyzstan</v>
      </c>
      <c r="P503" s="388" t="str">
        <f t="shared" ca="1" si="80"/>
        <v>Geographic Subnational, 100% of national program target</v>
      </c>
      <c r="Q503" s="388" t="str">
        <f t="shared" ca="1" si="81"/>
        <v>Non cumulative</v>
      </c>
      <c r="R503" s="384" t="b">
        <f t="shared" ca="1" si="82"/>
        <v>1</v>
      </c>
      <c r="S503" s="384" t="str">
        <f ca="1">IFERROR(VLOOKUP(INDIRECT("'Coverage Indicators - Section D'!K"&amp;$B503),'Overview - Section A'!M$30:P91,4,0),IFERROR(IF(VLOOKUP(INDIRECT("'Coverage Indicators - Section D'!K"&amp;$B503),'Overview - Section A'!E$27:I79,5,0)=0,"",VLOOKUP(INDIRECT("'Coverage Indicators - Section D'!K"&amp;$B503),'Overview - Section A'!E$27:I79,5,0)),""))</f>
        <v/>
      </c>
      <c r="T503" s="389"/>
      <c r="U503" s="388"/>
      <c r="V503" s="388"/>
      <c r="W503" s="384" t="b">
        <f t="shared" ca="1" si="83"/>
        <v>0</v>
      </c>
    </row>
    <row r="504" spans="1:23" x14ac:dyDescent="0.3">
      <c r="A504" s="384" t="b">
        <f t="shared" ca="1" si="71"/>
        <v>1</v>
      </c>
      <c r="B504" s="384">
        <f t="shared" si="69"/>
        <v>49</v>
      </c>
      <c r="C504" s="393" t="str">
        <f>IFERROR(IF(AND(H504=2,B504=7),"blank",INDEX(C$452:C504,H504,1)),"")</f>
        <v>a18Dm000000Grp5IAC</v>
      </c>
      <c r="D504" s="386">
        <f t="shared" ca="1" si="72"/>
        <v>94.77124183006535</v>
      </c>
      <c r="E504" s="387">
        <f t="shared" ca="1" si="73"/>
        <v>918</v>
      </c>
      <c r="F504" s="387">
        <f t="shared" ca="1" si="74"/>
        <v>870</v>
      </c>
      <c r="G504" s="388" t="str">
        <f t="shared" ca="1" si="75"/>
        <v>The report of the National TB center</v>
      </c>
      <c r="H504" s="384">
        <f t="shared" si="70"/>
        <v>23</v>
      </c>
      <c r="I504" s="388" t="str">
        <f t="shared" ca="1" si="76"/>
        <v>It is expected that at least 98% of notified RR/MDR TB cases will be enrolled on SL TB treatment. Numerator: Number of people with bacteriologically confirmed RR-TB and/or MDR-TB notified and started on second-line treatment regimen during the specified reporting period. Denominator: Total number of people with bacteriologically confirmed RR-TB and/or MDR-TB notified during the same reporting period. The source of information is TB06U form. XDR TB cases are included. The reporting cycle for 2024-2026 will be applied in the Q-1 modality: the data on 2024 will be available in April 2025, etc. The data will be collected, processed, and provided by NTP.</v>
      </c>
      <c r="J504" s="384" t="str" cm="1">
        <f t="array" aca="1" ref="J504" ca="1">IFERROR(VLOOKUP(LEFT(INDIRECT("'Coverage Indicators - Section D'!C"&amp;$B504),255),LEFT('Reference Records'!C52:F296,255),4,0),"")</f>
        <v>MCI-01551</v>
      </c>
      <c r="K504" s="384" t="str">
        <f ca="1">IFERROR(VLOOKUP(IF(INDIRECT("'Coverage Indicators - Section D'!B"&amp;$B504)="","--select--",INDIRECT("'Coverage Indicators - Section D'!B"&amp;$B504)),'Overview - Section A'!C$101:D153,2,0),"")</f>
        <v>M-82418</v>
      </c>
      <c r="L504" s="388">
        <f t="shared" ca="1" si="77"/>
        <v>2021</v>
      </c>
      <c r="M504" s="384"/>
      <c r="N504" s="388" t="str">
        <f t="shared" ca="1" si="78"/>
        <v/>
      </c>
      <c r="O504" s="384" t="str">
        <f t="shared" ca="1" si="79"/>
        <v>Kyrgyzstan</v>
      </c>
      <c r="P504" s="388" t="str">
        <f t="shared" ca="1" si="80"/>
        <v>Geographic Subnational, 100% of national program target</v>
      </c>
      <c r="Q504" s="388" t="str">
        <f t="shared" ca="1" si="81"/>
        <v>Non cumulative</v>
      </c>
      <c r="R504" s="384" t="b">
        <f t="shared" ca="1" si="82"/>
        <v>1</v>
      </c>
      <c r="S504" s="384" t="str">
        <f ca="1">IFERROR(VLOOKUP(INDIRECT("'Coverage Indicators - Section D'!K"&amp;$B504),'Overview - Section A'!M$30:P92,4,0),IFERROR(IF(VLOOKUP(INDIRECT("'Coverage Indicators - Section D'!K"&amp;$B504),'Overview - Section A'!E$27:I80,5,0)=0,"",VLOOKUP(INDIRECT("'Coverage Indicators - Section D'!K"&amp;$B504),'Overview - Section A'!E$27:I80,5,0)),""))</f>
        <v/>
      </c>
      <c r="T504" s="389"/>
      <c r="U504" s="388"/>
      <c r="V504" s="388"/>
      <c r="W504" s="384" t="b">
        <f t="shared" ca="1" si="83"/>
        <v>0</v>
      </c>
    </row>
    <row r="505" spans="1:23" x14ac:dyDescent="0.3">
      <c r="A505" s="384" t="b">
        <f t="shared" ca="1" si="71"/>
        <v>1</v>
      </c>
      <c r="B505" s="384">
        <f t="shared" si="69"/>
        <v>51</v>
      </c>
      <c r="C505" s="393" t="str">
        <f>IFERROR(IF(AND(H505=2,B505=7),"blank",INDEX(C$452:C505,H505,1)),"")</f>
        <v>a18Dm000000Grp6IAC</v>
      </c>
      <c r="D505" s="386">
        <f t="shared" ca="1" si="72"/>
        <v>93.70925684485006</v>
      </c>
      <c r="E505" s="387">
        <f t="shared" ca="1" si="73"/>
        <v>3068</v>
      </c>
      <c r="F505" s="387">
        <f t="shared" ca="1" si="74"/>
        <v>2875</v>
      </c>
      <c r="G505" s="388" t="str">
        <f t="shared" ca="1" si="75"/>
        <v>The report of the National TB center</v>
      </c>
      <c r="H505" s="384">
        <f t="shared" si="70"/>
        <v>24</v>
      </c>
      <c r="I505" s="388" t="str">
        <f t="shared" ca="1" si="76"/>
        <v>Testing for drug susceptibility for WHO recommended drugs is essential to provide the right treatment for every person diagnosed with TB. Numerator: Number of TB patients with DST results in the specified reporting period. DST coverage includes results from molecular diagnostic tests (e.g. Xpert MTB/RIF, Xpert MTB/RIF Ultra, Truenat MTB) as well as conventional phenotypic DST results. Denominator: The denominator should include all bacteriologically confirmed new and retreatment TB cases. The denominator should include total cases notified including new, relapse and other retreatment.</v>
      </c>
      <c r="J505" s="384" t="str" cm="1">
        <f t="array" aca="1" ref="J505" ca="1">IFERROR(VLOOKUP(LEFT(INDIRECT("'Coverage Indicators - Section D'!C"&amp;$B505),255),LEFT('Reference Records'!C53:F297,255),4,0),"")</f>
        <v>MCI-01553</v>
      </c>
      <c r="K505" s="384" t="str">
        <f ca="1">IFERROR(VLOOKUP(IF(INDIRECT("'Coverage Indicators - Section D'!B"&amp;$B505)="","--select--",INDIRECT("'Coverage Indicators - Section D'!B"&amp;$B505)),'Overview - Section A'!C$101:D154,2,0),"")</f>
        <v>M-82418</v>
      </c>
      <c r="L505" s="388">
        <f t="shared" ca="1" si="77"/>
        <v>2021</v>
      </c>
      <c r="M505" s="384"/>
      <c r="N505" s="388" t="str">
        <f t="shared" ca="1" si="78"/>
        <v/>
      </c>
      <c r="O505" s="384" t="str">
        <f t="shared" ca="1" si="79"/>
        <v>Kyrgyzstan</v>
      </c>
      <c r="P505" s="388" t="str">
        <f t="shared" ca="1" si="80"/>
        <v>Geographic Subnational, 100% of national program target</v>
      </c>
      <c r="Q505" s="388" t="str">
        <f t="shared" ca="1" si="81"/>
        <v>Non cumulative</v>
      </c>
      <c r="R505" s="384" t="b">
        <f t="shared" ca="1" si="82"/>
        <v>1</v>
      </c>
      <c r="S505" s="384" t="str">
        <f ca="1">IFERROR(VLOOKUP(INDIRECT("'Coverage Indicators - Section D'!K"&amp;$B505),'Overview - Section A'!M$30:P93,4,0),IFERROR(IF(VLOOKUP(INDIRECT("'Coverage Indicators - Section D'!K"&amp;$B505),'Overview - Section A'!E$27:I81,5,0)=0,"",VLOOKUP(INDIRECT("'Coverage Indicators - Section D'!K"&amp;$B505),'Overview - Section A'!E$27:I81,5,0)),""))</f>
        <v/>
      </c>
      <c r="T505" s="389"/>
      <c r="U505" s="388"/>
      <c r="V505" s="388"/>
      <c r="W505" s="384" t="b">
        <f t="shared" ca="1" si="83"/>
        <v>0</v>
      </c>
    </row>
    <row r="506" spans="1:23" x14ac:dyDescent="0.3">
      <c r="A506" s="384" t="b">
        <f t="shared" ca="1" si="71"/>
        <v>1</v>
      </c>
      <c r="B506" s="384">
        <f t="shared" si="69"/>
        <v>53</v>
      </c>
      <c r="C506" s="393" t="str">
        <f>IFERROR(IF(AND(H506=2,B506=7),"blank",INDEX(C$452:C506,H506,1)),"")</f>
        <v>a18Dm000000Grp7IAC</v>
      </c>
      <c r="D506" s="386">
        <f t="shared" ca="1" si="72"/>
        <v>79.084967320261441</v>
      </c>
      <c r="E506" s="387">
        <f t="shared" ca="1" si="73"/>
        <v>918</v>
      </c>
      <c r="F506" s="387">
        <f t="shared" ca="1" si="74"/>
        <v>726</v>
      </c>
      <c r="G506" s="388" t="str">
        <f t="shared" ca="1" si="75"/>
        <v>The report of the National TB center</v>
      </c>
      <c r="H506" s="384">
        <f t="shared" si="70"/>
        <v>25</v>
      </c>
      <c r="I506" s="388" t="str">
        <f t="shared" ca="1" si="76"/>
        <v>The baseline data includes only bacteriologically confirmed RR/MDR TB cases notified. Totally 986 RR/MDR TB cases were notified in 2021, 726 out of them (74%) have DST result to FQ. Numerator: Number of RR/MDR-TB patients with DST results for Fluoroquinolone in the specified reporting period. Denominator: Total number of notified RR/MDR-TB patients in the same reporting period. The source of the data is TB o6 Table 3 Form.  The National annual report. The reporting cycle for 2024-2026 will be applied in the Q-1 modality: the data on 2024 will be available in April 2025, etc. The data will be collected, processed, and provided by NTP.</v>
      </c>
      <c r="J506" s="384" t="str" cm="1">
        <f t="array" aca="1" ref="J506" ca="1">IFERROR(VLOOKUP(LEFT(INDIRECT("'Coverage Indicators - Section D'!C"&amp;$B506),255),LEFT('Reference Records'!C54:F298,255),4,0),"")</f>
        <v>MCI-01555</v>
      </c>
      <c r="K506" s="384" t="str">
        <f ca="1">IFERROR(VLOOKUP(IF(INDIRECT("'Coverage Indicators - Section D'!B"&amp;$B506)="","--select--",INDIRECT("'Coverage Indicators - Section D'!B"&amp;$B506)),'Overview - Section A'!C$101:D155,2,0),"")</f>
        <v>M-82418</v>
      </c>
      <c r="L506" s="388">
        <f t="shared" ca="1" si="77"/>
        <v>2021</v>
      </c>
      <c r="M506" s="384"/>
      <c r="N506" s="388" t="str">
        <f t="shared" ca="1" si="78"/>
        <v/>
      </c>
      <c r="O506" s="384" t="str">
        <f t="shared" ca="1" si="79"/>
        <v>Kyrgyzstan</v>
      </c>
      <c r="P506" s="388" t="str">
        <f t="shared" ca="1" si="80"/>
        <v>Geographic Subnational, 100% of national program target</v>
      </c>
      <c r="Q506" s="388" t="str">
        <f t="shared" ca="1" si="81"/>
        <v>Non cumulative</v>
      </c>
      <c r="R506" s="384" t="b">
        <f t="shared" ca="1" si="82"/>
        <v>1</v>
      </c>
      <c r="S506" s="384" t="str">
        <f ca="1">IFERROR(VLOOKUP(INDIRECT("'Coverage Indicators - Section D'!K"&amp;$B506),'Overview - Section A'!M$30:P94,4,0),IFERROR(IF(VLOOKUP(INDIRECT("'Coverage Indicators - Section D'!K"&amp;$B506),'Overview - Section A'!E$27:I82,5,0)=0,"",VLOOKUP(INDIRECT("'Coverage Indicators - Section D'!K"&amp;$B506),'Overview - Section A'!E$27:I82,5,0)),""))</f>
        <v/>
      </c>
      <c r="T506" s="389"/>
      <c r="U506" s="388"/>
      <c r="V506" s="388"/>
      <c r="W506" s="384" t="b">
        <f t="shared" ca="1" si="83"/>
        <v>0</v>
      </c>
    </row>
    <row r="507" spans="1:23" x14ac:dyDescent="0.3">
      <c r="A507" s="384" t="b">
        <f t="shared" ca="1" si="71"/>
        <v>1</v>
      </c>
      <c r="B507" s="384">
        <f t="shared" si="69"/>
        <v>55</v>
      </c>
      <c r="C507" s="393" t="str">
        <f>IFERROR(IF(AND(H507=2,B507=7),"blank",INDEX(C$452:C507,H507,1)),"")</f>
        <v>a18Dm000000Grp8IAC</v>
      </c>
      <c r="D507" s="386">
        <f t="shared" ca="1" si="72"/>
        <v>70.944881889763778</v>
      </c>
      <c r="E507" s="387">
        <f t="shared" ca="1" si="73"/>
        <v>1270</v>
      </c>
      <c r="F507" s="387">
        <f t="shared" ca="1" si="74"/>
        <v>901</v>
      </c>
      <c r="G507" s="388" t="str">
        <f t="shared" ca="1" si="75"/>
        <v>The report of the National TB center</v>
      </c>
      <c r="H507" s="384">
        <f t="shared" si="70"/>
        <v>26</v>
      </c>
      <c r="I507" s="388" t="str">
        <f t="shared" ca="1" si="76"/>
        <v>Only the comprehensive patient-oriented approach and availability of the most effective treatment schemes countrywide promote improving the treatment results. It is envisaged, that 40-50% RR/MDR TB patient will be covered by new shorten regimens (BPaL and BPalM), which also contribute to increasing a treatment success rate in the country. Kyrgyzstan will achieve the 2025 WHO Europe regional milestone (≥80% treatment success). Numerator: Number of bacteriologically-confirmed RR and/or MDR-TB cases enrolled on second-line anti-TB treatment during the year of assessment who are successfully treated (cured plus completed treatment). Denominator: Total number of bacteriologically-confirmed RR TB and/or MDR-TB cases enrolled on second-line anti-TB treatment during the year of assessment. The National annual TB report. The data reporting tool for this indicator relates to the quarterly TB 08 U form.
According to the reporting cycle applied in the country (National Guidance on M&amp;E), the results on cohort 2022 will be assessed in 2024 and data will be available in April 2025. The data will be collected, processed and provided by NTP.</v>
      </c>
      <c r="J507" s="384" t="str" cm="1">
        <f t="array" aca="1" ref="J507" ca="1">IFERROR(VLOOKUP(LEFT(INDIRECT("'Coverage Indicators - Section D'!C"&amp;$B507),255),LEFT('Reference Records'!C55:F299,255),4,0),"")</f>
        <v>MCI-01559</v>
      </c>
      <c r="K507" s="384" t="str">
        <f ca="1">IFERROR(VLOOKUP(IF(INDIRECT("'Coverage Indicators - Section D'!B"&amp;$B507)="","--select--",INDIRECT("'Coverage Indicators - Section D'!B"&amp;$B507)),'Overview - Section A'!C$101:D156,2,0),"")</f>
        <v>M-82418</v>
      </c>
      <c r="L507" s="388">
        <f t="shared" ca="1" si="77"/>
        <v>2021</v>
      </c>
      <c r="M507" s="384"/>
      <c r="N507" s="388" t="str">
        <f t="shared" ca="1" si="78"/>
        <v/>
      </c>
      <c r="O507" s="384" t="str">
        <f t="shared" ca="1" si="79"/>
        <v>Kyrgyzstan</v>
      </c>
      <c r="P507" s="388" t="str">
        <f t="shared" ca="1" si="80"/>
        <v>Geographic Subnational, 100% of national program target</v>
      </c>
      <c r="Q507" s="388" t="str">
        <f t="shared" ca="1" si="81"/>
        <v>Non cumulative</v>
      </c>
      <c r="R507" s="384" t="b">
        <f t="shared" ca="1" si="82"/>
        <v>1</v>
      </c>
      <c r="S507" s="384" t="str">
        <f ca="1">IFERROR(VLOOKUP(INDIRECT("'Coverage Indicators - Section D'!K"&amp;$B507),'Overview - Section A'!M$30:P95,4,0),IFERROR(IF(VLOOKUP(INDIRECT("'Coverage Indicators - Section D'!K"&amp;$B507),'Overview - Section A'!E$27:I83,5,0)=0,"",VLOOKUP(INDIRECT("'Coverage Indicators - Section D'!K"&amp;$B507),'Overview - Section A'!E$27:I83,5,0)),""))</f>
        <v/>
      </c>
      <c r="T507" s="389"/>
      <c r="U507" s="388"/>
      <c r="V507" s="388"/>
      <c r="W507" s="384" t="b">
        <f t="shared" ca="1" si="83"/>
        <v>0</v>
      </c>
    </row>
    <row r="508" spans="1:23" x14ac:dyDescent="0.3">
      <c r="A508" s="384" t="b">
        <f t="shared" ca="1" si="71"/>
        <v>0</v>
      </c>
      <c r="B508" s="384">
        <f t="shared" si="69"/>
        <v>57</v>
      </c>
      <c r="C508" s="393" t="str">
        <f>IFERROR(IF(AND(H508=2,B508=7),"blank",INDEX(C$452:C508,H508,1)),"")</f>
        <v>a18Dm000000Grp9IAC</v>
      </c>
      <c r="D508" s="386" t="str">
        <f t="shared" ca="1" si="72"/>
        <v/>
      </c>
      <c r="E508" s="387" t="str">
        <f t="shared" ca="1" si="73"/>
        <v/>
      </c>
      <c r="F508" s="387" t="str">
        <f t="shared" ca="1" si="74"/>
        <v/>
      </c>
      <c r="G508" s="388" t="str">
        <f t="shared" ca="1" si="75"/>
        <v/>
      </c>
      <c r="H508" s="384">
        <f t="shared" si="70"/>
        <v>27</v>
      </c>
      <c r="I508" s="388" t="str">
        <f t="shared" ca="1" si="76"/>
        <v/>
      </c>
      <c r="J508" s="384" t="str" cm="1">
        <f t="array" aca="1" ref="J508" ca="1">IFERROR(VLOOKUP(LEFT(INDIRECT("'Coverage Indicators - Section D'!C"&amp;$B508),255),LEFT('Reference Records'!C56:F300,255),4,0),"")</f>
        <v/>
      </c>
      <c r="K508" s="384" t="str">
        <f ca="1">IFERROR(VLOOKUP(IF(INDIRECT("'Coverage Indicators - Section D'!B"&amp;$B508)="","--select--",INDIRECT("'Coverage Indicators - Section D'!B"&amp;$B508)),'Overview - Section A'!C$101:D157,2,0),"")</f>
        <v>M-82419</v>
      </c>
      <c r="L508" s="388" t="str">
        <f t="shared" ca="1" si="77"/>
        <v/>
      </c>
      <c r="M508" s="384"/>
      <c r="N508" s="388" t="str">
        <f t="shared" ca="1" si="78"/>
        <v/>
      </c>
      <c r="O508" s="384" t="str">
        <f t="shared" ca="1" si="79"/>
        <v/>
      </c>
      <c r="P508" s="388" t="str">
        <f t="shared" ca="1" si="80"/>
        <v/>
      </c>
      <c r="Q508" s="388" t="str">
        <f t="shared" ca="1" si="81"/>
        <v/>
      </c>
      <c r="R508" s="384" t="str">
        <f t="shared" ca="1" si="82"/>
        <v>FALSE</v>
      </c>
      <c r="S508" s="384" t="str">
        <f ca="1">IFERROR(VLOOKUP(INDIRECT("'Coverage Indicators - Section D'!K"&amp;$B508),'Overview - Section A'!M$30:P96,4,0),IFERROR(IF(VLOOKUP(INDIRECT("'Coverage Indicators - Section D'!K"&amp;$B508),'Overview - Section A'!E$27:I84,5,0)=0,"",VLOOKUP(INDIRECT("'Coverage Indicators - Section D'!K"&amp;$B508),'Overview - Section A'!E$27:I84,5,0)),""))</f>
        <v/>
      </c>
      <c r="T508" s="389"/>
      <c r="U508" s="388"/>
      <c r="V508" s="388"/>
      <c r="W508" s="384" t="b">
        <f t="shared" ca="1" si="83"/>
        <v>0</v>
      </c>
    </row>
    <row r="509" spans="1:23" x14ac:dyDescent="0.3">
      <c r="A509" s="384" t="b">
        <f t="shared" ca="1" si="71"/>
        <v>0</v>
      </c>
      <c r="B509" s="384">
        <f t="shared" si="69"/>
        <v>59</v>
      </c>
      <c r="C509" s="393" t="str">
        <f>IFERROR(IF(AND(H509=2,B509=7),"blank",INDEX(C$452:C509,H509,1)),"")</f>
        <v>a18Dm000000GrpAIAS</v>
      </c>
      <c r="D509" s="386" t="str">
        <f t="shared" ca="1" si="72"/>
        <v/>
      </c>
      <c r="E509" s="387" t="str">
        <f t="shared" ca="1" si="73"/>
        <v/>
      </c>
      <c r="F509" s="387" t="str">
        <f t="shared" ca="1" si="74"/>
        <v/>
      </c>
      <c r="G509" s="388" t="str">
        <f t="shared" ca="1" si="75"/>
        <v/>
      </c>
      <c r="H509" s="384">
        <f t="shared" si="70"/>
        <v>28</v>
      </c>
      <c r="I509" s="388" t="str">
        <f t="shared" ca="1" si="76"/>
        <v/>
      </c>
      <c r="J509" s="384" t="str" cm="1">
        <f t="array" aca="1" ref="J509" ca="1">IFERROR(VLOOKUP(LEFT(INDIRECT("'Coverage Indicators - Section D'!C"&amp;$B509),255),LEFT('Reference Records'!C57:F301,255),4,0),"")</f>
        <v/>
      </c>
      <c r="K509" s="384" t="str">
        <f ca="1">IFERROR(VLOOKUP(IF(INDIRECT("'Coverage Indicators - Section D'!B"&amp;$B509)="","--select--",INDIRECT("'Coverage Indicators - Section D'!B"&amp;$B509)),'Overview - Section A'!C$101:D158,2,0),"")</f>
        <v>M-82419</v>
      </c>
      <c r="L509" s="388" t="str">
        <f t="shared" ca="1" si="77"/>
        <v/>
      </c>
      <c r="M509" s="384"/>
      <c r="N509" s="388" t="str">
        <f t="shared" ca="1" si="78"/>
        <v/>
      </c>
      <c r="O509" s="384" t="str">
        <f t="shared" ca="1" si="79"/>
        <v/>
      </c>
      <c r="P509" s="388" t="str">
        <f t="shared" ca="1" si="80"/>
        <v/>
      </c>
      <c r="Q509" s="388" t="str">
        <f t="shared" ca="1" si="81"/>
        <v/>
      </c>
      <c r="R509" s="384" t="str">
        <f t="shared" ca="1" si="82"/>
        <v>FALSE</v>
      </c>
      <c r="S509" s="384" t="str">
        <f ca="1">IFERROR(VLOOKUP(INDIRECT("'Coverage Indicators - Section D'!K"&amp;$B509),'Overview - Section A'!M$30:P97,4,0),IFERROR(IF(VLOOKUP(INDIRECT("'Coverage Indicators - Section D'!K"&amp;$B509),'Overview - Section A'!E$27:I85,5,0)=0,"",VLOOKUP(INDIRECT("'Coverage Indicators - Section D'!K"&amp;$B509),'Overview - Section A'!E$27:I85,5,0)),""))</f>
        <v/>
      </c>
      <c r="T509" s="389"/>
      <c r="U509" s="388"/>
      <c r="V509" s="388"/>
      <c r="W509" s="384" t="b">
        <f t="shared" ca="1" si="83"/>
        <v>0</v>
      </c>
    </row>
    <row r="510" spans="1:23" x14ac:dyDescent="0.3">
      <c r="A510" s="384" t="b">
        <f t="shared" ca="1" si="71"/>
        <v>0</v>
      </c>
      <c r="B510" s="384">
        <f t="shared" si="69"/>
        <v>61</v>
      </c>
      <c r="C510" s="393" t="str">
        <f>IFERROR(IF(AND(H510=2,B510=7),"blank",INDEX(C$452:C510,H510,1)),"")</f>
        <v>a18Dm000000GrpBIAS</v>
      </c>
      <c r="D510" s="386" t="str">
        <f t="shared" ca="1" si="72"/>
        <v/>
      </c>
      <c r="E510" s="387" t="str">
        <f t="shared" ca="1" si="73"/>
        <v/>
      </c>
      <c r="F510" s="387" t="str">
        <f t="shared" ca="1" si="74"/>
        <v/>
      </c>
      <c r="G510" s="388" t="str">
        <f t="shared" ca="1" si="75"/>
        <v/>
      </c>
      <c r="H510" s="384">
        <f t="shared" si="70"/>
        <v>29</v>
      </c>
      <c r="I510" s="388" t="str">
        <f t="shared" ca="1" si="76"/>
        <v/>
      </c>
      <c r="J510" s="384" t="str" cm="1">
        <f t="array" aca="1" ref="J510" ca="1">IFERROR(VLOOKUP(LEFT(INDIRECT("'Coverage Indicators - Section D'!C"&amp;$B510),255),LEFT('Reference Records'!C58:F302,255),4,0),"")</f>
        <v/>
      </c>
      <c r="K510" s="384" t="str">
        <f ca="1">IFERROR(VLOOKUP(IF(INDIRECT("'Coverage Indicators - Section D'!B"&amp;$B510)="","--select--",INDIRECT("'Coverage Indicators - Section D'!B"&amp;$B510)),'Overview - Section A'!C$101:D159,2,0),"")</f>
        <v>M-82419</v>
      </c>
      <c r="L510" s="388" t="str">
        <f t="shared" ca="1" si="77"/>
        <v/>
      </c>
      <c r="M510" s="384"/>
      <c r="N510" s="388" t="str">
        <f t="shared" ca="1" si="78"/>
        <v/>
      </c>
      <c r="O510" s="384" t="str">
        <f t="shared" ca="1" si="79"/>
        <v/>
      </c>
      <c r="P510" s="388" t="str">
        <f t="shared" ca="1" si="80"/>
        <v/>
      </c>
      <c r="Q510" s="388" t="str">
        <f t="shared" ca="1" si="81"/>
        <v/>
      </c>
      <c r="R510" s="384" t="str">
        <f t="shared" ca="1" si="82"/>
        <v>FALSE</v>
      </c>
      <c r="S510" s="384" t="str">
        <f ca="1">IFERROR(VLOOKUP(INDIRECT("'Coverage Indicators - Section D'!K"&amp;$B510),'Overview - Section A'!M$30:P98,4,0),IFERROR(IF(VLOOKUP(INDIRECT("'Coverage Indicators - Section D'!K"&amp;$B510),'Overview - Section A'!E$27:I86,5,0)=0,"",VLOOKUP(INDIRECT("'Coverage Indicators - Section D'!K"&amp;$B510),'Overview - Section A'!E$27:I86,5,0)),""))</f>
        <v/>
      </c>
      <c r="T510" s="389"/>
      <c r="U510" s="388"/>
      <c r="V510" s="388"/>
      <c r="W510" s="384" t="b">
        <f t="shared" ca="1" si="83"/>
        <v>0</v>
      </c>
    </row>
    <row r="511" spans="1:23" x14ac:dyDescent="0.3">
      <c r="A511" s="384" t="b">
        <f t="shared" ca="1" si="71"/>
        <v>0</v>
      </c>
      <c r="B511" s="384">
        <f t="shared" si="69"/>
        <v>63</v>
      </c>
      <c r="C511" s="393" t="str">
        <f>IFERROR(IF(AND(H511=2,B511=7),"blank",INDEX(C$452:C511,H511,1)),"")</f>
        <v>a18Dm000000GrpCIAS</v>
      </c>
      <c r="D511" s="386" t="str">
        <f t="shared" ca="1" si="72"/>
        <v/>
      </c>
      <c r="E511" s="387" t="str">
        <f t="shared" ca="1" si="73"/>
        <v/>
      </c>
      <c r="F511" s="387" t="str">
        <f t="shared" ca="1" si="74"/>
        <v/>
      </c>
      <c r="G511" s="388" t="str">
        <f t="shared" ca="1" si="75"/>
        <v/>
      </c>
      <c r="H511" s="384">
        <f t="shared" si="70"/>
        <v>30</v>
      </c>
      <c r="I511" s="388" t="str">
        <f t="shared" ca="1" si="76"/>
        <v/>
      </c>
      <c r="J511" s="384" t="str" cm="1">
        <f t="array" aca="1" ref="J511" ca="1">IFERROR(VLOOKUP(LEFT(INDIRECT("'Coverage Indicators - Section D'!C"&amp;$B511),255),LEFT('Reference Records'!C59:F303,255),4,0),"")</f>
        <v/>
      </c>
      <c r="K511" s="384" t="str">
        <f ca="1">IFERROR(VLOOKUP(IF(INDIRECT("'Coverage Indicators - Section D'!B"&amp;$B511)="","--select--",INDIRECT("'Coverage Indicators - Section D'!B"&amp;$B511)),'Overview - Section A'!C$101:D160,2,0),"")</f>
        <v>M-82419</v>
      </c>
      <c r="L511" s="388" t="str">
        <f t="shared" ca="1" si="77"/>
        <v/>
      </c>
      <c r="M511" s="384"/>
      <c r="N511" s="388" t="str">
        <f t="shared" ca="1" si="78"/>
        <v/>
      </c>
      <c r="O511" s="384" t="str">
        <f t="shared" ca="1" si="79"/>
        <v/>
      </c>
      <c r="P511" s="388" t="str">
        <f t="shared" ca="1" si="80"/>
        <v/>
      </c>
      <c r="Q511" s="388" t="str">
        <f t="shared" ca="1" si="81"/>
        <v/>
      </c>
      <c r="R511" s="384" t="str">
        <f t="shared" ca="1" si="82"/>
        <v>FALSE</v>
      </c>
      <c r="S511" s="384" t="str">
        <f ca="1">IFERROR(VLOOKUP(INDIRECT("'Coverage Indicators - Section D'!K"&amp;$B511),'Overview - Section A'!M$30:P99,4,0),IFERROR(IF(VLOOKUP(INDIRECT("'Coverage Indicators - Section D'!K"&amp;$B511),'Overview - Section A'!E$27:I87,5,0)=0,"",VLOOKUP(INDIRECT("'Coverage Indicators - Section D'!K"&amp;$B511),'Overview - Section A'!E$27:I87,5,0)),""))</f>
        <v/>
      </c>
      <c r="T511" s="389"/>
      <c r="U511" s="388"/>
      <c r="V511" s="388"/>
      <c r="W511" s="384" t="b">
        <f t="shared" ca="1" si="83"/>
        <v>0</v>
      </c>
    </row>
    <row r="512" spans="1:23" x14ac:dyDescent="0.3">
      <c r="A512" s="384" t="b">
        <f t="shared" ca="1" si="71"/>
        <v>0</v>
      </c>
      <c r="B512" s="384">
        <f t="shared" si="69"/>
        <v>65</v>
      </c>
      <c r="C512" s="393" t="str">
        <f>IFERROR(IF(AND(H512=2,B512=7),"blank",INDEX(C$452:C512,H512,1)),"")</f>
        <v>a18Dm000000GrpDIAS</v>
      </c>
      <c r="D512" s="386" t="str">
        <f t="shared" ca="1" si="72"/>
        <v/>
      </c>
      <c r="E512" s="387" t="str">
        <f t="shared" ca="1" si="73"/>
        <v/>
      </c>
      <c r="F512" s="387" t="str">
        <f t="shared" ca="1" si="74"/>
        <v/>
      </c>
      <c r="G512" s="388" t="str">
        <f t="shared" ca="1" si="75"/>
        <v/>
      </c>
      <c r="H512" s="384">
        <f t="shared" si="70"/>
        <v>31</v>
      </c>
      <c r="I512" s="388" t="str">
        <f t="shared" ca="1" si="76"/>
        <v/>
      </c>
      <c r="J512" s="384" t="str" cm="1">
        <f t="array" aca="1" ref="J512" ca="1">IFERROR(VLOOKUP(LEFT(INDIRECT("'Coverage Indicators - Section D'!C"&amp;$B512),255),LEFT('Reference Records'!C60:F304,255),4,0),"")</f>
        <v/>
      </c>
      <c r="K512" s="384" t="str">
        <f ca="1">IFERROR(VLOOKUP(IF(INDIRECT("'Coverage Indicators - Section D'!B"&amp;$B512)="","--select--",INDIRECT("'Coverage Indicators - Section D'!B"&amp;$B512)),'Overview - Section A'!C$101:D161,2,0),"")</f>
        <v>M-82419</v>
      </c>
      <c r="L512" s="388" t="str">
        <f t="shared" ca="1" si="77"/>
        <v/>
      </c>
      <c r="M512" s="384"/>
      <c r="N512" s="388" t="str">
        <f t="shared" ca="1" si="78"/>
        <v/>
      </c>
      <c r="O512" s="384" t="str">
        <f t="shared" ca="1" si="79"/>
        <v/>
      </c>
      <c r="P512" s="388" t="str">
        <f t="shared" ca="1" si="80"/>
        <v/>
      </c>
      <c r="Q512" s="388" t="str">
        <f t="shared" ca="1" si="81"/>
        <v/>
      </c>
      <c r="R512" s="384" t="str">
        <f t="shared" ca="1" si="82"/>
        <v>FALSE</v>
      </c>
      <c r="S512" s="384" t="str">
        <f ca="1">IFERROR(VLOOKUP(INDIRECT("'Coverage Indicators - Section D'!K"&amp;$B512),'Overview - Section A'!M$30:P100,4,0),IFERROR(IF(VLOOKUP(INDIRECT("'Coverage Indicators - Section D'!K"&amp;$B512),'Overview - Section A'!E$27:I88,5,0)=0,"",VLOOKUP(INDIRECT("'Coverage Indicators - Section D'!K"&amp;$B512),'Overview - Section A'!E$27:I88,5,0)),""))</f>
        <v/>
      </c>
      <c r="T512" s="389"/>
      <c r="U512" s="388"/>
      <c r="V512" s="388"/>
      <c r="W512" s="384" t="b">
        <f t="shared" ca="1" si="83"/>
        <v>0</v>
      </c>
    </row>
    <row r="513" spans="1:23" x14ac:dyDescent="0.3">
      <c r="A513" s="384" t="b">
        <f t="shared" ca="1" si="71"/>
        <v>0</v>
      </c>
      <c r="B513" s="384">
        <f t="shared" si="69"/>
        <v>67</v>
      </c>
      <c r="C513" s="393" t="str">
        <f>IFERROR(IF(AND(H513=2,B513=7),"blank",INDEX(C$452:C513,H513,1)),"")</f>
        <v>a18Dm000000GrpEIAS</v>
      </c>
      <c r="D513" s="386" t="str">
        <f t="shared" ca="1" si="72"/>
        <v/>
      </c>
      <c r="E513" s="387" t="str">
        <f t="shared" ca="1" si="73"/>
        <v/>
      </c>
      <c r="F513" s="387" t="str">
        <f t="shared" ca="1" si="74"/>
        <v/>
      </c>
      <c r="G513" s="388" t="str">
        <f t="shared" ca="1" si="75"/>
        <v/>
      </c>
      <c r="H513" s="384">
        <f t="shared" si="70"/>
        <v>32</v>
      </c>
      <c r="I513" s="388" t="str">
        <f t="shared" ca="1" si="76"/>
        <v/>
      </c>
      <c r="J513" s="384" t="str" cm="1">
        <f t="array" aca="1" ref="J513" ca="1">IFERROR(VLOOKUP(LEFT(INDIRECT("'Coverage Indicators - Section D'!C"&amp;$B513),255),LEFT('Reference Records'!C61:F305,255),4,0),"")</f>
        <v/>
      </c>
      <c r="K513" s="384" t="str">
        <f ca="1">IFERROR(VLOOKUP(IF(INDIRECT("'Coverage Indicators - Section D'!B"&amp;$B513)="","--select--",INDIRECT("'Coverage Indicators - Section D'!B"&amp;$B513)),'Overview - Section A'!C$101:D162,2,0),"")</f>
        <v>M-82419</v>
      </c>
      <c r="L513" s="388" t="str">
        <f t="shared" ca="1" si="77"/>
        <v/>
      </c>
      <c r="M513" s="384"/>
      <c r="N513" s="388" t="str">
        <f t="shared" ca="1" si="78"/>
        <v/>
      </c>
      <c r="O513" s="384" t="str">
        <f t="shared" ca="1" si="79"/>
        <v/>
      </c>
      <c r="P513" s="388" t="str">
        <f t="shared" ca="1" si="80"/>
        <v/>
      </c>
      <c r="Q513" s="388" t="str">
        <f t="shared" ca="1" si="81"/>
        <v/>
      </c>
      <c r="R513" s="384" t="str">
        <f t="shared" ca="1" si="82"/>
        <v>FALSE</v>
      </c>
      <c r="S513" s="384" t="str">
        <f ca="1">IFERROR(VLOOKUP(INDIRECT("'Coverage Indicators - Section D'!K"&amp;$B513),'Overview - Section A'!M$30:P101,4,0),IFERROR(IF(VLOOKUP(INDIRECT("'Coverage Indicators - Section D'!K"&amp;$B513),'Overview - Section A'!E$27:I89,5,0)=0,"",VLOOKUP(INDIRECT("'Coverage Indicators - Section D'!K"&amp;$B513),'Overview - Section A'!E$27:I89,5,0)),""))</f>
        <v/>
      </c>
      <c r="T513" s="389"/>
      <c r="U513" s="388"/>
      <c r="V513" s="388"/>
      <c r="W513" s="384" t="b">
        <f t="shared" ca="1" si="83"/>
        <v>0</v>
      </c>
    </row>
    <row r="514" spans="1:23" x14ac:dyDescent="0.3">
      <c r="B514" s="390"/>
      <c r="E514" s="391"/>
      <c r="F514" s="391"/>
      <c r="H514" s="390"/>
    </row>
    <row r="515" spans="1:23" x14ac:dyDescent="0.3">
      <c r="B515" s="390"/>
      <c r="E515" s="391"/>
      <c r="F515" s="391"/>
      <c r="H515" s="390"/>
    </row>
    <row r="516" spans="1:23" x14ac:dyDescent="0.3">
      <c r="J516" s="383" t="str">
        <f ca="1">IF(ROW()&gt;'Impact Indicator Target Update'!A14,"",INDIRECT("'Impact Indicators - Section B'!A"&amp;'Impact Indicator Target Update'!D14))</f>
        <v/>
      </c>
    </row>
    <row r="517" spans="1:23" x14ac:dyDescent="0.3">
      <c r="A517" s="382" t="s">
        <v>2600</v>
      </c>
      <c r="J517" s="383" t="str">
        <f ca="1">IF(ROW()&gt;'Impact Indicator Target Update'!A15,"",INDIRECT("'Impact Indicators - Section B'!A"&amp;'Impact Indicator Target Update'!D15))</f>
        <v/>
      </c>
    </row>
    <row r="518" spans="1:23" x14ac:dyDescent="0.3">
      <c r="A518" s="384" t="s">
        <v>325</v>
      </c>
      <c r="B518" s="384">
        <f>-T2*V2-1</f>
        <v>-181</v>
      </c>
      <c r="C518" s="384" t="s">
        <v>318</v>
      </c>
      <c r="D518" s="384" t="s">
        <v>2601</v>
      </c>
      <c r="E518" s="384" t="s">
        <v>2321</v>
      </c>
      <c r="F518" s="384" t="s">
        <v>2174</v>
      </c>
      <c r="G518" s="384" t="s">
        <v>199</v>
      </c>
      <c r="H518" s="384" t="s">
        <v>774</v>
      </c>
      <c r="I518" s="384" t="s">
        <v>225</v>
      </c>
      <c r="J518" s="384" t="s">
        <v>776</v>
      </c>
      <c r="K518" s="384" t="s">
        <v>771</v>
      </c>
      <c r="L518" s="384" t="s">
        <v>777</v>
      </c>
      <c r="M518" s="384" t="s">
        <v>2322</v>
      </c>
      <c r="N518" s="384" t="s">
        <v>2602</v>
      </c>
      <c r="O518" s="384">
        <v>-1</v>
      </c>
      <c r="P518" s="384"/>
      <c r="Q518" s="384"/>
      <c r="R518" s="384"/>
      <c r="S518" s="384"/>
      <c r="T518" s="384" t="s">
        <v>2603</v>
      </c>
    </row>
    <row r="519" spans="1:23" hidden="1" x14ac:dyDescent="0.3">
      <c r="A519" s="384" t="b">
        <f ca="1">IF(OR(I519&lt;&gt;"",J519&lt;&gt;"",K519&lt;&gt;"",L519&lt;&gt;""),TRUE,FALSE)</f>
        <v>0</v>
      </c>
      <c r="B519" s="384">
        <f>B518+1</f>
        <v>-180</v>
      </c>
      <c r="C519" s="397" t="str">
        <f ca="1">M519</f>
        <v/>
      </c>
      <c r="D519" s="397"/>
      <c r="E519" s="384">
        <f>IF(E518="countif",0,IF(E518=W$2,1,E518+1))</f>
        <v>0</v>
      </c>
      <c r="F519" s="398" t="str">
        <f ca="1">IF(COUNTA(D$518:D519)=1,"",OFFSET(F517,-COUNTA(D$518:D519)+3,0))</f>
        <v/>
      </c>
      <c r="G519" s="388" t="str">
        <f ca="1">IFERROR(IF(INDIRECT("'Coverage Indicators - Section I'!G"&amp;$I3)="","",INDIRECT("'Coverage Indicators - Section I'!G"&amp;$I3)),"")</f>
        <v/>
      </c>
      <c r="H519" s="384" t="str">
        <f>IF(B519=1,9,IF(E518=MAX(E517:E519),H517+2,H518))</f>
        <v>row number</v>
      </c>
      <c r="I519" s="386" t="str">
        <f ca="1">IFERROR(CHOOSE(E519,IFERROR(IF(INDIRECT("'Coverage Indicators - Section D'!O"&amp;H519)="","",INDIRECT("'Coverage Indicators - Section D'!O"&amp;H519)*100),""),IFERROR(IF(INDIRECT("'Coverage Indicators - Section D'!R"&amp;H519)="","",INDIRECT("'Coverage Indicators - Section D'!R"&amp;H519)*100),""),IFERROR(IF(INDIRECT("'Coverage Indicators - Section D'!U"&amp;H519)="","",INDIRECT("'Coverage Indicators - Section D'!U"&amp;H519)*100),""),IFERROR(IF(INDIRECT("'Coverage Indicators - Section D'!X"&amp;H519)="","",INDIRECT("'Coverage Indicators - Section D'!X"&amp;H519)*100),""),IFERROR(IF(INDIRECT("'Coverage Indicators - Section D'!AA"&amp;H519)="","",INDIRECT("'Coverage Indicators - Section D'!AA"&amp;H519)*100),""),IFERROR(IF(INDIRECT("'Coverage Indicators - Section D'!AD"&amp;H519)="","",INDIRECT("'Coverage Indicators - Section D'!AD"&amp;H519)*100),""),IFERROR(IF(INDIRECT("'Coverage Indicators - Section D'!AG"&amp;H519)="","",INDIRECT("'Coverage Indicators - Section D'!AG"&amp;H519)*100),""),IFERROR(IF(INDIRECT("'Coverage Indicators - Section D'!AJ"&amp;H519)="","",INDIRECT("'Coverage Indicators - Section D'!AJ"&amp;H519)*100),"")),"")</f>
        <v/>
      </c>
      <c r="J519" s="389" t="str">
        <f ca="1">IFERROR(CHOOSE(E519,IFERROR(IF(INDIRECT("'Coverage Indicators - Section D'!N"&amp;H519+1)="","",INDIRECT("'Coverage Indicators - Section D'!N"&amp;H519+1)),""),IFERROR(IF(INDIRECT("'Coverage Indicators - Section D'!Q"&amp;H519+1)="","",INDIRECT("'Coverage Indicators - Section D'!Q"&amp;H519+1)),""),IFERROR(IF(INDIRECT("'Coverage Indicators - Section D'!T"&amp;H519+1)="","",INDIRECT("'Coverage Indicators - Section D'!T"&amp;H519+1)),""),IFERROR(IF(INDIRECT("'Coverage Indicators - Section D'!W"&amp;H519+1)="","",INDIRECT("'Coverage Indicators - Section D'!W"&amp;H519+1)),""),IFERROR(IF(INDIRECT("'Coverage Indicators - Section D'!Z"&amp;H519+1)="","",INDIRECT("'Coverage Indicators - Section D'!Z"&amp;H519+1)),""),IFERROR(IF(INDIRECT("'Coverage Indicators - Section D'!AC"&amp;H519+1)="","",INDIRECT("'Coverage Indicators - Section D'!AC"&amp;H519+1)),""),IFERROR(IF(INDIRECT("'Coverage Indicators - Section D'!AF"&amp;H519+1)="","",INDIRECT("'Coverage Indicators - Section D'!AF"&amp;H519+1)),""),IFERROR(IF(INDIRECT("'Coverage Indicators - Section D'!AI"&amp;H519+1)="","",INDIRECT("'Coverage Indicators - Section D'!AI"&amp;H519+1)),"")),"")</f>
        <v/>
      </c>
      <c r="K519" s="389" t="str">
        <f ca="1">IFERROR(CHOOSE(E519,IFERROR(IF(INDIRECT("'Coverage Indicators - Section D'!N"&amp;H519)="","",INDIRECT("'Coverage Indicators - Section D'!N"&amp;H519)),""),IFERROR(IF(INDIRECT("'Coverage Indicators - Section D'!Q"&amp;H519)="","",INDIRECT("'Coverage Indicators - Section D'!Q"&amp;H519)),""),IFERROR(IF(INDIRECT("'Coverage Indicators - Section D'!T"&amp;H519)="","",INDIRECT("'Coverage Indicators - Section D'!T"&amp;H519)),""),IFERROR(IF(INDIRECT("'Coverage Indicators - Section D'!W"&amp;H519)="","",INDIRECT("'Coverage Indicators - Section D'!W"&amp;H519)),""),IFERROR(IF(INDIRECT("'Coverage Indicators - Section D'!Z"&amp;H519)="","",INDIRECT("'Coverage Indicators - Section D'!Z"&amp;H519)),""),IFERROR(IF(INDIRECT("'Coverage Indicators - Section D'!AC"&amp;H519)="","",INDIRECT("'Coverage Indicators - Section D'!AC"&amp;H519)),""),IFERROR(IF(INDIRECT("'Coverage Indicators - Section D'!AF"&amp;H519)="","",INDIRECT("'Coverage Indicators - Section D'!AF"&amp;H519)),""),IFERROR(IF(INDIRECT("'Coverage Indicators - Section D'!AI"&amp;H519)="","",INDIRECT("'Coverage Indicators - Section D'!AI"&amp;H519)),"")),"")</f>
        <v/>
      </c>
      <c r="L519" s="388" t="str">
        <f ca="1">IF(IFERROR(CHOOSE(E519,IFERROR(IF(INDIRECT("'Coverage Indicators - Section D'!P"&amp;H519)=0,"",INDIRECT("'Coverage Indicators - Section D'!P"&amp;H519)),""),IFERROR(IF(INDIRECT("'Coverage Indicators - Section D'!S"&amp;H519)=0,"",INDIRECT("'Coverage Indicators - Section D'!S"&amp;H519)),""),IFERROR(IF(INDIRECT("'Coverage Indicators - Section D'!V"&amp;H519)=0,"",INDIRECT("'Coverage Indicators - Section D'!V"&amp;H519)),""),IFERROR(IF(INDIRECT("'Coverage Indicators - Section D'!Y"&amp;H519)=0,"",INDIRECT("'Coverage Indicators - Section D'!Y"&amp;H519)),""),IFERROR(IF(INDIRECT("'Coverage Indicators - Section D'!AB"&amp;H519)=0,"",INDIRECT("'Coverage Indicators - Section D'!AB"&amp;H519)),""),IFERROR(IF(INDIRECT("'Coverage Indicators - Section D'!AE"&amp;H519)=0,"",INDIRECT("'Coverage Indicators - Section D'!AE"&amp;H519)),""),IFERROR(IF(INDIRECT("'Coverage Indicators - Section D'!AH"&amp;H519)=0,"",INDIRECT("'Coverage Indicators - Section D'!AH"&amp;H519)),""),IFERROR(IF(INDIRECT("'Coverage Indicators - Section D'!AK"&amp;H519)=0,"",INDIRECT("'Coverage Indicators - Section D'!AK"&amp;H519)),""),),"")=0,"",IFERROR(CHOOSE(E519,IFERROR(IF(INDIRECT("'Coverage Indicators - Section D'!P"&amp;H519)=0,"",INDIRECT("'Coverage Indicators - Section D'!P"&amp;H519)),""),IFERROR(IF(INDIRECT("'Coverage Indicators - Section D'!S"&amp;H519)=0,"",INDIRECT("'Coverage Indicators - Section D'!S"&amp;H519)),""),IFERROR(IF(INDIRECT("'Coverage Indicators - Section D'!V"&amp;H519)=0,"",INDIRECT("'Coverage Indicators - Section D'!V"&amp;H519)),""),IFERROR(IF(INDIRECT("'Coverage Indicators - Section D'!Y"&amp;H519)=0,"",INDIRECT("'Coverage Indicators - Section D'!Y"&amp;H519)),""),IFERROR(IF(INDIRECT("'Coverage Indicators - Section D'!AB"&amp;H519)=0,"",INDIRECT("'Coverage Indicators - Section D'!AB"&amp;H519)),""),IFERROR(IF(INDIRECT("'Coverage Indicators - Section D'!AE"&amp;H519)=0,"",INDIRECT("'Coverage Indicators - Section D'!AE"&amp;H519)),""),IFERROR(IF(INDIRECT("'Coverage Indicators - Section D'!AH"&amp;H519)=0,"",INDIRECT("'Coverage Indicators - Section D'!AH"&amp;H519)),""),IFERROR(IF(INDIRECT("'Coverage Indicators - Section D'!AK"&amp;H519)=0,"",INDIRECT("'Coverage Indicators - Section D'!AK"&amp;H519)),""),),""))</f>
        <v/>
      </c>
      <c r="M519" s="397" t="str">
        <f ca="1">IFERROR(IF(COUNTIF($B$517:$B518,"&lt;0")=1,"",OFFSET($C517,-COUNTIF($B$517:$B518,"&lt;0")+3,0)),"")</f>
        <v/>
      </c>
      <c r="N519" s="397">
        <f ca="1">IFERROR(IF(AND(_xlfn.ISFORMULA(I519),NOT(_xlfn.ISFORMULA(I518))),1,OFFSET($F517,-COUNTIF($B$517:B518,"&lt;0")+3,0)),"")</f>
        <v>1</v>
      </c>
      <c r="O519" s="384">
        <f>IF(NOT(_xlfn.ISFORMULA(I519)),O518+1,0)</f>
        <v>0</v>
      </c>
      <c r="P519" s="384"/>
      <c r="Q519" s="384"/>
      <c r="R519" s="384"/>
      <c r="S519" s="384"/>
      <c r="T519" s="388" t="s">
        <v>2604</v>
      </c>
    </row>
    <row r="520" spans="1:23" x14ac:dyDescent="0.3">
      <c r="A520" s="384" t="b">
        <v>0</v>
      </c>
      <c r="B520" s="384">
        <f t="shared" ref="B520:B583" si="84">B519+1</f>
        <v>-179</v>
      </c>
      <c r="C520" s="397" t="s">
        <v>2605</v>
      </c>
      <c r="D520" s="397" t="s">
        <v>2606</v>
      </c>
      <c r="E520" s="384">
        <f t="shared" ref="E520:E583" si="85">IF(E519="countif",0,IF(E519=W$2,1,E519+1))</f>
        <v>1</v>
      </c>
      <c r="F520" s="398">
        <v>1</v>
      </c>
      <c r="G520" s="388"/>
      <c r="H520" s="384" t="str">
        <f t="shared" ref="H520:H583" si="86">IF(B520=1,9,IF(E519=MAX(E518:E520),H518+2,H519))</f>
        <v>row number</v>
      </c>
      <c r="I520" s="386"/>
      <c r="J520" s="389"/>
      <c r="K520" s="389"/>
      <c r="L520" s="388"/>
      <c r="M520" s="397" t="str">
        <f ca="1">IFERROR(IF(COUNTIF($B$517:$B519,"&lt;0")=1,"",OFFSET($C518,-COUNTIF($B$517:$B519,"&lt;0")+3,0)),"")</f>
        <v/>
      </c>
      <c r="N520" s="397" t="str">
        <f ca="1">IFERROR(IF(AND(_xlfn.ISFORMULA(I520),NOT(_xlfn.ISFORMULA(I519))),1,OFFSET($F518,-COUNTIF($B$517:B519,"&lt;0")+3,0)),"")</f>
        <v/>
      </c>
      <c r="O520" s="384">
        <f t="shared" ref="O520:O583" si="87">IF(NOT(_xlfn.ISFORMULA(I520)),O519+1,0)</f>
        <v>1</v>
      </c>
      <c r="P520" s="384"/>
      <c r="Q520" s="384"/>
      <c r="R520" s="384"/>
      <c r="S520" s="384"/>
      <c r="T520" s="388"/>
    </row>
    <row r="521" spans="1:23" x14ac:dyDescent="0.3">
      <c r="A521" s="384" t="b">
        <v>0</v>
      </c>
      <c r="B521" s="384">
        <f t="shared" si="84"/>
        <v>-178</v>
      </c>
      <c r="C521" s="397" t="s">
        <v>2607</v>
      </c>
      <c r="D521" s="397" t="s">
        <v>2606</v>
      </c>
      <c r="E521" s="384">
        <f t="shared" si="85"/>
        <v>2</v>
      </c>
      <c r="F521" s="398">
        <v>1</v>
      </c>
      <c r="G521" s="388"/>
      <c r="H521" s="384" t="str">
        <f t="shared" si="86"/>
        <v>row number</v>
      </c>
      <c r="I521" s="386"/>
      <c r="J521" s="389"/>
      <c r="K521" s="389"/>
      <c r="L521" s="388"/>
      <c r="M521" s="397" t="str">
        <f ca="1">IFERROR(IF(COUNTIF($B$517:$B520,"&lt;0")=1,"",OFFSET($C519,-COUNTIF($B$517:$B520,"&lt;0")+3,0)),"")</f>
        <v/>
      </c>
      <c r="N521" s="397" t="str">
        <f ca="1">IFERROR(IF(AND(_xlfn.ISFORMULA(I521),NOT(_xlfn.ISFORMULA(I520))),1,OFFSET($F519,-COUNTIF($B$517:B520,"&lt;0")+3,0)),"")</f>
        <v/>
      </c>
      <c r="O521" s="384">
        <f t="shared" si="87"/>
        <v>2</v>
      </c>
      <c r="P521" s="384"/>
      <c r="Q521" s="384"/>
      <c r="R521" s="384"/>
      <c r="S521" s="384"/>
      <c r="T521" s="388"/>
    </row>
    <row r="522" spans="1:23" x14ac:dyDescent="0.3">
      <c r="A522" s="384" t="b">
        <v>0</v>
      </c>
      <c r="B522" s="384">
        <f t="shared" si="84"/>
        <v>-177</v>
      </c>
      <c r="C522" s="397" t="s">
        <v>2608</v>
      </c>
      <c r="D522" s="397" t="s">
        <v>2606</v>
      </c>
      <c r="E522" s="384">
        <f t="shared" si="85"/>
        <v>3</v>
      </c>
      <c r="F522" s="398">
        <v>1</v>
      </c>
      <c r="G522" s="388"/>
      <c r="H522" s="384" t="str">
        <f t="shared" si="86"/>
        <v>row number</v>
      </c>
      <c r="I522" s="386"/>
      <c r="J522" s="389"/>
      <c r="K522" s="389"/>
      <c r="L522" s="388"/>
      <c r="M522" s="397" t="str">
        <f ca="1">IFERROR(IF(COUNTIF($B$517:$B521,"&lt;0")=1,"",OFFSET($C520,-COUNTIF($B$517:$B521,"&lt;0")+3,0)),"")</f>
        <v/>
      </c>
      <c r="N522" s="397" t="str">
        <f ca="1">IFERROR(IF(AND(_xlfn.ISFORMULA(I522),NOT(_xlfn.ISFORMULA(I521))),1,OFFSET($F520,-COUNTIF($B$517:B521,"&lt;0")+3,0)),"")</f>
        <v/>
      </c>
      <c r="O522" s="384">
        <f t="shared" si="87"/>
        <v>3</v>
      </c>
      <c r="P522" s="384"/>
      <c r="Q522" s="384"/>
      <c r="R522" s="384"/>
      <c r="S522" s="384"/>
      <c r="T522" s="388"/>
    </row>
    <row r="523" spans="1:23" x14ac:dyDescent="0.3">
      <c r="A523" s="384" t="b">
        <v>0</v>
      </c>
      <c r="B523" s="384">
        <f t="shared" si="84"/>
        <v>-176</v>
      </c>
      <c r="C523" s="397" t="s">
        <v>2609</v>
      </c>
      <c r="D523" s="397" t="s">
        <v>2606</v>
      </c>
      <c r="E523" s="384">
        <f t="shared" si="85"/>
        <v>4</v>
      </c>
      <c r="F523" s="398">
        <v>1</v>
      </c>
      <c r="G523" s="388"/>
      <c r="H523" s="384" t="str">
        <f t="shared" si="86"/>
        <v>row number</v>
      </c>
      <c r="I523" s="386"/>
      <c r="J523" s="389"/>
      <c r="K523" s="389"/>
      <c r="L523" s="388"/>
      <c r="M523" s="397" t="str">
        <f ca="1">IFERROR(IF(COUNTIF($B$517:$B522,"&lt;0")=1,"",OFFSET($C521,-COUNTIF($B$517:$B522,"&lt;0")+3,0)),"")</f>
        <v/>
      </c>
      <c r="N523" s="397" t="str">
        <f ca="1">IFERROR(IF(AND(_xlfn.ISFORMULA(I523),NOT(_xlfn.ISFORMULA(I522))),1,OFFSET($F521,-COUNTIF($B$517:B522,"&lt;0")+3,0)),"")</f>
        <v/>
      </c>
      <c r="O523" s="384">
        <f t="shared" si="87"/>
        <v>4</v>
      </c>
      <c r="P523" s="384"/>
      <c r="Q523" s="384"/>
      <c r="R523" s="384"/>
      <c r="S523" s="384"/>
      <c r="T523" s="388"/>
    </row>
    <row r="524" spans="1:23" x14ac:dyDescent="0.3">
      <c r="A524" s="384" t="b">
        <v>0</v>
      </c>
      <c r="B524" s="384">
        <f t="shared" si="84"/>
        <v>-175</v>
      </c>
      <c r="C524" s="397" t="s">
        <v>2610</v>
      </c>
      <c r="D524" s="397" t="s">
        <v>2606</v>
      </c>
      <c r="E524" s="384">
        <f t="shared" si="85"/>
        <v>5</v>
      </c>
      <c r="F524" s="398">
        <v>1</v>
      </c>
      <c r="G524" s="388"/>
      <c r="H524" s="384" t="str">
        <f t="shared" si="86"/>
        <v>row number</v>
      </c>
      <c r="I524" s="386"/>
      <c r="J524" s="389"/>
      <c r="K524" s="389"/>
      <c r="L524" s="388"/>
      <c r="M524" s="397" t="str">
        <f ca="1">IFERROR(IF(COUNTIF($B$517:$B523,"&lt;0")=1,"",OFFSET($C522,-COUNTIF($B$517:$B523,"&lt;0")+3,0)),"")</f>
        <v/>
      </c>
      <c r="N524" s="397" t="str">
        <f ca="1">IFERROR(IF(AND(_xlfn.ISFORMULA(I524),NOT(_xlfn.ISFORMULA(I523))),1,OFFSET($F522,-COUNTIF($B$517:B523,"&lt;0")+3,0)),"")</f>
        <v/>
      </c>
      <c r="O524" s="384">
        <f t="shared" si="87"/>
        <v>5</v>
      </c>
      <c r="P524" s="384"/>
      <c r="Q524" s="384"/>
      <c r="R524" s="384"/>
      <c r="S524" s="384"/>
      <c r="T524" s="388"/>
    </row>
    <row r="525" spans="1:23" x14ac:dyDescent="0.3">
      <c r="A525" s="384" t="b">
        <v>0</v>
      </c>
      <c r="B525" s="384">
        <f t="shared" si="84"/>
        <v>-174</v>
      </c>
      <c r="C525" s="397" t="s">
        <v>2611</v>
      </c>
      <c r="D525" s="397" t="s">
        <v>2606</v>
      </c>
      <c r="E525" s="384">
        <f t="shared" si="85"/>
        <v>6</v>
      </c>
      <c r="F525" s="398">
        <v>1</v>
      </c>
      <c r="G525" s="388"/>
      <c r="H525" s="384" t="str">
        <f t="shared" si="86"/>
        <v>row number</v>
      </c>
      <c r="I525" s="386"/>
      <c r="J525" s="389"/>
      <c r="K525" s="389"/>
      <c r="L525" s="388"/>
      <c r="M525" s="397" t="str">
        <f ca="1">IFERROR(IF(COUNTIF($B$517:$B524,"&lt;0")=1,"",OFFSET($C523,-COUNTIF($B$517:$B524,"&lt;0")+3,0)),"")</f>
        <v/>
      </c>
      <c r="N525" s="397" t="str">
        <f ca="1">IFERROR(IF(AND(_xlfn.ISFORMULA(I525),NOT(_xlfn.ISFORMULA(I524))),1,OFFSET($F523,-COUNTIF($B$517:B524,"&lt;0")+3,0)),"")</f>
        <v/>
      </c>
      <c r="O525" s="384">
        <f t="shared" si="87"/>
        <v>6</v>
      </c>
      <c r="P525" s="384"/>
      <c r="Q525" s="384"/>
      <c r="R525" s="384"/>
      <c r="S525" s="384"/>
      <c r="T525" s="388"/>
    </row>
    <row r="526" spans="1:23" x14ac:dyDescent="0.3">
      <c r="A526" s="384" t="b">
        <v>0</v>
      </c>
      <c r="B526" s="384">
        <f t="shared" si="84"/>
        <v>-173</v>
      </c>
      <c r="C526" s="397" t="s">
        <v>2612</v>
      </c>
      <c r="D526" s="397" t="s">
        <v>2613</v>
      </c>
      <c r="E526" s="384">
        <f t="shared" si="85"/>
        <v>1</v>
      </c>
      <c r="F526" s="398">
        <v>2</v>
      </c>
      <c r="G526" s="388"/>
      <c r="H526" s="384" t="e">
        <f t="shared" si="86"/>
        <v>#VALUE!</v>
      </c>
      <c r="I526" s="386"/>
      <c r="J526" s="389"/>
      <c r="K526" s="389"/>
      <c r="L526" s="388"/>
      <c r="M526" s="397" t="str">
        <f ca="1">IFERROR(IF(COUNTIF($B$517:$B525,"&lt;0")=1,"",OFFSET($C524,-COUNTIF($B$517:$B525,"&lt;0")+3,0)),"")</f>
        <v/>
      </c>
      <c r="N526" s="397" t="str">
        <f ca="1">IFERROR(IF(AND(_xlfn.ISFORMULA(I526),NOT(_xlfn.ISFORMULA(I525))),1,OFFSET($F524,-COUNTIF($B$517:B525,"&lt;0")+3,0)),"")</f>
        <v/>
      </c>
      <c r="O526" s="384">
        <f t="shared" si="87"/>
        <v>7</v>
      </c>
      <c r="P526" s="384"/>
      <c r="Q526" s="384"/>
      <c r="R526" s="384"/>
      <c r="S526" s="384"/>
      <c r="T526" s="388"/>
    </row>
    <row r="527" spans="1:23" x14ac:dyDescent="0.3">
      <c r="A527" s="384" t="b">
        <v>0</v>
      </c>
      <c r="B527" s="384">
        <f t="shared" si="84"/>
        <v>-172</v>
      </c>
      <c r="C527" s="397" t="s">
        <v>2614</v>
      </c>
      <c r="D527" s="397" t="s">
        <v>2613</v>
      </c>
      <c r="E527" s="384">
        <f t="shared" si="85"/>
        <v>2</v>
      </c>
      <c r="F527" s="398">
        <v>2</v>
      </c>
      <c r="G527" s="388"/>
      <c r="H527" s="384" t="e">
        <f t="shared" si="86"/>
        <v>#VALUE!</v>
      </c>
      <c r="I527" s="386"/>
      <c r="J527" s="389"/>
      <c r="K527" s="389"/>
      <c r="L527" s="388"/>
      <c r="M527" s="397" t="str">
        <f ca="1">IFERROR(IF(COUNTIF($B$517:$B526,"&lt;0")=1,"",OFFSET($C525,-COUNTIF($B$517:$B526,"&lt;0")+3,0)),"")</f>
        <v/>
      </c>
      <c r="N527" s="397" t="str">
        <f ca="1">IFERROR(IF(AND(_xlfn.ISFORMULA(I527),NOT(_xlfn.ISFORMULA(I526))),1,OFFSET($F525,-COUNTIF($B$517:B526,"&lt;0")+3,0)),"")</f>
        <v/>
      </c>
      <c r="O527" s="384">
        <f t="shared" si="87"/>
        <v>8</v>
      </c>
      <c r="P527" s="384"/>
      <c r="Q527" s="384"/>
      <c r="R527" s="384"/>
      <c r="S527" s="384"/>
      <c r="T527" s="388"/>
    </row>
    <row r="528" spans="1:23" x14ac:dyDescent="0.3">
      <c r="A528" s="384" t="b">
        <v>0</v>
      </c>
      <c r="B528" s="384">
        <f t="shared" si="84"/>
        <v>-171</v>
      </c>
      <c r="C528" s="397" t="s">
        <v>2615</v>
      </c>
      <c r="D528" s="397" t="s">
        <v>2613</v>
      </c>
      <c r="E528" s="384">
        <f t="shared" si="85"/>
        <v>3</v>
      </c>
      <c r="F528" s="398">
        <v>2</v>
      </c>
      <c r="G528" s="388"/>
      <c r="H528" s="384" t="e">
        <f t="shared" si="86"/>
        <v>#VALUE!</v>
      </c>
      <c r="I528" s="386"/>
      <c r="J528" s="389"/>
      <c r="K528" s="389"/>
      <c r="L528" s="388"/>
      <c r="M528" s="397" t="str">
        <f ca="1">IFERROR(IF(COUNTIF($B$517:$B527,"&lt;0")=1,"",OFFSET($C526,-COUNTIF($B$517:$B527,"&lt;0")+3,0)),"")</f>
        <v/>
      </c>
      <c r="N528" s="397" t="str">
        <f ca="1">IFERROR(IF(AND(_xlfn.ISFORMULA(I528),NOT(_xlfn.ISFORMULA(I527))),1,OFFSET($F526,-COUNTIF($B$517:B527,"&lt;0")+3,0)),"")</f>
        <v/>
      </c>
      <c r="O528" s="384">
        <f t="shared" si="87"/>
        <v>9</v>
      </c>
      <c r="P528" s="384"/>
      <c r="Q528" s="384"/>
      <c r="R528" s="384"/>
      <c r="S528" s="384"/>
      <c r="T528" s="388"/>
    </row>
    <row r="529" spans="1:20" x14ac:dyDescent="0.3">
      <c r="A529" s="384" t="b">
        <v>0</v>
      </c>
      <c r="B529" s="384">
        <f t="shared" si="84"/>
        <v>-170</v>
      </c>
      <c r="C529" s="397" t="s">
        <v>2616</v>
      </c>
      <c r="D529" s="397" t="s">
        <v>2613</v>
      </c>
      <c r="E529" s="384">
        <f t="shared" si="85"/>
        <v>4</v>
      </c>
      <c r="F529" s="398">
        <v>2</v>
      </c>
      <c r="G529" s="388"/>
      <c r="H529" s="384" t="e">
        <f t="shared" si="86"/>
        <v>#VALUE!</v>
      </c>
      <c r="I529" s="386"/>
      <c r="J529" s="389"/>
      <c r="K529" s="389"/>
      <c r="L529" s="388"/>
      <c r="M529" s="397" t="str">
        <f ca="1">IFERROR(IF(COUNTIF($B$517:$B528,"&lt;0")=1,"",OFFSET($C527,-COUNTIF($B$517:$B528,"&lt;0")+3,0)),"")</f>
        <v/>
      </c>
      <c r="N529" s="397" t="str">
        <f ca="1">IFERROR(IF(AND(_xlfn.ISFORMULA(I529),NOT(_xlfn.ISFORMULA(I528))),1,OFFSET($F527,-COUNTIF($B$517:B528,"&lt;0")+3,0)),"")</f>
        <v/>
      </c>
      <c r="O529" s="384">
        <f t="shared" si="87"/>
        <v>10</v>
      </c>
      <c r="P529" s="384"/>
      <c r="Q529" s="384"/>
      <c r="R529" s="384"/>
      <c r="S529" s="384"/>
      <c r="T529" s="388"/>
    </row>
    <row r="530" spans="1:20" x14ac:dyDescent="0.3">
      <c r="A530" s="384" t="b">
        <v>0</v>
      </c>
      <c r="B530" s="384">
        <f t="shared" si="84"/>
        <v>-169</v>
      </c>
      <c r="C530" s="397" t="s">
        <v>2617</v>
      </c>
      <c r="D530" s="397" t="s">
        <v>2613</v>
      </c>
      <c r="E530" s="384">
        <f t="shared" si="85"/>
        <v>5</v>
      </c>
      <c r="F530" s="398">
        <v>2</v>
      </c>
      <c r="G530" s="388"/>
      <c r="H530" s="384" t="e">
        <f t="shared" si="86"/>
        <v>#VALUE!</v>
      </c>
      <c r="I530" s="386"/>
      <c r="J530" s="389"/>
      <c r="K530" s="389"/>
      <c r="L530" s="388"/>
      <c r="M530" s="397" t="str">
        <f ca="1">IFERROR(IF(COUNTIF($B$517:$B529,"&lt;0")=1,"",OFFSET($C528,-COUNTIF($B$517:$B529,"&lt;0")+3,0)),"")</f>
        <v/>
      </c>
      <c r="N530" s="397" t="str">
        <f ca="1">IFERROR(IF(AND(_xlfn.ISFORMULA(I530),NOT(_xlfn.ISFORMULA(I529))),1,OFFSET($F528,-COUNTIF($B$517:B529,"&lt;0")+3,0)),"")</f>
        <v/>
      </c>
      <c r="O530" s="384">
        <f t="shared" si="87"/>
        <v>11</v>
      </c>
      <c r="P530" s="384"/>
      <c r="Q530" s="384"/>
      <c r="R530" s="384"/>
      <c r="S530" s="384"/>
      <c r="T530" s="388"/>
    </row>
    <row r="531" spans="1:20" x14ac:dyDescent="0.3">
      <c r="A531" s="384" t="b">
        <v>0</v>
      </c>
      <c r="B531" s="384">
        <f t="shared" si="84"/>
        <v>-168</v>
      </c>
      <c r="C531" s="397" t="s">
        <v>2618</v>
      </c>
      <c r="D531" s="397" t="s">
        <v>2613</v>
      </c>
      <c r="E531" s="384">
        <f t="shared" si="85"/>
        <v>6</v>
      </c>
      <c r="F531" s="398">
        <v>2</v>
      </c>
      <c r="G531" s="388"/>
      <c r="H531" s="384" t="e">
        <f t="shared" si="86"/>
        <v>#VALUE!</v>
      </c>
      <c r="I531" s="386"/>
      <c r="J531" s="389"/>
      <c r="K531" s="389"/>
      <c r="L531" s="388"/>
      <c r="M531" s="397" t="str">
        <f ca="1">IFERROR(IF(COUNTIF($B$517:$B530,"&lt;0")=1,"",OFFSET($C529,-COUNTIF($B$517:$B530,"&lt;0")+3,0)),"")</f>
        <v/>
      </c>
      <c r="N531" s="397" t="str">
        <f ca="1">IFERROR(IF(AND(_xlfn.ISFORMULA(I531),NOT(_xlfn.ISFORMULA(I530))),1,OFFSET($F529,-COUNTIF($B$517:B530,"&lt;0")+3,0)),"")</f>
        <v/>
      </c>
      <c r="O531" s="384">
        <f t="shared" si="87"/>
        <v>12</v>
      </c>
      <c r="P531" s="384"/>
      <c r="Q531" s="384"/>
      <c r="R531" s="384"/>
      <c r="S531" s="384"/>
      <c r="T531" s="388"/>
    </row>
    <row r="532" spans="1:20" x14ac:dyDescent="0.3">
      <c r="A532" s="384" t="b">
        <v>0</v>
      </c>
      <c r="B532" s="384">
        <f t="shared" si="84"/>
        <v>-167</v>
      </c>
      <c r="C532" s="397" t="s">
        <v>2619</v>
      </c>
      <c r="D532" s="397" t="s">
        <v>2620</v>
      </c>
      <c r="E532" s="384">
        <f t="shared" si="85"/>
        <v>1</v>
      </c>
      <c r="F532" s="398">
        <v>3</v>
      </c>
      <c r="G532" s="388"/>
      <c r="H532" s="384" t="e">
        <f t="shared" si="86"/>
        <v>#VALUE!</v>
      </c>
      <c r="I532" s="386"/>
      <c r="J532" s="389"/>
      <c r="K532" s="389"/>
      <c r="L532" s="388"/>
      <c r="M532" s="397" t="str">
        <f ca="1">IFERROR(IF(COUNTIF($B$517:$B531,"&lt;0")=1,"",OFFSET($C530,-COUNTIF($B$517:$B531,"&lt;0")+3,0)),"")</f>
        <v/>
      </c>
      <c r="N532" s="397" t="str">
        <f ca="1">IFERROR(IF(AND(_xlfn.ISFORMULA(I532),NOT(_xlfn.ISFORMULA(I531))),1,OFFSET($F530,-COUNTIF($B$517:B531,"&lt;0")+3,0)),"")</f>
        <v/>
      </c>
      <c r="O532" s="384">
        <f t="shared" si="87"/>
        <v>13</v>
      </c>
      <c r="P532" s="384"/>
      <c r="Q532" s="384"/>
      <c r="R532" s="384"/>
      <c r="S532" s="384"/>
      <c r="T532" s="388"/>
    </row>
    <row r="533" spans="1:20" x14ac:dyDescent="0.3">
      <c r="A533" s="384" t="b">
        <v>0</v>
      </c>
      <c r="B533" s="384">
        <f t="shared" si="84"/>
        <v>-166</v>
      </c>
      <c r="C533" s="397" t="s">
        <v>2621</v>
      </c>
      <c r="D533" s="397" t="s">
        <v>2620</v>
      </c>
      <c r="E533" s="384">
        <f t="shared" si="85"/>
        <v>2</v>
      </c>
      <c r="F533" s="398">
        <v>3</v>
      </c>
      <c r="G533" s="388"/>
      <c r="H533" s="384" t="e">
        <f t="shared" si="86"/>
        <v>#VALUE!</v>
      </c>
      <c r="I533" s="386"/>
      <c r="J533" s="389"/>
      <c r="K533" s="389"/>
      <c r="L533" s="388"/>
      <c r="M533" s="397" t="str">
        <f ca="1">IFERROR(IF(COUNTIF($B$517:$B532,"&lt;0")=1,"",OFFSET($C531,-COUNTIF($B$517:$B532,"&lt;0")+3,0)),"")</f>
        <v/>
      </c>
      <c r="N533" s="397" t="str">
        <f ca="1">IFERROR(IF(AND(_xlfn.ISFORMULA(I533),NOT(_xlfn.ISFORMULA(I532))),1,OFFSET($F531,-COUNTIF($B$517:B532,"&lt;0")+3,0)),"")</f>
        <v/>
      </c>
      <c r="O533" s="384">
        <f t="shared" si="87"/>
        <v>14</v>
      </c>
      <c r="P533" s="384"/>
      <c r="Q533" s="384"/>
      <c r="R533" s="384"/>
      <c r="S533" s="384"/>
      <c r="T533" s="388"/>
    </row>
    <row r="534" spans="1:20" x14ac:dyDescent="0.3">
      <c r="A534" s="384" t="b">
        <v>0</v>
      </c>
      <c r="B534" s="384">
        <f t="shared" si="84"/>
        <v>-165</v>
      </c>
      <c r="C534" s="397" t="s">
        <v>2622</v>
      </c>
      <c r="D534" s="397" t="s">
        <v>2620</v>
      </c>
      <c r="E534" s="384">
        <f t="shared" si="85"/>
        <v>3</v>
      </c>
      <c r="F534" s="398">
        <v>3</v>
      </c>
      <c r="G534" s="388"/>
      <c r="H534" s="384" t="e">
        <f t="shared" si="86"/>
        <v>#VALUE!</v>
      </c>
      <c r="I534" s="386"/>
      <c r="J534" s="389"/>
      <c r="K534" s="389"/>
      <c r="L534" s="388"/>
      <c r="M534" s="397" t="str">
        <f ca="1">IFERROR(IF(COUNTIF($B$517:$B533,"&lt;0")=1,"",OFFSET($C532,-COUNTIF($B$517:$B533,"&lt;0")+3,0)),"")</f>
        <v/>
      </c>
      <c r="N534" s="397" t="str">
        <f ca="1">IFERROR(IF(AND(_xlfn.ISFORMULA(I534),NOT(_xlfn.ISFORMULA(I533))),1,OFFSET($F532,-COUNTIF($B$517:B533,"&lt;0")+3,0)),"")</f>
        <v/>
      </c>
      <c r="O534" s="384">
        <f t="shared" si="87"/>
        <v>15</v>
      </c>
      <c r="P534" s="384"/>
      <c r="Q534" s="384"/>
      <c r="R534" s="384"/>
      <c r="S534" s="384"/>
      <c r="T534" s="388"/>
    </row>
    <row r="535" spans="1:20" x14ac:dyDescent="0.3">
      <c r="A535" s="384" t="b">
        <v>0</v>
      </c>
      <c r="B535" s="384">
        <f t="shared" si="84"/>
        <v>-164</v>
      </c>
      <c r="C535" s="397" t="s">
        <v>2623</v>
      </c>
      <c r="D535" s="397" t="s">
        <v>2620</v>
      </c>
      <c r="E535" s="384">
        <f t="shared" si="85"/>
        <v>4</v>
      </c>
      <c r="F535" s="398">
        <v>3</v>
      </c>
      <c r="G535" s="388"/>
      <c r="H535" s="384" t="e">
        <f t="shared" si="86"/>
        <v>#VALUE!</v>
      </c>
      <c r="I535" s="386"/>
      <c r="J535" s="389"/>
      <c r="K535" s="389"/>
      <c r="L535" s="388"/>
      <c r="M535" s="397" t="str">
        <f ca="1">IFERROR(IF(COUNTIF($B$517:$B534,"&lt;0")=1,"",OFFSET($C533,-COUNTIF($B$517:$B534,"&lt;0")+3,0)),"")</f>
        <v/>
      </c>
      <c r="N535" s="397" t="str">
        <f ca="1">IFERROR(IF(AND(_xlfn.ISFORMULA(I535),NOT(_xlfn.ISFORMULA(I534))),1,OFFSET($F533,-COUNTIF($B$517:B534,"&lt;0")+3,0)),"")</f>
        <v/>
      </c>
      <c r="O535" s="384">
        <f t="shared" si="87"/>
        <v>16</v>
      </c>
      <c r="P535" s="384"/>
      <c r="Q535" s="384"/>
      <c r="R535" s="384"/>
      <c r="S535" s="384"/>
      <c r="T535" s="388"/>
    </row>
    <row r="536" spans="1:20" x14ac:dyDescent="0.3">
      <c r="A536" s="384" t="b">
        <v>0</v>
      </c>
      <c r="B536" s="384">
        <f t="shared" si="84"/>
        <v>-163</v>
      </c>
      <c r="C536" s="397" t="s">
        <v>2624</v>
      </c>
      <c r="D536" s="397" t="s">
        <v>2620</v>
      </c>
      <c r="E536" s="384">
        <f t="shared" si="85"/>
        <v>5</v>
      </c>
      <c r="F536" s="398">
        <v>3</v>
      </c>
      <c r="G536" s="388"/>
      <c r="H536" s="384" t="e">
        <f t="shared" si="86"/>
        <v>#VALUE!</v>
      </c>
      <c r="I536" s="386"/>
      <c r="J536" s="389"/>
      <c r="K536" s="389"/>
      <c r="L536" s="388"/>
      <c r="M536" s="397" t="str">
        <f ca="1">IFERROR(IF(COUNTIF($B$517:$B535,"&lt;0")=1,"",OFFSET($C534,-COUNTIF($B$517:$B535,"&lt;0")+3,0)),"")</f>
        <v/>
      </c>
      <c r="N536" s="397" t="str">
        <f ca="1">IFERROR(IF(AND(_xlfn.ISFORMULA(I536),NOT(_xlfn.ISFORMULA(I535))),1,OFFSET($F534,-COUNTIF($B$517:B535,"&lt;0")+3,0)),"")</f>
        <v/>
      </c>
      <c r="O536" s="384">
        <f t="shared" si="87"/>
        <v>17</v>
      </c>
      <c r="P536" s="384"/>
      <c r="Q536" s="384"/>
      <c r="R536" s="384"/>
      <c r="S536" s="384"/>
      <c r="T536" s="388"/>
    </row>
    <row r="537" spans="1:20" x14ac:dyDescent="0.3">
      <c r="A537" s="384" t="b">
        <v>0</v>
      </c>
      <c r="B537" s="384">
        <f t="shared" si="84"/>
        <v>-162</v>
      </c>
      <c r="C537" s="397" t="s">
        <v>2625</v>
      </c>
      <c r="D537" s="397" t="s">
        <v>2620</v>
      </c>
      <c r="E537" s="384">
        <f t="shared" si="85"/>
        <v>6</v>
      </c>
      <c r="F537" s="398">
        <v>3</v>
      </c>
      <c r="G537" s="388"/>
      <c r="H537" s="384" t="e">
        <f t="shared" si="86"/>
        <v>#VALUE!</v>
      </c>
      <c r="I537" s="386"/>
      <c r="J537" s="389"/>
      <c r="K537" s="389"/>
      <c r="L537" s="388"/>
      <c r="M537" s="397" t="str">
        <f ca="1">IFERROR(IF(COUNTIF($B$517:$B536,"&lt;0")=1,"",OFFSET($C535,-COUNTIF($B$517:$B536,"&lt;0")+3,0)),"")</f>
        <v/>
      </c>
      <c r="N537" s="397" t="str">
        <f ca="1">IFERROR(IF(AND(_xlfn.ISFORMULA(I537),NOT(_xlfn.ISFORMULA(I536))),1,OFFSET($F535,-COUNTIF($B$517:B536,"&lt;0")+3,0)),"")</f>
        <v/>
      </c>
      <c r="O537" s="384">
        <f t="shared" si="87"/>
        <v>18</v>
      </c>
      <c r="P537" s="384"/>
      <c r="Q537" s="384"/>
      <c r="R537" s="384"/>
      <c r="S537" s="384"/>
      <c r="T537" s="388"/>
    </row>
    <row r="538" spans="1:20" x14ac:dyDescent="0.3">
      <c r="A538" s="384" t="b">
        <v>0</v>
      </c>
      <c r="B538" s="384">
        <f t="shared" si="84"/>
        <v>-161</v>
      </c>
      <c r="C538" s="397" t="s">
        <v>2626</v>
      </c>
      <c r="D538" s="397" t="s">
        <v>2627</v>
      </c>
      <c r="E538" s="384">
        <f t="shared" si="85"/>
        <v>1</v>
      </c>
      <c r="F538" s="398">
        <v>4</v>
      </c>
      <c r="G538" s="388"/>
      <c r="H538" s="384" t="e">
        <f t="shared" si="86"/>
        <v>#VALUE!</v>
      </c>
      <c r="I538" s="386"/>
      <c r="J538" s="389"/>
      <c r="K538" s="389"/>
      <c r="L538" s="388"/>
      <c r="M538" s="397" t="str">
        <f ca="1">IFERROR(IF(COUNTIF($B$517:$B537,"&lt;0")=1,"",OFFSET($C536,-COUNTIF($B$517:$B537,"&lt;0")+3,0)),"")</f>
        <v/>
      </c>
      <c r="N538" s="397" t="str">
        <f ca="1">IFERROR(IF(AND(_xlfn.ISFORMULA(I538),NOT(_xlfn.ISFORMULA(I537))),1,OFFSET($F536,-COUNTIF($B$517:B537,"&lt;0")+3,0)),"")</f>
        <v/>
      </c>
      <c r="O538" s="384">
        <f t="shared" si="87"/>
        <v>19</v>
      </c>
      <c r="P538" s="384"/>
      <c r="Q538" s="384"/>
      <c r="R538" s="384"/>
      <c r="S538" s="384"/>
      <c r="T538" s="388"/>
    </row>
    <row r="539" spans="1:20" x14ac:dyDescent="0.3">
      <c r="A539" s="384" t="b">
        <v>0</v>
      </c>
      <c r="B539" s="384">
        <f t="shared" si="84"/>
        <v>-160</v>
      </c>
      <c r="C539" s="397" t="s">
        <v>2628</v>
      </c>
      <c r="D539" s="397" t="s">
        <v>2627</v>
      </c>
      <c r="E539" s="384">
        <f t="shared" si="85"/>
        <v>2</v>
      </c>
      <c r="F539" s="398">
        <v>4</v>
      </c>
      <c r="G539" s="388"/>
      <c r="H539" s="384" t="e">
        <f t="shared" si="86"/>
        <v>#VALUE!</v>
      </c>
      <c r="I539" s="386"/>
      <c r="J539" s="389"/>
      <c r="K539" s="389"/>
      <c r="L539" s="388"/>
      <c r="M539" s="397" t="str">
        <f ca="1">IFERROR(IF(COUNTIF($B$517:$B538,"&lt;0")=1,"",OFFSET($C537,-COUNTIF($B$517:$B538,"&lt;0")+3,0)),"")</f>
        <v/>
      </c>
      <c r="N539" s="397" t="str">
        <f ca="1">IFERROR(IF(AND(_xlfn.ISFORMULA(I539),NOT(_xlfn.ISFORMULA(I538))),1,OFFSET($F537,-COUNTIF($B$517:B538,"&lt;0")+3,0)),"")</f>
        <v/>
      </c>
      <c r="O539" s="384">
        <f t="shared" si="87"/>
        <v>20</v>
      </c>
      <c r="P539" s="384"/>
      <c r="Q539" s="384"/>
      <c r="R539" s="384"/>
      <c r="S539" s="384"/>
      <c r="T539" s="388"/>
    </row>
    <row r="540" spans="1:20" x14ac:dyDescent="0.3">
      <c r="A540" s="384" t="b">
        <v>0</v>
      </c>
      <c r="B540" s="384">
        <f t="shared" si="84"/>
        <v>-159</v>
      </c>
      <c r="C540" s="397" t="s">
        <v>2629</v>
      </c>
      <c r="D540" s="397" t="s">
        <v>2627</v>
      </c>
      <c r="E540" s="384">
        <f t="shared" si="85"/>
        <v>3</v>
      </c>
      <c r="F540" s="398">
        <v>4</v>
      </c>
      <c r="G540" s="388"/>
      <c r="H540" s="384" t="e">
        <f t="shared" si="86"/>
        <v>#VALUE!</v>
      </c>
      <c r="I540" s="386"/>
      <c r="J540" s="389"/>
      <c r="K540" s="389"/>
      <c r="L540" s="388"/>
      <c r="M540" s="397" t="str">
        <f ca="1">IFERROR(IF(COUNTIF($B$517:$B539,"&lt;0")=1,"",OFFSET($C538,-COUNTIF($B$517:$B539,"&lt;0")+3,0)),"")</f>
        <v/>
      </c>
      <c r="N540" s="397" t="str">
        <f ca="1">IFERROR(IF(AND(_xlfn.ISFORMULA(I540),NOT(_xlfn.ISFORMULA(I539))),1,OFFSET($F538,-COUNTIF($B$517:B539,"&lt;0")+3,0)),"")</f>
        <v/>
      </c>
      <c r="O540" s="384">
        <f t="shared" si="87"/>
        <v>21</v>
      </c>
      <c r="P540" s="384"/>
      <c r="Q540" s="384"/>
      <c r="R540" s="384"/>
      <c r="S540" s="384"/>
      <c r="T540" s="388"/>
    </row>
    <row r="541" spans="1:20" x14ac:dyDescent="0.3">
      <c r="A541" s="384" t="b">
        <v>0</v>
      </c>
      <c r="B541" s="384">
        <f t="shared" si="84"/>
        <v>-158</v>
      </c>
      <c r="C541" s="397" t="s">
        <v>2630</v>
      </c>
      <c r="D541" s="397" t="s">
        <v>2627</v>
      </c>
      <c r="E541" s="384">
        <f t="shared" si="85"/>
        <v>4</v>
      </c>
      <c r="F541" s="398">
        <v>4</v>
      </c>
      <c r="G541" s="388"/>
      <c r="H541" s="384" t="e">
        <f t="shared" si="86"/>
        <v>#VALUE!</v>
      </c>
      <c r="I541" s="386"/>
      <c r="J541" s="389"/>
      <c r="K541" s="389"/>
      <c r="L541" s="388"/>
      <c r="M541" s="397" t="str">
        <f ca="1">IFERROR(IF(COUNTIF($B$517:$B540,"&lt;0")=1,"",OFFSET($C539,-COUNTIF($B$517:$B540,"&lt;0")+3,0)),"")</f>
        <v/>
      </c>
      <c r="N541" s="397" t="str">
        <f ca="1">IFERROR(IF(AND(_xlfn.ISFORMULA(I541),NOT(_xlfn.ISFORMULA(I540))),1,OFFSET($F539,-COUNTIF($B$517:B540,"&lt;0")+3,0)),"")</f>
        <v/>
      </c>
      <c r="O541" s="384">
        <f t="shared" si="87"/>
        <v>22</v>
      </c>
      <c r="P541" s="384"/>
      <c r="Q541" s="384"/>
      <c r="R541" s="384"/>
      <c r="S541" s="384"/>
      <c r="T541" s="388"/>
    </row>
    <row r="542" spans="1:20" x14ac:dyDescent="0.3">
      <c r="A542" s="384" t="b">
        <v>0</v>
      </c>
      <c r="B542" s="384">
        <f t="shared" si="84"/>
        <v>-157</v>
      </c>
      <c r="C542" s="397" t="s">
        <v>2631</v>
      </c>
      <c r="D542" s="397" t="s">
        <v>2627</v>
      </c>
      <c r="E542" s="384">
        <f t="shared" si="85"/>
        <v>5</v>
      </c>
      <c r="F542" s="398">
        <v>4</v>
      </c>
      <c r="G542" s="388"/>
      <c r="H542" s="384" t="e">
        <f t="shared" si="86"/>
        <v>#VALUE!</v>
      </c>
      <c r="I542" s="386"/>
      <c r="J542" s="389"/>
      <c r="K542" s="389"/>
      <c r="L542" s="388"/>
      <c r="M542" s="397" t="str">
        <f ca="1">IFERROR(IF(COUNTIF($B$517:$B541,"&lt;0")=1,"",OFFSET($C540,-COUNTIF($B$517:$B541,"&lt;0")+3,0)),"")</f>
        <v/>
      </c>
      <c r="N542" s="397" t="str">
        <f ca="1">IFERROR(IF(AND(_xlfn.ISFORMULA(I542),NOT(_xlfn.ISFORMULA(I541))),1,OFFSET($F540,-COUNTIF($B$517:B541,"&lt;0")+3,0)),"")</f>
        <v/>
      </c>
      <c r="O542" s="384">
        <f t="shared" si="87"/>
        <v>23</v>
      </c>
      <c r="P542" s="384"/>
      <c r="Q542" s="384"/>
      <c r="R542" s="384"/>
      <c r="S542" s="384"/>
      <c r="T542" s="388"/>
    </row>
    <row r="543" spans="1:20" x14ac:dyDescent="0.3">
      <c r="A543" s="384" t="b">
        <v>0</v>
      </c>
      <c r="B543" s="384">
        <f t="shared" si="84"/>
        <v>-156</v>
      </c>
      <c r="C543" s="397" t="s">
        <v>2632</v>
      </c>
      <c r="D543" s="397" t="s">
        <v>2627</v>
      </c>
      <c r="E543" s="384">
        <f t="shared" si="85"/>
        <v>6</v>
      </c>
      <c r="F543" s="398">
        <v>4</v>
      </c>
      <c r="G543" s="388"/>
      <c r="H543" s="384" t="e">
        <f t="shared" si="86"/>
        <v>#VALUE!</v>
      </c>
      <c r="I543" s="386"/>
      <c r="J543" s="389"/>
      <c r="K543" s="389"/>
      <c r="L543" s="388"/>
      <c r="M543" s="397" t="str">
        <f ca="1">IFERROR(IF(COUNTIF($B$517:$B542,"&lt;0")=1,"",OFFSET($C541,-COUNTIF($B$517:$B542,"&lt;0")+3,0)),"")</f>
        <v/>
      </c>
      <c r="N543" s="397" t="str">
        <f ca="1">IFERROR(IF(AND(_xlfn.ISFORMULA(I543),NOT(_xlfn.ISFORMULA(I542))),1,OFFSET($F541,-COUNTIF($B$517:B542,"&lt;0")+3,0)),"")</f>
        <v/>
      </c>
      <c r="O543" s="384">
        <f t="shared" si="87"/>
        <v>24</v>
      </c>
      <c r="P543" s="384"/>
      <c r="Q543" s="384"/>
      <c r="R543" s="384"/>
      <c r="S543" s="384"/>
      <c r="T543" s="388"/>
    </row>
    <row r="544" spans="1:20" x14ac:dyDescent="0.3">
      <c r="A544" s="384" t="b">
        <v>0</v>
      </c>
      <c r="B544" s="384">
        <f t="shared" si="84"/>
        <v>-155</v>
      </c>
      <c r="C544" s="397" t="s">
        <v>2633</v>
      </c>
      <c r="D544" s="397" t="s">
        <v>2634</v>
      </c>
      <c r="E544" s="384">
        <f t="shared" si="85"/>
        <v>1</v>
      </c>
      <c r="F544" s="398">
        <v>5</v>
      </c>
      <c r="G544" s="388"/>
      <c r="H544" s="384" t="e">
        <f t="shared" si="86"/>
        <v>#VALUE!</v>
      </c>
      <c r="I544" s="386"/>
      <c r="J544" s="389"/>
      <c r="K544" s="389"/>
      <c r="L544" s="388"/>
      <c r="M544" s="397" t="str">
        <f ca="1">IFERROR(IF(COUNTIF($B$517:$B543,"&lt;0")=1,"",OFFSET($C542,-COUNTIF($B$517:$B543,"&lt;0")+3,0)),"")</f>
        <v/>
      </c>
      <c r="N544" s="397" t="str">
        <f ca="1">IFERROR(IF(AND(_xlfn.ISFORMULA(I544),NOT(_xlfn.ISFORMULA(I543))),1,OFFSET($F542,-COUNTIF($B$517:B543,"&lt;0")+3,0)),"")</f>
        <v/>
      </c>
      <c r="O544" s="384">
        <f t="shared" si="87"/>
        <v>25</v>
      </c>
      <c r="P544" s="384"/>
      <c r="Q544" s="384"/>
      <c r="R544" s="384"/>
      <c r="S544" s="384"/>
      <c r="T544" s="388"/>
    </row>
    <row r="545" spans="1:20" x14ac:dyDescent="0.3">
      <c r="A545" s="384" t="b">
        <v>0</v>
      </c>
      <c r="B545" s="384">
        <f t="shared" si="84"/>
        <v>-154</v>
      </c>
      <c r="C545" s="397" t="s">
        <v>2635</v>
      </c>
      <c r="D545" s="397" t="s">
        <v>2634</v>
      </c>
      <c r="E545" s="384">
        <f t="shared" si="85"/>
        <v>2</v>
      </c>
      <c r="F545" s="398">
        <v>5</v>
      </c>
      <c r="G545" s="388"/>
      <c r="H545" s="384" t="e">
        <f t="shared" si="86"/>
        <v>#VALUE!</v>
      </c>
      <c r="I545" s="386"/>
      <c r="J545" s="389"/>
      <c r="K545" s="389"/>
      <c r="L545" s="388"/>
      <c r="M545" s="397" t="str">
        <f ca="1">IFERROR(IF(COUNTIF($B$517:$B544,"&lt;0")=1,"",OFFSET($C543,-COUNTIF($B$517:$B544,"&lt;0")+3,0)),"")</f>
        <v/>
      </c>
      <c r="N545" s="397" t="str">
        <f ca="1">IFERROR(IF(AND(_xlfn.ISFORMULA(I545),NOT(_xlfn.ISFORMULA(I544))),1,OFFSET($F543,-COUNTIF($B$517:B544,"&lt;0")+3,0)),"")</f>
        <v/>
      </c>
      <c r="O545" s="384">
        <f t="shared" si="87"/>
        <v>26</v>
      </c>
      <c r="P545" s="384"/>
      <c r="Q545" s="384"/>
      <c r="R545" s="384"/>
      <c r="S545" s="384"/>
      <c r="T545" s="388"/>
    </row>
    <row r="546" spans="1:20" x14ac:dyDescent="0.3">
      <c r="A546" s="384" t="b">
        <v>0</v>
      </c>
      <c r="B546" s="384">
        <f t="shared" si="84"/>
        <v>-153</v>
      </c>
      <c r="C546" s="397" t="s">
        <v>2636</v>
      </c>
      <c r="D546" s="397" t="s">
        <v>2634</v>
      </c>
      <c r="E546" s="384">
        <f t="shared" si="85"/>
        <v>3</v>
      </c>
      <c r="F546" s="398">
        <v>5</v>
      </c>
      <c r="G546" s="388"/>
      <c r="H546" s="384" t="e">
        <f t="shared" si="86"/>
        <v>#VALUE!</v>
      </c>
      <c r="I546" s="386"/>
      <c r="J546" s="389"/>
      <c r="K546" s="389"/>
      <c r="L546" s="388"/>
      <c r="M546" s="397" t="str">
        <f ca="1">IFERROR(IF(COUNTIF($B$517:$B545,"&lt;0")=1,"",OFFSET($C544,-COUNTIF($B$517:$B545,"&lt;0")+3,0)),"")</f>
        <v/>
      </c>
      <c r="N546" s="397" t="str">
        <f ca="1">IFERROR(IF(AND(_xlfn.ISFORMULA(I546),NOT(_xlfn.ISFORMULA(I545))),1,OFFSET($F544,-COUNTIF($B$517:B545,"&lt;0")+3,0)),"")</f>
        <v/>
      </c>
      <c r="O546" s="384">
        <f t="shared" si="87"/>
        <v>27</v>
      </c>
      <c r="P546" s="384"/>
      <c r="Q546" s="384"/>
      <c r="R546" s="384"/>
      <c r="S546" s="384"/>
      <c r="T546" s="388"/>
    </row>
    <row r="547" spans="1:20" x14ac:dyDescent="0.3">
      <c r="A547" s="384" t="b">
        <v>0</v>
      </c>
      <c r="B547" s="384">
        <f t="shared" si="84"/>
        <v>-152</v>
      </c>
      <c r="C547" s="397" t="s">
        <v>2637</v>
      </c>
      <c r="D547" s="397" t="s">
        <v>2634</v>
      </c>
      <c r="E547" s="384">
        <f t="shared" si="85"/>
        <v>4</v>
      </c>
      <c r="F547" s="398">
        <v>5</v>
      </c>
      <c r="G547" s="388"/>
      <c r="H547" s="384" t="e">
        <f t="shared" si="86"/>
        <v>#VALUE!</v>
      </c>
      <c r="I547" s="386"/>
      <c r="J547" s="389"/>
      <c r="K547" s="389"/>
      <c r="L547" s="388"/>
      <c r="M547" s="397" t="str">
        <f ca="1">IFERROR(IF(COUNTIF($B$517:$B546,"&lt;0")=1,"",OFFSET($C545,-COUNTIF($B$517:$B546,"&lt;0")+3,0)),"")</f>
        <v/>
      </c>
      <c r="N547" s="397" t="str">
        <f ca="1">IFERROR(IF(AND(_xlfn.ISFORMULA(I547),NOT(_xlfn.ISFORMULA(I546))),1,OFFSET($F545,-COUNTIF($B$517:B546,"&lt;0")+3,0)),"")</f>
        <v/>
      </c>
      <c r="O547" s="384">
        <f t="shared" si="87"/>
        <v>28</v>
      </c>
      <c r="P547" s="384"/>
      <c r="Q547" s="384"/>
      <c r="R547" s="384"/>
      <c r="S547" s="384"/>
      <c r="T547" s="388"/>
    </row>
    <row r="548" spans="1:20" x14ac:dyDescent="0.3">
      <c r="A548" s="384" t="b">
        <v>0</v>
      </c>
      <c r="B548" s="384">
        <f t="shared" si="84"/>
        <v>-151</v>
      </c>
      <c r="C548" s="397" t="s">
        <v>2638</v>
      </c>
      <c r="D548" s="397" t="s">
        <v>2634</v>
      </c>
      <c r="E548" s="384">
        <f t="shared" si="85"/>
        <v>5</v>
      </c>
      <c r="F548" s="398">
        <v>5</v>
      </c>
      <c r="G548" s="388"/>
      <c r="H548" s="384" t="e">
        <f t="shared" si="86"/>
        <v>#VALUE!</v>
      </c>
      <c r="I548" s="386"/>
      <c r="J548" s="389"/>
      <c r="K548" s="389"/>
      <c r="L548" s="388"/>
      <c r="M548" s="397" t="str">
        <f ca="1">IFERROR(IF(COUNTIF($B$517:$B547,"&lt;0")=1,"",OFFSET($C546,-COUNTIF($B$517:$B547,"&lt;0")+3,0)),"")</f>
        <v/>
      </c>
      <c r="N548" s="397" t="str">
        <f ca="1">IFERROR(IF(AND(_xlfn.ISFORMULA(I548),NOT(_xlfn.ISFORMULA(I547))),1,OFFSET($F546,-COUNTIF($B$517:B547,"&lt;0")+3,0)),"")</f>
        <v/>
      </c>
      <c r="O548" s="384">
        <f t="shared" si="87"/>
        <v>29</v>
      </c>
      <c r="P548" s="384"/>
      <c r="Q548" s="384"/>
      <c r="R548" s="384"/>
      <c r="S548" s="384"/>
      <c r="T548" s="388"/>
    </row>
    <row r="549" spans="1:20" x14ac:dyDescent="0.3">
      <c r="A549" s="384" t="b">
        <v>0</v>
      </c>
      <c r="B549" s="384">
        <f t="shared" si="84"/>
        <v>-150</v>
      </c>
      <c r="C549" s="397" t="s">
        <v>2639</v>
      </c>
      <c r="D549" s="397" t="s">
        <v>2634</v>
      </c>
      <c r="E549" s="384">
        <f t="shared" si="85"/>
        <v>6</v>
      </c>
      <c r="F549" s="398">
        <v>5</v>
      </c>
      <c r="G549" s="388"/>
      <c r="H549" s="384" t="e">
        <f t="shared" si="86"/>
        <v>#VALUE!</v>
      </c>
      <c r="I549" s="386"/>
      <c r="J549" s="389"/>
      <c r="K549" s="389"/>
      <c r="L549" s="388"/>
      <c r="M549" s="397" t="str">
        <f ca="1">IFERROR(IF(COUNTIF($B$517:$B548,"&lt;0")=1,"",OFFSET($C547,-COUNTIF($B$517:$B548,"&lt;0")+3,0)),"")</f>
        <v/>
      </c>
      <c r="N549" s="397" t="str">
        <f ca="1">IFERROR(IF(AND(_xlfn.ISFORMULA(I549),NOT(_xlfn.ISFORMULA(I548))),1,OFFSET($F547,-COUNTIF($B$517:B548,"&lt;0")+3,0)),"")</f>
        <v/>
      </c>
      <c r="O549" s="384">
        <f t="shared" si="87"/>
        <v>30</v>
      </c>
      <c r="P549" s="384"/>
      <c r="Q549" s="384"/>
      <c r="R549" s="384"/>
      <c r="S549" s="384"/>
      <c r="T549" s="388"/>
    </row>
    <row r="550" spans="1:20" x14ac:dyDescent="0.3">
      <c r="A550" s="384" t="b">
        <v>0</v>
      </c>
      <c r="B550" s="384">
        <f t="shared" si="84"/>
        <v>-149</v>
      </c>
      <c r="C550" s="397" t="s">
        <v>2640</v>
      </c>
      <c r="D550" s="397" t="s">
        <v>2641</v>
      </c>
      <c r="E550" s="384">
        <f t="shared" si="85"/>
        <v>1</v>
      </c>
      <c r="F550" s="398">
        <v>6</v>
      </c>
      <c r="G550" s="388"/>
      <c r="H550" s="384" t="e">
        <f t="shared" si="86"/>
        <v>#VALUE!</v>
      </c>
      <c r="I550" s="386"/>
      <c r="J550" s="389"/>
      <c r="K550" s="389"/>
      <c r="L550" s="388"/>
      <c r="M550" s="397" t="str">
        <f ca="1">IFERROR(IF(COUNTIF($B$517:$B549,"&lt;0")=1,"",OFFSET($C548,-COUNTIF($B$517:$B549,"&lt;0")+3,0)),"")</f>
        <v/>
      </c>
      <c r="N550" s="397" t="str">
        <f ca="1">IFERROR(IF(AND(_xlfn.ISFORMULA(I550),NOT(_xlfn.ISFORMULA(I549))),1,OFFSET($F548,-COUNTIF($B$517:B549,"&lt;0")+3,0)),"")</f>
        <v/>
      </c>
      <c r="O550" s="384">
        <f t="shared" si="87"/>
        <v>31</v>
      </c>
      <c r="P550" s="384"/>
      <c r="Q550" s="384"/>
      <c r="R550" s="384"/>
      <c r="S550" s="384"/>
      <c r="T550" s="388"/>
    </row>
    <row r="551" spans="1:20" x14ac:dyDescent="0.3">
      <c r="A551" s="384" t="b">
        <v>0</v>
      </c>
      <c r="B551" s="384">
        <f t="shared" si="84"/>
        <v>-148</v>
      </c>
      <c r="C551" s="397" t="s">
        <v>2642</v>
      </c>
      <c r="D551" s="397" t="s">
        <v>2641</v>
      </c>
      <c r="E551" s="384">
        <f t="shared" si="85"/>
        <v>2</v>
      </c>
      <c r="F551" s="398">
        <v>6</v>
      </c>
      <c r="G551" s="388"/>
      <c r="H551" s="384" t="e">
        <f t="shared" si="86"/>
        <v>#VALUE!</v>
      </c>
      <c r="I551" s="386"/>
      <c r="J551" s="389"/>
      <c r="K551" s="389"/>
      <c r="L551" s="388"/>
      <c r="M551" s="397" t="str">
        <f ca="1">IFERROR(IF(COUNTIF($B$517:$B550,"&lt;0")=1,"",OFFSET($C549,-COUNTIF($B$517:$B550,"&lt;0")+3,0)),"")</f>
        <v/>
      </c>
      <c r="N551" s="397" t="str">
        <f ca="1">IFERROR(IF(AND(_xlfn.ISFORMULA(I551),NOT(_xlfn.ISFORMULA(I550))),1,OFFSET($F549,-COUNTIF($B$517:B550,"&lt;0")+3,0)),"")</f>
        <v/>
      </c>
      <c r="O551" s="384">
        <f t="shared" si="87"/>
        <v>32</v>
      </c>
      <c r="P551" s="384"/>
      <c r="Q551" s="384"/>
      <c r="R551" s="384"/>
      <c r="S551" s="384"/>
      <c r="T551" s="388"/>
    </row>
    <row r="552" spans="1:20" x14ac:dyDescent="0.3">
      <c r="A552" s="384" t="b">
        <v>0</v>
      </c>
      <c r="B552" s="384">
        <f t="shared" si="84"/>
        <v>-147</v>
      </c>
      <c r="C552" s="397" t="s">
        <v>2643</v>
      </c>
      <c r="D552" s="397" t="s">
        <v>2641</v>
      </c>
      <c r="E552" s="384">
        <f t="shared" si="85"/>
        <v>3</v>
      </c>
      <c r="F552" s="398">
        <v>6</v>
      </c>
      <c r="G552" s="388"/>
      <c r="H552" s="384" t="e">
        <f t="shared" si="86"/>
        <v>#VALUE!</v>
      </c>
      <c r="I552" s="386"/>
      <c r="J552" s="389"/>
      <c r="K552" s="389"/>
      <c r="L552" s="388"/>
      <c r="M552" s="397" t="str">
        <f ca="1">IFERROR(IF(COUNTIF($B$517:$B551,"&lt;0")=1,"",OFFSET($C550,-COUNTIF($B$517:$B551,"&lt;0")+3,0)),"")</f>
        <v/>
      </c>
      <c r="N552" s="397" t="str">
        <f ca="1">IFERROR(IF(AND(_xlfn.ISFORMULA(I552),NOT(_xlfn.ISFORMULA(I551))),1,OFFSET($F550,-COUNTIF($B$517:B551,"&lt;0")+3,0)),"")</f>
        <v/>
      </c>
      <c r="O552" s="384">
        <f t="shared" si="87"/>
        <v>33</v>
      </c>
      <c r="P552" s="384"/>
      <c r="Q552" s="384"/>
      <c r="R552" s="384"/>
      <c r="S552" s="384"/>
      <c r="T552" s="388"/>
    </row>
    <row r="553" spans="1:20" x14ac:dyDescent="0.3">
      <c r="A553" s="384" t="b">
        <v>0</v>
      </c>
      <c r="B553" s="384">
        <f t="shared" si="84"/>
        <v>-146</v>
      </c>
      <c r="C553" s="397" t="s">
        <v>2644</v>
      </c>
      <c r="D553" s="397" t="s">
        <v>2641</v>
      </c>
      <c r="E553" s="384">
        <f t="shared" si="85"/>
        <v>4</v>
      </c>
      <c r="F553" s="398">
        <v>6</v>
      </c>
      <c r="G553" s="388"/>
      <c r="H553" s="384" t="e">
        <f t="shared" si="86"/>
        <v>#VALUE!</v>
      </c>
      <c r="I553" s="386"/>
      <c r="J553" s="389"/>
      <c r="K553" s="389"/>
      <c r="L553" s="388"/>
      <c r="M553" s="397" t="str">
        <f ca="1">IFERROR(IF(COUNTIF($B$517:$B552,"&lt;0")=1,"",OFFSET($C551,-COUNTIF($B$517:$B552,"&lt;0")+3,0)),"")</f>
        <v/>
      </c>
      <c r="N553" s="397" t="str">
        <f ca="1">IFERROR(IF(AND(_xlfn.ISFORMULA(I553),NOT(_xlfn.ISFORMULA(I552))),1,OFFSET($F551,-COUNTIF($B$517:B552,"&lt;0")+3,0)),"")</f>
        <v/>
      </c>
      <c r="O553" s="384">
        <f t="shared" si="87"/>
        <v>34</v>
      </c>
      <c r="P553" s="384"/>
      <c r="Q553" s="384"/>
      <c r="R553" s="384"/>
      <c r="S553" s="384"/>
      <c r="T553" s="388"/>
    </row>
    <row r="554" spans="1:20" x14ac:dyDescent="0.3">
      <c r="A554" s="384" t="b">
        <v>0</v>
      </c>
      <c r="B554" s="384">
        <f t="shared" si="84"/>
        <v>-145</v>
      </c>
      <c r="C554" s="397" t="s">
        <v>2645</v>
      </c>
      <c r="D554" s="397" t="s">
        <v>2641</v>
      </c>
      <c r="E554" s="384">
        <f t="shared" si="85"/>
        <v>5</v>
      </c>
      <c r="F554" s="398">
        <v>6</v>
      </c>
      <c r="G554" s="388"/>
      <c r="H554" s="384" t="e">
        <f t="shared" si="86"/>
        <v>#VALUE!</v>
      </c>
      <c r="I554" s="386"/>
      <c r="J554" s="389"/>
      <c r="K554" s="389"/>
      <c r="L554" s="388"/>
      <c r="M554" s="397" t="str">
        <f ca="1">IFERROR(IF(COUNTIF($B$517:$B553,"&lt;0")=1,"",OFFSET($C552,-COUNTIF($B$517:$B553,"&lt;0")+3,0)),"")</f>
        <v/>
      </c>
      <c r="N554" s="397" t="str">
        <f ca="1">IFERROR(IF(AND(_xlfn.ISFORMULA(I554),NOT(_xlfn.ISFORMULA(I553))),1,OFFSET($F552,-COUNTIF($B$517:B553,"&lt;0")+3,0)),"")</f>
        <v/>
      </c>
      <c r="O554" s="384">
        <f t="shared" si="87"/>
        <v>35</v>
      </c>
      <c r="P554" s="384"/>
      <c r="Q554" s="384"/>
      <c r="R554" s="384"/>
      <c r="S554" s="384"/>
      <c r="T554" s="388"/>
    </row>
    <row r="555" spans="1:20" x14ac:dyDescent="0.3">
      <c r="A555" s="384" t="b">
        <v>0</v>
      </c>
      <c r="B555" s="384">
        <f t="shared" si="84"/>
        <v>-144</v>
      </c>
      <c r="C555" s="397" t="s">
        <v>2646</v>
      </c>
      <c r="D555" s="397" t="s">
        <v>2641</v>
      </c>
      <c r="E555" s="384">
        <f t="shared" si="85"/>
        <v>6</v>
      </c>
      <c r="F555" s="398">
        <v>6</v>
      </c>
      <c r="G555" s="388"/>
      <c r="H555" s="384" t="e">
        <f t="shared" si="86"/>
        <v>#VALUE!</v>
      </c>
      <c r="I555" s="386"/>
      <c r="J555" s="389"/>
      <c r="K555" s="389"/>
      <c r="L555" s="388"/>
      <c r="M555" s="397" t="str">
        <f ca="1">IFERROR(IF(COUNTIF($B$517:$B554,"&lt;0")=1,"",OFFSET($C553,-COUNTIF($B$517:$B554,"&lt;0")+3,0)),"")</f>
        <v/>
      </c>
      <c r="N555" s="397" t="str">
        <f ca="1">IFERROR(IF(AND(_xlfn.ISFORMULA(I555),NOT(_xlfn.ISFORMULA(I554))),1,OFFSET($F553,-COUNTIF($B$517:B554,"&lt;0")+3,0)),"")</f>
        <v/>
      </c>
      <c r="O555" s="384">
        <f t="shared" si="87"/>
        <v>36</v>
      </c>
      <c r="P555" s="384"/>
      <c r="Q555" s="384"/>
      <c r="R555" s="384"/>
      <c r="S555" s="384"/>
      <c r="T555" s="388"/>
    </row>
    <row r="556" spans="1:20" x14ac:dyDescent="0.3">
      <c r="A556" s="384" t="b">
        <v>0</v>
      </c>
      <c r="B556" s="384">
        <f t="shared" si="84"/>
        <v>-143</v>
      </c>
      <c r="C556" s="397" t="s">
        <v>2647</v>
      </c>
      <c r="D556" s="397" t="s">
        <v>2648</v>
      </c>
      <c r="E556" s="384">
        <f t="shared" si="85"/>
        <v>1</v>
      </c>
      <c r="F556" s="398">
        <v>7</v>
      </c>
      <c r="G556" s="388"/>
      <c r="H556" s="384" t="e">
        <f t="shared" si="86"/>
        <v>#VALUE!</v>
      </c>
      <c r="I556" s="386"/>
      <c r="J556" s="389"/>
      <c r="K556" s="389"/>
      <c r="L556" s="388"/>
      <c r="M556" s="397" t="str">
        <f ca="1">IFERROR(IF(COUNTIF($B$517:$B555,"&lt;0")=1,"",OFFSET($C554,-COUNTIF($B$517:$B555,"&lt;0")+3,0)),"")</f>
        <v/>
      </c>
      <c r="N556" s="397" t="str">
        <f ca="1">IFERROR(IF(AND(_xlfn.ISFORMULA(I556),NOT(_xlfn.ISFORMULA(I555))),1,OFFSET($F554,-COUNTIF($B$517:B555,"&lt;0")+3,0)),"")</f>
        <v/>
      </c>
      <c r="O556" s="384">
        <f t="shared" si="87"/>
        <v>37</v>
      </c>
      <c r="P556" s="384"/>
      <c r="Q556" s="384"/>
      <c r="R556" s="384"/>
      <c r="S556" s="384"/>
      <c r="T556" s="388"/>
    </row>
    <row r="557" spans="1:20" x14ac:dyDescent="0.3">
      <c r="A557" s="384" t="b">
        <v>0</v>
      </c>
      <c r="B557" s="384">
        <f t="shared" si="84"/>
        <v>-142</v>
      </c>
      <c r="C557" s="397" t="s">
        <v>2649</v>
      </c>
      <c r="D557" s="397" t="s">
        <v>2648</v>
      </c>
      <c r="E557" s="384">
        <f t="shared" si="85"/>
        <v>2</v>
      </c>
      <c r="F557" s="398">
        <v>7</v>
      </c>
      <c r="G557" s="388"/>
      <c r="H557" s="384" t="e">
        <f t="shared" si="86"/>
        <v>#VALUE!</v>
      </c>
      <c r="I557" s="386"/>
      <c r="J557" s="389"/>
      <c r="K557" s="389"/>
      <c r="L557" s="388"/>
      <c r="M557" s="397" t="str">
        <f ca="1">IFERROR(IF(COUNTIF($B$517:$B556,"&lt;0")=1,"",OFFSET($C555,-COUNTIF($B$517:$B556,"&lt;0")+3,0)),"")</f>
        <v/>
      </c>
      <c r="N557" s="397" t="str">
        <f ca="1">IFERROR(IF(AND(_xlfn.ISFORMULA(I557),NOT(_xlfn.ISFORMULA(I556))),1,OFFSET($F555,-COUNTIF($B$517:B556,"&lt;0")+3,0)),"")</f>
        <v/>
      </c>
      <c r="O557" s="384">
        <f t="shared" si="87"/>
        <v>38</v>
      </c>
      <c r="P557" s="384"/>
      <c r="Q557" s="384"/>
      <c r="R557" s="384"/>
      <c r="S557" s="384"/>
      <c r="T557" s="388"/>
    </row>
    <row r="558" spans="1:20" x14ac:dyDescent="0.3">
      <c r="A558" s="384" t="b">
        <v>0</v>
      </c>
      <c r="B558" s="384">
        <f t="shared" si="84"/>
        <v>-141</v>
      </c>
      <c r="C558" s="397" t="s">
        <v>2650</v>
      </c>
      <c r="D558" s="397" t="s">
        <v>2648</v>
      </c>
      <c r="E558" s="384">
        <f t="shared" si="85"/>
        <v>3</v>
      </c>
      <c r="F558" s="398">
        <v>7</v>
      </c>
      <c r="G558" s="388"/>
      <c r="H558" s="384" t="e">
        <f t="shared" si="86"/>
        <v>#VALUE!</v>
      </c>
      <c r="I558" s="386"/>
      <c r="J558" s="389"/>
      <c r="K558" s="389"/>
      <c r="L558" s="388"/>
      <c r="M558" s="397" t="str">
        <f ca="1">IFERROR(IF(COUNTIF($B$517:$B557,"&lt;0")=1,"",OFFSET($C556,-COUNTIF($B$517:$B557,"&lt;0")+3,0)),"")</f>
        <v/>
      </c>
      <c r="N558" s="397" t="str">
        <f ca="1">IFERROR(IF(AND(_xlfn.ISFORMULA(I558),NOT(_xlfn.ISFORMULA(I557))),1,OFFSET($F556,-COUNTIF($B$517:B557,"&lt;0")+3,0)),"")</f>
        <v/>
      </c>
      <c r="O558" s="384">
        <f t="shared" si="87"/>
        <v>39</v>
      </c>
      <c r="P558" s="384"/>
      <c r="Q558" s="384"/>
      <c r="R558" s="384"/>
      <c r="S558" s="384"/>
      <c r="T558" s="388"/>
    </row>
    <row r="559" spans="1:20" x14ac:dyDescent="0.3">
      <c r="A559" s="384" t="b">
        <v>0</v>
      </c>
      <c r="B559" s="384">
        <f t="shared" si="84"/>
        <v>-140</v>
      </c>
      <c r="C559" s="397" t="s">
        <v>2651</v>
      </c>
      <c r="D559" s="397" t="s">
        <v>2648</v>
      </c>
      <c r="E559" s="384">
        <f t="shared" si="85"/>
        <v>4</v>
      </c>
      <c r="F559" s="398">
        <v>7</v>
      </c>
      <c r="G559" s="388"/>
      <c r="H559" s="384" t="e">
        <f t="shared" si="86"/>
        <v>#VALUE!</v>
      </c>
      <c r="I559" s="386"/>
      <c r="J559" s="389"/>
      <c r="K559" s="389"/>
      <c r="L559" s="388"/>
      <c r="M559" s="397" t="str">
        <f ca="1">IFERROR(IF(COUNTIF($B$517:$B558,"&lt;0")=1,"",OFFSET($C557,-COUNTIF($B$517:$B558,"&lt;0")+3,0)),"")</f>
        <v/>
      </c>
      <c r="N559" s="397" t="str">
        <f ca="1">IFERROR(IF(AND(_xlfn.ISFORMULA(I559),NOT(_xlfn.ISFORMULA(I558))),1,OFFSET($F557,-COUNTIF($B$517:B558,"&lt;0")+3,0)),"")</f>
        <v/>
      </c>
      <c r="O559" s="384">
        <f t="shared" si="87"/>
        <v>40</v>
      </c>
      <c r="P559" s="384"/>
      <c r="Q559" s="384"/>
      <c r="R559" s="384"/>
      <c r="S559" s="384"/>
      <c r="T559" s="388"/>
    </row>
    <row r="560" spans="1:20" x14ac:dyDescent="0.3">
      <c r="A560" s="384" t="b">
        <v>0</v>
      </c>
      <c r="B560" s="384">
        <f t="shared" si="84"/>
        <v>-139</v>
      </c>
      <c r="C560" s="397" t="s">
        <v>2652</v>
      </c>
      <c r="D560" s="397" t="s">
        <v>2648</v>
      </c>
      <c r="E560" s="384">
        <f t="shared" si="85"/>
        <v>5</v>
      </c>
      <c r="F560" s="398">
        <v>7</v>
      </c>
      <c r="G560" s="388"/>
      <c r="H560" s="384" t="e">
        <f t="shared" si="86"/>
        <v>#VALUE!</v>
      </c>
      <c r="I560" s="386"/>
      <c r="J560" s="389"/>
      <c r="K560" s="389"/>
      <c r="L560" s="388"/>
      <c r="M560" s="397" t="str">
        <f ca="1">IFERROR(IF(COUNTIF($B$517:$B559,"&lt;0")=1,"",OFFSET($C558,-COUNTIF($B$517:$B559,"&lt;0")+3,0)),"")</f>
        <v/>
      </c>
      <c r="N560" s="397" t="str">
        <f ca="1">IFERROR(IF(AND(_xlfn.ISFORMULA(I560),NOT(_xlfn.ISFORMULA(I559))),1,OFFSET($F558,-COUNTIF($B$517:B559,"&lt;0")+3,0)),"")</f>
        <v/>
      </c>
      <c r="O560" s="384">
        <f t="shared" si="87"/>
        <v>41</v>
      </c>
      <c r="P560" s="384"/>
      <c r="Q560" s="384"/>
      <c r="R560" s="384"/>
      <c r="S560" s="384"/>
      <c r="T560" s="388"/>
    </row>
    <row r="561" spans="1:20" x14ac:dyDescent="0.3">
      <c r="A561" s="384" t="b">
        <v>0</v>
      </c>
      <c r="B561" s="384">
        <f t="shared" si="84"/>
        <v>-138</v>
      </c>
      <c r="C561" s="397" t="s">
        <v>2653</v>
      </c>
      <c r="D561" s="397" t="s">
        <v>2648</v>
      </c>
      <c r="E561" s="384">
        <f t="shared" si="85"/>
        <v>6</v>
      </c>
      <c r="F561" s="398">
        <v>7</v>
      </c>
      <c r="G561" s="388"/>
      <c r="H561" s="384" t="e">
        <f t="shared" si="86"/>
        <v>#VALUE!</v>
      </c>
      <c r="I561" s="386"/>
      <c r="J561" s="389"/>
      <c r="K561" s="389"/>
      <c r="L561" s="388"/>
      <c r="M561" s="397" t="str">
        <f ca="1">IFERROR(IF(COUNTIF($B$517:$B560,"&lt;0")=1,"",OFFSET($C559,-COUNTIF($B$517:$B560,"&lt;0")+3,0)),"")</f>
        <v/>
      </c>
      <c r="N561" s="397" t="str">
        <f ca="1">IFERROR(IF(AND(_xlfn.ISFORMULA(I561),NOT(_xlfn.ISFORMULA(I560))),1,OFFSET($F559,-COUNTIF($B$517:B560,"&lt;0")+3,0)),"")</f>
        <v/>
      </c>
      <c r="O561" s="384">
        <f t="shared" si="87"/>
        <v>42</v>
      </c>
      <c r="P561" s="384"/>
      <c r="Q561" s="384"/>
      <c r="R561" s="384"/>
      <c r="S561" s="384"/>
      <c r="T561" s="388"/>
    </row>
    <row r="562" spans="1:20" x14ac:dyDescent="0.3">
      <c r="A562" s="384" t="b">
        <v>0</v>
      </c>
      <c r="B562" s="384">
        <f t="shared" si="84"/>
        <v>-137</v>
      </c>
      <c r="C562" s="397" t="s">
        <v>2654</v>
      </c>
      <c r="D562" s="397" t="s">
        <v>2655</v>
      </c>
      <c r="E562" s="384">
        <f t="shared" si="85"/>
        <v>1</v>
      </c>
      <c r="F562" s="398">
        <v>8</v>
      </c>
      <c r="G562" s="388"/>
      <c r="H562" s="384" t="e">
        <f t="shared" si="86"/>
        <v>#VALUE!</v>
      </c>
      <c r="I562" s="386"/>
      <c r="J562" s="389"/>
      <c r="K562" s="389"/>
      <c r="L562" s="388"/>
      <c r="M562" s="397" t="str">
        <f ca="1">IFERROR(IF(COUNTIF($B$517:$B561,"&lt;0")=1,"",OFFSET($C560,-COUNTIF($B$517:$B561,"&lt;0")+3,0)),"")</f>
        <v/>
      </c>
      <c r="N562" s="397" t="str">
        <f ca="1">IFERROR(IF(AND(_xlfn.ISFORMULA(I562),NOT(_xlfn.ISFORMULA(I561))),1,OFFSET($F560,-COUNTIF($B$517:B561,"&lt;0")+3,0)),"")</f>
        <v/>
      </c>
      <c r="O562" s="384">
        <f t="shared" si="87"/>
        <v>43</v>
      </c>
      <c r="P562" s="384"/>
      <c r="Q562" s="384"/>
      <c r="R562" s="384"/>
      <c r="S562" s="384"/>
      <c r="T562" s="388"/>
    </row>
    <row r="563" spans="1:20" x14ac:dyDescent="0.3">
      <c r="A563" s="384" t="b">
        <v>0</v>
      </c>
      <c r="B563" s="384">
        <f t="shared" si="84"/>
        <v>-136</v>
      </c>
      <c r="C563" s="397" t="s">
        <v>2656</v>
      </c>
      <c r="D563" s="397" t="s">
        <v>2655</v>
      </c>
      <c r="E563" s="384">
        <f t="shared" si="85"/>
        <v>2</v>
      </c>
      <c r="F563" s="398">
        <v>8</v>
      </c>
      <c r="G563" s="388"/>
      <c r="H563" s="384" t="e">
        <f t="shared" si="86"/>
        <v>#VALUE!</v>
      </c>
      <c r="I563" s="386"/>
      <c r="J563" s="389"/>
      <c r="K563" s="389"/>
      <c r="L563" s="388"/>
      <c r="M563" s="397" t="str">
        <f ca="1">IFERROR(IF(COUNTIF($B$517:$B562,"&lt;0")=1,"",OFFSET($C561,-COUNTIF($B$517:$B562,"&lt;0")+3,0)),"")</f>
        <v/>
      </c>
      <c r="N563" s="397" t="str">
        <f ca="1">IFERROR(IF(AND(_xlfn.ISFORMULA(I563),NOT(_xlfn.ISFORMULA(I562))),1,OFFSET($F561,-COUNTIF($B$517:B562,"&lt;0")+3,0)),"")</f>
        <v/>
      </c>
      <c r="O563" s="384">
        <f t="shared" si="87"/>
        <v>44</v>
      </c>
      <c r="P563" s="384"/>
      <c r="Q563" s="384"/>
      <c r="R563" s="384"/>
      <c r="S563" s="384"/>
      <c r="T563" s="388"/>
    </row>
    <row r="564" spans="1:20" x14ac:dyDescent="0.3">
      <c r="A564" s="384" t="b">
        <v>0</v>
      </c>
      <c r="B564" s="384">
        <f t="shared" si="84"/>
        <v>-135</v>
      </c>
      <c r="C564" s="397" t="s">
        <v>2657</v>
      </c>
      <c r="D564" s="397" t="s">
        <v>2655</v>
      </c>
      <c r="E564" s="384">
        <f t="shared" si="85"/>
        <v>3</v>
      </c>
      <c r="F564" s="398">
        <v>8</v>
      </c>
      <c r="G564" s="388"/>
      <c r="H564" s="384" t="e">
        <f t="shared" si="86"/>
        <v>#VALUE!</v>
      </c>
      <c r="I564" s="386"/>
      <c r="J564" s="389"/>
      <c r="K564" s="389"/>
      <c r="L564" s="388"/>
      <c r="M564" s="397" t="str">
        <f ca="1">IFERROR(IF(COUNTIF($B$517:$B563,"&lt;0")=1,"",OFFSET($C562,-COUNTIF($B$517:$B563,"&lt;0")+3,0)),"")</f>
        <v/>
      </c>
      <c r="N564" s="397" t="str">
        <f ca="1">IFERROR(IF(AND(_xlfn.ISFORMULA(I564),NOT(_xlfn.ISFORMULA(I563))),1,OFFSET($F562,-COUNTIF($B$517:B563,"&lt;0")+3,0)),"")</f>
        <v/>
      </c>
      <c r="O564" s="384">
        <f t="shared" si="87"/>
        <v>45</v>
      </c>
      <c r="P564" s="384"/>
      <c r="Q564" s="384"/>
      <c r="R564" s="384"/>
      <c r="S564" s="384"/>
      <c r="T564" s="388"/>
    </row>
    <row r="565" spans="1:20" x14ac:dyDescent="0.3">
      <c r="A565" s="384" t="b">
        <v>0</v>
      </c>
      <c r="B565" s="384">
        <f t="shared" si="84"/>
        <v>-134</v>
      </c>
      <c r="C565" s="397" t="s">
        <v>2658</v>
      </c>
      <c r="D565" s="397" t="s">
        <v>2655</v>
      </c>
      <c r="E565" s="384">
        <f t="shared" si="85"/>
        <v>4</v>
      </c>
      <c r="F565" s="398">
        <v>8</v>
      </c>
      <c r="G565" s="388"/>
      <c r="H565" s="384" t="e">
        <f t="shared" si="86"/>
        <v>#VALUE!</v>
      </c>
      <c r="I565" s="386"/>
      <c r="J565" s="389"/>
      <c r="K565" s="389"/>
      <c r="L565" s="388"/>
      <c r="M565" s="397" t="str">
        <f ca="1">IFERROR(IF(COUNTIF($B$517:$B564,"&lt;0")=1,"",OFFSET($C563,-COUNTIF($B$517:$B564,"&lt;0")+3,0)),"")</f>
        <v/>
      </c>
      <c r="N565" s="397" t="str">
        <f ca="1">IFERROR(IF(AND(_xlfn.ISFORMULA(I565),NOT(_xlfn.ISFORMULA(I564))),1,OFFSET($F563,-COUNTIF($B$517:B564,"&lt;0")+3,0)),"")</f>
        <v/>
      </c>
      <c r="O565" s="384">
        <f t="shared" si="87"/>
        <v>46</v>
      </c>
      <c r="P565" s="384"/>
      <c r="Q565" s="384"/>
      <c r="R565" s="384"/>
      <c r="S565" s="384"/>
      <c r="T565" s="388"/>
    </row>
    <row r="566" spans="1:20" x14ac:dyDescent="0.3">
      <c r="A566" s="384" t="b">
        <v>0</v>
      </c>
      <c r="B566" s="384">
        <f t="shared" si="84"/>
        <v>-133</v>
      </c>
      <c r="C566" s="397" t="s">
        <v>2659</v>
      </c>
      <c r="D566" s="397" t="s">
        <v>2655</v>
      </c>
      <c r="E566" s="384">
        <f t="shared" si="85"/>
        <v>5</v>
      </c>
      <c r="F566" s="398">
        <v>8</v>
      </c>
      <c r="G566" s="388"/>
      <c r="H566" s="384" t="e">
        <f t="shared" si="86"/>
        <v>#VALUE!</v>
      </c>
      <c r="I566" s="386"/>
      <c r="J566" s="389"/>
      <c r="K566" s="389"/>
      <c r="L566" s="388"/>
      <c r="M566" s="397" t="str">
        <f ca="1">IFERROR(IF(COUNTIF($B$517:$B565,"&lt;0")=1,"",OFFSET($C564,-COUNTIF($B$517:$B565,"&lt;0")+3,0)),"")</f>
        <v/>
      </c>
      <c r="N566" s="397" t="str">
        <f ca="1">IFERROR(IF(AND(_xlfn.ISFORMULA(I566),NOT(_xlfn.ISFORMULA(I565))),1,OFFSET($F564,-COUNTIF($B$517:B565,"&lt;0")+3,0)),"")</f>
        <v/>
      </c>
      <c r="O566" s="384">
        <f t="shared" si="87"/>
        <v>47</v>
      </c>
      <c r="P566" s="384"/>
      <c r="Q566" s="384"/>
      <c r="R566" s="384"/>
      <c r="S566" s="384"/>
      <c r="T566" s="388"/>
    </row>
    <row r="567" spans="1:20" x14ac:dyDescent="0.3">
      <c r="A567" s="384" t="b">
        <v>0</v>
      </c>
      <c r="B567" s="384">
        <f t="shared" si="84"/>
        <v>-132</v>
      </c>
      <c r="C567" s="397" t="s">
        <v>2660</v>
      </c>
      <c r="D567" s="397" t="s">
        <v>2655</v>
      </c>
      <c r="E567" s="384">
        <f t="shared" si="85"/>
        <v>6</v>
      </c>
      <c r="F567" s="398">
        <v>8</v>
      </c>
      <c r="G567" s="388"/>
      <c r="H567" s="384" t="e">
        <f t="shared" si="86"/>
        <v>#VALUE!</v>
      </c>
      <c r="I567" s="386"/>
      <c r="J567" s="389"/>
      <c r="K567" s="389"/>
      <c r="L567" s="388"/>
      <c r="M567" s="397" t="str">
        <f ca="1">IFERROR(IF(COUNTIF($B$517:$B566,"&lt;0")=1,"",OFFSET($C565,-COUNTIF($B$517:$B566,"&lt;0")+3,0)),"")</f>
        <v/>
      </c>
      <c r="N567" s="397" t="str">
        <f ca="1">IFERROR(IF(AND(_xlfn.ISFORMULA(I567),NOT(_xlfn.ISFORMULA(I566))),1,OFFSET($F565,-COUNTIF($B$517:B566,"&lt;0")+3,0)),"")</f>
        <v/>
      </c>
      <c r="O567" s="384">
        <f t="shared" si="87"/>
        <v>48</v>
      </c>
      <c r="P567" s="384"/>
      <c r="Q567" s="384"/>
      <c r="R567" s="384"/>
      <c r="S567" s="384"/>
      <c r="T567" s="388"/>
    </row>
    <row r="568" spans="1:20" x14ac:dyDescent="0.3">
      <c r="A568" s="384" t="b">
        <v>0</v>
      </c>
      <c r="B568" s="384">
        <f t="shared" si="84"/>
        <v>-131</v>
      </c>
      <c r="C568" s="397" t="s">
        <v>2661</v>
      </c>
      <c r="D568" s="397" t="s">
        <v>2662</v>
      </c>
      <c r="E568" s="384">
        <f t="shared" si="85"/>
        <v>1</v>
      </c>
      <c r="F568" s="398">
        <v>9</v>
      </c>
      <c r="G568" s="388"/>
      <c r="H568" s="384" t="e">
        <f t="shared" si="86"/>
        <v>#VALUE!</v>
      </c>
      <c r="I568" s="386"/>
      <c r="J568" s="389"/>
      <c r="K568" s="389"/>
      <c r="L568" s="388"/>
      <c r="M568" s="397" t="str">
        <f ca="1">IFERROR(IF(COUNTIF($B$517:$B567,"&lt;0")=1,"",OFFSET($C566,-COUNTIF($B$517:$B567,"&lt;0")+3,0)),"")</f>
        <v/>
      </c>
      <c r="N568" s="397" t="str">
        <f ca="1">IFERROR(IF(AND(_xlfn.ISFORMULA(I568),NOT(_xlfn.ISFORMULA(I567))),1,OFFSET($F566,-COUNTIF($B$517:B567,"&lt;0")+3,0)),"")</f>
        <v/>
      </c>
      <c r="O568" s="384">
        <f t="shared" si="87"/>
        <v>49</v>
      </c>
      <c r="P568" s="384"/>
      <c r="Q568" s="384"/>
      <c r="R568" s="384"/>
      <c r="S568" s="384"/>
      <c r="T568" s="388"/>
    </row>
    <row r="569" spans="1:20" x14ac:dyDescent="0.3">
      <c r="A569" s="384" t="b">
        <v>0</v>
      </c>
      <c r="B569" s="384">
        <f t="shared" si="84"/>
        <v>-130</v>
      </c>
      <c r="C569" s="397" t="s">
        <v>2663</v>
      </c>
      <c r="D569" s="397" t="s">
        <v>2662</v>
      </c>
      <c r="E569" s="384">
        <f t="shared" si="85"/>
        <v>2</v>
      </c>
      <c r="F569" s="398">
        <v>9</v>
      </c>
      <c r="G569" s="388"/>
      <c r="H569" s="384" t="e">
        <f t="shared" si="86"/>
        <v>#VALUE!</v>
      </c>
      <c r="I569" s="386"/>
      <c r="J569" s="389"/>
      <c r="K569" s="389"/>
      <c r="L569" s="388"/>
      <c r="M569" s="397" t="str">
        <f ca="1">IFERROR(IF(COUNTIF($B$517:$B568,"&lt;0")=1,"",OFFSET($C567,-COUNTIF($B$517:$B568,"&lt;0")+3,0)),"")</f>
        <v/>
      </c>
      <c r="N569" s="397" t="str">
        <f ca="1">IFERROR(IF(AND(_xlfn.ISFORMULA(I569),NOT(_xlfn.ISFORMULA(I568))),1,OFFSET($F567,-COUNTIF($B$517:B568,"&lt;0")+3,0)),"")</f>
        <v/>
      </c>
      <c r="O569" s="384">
        <f t="shared" si="87"/>
        <v>50</v>
      </c>
      <c r="P569" s="384"/>
      <c r="Q569" s="384"/>
      <c r="R569" s="384"/>
      <c r="S569" s="384"/>
      <c r="T569" s="388"/>
    </row>
    <row r="570" spans="1:20" x14ac:dyDescent="0.3">
      <c r="A570" s="384" t="b">
        <v>0</v>
      </c>
      <c r="B570" s="384">
        <f t="shared" si="84"/>
        <v>-129</v>
      </c>
      <c r="C570" s="397" t="s">
        <v>2664</v>
      </c>
      <c r="D570" s="397" t="s">
        <v>2662</v>
      </c>
      <c r="E570" s="384">
        <f t="shared" si="85"/>
        <v>3</v>
      </c>
      <c r="F570" s="398">
        <v>9</v>
      </c>
      <c r="G570" s="388"/>
      <c r="H570" s="384" t="e">
        <f t="shared" si="86"/>
        <v>#VALUE!</v>
      </c>
      <c r="I570" s="386"/>
      <c r="J570" s="389"/>
      <c r="K570" s="389"/>
      <c r="L570" s="388"/>
      <c r="M570" s="397" t="str">
        <f ca="1">IFERROR(IF(COUNTIF($B$517:$B569,"&lt;0")=1,"",OFFSET($C568,-COUNTIF($B$517:$B569,"&lt;0")+3,0)),"")</f>
        <v/>
      </c>
      <c r="N570" s="397" t="str">
        <f ca="1">IFERROR(IF(AND(_xlfn.ISFORMULA(I570),NOT(_xlfn.ISFORMULA(I569))),1,OFFSET($F568,-COUNTIF($B$517:B569,"&lt;0")+3,0)),"")</f>
        <v/>
      </c>
      <c r="O570" s="384">
        <f t="shared" si="87"/>
        <v>51</v>
      </c>
      <c r="P570" s="384"/>
      <c r="Q570" s="384"/>
      <c r="R570" s="384"/>
      <c r="S570" s="384"/>
      <c r="T570" s="388"/>
    </row>
    <row r="571" spans="1:20" x14ac:dyDescent="0.3">
      <c r="A571" s="384" t="b">
        <v>0</v>
      </c>
      <c r="B571" s="384">
        <f t="shared" si="84"/>
        <v>-128</v>
      </c>
      <c r="C571" s="397" t="s">
        <v>2665</v>
      </c>
      <c r="D571" s="397" t="s">
        <v>2662</v>
      </c>
      <c r="E571" s="384">
        <f t="shared" si="85"/>
        <v>4</v>
      </c>
      <c r="F571" s="398">
        <v>9</v>
      </c>
      <c r="G571" s="388"/>
      <c r="H571" s="384" t="e">
        <f t="shared" si="86"/>
        <v>#VALUE!</v>
      </c>
      <c r="I571" s="386"/>
      <c r="J571" s="389"/>
      <c r="K571" s="389"/>
      <c r="L571" s="388"/>
      <c r="M571" s="397" t="str">
        <f ca="1">IFERROR(IF(COUNTIF($B$517:$B570,"&lt;0")=1,"",OFFSET($C569,-COUNTIF($B$517:$B570,"&lt;0")+3,0)),"")</f>
        <v/>
      </c>
      <c r="N571" s="397" t="str">
        <f ca="1">IFERROR(IF(AND(_xlfn.ISFORMULA(I571),NOT(_xlfn.ISFORMULA(I570))),1,OFFSET($F569,-COUNTIF($B$517:B570,"&lt;0")+3,0)),"")</f>
        <v/>
      </c>
      <c r="O571" s="384">
        <f t="shared" si="87"/>
        <v>52</v>
      </c>
      <c r="P571" s="384"/>
      <c r="Q571" s="384"/>
      <c r="R571" s="384"/>
      <c r="S571" s="384"/>
      <c r="T571" s="388"/>
    </row>
    <row r="572" spans="1:20" x14ac:dyDescent="0.3">
      <c r="A572" s="384" t="b">
        <v>0</v>
      </c>
      <c r="B572" s="384">
        <f t="shared" si="84"/>
        <v>-127</v>
      </c>
      <c r="C572" s="397" t="s">
        <v>2666</v>
      </c>
      <c r="D572" s="397" t="s">
        <v>2662</v>
      </c>
      <c r="E572" s="384">
        <f t="shared" si="85"/>
        <v>5</v>
      </c>
      <c r="F572" s="398">
        <v>9</v>
      </c>
      <c r="G572" s="388"/>
      <c r="H572" s="384" t="e">
        <f t="shared" si="86"/>
        <v>#VALUE!</v>
      </c>
      <c r="I572" s="386"/>
      <c r="J572" s="389"/>
      <c r="K572" s="389"/>
      <c r="L572" s="388"/>
      <c r="M572" s="397" t="str">
        <f ca="1">IFERROR(IF(COUNTIF($B$517:$B571,"&lt;0")=1,"",OFFSET($C570,-COUNTIF($B$517:$B571,"&lt;0")+3,0)),"")</f>
        <v/>
      </c>
      <c r="N572" s="397" t="str">
        <f ca="1">IFERROR(IF(AND(_xlfn.ISFORMULA(I572),NOT(_xlfn.ISFORMULA(I571))),1,OFFSET($F570,-COUNTIF($B$517:B571,"&lt;0")+3,0)),"")</f>
        <v/>
      </c>
      <c r="O572" s="384">
        <f t="shared" si="87"/>
        <v>53</v>
      </c>
      <c r="P572" s="384"/>
      <c r="Q572" s="384"/>
      <c r="R572" s="384"/>
      <c r="S572" s="384"/>
      <c r="T572" s="388"/>
    </row>
    <row r="573" spans="1:20" x14ac:dyDescent="0.3">
      <c r="A573" s="384" t="b">
        <v>0</v>
      </c>
      <c r="B573" s="384">
        <f t="shared" si="84"/>
        <v>-126</v>
      </c>
      <c r="C573" s="397" t="s">
        <v>2667</v>
      </c>
      <c r="D573" s="397" t="s">
        <v>2662</v>
      </c>
      <c r="E573" s="384">
        <f t="shared" si="85"/>
        <v>6</v>
      </c>
      <c r="F573" s="398">
        <v>9</v>
      </c>
      <c r="G573" s="388"/>
      <c r="H573" s="384" t="e">
        <f t="shared" si="86"/>
        <v>#VALUE!</v>
      </c>
      <c r="I573" s="386"/>
      <c r="J573" s="389"/>
      <c r="K573" s="389"/>
      <c r="L573" s="388"/>
      <c r="M573" s="397" t="str">
        <f ca="1">IFERROR(IF(COUNTIF($B$517:$B572,"&lt;0")=1,"",OFFSET($C571,-COUNTIF($B$517:$B572,"&lt;0")+3,0)),"")</f>
        <v/>
      </c>
      <c r="N573" s="397" t="str">
        <f ca="1">IFERROR(IF(AND(_xlfn.ISFORMULA(I573),NOT(_xlfn.ISFORMULA(I572))),1,OFFSET($F571,-COUNTIF($B$517:B572,"&lt;0")+3,0)),"")</f>
        <v/>
      </c>
      <c r="O573" s="384">
        <f t="shared" si="87"/>
        <v>54</v>
      </c>
      <c r="P573" s="384"/>
      <c r="Q573" s="384"/>
      <c r="R573" s="384"/>
      <c r="S573" s="384"/>
      <c r="T573" s="388"/>
    </row>
    <row r="574" spans="1:20" x14ac:dyDescent="0.3">
      <c r="A574" s="384" t="b">
        <v>0</v>
      </c>
      <c r="B574" s="384">
        <f t="shared" si="84"/>
        <v>-125</v>
      </c>
      <c r="C574" s="397" t="s">
        <v>2668</v>
      </c>
      <c r="D574" s="397" t="s">
        <v>2669</v>
      </c>
      <c r="E574" s="384">
        <f t="shared" si="85"/>
        <v>1</v>
      </c>
      <c r="F574" s="398">
        <v>10</v>
      </c>
      <c r="G574" s="388"/>
      <c r="H574" s="384" t="e">
        <f t="shared" si="86"/>
        <v>#VALUE!</v>
      </c>
      <c r="I574" s="386"/>
      <c r="J574" s="389"/>
      <c r="K574" s="389"/>
      <c r="L574" s="388"/>
      <c r="M574" s="397" t="str">
        <f ca="1">IFERROR(IF(COUNTIF($B$517:$B573,"&lt;0")=1,"",OFFSET($C572,-COUNTIF($B$517:$B573,"&lt;0")+3,0)),"")</f>
        <v/>
      </c>
      <c r="N574" s="397" t="str">
        <f ca="1">IFERROR(IF(AND(_xlfn.ISFORMULA(I574),NOT(_xlfn.ISFORMULA(I573))),1,OFFSET($F572,-COUNTIF($B$517:B573,"&lt;0")+3,0)),"")</f>
        <v/>
      </c>
      <c r="O574" s="384">
        <f t="shared" si="87"/>
        <v>55</v>
      </c>
      <c r="P574" s="384"/>
      <c r="Q574" s="384"/>
      <c r="R574" s="384"/>
      <c r="S574" s="384"/>
      <c r="T574" s="388"/>
    </row>
    <row r="575" spans="1:20" x14ac:dyDescent="0.3">
      <c r="A575" s="384" t="b">
        <v>0</v>
      </c>
      <c r="B575" s="384">
        <f t="shared" si="84"/>
        <v>-124</v>
      </c>
      <c r="C575" s="397" t="s">
        <v>2670</v>
      </c>
      <c r="D575" s="397" t="s">
        <v>2669</v>
      </c>
      <c r="E575" s="384">
        <f t="shared" si="85"/>
        <v>2</v>
      </c>
      <c r="F575" s="398">
        <v>10</v>
      </c>
      <c r="G575" s="388"/>
      <c r="H575" s="384" t="e">
        <f t="shared" si="86"/>
        <v>#VALUE!</v>
      </c>
      <c r="I575" s="386"/>
      <c r="J575" s="389"/>
      <c r="K575" s="389"/>
      <c r="L575" s="388"/>
      <c r="M575" s="397" t="str">
        <f ca="1">IFERROR(IF(COUNTIF($B$517:$B574,"&lt;0")=1,"",OFFSET($C573,-COUNTIF($B$517:$B574,"&lt;0")+3,0)),"")</f>
        <v/>
      </c>
      <c r="N575" s="397" t="str">
        <f ca="1">IFERROR(IF(AND(_xlfn.ISFORMULA(I575),NOT(_xlfn.ISFORMULA(I574))),1,OFFSET($F573,-COUNTIF($B$517:B574,"&lt;0")+3,0)),"")</f>
        <v/>
      </c>
      <c r="O575" s="384">
        <f t="shared" si="87"/>
        <v>56</v>
      </c>
      <c r="P575" s="384"/>
      <c r="Q575" s="384"/>
      <c r="R575" s="384"/>
      <c r="S575" s="384"/>
      <c r="T575" s="388"/>
    </row>
    <row r="576" spans="1:20" x14ac:dyDescent="0.3">
      <c r="A576" s="384" t="b">
        <v>0</v>
      </c>
      <c r="B576" s="384">
        <f t="shared" si="84"/>
        <v>-123</v>
      </c>
      <c r="C576" s="397" t="s">
        <v>2671</v>
      </c>
      <c r="D576" s="397" t="s">
        <v>2669</v>
      </c>
      <c r="E576" s="384">
        <f t="shared" si="85"/>
        <v>3</v>
      </c>
      <c r="F576" s="398">
        <v>10</v>
      </c>
      <c r="G576" s="388"/>
      <c r="H576" s="384" t="e">
        <f t="shared" si="86"/>
        <v>#VALUE!</v>
      </c>
      <c r="I576" s="386"/>
      <c r="J576" s="389"/>
      <c r="K576" s="389"/>
      <c r="L576" s="388"/>
      <c r="M576" s="397" t="str">
        <f ca="1">IFERROR(IF(COUNTIF($B$517:$B575,"&lt;0")=1,"",OFFSET($C574,-COUNTIF($B$517:$B575,"&lt;0")+3,0)),"")</f>
        <v/>
      </c>
      <c r="N576" s="397" t="str">
        <f ca="1">IFERROR(IF(AND(_xlfn.ISFORMULA(I576),NOT(_xlfn.ISFORMULA(I575))),1,OFFSET($F574,-COUNTIF($B$517:B575,"&lt;0")+3,0)),"")</f>
        <v/>
      </c>
      <c r="O576" s="384">
        <f t="shared" si="87"/>
        <v>57</v>
      </c>
      <c r="P576" s="384"/>
      <c r="Q576" s="384"/>
      <c r="R576" s="384"/>
      <c r="S576" s="384"/>
      <c r="T576" s="388"/>
    </row>
    <row r="577" spans="1:20" x14ac:dyDescent="0.3">
      <c r="A577" s="384" t="b">
        <v>0</v>
      </c>
      <c r="B577" s="384">
        <f t="shared" si="84"/>
        <v>-122</v>
      </c>
      <c r="C577" s="397" t="s">
        <v>2672</v>
      </c>
      <c r="D577" s="397" t="s">
        <v>2669</v>
      </c>
      <c r="E577" s="384">
        <f t="shared" si="85"/>
        <v>4</v>
      </c>
      <c r="F577" s="398">
        <v>10</v>
      </c>
      <c r="G577" s="388"/>
      <c r="H577" s="384" t="e">
        <f t="shared" si="86"/>
        <v>#VALUE!</v>
      </c>
      <c r="I577" s="386"/>
      <c r="J577" s="389"/>
      <c r="K577" s="389"/>
      <c r="L577" s="388"/>
      <c r="M577" s="397" t="str">
        <f ca="1">IFERROR(IF(COUNTIF($B$517:$B576,"&lt;0")=1,"",OFFSET($C575,-COUNTIF($B$517:$B576,"&lt;0")+3,0)),"")</f>
        <v/>
      </c>
      <c r="N577" s="397" t="str">
        <f ca="1">IFERROR(IF(AND(_xlfn.ISFORMULA(I577),NOT(_xlfn.ISFORMULA(I576))),1,OFFSET($F575,-COUNTIF($B$517:B576,"&lt;0")+3,0)),"")</f>
        <v/>
      </c>
      <c r="O577" s="384">
        <f t="shared" si="87"/>
        <v>58</v>
      </c>
      <c r="P577" s="384"/>
      <c r="Q577" s="384"/>
      <c r="R577" s="384"/>
      <c r="S577" s="384"/>
      <c r="T577" s="388"/>
    </row>
    <row r="578" spans="1:20" x14ac:dyDescent="0.3">
      <c r="A578" s="384" t="b">
        <v>0</v>
      </c>
      <c r="B578" s="384">
        <f t="shared" si="84"/>
        <v>-121</v>
      </c>
      <c r="C578" s="397" t="s">
        <v>2673</v>
      </c>
      <c r="D578" s="397" t="s">
        <v>2669</v>
      </c>
      <c r="E578" s="384">
        <f t="shared" si="85"/>
        <v>5</v>
      </c>
      <c r="F578" s="398">
        <v>10</v>
      </c>
      <c r="G578" s="388"/>
      <c r="H578" s="384" t="e">
        <f t="shared" si="86"/>
        <v>#VALUE!</v>
      </c>
      <c r="I578" s="386"/>
      <c r="J578" s="389"/>
      <c r="K578" s="389"/>
      <c r="L578" s="388"/>
      <c r="M578" s="397" t="str">
        <f ca="1">IFERROR(IF(COUNTIF($B$517:$B577,"&lt;0")=1,"",OFFSET($C576,-COUNTIF($B$517:$B577,"&lt;0")+3,0)),"")</f>
        <v/>
      </c>
      <c r="N578" s="397" t="str">
        <f ca="1">IFERROR(IF(AND(_xlfn.ISFORMULA(I578),NOT(_xlfn.ISFORMULA(I577))),1,OFFSET($F576,-COUNTIF($B$517:B577,"&lt;0")+3,0)),"")</f>
        <v/>
      </c>
      <c r="O578" s="384">
        <f t="shared" si="87"/>
        <v>59</v>
      </c>
      <c r="P578" s="384"/>
      <c r="Q578" s="384"/>
      <c r="R578" s="384"/>
      <c r="S578" s="384"/>
      <c r="T578" s="388"/>
    </row>
    <row r="579" spans="1:20" x14ac:dyDescent="0.3">
      <c r="A579" s="384" t="b">
        <v>0</v>
      </c>
      <c r="B579" s="384">
        <f t="shared" si="84"/>
        <v>-120</v>
      </c>
      <c r="C579" s="397" t="s">
        <v>2674</v>
      </c>
      <c r="D579" s="397" t="s">
        <v>2669</v>
      </c>
      <c r="E579" s="384">
        <f t="shared" si="85"/>
        <v>6</v>
      </c>
      <c r="F579" s="398">
        <v>10</v>
      </c>
      <c r="G579" s="388"/>
      <c r="H579" s="384" t="e">
        <f t="shared" si="86"/>
        <v>#VALUE!</v>
      </c>
      <c r="I579" s="386"/>
      <c r="J579" s="389"/>
      <c r="K579" s="389"/>
      <c r="L579" s="388"/>
      <c r="M579" s="397" t="str">
        <f ca="1">IFERROR(IF(COUNTIF($B$517:$B578,"&lt;0")=1,"",OFFSET($C577,-COUNTIF($B$517:$B578,"&lt;0")+3,0)),"")</f>
        <v/>
      </c>
      <c r="N579" s="397" t="str">
        <f ca="1">IFERROR(IF(AND(_xlfn.ISFORMULA(I579),NOT(_xlfn.ISFORMULA(I578))),1,OFFSET($F577,-COUNTIF($B$517:B578,"&lt;0")+3,0)),"")</f>
        <v/>
      </c>
      <c r="O579" s="384">
        <f t="shared" si="87"/>
        <v>60</v>
      </c>
      <c r="P579" s="384"/>
      <c r="Q579" s="384"/>
      <c r="R579" s="384"/>
      <c r="S579" s="384"/>
      <c r="T579" s="388"/>
    </row>
    <row r="580" spans="1:20" x14ac:dyDescent="0.3">
      <c r="A580" s="384" t="b">
        <v>0</v>
      </c>
      <c r="B580" s="384">
        <f t="shared" si="84"/>
        <v>-119</v>
      </c>
      <c r="C580" s="397" t="s">
        <v>2675</v>
      </c>
      <c r="D580" s="397" t="s">
        <v>2676</v>
      </c>
      <c r="E580" s="384">
        <f t="shared" si="85"/>
        <v>1</v>
      </c>
      <c r="F580" s="398">
        <v>11</v>
      </c>
      <c r="G580" s="388"/>
      <c r="H580" s="384" t="e">
        <f t="shared" si="86"/>
        <v>#VALUE!</v>
      </c>
      <c r="I580" s="386"/>
      <c r="J580" s="389"/>
      <c r="K580" s="389"/>
      <c r="L580" s="388"/>
      <c r="M580" s="397" t="str">
        <f ca="1">IFERROR(IF(COUNTIF($B$517:$B579,"&lt;0")=1,"",OFFSET($C578,-COUNTIF($B$517:$B579,"&lt;0")+3,0)),"")</f>
        <v/>
      </c>
      <c r="N580" s="397" t="str">
        <f ca="1">IFERROR(IF(AND(_xlfn.ISFORMULA(I580),NOT(_xlfn.ISFORMULA(I579))),1,OFFSET($F578,-COUNTIF($B$517:B579,"&lt;0")+3,0)),"")</f>
        <v/>
      </c>
      <c r="O580" s="384">
        <f t="shared" si="87"/>
        <v>61</v>
      </c>
      <c r="P580" s="384"/>
      <c r="Q580" s="384"/>
      <c r="R580" s="384"/>
      <c r="S580" s="384"/>
      <c r="T580" s="388"/>
    </row>
    <row r="581" spans="1:20" x14ac:dyDescent="0.3">
      <c r="A581" s="384" t="b">
        <v>0</v>
      </c>
      <c r="B581" s="384">
        <f t="shared" si="84"/>
        <v>-118</v>
      </c>
      <c r="C581" s="397" t="s">
        <v>2677</v>
      </c>
      <c r="D581" s="397" t="s">
        <v>2676</v>
      </c>
      <c r="E581" s="384">
        <f t="shared" si="85"/>
        <v>2</v>
      </c>
      <c r="F581" s="398">
        <v>11</v>
      </c>
      <c r="G581" s="388"/>
      <c r="H581" s="384" t="e">
        <f t="shared" si="86"/>
        <v>#VALUE!</v>
      </c>
      <c r="I581" s="386"/>
      <c r="J581" s="389"/>
      <c r="K581" s="389"/>
      <c r="L581" s="388"/>
      <c r="M581" s="397" t="str">
        <f ca="1">IFERROR(IF(COUNTIF($B$517:$B580,"&lt;0")=1,"",OFFSET($C579,-COUNTIF($B$517:$B580,"&lt;0")+3,0)),"")</f>
        <v/>
      </c>
      <c r="N581" s="397" t="str">
        <f ca="1">IFERROR(IF(AND(_xlfn.ISFORMULA(I581),NOT(_xlfn.ISFORMULA(I580))),1,OFFSET($F579,-COUNTIF($B$517:B580,"&lt;0")+3,0)),"")</f>
        <v/>
      </c>
      <c r="O581" s="384">
        <f t="shared" si="87"/>
        <v>62</v>
      </c>
      <c r="P581" s="384"/>
      <c r="Q581" s="384"/>
      <c r="R581" s="384"/>
      <c r="S581" s="384"/>
      <c r="T581" s="388"/>
    </row>
    <row r="582" spans="1:20" x14ac:dyDescent="0.3">
      <c r="A582" s="384" t="b">
        <v>0</v>
      </c>
      <c r="B582" s="384">
        <f t="shared" si="84"/>
        <v>-117</v>
      </c>
      <c r="C582" s="397" t="s">
        <v>2678</v>
      </c>
      <c r="D582" s="397" t="s">
        <v>2676</v>
      </c>
      <c r="E582" s="384">
        <f t="shared" si="85"/>
        <v>3</v>
      </c>
      <c r="F582" s="398">
        <v>11</v>
      </c>
      <c r="G582" s="388"/>
      <c r="H582" s="384" t="e">
        <f t="shared" si="86"/>
        <v>#VALUE!</v>
      </c>
      <c r="I582" s="386"/>
      <c r="J582" s="389"/>
      <c r="K582" s="389"/>
      <c r="L582" s="388"/>
      <c r="M582" s="397" t="str">
        <f ca="1">IFERROR(IF(COUNTIF($B$517:$B581,"&lt;0")=1,"",OFFSET($C580,-COUNTIF($B$517:$B581,"&lt;0")+3,0)),"")</f>
        <v/>
      </c>
      <c r="N582" s="397" t="str">
        <f ca="1">IFERROR(IF(AND(_xlfn.ISFORMULA(I582),NOT(_xlfn.ISFORMULA(I581))),1,OFFSET($F580,-COUNTIF($B$517:B581,"&lt;0")+3,0)),"")</f>
        <v/>
      </c>
      <c r="O582" s="384">
        <f t="shared" si="87"/>
        <v>63</v>
      </c>
      <c r="P582" s="384"/>
      <c r="Q582" s="384"/>
      <c r="R582" s="384"/>
      <c r="S582" s="384"/>
      <c r="T582" s="388"/>
    </row>
    <row r="583" spans="1:20" x14ac:dyDescent="0.3">
      <c r="A583" s="384" t="b">
        <v>0</v>
      </c>
      <c r="B583" s="384">
        <f t="shared" si="84"/>
        <v>-116</v>
      </c>
      <c r="C583" s="397" t="s">
        <v>2679</v>
      </c>
      <c r="D583" s="397" t="s">
        <v>2676</v>
      </c>
      <c r="E583" s="384">
        <f t="shared" si="85"/>
        <v>4</v>
      </c>
      <c r="F583" s="398">
        <v>11</v>
      </c>
      <c r="G583" s="388"/>
      <c r="H583" s="384" t="e">
        <f t="shared" si="86"/>
        <v>#VALUE!</v>
      </c>
      <c r="I583" s="386"/>
      <c r="J583" s="389"/>
      <c r="K583" s="389"/>
      <c r="L583" s="388"/>
      <c r="M583" s="397" t="str">
        <f ca="1">IFERROR(IF(COUNTIF($B$517:$B582,"&lt;0")=1,"",OFFSET($C581,-COUNTIF($B$517:$B582,"&lt;0")+3,0)),"")</f>
        <v/>
      </c>
      <c r="N583" s="397" t="str">
        <f ca="1">IFERROR(IF(AND(_xlfn.ISFORMULA(I583),NOT(_xlfn.ISFORMULA(I582))),1,OFFSET($F581,-COUNTIF($B$517:B582,"&lt;0")+3,0)),"")</f>
        <v/>
      </c>
      <c r="O583" s="384">
        <f t="shared" si="87"/>
        <v>64</v>
      </c>
      <c r="P583" s="384"/>
      <c r="Q583" s="384"/>
      <c r="R583" s="384"/>
      <c r="S583" s="384"/>
      <c r="T583" s="388"/>
    </row>
    <row r="584" spans="1:20" x14ac:dyDescent="0.3">
      <c r="A584" s="384" t="b">
        <v>0</v>
      </c>
      <c r="B584" s="384">
        <f t="shared" ref="B584:B647" si="88">B583+1</f>
        <v>-115</v>
      </c>
      <c r="C584" s="397" t="s">
        <v>2680</v>
      </c>
      <c r="D584" s="397" t="s">
        <v>2676</v>
      </c>
      <c r="E584" s="384">
        <f t="shared" ref="E584:E647" si="89">IF(E583="countif",0,IF(E583=W$2,1,E583+1))</f>
        <v>5</v>
      </c>
      <c r="F584" s="398">
        <v>11</v>
      </c>
      <c r="G584" s="388"/>
      <c r="H584" s="384" t="e">
        <f t="shared" ref="H584:H647" si="90">IF(B584=1,9,IF(E583=MAX(E582:E584),H582+2,H583))</f>
        <v>#VALUE!</v>
      </c>
      <c r="I584" s="386"/>
      <c r="J584" s="389"/>
      <c r="K584" s="389"/>
      <c r="L584" s="388"/>
      <c r="M584" s="397" t="str">
        <f ca="1">IFERROR(IF(COUNTIF($B$517:$B583,"&lt;0")=1,"",OFFSET($C582,-COUNTIF($B$517:$B583,"&lt;0")+3,0)),"")</f>
        <v/>
      </c>
      <c r="N584" s="397" t="str">
        <f ca="1">IFERROR(IF(AND(_xlfn.ISFORMULA(I584),NOT(_xlfn.ISFORMULA(I583))),1,OFFSET($F582,-COUNTIF($B$517:B583,"&lt;0")+3,0)),"")</f>
        <v/>
      </c>
      <c r="O584" s="384">
        <f t="shared" ref="O584:O647" si="91">IF(NOT(_xlfn.ISFORMULA(I584)),O583+1,0)</f>
        <v>65</v>
      </c>
      <c r="P584" s="384"/>
      <c r="Q584" s="384"/>
      <c r="R584" s="384"/>
      <c r="S584" s="384"/>
      <c r="T584" s="388"/>
    </row>
    <row r="585" spans="1:20" x14ac:dyDescent="0.3">
      <c r="A585" s="384" t="b">
        <v>0</v>
      </c>
      <c r="B585" s="384">
        <f t="shared" si="88"/>
        <v>-114</v>
      </c>
      <c r="C585" s="397" t="s">
        <v>2681</v>
      </c>
      <c r="D585" s="397" t="s">
        <v>2676</v>
      </c>
      <c r="E585" s="384">
        <f t="shared" si="89"/>
        <v>6</v>
      </c>
      <c r="F585" s="398">
        <v>11</v>
      </c>
      <c r="G585" s="388"/>
      <c r="H585" s="384" t="e">
        <f t="shared" si="90"/>
        <v>#VALUE!</v>
      </c>
      <c r="I585" s="386"/>
      <c r="J585" s="389"/>
      <c r="K585" s="389"/>
      <c r="L585" s="388"/>
      <c r="M585" s="397" t="str">
        <f ca="1">IFERROR(IF(COUNTIF($B$517:$B584,"&lt;0")=1,"",OFFSET($C583,-COUNTIF($B$517:$B584,"&lt;0")+3,0)),"")</f>
        <v/>
      </c>
      <c r="N585" s="397" t="str">
        <f ca="1">IFERROR(IF(AND(_xlfn.ISFORMULA(I585),NOT(_xlfn.ISFORMULA(I584))),1,OFFSET($F583,-COUNTIF($B$517:B584,"&lt;0")+3,0)),"")</f>
        <v/>
      </c>
      <c r="O585" s="384">
        <f t="shared" si="91"/>
        <v>66</v>
      </c>
      <c r="P585" s="384"/>
      <c r="Q585" s="384"/>
      <c r="R585" s="384"/>
      <c r="S585" s="384"/>
      <c r="T585" s="388"/>
    </row>
    <row r="586" spans="1:20" x14ac:dyDescent="0.3">
      <c r="A586" s="384" t="b">
        <v>0</v>
      </c>
      <c r="B586" s="384">
        <f t="shared" si="88"/>
        <v>-113</v>
      </c>
      <c r="C586" s="397" t="s">
        <v>2682</v>
      </c>
      <c r="D586" s="397" t="s">
        <v>2683</v>
      </c>
      <c r="E586" s="384">
        <f t="shared" si="89"/>
        <v>1</v>
      </c>
      <c r="F586" s="398">
        <v>12</v>
      </c>
      <c r="G586" s="388"/>
      <c r="H586" s="384" t="e">
        <f t="shared" si="90"/>
        <v>#VALUE!</v>
      </c>
      <c r="I586" s="386"/>
      <c r="J586" s="389"/>
      <c r="K586" s="389"/>
      <c r="L586" s="388"/>
      <c r="M586" s="397" t="str">
        <f ca="1">IFERROR(IF(COUNTIF($B$517:$B585,"&lt;0")=1,"",OFFSET($C584,-COUNTIF($B$517:$B585,"&lt;0")+3,0)),"")</f>
        <v/>
      </c>
      <c r="N586" s="397" t="str">
        <f ca="1">IFERROR(IF(AND(_xlfn.ISFORMULA(I586),NOT(_xlfn.ISFORMULA(I585))),1,OFFSET($F584,-COUNTIF($B$517:B585,"&lt;0")+3,0)),"")</f>
        <v/>
      </c>
      <c r="O586" s="384">
        <f t="shared" si="91"/>
        <v>67</v>
      </c>
      <c r="P586" s="384"/>
      <c r="Q586" s="384"/>
      <c r="R586" s="384"/>
      <c r="S586" s="384"/>
      <c r="T586" s="388"/>
    </row>
    <row r="587" spans="1:20" x14ac:dyDescent="0.3">
      <c r="A587" s="384" t="b">
        <v>0</v>
      </c>
      <c r="B587" s="384">
        <f t="shared" si="88"/>
        <v>-112</v>
      </c>
      <c r="C587" s="397" t="s">
        <v>2684</v>
      </c>
      <c r="D587" s="397" t="s">
        <v>2683</v>
      </c>
      <c r="E587" s="384">
        <f t="shared" si="89"/>
        <v>2</v>
      </c>
      <c r="F587" s="398">
        <v>12</v>
      </c>
      <c r="G587" s="388"/>
      <c r="H587" s="384" t="e">
        <f t="shared" si="90"/>
        <v>#VALUE!</v>
      </c>
      <c r="I587" s="386"/>
      <c r="J587" s="389"/>
      <c r="K587" s="389"/>
      <c r="L587" s="388"/>
      <c r="M587" s="397" t="str">
        <f ca="1">IFERROR(IF(COUNTIF($B$517:$B586,"&lt;0")=1,"",OFFSET($C585,-COUNTIF($B$517:$B586,"&lt;0")+3,0)),"")</f>
        <v/>
      </c>
      <c r="N587" s="397" t="str">
        <f ca="1">IFERROR(IF(AND(_xlfn.ISFORMULA(I587),NOT(_xlfn.ISFORMULA(I586))),1,OFFSET($F585,-COUNTIF($B$517:B586,"&lt;0")+3,0)),"")</f>
        <v/>
      </c>
      <c r="O587" s="384">
        <f t="shared" si="91"/>
        <v>68</v>
      </c>
      <c r="P587" s="384"/>
      <c r="Q587" s="384"/>
      <c r="R587" s="384"/>
      <c r="S587" s="384"/>
      <c r="T587" s="388"/>
    </row>
    <row r="588" spans="1:20" x14ac:dyDescent="0.3">
      <c r="A588" s="384" t="b">
        <v>0</v>
      </c>
      <c r="B588" s="384">
        <f t="shared" si="88"/>
        <v>-111</v>
      </c>
      <c r="C588" s="397" t="s">
        <v>2685</v>
      </c>
      <c r="D588" s="397" t="s">
        <v>2683</v>
      </c>
      <c r="E588" s="384">
        <f t="shared" si="89"/>
        <v>3</v>
      </c>
      <c r="F588" s="398">
        <v>12</v>
      </c>
      <c r="G588" s="388"/>
      <c r="H588" s="384" t="e">
        <f t="shared" si="90"/>
        <v>#VALUE!</v>
      </c>
      <c r="I588" s="386"/>
      <c r="J588" s="389"/>
      <c r="K588" s="389"/>
      <c r="L588" s="388"/>
      <c r="M588" s="397" t="str">
        <f ca="1">IFERROR(IF(COUNTIF($B$517:$B587,"&lt;0")=1,"",OFFSET($C586,-COUNTIF($B$517:$B587,"&lt;0")+3,0)),"")</f>
        <v/>
      </c>
      <c r="N588" s="397" t="str">
        <f ca="1">IFERROR(IF(AND(_xlfn.ISFORMULA(I588),NOT(_xlfn.ISFORMULA(I587))),1,OFFSET($F586,-COUNTIF($B$517:B587,"&lt;0")+3,0)),"")</f>
        <v/>
      </c>
      <c r="O588" s="384">
        <f t="shared" si="91"/>
        <v>69</v>
      </c>
      <c r="P588" s="384"/>
      <c r="Q588" s="384"/>
      <c r="R588" s="384"/>
      <c r="S588" s="384"/>
      <c r="T588" s="388"/>
    </row>
    <row r="589" spans="1:20" x14ac:dyDescent="0.3">
      <c r="A589" s="384" t="b">
        <v>0</v>
      </c>
      <c r="B589" s="384">
        <f t="shared" si="88"/>
        <v>-110</v>
      </c>
      <c r="C589" s="397" t="s">
        <v>2686</v>
      </c>
      <c r="D589" s="397" t="s">
        <v>2683</v>
      </c>
      <c r="E589" s="384">
        <f t="shared" si="89"/>
        <v>4</v>
      </c>
      <c r="F589" s="398">
        <v>12</v>
      </c>
      <c r="G589" s="388"/>
      <c r="H589" s="384" t="e">
        <f t="shared" si="90"/>
        <v>#VALUE!</v>
      </c>
      <c r="I589" s="386"/>
      <c r="J589" s="389"/>
      <c r="K589" s="389"/>
      <c r="L589" s="388"/>
      <c r="M589" s="397" t="str">
        <f ca="1">IFERROR(IF(COUNTIF($B$517:$B588,"&lt;0")=1,"",OFFSET($C587,-COUNTIF($B$517:$B588,"&lt;0")+3,0)),"")</f>
        <v/>
      </c>
      <c r="N589" s="397" t="str">
        <f ca="1">IFERROR(IF(AND(_xlfn.ISFORMULA(I589),NOT(_xlfn.ISFORMULA(I588))),1,OFFSET($F587,-COUNTIF($B$517:B588,"&lt;0")+3,0)),"")</f>
        <v/>
      </c>
      <c r="O589" s="384">
        <f t="shared" si="91"/>
        <v>70</v>
      </c>
      <c r="P589" s="384"/>
      <c r="Q589" s="384"/>
      <c r="R589" s="384"/>
      <c r="S589" s="384"/>
      <c r="T589" s="388"/>
    </row>
    <row r="590" spans="1:20" x14ac:dyDescent="0.3">
      <c r="A590" s="384" t="b">
        <v>0</v>
      </c>
      <c r="B590" s="384">
        <f t="shared" si="88"/>
        <v>-109</v>
      </c>
      <c r="C590" s="397" t="s">
        <v>2687</v>
      </c>
      <c r="D590" s="397" t="s">
        <v>2683</v>
      </c>
      <c r="E590" s="384">
        <f t="shared" si="89"/>
        <v>5</v>
      </c>
      <c r="F590" s="398">
        <v>12</v>
      </c>
      <c r="G590" s="388"/>
      <c r="H590" s="384" t="e">
        <f t="shared" si="90"/>
        <v>#VALUE!</v>
      </c>
      <c r="I590" s="386"/>
      <c r="J590" s="389"/>
      <c r="K590" s="389"/>
      <c r="L590" s="388"/>
      <c r="M590" s="397" t="str">
        <f ca="1">IFERROR(IF(COUNTIF($B$517:$B589,"&lt;0")=1,"",OFFSET($C588,-COUNTIF($B$517:$B589,"&lt;0")+3,0)),"")</f>
        <v/>
      </c>
      <c r="N590" s="397" t="str">
        <f ca="1">IFERROR(IF(AND(_xlfn.ISFORMULA(I590),NOT(_xlfn.ISFORMULA(I589))),1,OFFSET($F588,-COUNTIF($B$517:B589,"&lt;0")+3,0)),"")</f>
        <v/>
      </c>
      <c r="O590" s="384">
        <f t="shared" si="91"/>
        <v>71</v>
      </c>
      <c r="P590" s="384"/>
      <c r="Q590" s="384"/>
      <c r="R590" s="384"/>
      <c r="S590" s="384"/>
      <c r="T590" s="388"/>
    </row>
    <row r="591" spans="1:20" x14ac:dyDescent="0.3">
      <c r="A591" s="384" t="b">
        <v>0</v>
      </c>
      <c r="B591" s="384">
        <f t="shared" si="88"/>
        <v>-108</v>
      </c>
      <c r="C591" s="397" t="s">
        <v>2688</v>
      </c>
      <c r="D591" s="397" t="s">
        <v>2683</v>
      </c>
      <c r="E591" s="384">
        <f t="shared" si="89"/>
        <v>6</v>
      </c>
      <c r="F591" s="398">
        <v>12</v>
      </c>
      <c r="G591" s="388"/>
      <c r="H591" s="384" t="e">
        <f t="shared" si="90"/>
        <v>#VALUE!</v>
      </c>
      <c r="I591" s="386"/>
      <c r="J591" s="389"/>
      <c r="K591" s="389"/>
      <c r="L591" s="388"/>
      <c r="M591" s="397" t="str">
        <f ca="1">IFERROR(IF(COUNTIF($B$517:$B590,"&lt;0")=1,"",OFFSET($C589,-COUNTIF($B$517:$B590,"&lt;0")+3,0)),"")</f>
        <v/>
      </c>
      <c r="N591" s="397" t="str">
        <f ca="1">IFERROR(IF(AND(_xlfn.ISFORMULA(I591),NOT(_xlfn.ISFORMULA(I590))),1,OFFSET($F589,-COUNTIF($B$517:B590,"&lt;0")+3,0)),"")</f>
        <v/>
      </c>
      <c r="O591" s="384">
        <f t="shared" si="91"/>
        <v>72</v>
      </c>
      <c r="P591" s="384"/>
      <c r="Q591" s="384"/>
      <c r="R591" s="384"/>
      <c r="S591" s="384"/>
      <c r="T591" s="388"/>
    </row>
    <row r="592" spans="1:20" x14ac:dyDescent="0.3">
      <c r="A592" s="384" t="b">
        <v>0</v>
      </c>
      <c r="B592" s="384">
        <f t="shared" si="88"/>
        <v>-107</v>
      </c>
      <c r="C592" s="397" t="s">
        <v>2689</v>
      </c>
      <c r="D592" s="397" t="s">
        <v>2690</v>
      </c>
      <c r="E592" s="384">
        <f t="shared" si="89"/>
        <v>1</v>
      </c>
      <c r="F592" s="398">
        <v>13</v>
      </c>
      <c r="G592" s="388"/>
      <c r="H592" s="384" t="e">
        <f t="shared" si="90"/>
        <v>#VALUE!</v>
      </c>
      <c r="I592" s="386"/>
      <c r="J592" s="389"/>
      <c r="K592" s="389"/>
      <c r="L592" s="388"/>
      <c r="M592" s="397" t="str">
        <f ca="1">IFERROR(IF(COUNTIF($B$517:$B591,"&lt;0")=1,"",OFFSET($C590,-COUNTIF($B$517:$B591,"&lt;0")+3,0)),"")</f>
        <v/>
      </c>
      <c r="N592" s="397" t="str">
        <f ca="1">IFERROR(IF(AND(_xlfn.ISFORMULA(I592),NOT(_xlfn.ISFORMULA(I591))),1,OFFSET($F590,-COUNTIF($B$517:B591,"&lt;0")+3,0)),"")</f>
        <v/>
      </c>
      <c r="O592" s="384">
        <f t="shared" si="91"/>
        <v>73</v>
      </c>
      <c r="P592" s="384"/>
      <c r="Q592" s="384"/>
      <c r="R592" s="384"/>
      <c r="S592" s="384"/>
      <c r="T592" s="388"/>
    </row>
    <row r="593" spans="1:20" x14ac:dyDescent="0.3">
      <c r="A593" s="384" t="b">
        <v>0</v>
      </c>
      <c r="B593" s="384">
        <f t="shared" si="88"/>
        <v>-106</v>
      </c>
      <c r="C593" s="397" t="s">
        <v>2691</v>
      </c>
      <c r="D593" s="397" t="s">
        <v>2690</v>
      </c>
      <c r="E593" s="384">
        <f t="shared" si="89"/>
        <v>2</v>
      </c>
      <c r="F593" s="398">
        <v>13</v>
      </c>
      <c r="G593" s="388"/>
      <c r="H593" s="384" t="e">
        <f t="shared" si="90"/>
        <v>#VALUE!</v>
      </c>
      <c r="I593" s="386"/>
      <c r="J593" s="389"/>
      <c r="K593" s="389"/>
      <c r="L593" s="388"/>
      <c r="M593" s="397" t="str">
        <f ca="1">IFERROR(IF(COUNTIF($B$517:$B592,"&lt;0")=1,"",OFFSET($C591,-COUNTIF($B$517:$B592,"&lt;0")+3,0)),"")</f>
        <v/>
      </c>
      <c r="N593" s="397" t="str">
        <f ca="1">IFERROR(IF(AND(_xlfn.ISFORMULA(I593),NOT(_xlfn.ISFORMULA(I592))),1,OFFSET($F591,-COUNTIF($B$517:B592,"&lt;0")+3,0)),"")</f>
        <v/>
      </c>
      <c r="O593" s="384">
        <f t="shared" si="91"/>
        <v>74</v>
      </c>
      <c r="P593" s="384"/>
      <c r="Q593" s="384"/>
      <c r="R593" s="384"/>
      <c r="S593" s="384"/>
      <c r="T593" s="388"/>
    </row>
    <row r="594" spans="1:20" x14ac:dyDescent="0.3">
      <c r="A594" s="384" t="b">
        <v>0</v>
      </c>
      <c r="B594" s="384">
        <f t="shared" si="88"/>
        <v>-105</v>
      </c>
      <c r="C594" s="397" t="s">
        <v>2692</v>
      </c>
      <c r="D594" s="397" t="s">
        <v>2690</v>
      </c>
      <c r="E594" s="384">
        <f t="shared" si="89"/>
        <v>3</v>
      </c>
      <c r="F594" s="398">
        <v>13</v>
      </c>
      <c r="G594" s="388"/>
      <c r="H594" s="384" t="e">
        <f t="shared" si="90"/>
        <v>#VALUE!</v>
      </c>
      <c r="I594" s="386"/>
      <c r="J594" s="389"/>
      <c r="K594" s="389"/>
      <c r="L594" s="388"/>
      <c r="M594" s="397" t="str">
        <f ca="1">IFERROR(IF(COUNTIF($B$517:$B593,"&lt;0")=1,"",OFFSET($C592,-COUNTIF($B$517:$B593,"&lt;0")+3,0)),"")</f>
        <v/>
      </c>
      <c r="N594" s="397" t="str">
        <f ca="1">IFERROR(IF(AND(_xlfn.ISFORMULA(I594),NOT(_xlfn.ISFORMULA(I593))),1,OFFSET($F592,-COUNTIF($B$517:B593,"&lt;0")+3,0)),"")</f>
        <v/>
      </c>
      <c r="O594" s="384">
        <f t="shared" si="91"/>
        <v>75</v>
      </c>
      <c r="P594" s="384"/>
      <c r="Q594" s="384"/>
      <c r="R594" s="384"/>
      <c r="S594" s="384"/>
      <c r="T594" s="388"/>
    </row>
    <row r="595" spans="1:20" x14ac:dyDescent="0.3">
      <c r="A595" s="384" t="b">
        <v>0</v>
      </c>
      <c r="B595" s="384">
        <f t="shared" si="88"/>
        <v>-104</v>
      </c>
      <c r="C595" s="397" t="s">
        <v>2693</v>
      </c>
      <c r="D595" s="397" t="s">
        <v>2690</v>
      </c>
      <c r="E595" s="384">
        <f t="shared" si="89"/>
        <v>4</v>
      </c>
      <c r="F595" s="398">
        <v>13</v>
      </c>
      <c r="G595" s="388"/>
      <c r="H595" s="384" t="e">
        <f t="shared" si="90"/>
        <v>#VALUE!</v>
      </c>
      <c r="I595" s="386"/>
      <c r="J595" s="389"/>
      <c r="K595" s="389"/>
      <c r="L595" s="388"/>
      <c r="M595" s="397" t="str">
        <f ca="1">IFERROR(IF(COUNTIF($B$517:$B594,"&lt;0")=1,"",OFFSET($C593,-COUNTIF($B$517:$B594,"&lt;0")+3,0)),"")</f>
        <v/>
      </c>
      <c r="N595" s="397" t="str">
        <f ca="1">IFERROR(IF(AND(_xlfn.ISFORMULA(I595),NOT(_xlfn.ISFORMULA(I594))),1,OFFSET($F593,-COUNTIF($B$517:B594,"&lt;0")+3,0)),"")</f>
        <v/>
      </c>
      <c r="O595" s="384">
        <f t="shared" si="91"/>
        <v>76</v>
      </c>
      <c r="P595" s="384"/>
      <c r="Q595" s="384"/>
      <c r="R595" s="384"/>
      <c r="S595" s="384"/>
      <c r="T595" s="388"/>
    </row>
    <row r="596" spans="1:20" x14ac:dyDescent="0.3">
      <c r="A596" s="384" t="b">
        <v>0</v>
      </c>
      <c r="B596" s="384">
        <f t="shared" si="88"/>
        <v>-103</v>
      </c>
      <c r="C596" s="397" t="s">
        <v>2694</v>
      </c>
      <c r="D596" s="397" t="s">
        <v>2690</v>
      </c>
      <c r="E596" s="384">
        <f t="shared" si="89"/>
        <v>5</v>
      </c>
      <c r="F596" s="398">
        <v>13</v>
      </c>
      <c r="G596" s="388"/>
      <c r="H596" s="384" t="e">
        <f t="shared" si="90"/>
        <v>#VALUE!</v>
      </c>
      <c r="I596" s="386"/>
      <c r="J596" s="389"/>
      <c r="K596" s="389"/>
      <c r="L596" s="388"/>
      <c r="M596" s="397" t="str">
        <f ca="1">IFERROR(IF(COUNTIF($B$517:$B595,"&lt;0")=1,"",OFFSET($C594,-COUNTIF($B$517:$B595,"&lt;0")+3,0)),"")</f>
        <v/>
      </c>
      <c r="N596" s="397" t="str">
        <f ca="1">IFERROR(IF(AND(_xlfn.ISFORMULA(I596),NOT(_xlfn.ISFORMULA(I595))),1,OFFSET($F594,-COUNTIF($B$517:B595,"&lt;0")+3,0)),"")</f>
        <v/>
      </c>
      <c r="O596" s="384">
        <f t="shared" si="91"/>
        <v>77</v>
      </c>
      <c r="P596" s="384"/>
      <c r="Q596" s="384"/>
      <c r="R596" s="384"/>
      <c r="S596" s="384"/>
      <c r="T596" s="388"/>
    </row>
    <row r="597" spans="1:20" x14ac:dyDescent="0.3">
      <c r="A597" s="384" t="b">
        <v>0</v>
      </c>
      <c r="B597" s="384">
        <f t="shared" si="88"/>
        <v>-102</v>
      </c>
      <c r="C597" s="397" t="s">
        <v>2695</v>
      </c>
      <c r="D597" s="397" t="s">
        <v>2690</v>
      </c>
      <c r="E597" s="384">
        <f t="shared" si="89"/>
        <v>6</v>
      </c>
      <c r="F597" s="398">
        <v>13</v>
      </c>
      <c r="G597" s="388"/>
      <c r="H597" s="384" t="e">
        <f t="shared" si="90"/>
        <v>#VALUE!</v>
      </c>
      <c r="I597" s="386"/>
      <c r="J597" s="389"/>
      <c r="K597" s="389"/>
      <c r="L597" s="388"/>
      <c r="M597" s="397" t="str">
        <f ca="1">IFERROR(IF(COUNTIF($B$517:$B596,"&lt;0")=1,"",OFFSET($C595,-COUNTIF($B$517:$B596,"&lt;0")+3,0)),"")</f>
        <v/>
      </c>
      <c r="N597" s="397" t="str">
        <f ca="1">IFERROR(IF(AND(_xlfn.ISFORMULA(I597),NOT(_xlfn.ISFORMULA(I596))),1,OFFSET($F595,-COUNTIF($B$517:B596,"&lt;0")+3,0)),"")</f>
        <v/>
      </c>
      <c r="O597" s="384">
        <f t="shared" si="91"/>
        <v>78</v>
      </c>
      <c r="P597" s="384"/>
      <c r="Q597" s="384"/>
      <c r="R597" s="384"/>
      <c r="S597" s="384"/>
      <c r="T597" s="388"/>
    </row>
    <row r="598" spans="1:20" x14ac:dyDescent="0.3">
      <c r="A598" s="384" t="b">
        <v>0</v>
      </c>
      <c r="B598" s="384">
        <f t="shared" si="88"/>
        <v>-101</v>
      </c>
      <c r="C598" s="397" t="s">
        <v>2696</v>
      </c>
      <c r="D598" s="397" t="s">
        <v>2697</v>
      </c>
      <c r="E598" s="384">
        <f t="shared" si="89"/>
        <v>1</v>
      </c>
      <c r="F598" s="398">
        <v>14</v>
      </c>
      <c r="G598" s="388"/>
      <c r="H598" s="384" t="e">
        <f t="shared" si="90"/>
        <v>#VALUE!</v>
      </c>
      <c r="I598" s="386"/>
      <c r="J598" s="389"/>
      <c r="K598" s="389"/>
      <c r="L598" s="388"/>
      <c r="M598" s="397" t="str">
        <f ca="1">IFERROR(IF(COUNTIF($B$517:$B597,"&lt;0")=1,"",OFFSET($C596,-COUNTIF($B$517:$B597,"&lt;0")+3,0)),"")</f>
        <v/>
      </c>
      <c r="N598" s="397" t="str">
        <f ca="1">IFERROR(IF(AND(_xlfn.ISFORMULA(I598),NOT(_xlfn.ISFORMULA(I597))),1,OFFSET($F596,-COUNTIF($B$517:B597,"&lt;0")+3,0)),"")</f>
        <v/>
      </c>
      <c r="O598" s="384">
        <f t="shared" si="91"/>
        <v>79</v>
      </c>
      <c r="P598" s="384"/>
      <c r="Q598" s="384"/>
      <c r="R598" s="384"/>
      <c r="S598" s="384"/>
      <c r="T598" s="388"/>
    </row>
    <row r="599" spans="1:20" x14ac:dyDescent="0.3">
      <c r="A599" s="384" t="b">
        <v>0</v>
      </c>
      <c r="B599" s="384">
        <f t="shared" si="88"/>
        <v>-100</v>
      </c>
      <c r="C599" s="397" t="s">
        <v>2698</v>
      </c>
      <c r="D599" s="397" t="s">
        <v>2697</v>
      </c>
      <c r="E599" s="384">
        <f t="shared" si="89"/>
        <v>2</v>
      </c>
      <c r="F599" s="398">
        <v>14</v>
      </c>
      <c r="G599" s="388"/>
      <c r="H599" s="384" t="e">
        <f t="shared" si="90"/>
        <v>#VALUE!</v>
      </c>
      <c r="I599" s="386"/>
      <c r="J599" s="389"/>
      <c r="K599" s="389"/>
      <c r="L599" s="388"/>
      <c r="M599" s="397" t="str">
        <f ca="1">IFERROR(IF(COUNTIF($B$517:$B598,"&lt;0")=1,"",OFFSET($C597,-COUNTIF($B$517:$B598,"&lt;0")+3,0)),"")</f>
        <v/>
      </c>
      <c r="N599" s="397" t="str">
        <f ca="1">IFERROR(IF(AND(_xlfn.ISFORMULA(I599),NOT(_xlfn.ISFORMULA(I598))),1,OFFSET($F597,-COUNTIF($B$517:B598,"&lt;0")+3,0)),"")</f>
        <v/>
      </c>
      <c r="O599" s="384">
        <f t="shared" si="91"/>
        <v>80</v>
      </c>
      <c r="P599" s="384"/>
      <c r="Q599" s="384"/>
      <c r="R599" s="384"/>
      <c r="S599" s="384"/>
      <c r="T599" s="388"/>
    </row>
    <row r="600" spans="1:20" x14ac:dyDescent="0.3">
      <c r="A600" s="384" t="b">
        <v>0</v>
      </c>
      <c r="B600" s="384">
        <f t="shared" si="88"/>
        <v>-99</v>
      </c>
      <c r="C600" s="397" t="s">
        <v>2699</v>
      </c>
      <c r="D600" s="397" t="s">
        <v>2697</v>
      </c>
      <c r="E600" s="384">
        <f t="shared" si="89"/>
        <v>3</v>
      </c>
      <c r="F600" s="398">
        <v>14</v>
      </c>
      <c r="G600" s="388"/>
      <c r="H600" s="384" t="e">
        <f t="shared" si="90"/>
        <v>#VALUE!</v>
      </c>
      <c r="I600" s="386"/>
      <c r="J600" s="389"/>
      <c r="K600" s="389"/>
      <c r="L600" s="388"/>
      <c r="M600" s="397" t="str">
        <f ca="1">IFERROR(IF(COUNTIF($B$517:$B599,"&lt;0")=1,"",OFFSET($C598,-COUNTIF($B$517:$B599,"&lt;0")+3,0)),"")</f>
        <v/>
      </c>
      <c r="N600" s="397" t="str">
        <f ca="1">IFERROR(IF(AND(_xlfn.ISFORMULA(I600),NOT(_xlfn.ISFORMULA(I599))),1,OFFSET($F598,-COUNTIF($B$517:B599,"&lt;0")+3,0)),"")</f>
        <v/>
      </c>
      <c r="O600" s="384">
        <f t="shared" si="91"/>
        <v>81</v>
      </c>
      <c r="P600" s="384"/>
      <c r="Q600" s="384"/>
      <c r="R600" s="384"/>
      <c r="S600" s="384"/>
      <c r="T600" s="388"/>
    </row>
    <row r="601" spans="1:20" x14ac:dyDescent="0.3">
      <c r="A601" s="384" t="b">
        <v>0</v>
      </c>
      <c r="B601" s="384">
        <f t="shared" si="88"/>
        <v>-98</v>
      </c>
      <c r="C601" s="397" t="s">
        <v>2700</v>
      </c>
      <c r="D601" s="397" t="s">
        <v>2697</v>
      </c>
      <c r="E601" s="384">
        <f t="shared" si="89"/>
        <v>4</v>
      </c>
      <c r="F601" s="398">
        <v>14</v>
      </c>
      <c r="G601" s="388"/>
      <c r="H601" s="384" t="e">
        <f t="shared" si="90"/>
        <v>#VALUE!</v>
      </c>
      <c r="I601" s="386"/>
      <c r="J601" s="389"/>
      <c r="K601" s="389"/>
      <c r="L601" s="388"/>
      <c r="M601" s="397" t="str">
        <f ca="1">IFERROR(IF(COUNTIF($B$517:$B600,"&lt;0")=1,"",OFFSET($C599,-COUNTIF($B$517:$B600,"&lt;0")+3,0)),"")</f>
        <v/>
      </c>
      <c r="N601" s="397" t="str">
        <f ca="1">IFERROR(IF(AND(_xlfn.ISFORMULA(I601),NOT(_xlfn.ISFORMULA(I600))),1,OFFSET($F599,-COUNTIF($B$517:B600,"&lt;0")+3,0)),"")</f>
        <v/>
      </c>
      <c r="O601" s="384">
        <f t="shared" si="91"/>
        <v>82</v>
      </c>
      <c r="P601" s="384"/>
      <c r="Q601" s="384"/>
      <c r="R601" s="384"/>
      <c r="S601" s="384"/>
      <c r="T601" s="388"/>
    </row>
    <row r="602" spans="1:20" x14ac:dyDescent="0.3">
      <c r="A602" s="384" t="b">
        <v>0</v>
      </c>
      <c r="B602" s="384">
        <f t="shared" si="88"/>
        <v>-97</v>
      </c>
      <c r="C602" s="397" t="s">
        <v>2701</v>
      </c>
      <c r="D602" s="397" t="s">
        <v>2697</v>
      </c>
      <c r="E602" s="384">
        <f t="shared" si="89"/>
        <v>5</v>
      </c>
      <c r="F602" s="398">
        <v>14</v>
      </c>
      <c r="G602" s="388"/>
      <c r="H602" s="384" t="e">
        <f t="shared" si="90"/>
        <v>#VALUE!</v>
      </c>
      <c r="I602" s="386"/>
      <c r="J602" s="389"/>
      <c r="K602" s="389"/>
      <c r="L602" s="388"/>
      <c r="M602" s="397" t="str">
        <f ca="1">IFERROR(IF(COUNTIF($B$517:$B601,"&lt;0")=1,"",OFFSET($C600,-COUNTIF($B$517:$B601,"&lt;0")+3,0)),"")</f>
        <v/>
      </c>
      <c r="N602" s="397" t="str">
        <f ca="1">IFERROR(IF(AND(_xlfn.ISFORMULA(I602),NOT(_xlfn.ISFORMULA(I601))),1,OFFSET($F600,-COUNTIF($B$517:B601,"&lt;0")+3,0)),"")</f>
        <v/>
      </c>
      <c r="O602" s="384">
        <f t="shared" si="91"/>
        <v>83</v>
      </c>
      <c r="P602" s="384"/>
      <c r="Q602" s="384"/>
      <c r="R602" s="384"/>
      <c r="S602" s="384"/>
      <c r="T602" s="388"/>
    </row>
    <row r="603" spans="1:20" x14ac:dyDescent="0.3">
      <c r="A603" s="384" t="b">
        <v>0</v>
      </c>
      <c r="B603" s="384">
        <f t="shared" si="88"/>
        <v>-96</v>
      </c>
      <c r="C603" s="397" t="s">
        <v>2702</v>
      </c>
      <c r="D603" s="397" t="s">
        <v>2697</v>
      </c>
      <c r="E603" s="384">
        <f t="shared" si="89"/>
        <v>6</v>
      </c>
      <c r="F603" s="398">
        <v>14</v>
      </c>
      <c r="G603" s="388"/>
      <c r="H603" s="384" t="e">
        <f t="shared" si="90"/>
        <v>#VALUE!</v>
      </c>
      <c r="I603" s="386"/>
      <c r="J603" s="389"/>
      <c r="K603" s="389"/>
      <c r="L603" s="388"/>
      <c r="M603" s="397" t="str">
        <f ca="1">IFERROR(IF(COUNTIF($B$517:$B602,"&lt;0")=1,"",OFFSET($C601,-COUNTIF($B$517:$B602,"&lt;0")+3,0)),"")</f>
        <v/>
      </c>
      <c r="N603" s="397" t="str">
        <f ca="1">IFERROR(IF(AND(_xlfn.ISFORMULA(I603),NOT(_xlfn.ISFORMULA(I602))),1,OFFSET($F601,-COUNTIF($B$517:B602,"&lt;0")+3,0)),"")</f>
        <v/>
      </c>
      <c r="O603" s="384">
        <f t="shared" si="91"/>
        <v>84</v>
      </c>
      <c r="P603" s="384"/>
      <c r="Q603" s="384"/>
      <c r="R603" s="384"/>
      <c r="S603" s="384"/>
      <c r="T603" s="388"/>
    </row>
    <row r="604" spans="1:20" x14ac:dyDescent="0.3">
      <c r="A604" s="384" t="b">
        <v>0</v>
      </c>
      <c r="B604" s="384">
        <f t="shared" si="88"/>
        <v>-95</v>
      </c>
      <c r="C604" s="397" t="s">
        <v>2703</v>
      </c>
      <c r="D604" s="397" t="s">
        <v>2704</v>
      </c>
      <c r="E604" s="384">
        <f t="shared" si="89"/>
        <v>1</v>
      </c>
      <c r="F604" s="398">
        <v>15</v>
      </c>
      <c r="G604" s="388"/>
      <c r="H604" s="384" t="e">
        <f t="shared" si="90"/>
        <v>#VALUE!</v>
      </c>
      <c r="I604" s="386"/>
      <c r="J604" s="389"/>
      <c r="K604" s="389"/>
      <c r="L604" s="388"/>
      <c r="M604" s="397" t="str">
        <f ca="1">IFERROR(IF(COUNTIF($B$517:$B603,"&lt;0")=1,"",OFFSET($C602,-COUNTIF($B$517:$B603,"&lt;0")+3,0)),"")</f>
        <v/>
      </c>
      <c r="N604" s="397" t="str">
        <f ca="1">IFERROR(IF(AND(_xlfn.ISFORMULA(I604),NOT(_xlfn.ISFORMULA(I603))),1,OFFSET($F602,-COUNTIF($B$517:B603,"&lt;0")+3,0)),"")</f>
        <v/>
      </c>
      <c r="O604" s="384">
        <f t="shared" si="91"/>
        <v>85</v>
      </c>
      <c r="P604" s="384"/>
      <c r="Q604" s="384"/>
      <c r="R604" s="384"/>
      <c r="S604" s="384"/>
      <c r="T604" s="388"/>
    </row>
    <row r="605" spans="1:20" x14ac:dyDescent="0.3">
      <c r="A605" s="384" t="b">
        <v>0</v>
      </c>
      <c r="B605" s="384">
        <f t="shared" si="88"/>
        <v>-94</v>
      </c>
      <c r="C605" s="397" t="s">
        <v>2705</v>
      </c>
      <c r="D605" s="397" t="s">
        <v>2704</v>
      </c>
      <c r="E605" s="384">
        <f t="shared" si="89"/>
        <v>2</v>
      </c>
      <c r="F605" s="398">
        <v>15</v>
      </c>
      <c r="G605" s="388"/>
      <c r="H605" s="384" t="e">
        <f t="shared" si="90"/>
        <v>#VALUE!</v>
      </c>
      <c r="I605" s="386"/>
      <c r="J605" s="389"/>
      <c r="K605" s="389"/>
      <c r="L605" s="388"/>
      <c r="M605" s="397" t="str">
        <f ca="1">IFERROR(IF(COUNTIF($B$517:$B604,"&lt;0")=1,"",OFFSET($C603,-COUNTIF($B$517:$B604,"&lt;0")+3,0)),"")</f>
        <v/>
      </c>
      <c r="N605" s="397" t="str">
        <f ca="1">IFERROR(IF(AND(_xlfn.ISFORMULA(I605),NOT(_xlfn.ISFORMULA(I604))),1,OFFSET($F603,-COUNTIF($B$517:B604,"&lt;0")+3,0)),"")</f>
        <v/>
      </c>
      <c r="O605" s="384">
        <f t="shared" si="91"/>
        <v>86</v>
      </c>
      <c r="P605" s="384"/>
      <c r="Q605" s="384"/>
      <c r="R605" s="384"/>
      <c r="S605" s="384"/>
      <c r="T605" s="388"/>
    </row>
    <row r="606" spans="1:20" x14ac:dyDescent="0.3">
      <c r="A606" s="384" t="b">
        <v>0</v>
      </c>
      <c r="B606" s="384">
        <f t="shared" si="88"/>
        <v>-93</v>
      </c>
      <c r="C606" s="397" t="s">
        <v>2706</v>
      </c>
      <c r="D606" s="397" t="s">
        <v>2704</v>
      </c>
      <c r="E606" s="384">
        <f t="shared" si="89"/>
        <v>3</v>
      </c>
      <c r="F606" s="398">
        <v>15</v>
      </c>
      <c r="G606" s="388"/>
      <c r="H606" s="384" t="e">
        <f t="shared" si="90"/>
        <v>#VALUE!</v>
      </c>
      <c r="I606" s="386"/>
      <c r="J606" s="389"/>
      <c r="K606" s="389"/>
      <c r="L606" s="388"/>
      <c r="M606" s="397" t="str">
        <f ca="1">IFERROR(IF(COUNTIF($B$517:$B605,"&lt;0")=1,"",OFFSET($C604,-COUNTIF($B$517:$B605,"&lt;0")+3,0)),"")</f>
        <v/>
      </c>
      <c r="N606" s="397" t="str">
        <f ca="1">IFERROR(IF(AND(_xlfn.ISFORMULA(I606),NOT(_xlfn.ISFORMULA(I605))),1,OFFSET($F604,-COUNTIF($B$517:B605,"&lt;0")+3,0)),"")</f>
        <v/>
      </c>
      <c r="O606" s="384">
        <f t="shared" si="91"/>
        <v>87</v>
      </c>
      <c r="P606" s="384"/>
      <c r="Q606" s="384"/>
      <c r="R606" s="384"/>
      <c r="S606" s="384"/>
      <c r="T606" s="388"/>
    </row>
    <row r="607" spans="1:20" x14ac:dyDescent="0.3">
      <c r="A607" s="384" t="b">
        <v>0</v>
      </c>
      <c r="B607" s="384">
        <f t="shared" si="88"/>
        <v>-92</v>
      </c>
      <c r="C607" s="397" t="s">
        <v>2707</v>
      </c>
      <c r="D607" s="397" t="s">
        <v>2704</v>
      </c>
      <c r="E607" s="384">
        <f t="shared" si="89"/>
        <v>4</v>
      </c>
      <c r="F607" s="398">
        <v>15</v>
      </c>
      <c r="G607" s="388"/>
      <c r="H607" s="384" t="e">
        <f t="shared" si="90"/>
        <v>#VALUE!</v>
      </c>
      <c r="I607" s="386"/>
      <c r="J607" s="389"/>
      <c r="K607" s="389"/>
      <c r="L607" s="388"/>
      <c r="M607" s="397" t="str">
        <f ca="1">IFERROR(IF(COUNTIF($B$517:$B606,"&lt;0")=1,"",OFFSET($C605,-COUNTIF($B$517:$B606,"&lt;0")+3,0)),"")</f>
        <v/>
      </c>
      <c r="N607" s="397" t="str">
        <f ca="1">IFERROR(IF(AND(_xlfn.ISFORMULA(I607),NOT(_xlfn.ISFORMULA(I606))),1,OFFSET($F605,-COUNTIF($B$517:B606,"&lt;0")+3,0)),"")</f>
        <v/>
      </c>
      <c r="O607" s="384">
        <f t="shared" si="91"/>
        <v>88</v>
      </c>
      <c r="P607" s="384"/>
      <c r="Q607" s="384"/>
      <c r="R607" s="384"/>
      <c r="S607" s="384"/>
      <c r="T607" s="388"/>
    </row>
    <row r="608" spans="1:20" x14ac:dyDescent="0.3">
      <c r="A608" s="384" t="b">
        <v>0</v>
      </c>
      <c r="B608" s="384">
        <f t="shared" si="88"/>
        <v>-91</v>
      </c>
      <c r="C608" s="397" t="s">
        <v>2708</v>
      </c>
      <c r="D608" s="397" t="s">
        <v>2704</v>
      </c>
      <c r="E608" s="384">
        <f t="shared" si="89"/>
        <v>5</v>
      </c>
      <c r="F608" s="398">
        <v>15</v>
      </c>
      <c r="G608" s="388"/>
      <c r="H608" s="384" t="e">
        <f t="shared" si="90"/>
        <v>#VALUE!</v>
      </c>
      <c r="I608" s="386"/>
      <c r="J608" s="389"/>
      <c r="K608" s="389"/>
      <c r="L608" s="388"/>
      <c r="M608" s="397" t="str">
        <f ca="1">IFERROR(IF(COUNTIF($B$517:$B607,"&lt;0")=1,"",OFFSET($C606,-COUNTIF($B$517:$B607,"&lt;0")+3,0)),"")</f>
        <v/>
      </c>
      <c r="N608" s="397" t="str">
        <f ca="1">IFERROR(IF(AND(_xlfn.ISFORMULA(I608),NOT(_xlfn.ISFORMULA(I607))),1,OFFSET($F606,-COUNTIF($B$517:B607,"&lt;0")+3,0)),"")</f>
        <v/>
      </c>
      <c r="O608" s="384">
        <f t="shared" si="91"/>
        <v>89</v>
      </c>
      <c r="P608" s="384"/>
      <c r="Q608" s="384"/>
      <c r="R608" s="384"/>
      <c r="S608" s="384"/>
      <c r="T608" s="388"/>
    </row>
    <row r="609" spans="1:20" x14ac:dyDescent="0.3">
      <c r="A609" s="384" t="b">
        <v>0</v>
      </c>
      <c r="B609" s="384">
        <f t="shared" si="88"/>
        <v>-90</v>
      </c>
      <c r="C609" s="397" t="s">
        <v>2709</v>
      </c>
      <c r="D609" s="397" t="s">
        <v>2704</v>
      </c>
      <c r="E609" s="384">
        <f t="shared" si="89"/>
        <v>6</v>
      </c>
      <c r="F609" s="398">
        <v>15</v>
      </c>
      <c r="G609" s="388"/>
      <c r="H609" s="384" t="e">
        <f t="shared" si="90"/>
        <v>#VALUE!</v>
      </c>
      <c r="I609" s="386"/>
      <c r="J609" s="389"/>
      <c r="K609" s="389"/>
      <c r="L609" s="388"/>
      <c r="M609" s="397" t="str">
        <f ca="1">IFERROR(IF(COUNTIF($B$517:$B608,"&lt;0")=1,"",OFFSET($C607,-COUNTIF($B$517:$B608,"&lt;0")+3,0)),"")</f>
        <v/>
      </c>
      <c r="N609" s="397" t="str">
        <f ca="1">IFERROR(IF(AND(_xlfn.ISFORMULA(I609),NOT(_xlfn.ISFORMULA(I608))),1,OFFSET($F607,-COUNTIF($B$517:B608,"&lt;0")+3,0)),"")</f>
        <v/>
      </c>
      <c r="O609" s="384">
        <f t="shared" si="91"/>
        <v>90</v>
      </c>
      <c r="P609" s="384"/>
      <c r="Q609" s="384"/>
      <c r="R609" s="384"/>
      <c r="S609" s="384"/>
      <c r="T609" s="388"/>
    </row>
    <row r="610" spans="1:20" x14ac:dyDescent="0.3">
      <c r="A610" s="384" t="b">
        <v>0</v>
      </c>
      <c r="B610" s="384">
        <f t="shared" si="88"/>
        <v>-89</v>
      </c>
      <c r="C610" s="397" t="s">
        <v>2710</v>
      </c>
      <c r="D610" s="397" t="s">
        <v>2711</v>
      </c>
      <c r="E610" s="384">
        <f t="shared" si="89"/>
        <v>1</v>
      </c>
      <c r="F610" s="398">
        <v>16</v>
      </c>
      <c r="G610" s="388"/>
      <c r="H610" s="384" t="e">
        <f t="shared" si="90"/>
        <v>#VALUE!</v>
      </c>
      <c r="I610" s="386"/>
      <c r="J610" s="389"/>
      <c r="K610" s="389"/>
      <c r="L610" s="388"/>
      <c r="M610" s="397" t="str">
        <f ca="1">IFERROR(IF(COUNTIF($B$517:$B609,"&lt;0")=1,"",OFFSET($C608,-COUNTIF($B$517:$B609,"&lt;0")+3,0)),"")</f>
        <v/>
      </c>
      <c r="N610" s="397" t="str">
        <f ca="1">IFERROR(IF(AND(_xlfn.ISFORMULA(I610),NOT(_xlfn.ISFORMULA(I609))),1,OFFSET($F608,-COUNTIF($B$517:B609,"&lt;0")+3,0)),"")</f>
        <v/>
      </c>
      <c r="O610" s="384">
        <f t="shared" si="91"/>
        <v>91</v>
      </c>
      <c r="P610" s="384"/>
      <c r="Q610" s="384"/>
      <c r="R610" s="384"/>
      <c r="S610" s="384"/>
      <c r="T610" s="388"/>
    </row>
    <row r="611" spans="1:20" x14ac:dyDescent="0.3">
      <c r="A611" s="384" t="b">
        <v>0</v>
      </c>
      <c r="B611" s="384">
        <f t="shared" si="88"/>
        <v>-88</v>
      </c>
      <c r="C611" s="397" t="s">
        <v>2712</v>
      </c>
      <c r="D611" s="397" t="s">
        <v>2711</v>
      </c>
      <c r="E611" s="384">
        <f t="shared" si="89"/>
        <v>2</v>
      </c>
      <c r="F611" s="398">
        <v>16</v>
      </c>
      <c r="G611" s="388"/>
      <c r="H611" s="384" t="e">
        <f t="shared" si="90"/>
        <v>#VALUE!</v>
      </c>
      <c r="I611" s="386"/>
      <c r="J611" s="389"/>
      <c r="K611" s="389"/>
      <c r="L611" s="388"/>
      <c r="M611" s="397" t="str">
        <f ca="1">IFERROR(IF(COUNTIF($B$517:$B610,"&lt;0")=1,"",OFFSET($C609,-COUNTIF($B$517:$B610,"&lt;0")+3,0)),"")</f>
        <v/>
      </c>
      <c r="N611" s="397" t="str">
        <f ca="1">IFERROR(IF(AND(_xlfn.ISFORMULA(I611),NOT(_xlfn.ISFORMULA(I610))),1,OFFSET($F609,-COUNTIF($B$517:B610,"&lt;0")+3,0)),"")</f>
        <v/>
      </c>
      <c r="O611" s="384">
        <f t="shared" si="91"/>
        <v>92</v>
      </c>
      <c r="P611" s="384"/>
      <c r="Q611" s="384"/>
      <c r="R611" s="384"/>
      <c r="S611" s="384"/>
      <c r="T611" s="388"/>
    </row>
    <row r="612" spans="1:20" x14ac:dyDescent="0.3">
      <c r="A612" s="384" t="b">
        <v>0</v>
      </c>
      <c r="B612" s="384">
        <f t="shared" si="88"/>
        <v>-87</v>
      </c>
      <c r="C612" s="397" t="s">
        <v>2713</v>
      </c>
      <c r="D612" s="397" t="s">
        <v>2711</v>
      </c>
      <c r="E612" s="384">
        <f t="shared" si="89"/>
        <v>3</v>
      </c>
      <c r="F612" s="398">
        <v>16</v>
      </c>
      <c r="G612" s="388"/>
      <c r="H612" s="384" t="e">
        <f t="shared" si="90"/>
        <v>#VALUE!</v>
      </c>
      <c r="I612" s="386"/>
      <c r="J612" s="389"/>
      <c r="K612" s="389"/>
      <c r="L612" s="388"/>
      <c r="M612" s="397" t="str">
        <f ca="1">IFERROR(IF(COUNTIF($B$517:$B611,"&lt;0")=1,"",OFFSET($C610,-COUNTIF($B$517:$B611,"&lt;0")+3,0)),"")</f>
        <v/>
      </c>
      <c r="N612" s="397" t="str">
        <f ca="1">IFERROR(IF(AND(_xlfn.ISFORMULA(I612),NOT(_xlfn.ISFORMULA(I611))),1,OFFSET($F610,-COUNTIF($B$517:B611,"&lt;0")+3,0)),"")</f>
        <v/>
      </c>
      <c r="O612" s="384">
        <f t="shared" si="91"/>
        <v>93</v>
      </c>
      <c r="P612" s="384"/>
      <c r="Q612" s="384"/>
      <c r="R612" s="384"/>
      <c r="S612" s="384"/>
      <c r="T612" s="388"/>
    </row>
    <row r="613" spans="1:20" x14ac:dyDescent="0.3">
      <c r="A613" s="384" t="b">
        <v>0</v>
      </c>
      <c r="B613" s="384">
        <f t="shared" si="88"/>
        <v>-86</v>
      </c>
      <c r="C613" s="397" t="s">
        <v>2714</v>
      </c>
      <c r="D613" s="397" t="s">
        <v>2711</v>
      </c>
      <c r="E613" s="384">
        <f t="shared" si="89"/>
        <v>4</v>
      </c>
      <c r="F613" s="398">
        <v>16</v>
      </c>
      <c r="G613" s="388"/>
      <c r="H613" s="384" t="e">
        <f t="shared" si="90"/>
        <v>#VALUE!</v>
      </c>
      <c r="I613" s="386"/>
      <c r="J613" s="389"/>
      <c r="K613" s="389"/>
      <c r="L613" s="388"/>
      <c r="M613" s="397" t="str">
        <f ca="1">IFERROR(IF(COUNTIF($B$517:$B612,"&lt;0")=1,"",OFFSET($C611,-COUNTIF($B$517:$B612,"&lt;0")+3,0)),"")</f>
        <v/>
      </c>
      <c r="N613" s="397" t="str">
        <f ca="1">IFERROR(IF(AND(_xlfn.ISFORMULA(I613),NOT(_xlfn.ISFORMULA(I612))),1,OFFSET($F611,-COUNTIF($B$517:B612,"&lt;0")+3,0)),"")</f>
        <v/>
      </c>
      <c r="O613" s="384">
        <f t="shared" si="91"/>
        <v>94</v>
      </c>
      <c r="P613" s="384"/>
      <c r="Q613" s="384"/>
      <c r="R613" s="384"/>
      <c r="S613" s="384"/>
      <c r="T613" s="388"/>
    </row>
    <row r="614" spans="1:20" x14ac:dyDescent="0.3">
      <c r="A614" s="384" t="b">
        <v>0</v>
      </c>
      <c r="B614" s="384">
        <f t="shared" si="88"/>
        <v>-85</v>
      </c>
      <c r="C614" s="397" t="s">
        <v>2715</v>
      </c>
      <c r="D614" s="397" t="s">
        <v>2711</v>
      </c>
      <c r="E614" s="384">
        <f t="shared" si="89"/>
        <v>5</v>
      </c>
      <c r="F614" s="398">
        <v>16</v>
      </c>
      <c r="G614" s="388"/>
      <c r="H614" s="384" t="e">
        <f t="shared" si="90"/>
        <v>#VALUE!</v>
      </c>
      <c r="I614" s="386"/>
      <c r="J614" s="389"/>
      <c r="K614" s="389"/>
      <c r="L614" s="388"/>
      <c r="M614" s="397" t="str">
        <f ca="1">IFERROR(IF(COUNTIF($B$517:$B613,"&lt;0")=1,"",OFFSET($C612,-COUNTIF($B$517:$B613,"&lt;0")+3,0)),"")</f>
        <v/>
      </c>
      <c r="N614" s="397" t="str">
        <f ca="1">IFERROR(IF(AND(_xlfn.ISFORMULA(I614),NOT(_xlfn.ISFORMULA(I613))),1,OFFSET($F612,-COUNTIF($B$517:B613,"&lt;0")+3,0)),"")</f>
        <v/>
      </c>
      <c r="O614" s="384">
        <f t="shared" si="91"/>
        <v>95</v>
      </c>
      <c r="P614" s="384"/>
      <c r="Q614" s="384"/>
      <c r="R614" s="384"/>
      <c r="S614" s="384"/>
      <c r="T614" s="388"/>
    </row>
    <row r="615" spans="1:20" x14ac:dyDescent="0.3">
      <c r="A615" s="384" t="b">
        <v>0</v>
      </c>
      <c r="B615" s="384">
        <f t="shared" si="88"/>
        <v>-84</v>
      </c>
      <c r="C615" s="397" t="s">
        <v>2716</v>
      </c>
      <c r="D615" s="397" t="s">
        <v>2711</v>
      </c>
      <c r="E615" s="384">
        <f t="shared" si="89"/>
        <v>6</v>
      </c>
      <c r="F615" s="398">
        <v>16</v>
      </c>
      <c r="G615" s="388"/>
      <c r="H615" s="384" t="e">
        <f t="shared" si="90"/>
        <v>#VALUE!</v>
      </c>
      <c r="I615" s="386"/>
      <c r="J615" s="389"/>
      <c r="K615" s="389"/>
      <c r="L615" s="388"/>
      <c r="M615" s="397" t="str">
        <f ca="1">IFERROR(IF(COUNTIF($B$517:$B614,"&lt;0")=1,"",OFFSET($C613,-COUNTIF($B$517:$B614,"&lt;0")+3,0)),"")</f>
        <v/>
      </c>
      <c r="N615" s="397" t="str">
        <f ca="1">IFERROR(IF(AND(_xlfn.ISFORMULA(I615),NOT(_xlfn.ISFORMULA(I614))),1,OFFSET($F613,-COUNTIF($B$517:B614,"&lt;0")+3,0)),"")</f>
        <v/>
      </c>
      <c r="O615" s="384">
        <f t="shared" si="91"/>
        <v>96</v>
      </c>
      <c r="P615" s="384"/>
      <c r="Q615" s="384"/>
      <c r="R615" s="384"/>
      <c r="S615" s="384"/>
      <c r="T615" s="388"/>
    </row>
    <row r="616" spans="1:20" x14ac:dyDescent="0.3">
      <c r="A616" s="384" t="b">
        <v>0</v>
      </c>
      <c r="B616" s="384">
        <f t="shared" si="88"/>
        <v>-83</v>
      </c>
      <c r="C616" s="397" t="s">
        <v>2717</v>
      </c>
      <c r="D616" s="397" t="s">
        <v>2718</v>
      </c>
      <c r="E616" s="384">
        <f t="shared" si="89"/>
        <v>1</v>
      </c>
      <c r="F616" s="398">
        <v>17</v>
      </c>
      <c r="G616" s="388"/>
      <c r="H616" s="384" t="e">
        <f t="shared" si="90"/>
        <v>#VALUE!</v>
      </c>
      <c r="I616" s="386"/>
      <c r="J616" s="389"/>
      <c r="K616" s="389"/>
      <c r="L616" s="388"/>
      <c r="M616" s="397" t="str">
        <f ca="1">IFERROR(IF(COUNTIF($B$517:$B615,"&lt;0")=1,"",OFFSET($C614,-COUNTIF($B$517:$B615,"&lt;0")+3,0)),"")</f>
        <v/>
      </c>
      <c r="N616" s="397" t="str">
        <f ca="1">IFERROR(IF(AND(_xlfn.ISFORMULA(I616),NOT(_xlfn.ISFORMULA(I615))),1,OFFSET($F614,-COUNTIF($B$517:B615,"&lt;0")+3,0)),"")</f>
        <v/>
      </c>
      <c r="O616" s="384">
        <f t="shared" si="91"/>
        <v>97</v>
      </c>
      <c r="P616" s="384"/>
      <c r="Q616" s="384"/>
      <c r="R616" s="384"/>
      <c r="S616" s="384"/>
      <c r="T616" s="388"/>
    </row>
    <row r="617" spans="1:20" x14ac:dyDescent="0.3">
      <c r="A617" s="384" t="b">
        <v>0</v>
      </c>
      <c r="B617" s="384">
        <f t="shared" si="88"/>
        <v>-82</v>
      </c>
      <c r="C617" s="397" t="s">
        <v>2719</v>
      </c>
      <c r="D617" s="397" t="s">
        <v>2718</v>
      </c>
      <c r="E617" s="384">
        <f t="shared" si="89"/>
        <v>2</v>
      </c>
      <c r="F617" s="398">
        <v>17</v>
      </c>
      <c r="G617" s="388"/>
      <c r="H617" s="384" t="e">
        <f t="shared" si="90"/>
        <v>#VALUE!</v>
      </c>
      <c r="I617" s="386"/>
      <c r="J617" s="389"/>
      <c r="K617" s="389"/>
      <c r="L617" s="388"/>
      <c r="M617" s="397" t="str">
        <f ca="1">IFERROR(IF(COUNTIF($B$517:$B616,"&lt;0")=1,"",OFFSET($C615,-COUNTIF($B$517:$B616,"&lt;0")+3,0)),"")</f>
        <v/>
      </c>
      <c r="N617" s="397" t="str">
        <f ca="1">IFERROR(IF(AND(_xlfn.ISFORMULA(I617),NOT(_xlfn.ISFORMULA(I616))),1,OFFSET($F615,-COUNTIF($B$517:B616,"&lt;0")+3,0)),"")</f>
        <v/>
      </c>
      <c r="O617" s="384">
        <f t="shared" si="91"/>
        <v>98</v>
      </c>
      <c r="P617" s="384"/>
      <c r="Q617" s="384"/>
      <c r="R617" s="384"/>
      <c r="S617" s="384"/>
      <c r="T617" s="388"/>
    </row>
    <row r="618" spans="1:20" x14ac:dyDescent="0.3">
      <c r="A618" s="384" t="b">
        <v>0</v>
      </c>
      <c r="B618" s="384">
        <f t="shared" si="88"/>
        <v>-81</v>
      </c>
      <c r="C618" s="397" t="s">
        <v>2720</v>
      </c>
      <c r="D618" s="397" t="s">
        <v>2718</v>
      </c>
      <c r="E618" s="384">
        <f t="shared" si="89"/>
        <v>3</v>
      </c>
      <c r="F618" s="398">
        <v>17</v>
      </c>
      <c r="G618" s="388"/>
      <c r="H618" s="384" t="e">
        <f t="shared" si="90"/>
        <v>#VALUE!</v>
      </c>
      <c r="I618" s="386"/>
      <c r="J618" s="389"/>
      <c r="K618" s="389"/>
      <c r="L618" s="388"/>
      <c r="M618" s="397" t="str">
        <f ca="1">IFERROR(IF(COUNTIF($B$517:$B617,"&lt;0")=1,"",OFFSET($C616,-COUNTIF($B$517:$B617,"&lt;0")+3,0)),"")</f>
        <v/>
      </c>
      <c r="N618" s="397" t="str">
        <f ca="1">IFERROR(IF(AND(_xlfn.ISFORMULA(I618),NOT(_xlfn.ISFORMULA(I617))),1,OFFSET($F616,-COUNTIF($B$517:B617,"&lt;0")+3,0)),"")</f>
        <v/>
      </c>
      <c r="O618" s="384">
        <f t="shared" si="91"/>
        <v>99</v>
      </c>
      <c r="P618" s="384"/>
      <c r="Q618" s="384"/>
      <c r="R618" s="384"/>
      <c r="S618" s="384"/>
      <c r="T618" s="388"/>
    </row>
    <row r="619" spans="1:20" x14ac:dyDescent="0.3">
      <c r="A619" s="384" t="b">
        <v>0</v>
      </c>
      <c r="B619" s="384">
        <f t="shared" si="88"/>
        <v>-80</v>
      </c>
      <c r="C619" s="397" t="s">
        <v>2721</v>
      </c>
      <c r="D619" s="397" t="s">
        <v>2718</v>
      </c>
      <c r="E619" s="384">
        <f t="shared" si="89"/>
        <v>4</v>
      </c>
      <c r="F619" s="398">
        <v>17</v>
      </c>
      <c r="G619" s="388"/>
      <c r="H619" s="384" t="e">
        <f t="shared" si="90"/>
        <v>#VALUE!</v>
      </c>
      <c r="I619" s="386"/>
      <c r="J619" s="389"/>
      <c r="K619" s="389"/>
      <c r="L619" s="388"/>
      <c r="M619" s="397" t="str">
        <f ca="1">IFERROR(IF(COUNTIF($B$517:$B618,"&lt;0")=1,"",OFFSET($C617,-COUNTIF($B$517:$B618,"&lt;0")+3,0)),"")</f>
        <v/>
      </c>
      <c r="N619" s="397" t="str">
        <f ca="1">IFERROR(IF(AND(_xlfn.ISFORMULA(I619),NOT(_xlfn.ISFORMULA(I618))),1,OFFSET($F617,-COUNTIF($B$517:B618,"&lt;0")+3,0)),"")</f>
        <v/>
      </c>
      <c r="O619" s="384">
        <f t="shared" si="91"/>
        <v>100</v>
      </c>
      <c r="P619" s="384"/>
      <c r="Q619" s="384"/>
      <c r="R619" s="384"/>
      <c r="S619" s="384"/>
      <c r="T619" s="388"/>
    </row>
    <row r="620" spans="1:20" x14ac:dyDescent="0.3">
      <c r="A620" s="384" t="b">
        <v>0</v>
      </c>
      <c r="B620" s="384">
        <f t="shared" si="88"/>
        <v>-79</v>
      </c>
      <c r="C620" s="397" t="s">
        <v>2722</v>
      </c>
      <c r="D620" s="397" t="s">
        <v>2718</v>
      </c>
      <c r="E620" s="384">
        <f t="shared" si="89"/>
        <v>5</v>
      </c>
      <c r="F620" s="398">
        <v>17</v>
      </c>
      <c r="G620" s="388"/>
      <c r="H620" s="384" t="e">
        <f t="shared" si="90"/>
        <v>#VALUE!</v>
      </c>
      <c r="I620" s="386"/>
      <c r="J620" s="389"/>
      <c r="K620" s="389"/>
      <c r="L620" s="388"/>
      <c r="M620" s="397" t="str">
        <f ca="1">IFERROR(IF(COUNTIF($B$517:$B619,"&lt;0")=1,"",OFFSET($C618,-COUNTIF($B$517:$B619,"&lt;0")+3,0)),"")</f>
        <v/>
      </c>
      <c r="N620" s="397" t="str">
        <f ca="1">IFERROR(IF(AND(_xlfn.ISFORMULA(I620),NOT(_xlfn.ISFORMULA(I619))),1,OFFSET($F618,-COUNTIF($B$517:B619,"&lt;0")+3,0)),"")</f>
        <v/>
      </c>
      <c r="O620" s="384">
        <f t="shared" si="91"/>
        <v>101</v>
      </c>
      <c r="P620" s="384"/>
      <c r="Q620" s="384"/>
      <c r="R620" s="384"/>
      <c r="S620" s="384"/>
      <c r="T620" s="388"/>
    </row>
    <row r="621" spans="1:20" x14ac:dyDescent="0.3">
      <c r="A621" s="384" t="b">
        <v>0</v>
      </c>
      <c r="B621" s="384">
        <f t="shared" si="88"/>
        <v>-78</v>
      </c>
      <c r="C621" s="397" t="s">
        <v>2723</v>
      </c>
      <c r="D621" s="397" t="s">
        <v>2718</v>
      </c>
      <c r="E621" s="384">
        <f t="shared" si="89"/>
        <v>6</v>
      </c>
      <c r="F621" s="398">
        <v>17</v>
      </c>
      <c r="G621" s="388"/>
      <c r="H621" s="384" t="e">
        <f t="shared" si="90"/>
        <v>#VALUE!</v>
      </c>
      <c r="I621" s="386"/>
      <c r="J621" s="389"/>
      <c r="K621" s="389"/>
      <c r="L621" s="388"/>
      <c r="M621" s="397" t="str">
        <f ca="1">IFERROR(IF(COUNTIF($B$517:$B620,"&lt;0")=1,"",OFFSET($C619,-COUNTIF($B$517:$B620,"&lt;0")+3,0)),"")</f>
        <v/>
      </c>
      <c r="N621" s="397" t="str">
        <f ca="1">IFERROR(IF(AND(_xlfn.ISFORMULA(I621),NOT(_xlfn.ISFORMULA(I620))),1,OFFSET($F619,-COUNTIF($B$517:B620,"&lt;0")+3,0)),"")</f>
        <v/>
      </c>
      <c r="O621" s="384">
        <f t="shared" si="91"/>
        <v>102</v>
      </c>
      <c r="P621" s="384"/>
      <c r="Q621" s="384"/>
      <c r="R621" s="384"/>
      <c r="S621" s="384"/>
      <c r="T621" s="388"/>
    </row>
    <row r="622" spans="1:20" x14ac:dyDescent="0.3">
      <c r="A622" s="384" t="b">
        <v>0</v>
      </c>
      <c r="B622" s="384">
        <f t="shared" si="88"/>
        <v>-77</v>
      </c>
      <c r="C622" s="397" t="s">
        <v>2724</v>
      </c>
      <c r="D622" s="397" t="s">
        <v>2725</v>
      </c>
      <c r="E622" s="384">
        <f t="shared" si="89"/>
        <v>1</v>
      </c>
      <c r="F622" s="398">
        <v>18</v>
      </c>
      <c r="G622" s="388"/>
      <c r="H622" s="384" t="e">
        <f t="shared" si="90"/>
        <v>#VALUE!</v>
      </c>
      <c r="I622" s="386"/>
      <c r="J622" s="389"/>
      <c r="K622" s="389"/>
      <c r="L622" s="388"/>
      <c r="M622" s="397" t="str">
        <f ca="1">IFERROR(IF(COUNTIF($B$517:$B621,"&lt;0")=1,"",OFFSET($C620,-COUNTIF($B$517:$B621,"&lt;0")+3,0)),"")</f>
        <v/>
      </c>
      <c r="N622" s="397" t="str">
        <f ca="1">IFERROR(IF(AND(_xlfn.ISFORMULA(I622),NOT(_xlfn.ISFORMULA(I621))),1,OFFSET($F620,-COUNTIF($B$517:B621,"&lt;0")+3,0)),"")</f>
        <v/>
      </c>
      <c r="O622" s="384">
        <f t="shared" si="91"/>
        <v>103</v>
      </c>
      <c r="P622" s="384"/>
      <c r="Q622" s="384"/>
      <c r="R622" s="384"/>
      <c r="S622" s="384"/>
      <c r="T622" s="388"/>
    </row>
    <row r="623" spans="1:20" x14ac:dyDescent="0.3">
      <c r="A623" s="384" t="b">
        <v>0</v>
      </c>
      <c r="B623" s="384">
        <f t="shared" si="88"/>
        <v>-76</v>
      </c>
      <c r="C623" s="397" t="s">
        <v>2726</v>
      </c>
      <c r="D623" s="397" t="s">
        <v>2725</v>
      </c>
      <c r="E623" s="384">
        <f t="shared" si="89"/>
        <v>2</v>
      </c>
      <c r="F623" s="398">
        <v>18</v>
      </c>
      <c r="G623" s="388"/>
      <c r="H623" s="384" t="e">
        <f t="shared" si="90"/>
        <v>#VALUE!</v>
      </c>
      <c r="I623" s="386"/>
      <c r="J623" s="389"/>
      <c r="K623" s="389"/>
      <c r="L623" s="388"/>
      <c r="M623" s="397" t="str">
        <f ca="1">IFERROR(IF(COUNTIF($B$517:$B622,"&lt;0")=1,"",OFFSET($C621,-COUNTIF($B$517:$B622,"&lt;0")+3,0)),"")</f>
        <v/>
      </c>
      <c r="N623" s="397" t="str">
        <f ca="1">IFERROR(IF(AND(_xlfn.ISFORMULA(I623),NOT(_xlfn.ISFORMULA(I622))),1,OFFSET($F621,-COUNTIF($B$517:B622,"&lt;0")+3,0)),"")</f>
        <v/>
      </c>
      <c r="O623" s="384">
        <f t="shared" si="91"/>
        <v>104</v>
      </c>
      <c r="P623" s="384"/>
      <c r="Q623" s="384"/>
      <c r="R623" s="384"/>
      <c r="S623" s="384"/>
      <c r="T623" s="388"/>
    </row>
    <row r="624" spans="1:20" x14ac:dyDescent="0.3">
      <c r="A624" s="384" t="b">
        <v>0</v>
      </c>
      <c r="B624" s="384">
        <f t="shared" si="88"/>
        <v>-75</v>
      </c>
      <c r="C624" s="397" t="s">
        <v>2727</v>
      </c>
      <c r="D624" s="397" t="s">
        <v>2725</v>
      </c>
      <c r="E624" s="384">
        <f t="shared" si="89"/>
        <v>3</v>
      </c>
      <c r="F624" s="398">
        <v>18</v>
      </c>
      <c r="G624" s="388"/>
      <c r="H624" s="384" t="e">
        <f t="shared" si="90"/>
        <v>#VALUE!</v>
      </c>
      <c r="I624" s="386"/>
      <c r="J624" s="389"/>
      <c r="K624" s="389"/>
      <c r="L624" s="388"/>
      <c r="M624" s="397" t="str">
        <f ca="1">IFERROR(IF(COUNTIF($B$517:$B623,"&lt;0")=1,"",OFFSET($C622,-COUNTIF($B$517:$B623,"&lt;0")+3,0)),"")</f>
        <v/>
      </c>
      <c r="N624" s="397" t="str">
        <f ca="1">IFERROR(IF(AND(_xlfn.ISFORMULA(I624),NOT(_xlfn.ISFORMULA(I623))),1,OFFSET($F622,-COUNTIF($B$517:B623,"&lt;0")+3,0)),"")</f>
        <v/>
      </c>
      <c r="O624" s="384">
        <f t="shared" si="91"/>
        <v>105</v>
      </c>
      <c r="P624" s="384"/>
      <c r="Q624" s="384"/>
      <c r="R624" s="384"/>
      <c r="S624" s="384"/>
      <c r="T624" s="388"/>
    </row>
    <row r="625" spans="1:20" x14ac:dyDescent="0.3">
      <c r="A625" s="384" t="b">
        <v>0</v>
      </c>
      <c r="B625" s="384">
        <f t="shared" si="88"/>
        <v>-74</v>
      </c>
      <c r="C625" s="397" t="s">
        <v>2728</v>
      </c>
      <c r="D625" s="397" t="s">
        <v>2725</v>
      </c>
      <c r="E625" s="384">
        <f t="shared" si="89"/>
        <v>4</v>
      </c>
      <c r="F625" s="398">
        <v>18</v>
      </c>
      <c r="G625" s="388"/>
      <c r="H625" s="384" t="e">
        <f t="shared" si="90"/>
        <v>#VALUE!</v>
      </c>
      <c r="I625" s="386"/>
      <c r="J625" s="389"/>
      <c r="K625" s="389"/>
      <c r="L625" s="388"/>
      <c r="M625" s="397" t="str">
        <f ca="1">IFERROR(IF(COUNTIF($B$517:$B624,"&lt;0")=1,"",OFFSET($C623,-COUNTIF($B$517:$B624,"&lt;0")+3,0)),"")</f>
        <v/>
      </c>
      <c r="N625" s="397" t="str">
        <f ca="1">IFERROR(IF(AND(_xlfn.ISFORMULA(I625),NOT(_xlfn.ISFORMULA(I624))),1,OFFSET($F623,-COUNTIF($B$517:B624,"&lt;0")+3,0)),"")</f>
        <v/>
      </c>
      <c r="O625" s="384">
        <f t="shared" si="91"/>
        <v>106</v>
      </c>
      <c r="P625" s="384"/>
      <c r="Q625" s="384"/>
      <c r="R625" s="384"/>
      <c r="S625" s="384"/>
      <c r="T625" s="388"/>
    </row>
    <row r="626" spans="1:20" x14ac:dyDescent="0.3">
      <c r="A626" s="384" t="b">
        <v>0</v>
      </c>
      <c r="B626" s="384">
        <f t="shared" si="88"/>
        <v>-73</v>
      </c>
      <c r="C626" s="397" t="s">
        <v>2729</v>
      </c>
      <c r="D626" s="397" t="s">
        <v>2725</v>
      </c>
      <c r="E626" s="384">
        <f t="shared" si="89"/>
        <v>5</v>
      </c>
      <c r="F626" s="398">
        <v>18</v>
      </c>
      <c r="G626" s="388"/>
      <c r="H626" s="384" t="e">
        <f t="shared" si="90"/>
        <v>#VALUE!</v>
      </c>
      <c r="I626" s="386"/>
      <c r="J626" s="389"/>
      <c r="K626" s="389"/>
      <c r="L626" s="388"/>
      <c r="M626" s="397" t="str">
        <f ca="1">IFERROR(IF(COUNTIF($B$517:$B625,"&lt;0")=1,"",OFFSET($C624,-COUNTIF($B$517:$B625,"&lt;0")+3,0)),"")</f>
        <v/>
      </c>
      <c r="N626" s="397" t="str">
        <f ca="1">IFERROR(IF(AND(_xlfn.ISFORMULA(I626),NOT(_xlfn.ISFORMULA(I625))),1,OFFSET($F624,-COUNTIF($B$517:B625,"&lt;0")+3,0)),"")</f>
        <v/>
      </c>
      <c r="O626" s="384">
        <f t="shared" si="91"/>
        <v>107</v>
      </c>
      <c r="P626" s="384"/>
      <c r="Q626" s="384"/>
      <c r="R626" s="384"/>
      <c r="S626" s="384"/>
      <c r="T626" s="388"/>
    </row>
    <row r="627" spans="1:20" x14ac:dyDescent="0.3">
      <c r="A627" s="384" t="b">
        <v>0</v>
      </c>
      <c r="B627" s="384">
        <f t="shared" si="88"/>
        <v>-72</v>
      </c>
      <c r="C627" s="397" t="s">
        <v>2730</v>
      </c>
      <c r="D627" s="397" t="s">
        <v>2725</v>
      </c>
      <c r="E627" s="384">
        <f t="shared" si="89"/>
        <v>6</v>
      </c>
      <c r="F627" s="398">
        <v>18</v>
      </c>
      <c r="G627" s="388"/>
      <c r="H627" s="384" t="e">
        <f t="shared" si="90"/>
        <v>#VALUE!</v>
      </c>
      <c r="I627" s="386"/>
      <c r="J627" s="389"/>
      <c r="K627" s="389"/>
      <c r="L627" s="388"/>
      <c r="M627" s="397" t="str">
        <f ca="1">IFERROR(IF(COUNTIF($B$517:$B626,"&lt;0")=1,"",OFFSET($C625,-COUNTIF($B$517:$B626,"&lt;0")+3,0)),"")</f>
        <v/>
      </c>
      <c r="N627" s="397" t="str">
        <f ca="1">IFERROR(IF(AND(_xlfn.ISFORMULA(I627),NOT(_xlfn.ISFORMULA(I626))),1,OFFSET($F625,-COUNTIF($B$517:B626,"&lt;0")+3,0)),"")</f>
        <v/>
      </c>
      <c r="O627" s="384">
        <f t="shared" si="91"/>
        <v>108</v>
      </c>
      <c r="P627" s="384"/>
      <c r="Q627" s="384"/>
      <c r="R627" s="384"/>
      <c r="S627" s="384"/>
      <c r="T627" s="388"/>
    </row>
    <row r="628" spans="1:20" x14ac:dyDescent="0.3">
      <c r="A628" s="384" t="b">
        <v>0</v>
      </c>
      <c r="B628" s="384">
        <f t="shared" si="88"/>
        <v>-71</v>
      </c>
      <c r="C628" s="397" t="s">
        <v>2731</v>
      </c>
      <c r="D628" s="397" t="s">
        <v>2732</v>
      </c>
      <c r="E628" s="384">
        <f t="shared" si="89"/>
        <v>1</v>
      </c>
      <c r="F628" s="398">
        <v>19</v>
      </c>
      <c r="G628" s="388"/>
      <c r="H628" s="384" t="e">
        <f t="shared" si="90"/>
        <v>#VALUE!</v>
      </c>
      <c r="I628" s="386"/>
      <c r="J628" s="389"/>
      <c r="K628" s="389"/>
      <c r="L628" s="388"/>
      <c r="M628" s="397" t="str">
        <f ca="1">IFERROR(IF(COUNTIF($B$517:$B627,"&lt;0")=1,"",OFFSET($C626,-COUNTIF($B$517:$B627,"&lt;0")+3,0)),"")</f>
        <v/>
      </c>
      <c r="N628" s="397" t="str">
        <f ca="1">IFERROR(IF(AND(_xlfn.ISFORMULA(I628),NOT(_xlfn.ISFORMULA(I627))),1,OFFSET($F626,-COUNTIF($B$517:B627,"&lt;0")+3,0)),"")</f>
        <v/>
      </c>
      <c r="O628" s="384">
        <f t="shared" si="91"/>
        <v>109</v>
      </c>
      <c r="P628" s="384"/>
      <c r="Q628" s="384"/>
      <c r="R628" s="384"/>
      <c r="S628" s="384"/>
      <c r="T628" s="388"/>
    </row>
    <row r="629" spans="1:20" x14ac:dyDescent="0.3">
      <c r="A629" s="384" t="b">
        <v>0</v>
      </c>
      <c r="B629" s="384">
        <f t="shared" si="88"/>
        <v>-70</v>
      </c>
      <c r="C629" s="397" t="s">
        <v>2733</v>
      </c>
      <c r="D629" s="397" t="s">
        <v>2732</v>
      </c>
      <c r="E629" s="384">
        <f t="shared" si="89"/>
        <v>2</v>
      </c>
      <c r="F629" s="398">
        <v>19</v>
      </c>
      <c r="G629" s="388"/>
      <c r="H629" s="384" t="e">
        <f t="shared" si="90"/>
        <v>#VALUE!</v>
      </c>
      <c r="I629" s="386"/>
      <c r="J629" s="389"/>
      <c r="K629" s="389"/>
      <c r="L629" s="388"/>
      <c r="M629" s="397" t="str">
        <f ca="1">IFERROR(IF(COUNTIF($B$517:$B628,"&lt;0")=1,"",OFFSET($C627,-COUNTIF($B$517:$B628,"&lt;0")+3,0)),"")</f>
        <v/>
      </c>
      <c r="N629" s="397" t="str">
        <f ca="1">IFERROR(IF(AND(_xlfn.ISFORMULA(I629),NOT(_xlfn.ISFORMULA(I628))),1,OFFSET($F627,-COUNTIF($B$517:B628,"&lt;0")+3,0)),"")</f>
        <v/>
      </c>
      <c r="O629" s="384">
        <f t="shared" si="91"/>
        <v>110</v>
      </c>
      <c r="P629" s="384"/>
      <c r="Q629" s="384"/>
      <c r="R629" s="384"/>
      <c r="S629" s="384"/>
      <c r="T629" s="388"/>
    </row>
    <row r="630" spans="1:20" x14ac:dyDescent="0.3">
      <c r="A630" s="384" t="b">
        <v>0</v>
      </c>
      <c r="B630" s="384">
        <f t="shared" si="88"/>
        <v>-69</v>
      </c>
      <c r="C630" s="397" t="s">
        <v>2734</v>
      </c>
      <c r="D630" s="397" t="s">
        <v>2732</v>
      </c>
      <c r="E630" s="384">
        <f t="shared" si="89"/>
        <v>3</v>
      </c>
      <c r="F630" s="398">
        <v>19</v>
      </c>
      <c r="G630" s="388"/>
      <c r="H630" s="384" t="e">
        <f t="shared" si="90"/>
        <v>#VALUE!</v>
      </c>
      <c r="I630" s="386"/>
      <c r="J630" s="389"/>
      <c r="K630" s="389"/>
      <c r="L630" s="388"/>
      <c r="M630" s="397" t="str">
        <f ca="1">IFERROR(IF(COUNTIF($B$517:$B629,"&lt;0")=1,"",OFFSET($C628,-COUNTIF($B$517:$B629,"&lt;0")+3,0)),"")</f>
        <v/>
      </c>
      <c r="N630" s="397" t="str">
        <f ca="1">IFERROR(IF(AND(_xlfn.ISFORMULA(I630),NOT(_xlfn.ISFORMULA(I629))),1,OFFSET($F628,-COUNTIF($B$517:B629,"&lt;0")+3,0)),"")</f>
        <v/>
      </c>
      <c r="O630" s="384">
        <f t="shared" si="91"/>
        <v>111</v>
      </c>
      <c r="P630" s="384"/>
      <c r="Q630" s="384"/>
      <c r="R630" s="384"/>
      <c r="S630" s="384"/>
      <c r="T630" s="388"/>
    </row>
    <row r="631" spans="1:20" x14ac:dyDescent="0.3">
      <c r="A631" s="384" t="b">
        <v>0</v>
      </c>
      <c r="B631" s="384">
        <f t="shared" si="88"/>
        <v>-68</v>
      </c>
      <c r="C631" s="397" t="s">
        <v>2735</v>
      </c>
      <c r="D631" s="397" t="s">
        <v>2732</v>
      </c>
      <c r="E631" s="384">
        <f t="shared" si="89"/>
        <v>4</v>
      </c>
      <c r="F631" s="398">
        <v>19</v>
      </c>
      <c r="G631" s="388"/>
      <c r="H631" s="384" t="e">
        <f t="shared" si="90"/>
        <v>#VALUE!</v>
      </c>
      <c r="I631" s="386"/>
      <c r="J631" s="389"/>
      <c r="K631" s="389"/>
      <c r="L631" s="388"/>
      <c r="M631" s="397" t="str">
        <f ca="1">IFERROR(IF(COUNTIF($B$517:$B630,"&lt;0")=1,"",OFFSET($C629,-COUNTIF($B$517:$B630,"&lt;0")+3,0)),"")</f>
        <v/>
      </c>
      <c r="N631" s="397" t="str">
        <f ca="1">IFERROR(IF(AND(_xlfn.ISFORMULA(I631),NOT(_xlfn.ISFORMULA(I630))),1,OFFSET($F629,-COUNTIF($B$517:B630,"&lt;0")+3,0)),"")</f>
        <v/>
      </c>
      <c r="O631" s="384">
        <f t="shared" si="91"/>
        <v>112</v>
      </c>
      <c r="P631" s="384"/>
      <c r="Q631" s="384"/>
      <c r="R631" s="384"/>
      <c r="S631" s="384"/>
      <c r="T631" s="388"/>
    </row>
    <row r="632" spans="1:20" x14ac:dyDescent="0.3">
      <c r="A632" s="384" t="b">
        <v>0</v>
      </c>
      <c r="B632" s="384">
        <f t="shared" si="88"/>
        <v>-67</v>
      </c>
      <c r="C632" s="397" t="s">
        <v>2736</v>
      </c>
      <c r="D632" s="397" t="s">
        <v>2732</v>
      </c>
      <c r="E632" s="384">
        <f t="shared" si="89"/>
        <v>5</v>
      </c>
      <c r="F632" s="398">
        <v>19</v>
      </c>
      <c r="G632" s="388"/>
      <c r="H632" s="384" t="e">
        <f t="shared" si="90"/>
        <v>#VALUE!</v>
      </c>
      <c r="I632" s="386"/>
      <c r="J632" s="389"/>
      <c r="K632" s="389"/>
      <c r="L632" s="388"/>
      <c r="M632" s="397" t="str">
        <f ca="1">IFERROR(IF(COUNTIF($B$517:$B631,"&lt;0")=1,"",OFFSET($C630,-COUNTIF($B$517:$B631,"&lt;0")+3,0)),"")</f>
        <v/>
      </c>
      <c r="N632" s="397" t="str">
        <f ca="1">IFERROR(IF(AND(_xlfn.ISFORMULA(I632),NOT(_xlfn.ISFORMULA(I631))),1,OFFSET($F630,-COUNTIF($B$517:B631,"&lt;0")+3,0)),"")</f>
        <v/>
      </c>
      <c r="O632" s="384">
        <f t="shared" si="91"/>
        <v>113</v>
      </c>
      <c r="P632" s="384"/>
      <c r="Q632" s="384"/>
      <c r="R632" s="384"/>
      <c r="S632" s="384"/>
      <c r="T632" s="388"/>
    </row>
    <row r="633" spans="1:20" x14ac:dyDescent="0.3">
      <c r="A633" s="384" t="b">
        <v>0</v>
      </c>
      <c r="B633" s="384">
        <f t="shared" si="88"/>
        <v>-66</v>
      </c>
      <c r="C633" s="397" t="s">
        <v>2737</v>
      </c>
      <c r="D633" s="397" t="s">
        <v>2732</v>
      </c>
      <c r="E633" s="384">
        <f t="shared" si="89"/>
        <v>6</v>
      </c>
      <c r="F633" s="398">
        <v>19</v>
      </c>
      <c r="G633" s="388"/>
      <c r="H633" s="384" t="e">
        <f t="shared" si="90"/>
        <v>#VALUE!</v>
      </c>
      <c r="I633" s="386"/>
      <c r="J633" s="389"/>
      <c r="K633" s="389"/>
      <c r="L633" s="388"/>
      <c r="M633" s="397" t="str">
        <f ca="1">IFERROR(IF(COUNTIF($B$517:$B632,"&lt;0")=1,"",OFFSET($C631,-COUNTIF($B$517:$B632,"&lt;0")+3,0)),"")</f>
        <v/>
      </c>
      <c r="N633" s="397" t="str">
        <f ca="1">IFERROR(IF(AND(_xlfn.ISFORMULA(I633),NOT(_xlfn.ISFORMULA(I632))),1,OFFSET($F631,-COUNTIF($B$517:B632,"&lt;0")+3,0)),"")</f>
        <v/>
      </c>
      <c r="O633" s="384">
        <f t="shared" si="91"/>
        <v>114</v>
      </c>
      <c r="P633" s="384"/>
      <c r="Q633" s="384"/>
      <c r="R633" s="384"/>
      <c r="S633" s="384"/>
      <c r="T633" s="388"/>
    </row>
    <row r="634" spans="1:20" x14ac:dyDescent="0.3">
      <c r="A634" s="384" t="b">
        <v>0</v>
      </c>
      <c r="B634" s="384">
        <f t="shared" si="88"/>
        <v>-65</v>
      </c>
      <c r="C634" s="397" t="s">
        <v>2738</v>
      </c>
      <c r="D634" s="397" t="s">
        <v>2739</v>
      </c>
      <c r="E634" s="384">
        <f t="shared" si="89"/>
        <v>1</v>
      </c>
      <c r="F634" s="398">
        <v>20</v>
      </c>
      <c r="G634" s="388"/>
      <c r="H634" s="384" t="e">
        <f t="shared" si="90"/>
        <v>#VALUE!</v>
      </c>
      <c r="I634" s="386"/>
      <c r="J634" s="389"/>
      <c r="K634" s="389"/>
      <c r="L634" s="388"/>
      <c r="M634" s="397" t="str">
        <f ca="1">IFERROR(IF(COUNTIF($B$517:$B633,"&lt;0")=1,"",OFFSET($C632,-COUNTIF($B$517:$B633,"&lt;0")+3,0)),"")</f>
        <v/>
      </c>
      <c r="N634" s="397" t="str">
        <f ca="1">IFERROR(IF(AND(_xlfn.ISFORMULA(I634),NOT(_xlfn.ISFORMULA(I633))),1,OFFSET($F632,-COUNTIF($B$517:B633,"&lt;0")+3,0)),"")</f>
        <v/>
      </c>
      <c r="O634" s="384">
        <f t="shared" si="91"/>
        <v>115</v>
      </c>
      <c r="P634" s="384"/>
      <c r="Q634" s="384"/>
      <c r="R634" s="384"/>
      <c r="S634" s="384"/>
      <c r="T634" s="388"/>
    </row>
    <row r="635" spans="1:20" x14ac:dyDescent="0.3">
      <c r="A635" s="384" t="b">
        <v>0</v>
      </c>
      <c r="B635" s="384">
        <f t="shared" si="88"/>
        <v>-64</v>
      </c>
      <c r="C635" s="397" t="s">
        <v>2740</v>
      </c>
      <c r="D635" s="397" t="s">
        <v>2739</v>
      </c>
      <c r="E635" s="384">
        <f t="shared" si="89"/>
        <v>2</v>
      </c>
      <c r="F635" s="398">
        <v>20</v>
      </c>
      <c r="G635" s="388"/>
      <c r="H635" s="384" t="e">
        <f t="shared" si="90"/>
        <v>#VALUE!</v>
      </c>
      <c r="I635" s="386"/>
      <c r="J635" s="389"/>
      <c r="K635" s="389"/>
      <c r="L635" s="388"/>
      <c r="M635" s="397" t="str">
        <f ca="1">IFERROR(IF(COUNTIF($B$517:$B634,"&lt;0")=1,"",OFFSET($C633,-COUNTIF($B$517:$B634,"&lt;0")+3,0)),"")</f>
        <v/>
      </c>
      <c r="N635" s="397" t="str">
        <f ca="1">IFERROR(IF(AND(_xlfn.ISFORMULA(I635),NOT(_xlfn.ISFORMULA(I634))),1,OFFSET($F633,-COUNTIF($B$517:B634,"&lt;0")+3,0)),"")</f>
        <v/>
      </c>
      <c r="O635" s="384">
        <f t="shared" si="91"/>
        <v>116</v>
      </c>
      <c r="P635" s="384"/>
      <c r="Q635" s="384"/>
      <c r="R635" s="384"/>
      <c r="S635" s="384"/>
      <c r="T635" s="388"/>
    </row>
    <row r="636" spans="1:20" x14ac:dyDescent="0.3">
      <c r="A636" s="384" t="b">
        <v>0</v>
      </c>
      <c r="B636" s="384">
        <f t="shared" si="88"/>
        <v>-63</v>
      </c>
      <c r="C636" s="397" t="s">
        <v>2741</v>
      </c>
      <c r="D636" s="397" t="s">
        <v>2739</v>
      </c>
      <c r="E636" s="384">
        <f t="shared" si="89"/>
        <v>3</v>
      </c>
      <c r="F636" s="398">
        <v>20</v>
      </c>
      <c r="G636" s="388"/>
      <c r="H636" s="384" t="e">
        <f t="shared" si="90"/>
        <v>#VALUE!</v>
      </c>
      <c r="I636" s="386"/>
      <c r="J636" s="389"/>
      <c r="K636" s="389"/>
      <c r="L636" s="388"/>
      <c r="M636" s="397" t="str">
        <f ca="1">IFERROR(IF(COUNTIF($B$517:$B635,"&lt;0")=1,"",OFFSET($C634,-COUNTIF($B$517:$B635,"&lt;0")+3,0)),"")</f>
        <v/>
      </c>
      <c r="N636" s="397" t="str">
        <f ca="1">IFERROR(IF(AND(_xlfn.ISFORMULA(I636),NOT(_xlfn.ISFORMULA(I635))),1,OFFSET($F634,-COUNTIF($B$517:B635,"&lt;0")+3,0)),"")</f>
        <v/>
      </c>
      <c r="O636" s="384">
        <f t="shared" si="91"/>
        <v>117</v>
      </c>
      <c r="P636" s="384"/>
      <c r="Q636" s="384"/>
      <c r="R636" s="384"/>
      <c r="S636" s="384"/>
      <c r="T636" s="388"/>
    </row>
    <row r="637" spans="1:20" x14ac:dyDescent="0.3">
      <c r="A637" s="384" t="b">
        <v>0</v>
      </c>
      <c r="B637" s="384">
        <f t="shared" si="88"/>
        <v>-62</v>
      </c>
      <c r="C637" s="397" t="s">
        <v>2742</v>
      </c>
      <c r="D637" s="397" t="s">
        <v>2739</v>
      </c>
      <c r="E637" s="384">
        <f t="shared" si="89"/>
        <v>4</v>
      </c>
      <c r="F637" s="398">
        <v>20</v>
      </c>
      <c r="G637" s="388"/>
      <c r="H637" s="384" t="e">
        <f t="shared" si="90"/>
        <v>#VALUE!</v>
      </c>
      <c r="I637" s="386"/>
      <c r="J637" s="389"/>
      <c r="K637" s="389"/>
      <c r="L637" s="388"/>
      <c r="M637" s="397" t="str">
        <f ca="1">IFERROR(IF(COUNTIF($B$517:$B636,"&lt;0")=1,"",OFFSET($C635,-COUNTIF($B$517:$B636,"&lt;0")+3,0)),"")</f>
        <v/>
      </c>
      <c r="N637" s="397" t="str">
        <f ca="1">IFERROR(IF(AND(_xlfn.ISFORMULA(I637),NOT(_xlfn.ISFORMULA(I636))),1,OFFSET($F635,-COUNTIF($B$517:B636,"&lt;0")+3,0)),"")</f>
        <v/>
      </c>
      <c r="O637" s="384">
        <f t="shared" si="91"/>
        <v>118</v>
      </c>
      <c r="P637" s="384"/>
      <c r="Q637" s="384"/>
      <c r="R637" s="384"/>
      <c r="S637" s="384"/>
      <c r="T637" s="388"/>
    </row>
    <row r="638" spans="1:20" x14ac:dyDescent="0.3">
      <c r="A638" s="384" t="b">
        <v>0</v>
      </c>
      <c r="B638" s="384">
        <f t="shared" si="88"/>
        <v>-61</v>
      </c>
      <c r="C638" s="397" t="s">
        <v>2743</v>
      </c>
      <c r="D638" s="397" t="s">
        <v>2739</v>
      </c>
      <c r="E638" s="384">
        <f t="shared" si="89"/>
        <v>5</v>
      </c>
      <c r="F638" s="398">
        <v>20</v>
      </c>
      <c r="G638" s="388"/>
      <c r="H638" s="384" t="e">
        <f t="shared" si="90"/>
        <v>#VALUE!</v>
      </c>
      <c r="I638" s="386"/>
      <c r="J638" s="389"/>
      <c r="K638" s="389"/>
      <c r="L638" s="388"/>
      <c r="M638" s="397" t="str">
        <f ca="1">IFERROR(IF(COUNTIF($B$517:$B637,"&lt;0")=1,"",OFFSET($C636,-COUNTIF($B$517:$B637,"&lt;0")+3,0)),"")</f>
        <v/>
      </c>
      <c r="N638" s="397" t="str">
        <f ca="1">IFERROR(IF(AND(_xlfn.ISFORMULA(I638),NOT(_xlfn.ISFORMULA(I637))),1,OFFSET($F636,-COUNTIF($B$517:B637,"&lt;0")+3,0)),"")</f>
        <v/>
      </c>
      <c r="O638" s="384">
        <f t="shared" si="91"/>
        <v>119</v>
      </c>
      <c r="P638" s="384"/>
      <c r="Q638" s="384"/>
      <c r="R638" s="384"/>
      <c r="S638" s="384"/>
      <c r="T638" s="388"/>
    </row>
    <row r="639" spans="1:20" x14ac:dyDescent="0.3">
      <c r="A639" s="384" t="b">
        <v>0</v>
      </c>
      <c r="B639" s="384">
        <f t="shared" si="88"/>
        <v>-60</v>
      </c>
      <c r="C639" s="397" t="s">
        <v>2744</v>
      </c>
      <c r="D639" s="397" t="s">
        <v>2739</v>
      </c>
      <c r="E639" s="384">
        <f t="shared" si="89"/>
        <v>6</v>
      </c>
      <c r="F639" s="398">
        <v>20</v>
      </c>
      <c r="G639" s="388"/>
      <c r="H639" s="384" t="e">
        <f t="shared" si="90"/>
        <v>#VALUE!</v>
      </c>
      <c r="I639" s="386"/>
      <c r="J639" s="389"/>
      <c r="K639" s="389"/>
      <c r="L639" s="388"/>
      <c r="M639" s="397" t="str">
        <f ca="1">IFERROR(IF(COUNTIF($B$517:$B638,"&lt;0")=1,"",OFFSET($C637,-COUNTIF($B$517:$B638,"&lt;0")+3,0)),"")</f>
        <v/>
      </c>
      <c r="N639" s="397" t="str">
        <f ca="1">IFERROR(IF(AND(_xlfn.ISFORMULA(I639),NOT(_xlfn.ISFORMULA(I638))),1,OFFSET($F637,-COUNTIF($B$517:B638,"&lt;0")+3,0)),"")</f>
        <v/>
      </c>
      <c r="O639" s="384">
        <f t="shared" si="91"/>
        <v>120</v>
      </c>
      <c r="P639" s="384"/>
      <c r="Q639" s="384"/>
      <c r="R639" s="384"/>
      <c r="S639" s="384"/>
      <c r="T639" s="388"/>
    </row>
    <row r="640" spans="1:20" x14ac:dyDescent="0.3">
      <c r="A640" s="384" t="b">
        <v>0</v>
      </c>
      <c r="B640" s="384">
        <f t="shared" si="88"/>
        <v>-59</v>
      </c>
      <c r="C640" s="397" t="s">
        <v>2745</v>
      </c>
      <c r="D640" s="397" t="s">
        <v>2746</v>
      </c>
      <c r="E640" s="384">
        <f t="shared" si="89"/>
        <v>1</v>
      </c>
      <c r="F640" s="398">
        <v>21</v>
      </c>
      <c r="G640" s="388"/>
      <c r="H640" s="384" t="e">
        <f t="shared" si="90"/>
        <v>#VALUE!</v>
      </c>
      <c r="I640" s="386"/>
      <c r="J640" s="389"/>
      <c r="K640" s="389"/>
      <c r="L640" s="388"/>
      <c r="M640" s="397" t="str">
        <f ca="1">IFERROR(IF(COUNTIF($B$517:$B639,"&lt;0")=1,"",OFFSET($C638,-COUNTIF($B$517:$B639,"&lt;0")+3,0)),"")</f>
        <v/>
      </c>
      <c r="N640" s="397" t="str">
        <f ca="1">IFERROR(IF(AND(_xlfn.ISFORMULA(I640),NOT(_xlfn.ISFORMULA(I639))),1,OFFSET($F638,-COUNTIF($B$517:B639,"&lt;0")+3,0)),"")</f>
        <v/>
      </c>
      <c r="O640" s="384">
        <f t="shared" si="91"/>
        <v>121</v>
      </c>
      <c r="P640" s="384"/>
      <c r="Q640" s="384"/>
      <c r="R640" s="384"/>
      <c r="S640" s="384"/>
      <c r="T640" s="388"/>
    </row>
    <row r="641" spans="1:20" x14ac:dyDescent="0.3">
      <c r="A641" s="384" t="b">
        <v>0</v>
      </c>
      <c r="B641" s="384">
        <f t="shared" si="88"/>
        <v>-58</v>
      </c>
      <c r="C641" s="397" t="s">
        <v>2747</v>
      </c>
      <c r="D641" s="397" t="s">
        <v>2746</v>
      </c>
      <c r="E641" s="384">
        <f t="shared" si="89"/>
        <v>2</v>
      </c>
      <c r="F641" s="398">
        <v>21</v>
      </c>
      <c r="G641" s="388"/>
      <c r="H641" s="384" t="e">
        <f t="shared" si="90"/>
        <v>#VALUE!</v>
      </c>
      <c r="I641" s="386"/>
      <c r="J641" s="389"/>
      <c r="K641" s="389"/>
      <c r="L641" s="388"/>
      <c r="M641" s="397" t="str">
        <f ca="1">IFERROR(IF(COUNTIF($B$517:$B640,"&lt;0")=1,"",OFFSET($C639,-COUNTIF($B$517:$B640,"&lt;0")+3,0)),"")</f>
        <v/>
      </c>
      <c r="N641" s="397" t="str">
        <f ca="1">IFERROR(IF(AND(_xlfn.ISFORMULA(I641),NOT(_xlfn.ISFORMULA(I640))),1,OFFSET($F639,-COUNTIF($B$517:B640,"&lt;0")+3,0)),"")</f>
        <v/>
      </c>
      <c r="O641" s="384">
        <f t="shared" si="91"/>
        <v>122</v>
      </c>
      <c r="P641" s="384"/>
      <c r="Q641" s="384"/>
      <c r="R641" s="384"/>
      <c r="S641" s="384"/>
      <c r="T641" s="388"/>
    </row>
    <row r="642" spans="1:20" x14ac:dyDescent="0.3">
      <c r="A642" s="384" t="b">
        <v>0</v>
      </c>
      <c r="B642" s="384">
        <f t="shared" si="88"/>
        <v>-57</v>
      </c>
      <c r="C642" s="397" t="s">
        <v>2748</v>
      </c>
      <c r="D642" s="397" t="s">
        <v>2746</v>
      </c>
      <c r="E642" s="384">
        <f t="shared" si="89"/>
        <v>3</v>
      </c>
      <c r="F642" s="398">
        <v>21</v>
      </c>
      <c r="G642" s="388"/>
      <c r="H642" s="384" t="e">
        <f t="shared" si="90"/>
        <v>#VALUE!</v>
      </c>
      <c r="I642" s="386"/>
      <c r="J642" s="389"/>
      <c r="K642" s="389"/>
      <c r="L642" s="388"/>
      <c r="M642" s="397" t="str">
        <f ca="1">IFERROR(IF(COUNTIF($B$517:$B641,"&lt;0")=1,"",OFFSET($C640,-COUNTIF($B$517:$B641,"&lt;0")+3,0)),"")</f>
        <v/>
      </c>
      <c r="N642" s="397" t="str">
        <f ca="1">IFERROR(IF(AND(_xlfn.ISFORMULA(I642),NOT(_xlfn.ISFORMULA(I641))),1,OFFSET($F640,-COUNTIF($B$517:B641,"&lt;0")+3,0)),"")</f>
        <v/>
      </c>
      <c r="O642" s="384">
        <f t="shared" si="91"/>
        <v>123</v>
      </c>
      <c r="P642" s="384"/>
      <c r="Q642" s="384"/>
      <c r="R642" s="384"/>
      <c r="S642" s="384"/>
      <c r="T642" s="388"/>
    </row>
    <row r="643" spans="1:20" x14ac:dyDescent="0.3">
      <c r="A643" s="384" t="b">
        <v>0</v>
      </c>
      <c r="B643" s="384">
        <f t="shared" si="88"/>
        <v>-56</v>
      </c>
      <c r="C643" s="397" t="s">
        <v>2749</v>
      </c>
      <c r="D643" s="397" t="s">
        <v>2746</v>
      </c>
      <c r="E643" s="384">
        <f t="shared" si="89"/>
        <v>4</v>
      </c>
      <c r="F643" s="398">
        <v>21</v>
      </c>
      <c r="G643" s="388"/>
      <c r="H643" s="384" t="e">
        <f t="shared" si="90"/>
        <v>#VALUE!</v>
      </c>
      <c r="I643" s="386"/>
      <c r="J643" s="389"/>
      <c r="K643" s="389"/>
      <c r="L643" s="388"/>
      <c r="M643" s="397" t="str">
        <f ca="1">IFERROR(IF(COUNTIF($B$517:$B642,"&lt;0")=1,"",OFFSET($C641,-COUNTIF($B$517:$B642,"&lt;0")+3,0)),"")</f>
        <v/>
      </c>
      <c r="N643" s="397" t="str">
        <f ca="1">IFERROR(IF(AND(_xlfn.ISFORMULA(I643),NOT(_xlfn.ISFORMULA(I642))),1,OFFSET($F641,-COUNTIF($B$517:B642,"&lt;0")+3,0)),"")</f>
        <v/>
      </c>
      <c r="O643" s="384">
        <f t="shared" si="91"/>
        <v>124</v>
      </c>
      <c r="P643" s="384"/>
      <c r="Q643" s="384"/>
      <c r="R643" s="384"/>
      <c r="S643" s="384"/>
      <c r="T643" s="388"/>
    </row>
    <row r="644" spans="1:20" x14ac:dyDescent="0.3">
      <c r="A644" s="384" t="b">
        <v>0</v>
      </c>
      <c r="B644" s="384">
        <f t="shared" si="88"/>
        <v>-55</v>
      </c>
      <c r="C644" s="397" t="s">
        <v>2750</v>
      </c>
      <c r="D644" s="397" t="s">
        <v>2746</v>
      </c>
      <c r="E644" s="384">
        <f t="shared" si="89"/>
        <v>5</v>
      </c>
      <c r="F644" s="398">
        <v>21</v>
      </c>
      <c r="G644" s="388"/>
      <c r="H644" s="384" t="e">
        <f t="shared" si="90"/>
        <v>#VALUE!</v>
      </c>
      <c r="I644" s="386"/>
      <c r="J644" s="389"/>
      <c r="K644" s="389"/>
      <c r="L644" s="388"/>
      <c r="M644" s="397" t="str">
        <f ca="1">IFERROR(IF(COUNTIF($B$517:$B643,"&lt;0")=1,"",OFFSET($C642,-COUNTIF($B$517:$B643,"&lt;0")+3,0)),"")</f>
        <v/>
      </c>
      <c r="N644" s="397" t="str">
        <f ca="1">IFERROR(IF(AND(_xlfn.ISFORMULA(I644),NOT(_xlfn.ISFORMULA(I643))),1,OFFSET($F642,-COUNTIF($B$517:B643,"&lt;0")+3,0)),"")</f>
        <v/>
      </c>
      <c r="O644" s="384">
        <f t="shared" si="91"/>
        <v>125</v>
      </c>
      <c r="P644" s="384"/>
      <c r="Q644" s="384"/>
      <c r="R644" s="384"/>
      <c r="S644" s="384"/>
      <c r="T644" s="388"/>
    </row>
    <row r="645" spans="1:20" x14ac:dyDescent="0.3">
      <c r="A645" s="384" t="b">
        <v>0</v>
      </c>
      <c r="B645" s="384">
        <f t="shared" si="88"/>
        <v>-54</v>
      </c>
      <c r="C645" s="397" t="s">
        <v>2751</v>
      </c>
      <c r="D645" s="397" t="s">
        <v>2746</v>
      </c>
      <c r="E645" s="384">
        <f t="shared" si="89"/>
        <v>6</v>
      </c>
      <c r="F645" s="398">
        <v>21</v>
      </c>
      <c r="G645" s="388"/>
      <c r="H645" s="384" t="e">
        <f t="shared" si="90"/>
        <v>#VALUE!</v>
      </c>
      <c r="I645" s="386"/>
      <c r="J645" s="389"/>
      <c r="K645" s="389"/>
      <c r="L645" s="388"/>
      <c r="M645" s="397" t="str">
        <f ca="1">IFERROR(IF(COUNTIF($B$517:$B644,"&lt;0")=1,"",OFFSET($C643,-COUNTIF($B$517:$B644,"&lt;0")+3,0)),"")</f>
        <v/>
      </c>
      <c r="N645" s="397" t="str">
        <f ca="1">IFERROR(IF(AND(_xlfn.ISFORMULA(I645),NOT(_xlfn.ISFORMULA(I644))),1,OFFSET($F643,-COUNTIF($B$517:B644,"&lt;0")+3,0)),"")</f>
        <v/>
      </c>
      <c r="O645" s="384">
        <f t="shared" si="91"/>
        <v>126</v>
      </c>
      <c r="P645" s="384"/>
      <c r="Q645" s="384"/>
      <c r="R645" s="384"/>
      <c r="S645" s="384"/>
      <c r="T645" s="388"/>
    </row>
    <row r="646" spans="1:20" x14ac:dyDescent="0.3">
      <c r="A646" s="384" t="b">
        <v>0</v>
      </c>
      <c r="B646" s="384">
        <f t="shared" si="88"/>
        <v>-53</v>
      </c>
      <c r="C646" s="397" t="s">
        <v>2752</v>
      </c>
      <c r="D646" s="397" t="s">
        <v>2753</v>
      </c>
      <c r="E646" s="384">
        <f t="shared" si="89"/>
        <v>1</v>
      </c>
      <c r="F646" s="398">
        <v>22</v>
      </c>
      <c r="G646" s="388"/>
      <c r="H646" s="384" t="e">
        <f t="shared" si="90"/>
        <v>#VALUE!</v>
      </c>
      <c r="I646" s="386"/>
      <c r="J646" s="389"/>
      <c r="K646" s="389"/>
      <c r="L646" s="388"/>
      <c r="M646" s="397" t="str">
        <f ca="1">IFERROR(IF(COUNTIF($B$517:$B645,"&lt;0")=1,"",OFFSET($C644,-COUNTIF($B$517:$B645,"&lt;0")+3,0)),"")</f>
        <v/>
      </c>
      <c r="N646" s="397" t="str">
        <f ca="1">IFERROR(IF(AND(_xlfn.ISFORMULA(I646),NOT(_xlfn.ISFORMULA(I645))),1,OFFSET($F644,-COUNTIF($B$517:B645,"&lt;0")+3,0)),"")</f>
        <v/>
      </c>
      <c r="O646" s="384">
        <f t="shared" si="91"/>
        <v>127</v>
      </c>
      <c r="P646" s="384"/>
      <c r="Q646" s="384"/>
      <c r="R646" s="384"/>
      <c r="S646" s="384"/>
      <c r="T646" s="388"/>
    </row>
    <row r="647" spans="1:20" x14ac:dyDescent="0.3">
      <c r="A647" s="384" t="b">
        <v>0</v>
      </c>
      <c r="B647" s="384">
        <f t="shared" si="88"/>
        <v>-52</v>
      </c>
      <c r="C647" s="397" t="s">
        <v>2754</v>
      </c>
      <c r="D647" s="397" t="s">
        <v>2753</v>
      </c>
      <c r="E647" s="384">
        <f t="shared" si="89"/>
        <v>2</v>
      </c>
      <c r="F647" s="398">
        <v>22</v>
      </c>
      <c r="G647" s="388"/>
      <c r="H647" s="384" t="e">
        <f t="shared" si="90"/>
        <v>#VALUE!</v>
      </c>
      <c r="I647" s="386"/>
      <c r="J647" s="389"/>
      <c r="K647" s="389"/>
      <c r="L647" s="388"/>
      <c r="M647" s="397" t="str">
        <f ca="1">IFERROR(IF(COUNTIF($B$517:$B646,"&lt;0")=1,"",OFFSET($C645,-COUNTIF($B$517:$B646,"&lt;0")+3,0)),"")</f>
        <v/>
      </c>
      <c r="N647" s="397" t="str">
        <f ca="1">IFERROR(IF(AND(_xlfn.ISFORMULA(I647),NOT(_xlfn.ISFORMULA(I646))),1,OFFSET($F645,-COUNTIF($B$517:B646,"&lt;0")+3,0)),"")</f>
        <v/>
      </c>
      <c r="O647" s="384">
        <f t="shared" si="91"/>
        <v>128</v>
      </c>
      <c r="P647" s="384"/>
      <c r="Q647" s="384"/>
      <c r="R647" s="384"/>
      <c r="S647" s="384"/>
      <c r="T647" s="388"/>
    </row>
    <row r="648" spans="1:20" x14ac:dyDescent="0.3">
      <c r="A648" s="384" t="b">
        <v>0</v>
      </c>
      <c r="B648" s="384">
        <f t="shared" ref="B648:B711" si="92">B647+1</f>
        <v>-51</v>
      </c>
      <c r="C648" s="397" t="s">
        <v>2755</v>
      </c>
      <c r="D648" s="397" t="s">
        <v>2753</v>
      </c>
      <c r="E648" s="384">
        <f t="shared" ref="E648:E711" si="93">IF(E647="countif",0,IF(E647=W$2,1,E647+1))</f>
        <v>3</v>
      </c>
      <c r="F648" s="398">
        <v>22</v>
      </c>
      <c r="G648" s="388"/>
      <c r="H648" s="384" t="e">
        <f t="shared" ref="H648:H711" si="94">IF(B648=1,9,IF(E647=MAX(E646:E648),H646+2,H647))</f>
        <v>#VALUE!</v>
      </c>
      <c r="I648" s="386"/>
      <c r="J648" s="389"/>
      <c r="K648" s="389"/>
      <c r="L648" s="388"/>
      <c r="M648" s="397" t="str">
        <f ca="1">IFERROR(IF(COUNTIF($B$517:$B647,"&lt;0")=1,"",OFFSET($C646,-COUNTIF($B$517:$B647,"&lt;0")+3,0)),"")</f>
        <v/>
      </c>
      <c r="N648" s="397" t="str">
        <f ca="1">IFERROR(IF(AND(_xlfn.ISFORMULA(I648),NOT(_xlfn.ISFORMULA(I647))),1,OFFSET($F646,-COUNTIF($B$517:B647,"&lt;0")+3,0)),"")</f>
        <v/>
      </c>
      <c r="O648" s="384">
        <f t="shared" ref="O648:O711" si="95">IF(NOT(_xlfn.ISFORMULA(I648)),O647+1,0)</f>
        <v>129</v>
      </c>
      <c r="P648" s="384"/>
      <c r="Q648" s="384"/>
      <c r="R648" s="384"/>
      <c r="S648" s="384"/>
      <c r="T648" s="388"/>
    </row>
    <row r="649" spans="1:20" x14ac:dyDescent="0.3">
      <c r="A649" s="384" t="b">
        <v>0</v>
      </c>
      <c r="B649" s="384">
        <f t="shared" si="92"/>
        <v>-50</v>
      </c>
      <c r="C649" s="397" t="s">
        <v>2756</v>
      </c>
      <c r="D649" s="397" t="s">
        <v>2753</v>
      </c>
      <c r="E649" s="384">
        <f t="shared" si="93"/>
        <v>4</v>
      </c>
      <c r="F649" s="398">
        <v>22</v>
      </c>
      <c r="G649" s="388"/>
      <c r="H649" s="384" t="e">
        <f t="shared" si="94"/>
        <v>#VALUE!</v>
      </c>
      <c r="I649" s="386"/>
      <c r="J649" s="389"/>
      <c r="K649" s="389"/>
      <c r="L649" s="388"/>
      <c r="M649" s="397" t="str">
        <f ca="1">IFERROR(IF(COUNTIF($B$517:$B648,"&lt;0")=1,"",OFFSET($C647,-COUNTIF($B$517:$B648,"&lt;0")+3,0)),"")</f>
        <v/>
      </c>
      <c r="N649" s="397" t="str">
        <f ca="1">IFERROR(IF(AND(_xlfn.ISFORMULA(I649),NOT(_xlfn.ISFORMULA(I648))),1,OFFSET($F647,-COUNTIF($B$517:B648,"&lt;0")+3,0)),"")</f>
        <v/>
      </c>
      <c r="O649" s="384">
        <f t="shared" si="95"/>
        <v>130</v>
      </c>
      <c r="P649" s="384"/>
      <c r="Q649" s="384"/>
      <c r="R649" s="384"/>
      <c r="S649" s="384"/>
      <c r="T649" s="388"/>
    </row>
    <row r="650" spans="1:20" x14ac:dyDescent="0.3">
      <c r="A650" s="384" t="b">
        <v>0</v>
      </c>
      <c r="B650" s="384">
        <f t="shared" si="92"/>
        <v>-49</v>
      </c>
      <c r="C650" s="397" t="s">
        <v>2757</v>
      </c>
      <c r="D650" s="397" t="s">
        <v>2753</v>
      </c>
      <c r="E650" s="384">
        <f t="shared" si="93"/>
        <v>5</v>
      </c>
      <c r="F650" s="398">
        <v>22</v>
      </c>
      <c r="G650" s="388"/>
      <c r="H650" s="384" t="e">
        <f t="shared" si="94"/>
        <v>#VALUE!</v>
      </c>
      <c r="I650" s="386"/>
      <c r="J650" s="389"/>
      <c r="K650" s="389"/>
      <c r="L650" s="388"/>
      <c r="M650" s="397" t="str">
        <f ca="1">IFERROR(IF(COUNTIF($B$517:$B649,"&lt;0")=1,"",OFFSET($C648,-COUNTIF($B$517:$B649,"&lt;0")+3,0)),"")</f>
        <v/>
      </c>
      <c r="N650" s="397" t="str">
        <f ca="1">IFERROR(IF(AND(_xlfn.ISFORMULA(I650),NOT(_xlfn.ISFORMULA(I649))),1,OFFSET($F648,-COUNTIF($B$517:B649,"&lt;0")+3,0)),"")</f>
        <v/>
      </c>
      <c r="O650" s="384">
        <f t="shared" si="95"/>
        <v>131</v>
      </c>
      <c r="P650" s="384"/>
      <c r="Q650" s="384"/>
      <c r="R650" s="384"/>
      <c r="S650" s="384"/>
      <c r="T650" s="388"/>
    </row>
    <row r="651" spans="1:20" x14ac:dyDescent="0.3">
      <c r="A651" s="384" t="b">
        <v>0</v>
      </c>
      <c r="B651" s="384">
        <f t="shared" si="92"/>
        <v>-48</v>
      </c>
      <c r="C651" s="397" t="s">
        <v>2758</v>
      </c>
      <c r="D651" s="397" t="s">
        <v>2753</v>
      </c>
      <c r="E651" s="384">
        <f t="shared" si="93"/>
        <v>6</v>
      </c>
      <c r="F651" s="398">
        <v>22</v>
      </c>
      <c r="G651" s="388"/>
      <c r="H651" s="384" t="e">
        <f t="shared" si="94"/>
        <v>#VALUE!</v>
      </c>
      <c r="I651" s="386"/>
      <c r="J651" s="389"/>
      <c r="K651" s="389"/>
      <c r="L651" s="388"/>
      <c r="M651" s="397" t="str">
        <f ca="1">IFERROR(IF(COUNTIF($B$517:$B650,"&lt;0")=1,"",OFFSET($C649,-COUNTIF($B$517:$B650,"&lt;0")+3,0)),"")</f>
        <v/>
      </c>
      <c r="N651" s="397" t="str">
        <f ca="1">IFERROR(IF(AND(_xlfn.ISFORMULA(I651),NOT(_xlfn.ISFORMULA(I650))),1,OFFSET($F649,-COUNTIF($B$517:B650,"&lt;0")+3,0)),"")</f>
        <v/>
      </c>
      <c r="O651" s="384">
        <f t="shared" si="95"/>
        <v>132</v>
      </c>
      <c r="P651" s="384"/>
      <c r="Q651" s="384"/>
      <c r="R651" s="384"/>
      <c r="S651" s="384"/>
      <c r="T651" s="388"/>
    </row>
    <row r="652" spans="1:20" x14ac:dyDescent="0.3">
      <c r="A652" s="384" t="b">
        <v>0</v>
      </c>
      <c r="B652" s="384">
        <f t="shared" si="92"/>
        <v>-47</v>
      </c>
      <c r="C652" s="397" t="s">
        <v>2759</v>
      </c>
      <c r="D652" s="397" t="s">
        <v>2760</v>
      </c>
      <c r="E652" s="384">
        <f t="shared" si="93"/>
        <v>1</v>
      </c>
      <c r="F652" s="398">
        <v>23</v>
      </c>
      <c r="G652" s="388"/>
      <c r="H652" s="384" t="e">
        <f t="shared" si="94"/>
        <v>#VALUE!</v>
      </c>
      <c r="I652" s="386"/>
      <c r="J652" s="389"/>
      <c r="K652" s="389"/>
      <c r="L652" s="388"/>
      <c r="M652" s="397" t="str">
        <f ca="1">IFERROR(IF(COUNTIF($B$517:$B651,"&lt;0")=1,"",OFFSET($C650,-COUNTIF($B$517:$B651,"&lt;0")+3,0)),"")</f>
        <v/>
      </c>
      <c r="N652" s="397" t="str">
        <f ca="1">IFERROR(IF(AND(_xlfn.ISFORMULA(I652),NOT(_xlfn.ISFORMULA(I651))),1,OFFSET($F650,-COUNTIF($B$517:B651,"&lt;0")+3,0)),"")</f>
        <v/>
      </c>
      <c r="O652" s="384">
        <f t="shared" si="95"/>
        <v>133</v>
      </c>
      <c r="P652" s="384"/>
      <c r="Q652" s="384"/>
      <c r="R652" s="384"/>
      <c r="S652" s="384"/>
      <c r="T652" s="388"/>
    </row>
    <row r="653" spans="1:20" x14ac:dyDescent="0.3">
      <c r="A653" s="384" t="b">
        <v>0</v>
      </c>
      <c r="B653" s="384">
        <f t="shared" si="92"/>
        <v>-46</v>
      </c>
      <c r="C653" s="397" t="s">
        <v>2761</v>
      </c>
      <c r="D653" s="397" t="s">
        <v>2760</v>
      </c>
      <c r="E653" s="384">
        <f t="shared" si="93"/>
        <v>2</v>
      </c>
      <c r="F653" s="398">
        <v>23</v>
      </c>
      <c r="G653" s="388"/>
      <c r="H653" s="384" t="e">
        <f t="shared" si="94"/>
        <v>#VALUE!</v>
      </c>
      <c r="I653" s="386"/>
      <c r="J653" s="389"/>
      <c r="K653" s="389"/>
      <c r="L653" s="388"/>
      <c r="M653" s="397" t="str">
        <f ca="1">IFERROR(IF(COUNTIF($B$517:$B652,"&lt;0")=1,"",OFFSET($C651,-COUNTIF($B$517:$B652,"&lt;0")+3,0)),"")</f>
        <v/>
      </c>
      <c r="N653" s="397" t="str">
        <f ca="1">IFERROR(IF(AND(_xlfn.ISFORMULA(I653),NOT(_xlfn.ISFORMULA(I652))),1,OFFSET($F651,-COUNTIF($B$517:B652,"&lt;0")+3,0)),"")</f>
        <v/>
      </c>
      <c r="O653" s="384">
        <f t="shared" si="95"/>
        <v>134</v>
      </c>
      <c r="P653" s="384"/>
      <c r="Q653" s="384"/>
      <c r="R653" s="384"/>
      <c r="S653" s="384"/>
      <c r="T653" s="388"/>
    </row>
    <row r="654" spans="1:20" x14ac:dyDescent="0.3">
      <c r="A654" s="384" t="b">
        <v>0</v>
      </c>
      <c r="B654" s="384">
        <f t="shared" si="92"/>
        <v>-45</v>
      </c>
      <c r="C654" s="397" t="s">
        <v>2762</v>
      </c>
      <c r="D654" s="397" t="s">
        <v>2760</v>
      </c>
      <c r="E654" s="384">
        <f t="shared" si="93"/>
        <v>3</v>
      </c>
      <c r="F654" s="398">
        <v>23</v>
      </c>
      <c r="G654" s="388"/>
      <c r="H654" s="384" t="e">
        <f t="shared" si="94"/>
        <v>#VALUE!</v>
      </c>
      <c r="I654" s="386"/>
      <c r="J654" s="389"/>
      <c r="K654" s="389"/>
      <c r="L654" s="388"/>
      <c r="M654" s="397" t="str">
        <f ca="1">IFERROR(IF(COUNTIF($B$517:$B653,"&lt;0")=1,"",OFFSET($C652,-COUNTIF($B$517:$B653,"&lt;0")+3,0)),"")</f>
        <v/>
      </c>
      <c r="N654" s="397" t="str">
        <f ca="1">IFERROR(IF(AND(_xlfn.ISFORMULA(I654),NOT(_xlfn.ISFORMULA(I653))),1,OFFSET($F652,-COUNTIF($B$517:B653,"&lt;0")+3,0)),"")</f>
        <v/>
      </c>
      <c r="O654" s="384">
        <f t="shared" si="95"/>
        <v>135</v>
      </c>
      <c r="P654" s="384"/>
      <c r="Q654" s="384"/>
      <c r="R654" s="384"/>
      <c r="S654" s="384"/>
      <c r="T654" s="388"/>
    </row>
    <row r="655" spans="1:20" x14ac:dyDescent="0.3">
      <c r="A655" s="384" t="b">
        <v>0</v>
      </c>
      <c r="B655" s="384">
        <f t="shared" si="92"/>
        <v>-44</v>
      </c>
      <c r="C655" s="397" t="s">
        <v>2763</v>
      </c>
      <c r="D655" s="397" t="s">
        <v>2760</v>
      </c>
      <c r="E655" s="384">
        <f t="shared" si="93"/>
        <v>4</v>
      </c>
      <c r="F655" s="398">
        <v>23</v>
      </c>
      <c r="G655" s="388"/>
      <c r="H655" s="384" t="e">
        <f t="shared" si="94"/>
        <v>#VALUE!</v>
      </c>
      <c r="I655" s="386"/>
      <c r="J655" s="389"/>
      <c r="K655" s="389"/>
      <c r="L655" s="388"/>
      <c r="M655" s="397" t="str">
        <f ca="1">IFERROR(IF(COUNTIF($B$517:$B654,"&lt;0")=1,"",OFFSET($C653,-COUNTIF($B$517:$B654,"&lt;0")+3,0)),"")</f>
        <v/>
      </c>
      <c r="N655" s="397" t="str">
        <f ca="1">IFERROR(IF(AND(_xlfn.ISFORMULA(I655),NOT(_xlfn.ISFORMULA(I654))),1,OFFSET($F653,-COUNTIF($B$517:B654,"&lt;0")+3,0)),"")</f>
        <v/>
      </c>
      <c r="O655" s="384">
        <f t="shared" si="95"/>
        <v>136</v>
      </c>
      <c r="P655" s="384"/>
      <c r="Q655" s="384"/>
      <c r="R655" s="384"/>
      <c r="S655" s="384"/>
      <c r="T655" s="388"/>
    </row>
    <row r="656" spans="1:20" x14ac:dyDescent="0.3">
      <c r="A656" s="384" t="b">
        <v>0</v>
      </c>
      <c r="B656" s="384">
        <f t="shared" si="92"/>
        <v>-43</v>
      </c>
      <c r="C656" s="397" t="s">
        <v>2764</v>
      </c>
      <c r="D656" s="397" t="s">
        <v>2760</v>
      </c>
      <c r="E656" s="384">
        <f t="shared" si="93"/>
        <v>5</v>
      </c>
      <c r="F656" s="398">
        <v>23</v>
      </c>
      <c r="G656" s="388"/>
      <c r="H656" s="384" t="e">
        <f t="shared" si="94"/>
        <v>#VALUE!</v>
      </c>
      <c r="I656" s="386"/>
      <c r="J656" s="389"/>
      <c r="K656" s="389"/>
      <c r="L656" s="388"/>
      <c r="M656" s="397" t="str">
        <f ca="1">IFERROR(IF(COUNTIF($B$517:$B655,"&lt;0")=1,"",OFFSET($C654,-COUNTIF($B$517:$B655,"&lt;0")+3,0)),"")</f>
        <v/>
      </c>
      <c r="N656" s="397" t="str">
        <f ca="1">IFERROR(IF(AND(_xlfn.ISFORMULA(I656),NOT(_xlfn.ISFORMULA(I655))),1,OFFSET($F654,-COUNTIF($B$517:B655,"&lt;0")+3,0)),"")</f>
        <v/>
      </c>
      <c r="O656" s="384">
        <f t="shared" si="95"/>
        <v>137</v>
      </c>
      <c r="P656" s="384"/>
      <c r="Q656" s="384"/>
      <c r="R656" s="384"/>
      <c r="S656" s="384"/>
      <c r="T656" s="388"/>
    </row>
    <row r="657" spans="1:20" x14ac:dyDescent="0.3">
      <c r="A657" s="384" t="b">
        <v>0</v>
      </c>
      <c r="B657" s="384">
        <f t="shared" si="92"/>
        <v>-42</v>
      </c>
      <c r="C657" s="397" t="s">
        <v>2765</v>
      </c>
      <c r="D657" s="397" t="s">
        <v>2760</v>
      </c>
      <c r="E657" s="384">
        <f t="shared" si="93"/>
        <v>6</v>
      </c>
      <c r="F657" s="398">
        <v>23</v>
      </c>
      <c r="G657" s="388"/>
      <c r="H657" s="384" t="e">
        <f t="shared" si="94"/>
        <v>#VALUE!</v>
      </c>
      <c r="I657" s="386"/>
      <c r="J657" s="389"/>
      <c r="K657" s="389"/>
      <c r="L657" s="388"/>
      <c r="M657" s="397" t="str">
        <f ca="1">IFERROR(IF(COUNTIF($B$517:$B656,"&lt;0")=1,"",OFFSET($C655,-COUNTIF($B$517:$B656,"&lt;0")+3,0)),"")</f>
        <v/>
      </c>
      <c r="N657" s="397" t="str">
        <f ca="1">IFERROR(IF(AND(_xlfn.ISFORMULA(I657),NOT(_xlfn.ISFORMULA(I656))),1,OFFSET($F655,-COUNTIF($B$517:B656,"&lt;0")+3,0)),"")</f>
        <v/>
      </c>
      <c r="O657" s="384">
        <f t="shared" si="95"/>
        <v>138</v>
      </c>
      <c r="P657" s="384"/>
      <c r="Q657" s="384"/>
      <c r="R657" s="384"/>
      <c r="S657" s="384"/>
      <c r="T657" s="388"/>
    </row>
    <row r="658" spans="1:20" x14ac:dyDescent="0.3">
      <c r="A658" s="384" t="b">
        <v>0</v>
      </c>
      <c r="B658" s="384">
        <f t="shared" si="92"/>
        <v>-41</v>
      </c>
      <c r="C658" s="397" t="s">
        <v>2766</v>
      </c>
      <c r="D658" s="397" t="s">
        <v>2767</v>
      </c>
      <c r="E658" s="384">
        <f t="shared" si="93"/>
        <v>1</v>
      </c>
      <c r="F658" s="398">
        <v>24</v>
      </c>
      <c r="G658" s="388"/>
      <c r="H658" s="384" t="e">
        <f t="shared" si="94"/>
        <v>#VALUE!</v>
      </c>
      <c r="I658" s="386"/>
      <c r="J658" s="389"/>
      <c r="K658" s="389"/>
      <c r="L658" s="388"/>
      <c r="M658" s="397" t="str">
        <f ca="1">IFERROR(IF(COUNTIF($B$517:$B657,"&lt;0")=1,"",OFFSET($C656,-COUNTIF($B$517:$B657,"&lt;0")+3,0)),"")</f>
        <v/>
      </c>
      <c r="N658" s="397" t="str">
        <f ca="1">IFERROR(IF(AND(_xlfn.ISFORMULA(I658),NOT(_xlfn.ISFORMULA(I657))),1,OFFSET($F656,-COUNTIF($B$517:B657,"&lt;0")+3,0)),"")</f>
        <v/>
      </c>
      <c r="O658" s="384">
        <f t="shared" si="95"/>
        <v>139</v>
      </c>
      <c r="P658" s="384"/>
      <c r="Q658" s="384"/>
      <c r="R658" s="384"/>
      <c r="S658" s="384"/>
      <c r="T658" s="388"/>
    </row>
    <row r="659" spans="1:20" x14ac:dyDescent="0.3">
      <c r="A659" s="384" t="b">
        <v>0</v>
      </c>
      <c r="B659" s="384">
        <f t="shared" si="92"/>
        <v>-40</v>
      </c>
      <c r="C659" s="397" t="s">
        <v>2768</v>
      </c>
      <c r="D659" s="397" t="s">
        <v>2767</v>
      </c>
      <c r="E659" s="384">
        <f t="shared" si="93"/>
        <v>2</v>
      </c>
      <c r="F659" s="398">
        <v>24</v>
      </c>
      <c r="G659" s="388"/>
      <c r="H659" s="384" t="e">
        <f t="shared" si="94"/>
        <v>#VALUE!</v>
      </c>
      <c r="I659" s="386"/>
      <c r="J659" s="389"/>
      <c r="K659" s="389"/>
      <c r="L659" s="388"/>
      <c r="M659" s="397" t="str">
        <f ca="1">IFERROR(IF(COUNTIF($B$517:$B658,"&lt;0")=1,"",OFFSET($C657,-COUNTIF($B$517:$B658,"&lt;0")+3,0)),"")</f>
        <v/>
      </c>
      <c r="N659" s="397" t="str">
        <f ca="1">IFERROR(IF(AND(_xlfn.ISFORMULA(I659),NOT(_xlfn.ISFORMULA(I658))),1,OFFSET($F657,-COUNTIF($B$517:B658,"&lt;0")+3,0)),"")</f>
        <v/>
      </c>
      <c r="O659" s="384">
        <f t="shared" si="95"/>
        <v>140</v>
      </c>
      <c r="P659" s="384"/>
      <c r="Q659" s="384"/>
      <c r="R659" s="384"/>
      <c r="S659" s="384"/>
      <c r="T659" s="388"/>
    </row>
    <row r="660" spans="1:20" x14ac:dyDescent="0.3">
      <c r="A660" s="384" t="b">
        <v>0</v>
      </c>
      <c r="B660" s="384">
        <f t="shared" si="92"/>
        <v>-39</v>
      </c>
      <c r="C660" s="397" t="s">
        <v>2769</v>
      </c>
      <c r="D660" s="397" t="s">
        <v>2767</v>
      </c>
      <c r="E660" s="384">
        <f t="shared" si="93"/>
        <v>3</v>
      </c>
      <c r="F660" s="398">
        <v>24</v>
      </c>
      <c r="G660" s="388"/>
      <c r="H660" s="384" t="e">
        <f t="shared" si="94"/>
        <v>#VALUE!</v>
      </c>
      <c r="I660" s="386"/>
      <c r="J660" s="389"/>
      <c r="K660" s="389"/>
      <c r="L660" s="388"/>
      <c r="M660" s="397" t="str">
        <f ca="1">IFERROR(IF(COUNTIF($B$517:$B659,"&lt;0")=1,"",OFFSET($C658,-COUNTIF($B$517:$B659,"&lt;0")+3,0)),"")</f>
        <v/>
      </c>
      <c r="N660" s="397" t="str">
        <f ca="1">IFERROR(IF(AND(_xlfn.ISFORMULA(I660),NOT(_xlfn.ISFORMULA(I659))),1,OFFSET($F658,-COUNTIF($B$517:B659,"&lt;0")+3,0)),"")</f>
        <v/>
      </c>
      <c r="O660" s="384">
        <f t="shared" si="95"/>
        <v>141</v>
      </c>
      <c r="P660" s="384"/>
      <c r="Q660" s="384"/>
      <c r="R660" s="384"/>
      <c r="S660" s="384"/>
      <c r="T660" s="388"/>
    </row>
    <row r="661" spans="1:20" x14ac:dyDescent="0.3">
      <c r="A661" s="384" t="b">
        <v>0</v>
      </c>
      <c r="B661" s="384">
        <f t="shared" si="92"/>
        <v>-38</v>
      </c>
      <c r="C661" s="397" t="s">
        <v>2770</v>
      </c>
      <c r="D661" s="397" t="s">
        <v>2767</v>
      </c>
      <c r="E661" s="384">
        <f t="shared" si="93"/>
        <v>4</v>
      </c>
      <c r="F661" s="398">
        <v>24</v>
      </c>
      <c r="G661" s="388"/>
      <c r="H661" s="384" t="e">
        <f t="shared" si="94"/>
        <v>#VALUE!</v>
      </c>
      <c r="I661" s="386"/>
      <c r="J661" s="389"/>
      <c r="K661" s="389"/>
      <c r="L661" s="388"/>
      <c r="M661" s="397" t="str">
        <f ca="1">IFERROR(IF(COUNTIF($B$517:$B660,"&lt;0")=1,"",OFFSET($C659,-COUNTIF($B$517:$B660,"&lt;0")+3,0)),"")</f>
        <v/>
      </c>
      <c r="N661" s="397" t="str">
        <f ca="1">IFERROR(IF(AND(_xlfn.ISFORMULA(I661),NOT(_xlfn.ISFORMULA(I660))),1,OFFSET($F659,-COUNTIF($B$517:B660,"&lt;0")+3,0)),"")</f>
        <v/>
      </c>
      <c r="O661" s="384">
        <f t="shared" si="95"/>
        <v>142</v>
      </c>
      <c r="P661" s="384"/>
      <c r="Q661" s="384"/>
      <c r="R661" s="384"/>
      <c r="S661" s="384"/>
      <c r="T661" s="388"/>
    </row>
    <row r="662" spans="1:20" x14ac:dyDescent="0.3">
      <c r="A662" s="384" t="b">
        <v>0</v>
      </c>
      <c r="B662" s="384">
        <f t="shared" si="92"/>
        <v>-37</v>
      </c>
      <c r="C662" s="397" t="s">
        <v>2771</v>
      </c>
      <c r="D662" s="397" t="s">
        <v>2767</v>
      </c>
      <c r="E662" s="384">
        <f t="shared" si="93"/>
        <v>5</v>
      </c>
      <c r="F662" s="398">
        <v>24</v>
      </c>
      <c r="G662" s="388"/>
      <c r="H662" s="384" t="e">
        <f t="shared" si="94"/>
        <v>#VALUE!</v>
      </c>
      <c r="I662" s="386"/>
      <c r="J662" s="389"/>
      <c r="K662" s="389"/>
      <c r="L662" s="388"/>
      <c r="M662" s="397" t="str">
        <f ca="1">IFERROR(IF(COUNTIF($B$517:$B661,"&lt;0")=1,"",OFFSET($C660,-COUNTIF($B$517:$B661,"&lt;0")+3,0)),"")</f>
        <v/>
      </c>
      <c r="N662" s="397" t="str">
        <f ca="1">IFERROR(IF(AND(_xlfn.ISFORMULA(I662),NOT(_xlfn.ISFORMULA(I661))),1,OFFSET($F660,-COUNTIF($B$517:B661,"&lt;0")+3,0)),"")</f>
        <v/>
      </c>
      <c r="O662" s="384">
        <f t="shared" si="95"/>
        <v>143</v>
      </c>
      <c r="P662" s="384"/>
      <c r="Q662" s="384"/>
      <c r="R662" s="384"/>
      <c r="S662" s="384"/>
      <c r="T662" s="388"/>
    </row>
    <row r="663" spans="1:20" x14ac:dyDescent="0.3">
      <c r="A663" s="384" t="b">
        <v>0</v>
      </c>
      <c r="B663" s="384">
        <f t="shared" si="92"/>
        <v>-36</v>
      </c>
      <c r="C663" s="397" t="s">
        <v>2772</v>
      </c>
      <c r="D663" s="397" t="s">
        <v>2767</v>
      </c>
      <c r="E663" s="384">
        <f t="shared" si="93"/>
        <v>6</v>
      </c>
      <c r="F663" s="398">
        <v>24</v>
      </c>
      <c r="G663" s="388"/>
      <c r="H663" s="384" t="e">
        <f t="shared" si="94"/>
        <v>#VALUE!</v>
      </c>
      <c r="I663" s="386"/>
      <c r="J663" s="389"/>
      <c r="K663" s="389"/>
      <c r="L663" s="388"/>
      <c r="M663" s="397" t="str">
        <f ca="1">IFERROR(IF(COUNTIF($B$517:$B662,"&lt;0")=1,"",OFFSET($C661,-COUNTIF($B$517:$B662,"&lt;0")+3,0)),"")</f>
        <v/>
      </c>
      <c r="N663" s="397" t="str">
        <f ca="1">IFERROR(IF(AND(_xlfn.ISFORMULA(I663),NOT(_xlfn.ISFORMULA(I662))),1,OFFSET($F661,-COUNTIF($B$517:B662,"&lt;0")+3,0)),"")</f>
        <v/>
      </c>
      <c r="O663" s="384">
        <f t="shared" si="95"/>
        <v>144</v>
      </c>
      <c r="P663" s="384"/>
      <c r="Q663" s="384"/>
      <c r="R663" s="384"/>
      <c r="S663" s="384"/>
      <c r="T663" s="388"/>
    </row>
    <row r="664" spans="1:20" x14ac:dyDescent="0.3">
      <c r="A664" s="384" t="b">
        <v>0</v>
      </c>
      <c r="B664" s="384">
        <f t="shared" si="92"/>
        <v>-35</v>
      </c>
      <c r="C664" s="397" t="s">
        <v>2773</v>
      </c>
      <c r="D664" s="397" t="s">
        <v>2774</v>
      </c>
      <c r="E664" s="384">
        <f t="shared" si="93"/>
        <v>1</v>
      </c>
      <c r="F664" s="398">
        <v>25</v>
      </c>
      <c r="G664" s="388"/>
      <c r="H664" s="384" t="e">
        <f t="shared" si="94"/>
        <v>#VALUE!</v>
      </c>
      <c r="I664" s="386"/>
      <c r="J664" s="389"/>
      <c r="K664" s="389"/>
      <c r="L664" s="388"/>
      <c r="M664" s="397" t="str">
        <f ca="1">IFERROR(IF(COUNTIF($B$517:$B663,"&lt;0")=1,"",OFFSET($C662,-COUNTIF($B$517:$B663,"&lt;0")+3,0)),"")</f>
        <v/>
      </c>
      <c r="N664" s="397" t="str">
        <f ca="1">IFERROR(IF(AND(_xlfn.ISFORMULA(I664),NOT(_xlfn.ISFORMULA(I663))),1,OFFSET($F662,-COUNTIF($B$517:B663,"&lt;0")+3,0)),"")</f>
        <v/>
      </c>
      <c r="O664" s="384">
        <f t="shared" si="95"/>
        <v>145</v>
      </c>
      <c r="P664" s="384"/>
      <c r="Q664" s="384"/>
      <c r="R664" s="384"/>
      <c r="S664" s="384"/>
      <c r="T664" s="388"/>
    </row>
    <row r="665" spans="1:20" x14ac:dyDescent="0.3">
      <c r="A665" s="384" t="b">
        <v>0</v>
      </c>
      <c r="B665" s="384">
        <f t="shared" si="92"/>
        <v>-34</v>
      </c>
      <c r="C665" s="397" t="s">
        <v>2775</v>
      </c>
      <c r="D665" s="397" t="s">
        <v>2774</v>
      </c>
      <c r="E665" s="384">
        <f t="shared" si="93"/>
        <v>2</v>
      </c>
      <c r="F665" s="398">
        <v>25</v>
      </c>
      <c r="G665" s="388"/>
      <c r="H665" s="384" t="e">
        <f t="shared" si="94"/>
        <v>#VALUE!</v>
      </c>
      <c r="I665" s="386"/>
      <c r="J665" s="389"/>
      <c r="K665" s="389"/>
      <c r="L665" s="388"/>
      <c r="M665" s="397" t="str">
        <f ca="1">IFERROR(IF(COUNTIF($B$517:$B664,"&lt;0")=1,"",OFFSET($C663,-COUNTIF($B$517:$B664,"&lt;0")+3,0)),"")</f>
        <v/>
      </c>
      <c r="N665" s="397" t="str">
        <f ca="1">IFERROR(IF(AND(_xlfn.ISFORMULA(I665),NOT(_xlfn.ISFORMULA(I664))),1,OFFSET($F663,-COUNTIF($B$517:B664,"&lt;0")+3,0)),"")</f>
        <v/>
      </c>
      <c r="O665" s="384">
        <f t="shared" si="95"/>
        <v>146</v>
      </c>
      <c r="P665" s="384"/>
      <c r="Q665" s="384"/>
      <c r="R665" s="384"/>
      <c r="S665" s="384"/>
      <c r="T665" s="388"/>
    </row>
    <row r="666" spans="1:20" x14ac:dyDescent="0.3">
      <c r="A666" s="384" t="b">
        <v>0</v>
      </c>
      <c r="B666" s="384">
        <f t="shared" si="92"/>
        <v>-33</v>
      </c>
      <c r="C666" s="397" t="s">
        <v>2776</v>
      </c>
      <c r="D666" s="397" t="s">
        <v>2774</v>
      </c>
      <c r="E666" s="384">
        <f t="shared" si="93"/>
        <v>3</v>
      </c>
      <c r="F666" s="398">
        <v>25</v>
      </c>
      <c r="G666" s="388"/>
      <c r="H666" s="384" t="e">
        <f t="shared" si="94"/>
        <v>#VALUE!</v>
      </c>
      <c r="I666" s="386"/>
      <c r="J666" s="389"/>
      <c r="K666" s="389"/>
      <c r="L666" s="388"/>
      <c r="M666" s="397" t="str">
        <f ca="1">IFERROR(IF(COUNTIF($B$517:$B665,"&lt;0")=1,"",OFFSET($C664,-COUNTIF($B$517:$B665,"&lt;0")+3,0)),"")</f>
        <v/>
      </c>
      <c r="N666" s="397" t="str">
        <f ca="1">IFERROR(IF(AND(_xlfn.ISFORMULA(I666),NOT(_xlfn.ISFORMULA(I665))),1,OFFSET($F664,-COUNTIF($B$517:B665,"&lt;0")+3,0)),"")</f>
        <v/>
      </c>
      <c r="O666" s="384">
        <f t="shared" si="95"/>
        <v>147</v>
      </c>
      <c r="P666" s="384"/>
      <c r="Q666" s="384"/>
      <c r="R666" s="384"/>
      <c r="S666" s="384"/>
      <c r="T666" s="388"/>
    </row>
    <row r="667" spans="1:20" x14ac:dyDescent="0.3">
      <c r="A667" s="384" t="b">
        <v>0</v>
      </c>
      <c r="B667" s="384">
        <f t="shared" si="92"/>
        <v>-32</v>
      </c>
      <c r="C667" s="397" t="s">
        <v>2777</v>
      </c>
      <c r="D667" s="397" t="s">
        <v>2774</v>
      </c>
      <c r="E667" s="384">
        <f t="shared" si="93"/>
        <v>4</v>
      </c>
      <c r="F667" s="398">
        <v>25</v>
      </c>
      <c r="G667" s="388"/>
      <c r="H667" s="384" t="e">
        <f t="shared" si="94"/>
        <v>#VALUE!</v>
      </c>
      <c r="I667" s="386"/>
      <c r="J667" s="389"/>
      <c r="K667" s="389"/>
      <c r="L667" s="388"/>
      <c r="M667" s="397" t="str">
        <f ca="1">IFERROR(IF(COUNTIF($B$517:$B666,"&lt;0")=1,"",OFFSET($C665,-COUNTIF($B$517:$B666,"&lt;0")+3,0)),"")</f>
        <v/>
      </c>
      <c r="N667" s="397" t="str">
        <f ca="1">IFERROR(IF(AND(_xlfn.ISFORMULA(I667),NOT(_xlfn.ISFORMULA(I666))),1,OFFSET($F665,-COUNTIF($B$517:B666,"&lt;0")+3,0)),"")</f>
        <v/>
      </c>
      <c r="O667" s="384">
        <f t="shared" si="95"/>
        <v>148</v>
      </c>
      <c r="P667" s="384"/>
      <c r="Q667" s="384"/>
      <c r="R667" s="384"/>
      <c r="S667" s="384"/>
      <c r="T667" s="388"/>
    </row>
    <row r="668" spans="1:20" x14ac:dyDescent="0.3">
      <c r="A668" s="384" t="b">
        <v>0</v>
      </c>
      <c r="B668" s="384">
        <f t="shared" si="92"/>
        <v>-31</v>
      </c>
      <c r="C668" s="397" t="s">
        <v>2778</v>
      </c>
      <c r="D668" s="397" t="s">
        <v>2774</v>
      </c>
      <c r="E668" s="384">
        <f t="shared" si="93"/>
        <v>5</v>
      </c>
      <c r="F668" s="398">
        <v>25</v>
      </c>
      <c r="G668" s="388"/>
      <c r="H668" s="384" t="e">
        <f t="shared" si="94"/>
        <v>#VALUE!</v>
      </c>
      <c r="I668" s="386"/>
      <c r="J668" s="389"/>
      <c r="K668" s="389"/>
      <c r="L668" s="388"/>
      <c r="M668" s="397" t="str">
        <f ca="1">IFERROR(IF(COUNTIF($B$517:$B667,"&lt;0")=1,"",OFFSET($C666,-COUNTIF($B$517:$B667,"&lt;0")+3,0)),"")</f>
        <v/>
      </c>
      <c r="N668" s="397" t="str">
        <f ca="1">IFERROR(IF(AND(_xlfn.ISFORMULA(I668),NOT(_xlfn.ISFORMULA(I667))),1,OFFSET($F666,-COUNTIF($B$517:B667,"&lt;0")+3,0)),"")</f>
        <v/>
      </c>
      <c r="O668" s="384">
        <f t="shared" si="95"/>
        <v>149</v>
      </c>
      <c r="P668" s="384"/>
      <c r="Q668" s="384"/>
      <c r="R668" s="384"/>
      <c r="S668" s="384"/>
      <c r="T668" s="388"/>
    </row>
    <row r="669" spans="1:20" x14ac:dyDescent="0.3">
      <c r="A669" s="384" t="b">
        <v>0</v>
      </c>
      <c r="B669" s="384">
        <f t="shared" si="92"/>
        <v>-30</v>
      </c>
      <c r="C669" s="397" t="s">
        <v>2779</v>
      </c>
      <c r="D669" s="397" t="s">
        <v>2774</v>
      </c>
      <c r="E669" s="384">
        <f t="shared" si="93"/>
        <v>6</v>
      </c>
      <c r="F669" s="398">
        <v>25</v>
      </c>
      <c r="G669" s="388"/>
      <c r="H669" s="384" t="e">
        <f t="shared" si="94"/>
        <v>#VALUE!</v>
      </c>
      <c r="I669" s="386"/>
      <c r="J669" s="389"/>
      <c r="K669" s="389"/>
      <c r="L669" s="388"/>
      <c r="M669" s="397" t="str">
        <f ca="1">IFERROR(IF(COUNTIF($B$517:$B668,"&lt;0")=1,"",OFFSET($C667,-COUNTIF($B$517:$B668,"&lt;0")+3,0)),"")</f>
        <v/>
      </c>
      <c r="N669" s="397" t="str">
        <f ca="1">IFERROR(IF(AND(_xlfn.ISFORMULA(I669),NOT(_xlfn.ISFORMULA(I668))),1,OFFSET($F667,-COUNTIF($B$517:B668,"&lt;0")+3,0)),"")</f>
        <v/>
      </c>
      <c r="O669" s="384">
        <f t="shared" si="95"/>
        <v>150</v>
      </c>
      <c r="P669" s="384"/>
      <c r="Q669" s="384"/>
      <c r="R669" s="384"/>
      <c r="S669" s="384"/>
      <c r="T669" s="388"/>
    </row>
    <row r="670" spans="1:20" x14ac:dyDescent="0.3">
      <c r="A670" s="384" t="b">
        <v>0</v>
      </c>
      <c r="B670" s="384">
        <f t="shared" si="92"/>
        <v>-29</v>
      </c>
      <c r="C670" s="397" t="s">
        <v>2780</v>
      </c>
      <c r="D670" s="397" t="s">
        <v>2781</v>
      </c>
      <c r="E670" s="384">
        <f t="shared" si="93"/>
        <v>1</v>
      </c>
      <c r="F670" s="398">
        <v>26</v>
      </c>
      <c r="G670" s="388"/>
      <c r="H670" s="384" t="e">
        <f t="shared" si="94"/>
        <v>#VALUE!</v>
      </c>
      <c r="I670" s="386"/>
      <c r="J670" s="389"/>
      <c r="K670" s="389"/>
      <c r="L670" s="388"/>
      <c r="M670" s="397" t="str">
        <f ca="1">IFERROR(IF(COUNTIF($B$517:$B669,"&lt;0")=1,"",OFFSET($C668,-COUNTIF($B$517:$B669,"&lt;0")+3,0)),"")</f>
        <v/>
      </c>
      <c r="N670" s="397" t="str">
        <f ca="1">IFERROR(IF(AND(_xlfn.ISFORMULA(I670),NOT(_xlfn.ISFORMULA(I669))),1,OFFSET($F668,-COUNTIF($B$517:B669,"&lt;0")+3,0)),"")</f>
        <v/>
      </c>
      <c r="O670" s="384">
        <f t="shared" si="95"/>
        <v>151</v>
      </c>
      <c r="P670" s="384"/>
      <c r="Q670" s="384"/>
      <c r="R670" s="384"/>
      <c r="S670" s="384"/>
      <c r="T670" s="388"/>
    </row>
    <row r="671" spans="1:20" x14ac:dyDescent="0.3">
      <c r="A671" s="384" t="b">
        <v>0</v>
      </c>
      <c r="B671" s="384">
        <f t="shared" si="92"/>
        <v>-28</v>
      </c>
      <c r="C671" s="397" t="s">
        <v>2782</v>
      </c>
      <c r="D671" s="397" t="s">
        <v>2781</v>
      </c>
      <c r="E671" s="384">
        <f t="shared" si="93"/>
        <v>2</v>
      </c>
      <c r="F671" s="398">
        <v>26</v>
      </c>
      <c r="G671" s="388"/>
      <c r="H671" s="384" t="e">
        <f t="shared" si="94"/>
        <v>#VALUE!</v>
      </c>
      <c r="I671" s="386"/>
      <c r="J671" s="389"/>
      <c r="K671" s="389"/>
      <c r="L671" s="388"/>
      <c r="M671" s="397" t="str">
        <f ca="1">IFERROR(IF(COUNTIF($B$517:$B670,"&lt;0")=1,"",OFFSET($C669,-COUNTIF($B$517:$B670,"&lt;0")+3,0)),"")</f>
        <v/>
      </c>
      <c r="N671" s="397" t="str">
        <f ca="1">IFERROR(IF(AND(_xlfn.ISFORMULA(I671),NOT(_xlfn.ISFORMULA(I670))),1,OFFSET($F669,-COUNTIF($B$517:B670,"&lt;0")+3,0)),"")</f>
        <v/>
      </c>
      <c r="O671" s="384">
        <f t="shared" si="95"/>
        <v>152</v>
      </c>
      <c r="P671" s="384"/>
      <c r="Q671" s="384"/>
      <c r="R671" s="384"/>
      <c r="S671" s="384"/>
      <c r="T671" s="388"/>
    </row>
    <row r="672" spans="1:20" x14ac:dyDescent="0.3">
      <c r="A672" s="384" t="b">
        <v>0</v>
      </c>
      <c r="B672" s="384">
        <f t="shared" si="92"/>
        <v>-27</v>
      </c>
      <c r="C672" s="397" t="s">
        <v>2783</v>
      </c>
      <c r="D672" s="397" t="s">
        <v>2781</v>
      </c>
      <c r="E672" s="384">
        <f t="shared" si="93"/>
        <v>3</v>
      </c>
      <c r="F672" s="398">
        <v>26</v>
      </c>
      <c r="G672" s="388"/>
      <c r="H672" s="384" t="e">
        <f t="shared" si="94"/>
        <v>#VALUE!</v>
      </c>
      <c r="I672" s="386"/>
      <c r="J672" s="389"/>
      <c r="K672" s="389"/>
      <c r="L672" s="388"/>
      <c r="M672" s="397" t="str">
        <f ca="1">IFERROR(IF(COUNTIF($B$517:$B671,"&lt;0")=1,"",OFFSET($C670,-COUNTIF($B$517:$B671,"&lt;0")+3,0)),"")</f>
        <v/>
      </c>
      <c r="N672" s="397" t="str">
        <f ca="1">IFERROR(IF(AND(_xlfn.ISFORMULA(I672),NOT(_xlfn.ISFORMULA(I671))),1,OFFSET($F670,-COUNTIF($B$517:B671,"&lt;0")+3,0)),"")</f>
        <v/>
      </c>
      <c r="O672" s="384">
        <f t="shared" si="95"/>
        <v>153</v>
      </c>
      <c r="P672" s="384"/>
      <c r="Q672" s="384"/>
      <c r="R672" s="384"/>
      <c r="S672" s="384"/>
      <c r="T672" s="388"/>
    </row>
    <row r="673" spans="1:20" x14ac:dyDescent="0.3">
      <c r="A673" s="384" t="b">
        <v>0</v>
      </c>
      <c r="B673" s="384">
        <f t="shared" si="92"/>
        <v>-26</v>
      </c>
      <c r="C673" s="397" t="s">
        <v>2784</v>
      </c>
      <c r="D673" s="397" t="s">
        <v>2781</v>
      </c>
      <c r="E673" s="384">
        <f t="shared" si="93"/>
        <v>4</v>
      </c>
      <c r="F673" s="398">
        <v>26</v>
      </c>
      <c r="G673" s="388"/>
      <c r="H673" s="384" t="e">
        <f t="shared" si="94"/>
        <v>#VALUE!</v>
      </c>
      <c r="I673" s="386"/>
      <c r="J673" s="389"/>
      <c r="K673" s="389"/>
      <c r="L673" s="388"/>
      <c r="M673" s="397" t="str">
        <f ca="1">IFERROR(IF(COUNTIF($B$517:$B672,"&lt;0")=1,"",OFFSET($C671,-COUNTIF($B$517:$B672,"&lt;0")+3,0)),"")</f>
        <v/>
      </c>
      <c r="N673" s="397" t="str">
        <f ca="1">IFERROR(IF(AND(_xlfn.ISFORMULA(I673),NOT(_xlfn.ISFORMULA(I672))),1,OFFSET($F671,-COUNTIF($B$517:B672,"&lt;0")+3,0)),"")</f>
        <v/>
      </c>
      <c r="O673" s="384">
        <f t="shared" si="95"/>
        <v>154</v>
      </c>
      <c r="P673" s="384"/>
      <c r="Q673" s="384"/>
      <c r="R673" s="384"/>
      <c r="S673" s="384"/>
      <c r="T673" s="388"/>
    </row>
    <row r="674" spans="1:20" x14ac:dyDescent="0.3">
      <c r="A674" s="384" t="b">
        <v>0</v>
      </c>
      <c r="B674" s="384">
        <f t="shared" si="92"/>
        <v>-25</v>
      </c>
      <c r="C674" s="397" t="s">
        <v>2785</v>
      </c>
      <c r="D674" s="397" t="s">
        <v>2781</v>
      </c>
      <c r="E674" s="384">
        <f t="shared" si="93"/>
        <v>5</v>
      </c>
      <c r="F674" s="398">
        <v>26</v>
      </c>
      <c r="G674" s="388"/>
      <c r="H674" s="384" t="e">
        <f t="shared" si="94"/>
        <v>#VALUE!</v>
      </c>
      <c r="I674" s="386"/>
      <c r="J674" s="389"/>
      <c r="K674" s="389"/>
      <c r="L674" s="388"/>
      <c r="M674" s="397" t="str">
        <f ca="1">IFERROR(IF(COUNTIF($B$517:$B673,"&lt;0")=1,"",OFFSET($C672,-COUNTIF($B$517:$B673,"&lt;0")+3,0)),"")</f>
        <v/>
      </c>
      <c r="N674" s="397" t="str">
        <f ca="1">IFERROR(IF(AND(_xlfn.ISFORMULA(I674),NOT(_xlfn.ISFORMULA(I673))),1,OFFSET($F672,-COUNTIF($B$517:B673,"&lt;0")+3,0)),"")</f>
        <v/>
      </c>
      <c r="O674" s="384">
        <f t="shared" si="95"/>
        <v>155</v>
      </c>
      <c r="P674" s="384"/>
      <c r="Q674" s="384"/>
      <c r="R674" s="384"/>
      <c r="S674" s="384"/>
      <c r="T674" s="388"/>
    </row>
    <row r="675" spans="1:20" x14ac:dyDescent="0.3">
      <c r="A675" s="384" t="b">
        <v>0</v>
      </c>
      <c r="B675" s="384">
        <f t="shared" si="92"/>
        <v>-24</v>
      </c>
      <c r="C675" s="397" t="s">
        <v>2786</v>
      </c>
      <c r="D675" s="397" t="s">
        <v>2781</v>
      </c>
      <c r="E675" s="384">
        <f t="shared" si="93"/>
        <v>6</v>
      </c>
      <c r="F675" s="398">
        <v>26</v>
      </c>
      <c r="G675" s="388"/>
      <c r="H675" s="384" t="e">
        <f t="shared" si="94"/>
        <v>#VALUE!</v>
      </c>
      <c r="I675" s="386"/>
      <c r="J675" s="389"/>
      <c r="K675" s="389"/>
      <c r="L675" s="388"/>
      <c r="M675" s="397" t="str">
        <f ca="1">IFERROR(IF(COUNTIF($B$517:$B674,"&lt;0")=1,"",OFFSET($C673,-COUNTIF($B$517:$B674,"&lt;0")+3,0)),"")</f>
        <v/>
      </c>
      <c r="N675" s="397" t="str">
        <f ca="1">IFERROR(IF(AND(_xlfn.ISFORMULA(I675),NOT(_xlfn.ISFORMULA(I674))),1,OFFSET($F673,-COUNTIF($B$517:B674,"&lt;0")+3,0)),"")</f>
        <v/>
      </c>
      <c r="O675" s="384">
        <f t="shared" si="95"/>
        <v>156</v>
      </c>
      <c r="P675" s="384"/>
      <c r="Q675" s="384"/>
      <c r="R675" s="384"/>
      <c r="S675" s="384"/>
      <c r="T675" s="388"/>
    </row>
    <row r="676" spans="1:20" x14ac:dyDescent="0.3">
      <c r="A676" s="384" t="b">
        <v>0</v>
      </c>
      <c r="B676" s="384">
        <f t="shared" si="92"/>
        <v>-23</v>
      </c>
      <c r="C676" s="397" t="s">
        <v>2787</v>
      </c>
      <c r="D676" s="397" t="s">
        <v>2788</v>
      </c>
      <c r="E676" s="384">
        <f t="shared" si="93"/>
        <v>1</v>
      </c>
      <c r="F676" s="398">
        <v>27</v>
      </c>
      <c r="G676" s="388"/>
      <c r="H676" s="384" t="e">
        <f t="shared" si="94"/>
        <v>#VALUE!</v>
      </c>
      <c r="I676" s="386"/>
      <c r="J676" s="389"/>
      <c r="K676" s="389"/>
      <c r="L676" s="388"/>
      <c r="M676" s="397" t="str">
        <f ca="1">IFERROR(IF(COUNTIF($B$517:$B675,"&lt;0")=1,"",OFFSET($C674,-COUNTIF($B$517:$B675,"&lt;0")+3,0)),"")</f>
        <v/>
      </c>
      <c r="N676" s="397" t="str">
        <f ca="1">IFERROR(IF(AND(_xlfn.ISFORMULA(I676),NOT(_xlfn.ISFORMULA(I675))),1,OFFSET($F674,-COUNTIF($B$517:B675,"&lt;0")+3,0)),"")</f>
        <v/>
      </c>
      <c r="O676" s="384">
        <f t="shared" si="95"/>
        <v>157</v>
      </c>
      <c r="P676" s="384"/>
      <c r="Q676" s="384"/>
      <c r="R676" s="384"/>
      <c r="S676" s="384"/>
      <c r="T676" s="388"/>
    </row>
    <row r="677" spans="1:20" x14ac:dyDescent="0.3">
      <c r="A677" s="384" t="b">
        <v>0</v>
      </c>
      <c r="B677" s="384">
        <f t="shared" si="92"/>
        <v>-22</v>
      </c>
      <c r="C677" s="397" t="s">
        <v>2789</v>
      </c>
      <c r="D677" s="397" t="s">
        <v>2788</v>
      </c>
      <c r="E677" s="384">
        <f t="shared" si="93"/>
        <v>2</v>
      </c>
      <c r="F677" s="398">
        <v>27</v>
      </c>
      <c r="G677" s="388"/>
      <c r="H677" s="384" t="e">
        <f t="shared" si="94"/>
        <v>#VALUE!</v>
      </c>
      <c r="I677" s="386"/>
      <c r="J677" s="389"/>
      <c r="K677" s="389"/>
      <c r="L677" s="388"/>
      <c r="M677" s="397" t="str">
        <f ca="1">IFERROR(IF(COUNTIF($B$517:$B676,"&lt;0")=1,"",OFFSET($C675,-COUNTIF($B$517:$B676,"&lt;0")+3,0)),"")</f>
        <v/>
      </c>
      <c r="N677" s="397" t="str">
        <f ca="1">IFERROR(IF(AND(_xlfn.ISFORMULA(I677),NOT(_xlfn.ISFORMULA(I676))),1,OFFSET($F675,-COUNTIF($B$517:B676,"&lt;0")+3,0)),"")</f>
        <v/>
      </c>
      <c r="O677" s="384">
        <f t="shared" si="95"/>
        <v>158</v>
      </c>
      <c r="P677" s="384"/>
      <c r="Q677" s="384"/>
      <c r="R677" s="384"/>
      <c r="S677" s="384"/>
      <c r="T677" s="388"/>
    </row>
    <row r="678" spans="1:20" x14ac:dyDescent="0.3">
      <c r="A678" s="384" t="b">
        <v>0</v>
      </c>
      <c r="B678" s="384">
        <f t="shared" si="92"/>
        <v>-21</v>
      </c>
      <c r="C678" s="397" t="s">
        <v>2790</v>
      </c>
      <c r="D678" s="397" t="s">
        <v>2788</v>
      </c>
      <c r="E678" s="384">
        <f t="shared" si="93"/>
        <v>3</v>
      </c>
      <c r="F678" s="398">
        <v>27</v>
      </c>
      <c r="G678" s="388"/>
      <c r="H678" s="384" t="e">
        <f t="shared" si="94"/>
        <v>#VALUE!</v>
      </c>
      <c r="I678" s="386"/>
      <c r="J678" s="389"/>
      <c r="K678" s="389"/>
      <c r="L678" s="388"/>
      <c r="M678" s="397" t="str">
        <f ca="1">IFERROR(IF(COUNTIF($B$517:$B677,"&lt;0")=1,"",OFFSET($C676,-COUNTIF($B$517:$B677,"&lt;0")+3,0)),"")</f>
        <v/>
      </c>
      <c r="N678" s="397" t="str">
        <f ca="1">IFERROR(IF(AND(_xlfn.ISFORMULA(I678),NOT(_xlfn.ISFORMULA(I677))),1,OFFSET($F676,-COUNTIF($B$517:B677,"&lt;0")+3,0)),"")</f>
        <v/>
      </c>
      <c r="O678" s="384">
        <f t="shared" si="95"/>
        <v>159</v>
      </c>
      <c r="P678" s="384"/>
      <c r="Q678" s="384"/>
      <c r="R678" s="384"/>
      <c r="S678" s="384"/>
      <c r="T678" s="388"/>
    </row>
    <row r="679" spans="1:20" x14ac:dyDescent="0.3">
      <c r="A679" s="384" t="b">
        <v>0</v>
      </c>
      <c r="B679" s="384">
        <f t="shared" si="92"/>
        <v>-20</v>
      </c>
      <c r="C679" s="397" t="s">
        <v>2791</v>
      </c>
      <c r="D679" s="397" t="s">
        <v>2788</v>
      </c>
      <c r="E679" s="384">
        <f t="shared" si="93"/>
        <v>4</v>
      </c>
      <c r="F679" s="398">
        <v>27</v>
      </c>
      <c r="G679" s="388"/>
      <c r="H679" s="384" t="e">
        <f t="shared" si="94"/>
        <v>#VALUE!</v>
      </c>
      <c r="I679" s="386"/>
      <c r="J679" s="389"/>
      <c r="K679" s="389"/>
      <c r="L679" s="388"/>
      <c r="M679" s="397" t="str">
        <f ca="1">IFERROR(IF(COUNTIF($B$517:$B678,"&lt;0")=1,"",OFFSET($C677,-COUNTIF($B$517:$B678,"&lt;0")+3,0)),"")</f>
        <v/>
      </c>
      <c r="N679" s="397" t="str">
        <f ca="1">IFERROR(IF(AND(_xlfn.ISFORMULA(I679),NOT(_xlfn.ISFORMULA(I678))),1,OFFSET($F677,-COUNTIF($B$517:B678,"&lt;0")+3,0)),"")</f>
        <v/>
      </c>
      <c r="O679" s="384">
        <f t="shared" si="95"/>
        <v>160</v>
      </c>
      <c r="P679" s="384"/>
      <c r="Q679" s="384"/>
      <c r="R679" s="384"/>
      <c r="S679" s="384"/>
      <c r="T679" s="388"/>
    </row>
    <row r="680" spans="1:20" x14ac:dyDescent="0.3">
      <c r="A680" s="384" t="b">
        <v>0</v>
      </c>
      <c r="B680" s="384">
        <f t="shared" si="92"/>
        <v>-19</v>
      </c>
      <c r="C680" s="397" t="s">
        <v>2792</v>
      </c>
      <c r="D680" s="397" t="s">
        <v>2788</v>
      </c>
      <c r="E680" s="384">
        <f t="shared" si="93"/>
        <v>5</v>
      </c>
      <c r="F680" s="398">
        <v>27</v>
      </c>
      <c r="G680" s="388"/>
      <c r="H680" s="384" t="e">
        <f t="shared" si="94"/>
        <v>#VALUE!</v>
      </c>
      <c r="I680" s="386"/>
      <c r="J680" s="389"/>
      <c r="K680" s="389"/>
      <c r="L680" s="388"/>
      <c r="M680" s="397" t="str">
        <f ca="1">IFERROR(IF(COUNTIF($B$517:$B679,"&lt;0")=1,"",OFFSET($C678,-COUNTIF($B$517:$B679,"&lt;0")+3,0)),"")</f>
        <v/>
      </c>
      <c r="N680" s="397" t="str">
        <f ca="1">IFERROR(IF(AND(_xlfn.ISFORMULA(I680),NOT(_xlfn.ISFORMULA(I679))),1,OFFSET($F678,-COUNTIF($B$517:B679,"&lt;0")+3,0)),"")</f>
        <v/>
      </c>
      <c r="O680" s="384">
        <f t="shared" si="95"/>
        <v>161</v>
      </c>
      <c r="P680" s="384"/>
      <c r="Q680" s="384"/>
      <c r="R680" s="384"/>
      <c r="S680" s="384"/>
      <c r="T680" s="388"/>
    </row>
    <row r="681" spans="1:20" x14ac:dyDescent="0.3">
      <c r="A681" s="384" t="b">
        <v>0</v>
      </c>
      <c r="B681" s="384">
        <f t="shared" si="92"/>
        <v>-18</v>
      </c>
      <c r="C681" s="397" t="s">
        <v>2793</v>
      </c>
      <c r="D681" s="397" t="s">
        <v>2788</v>
      </c>
      <c r="E681" s="384">
        <f t="shared" si="93"/>
        <v>6</v>
      </c>
      <c r="F681" s="398">
        <v>27</v>
      </c>
      <c r="G681" s="388"/>
      <c r="H681" s="384" t="e">
        <f t="shared" si="94"/>
        <v>#VALUE!</v>
      </c>
      <c r="I681" s="386"/>
      <c r="J681" s="389"/>
      <c r="K681" s="389"/>
      <c r="L681" s="388"/>
      <c r="M681" s="397" t="str">
        <f ca="1">IFERROR(IF(COUNTIF($B$517:$B680,"&lt;0")=1,"",OFFSET($C679,-COUNTIF($B$517:$B680,"&lt;0")+3,0)),"")</f>
        <v/>
      </c>
      <c r="N681" s="397" t="str">
        <f ca="1">IFERROR(IF(AND(_xlfn.ISFORMULA(I681),NOT(_xlfn.ISFORMULA(I680))),1,OFFSET($F679,-COUNTIF($B$517:B680,"&lt;0")+3,0)),"")</f>
        <v/>
      </c>
      <c r="O681" s="384">
        <f t="shared" si="95"/>
        <v>162</v>
      </c>
      <c r="P681" s="384"/>
      <c r="Q681" s="384"/>
      <c r="R681" s="384"/>
      <c r="S681" s="384"/>
      <c r="T681" s="388"/>
    </row>
    <row r="682" spans="1:20" x14ac:dyDescent="0.3">
      <c r="A682" s="384" t="b">
        <v>0</v>
      </c>
      <c r="B682" s="384">
        <f t="shared" si="92"/>
        <v>-17</v>
      </c>
      <c r="C682" s="397" t="s">
        <v>2794</v>
      </c>
      <c r="D682" s="397" t="s">
        <v>2795</v>
      </c>
      <c r="E682" s="384">
        <f t="shared" si="93"/>
        <v>1</v>
      </c>
      <c r="F682" s="398">
        <v>28</v>
      </c>
      <c r="G682" s="388"/>
      <c r="H682" s="384" t="e">
        <f t="shared" si="94"/>
        <v>#VALUE!</v>
      </c>
      <c r="I682" s="386"/>
      <c r="J682" s="389"/>
      <c r="K682" s="389"/>
      <c r="L682" s="388"/>
      <c r="M682" s="397" t="str">
        <f ca="1">IFERROR(IF(COUNTIF($B$517:$B681,"&lt;0")=1,"",OFFSET($C680,-COUNTIF($B$517:$B681,"&lt;0")+3,0)),"")</f>
        <v/>
      </c>
      <c r="N682" s="397" t="str">
        <f ca="1">IFERROR(IF(AND(_xlfn.ISFORMULA(I682),NOT(_xlfn.ISFORMULA(I681))),1,OFFSET($F680,-COUNTIF($B$517:B681,"&lt;0")+3,0)),"")</f>
        <v/>
      </c>
      <c r="O682" s="384">
        <f t="shared" si="95"/>
        <v>163</v>
      </c>
      <c r="P682" s="384"/>
      <c r="Q682" s="384"/>
      <c r="R682" s="384"/>
      <c r="S682" s="384"/>
      <c r="T682" s="388"/>
    </row>
    <row r="683" spans="1:20" x14ac:dyDescent="0.3">
      <c r="A683" s="384" t="b">
        <v>0</v>
      </c>
      <c r="B683" s="384">
        <f t="shared" si="92"/>
        <v>-16</v>
      </c>
      <c r="C683" s="397" t="s">
        <v>2796</v>
      </c>
      <c r="D683" s="397" t="s">
        <v>2795</v>
      </c>
      <c r="E683" s="384">
        <f t="shared" si="93"/>
        <v>2</v>
      </c>
      <c r="F683" s="398">
        <v>28</v>
      </c>
      <c r="G683" s="388"/>
      <c r="H683" s="384" t="e">
        <f t="shared" si="94"/>
        <v>#VALUE!</v>
      </c>
      <c r="I683" s="386"/>
      <c r="J683" s="389"/>
      <c r="K683" s="389"/>
      <c r="L683" s="388"/>
      <c r="M683" s="397" t="str">
        <f ca="1">IFERROR(IF(COUNTIF($B$517:$B682,"&lt;0")=1,"",OFFSET($C681,-COUNTIF($B$517:$B682,"&lt;0")+3,0)),"")</f>
        <v/>
      </c>
      <c r="N683" s="397" t="str">
        <f ca="1">IFERROR(IF(AND(_xlfn.ISFORMULA(I683),NOT(_xlfn.ISFORMULA(I682))),1,OFFSET($F681,-COUNTIF($B$517:B682,"&lt;0")+3,0)),"")</f>
        <v/>
      </c>
      <c r="O683" s="384">
        <f t="shared" si="95"/>
        <v>164</v>
      </c>
      <c r="P683" s="384"/>
      <c r="Q683" s="384"/>
      <c r="R683" s="384"/>
      <c r="S683" s="384"/>
      <c r="T683" s="388"/>
    </row>
    <row r="684" spans="1:20" x14ac:dyDescent="0.3">
      <c r="A684" s="384" t="b">
        <v>0</v>
      </c>
      <c r="B684" s="384">
        <f t="shared" si="92"/>
        <v>-15</v>
      </c>
      <c r="C684" s="397" t="s">
        <v>2797</v>
      </c>
      <c r="D684" s="397" t="s">
        <v>2795</v>
      </c>
      <c r="E684" s="384">
        <f t="shared" si="93"/>
        <v>3</v>
      </c>
      <c r="F684" s="398">
        <v>28</v>
      </c>
      <c r="G684" s="388"/>
      <c r="H684" s="384" t="e">
        <f t="shared" si="94"/>
        <v>#VALUE!</v>
      </c>
      <c r="I684" s="386"/>
      <c r="J684" s="389"/>
      <c r="K684" s="389"/>
      <c r="L684" s="388"/>
      <c r="M684" s="397" t="str">
        <f ca="1">IFERROR(IF(COUNTIF($B$517:$B683,"&lt;0")=1,"",OFFSET($C682,-COUNTIF($B$517:$B683,"&lt;0")+3,0)),"")</f>
        <v/>
      </c>
      <c r="N684" s="397" t="str">
        <f ca="1">IFERROR(IF(AND(_xlfn.ISFORMULA(I684),NOT(_xlfn.ISFORMULA(I683))),1,OFFSET($F682,-COUNTIF($B$517:B683,"&lt;0")+3,0)),"")</f>
        <v/>
      </c>
      <c r="O684" s="384">
        <f t="shared" si="95"/>
        <v>165</v>
      </c>
      <c r="P684" s="384"/>
      <c r="Q684" s="384"/>
      <c r="R684" s="384"/>
      <c r="S684" s="384"/>
      <c r="T684" s="388"/>
    </row>
    <row r="685" spans="1:20" x14ac:dyDescent="0.3">
      <c r="A685" s="384" t="b">
        <v>0</v>
      </c>
      <c r="B685" s="384">
        <f t="shared" si="92"/>
        <v>-14</v>
      </c>
      <c r="C685" s="397" t="s">
        <v>2798</v>
      </c>
      <c r="D685" s="397" t="s">
        <v>2795</v>
      </c>
      <c r="E685" s="384">
        <f t="shared" si="93"/>
        <v>4</v>
      </c>
      <c r="F685" s="398">
        <v>28</v>
      </c>
      <c r="G685" s="388"/>
      <c r="H685" s="384" t="e">
        <f t="shared" si="94"/>
        <v>#VALUE!</v>
      </c>
      <c r="I685" s="386"/>
      <c r="J685" s="389"/>
      <c r="K685" s="389"/>
      <c r="L685" s="388"/>
      <c r="M685" s="397" t="str">
        <f ca="1">IFERROR(IF(COUNTIF($B$517:$B684,"&lt;0")=1,"",OFFSET($C683,-COUNTIF($B$517:$B684,"&lt;0")+3,0)),"")</f>
        <v/>
      </c>
      <c r="N685" s="397" t="str">
        <f ca="1">IFERROR(IF(AND(_xlfn.ISFORMULA(I685),NOT(_xlfn.ISFORMULA(I684))),1,OFFSET($F683,-COUNTIF($B$517:B684,"&lt;0")+3,0)),"")</f>
        <v/>
      </c>
      <c r="O685" s="384">
        <f t="shared" si="95"/>
        <v>166</v>
      </c>
      <c r="P685" s="384"/>
      <c r="Q685" s="384"/>
      <c r="R685" s="384"/>
      <c r="S685" s="384"/>
      <c r="T685" s="388"/>
    </row>
    <row r="686" spans="1:20" x14ac:dyDescent="0.3">
      <c r="A686" s="384" t="b">
        <v>0</v>
      </c>
      <c r="B686" s="384">
        <f t="shared" si="92"/>
        <v>-13</v>
      </c>
      <c r="C686" s="397" t="s">
        <v>2799</v>
      </c>
      <c r="D686" s="397" t="s">
        <v>2795</v>
      </c>
      <c r="E686" s="384">
        <f t="shared" si="93"/>
        <v>5</v>
      </c>
      <c r="F686" s="398">
        <v>28</v>
      </c>
      <c r="G686" s="388"/>
      <c r="H686" s="384" t="e">
        <f t="shared" si="94"/>
        <v>#VALUE!</v>
      </c>
      <c r="I686" s="386"/>
      <c r="J686" s="389"/>
      <c r="K686" s="389"/>
      <c r="L686" s="388"/>
      <c r="M686" s="397" t="str">
        <f ca="1">IFERROR(IF(COUNTIF($B$517:$B685,"&lt;0")=1,"",OFFSET($C684,-COUNTIF($B$517:$B685,"&lt;0")+3,0)),"")</f>
        <v/>
      </c>
      <c r="N686" s="397" t="str">
        <f ca="1">IFERROR(IF(AND(_xlfn.ISFORMULA(I686),NOT(_xlfn.ISFORMULA(I685))),1,OFFSET($F684,-COUNTIF($B$517:B685,"&lt;0")+3,0)),"")</f>
        <v/>
      </c>
      <c r="O686" s="384">
        <f t="shared" si="95"/>
        <v>167</v>
      </c>
      <c r="P686" s="384"/>
      <c r="Q686" s="384"/>
      <c r="R686" s="384"/>
      <c r="S686" s="384"/>
      <c r="T686" s="388"/>
    </row>
    <row r="687" spans="1:20" x14ac:dyDescent="0.3">
      <c r="A687" s="384" t="b">
        <v>0</v>
      </c>
      <c r="B687" s="384">
        <f t="shared" si="92"/>
        <v>-12</v>
      </c>
      <c r="C687" s="397" t="s">
        <v>2800</v>
      </c>
      <c r="D687" s="397" t="s">
        <v>2795</v>
      </c>
      <c r="E687" s="384">
        <f t="shared" si="93"/>
        <v>6</v>
      </c>
      <c r="F687" s="398">
        <v>28</v>
      </c>
      <c r="G687" s="388"/>
      <c r="H687" s="384" t="e">
        <f t="shared" si="94"/>
        <v>#VALUE!</v>
      </c>
      <c r="I687" s="386"/>
      <c r="J687" s="389"/>
      <c r="K687" s="389"/>
      <c r="L687" s="388"/>
      <c r="M687" s="397" t="str">
        <f ca="1">IFERROR(IF(COUNTIF($B$517:$B686,"&lt;0")=1,"",OFFSET($C685,-COUNTIF($B$517:$B686,"&lt;0")+3,0)),"")</f>
        <v/>
      </c>
      <c r="N687" s="397" t="str">
        <f ca="1">IFERROR(IF(AND(_xlfn.ISFORMULA(I687),NOT(_xlfn.ISFORMULA(I686))),1,OFFSET($F685,-COUNTIF($B$517:B686,"&lt;0")+3,0)),"")</f>
        <v/>
      </c>
      <c r="O687" s="384">
        <f t="shared" si="95"/>
        <v>168</v>
      </c>
      <c r="P687" s="384"/>
      <c r="Q687" s="384"/>
      <c r="R687" s="384"/>
      <c r="S687" s="384"/>
      <c r="T687" s="388"/>
    </row>
    <row r="688" spans="1:20" x14ac:dyDescent="0.3">
      <c r="A688" s="384" t="b">
        <v>0</v>
      </c>
      <c r="B688" s="384">
        <f t="shared" si="92"/>
        <v>-11</v>
      </c>
      <c r="C688" s="397" t="s">
        <v>2801</v>
      </c>
      <c r="D688" s="397" t="s">
        <v>2802</v>
      </c>
      <c r="E688" s="384">
        <f t="shared" si="93"/>
        <v>1</v>
      </c>
      <c r="F688" s="398">
        <v>29</v>
      </c>
      <c r="G688" s="388"/>
      <c r="H688" s="384" t="e">
        <f t="shared" si="94"/>
        <v>#VALUE!</v>
      </c>
      <c r="I688" s="386"/>
      <c r="J688" s="389"/>
      <c r="K688" s="389"/>
      <c r="L688" s="388"/>
      <c r="M688" s="397" t="str">
        <f ca="1">IFERROR(IF(COUNTIF($B$517:$B687,"&lt;0")=1,"",OFFSET($C686,-COUNTIF($B$517:$B687,"&lt;0")+3,0)),"")</f>
        <v/>
      </c>
      <c r="N688" s="397" t="str">
        <f ca="1">IFERROR(IF(AND(_xlfn.ISFORMULA(I688),NOT(_xlfn.ISFORMULA(I687))),1,OFFSET($F686,-COUNTIF($B$517:B687,"&lt;0")+3,0)),"")</f>
        <v/>
      </c>
      <c r="O688" s="384">
        <f t="shared" si="95"/>
        <v>169</v>
      </c>
      <c r="P688" s="384"/>
      <c r="Q688" s="384"/>
      <c r="R688" s="384"/>
      <c r="S688" s="384"/>
      <c r="T688" s="388"/>
    </row>
    <row r="689" spans="1:20" x14ac:dyDescent="0.3">
      <c r="A689" s="384" t="b">
        <v>0</v>
      </c>
      <c r="B689" s="384">
        <f t="shared" si="92"/>
        <v>-10</v>
      </c>
      <c r="C689" s="397" t="s">
        <v>2803</v>
      </c>
      <c r="D689" s="397" t="s">
        <v>2802</v>
      </c>
      <c r="E689" s="384">
        <f t="shared" si="93"/>
        <v>2</v>
      </c>
      <c r="F689" s="398">
        <v>29</v>
      </c>
      <c r="G689" s="388"/>
      <c r="H689" s="384" t="e">
        <f t="shared" si="94"/>
        <v>#VALUE!</v>
      </c>
      <c r="I689" s="386"/>
      <c r="J689" s="389"/>
      <c r="K689" s="389"/>
      <c r="L689" s="388"/>
      <c r="M689" s="397" t="str">
        <f ca="1">IFERROR(IF(COUNTIF($B$517:$B688,"&lt;0")=1,"",OFFSET($C687,-COUNTIF($B$517:$B688,"&lt;0")+3,0)),"")</f>
        <v/>
      </c>
      <c r="N689" s="397" t="str">
        <f ca="1">IFERROR(IF(AND(_xlfn.ISFORMULA(I689),NOT(_xlfn.ISFORMULA(I688))),1,OFFSET($F687,-COUNTIF($B$517:B688,"&lt;0")+3,0)),"")</f>
        <v/>
      </c>
      <c r="O689" s="384">
        <f t="shared" si="95"/>
        <v>170</v>
      </c>
      <c r="P689" s="384"/>
      <c r="Q689" s="384"/>
      <c r="R689" s="384"/>
      <c r="S689" s="384"/>
      <c r="T689" s="388"/>
    </row>
    <row r="690" spans="1:20" x14ac:dyDescent="0.3">
      <c r="A690" s="384" t="b">
        <v>0</v>
      </c>
      <c r="B690" s="384">
        <f t="shared" si="92"/>
        <v>-9</v>
      </c>
      <c r="C690" s="397" t="s">
        <v>2804</v>
      </c>
      <c r="D690" s="397" t="s">
        <v>2802</v>
      </c>
      <c r="E690" s="384">
        <f t="shared" si="93"/>
        <v>3</v>
      </c>
      <c r="F690" s="398">
        <v>29</v>
      </c>
      <c r="G690" s="388"/>
      <c r="H690" s="384" t="e">
        <f t="shared" si="94"/>
        <v>#VALUE!</v>
      </c>
      <c r="I690" s="386"/>
      <c r="J690" s="389"/>
      <c r="K690" s="389"/>
      <c r="L690" s="388"/>
      <c r="M690" s="397" t="str">
        <f ca="1">IFERROR(IF(COUNTIF($B$517:$B689,"&lt;0")=1,"",OFFSET($C688,-COUNTIF($B$517:$B689,"&lt;0")+3,0)),"")</f>
        <v/>
      </c>
      <c r="N690" s="397" t="str">
        <f ca="1">IFERROR(IF(AND(_xlfn.ISFORMULA(I690),NOT(_xlfn.ISFORMULA(I689))),1,OFFSET($F688,-COUNTIF($B$517:B689,"&lt;0")+3,0)),"")</f>
        <v/>
      </c>
      <c r="O690" s="384">
        <f t="shared" si="95"/>
        <v>171</v>
      </c>
      <c r="P690" s="384"/>
      <c r="Q690" s="384"/>
      <c r="R690" s="384"/>
      <c r="S690" s="384"/>
      <c r="T690" s="388"/>
    </row>
    <row r="691" spans="1:20" x14ac:dyDescent="0.3">
      <c r="A691" s="384" t="b">
        <v>0</v>
      </c>
      <c r="B691" s="384">
        <f t="shared" si="92"/>
        <v>-8</v>
      </c>
      <c r="C691" s="397" t="s">
        <v>2805</v>
      </c>
      <c r="D691" s="397" t="s">
        <v>2802</v>
      </c>
      <c r="E691" s="384">
        <f t="shared" si="93"/>
        <v>4</v>
      </c>
      <c r="F691" s="398">
        <v>29</v>
      </c>
      <c r="G691" s="388"/>
      <c r="H691" s="384" t="e">
        <f t="shared" si="94"/>
        <v>#VALUE!</v>
      </c>
      <c r="I691" s="386"/>
      <c r="J691" s="389"/>
      <c r="K691" s="389"/>
      <c r="L691" s="388"/>
      <c r="M691" s="397" t="str">
        <f ca="1">IFERROR(IF(COUNTIF($B$517:$B690,"&lt;0")=1,"",OFFSET($C689,-COUNTIF($B$517:$B690,"&lt;0")+3,0)),"")</f>
        <v/>
      </c>
      <c r="N691" s="397" t="str">
        <f ca="1">IFERROR(IF(AND(_xlfn.ISFORMULA(I691),NOT(_xlfn.ISFORMULA(I690))),1,OFFSET($F689,-COUNTIF($B$517:B690,"&lt;0")+3,0)),"")</f>
        <v/>
      </c>
      <c r="O691" s="384">
        <f t="shared" si="95"/>
        <v>172</v>
      </c>
      <c r="P691" s="384"/>
      <c r="Q691" s="384"/>
      <c r="R691" s="384"/>
      <c r="S691" s="384"/>
      <c r="T691" s="388"/>
    </row>
    <row r="692" spans="1:20" x14ac:dyDescent="0.3">
      <c r="A692" s="384" t="b">
        <v>0</v>
      </c>
      <c r="B692" s="384">
        <f t="shared" si="92"/>
        <v>-7</v>
      </c>
      <c r="C692" s="397" t="s">
        <v>2806</v>
      </c>
      <c r="D692" s="397" t="s">
        <v>2802</v>
      </c>
      <c r="E692" s="384">
        <f t="shared" si="93"/>
        <v>5</v>
      </c>
      <c r="F692" s="398">
        <v>29</v>
      </c>
      <c r="G692" s="388"/>
      <c r="H692" s="384" t="e">
        <f t="shared" si="94"/>
        <v>#VALUE!</v>
      </c>
      <c r="I692" s="386"/>
      <c r="J692" s="389"/>
      <c r="K692" s="389"/>
      <c r="L692" s="388"/>
      <c r="M692" s="397" t="str">
        <f ca="1">IFERROR(IF(COUNTIF($B$517:$B691,"&lt;0")=1,"",OFFSET($C690,-COUNTIF($B$517:$B691,"&lt;0")+3,0)),"")</f>
        <v/>
      </c>
      <c r="N692" s="397" t="str">
        <f ca="1">IFERROR(IF(AND(_xlfn.ISFORMULA(I692),NOT(_xlfn.ISFORMULA(I691))),1,OFFSET($F690,-COUNTIF($B$517:B691,"&lt;0")+3,0)),"")</f>
        <v/>
      </c>
      <c r="O692" s="384">
        <f t="shared" si="95"/>
        <v>173</v>
      </c>
      <c r="P692" s="384"/>
      <c r="Q692" s="384"/>
      <c r="R692" s="384"/>
      <c r="S692" s="384"/>
      <c r="T692" s="388"/>
    </row>
    <row r="693" spans="1:20" x14ac:dyDescent="0.3">
      <c r="A693" s="384" t="b">
        <v>0</v>
      </c>
      <c r="B693" s="384">
        <f t="shared" si="92"/>
        <v>-6</v>
      </c>
      <c r="C693" s="397" t="s">
        <v>2807</v>
      </c>
      <c r="D693" s="397" t="s">
        <v>2802</v>
      </c>
      <c r="E693" s="384">
        <f t="shared" si="93"/>
        <v>6</v>
      </c>
      <c r="F693" s="398">
        <v>29</v>
      </c>
      <c r="G693" s="388"/>
      <c r="H693" s="384" t="e">
        <f t="shared" si="94"/>
        <v>#VALUE!</v>
      </c>
      <c r="I693" s="386"/>
      <c r="J693" s="389"/>
      <c r="K693" s="389"/>
      <c r="L693" s="388"/>
      <c r="M693" s="397" t="str">
        <f ca="1">IFERROR(IF(COUNTIF($B$517:$B692,"&lt;0")=1,"",OFFSET($C691,-COUNTIF($B$517:$B692,"&lt;0")+3,0)),"")</f>
        <v/>
      </c>
      <c r="N693" s="397" t="str">
        <f ca="1">IFERROR(IF(AND(_xlfn.ISFORMULA(I693),NOT(_xlfn.ISFORMULA(I692))),1,OFFSET($F691,-COUNTIF($B$517:B692,"&lt;0")+3,0)),"")</f>
        <v/>
      </c>
      <c r="O693" s="384">
        <f t="shared" si="95"/>
        <v>174</v>
      </c>
      <c r="P693" s="384"/>
      <c r="Q693" s="384"/>
      <c r="R693" s="384"/>
      <c r="S693" s="384"/>
      <c r="T693" s="388"/>
    </row>
    <row r="694" spans="1:20" x14ac:dyDescent="0.3">
      <c r="A694" s="384" t="b">
        <v>0</v>
      </c>
      <c r="B694" s="384">
        <f t="shared" si="92"/>
        <v>-5</v>
      </c>
      <c r="C694" s="397" t="s">
        <v>2808</v>
      </c>
      <c r="D694" s="397" t="s">
        <v>2809</v>
      </c>
      <c r="E694" s="384">
        <f t="shared" si="93"/>
        <v>1</v>
      </c>
      <c r="F694" s="398">
        <v>30</v>
      </c>
      <c r="G694" s="388"/>
      <c r="H694" s="384" t="e">
        <f t="shared" si="94"/>
        <v>#VALUE!</v>
      </c>
      <c r="I694" s="386"/>
      <c r="J694" s="389"/>
      <c r="K694" s="389"/>
      <c r="L694" s="388"/>
      <c r="M694" s="397" t="str">
        <f ca="1">IFERROR(IF(COUNTIF($B$517:$B693,"&lt;0")=1,"",OFFSET($C692,-COUNTIF($B$517:$B693,"&lt;0")+3,0)),"")</f>
        <v/>
      </c>
      <c r="N694" s="397" t="str">
        <f ca="1">IFERROR(IF(AND(_xlfn.ISFORMULA(I694),NOT(_xlfn.ISFORMULA(I693))),1,OFFSET($F692,-COUNTIF($B$517:B693,"&lt;0")+3,0)),"")</f>
        <v/>
      </c>
      <c r="O694" s="384">
        <f t="shared" si="95"/>
        <v>175</v>
      </c>
      <c r="P694" s="384"/>
      <c r="Q694" s="384"/>
      <c r="R694" s="384"/>
      <c r="S694" s="384"/>
      <c r="T694" s="388"/>
    </row>
    <row r="695" spans="1:20" x14ac:dyDescent="0.3">
      <c r="A695" s="384" t="b">
        <v>0</v>
      </c>
      <c r="B695" s="384">
        <f t="shared" si="92"/>
        <v>-4</v>
      </c>
      <c r="C695" s="397" t="s">
        <v>2810</v>
      </c>
      <c r="D695" s="397" t="s">
        <v>2809</v>
      </c>
      <c r="E695" s="384">
        <f t="shared" si="93"/>
        <v>2</v>
      </c>
      <c r="F695" s="398">
        <v>30</v>
      </c>
      <c r="G695" s="388"/>
      <c r="H695" s="384" t="e">
        <f t="shared" si="94"/>
        <v>#VALUE!</v>
      </c>
      <c r="I695" s="386"/>
      <c r="J695" s="389"/>
      <c r="K695" s="389"/>
      <c r="L695" s="388"/>
      <c r="M695" s="397" t="str">
        <f ca="1">IFERROR(IF(COUNTIF($B$517:$B694,"&lt;0")=1,"",OFFSET($C693,-COUNTIF($B$517:$B694,"&lt;0")+3,0)),"")</f>
        <v/>
      </c>
      <c r="N695" s="397" t="str">
        <f ca="1">IFERROR(IF(AND(_xlfn.ISFORMULA(I695),NOT(_xlfn.ISFORMULA(I694))),1,OFFSET($F693,-COUNTIF($B$517:B694,"&lt;0")+3,0)),"")</f>
        <v/>
      </c>
      <c r="O695" s="384">
        <f t="shared" si="95"/>
        <v>176</v>
      </c>
      <c r="P695" s="384"/>
      <c r="Q695" s="384"/>
      <c r="R695" s="384"/>
      <c r="S695" s="384"/>
      <c r="T695" s="388"/>
    </row>
    <row r="696" spans="1:20" x14ac:dyDescent="0.3">
      <c r="A696" s="384" t="b">
        <v>0</v>
      </c>
      <c r="B696" s="384">
        <f t="shared" si="92"/>
        <v>-3</v>
      </c>
      <c r="C696" s="397" t="s">
        <v>2811</v>
      </c>
      <c r="D696" s="397" t="s">
        <v>2809</v>
      </c>
      <c r="E696" s="384">
        <f t="shared" si="93"/>
        <v>3</v>
      </c>
      <c r="F696" s="398">
        <v>30</v>
      </c>
      <c r="G696" s="388"/>
      <c r="H696" s="384" t="e">
        <f t="shared" si="94"/>
        <v>#VALUE!</v>
      </c>
      <c r="I696" s="386"/>
      <c r="J696" s="389"/>
      <c r="K696" s="389"/>
      <c r="L696" s="388"/>
      <c r="M696" s="397" t="str">
        <f ca="1">IFERROR(IF(COUNTIF($B$517:$B695,"&lt;0")=1,"",OFFSET($C694,-COUNTIF($B$517:$B695,"&lt;0")+3,0)),"")</f>
        <v/>
      </c>
      <c r="N696" s="397" t="str">
        <f ca="1">IFERROR(IF(AND(_xlfn.ISFORMULA(I696),NOT(_xlfn.ISFORMULA(I695))),1,OFFSET($F694,-COUNTIF($B$517:B695,"&lt;0")+3,0)),"")</f>
        <v/>
      </c>
      <c r="O696" s="384">
        <f t="shared" si="95"/>
        <v>177</v>
      </c>
      <c r="P696" s="384"/>
      <c r="Q696" s="384"/>
      <c r="R696" s="384"/>
      <c r="S696" s="384"/>
      <c r="T696" s="388"/>
    </row>
    <row r="697" spans="1:20" x14ac:dyDescent="0.3">
      <c r="A697" s="384" t="b">
        <v>0</v>
      </c>
      <c r="B697" s="384">
        <f t="shared" si="92"/>
        <v>-2</v>
      </c>
      <c r="C697" s="397" t="s">
        <v>2812</v>
      </c>
      <c r="D697" s="397" t="s">
        <v>2809</v>
      </c>
      <c r="E697" s="384">
        <f t="shared" si="93"/>
        <v>4</v>
      </c>
      <c r="F697" s="398">
        <v>30</v>
      </c>
      <c r="G697" s="388"/>
      <c r="H697" s="384" t="e">
        <f t="shared" si="94"/>
        <v>#VALUE!</v>
      </c>
      <c r="I697" s="386"/>
      <c r="J697" s="389"/>
      <c r="K697" s="389"/>
      <c r="L697" s="388"/>
      <c r="M697" s="397" t="str">
        <f ca="1">IFERROR(IF(COUNTIF($B$517:$B696,"&lt;0")=1,"",OFFSET($C695,-COUNTIF($B$517:$B696,"&lt;0")+3,0)),"")</f>
        <v/>
      </c>
      <c r="N697" s="397" t="str">
        <f ca="1">IFERROR(IF(AND(_xlfn.ISFORMULA(I697),NOT(_xlfn.ISFORMULA(I696))),1,OFFSET($F695,-COUNTIF($B$517:B696,"&lt;0")+3,0)),"")</f>
        <v/>
      </c>
      <c r="O697" s="384">
        <f t="shared" si="95"/>
        <v>178</v>
      </c>
      <c r="P697" s="384"/>
      <c r="Q697" s="384"/>
      <c r="R697" s="384"/>
      <c r="S697" s="384"/>
      <c r="T697" s="388"/>
    </row>
    <row r="698" spans="1:20" x14ac:dyDescent="0.3">
      <c r="A698" s="384" t="b">
        <v>0</v>
      </c>
      <c r="B698" s="384">
        <f t="shared" si="92"/>
        <v>-1</v>
      </c>
      <c r="C698" s="397" t="s">
        <v>2813</v>
      </c>
      <c r="D698" s="397" t="s">
        <v>2809</v>
      </c>
      <c r="E698" s="384">
        <f t="shared" si="93"/>
        <v>5</v>
      </c>
      <c r="F698" s="398">
        <v>30</v>
      </c>
      <c r="G698" s="388"/>
      <c r="H698" s="384" t="e">
        <f t="shared" si="94"/>
        <v>#VALUE!</v>
      </c>
      <c r="I698" s="386"/>
      <c r="J698" s="389"/>
      <c r="K698" s="389"/>
      <c r="L698" s="388"/>
      <c r="M698" s="397" t="str">
        <f ca="1">IFERROR(IF(COUNTIF($B$517:$B697,"&lt;0")=1,"",OFFSET($C696,-COUNTIF($B$517:$B697,"&lt;0")+3,0)),"")</f>
        <v/>
      </c>
      <c r="N698" s="397" t="str">
        <f ca="1">IFERROR(IF(AND(_xlfn.ISFORMULA(I698),NOT(_xlfn.ISFORMULA(I697))),1,OFFSET($F696,-COUNTIF($B$517:B697,"&lt;0")+3,0)),"")</f>
        <v/>
      </c>
      <c r="O698" s="384">
        <f t="shared" si="95"/>
        <v>179</v>
      </c>
      <c r="P698" s="384"/>
      <c r="Q698" s="384"/>
      <c r="R698" s="384"/>
      <c r="S698" s="384"/>
      <c r="T698" s="388"/>
    </row>
    <row r="699" spans="1:20" x14ac:dyDescent="0.3">
      <c r="A699" s="384" t="b">
        <v>0</v>
      </c>
      <c r="B699" s="384">
        <f t="shared" si="92"/>
        <v>0</v>
      </c>
      <c r="C699" s="397" t="s">
        <v>2814</v>
      </c>
      <c r="D699" s="397" t="s">
        <v>2809</v>
      </c>
      <c r="E699" s="384">
        <f t="shared" si="93"/>
        <v>6</v>
      </c>
      <c r="F699" s="398">
        <v>30</v>
      </c>
      <c r="G699" s="388"/>
      <c r="H699" s="384" t="e">
        <f t="shared" si="94"/>
        <v>#VALUE!</v>
      </c>
      <c r="I699" s="386"/>
      <c r="J699" s="389"/>
      <c r="K699" s="389"/>
      <c r="L699" s="388"/>
      <c r="M699" s="397" t="str">
        <f ca="1">IFERROR(IF(COUNTIF($B$517:$B698,"&lt;0")=1,"",OFFSET($C697,-COUNTIF($B$517:$B698,"&lt;0")+3,0)),"")</f>
        <v/>
      </c>
      <c r="N699" s="397" t="str">
        <f ca="1">IFERROR(IF(AND(_xlfn.ISFORMULA(I699),NOT(_xlfn.ISFORMULA(I698))),1,OFFSET($F697,-COUNTIF($B$517:B698,"&lt;0")+3,0)),"")</f>
        <v/>
      </c>
      <c r="O699" s="384">
        <f t="shared" si="95"/>
        <v>180</v>
      </c>
      <c r="P699" s="384"/>
      <c r="Q699" s="384"/>
      <c r="R699" s="384"/>
      <c r="S699" s="384"/>
      <c r="T699" s="388"/>
    </row>
    <row r="700" spans="1:20" x14ac:dyDescent="0.3">
      <c r="A700" s="384" t="b">
        <f t="shared" ref="A700:A763" ca="1" si="96">IF(OR(I700&lt;&gt;"",J700&lt;&gt;"",K700&lt;&gt;"",L700&lt;&gt;""),TRUE,FALSE)</f>
        <v>1</v>
      </c>
      <c r="B700" s="384">
        <f t="shared" si="92"/>
        <v>1</v>
      </c>
      <c r="C700" s="400" t="str">
        <f t="shared" ref="C700:C763" ca="1" si="97">M700</f>
        <v>a17Dm000000KyD3IAK</v>
      </c>
      <c r="D700" s="397"/>
      <c r="E700" s="384">
        <f t="shared" si="93"/>
        <v>1</v>
      </c>
      <c r="F700" s="398">
        <f ca="1">IF(COUNTA(D$518:D700)=1,"",OFFSET(F698,-COUNTA(D$518:D700)+3,0))</f>
        <v>1</v>
      </c>
      <c r="G700" s="388" t="str">
        <f t="shared" ref="G700:G763" ca="1" si="98">IFERROR(IF(INDIRECT("'Coverage Indicators - Section I'!G"&amp;$I184)="","",INDIRECT("'Coverage Indicators - Section I'!G"&amp;$I184)),"")</f>
        <v/>
      </c>
      <c r="H700" s="384">
        <f t="shared" si="94"/>
        <v>9</v>
      </c>
      <c r="I700" s="386">
        <f t="shared" ref="I700:I763" ca="1" si="99">IFERROR(CHOOSE(E700,IFERROR(IF(INDIRECT("'Coverage Indicators - Section D'!O"&amp;H700)="","",INDIRECT("'Coverage Indicators - Section D'!O"&amp;H700)*100),""),IFERROR(IF(INDIRECT("'Coverage Indicators - Section D'!R"&amp;H700)="","",INDIRECT("'Coverage Indicators - Section D'!R"&amp;H700)*100),""),IFERROR(IF(INDIRECT("'Coverage Indicators - Section D'!U"&amp;H700)="","",INDIRECT("'Coverage Indicators - Section D'!U"&amp;H700)*100),""),IFERROR(IF(INDIRECT("'Coverage Indicators - Section D'!X"&amp;H700)="","",INDIRECT("'Coverage Indicators - Section D'!X"&amp;H700)*100),""),IFERROR(IF(INDIRECT("'Coverage Indicators - Section D'!AA"&amp;H700)="","",INDIRECT("'Coverage Indicators - Section D'!AA"&amp;H700)*100),""),IFERROR(IF(INDIRECT("'Coverage Indicators - Section D'!AD"&amp;H700)="","",INDIRECT("'Coverage Indicators - Section D'!AD"&amp;H700)*100),""),IFERROR(IF(INDIRECT("'Coverage Indicators - Section D'!AG"&amp;H700)="","",INDIRECT("'Coverage Indicators - Section D'!AG"&amp;H700)*100),""),IFERROR(IF(INDIRECT("'Coverage Indicators - Section D'!AJ"&amp;H700)="","",INDIRECT("'Coverage Indicators - Section D'!AJ"&amp;H700)*100),"")),"")</f>
        <v>85.798816568047343</v>
      </c>
      <c r="J700" s="389">
        <f t="shared" ref="J700:J763" ca="1" si="100">IFERROR(CHOOSE(E700,IFERROR(IF(INDIRECT("'Coverage Indicators - Section D'!N"&amp;H700+1)="","",INDIRECT("'Coverage Indicators - Section D'!N"&amp;H700+1)),""),IFERROR(IF(INDIRECT("'Coverage Indicators - Section D'!Q"&amp;H700+1)="","",INDIRECT("'Coverage Indicators - Section D'!Q"&amp;H700+1)),""),IFERROR(IF(INDIRECT("'Coverage Indicators - Section D'!T"&amp;H700+1)="","",INDIRECT("'Coverage Indicators - Section D'!T"&amp;H700+1)),""),IFERROR(IF(INDIRECT("'Coverage Indicators - Section D'!W"&amp;H700+1)="","",INDIRECT("'Coverage Indicators - Section D'!W"&amp;H700+1)),""),IFERROR(IF(INDIRECT("'Coverage Indicators - Section D'!Z"&amp;H700+1)="","",INDIRECT("'Coverage Indicators - Section D'!Z"&amp;H700+1)),""),IFERROR(IF(INDIRECT("'Coverage Indicators - Section D'!AC"&amp;H700+1)="","",INDIRECT("'Coverage Indicators - Section D'!AC"&amp;H700+1)),""),IFERROR(IF(INDIRECT("'Coverage Indicators - Section D'!AF"&amp;H700+1)="","",INDIRECT("'Coverage Indicators - Section D'!AF"&amp;H700+1)),""),IFERROR(IF(INDIRECT("'Coverage Indicators - Section D'!AI"&amp;H700+1)="","",INDIRECT("'Coverage Indicators - Section D'!AI"&amp;H700+1)),"")),"")</f>
        <v>16900</v>
      </c>
      <c r="K700" s="389">
        <f t="shared" ref="K700:K763" ca="1" si="101">IFERROR(CHOOSE(E700,IFERROR(IF(INDIRECT("'Coverage Indicators - Section D'!N"&amp;H700)="","",INDIRECT("'Coverage Indicators - Section D'!N"&amp;H700)),""),IFERROR(IF(INDIRECT("'Coverage Indicators - Section D'!Q"&amp;H700)="","",INDIRECT("'Coverage Indicators - Section D'!Q"&amp;H700)),""),IFERROR(IF(INDIRECT("'Coverage Indicators - Section D'!T"&amp;H700)="","",INDIRECT("'Coverage Indicators - Section D'!T"&amp;H700)),""),IFERROR(IF(INDIRECT("'Coverage Indicators - Section D'!W"&amp;H700)="","",INDIRECT("'Coverage Indicators - Section D'!W"&amp;H700)),""),IFERROR(IF(INDIRECT("'Coverage Indicators - Section D'!Z"&amp;H700)="","",INDIRECT("'Coverage Indicators - Section D'!Z"&amp;H700)),""),IFERROR(IF(INDIRECT("'Coverage Indicators - Section D'!AC"&amp;H700)="","",INDIRECT("'Coverage Indicators - Section D'!AC"&amp;H700)),""),IFERROR(IF(INDIRECT("'Coverage Indicators - Section D'!AF"&amp;H700)="","",INDIRECT("'Coverage Indicators - Section D'!AF"&amp;H700)),""),IFERROR(IF(INDIRECT("'Coverage Indicators - Section D'!AI"&amp;H700)="","",INDIRECT("'Coverage Indicators - Section D'!AI"&amp;H700)),"")),"")</f>
        <v>14500</v>
      </c>
      <c r="L700" s="388" t="str">
        <f t="shared" ref="L700:L763" ca="1" si="102">IF(IFERROR(CHOOSE(E700,IFERROR(IF(INDIRECT("'Coverage Indicators - Section D'!P"&amp;H700)=0,"",INDIRECT("'Coverage Indicators - Section D'!P"&amp;H700)),""),IFERROR(IF(INDIRECT("'Coverage Indicators - Section D'!S"&amp;H700)=0,"",INDIRECT("'Coverage Indicators - Section D'!S"&amp;H700)),""),IFERROR(IF(INDIRECT("'Coverage Indicators - Section D'!V"&amp;H700)=0,"",INDIRECT("'Coverage Indicators - Section D'!V"&amp;H700)),""),IFERROR(IF(INDIRECT("'Coverage Indicators - Section D'!Y"&amp;H700)=0,"",INDIRECT("'Coverage Indicators - Section D'!Y"&amp;H700)),""),IFERROR(IF(INDIRECT("'Coverage Indicators - Section D'!AB"&amp;H700)=0,"",INDIRECT("'Coverage Indicators - Section D'!AB"&amp;H700)),""),IFERROR(IF(INDIRECT("'Coverage Indicators - Section D'!AE"&amp;H700)=0,"",INDIRECT("'Coverage Indicators - Section D'!AE"&amp;H700)),""),IFERROR(IF(INDIRECT("'Coverage Indicators - Section D'!AH"&amp;H700)=0,"",INDIRECT("'Coverage Indicators - Section D'!AH"&amp;H700)),""),IFERROR(IF(INDIRECT("'Coverage Indicators - Section D'!AK"&amp;H700)=0,"",INDIRECT("'Coverage Indicators - Section D'!AK"&amp;H700)),""),),"")=0,"",IFERROR(CHOOSE(E700,IFERROR(IF(INDIRECT("'Coverage Indicators - Section D'!P"&amp;H700)=0,"",INDIRECT("'Coverage Indicators - Section D'!P"&amp;H700)),""),IFERROR(IF(INDIRECT("'Coverage Indicators - Section D'!S"&amp;H700)=0,"",INDIRECT("'Coverage Indicators - Section D'!S"&amp;H700)),""),IFERROR(IF(INDIRECT("'Coverage Indicators - Section D'!V"&amp;H700)=0,"",INDIRECT("'Coverage Indicators - Section D'!V"&amp;H700)),""),IFERROR(IF(INDIRECT("'Coverage Indicators - Section D'!Y"&amp;H700)=0,"",INDIRECT("'Coverage Indicators - Section D'!Y"&amp;H700)),""),IFERROR(IF(INDIRECT("'Coverage Indicators - Section D'!AB"&amp;H700)=0,"",INDIRECT("'Coverage Indicators - Section D'!AB"&amp;H700)),""),IFERROR(IF(INDIRECT("'Coverage Indicators - Section D'!AE"&amp;H700)=0,"",INDIRECT("'Coverage Indicators - Section D'!AE"&amp;H700)),""),IFERROR(IF(INDIRECT("'Coverage Indicators - Section D'!AH"&amp;H700)=0,"",INDIRECT("'Coverage Indicators - Section D'!AH"&amp;H700)),""),IFERROR(IF(INDIRECT("'Coverage Indicators - Section D'!AK"&amp;H700)=0,"",INDIRECT("'Coverage Indicators - Section D'!AK"&amp;H700)),""),),""))</f>
        <v/>
      </c>
      <c r="M700" s="397" t="str">
        <f ca="1">IFERROR(IF(COUNTIF($B$517:$B699,"&lt;0")=1,"",OFFSET($C698,-COUNTIF($B$517:$B699,"&lt;0")+3,0)),"")</f>
        <v>a17Dm000000KyD3IAK</v>
      </c>
      <c r="N700" s="397">
        <f ca="1">IFERROR(IF(AND(_xlfn.ISFORMULA(I700),NOT(_xlfn.ISFORMULA(I699))),1,OFFSET($F698,-COUNTIF($B$517:B699,"&lt;0")+3,0)),"")</f>
        <v>1</v>
      </c>
      <c r="O700" s="384">
        <f t="shared" si="95"/>
        <v>0</v>
      </c>
      <c r="P700" s="384"/>
      <c r="Q700" s="384"/>
      <c r="R700" s="384"/>
      <c r="S700" s="384"/>
      <c r="T700" s="388"/>
    </row>
    <row r="701" spans="1:20" x14ac:dyDescent="0.3">
      <c r="A701" s="384" t="b">
        <f t="shared" ca="1" si="96"/>
        <v>1</v>
      </c>
      <c r="B701" s="384">
        <f t="shared" si="92"/>
        <v>2</v>
      </c>
      <c r="C701" s="400" t="str">
        <f t="shared" ca="1" si="97"/>
        <v>a17Dm000000KyDXIA0</v>
      </c>
      <c r="D701" s="397"/>
      <c r="E701" s="384">
        <f t="shared" si="93"/>
        <v>2</v>
      </c>
      <c r="F701" s="398">
        <f ca="1">IF(COUNTA(D$518:D701)=1,"",OFFSET(F699,-COUNTA(D$518:D701)+3,0))</f>
        <v>1</v>
      </c>
      <c r="G701" s="388" t="str">
        <f t="shared" ca="1" si="98"/>
        <v/>
      </c>
      <c r="H701" s="384">
        <f t="shared" si="94"/>
        <v>9</v>
      </c>
      <c r="I701" s="386">
        <f t="shared" ca="1" si="99"/>
        <v>85.798816568047343</v>
      </c>
      <c r="J701" s="389">
        <f t="shared" ca="1" si="100"/>
        <v>16900</v>
      </c>
      <c r="K701" s="389">
        <f t="shared" ca="1" si="101"/>
        <v>14500</v>
      </c>
      <c r="L701" s="388" t="str">
        <f t="shared" ca="1" si="102"/>
        <v/>
      </c>
      <c r="M701" s="397" t="str">
        <f ca="1">IFERROR(IF(COUNTIF($B$517:$B700,"&lt;0")=1,"",OFFSET($C699,-COUNTIF($B$517:$B700,"&lt;0")+3,0)),"")</f>
        <v>a17Dm000000KyDXIA0</v>
      </c>
      <c r="N701" s="397">
        <f ca="1">IFERROR(IF(AND(_xlfn.ISFORMULA(I701),NOT(_xlfn.ISFORMULA(I700))),1,OFFSET($F699,-COUNTIF($B$517:B700,"&lt;0")+3,0)),"")</f>
        <v>1</v>
      </c>
      <c r="O701" s="384">
        <f t="shared" si="95"/>
        <v>0</v>
      </c>
      <c r="P701" s="384"/>
      <c r="Q701" s="384"/>
      <c r="R701" s="384"/>
      <c r="S701" s="384"/>
      <c r="T701" s="388"/>
    </row>
    <row r="702" spans="1:20" x14ac:dyDescent="0.3">
      <c r="A702" s="384" t="b">
        <f t="shared" ca="1" si="96"/>
        <v>1</v>
      </c>
      <c r="B702" s="384">
        <f t="shared" si="92"/>
        <v>3</v>
      </c>
      <c r="C702" s="400" t="str">
        <f t="shared" ca="1" si="97"/>
        <v>a17Dm000000KyE1IAK</v>
      </c>
      <c r="D702" s="397"/>
      <c r="E702" s="384">
        <f t="shared" si="93"/>
        <v>3</v>
      </c>
      <c r="F702" s="398">
        <f ca="1">IF(COUNTA(D$518:D702)=1,"",OFFSET(F700,-COUNTA(D$518:D702)+3,0))</f>
        <v>1</v>
      </c>
      <c r="G702" s="388" t="str">
        <f t="shared" ca="1" si="98"/>
        <v/>
      </c>
      <c r="H702" s="384">
        <f t="shared" si="94"/>
        <v>9</v>
      </c>
      <c r="I702" s="386">
        <f t="shared" ca="1" si="99"/>
        <v>85.798816568047343</v>
      </c>
      <c r="J702" s="389">
        <f t="shared" ca="1" si="100"/>
        <v>16900</v>
      </c>
      <c r="K702" s="389">
        <f t="shared" ca="1" si="101"/>
        <v>14500</v>
      </c>
      <c r="L702" s="388" t="str">
        <f t="shared" ca="1" si="102"/>
        <v/>
      </c>
      <c r="M702" s="397" t="str">
        <f ca="1">IFERROR(IF(COUNTIF($B$517:$B701,"&lt;0")=1,"",OFFSET($C700,-COUNTIF($B$517:$B701,"&lt;0")+3,0)),"")</f>
        <v>a17Dm000000KyE1IAK</v>
      </c>
      <c r="N702" s="397">
        <f ca="1">IFERROR(IF(AND(_xlfn.ISFORMULA(I702),NOT(_xlfn.ISFORMULA(I701))),1,OFFSET($F700,-COUNTIF($B$517:B701,"&lt;0")+3,0)),"")</f>
        <v>1</v>
      </c>
      <c r="O702" s="384">
        <f t="shared" si="95"/>
        <v>0</v>
      </c>
      <c r="P702" s="384"/>
      <c r="Q702" s="384"/>
      <c r="R702" s="384"/>
      <c r="S702" s="384"/>
      <c r="T702" s="388"/>
    </row>
    <row r="703" spans="1:20" x14ac:dyDescent="0.3">
      <c r="A703" s="384" t="b">
        <f t="shared" ca="1" si="96"/>
        <v>0</v>
      </c>
      <c r="B703" s="384">
        <f t="shared" si="92"/>
        <v>4</v>
      </c>
      <c r="C703" s="400" t="str">
        <f t="shared" ca="1" si="97"/>
        <v>a17Dm000000KyEVIA0</v>
      </c>
      <c r="D703" s="397"/>
      <c r="E703" s="384">
        <f t="shared" si="93"/>
        <v>4</v>
      </c>
      <c r="F703" s="398">
        <f ca="1">IF(COUNTA(D$518:D703)=1,"",OFFSET(F701,-COUNTA(D$518:D703)+3,0))</f>
        <v>1</v>
      </c>
      <c r="G703" s="388" t="str">
        <f t="shared" ca="1" si="98"/>
        <v/>
      </c>
      <c r="H703" s="384">
        <f t="shared" si="94"/>
        <v>9</v>
      </c>
      <c r="I703" s="386" t="str">
        <f t="shared" ca="1" si="99"/>
        <v/>
      </c>
      <c r="J703" s="389" t="str">
        <f t="shared" ca="1" si="100"/>
        <v/>
      </c>
      <c r="K703" s="389" t="str">
        <f t="shared" ca="1" si="101"/>
        <v/>
      </c>
      <c r="L703" s="388" t="str">
        <f t="shared" ca="1" si="102"/>
        <v/>
      </c>
      <c r="M703" s="397" t="str">
        <f ca="1">IFERROR(IF(COUNTIF($B$517:$B702,"&lt;0")=1,"",OFFSET($C701,-COUNTIF($B$517:$B702,"&lt;0")+3,0)),"")</f>
        <v>a17Dm000000KyEVIA0</v>
      </c>
      <c r="N703" s="397">
        <f ca="1">IFERROR(IF(AND(_xlfn.ISFORMULA(I703),NOT(_xlfn.ISFORMULA(I702))),1,OFFSET($F701,-COUNTIF($B$517:B702,"&lt;0")+3,0)),"")</f>
        <v>1</v>
      </c>
      <c r="O703" s="384">
        <f t="shared" si="95"/>
        <v>0</v>
      </c>
      <c r="P703" s="384"/>
      <c r="Q703" s="384"/>
      <c r="R703" s="384"/>
      <c r="S703" s="384"/>
      <c r="T703" s="388"/>
    </row>
    <row r="704" spans="1:20" x14ac:dyDescent="0.3">
      <c r="A704" s="384" t="b">
        <f t="shared" ca="1" si="96"/>
        <v>0</v>
      </c>
      <c r="B704" s="384">
        <f t="shared" si="92"/>
        <v>5</v>
      </c>
      <c r="C704" s="400" t="str">
        <f t="shared" ca="1" si="97"/>
        <v>a17Dm000000KyEzIAK</v>
      </c>
      <c r="D704" s="397"/>
      <c r="E704" s="384">
        <f t="shared" si="93"/>
        <v>5</v>
      </c>
      <c r="F704" s="398">
        <f ca="1">IF(COUNTA(D$518:D704)=1,"",OFFSET(F702,-COUNTA(D$518:D704)+3,0))</f>
        <v>1</v>
      </c>
      <c r="G704" s="388" t="str">
        <f t="shared" ca="1" si="98"/>
        <v/>
      </c>
      <c r="H704" s="384">
        <f t="shared" si="94"/>
        <v>9</v>
      </c>
      <c r="I704" s="386" t="str">
        <f t="shared" ca="1" si="99"/>
        <v/>
      </c>
      <c r="J704" s="389" t="str">
        <f t="shared" ca="1" si="100"/>
        <v/>
      </c>
      <c r="K704" s="389" t="str">
        <f t="shared" ca="1" si="101"/>
        <v/>
      </c>
      <c r="L704" s="388" t="str">
        <f t="shared" ca="1" si="102"/>
        <v/>
      </c>
      <c r="M704" s="397" t="str">
        <f ca="1">IFERROR(IF(COUNTIF($B$517:$B703,"&lt;0")=1,"",OFFSET($C702,-COUNTIF($B$517:$B703,"&lt;0")+3,0)),"")</f>
        <v>a17Dm000000KyEzIAK</v>
      </c>
      <c r="N704" s="397">
        <f ca="1">IFERROR(IF(AND(_xlfn.ISFORMULA(I704),NOT(_xlfn.ISFORMULA(I703))),1,OFFSET($F702,-COUNTIF($B$517:B703,"&lt;0")+3,0)),"")</f>
        <v>1</v>
      </c>
      <c r="O704" s="384">
        <f t="shared" si="95"/>
        <v>0</v>
      </c>
      <c r="P704" s="384"/>
      <c r="Q704" s="384"/>
      <c r="R704" s="384"/>
      <c r="S704" s="384"/>
      <c r="T704" s="388"/>
    </row>
    <row r="705" spans="1:20" x14ac:dyDescent="0.3">
      <c r="A705" s="384" t="b">
        <f t="shared" ca="1" si="96"/>
        <v>0</v>
      </c>
      <c r="B705" s="384">
        <f t="shared" si="92"/>
        <v>6</v>
      </c>
      <c r="C705" s="400" t="str">
        <f t="shared" ca="1" si="97"/>
        <v>a17Dm000000KyFTIA0</v>
      </c>
      <c r="D705" s="397"/>
      <c r="E705" s="384">
        <f t="shared" si="93"/>
        <v>6</v>
      </c>
      <c r="F705" s="398">
        <f ca="1">IF(COUNTA(D$518:D705)=1,"",OFFSET(F703,-COUNTA(D$518:D705)+3,0))</f>
        <v>1</v>
      </c>
      <c r="G705" s="388" t="str">
        <f t="shared" ca="1" si="98"/>
        <v/>
      </c>
      <c r="H705" s="384">
        <f t="shared" si="94"/>
        <v>9</v>
      </c>
      <c r="I705" s="386" t="str">
        <f t="shared" ca="1" si="99"/>
        <v/>
      </c>
      <c r="J705" s="389" t="str">
        <f t="shared" ca="1" si="100"/>
        <v/>
      </c>
      <c r="K705" s="389" t="str">
        <f t="shared" ca="1" si="101"/>
        <v/>
      </c>
      <c r="L705" s="388" t="str">
        <f t="shared" ca="1" si="102"/>
        <v/>
      </c>
      <c r="M705" s="397" t="str">
        <f ca="1">IFERROR(IF(COUNTIF($B$517:$B704,"&lt;0")=1,"",OFFSET($C703,-COUNTIF($B$517:$B704,"&lt;0")+3,0)),"")</f>
        <v>a17Dm000000KyFTIA0</v>
      </c>
      <c r="N705" s="397">
        <f ca="1">IFERROR(IF(AND(_xlfn.ISFORMULA(I705),NOT(_xlfn.ISFORMULA(I704))),1,OFFSET($F703,-COUNTIF($B$517:B704,"&lt;0")+3,0)),"")</f>
        <v>1</v>
      </c>
      <c r="O705" s="384">
        <f t="shared" si="95"/>
        <v>0</v>
      </c>
      <c r="P705" s="384"/>
      <c r="Q705" s="384"/>
      <c r="R705" s="384"/>
      <c r="S705" s="384"/>
      <c r="T705" s="388"/>
    </row>
    <row r="706" spans="1:20" x14ac:dyDescent="0.3">
      <c r="A706" s="384" t="b">
        <f t="shared" ca="1" si="96"/>
        <v>1</v>
      </c>
      <c r="B706" s="384">
        <f t="shared" si="92"/>
        <v>7</v>
      </c>
      <c r="C706" s="400" t="str">
        <f t="shared" ca="1" si="97"/>
        <v>a17Dm000000KyD4IAK</v>
      </c>
      <c r="D706" s="397"/>
      <c r="E706" s="384">
        <f t="shared" si="93"/>
        <v>1</v>
      </c>
      <c r="F706" s="398">
        <f ca="1">IF(COUNTA(D$518:D706)=1,"",OFFSET(F704,-COUNTA(D$518:D706)+3,0))</f>
        <v>2</v>
      </c>
      <c r="G706" s="388" t="str">
        <f t="shared" ca="1" si="98"/>
        <v/>
      </c>
      <c r="H706" s="384">
        <f t="shared" si="94"/>
        <v>11</v>
      </c>
      <c r="I706" s="386">
        <f t="shared" ca="1" si="99"/>
        <v>66.169224271434601</v>
      </c>
      <c r="J706" s="389">
        <f t="shared" ca="1" si="100"/>
        <v>7103</v>
      </c>
      <c r="K706" s="389">
        <f t="shared" ca="1" si="101"/>
        <v>4700</v>
      </c>
      <c r="L706" s="388" t="str">
        <f t="shared" ca="1" si="102"/>
        <v/>
      </c>
      <c r="M706" s="397" t="str">
        <f ca="1">IFERROR(IF(COUNTIF($B$517:$B705,"&lt;0")=1,"",OFFSET($C704,-COUNTIF($B$517:$B705,"&lt;0")+3,0)),"")</f>
        <v>a17Dm000000KyD4IAK</v>
      </c>
      <c r="N706" s="397">
        <f ca="1">IFERROR(IF(AND(_xlfn.ISFORMULA(I706),NOT(_xlfn.ISFORMULA(I705))),1,OFFSET($F704,-COUNTIF($B$517:B705,"&lt;0")+3,0)),"")</f>
        <v>2</v>
      </c>
      <c r="O706" s="384">
        <f t="shared" si="95"/>
        <v>0</v>
      </c>
      <c r="P706" s="384"/>
      <c r="Q706" s="384"/>
      <c r="R706" s="384"/>
      <c r="S706" s="384"/>
      <c r="T706" s="388"/>
    </row>
    <row r="707" spans="1:20" x14ac:dyDescent="0.3">
      <c r="A707" s="384" t="b">
        <f t="shared" ca="1" si="96"/>
        <v>1</v>
      </c>
      <c r="B707" s="384">
        <f t="shared" si="92"/>
        <v>8</v>
      </c>
      <c r="C707" s="400" t="str">
        <f t="shared" ca="1" si="97"/>
        <v>a17Dm000000KyDYIA0</v>
      </c>
      <c r="D707" s="397"/>
      <c r="E707" s="384">
        <f t="shared" si="93"/>
        <v>2</v>
      </c>
      <c r="F707" s="398">
        <f ca="1">IF(COUNTA(D$518:D707)=1,"",OFFSET(F705,-COUNTA(D$518:D707)+3,0))</f>
        <v>2</v>
      </c>
      <c r="G707" s="388" t="str">
        <f t="shared" ca="1" si="98"/>
        <v/>
      </c>
      <c r="H707" s="384">
        <f t="shared" si="94"/>
        <v>11</v>
      </c>
      <c r="I707" s="386">
        <f t="shared" ca="1" si="99"/>
        <v>66.169224271434601</v>
      </c>
      <c r="J707" s="389">
        <f t="shared" ca="1" si="100"/>
        <v>7103</v>
      </c>
      <c r="K707" s="389">
        <f t="shared" ca="1" si="101"/>
        <v>4700</v>
      </c>
      <c r="L707" s="388" t="str">
        <f t="shared" ca="1" si="102"/>
        <v/>
      </c>
      <c r="M707" s="397" t="str">
        <f ca="1">IFERROR(IF(COUNTIF($B$517:$B706,"&lt;0")=1,"",OFFSET($C705,-COUNTIF($B$517:$B706,"&lt;0")+3,0)),"")</f>
        <v>a17Dm000000KyDYIA0</v>
      </c>
      <c r="N707" s="397">
        <f ca="1">IFERROR(IF(AND(_xlfn.ISFORMULA(I707),NOT(_xlfn.ISFORMULA(I706))),1,OFFSET($F705,-COUNTIF($B$517:B706,"&lt;0")+3,0)),"")</f>
        <v>2</v>
      </c>
      <c r="O707" s="384">
        <f t="shared" si="95"/>
        <v>0</v>
      </c>
      <c r="P707" s="384"/>
      <c r="Q707" s="384"/>
      <c r="R707" s="384"/>
      <c r="S707" s="384"/>
      <c r="T707" s="388"/>
    </row>
    <row r="708" spans="1:20" x14ac:dyDescent="0.3">
      <c r="A708" s="384" t="b">
        <f t="shared" ca="1" si="96"/>
        <v>1</v>
      </c>
      <c r="B708" s="384">
        <f t="shared" si="92"/>
        <v>9</v>
      </c>
      <c r="C708" s="400" t="str">
        <f t="shared" ca="1" si="97"/>
        <v>a17Dm000000KyE2IAK</v>
      </c>
      <c r="D708" s="397"/>
      <c r="E708" s="384">
        <f t="shared" si="93"/>
        <v>3</v>
      </c>
      <c r="F708" s="398">
        <f ca="1">IF(COUNTA(D$518:D708)=1,"",OFFSET(F706,-COUNTA(D$518:D708)+3,0))</f>
        <v>2</v>
      </c>
      <c r="G708" s="388" t="str">
        <f t="shared" ca="1" si="98"/>
        <v/>
      </c>
      <c r="H708" s="384">
        <f t="shared" si="94"/>
        <v>11</v>
      </c>
      <c r="I708" s="386">
        <f t="shared" ca="1" si="99"/>
        <v>66.169224271434601</v>
      </c>
      <c r="J708" s="389">
        <f t="shared" ca="1" si="100"/>
        <v>7103</v>
      </c>
      <c r="K708" s="389">
        <f t="shared" ca="1" si="101"/>
        <v>4700</v>
      </c>
      <c r="L708" s="388" t="str">
        <f t="shared" ca="1" si="102"/>
        <v/>
      </c>
      <c r="M708" s="397" t="str">
        <f ca="1">IFERROR(IF(COUNTIF($B$517:$B707,"&lt;0")=1,"",OFFSET($C706,-COUNTIF($B$517:$B707,"&lt;0")+3,0)),"")</f>
        <v>a17Dm000000KyE2IAK</v>
      </c>
      <c r="N708" s="397">
        <f ca="1">IFERROR(IF(AND(_xlfn.ISFORMULA(I708),NOT(_xlfn.ISFORMULA(I707))),1,OFFSET($F706,-COUNTIF($B$517:B707,"&lt;0")+3,0)),"")</f>
        <v>2</v>
      </c>
      <c r="O708" s="384">
        <f t="shared" si="95"/>
        <v>0</v>
      </c>
      <c r="P708" s="384"/>
      <c r="Q708" s="384"/>
      <c r="R708" s="384"/>
      <c r="S708" s="384"/>
      <c r="T708" s="388"/>
    </row>
    <row r="709" spans="1:20" x14ac:dyDescent="0.3">
      <c r="A709" s="384" t="b">
        <f t="shared" ca="1" si="96"/>
        <v>0</v>
      </c>
      <c r="B709" s="384">
        <f t="shared" si="92"/>
        <v>10</v>
      </c>
      <c r="C709" s="400" t="str">
        <f t="shared" ca="1" si="97"/>
        <v>a17Dm000000KyEWIA0</v>
      </c>
      <c r="D709" s="397"/>
      <c r="E709" s="384">
        <f t="shared" si="93"/>
        <v>4</v>
      </c>
      <c r="F709" s="398">
        <f ca="1">IF(COUNTA(D$518:D709)=1,"",OFFSET(F707,-COUNTA(D$518:D709)+3,0))</f>
        <v>2</v>
      </c>
      <c r="G709" s="388" t="str">
        <f t="shared" ca="1" si="98"/>
        <v/>
      </c>
      <c r="H709" s="384">
        <f t="shared" si="94"/>
        <v>11</v>
      </c>
      <c r="I709" s="386" t="str">
        <f t="shared" ca="1" si="99"/>
        <v/>
      </c>
      <c r="J709" s="389" t="str">
        <f t="shared" ca="1" si="100"/>
        <v/>
      </c>
      <c r="K709" s="389" t="str">
        <f t="shared" ca="1" si="101"/>
        <v/>
      </c>
      <c r="L709" s="388" t="str">
        <f t="shared" ca="1" si="102"/>
        <v/>
      </c>
      <c r="M709" s="397" t="str">
        <f ca="1">IFERROR(IF(COUNTIF($B$517:$B708,"&lt;0")=1,"",OFFSET($C707,-COUNTIF($B$517:$B708,"&lt;0")+3,0)),"")</f>
        <v>a17Dm000000KyEWIA0</v>
      </c>
      <c r="N709" s="397">
        <f ca="1">IFERROR(IF(AND(_xlfn.ISFORMULA(I709),NOT(_xlfn.ISFORMULA(I708))),1,OFFSET($F707,-COUNTIF($B$517:B708,"&lt;0")+3,0)),"")</f>
        <v>2</v>
      </c>
      <c r="O709" s="384">
        <f t="shared" si="95"/>
        <v>0</v>
      </c>
      <c r="P709" s="384"/>
      <c r="Q709" s="384"/>
      <c r="R709" s="384"/>
      <c r="S709" s="384"/>
      <c r="T709" s="388"/>
    </row>
    <row r="710" spans="1:20" x14ac:dyDescent="0.3">
      <c r="A710" s="384" t="b">
        <f t="shared" ca="1" si="96"/>
        <v>0</v>
      </c>
      <c r="B710" s="384">
        <f t="shared" si="92"/>
        <v>11</v>
      </c>
      <c r="C710" s="400" t="str">
        <f t="shared" ca="1" si="97"/>
        <v>a17Dm000000KyF0IAK</v>
      </c>
      <c r="D710" s="397"/>
      <c r="E710" s="384">
        <f t="shared" si="93"/>
        <v>5</v>
      </c>
      <c r="F710" s="398">
        <f ca="1">IF(COUNTA(D$518:D710)=1,"",OFFSET(F708,-COUNTA(D$518:D710)+3,0))</f>
        <v>2</v>
      </c>
      <c r="G710" s="388" t="str">
        <f t="shared" ca="1" si="98"/>
        <v/>
      </c>
      <c r="H710" s="384">
        <f t="shared" si="94"/>
        <v>11</v>
      </c>
      <c r="I710" s="386" t="str">
        <f t="shared" ca="1" si="99"/>
        <v/>
      </c>
      <c r="J710" s="389" t="str">
        <f t="shared" ca="1" si="100"/>
        <v/>
      </c>
      <c r="K710" s="389" t="str">
        <f t="shared" ca="1" si="101"/>
        <v/>
      </c>
      <c r="L710" s="388" t="str">
        <f t="shared" ca="1" si="102"/>
        <v/>
      </c>
      <c r="M710" s="397" t="str">
        <f ca="1">IFERROR(IF(COUNTIF($B$517:$B709,"&lt;0")=1,"",OFFSET($C708,-COUNTIF($B$517:$B709,"&lt;0")+3,0)),"")</f>
        <v>a17Dm000000KyF0IAK</v>
      </c>
      <c r="N710" s="397">
        <f ca="1">IFERROR(IF(AND(_xlfn.ISFORMULA(I710),NOT(_xlfn.ISFORMULA(I709))),1,OFFSET($F708,-COUNTIF($B$517:B709,"&lt;0")+3,0)),"")</f>
        <v>2</v>
      </c>
      <c r="O710" s="384">
        <f t="shared" si="95"/>
        <v>0</v>
      </c>
      <c r="P710" s="384"/>
      <c r="Q710" s="384"/>
      <c r="R710" s="384"/>
      <c r="S710" s="384"/>
      <c r="T710" s="388"/>
    </row>
    <row r="711" spans="1:20" x14ac:dyDescent="0.3">
      <c r="A711" s="384" t="b">
        <f t="shared" ca="1" si="96"/>
        <v>0</v>
      </c>
      <c r="B711" s="384">
        <f t="shared" si="92"/>
        <v>12</v>
      </c>
      <c r="C711" s="400" t="str">
        <f t="shared" ca="1" si="97"/>
        <v>a17Dm000000KyFUIA0</v>
      </c>
      <c r="D711" s="397"/>
      <c r="E711" s="384">
        <f t="shared" si="93"/>
        <v>6</v>
      </c>
      <c r="F711" s="398">
        <f ca="1">IF(COUNTA(D$518:D711)=1,"",OFFSET(F709,-COUNTA(D$518:D711)+3,0))</f>
        <v>2</v>
      </c>
      <c r="G711" s="388" t="str">
        <f t="shared" ca="1" si="98"/>
        <v/>
      </c>
      <c r="H711" s="384">
        <f t="shared" si="94"/>
        <v>11</v>
      </c>
      <c r="I711" s="386" t="str">
        <f t="shared" ca="1" si="99"/>
        <v/>
      </c>
      <c r="J711" s="389" t="str">
        <f t="shared" ca="1" si="100"/>
        <v/>
      </c>
      <c r="K711" s="389" t="str">
        <f t="shared" ca="1" si="101"/>
        <v/>
      </c>
      <c r="L711" s="388" t="str">
        <f t="shared" ca="1" si="102"/>
        <v/>
      </c>
      <c r="M711" s="397" t="str">
        <f ca="1">IFERROR(IF(COUNTIF($B$517:$B710,"&lt;0")=1,"",OFFSET($C709,-COUNTIF($B$517:$B710,"&lt;0")+3,0)),"")</f>
        <v>a17Dm000000KyFUIA0</v>
      </c>
      <c r="N711" s="397">
        <f ca="1">IFERROR(IF(AND(_xlfn.ISFORMULA(I711),NOT(_xlfn.ISFORMULA(I710))),1,OFFSET($F709,-COUNTIF($B$517:B710,"&lt;0")+3,0)),"")</f>
        <v>2</v>
      </c>
      <c r="O711" s="384">
        <f t="shared" si="95"/>
        <v>0</v>
      </c>
      <c r="P711" s="384"/>
      <c r="Q711" s="384"/>
      <c r="R711" s="384"/>
      <c r="S711" s="384"/>
      <c r="T711" s="388"/>
    </row>
    <row r="712" spans="1:20" x14ac:dyDescent="0.3">
      <c r="A712" s="384" t="b">
        <f t="shared" ca="1" si="96"/>
        <v>1</v>
      </c>
      <c r="B712" s="384">
        <f t="shared" ref="B712:B775" si="103">B711+1</f>
        <v>13</v>
      </c>
      <c r="C712" s="400" t="str">
        <f t="shared" ca="1" si="97"/>
        <v>a17Dm000000KyD5IAK</v>
      </c>
      <c r="D712" s="397"/>
      <c r="E712" s="384">
        <f t="shared" ref="E712:E775" si="104">IF(E711="countif",0,IF(E711=W$2,1,E711+1))</f>
        <v>1</v>
      </c>
      <c r="F712" s="398">
        <f ca="1">IF(COUNTA(D$518:D712)=1,"",OFFSET(F710,-COUNTA(D$518:D712)+3,0))</f>
        <v>3</v>
      </c>
      <c r="G712" s="388" t="str">
        <f t="shared" ca="1" si="98"/>
        <v/>
      </c>
      <c r="H712" s="384">
        <f t="shared" ref="H712:H775" si="105">IF(B712=1,9,IF(E711=MAX(E710:E712),H710+2,H711))</f>
        <v>13</v>
      </c>
      <c r="I712" s="386">
        <f t="shared" ca="1" si="99"/>
        <v>99</v>
      </c>
      <c r="J712" s="389">
        <f t="shared" ca="1" si="100"/>
        <v>300</v>
      </c>
      <c r="K712" s="389">
        <f t="shared" ca="1" si="101"/>
        <v>297</v>
      </c>
      <c r="L712" s="388" t="str">
        <f t="shared" ca="1" si="102"/>
        <v/>
      </c>
      <c r="M712" s="397" t="str">
        <f ca="1">IFERROR(IF(COUNTIF($B$517:$B711,"&lt;0")=1,"",OFFSET($C710,-COUNTIF($B$517:$B711,"&lt;0")+3,0)),"")</f>
        <v>a17Dm000000KyD5IAK</v>
      </c>
      <c r="N712" s="397">
        <f ca="1">IFERROR(IF(AND(_xlfn.ISFORMULA(I712),NOT(_xlfn.ISFORMULA(I711))),1,OFFSET($F710,-COUNTIF($B$517:B711,"&lt;0")+3,0)),"")</f>
        <v>3</v>
      </c>
      <c r="O712" s="384">
        <f t="shared" ref="O712:O775" si="106">IF(NOT(_xlfn.ISFORMULA(I712)),O711+1,0)</f>
        <v>0</v>
      </c>
      <c r="P712" s="384"/>
      <c r="Q712" s="384"/>
      <c r="R712" s="384"/>
      <c r="S712" s="384"/>
      <c r="T712" s="388"/>
    </row>
    <row r="713" spans="1:20" x14ac:dyDescent="0.3">
      <c r="A713" s="384" t="b">
        <f t="shared" ca="1" si="96"/>
        <v>1</v>
      </c>
      <c r="B713" s="384">
        <f t="shared" si="103"/>
        <v>14</v>
      </c>
      <c r="C713" s="400" t="str">
        <f t="shared" ca="1" si="97"/>
        <v>a17Dm000000KyDZIA0</v>
      </c>
      <c r="D713" s="397"/>
      <c r="E713" s="384">
        <f t="shared" si="104"/>
        <v>2</v>
      </c>
      <c r="F713" s="398">
        <f ca="1">IF(COUNTA(D$518:D713)=1,"",OFFSET(F711,-COUNTA(D$518:D713)+3,0))</f>
        <v>3</v>
      </c>
      <c r="G713" s="388" t="str">
        <f t="shared" ca="1" si="98"/>
        <v/>
      </c>
      <c r="H713" s="384">
        <f t="shared" si="105"/>
        <v>13</v>
      </c>
      <c r="I713" s="386">
        <f t="shared" ca="1" si="99"/>
        <v>99</v>
      </c>
      <c r="J713" s="389">
        <f t="shared" ca="1" si="100"/>
        <v>300</v>
      </c>
      <c r="K713" s="389">
        <f t="shared" ca="1" si="101"/>
        <v>297</v>
      </c>
      <c r="L713" s="388" t="str">
        <f t="shared" ca="1" si="102"/>
        <v/>
      </c>
      <c r="M713" s="397" t="str">
        <f ca="1">IFERROR(IF(COUNTIF($B$517:$B712,"&lt;0")=1,"",OFFSET($C711,-COUNTIF($B$517:$B712,"&lt;0")+3,0)),"")</f>
        <v>a17Dm000000KyDZIA0</v>
      </c>
      <c r="N713" s="397">
        <f ca="1">IFERROR(IF(AND(_xlfn.ISFORMULA(I713),NOT(_xlfn.ISFORMULA(I712))),1,OFFSET($F711,-COUNTIF($B$517:B712,"&lt;0")+3,0)),"")</f>
        <v>3</v>
      </c>
      <c r="O713" s="384">
        <f t="shared" si="106"/>
        <v>0</v>
      </c>
      <c r="P713" s="384"/>
      <c r="Q713" s="384"/>
      <c r="R713" s="384"/>
      <c r="S713" s="384"/>
      <c r="T713" s="388"/>
    </row>
    <row r="714" spans="1:20" x14ac:dyDescent="0.3">
      <c r="A714" s="384" t="b">
        <f t="shared" ca="1" si="96"/>
        <v>1</v>
      </c>
      <c r="B714" s="384">
        <f t="shared" si="103"/>
        <v>15</v>
      </c>
      <c r="C714" s="400" t="str">
        <f t="shared" ca="1" si="97"/>
        <v>a17Dm000000KyE3IAK</v>
      </c>
      <c r="D714" s="397"/>
      <c r="E714" s="384">
        <f t="shared" si="104"/>
        <v>3</v>
      </c>
      <c r="F714" s="398">
        <f ca="1">IF(COUNTA(D$518:D714)=1,"",OFFSET(F712,-COUNTA(D$518:D714)+3,0))</f>
        <v>3</v>
      </c>
      <c r="G714" s="388" t="str">
        <f t="shared" ca="1" si="98"/>
        <v/>
      </c>
      <c r="H714" s="384">
        <f t="shared" si="105"/>
        <v>13</v>
      </c>
      <c r="I714" s="386">
        <f t="shared" ca="1" si="99"/>
        <v>99</v>
      </c>
      <c r="J714" s="389">
        <f t="shared" ca="1" si="100"/>
        <v>300</v>
      </c>
      <c r="K714" s="389">
        <f t="shared" ca="1" si="101"/>
        <v>297</v>
      </c>
      <c r="L714" s="388" t="str">
        <f t="shared" ca="1" si="102"/>
        <v/>
      </c>
      <c r="M714" s="397" t="str">
        <f ca="1">IFERROR(IF(COUNTIF($B$517:$B713,"&lt;0")=1,"",OFFSET($C712,-COUNTIF($B$517:$B713,"&lt;0")+3,0)),"")</f>
        <v>a17Dm000000KyE3IAK</v>
      </c>
      <c r="N714" s="397">
        <f ca="1">IFERROR(IF(AND(_xlfn.ISFORMULA(I714),NOT(_xlfn.ISFORMULA(I713))),1,OFFSET($F712,-COUNTIF($B$517:B713,"&lt;0")+3,0)),"")</f>
        <v>3</v>
      </c>
      <c r="O714" s="384">
        <f t="shared" si="106"/>
        <v>0</v>
      </c>
      <c r="P714" s="384"/>
      <c r="Q714" s="384"/>
      <c r="R714" s="384"/>
      <c r="S714" s="384"/>
      <c r="T714" s="388"/>
    </row>
    <row r="715" spans="1:20" x14ac:dyDescent="0.3">
      <c r="A715" s="384" t="b">
        <f t="shared" ca="1" si="96"/>
        <v>0</v>
      </c>
      <c r="B715" s="384">
        <f t="shared" si="103"/>
        <v>16</v>
      </c>
      <c r="C715" s="400" t="str">
        <f t="shared" ca="1" si="97"/>
        <v>a17Dm000000KyEXIA0</v>
      </c>
      <c r="D715" s="397"/>
      <c r="E715" s="384">
        <f t="shared" si="104"/>
        <v>4</v>
      </c>
      <c r="F715" s="398">
        <f ca="1">IF(COUNTA(D$518:D715)=1,"",OFFSET(F713,-COUNTA(D$518:D715)+3,0))</f>
        <v>3</v>
      </c>
      <c r="G715" s="388" t="str">
        <f t="shared" ca="1" si="98"/>
        <v/>
      </c>
      <c r="H715" s="384">
        <f t="shared" si="105"/>
        <v>13</v>
      </c>
      <c r="I715" s="386" t="str">
        <f t="shared" ca="1" si="99"/>
        <v/>
      </c>
      <c r="J715" s="389" t="str">
        <f t="shared" ca="1" si="100"/>
        <v/>
      </c>
      <c r="K715" s="389" t="str">
        <f t="shared" ca="1" si="101"/>
        <v/>
      </c>
      <c r="L715" s="388" t="str">
        <f t="shared" ca="1" si="102"/>
        <v/>
      </c>
      <c r="M715" s="397" t="str">
        <f ca="1">IFERROR(IF(COUNTIF($B$517:$B714,"&lt;0")=1,"",OFFSET($C713,-COUNTIF($B$517:$B714,"&lt;0")+3,0)),"")</f>
        <v>a17Dm000000KyEXIA0</v>
      </c>
      <c r="N715" s="397">
        <f ca="1">IFERROR(IF(AND(_xlfn.ISFORMULA(I715),NOT(_xlfn.ISFORMULA(I714))),1,OFFSET($F713,-COUNTIF($B$517:B714,"&lt;0")+3,0)),"")</f>
        <v>3</v>
      </c>
      <c r="O715" s="384">
        <f t="shared" si="106"/>
        <v>0</v>
      </c>
      <c r="P715" s="384"/>
      <c r="Q715" s="384"/>
      <c r="R715" s="384"/>
      <c r="S715" s="384"/>
      <c r="T715" s="388"/>
    </row>
    <row r="716" spans="1:20" x14ac:dyDescent="0.3">
      <c r="A716" s="384" t="b">
        <f t="shared" ca="1" si="96"/>
        <v>0</v>
      </c>
      <c r="B716" s="384">
        <f t="shared" si="103"/>
        <v>17</v>
      </c>
      <c r="C716" s="400" t="str">
        <f t="shared" ca="1" si="97"/>
        <v>a17Dm000000KyF1IAK</v>
      </c>
      <c r="D716" s="397"/>
      <c r="E716" s="384">
        <f t="shared" si="104"/>
        <v>5</v>
      </c>
      <c r="F716" s="398">
        <f ca="1">IF(COUNTA(D$518:D716)=1,"",OFFSET(F714,-COUNTA(D$518:D716)+3,0))</f>
        <v>3</v>
      </c>
      <c r="G716" s="388" t="str">
        <f t="shared" ca="1" si="98"/>
        <v/>
      </c>
      <c r="H716" s="384">
        <f t="shared" si="105"/>
        <v>13</v>
      </c>
      <c r="I716" s="386" t="str">
        <f t="shared" ca="1" si="99"/>
        <v/>
      </c>
      <c r="J716" s="389" t="str">
        <f t="shared" ca="1" si="100"/>
        <v/>
      </c>
      <c r="K716" s="389" t="str">
        <f t="shared" ca="1" si="101"/>
        <v/>
      </c>
      <c r="L716" s="388" t="str">
        <f t="shared" ca="1" si="102"/>
        <v/>
      </c>
      <c r="M716" s="397" t="str">
        <f ca="1">IFERROR(IF(COUNTIF($B$517:$B715,"&lt;0")=1,"",OFFSET($C714,-COUNTIF($B$517:$B715,"&lt;0")+3,0)),"")</f>
        <v>a17Dm000000KyF1IAK</v>
      </c>
      <c r="N716" s="397">
        <f ca="1">IFERROR(IF(AND(_xlfn.ISFORMULA(I716),NOT(_xlfn.ISFORMULA(I715))),1,OFFSET($F714,-COUNTIF($B$517:B715,"&lt;0")+3,0)),"")</f>
        <v>3</v>
      </c>
      <c r="O716" s="384">
        <f t="shared" si="106"/>
        <v>0</v>
      </c>
      <c r="P716" s="384"/>
      <c r="Q716" s="384"/>
      <c r="R716" s="384"/>
      <c r="S716" s="384"/>
      <c r="T716" s="388"/>
    </row>
    <row r="717" spans="1:20" x14ac:dyDescent="0.3">
      <c r="A717" s="384" t="b">
        <f t="shared" ca="1" si="96"/>
        <v>0</v>
      </c>
      <c r="B717" s="384">
        <f t="shared" si="103"/>
        <v>18</v>
      </c>
      <c r="C717" s="400" t="str">
        <f t="shared" ca="1" si="97"/>
        <v>a17Dm000000KyFVIA0</v>
      </c>
      <c r="D717" s="397"/>
      <c r="E717" s="384">
        <f t="shared" si="104"/>
        <v>6</v>
      </c>
      <c r="F717" s="398">
        <f ca="1">IF(COUNTA(D$518:D717)=1,"",OFFSET(F715,-COUNTA(D$518:D717)+3,0))</f>
        <v>3</v>
      </c>
      <c r="G717" s="388" t="str">
        <f t="shared" ca="1" si="98"/>
        <v/>
      </c>
      <c r="H717" s="384">
        <f t="shared" si="105"/>
        <v>13</v>
      </c>
      <c r="I717" s="386" t="str">
        <f t="shared" ca="1" si="99"/>
        <v/>
      </c>
      <c r="J717" s="389" t="str">
        <f t="shared" ca="1" si="100"/>
        <v/>
      </c>
      <c r="K717" s="389" t="str">
        <f t="shared" ca="1" si="101"/>
        <v/>
      </c>
      <c r="L717" s="388" t="str">
        <f t="shared" ca="1" si="102"/>
        <v/>
      </c>
      <c r="M717" s="397" t="str">
        <f ca="1">IFERROR(IF(COUNTIF($B$517:$B716,"&lt;0")=1,"",OFFSET($C715,-COUNTIF($B$517:$B716,"&lt;0")+3,0)),"")</f>
        <v>a17Dm000000KyFVIA0</v>
      </c>
      <c r="N717" s="397">
        <f ca="1">IFERROR(IF(AND(_xlfn.ISFORMULA(I717),NOT(_xlfn.ISFORMULA(I716))),1,OFFSET($F715,-COUNTIF($B$517:B716,"&lt;0")+3,0)),"")</f>
        <v>3</v>
      </c>
      <c r="O717" s="384">
        <f t="shared" si="106"/>
        <v>0</v>
      </c>
      <c r="P717" s="384"/>
      <c r="Q717" s="384"/>
      <c r="R717" s="384"/>
      <c r="S717" s="384"/>
      <c r="T717" s="388"/>
    </row>
    <row r="718" spans="1:20" x14ac:dyDescent="0.3">
      <c r="A718" s="384" t="b">
        <f t="shared" ca="1" si="96"/>
        <v>1</v>
      </c>
      <c r="B718" s="384">
        <f t="shared" si="103"/>
        <v>19</v>
      </c>
      <c r="C718" s="400" t="str">
        <f t="shared" ca="1" si="97"/>
        <v>a17Dm000000KyD6IAK</v>
      </c>
      <c r="D718" s="397"/>
      <c r="E718" s="384">
        <f t="shared" si="104"/>
        <v>1</v>
      </c>
      <c r="F718" s="398">
        <f ca="1">IF(COUNTA(D$518:D718)=1,"",OFFSET(F716,-COUNTA(D$518:D718)+3,0))</f>
        <v>4</v>
      </c>
      <c r="G718" s="388" t="str">
        <f t="shared" ca="1" si="98"/>
        <v/>
      </c>
      <c r="H718" s="384">
        <f t="shared" si="105"/>
        <v>15</v>
      </c>
      <c r="I718" s="386">
        <f t="shared" ca="1" si="99"/>
        <v>100</v>
      </c>
      <c r="J718" s="389">
        <f t="shared" ca="1" si="100"/>
        <v>17379</v>
      </c>
      <c r="K718" s="389">
        <f t="shared" ca="1" si="101"/>
        <v>17379</v>
      </c>
      <c r="L718" s="388" t="str">
        <f t="shared" ca="1" si="102"/>
        <v/>
      </c>
      <c r="M718" s="397" t="str">
        <f ca="1">IFERROR(IF(COUNTIF($B$517:$B717,"&lt;0")=1,"",OFFSET($C716,-COUNTIF($B$517:$B717,"&lt;0")+3,0)),"")</f>
        <v>a17Dm000000KyD6IAK</v>
      </c>
      <c r="N718" s="397">
        <f ca="1">IFERROR(IF(AND(_xlfn.ISFORMULA(I718),NOT(_xlfn.ISFORMULA(I717))),1,OFFSET($F716,-COUNTIF($B$517:B717,"&lt;0")+3,0)),"")</f>
        <v>4</v>
      </c>
      <c r="O718" s="384">
        <f t="shared" si="106"/>
        <v>0</v>
      </c>
      <c r="P718" s="384"/>
      <c r="Q718" s="384"/>
      <c r="R718" s="384"/>
      <c r="S718" s="384"/>
      <c r="T718" s="388"/>
    </row>
    <row r="719" spans="1:20" x14ac:dyDescent="0.3">
      <c r="A719" s="384" t="b">
        <f t="shared" ca="1" si="96"/>
        <v>1</v>
      </c>
      <c r="B719" s="384">
        <f t="shared" si="103"/>
        <v>20</v>
      </c>
      <c r="C719" s="400" t="str">
        <f t="shared" ca="1" si="97"/>
        <v>a17Dm000000KyDaIAK</v>
      </c>
      <c r="D719" s="397"/>
      <c r="E719" s="384">
        <f t="shared" si="104"/>
        <v>2</v>
      </c>
      <c r="F719" s="398">
        <f ca="1">IF(COUNTA(D$518:D719)=1,"",OFFSET(F717,-COUNTA(D$518:D719)+3,0))</f>
        <v>4</v>
      </c>
      <c r="G719" s="388" t="str">
        <f t="shared" ca="1" si="98"/>
        <v/>
      </c>
      <c r="H719" s="384">
        <f t="shared" si="105"/>
        <v>15</v>
      </c>
      <c r="I719" s="386">
        <f t="shared" ca="1" si="99"/>
        <v>100</v>
      </c>
      <c r="J719" s="389">
        <f t="shared" ca="1" si="100"/>
        <v>17379</v>
      </c>
      <c r="K719" s="389">
        <f t="shared" ca="1" si="101"/>
        <v>17379</v>
      </c>
      <c r="L719" s="388" t="str">
        <f t="shared" ca="1" si="102"/>
        <v/>
      </c>
      <c r="M719" s="397" t="str">
        <f ca="1">IFERROR(IF(COUNTIF($B$517:$B718,"&lt;0")=1,"",OFFSET($C717,-COUNTIF($B$517:$B718,"&lt;0")+3,0)),"")</f>
        <v>a17Dm000000KyDaIAK</v>
      </c>
      <c r="N719" s="397">
        <f ca="1">IFERROR(IF(AND(_xlfn.ISFORMULA(I719),NOT(_xlfn.ISFORMULA(I718))),1,OFFSET($F717,-COUNTIF($B$517:B718,"&lt;0")+3,0)),"")</f>
        <v>4</v>
      </c>
      <c r="O719" s="384">
        <f t="shared" si="106"/>
        <v>0</v>
      </c>
      <c r="P719" s="384"/>
      <c r="Q719" s="384"/>
      <c r="R719" s="384"/>
      <c r="S719" s="384"/>
      <c r="T719" s="388"/>
    </row>
    <row r="720" spans="1:20" x14ac:dyDescent="0.3">
      <c r="A720" s="384" t="b">
        <f t="shared" ca="1" si="96"/>
        <v>1</v>
      </c>
      <c r="B720" s="384">
        <f t="shared" si="103"/>
        <v>21</v>
      </c>
      <c r="C720" s="400" t="str">
        <f t="shared" ca="1" si="97"/>
        <v>a17Dm000000KyE4IAK</v>
      </c>
      <c r="D720" s="397"/>
      <c r="E720" s="384">
        <f t="shared" si="104"/>
        <v>3</v>
      </c>
      <c r="F720" s="398">
        <f ca="1">IF(COUNTA(D$518:D720)=1,"",OFFSET(F718,-COUNTA(D$518:D720)+3,0))</f>
        <v>4</v>
      </c>
      <c r="G720" s="388" t="str">
        <f t="shared" ca="1" si="98"/>
        <v/>
      </c>
      <c r="H720" s="384">
        <f t="shared" si="105"/>
        <v>15</v>
      </c>
      <c r="I720" s="386">
        <f t="shared" ca="1" si="99"/>
        <v>100</v>
      </c>
      <c r="J720" s="389">
        <f t="shared" ca="1" si="100"/>
        <v>17379</v>
      </c>
      <c r="K720" s="389">
        <f t="shared" ca="1" si="101"/>
        <v>17379</v>
      </c>
      <c r="L720" s="388" t="str">
        <f t="shared" ca="1" si="102"/>
        <v/>
      </c>
      <c r="M720" s="397" t="str">
        <f ca="1">IFERROR(IF(COUNTIF($B$517:$B719,"&lt;0")=1,"",OFFSET($C718,-COUNTIF($B$517:$B719,"&lt;0")+3,0)),"")</f>
        <v>a17Dm000000KyE4IAK</v>
      </c>
      <c r="N720" s="397">
        <f ca="1">IFERROR(IF(AND(_xlfn.ISFORMULA(I720),NOT(_xlfn.ISFORMULA(I719))),1,OFFSET($F718,-COUNTIF($B$517:B719,"&lt;0")+3,0)),"")</f>
        <v>4</v>
      </c>
      <c r="O720" s="384">
        <f t="shared" si="106"/>
        <v>0</v>
      </c>
      <c r="P720" s="384"/>
      <c r="Q720" s="384"/>
      <c r="R720" s="384"/>
      <c r="S720" s="384"/>
      <c r="T720" s="388"/>
    </row>
    <row r="721" spans="1:20" x14ac:dyDescent="0.3">
      <c r="A721" s="384" t="b">
        <f t="shared" ca="1" si="96"/>
        <v>0</v>
      </c>
      <c r="B721" s="384">
        <f t="shared" si="103"/>
        <v>22</v>
      </c>
      <c r="C721" s="400" t="str">
        <f t="shared" ca="1" si="97"/>
        <v>a17Dm000000KyEYIA0</v>
      </c>
      <c r="D721" s="397"/>
      <c r="E721" s="384">
        <f t="shared" si="104"/>
        <v>4</v>
      </c>
      <c r="F721" s="398">
        <f ca="1">IF(COUNTA(D$518:D721)=1,"",OFFSET(F719,-COUNTA(D$518:D721)+3,0))</f>
        <v>4</v>
      </c>
      <c r="G721" s="388" t="str">
        <f t="shared" ca="1" si="98"/>
        <v/>
      </c>
      <c r="H721" s="384">
        <f t="shared" si="105"/>
        <v>15</v>
      </c>
      <c r="I721" s="386" t="str">
        <f t="shared" ca="1" si="99"/>
        <v/>
      </c>
      <c r="J721" s="389" t="str">
        <f t="shared" ca="1" si="100"/>
        <v/>
      </c>
      <c r="K721" s="389" t="str">
        <f t="shared" ca="1" si="101"/>
        <v/>
      </c>
      <c r="L721" s="388" t="str">
        <f t="shared" ca="1" si="102"/>
        <v/>
      </c>
      <c r="M721" s="397" t="str">
        <f ca="1">IFERROR(IF(COUNTIF($B$517:$B720,"&lt;0")=1,"",OFFSET($C719,-COUNTIF($B$517:$B720,"&lt;0")+3,0)),"")</f>
        <v>a17Dm000000KyEYIA0</v>
      </c>
      <c r="N721" s="397">
        <f ca="1">IFERROR(IF(AND(_xlfn.ISFORMULA(I721),NOT(_xlfn.ISFORMULA(I720))),1,OFFSET($F719,-COUNTIF($B$517:B720,"&lt;0")+3,0)),"")</f>
        <v>4</v>
      </c>
      <c r="O721" s="384">
        <f t="shared" si="106"/>
        <v>0</v>
      </c>
      <c r="P721" s="384"/>
      <c r="Q721" s="384"/>
      <c r="R721" s="384"/>
      <c r="S721" s="384"/>
      <c r="T721" s="388"/>
    </row>
    <row r="722" spans="1:20" x14ac:dyDescent="0.3">
      <c r="A722" s="384" t="b">
        <f t="shared" ca="1" si="96"/>
        <v>0</v>
      </c>
      <c r="B722" s="384">
        <f t="shared" si="103"/>
        <v>23</v>
      </c>
      <c r="C722" s="400" t="str">
        <f t="shared" ca="1" si="97"/>
        <v>a17Dm000000KyF2IAK</v>
      </c>
      <c r="D722" s="397"/>
      <c r="E722" s="384">
        <f t="shared" si="104"/>
        <v>5</v>
      </c>
      <c r="F722" s="398">
        <f ca="1">IF(COUNTA(D$518:D722)=1,"",OFFSET(F720,-COUNTA(D$518:D722)+3,0))</f>
        <v>4</v>
      </c>
      <c r="G722" s="388" t="str">
        <f t="shared" ca="1" si="98"/>
        <v/>
      </c>
      <c r="H722" s="384">
        <f t="shared" si="105"/>
        <v>15</v>
      </c>
      <c r="I722" s="386" t="str">
        <f t="shared" ca="1" si="99"/>
        <v/>
      </c>
      <c r="J722" s="389" t="str">
        <f t="shared" ca="1" si="100"/>
        <v/>
      </c>
      <c r="K722" s="389" t="str">
        <f t="shared" ca="1" si="101"/>
        <v/>
      </c>
      <c r="L722" s="388" t="str">
        <f t="shared" ca="1" si="102"/>
        <v/>
      </c>
      <c r="M722" s="397" t="str">
        <f ca="1">IFERROR(IF(COUNTIF($B$517:$B721,"&lt;0")=1,"",OFFSET($C720,-COUNTIF($B$517:$B721,"&lt;0")+3,0)),"")</f>
        <v>a17Dm000000KyF2IAK</v>
      </c>
      <c r="N722" s="397">
        <f ca="1">IFERROR(IF(AND(_xlfn.ISFORMULA(I722),NOT(_xlfn.ISFORMULA(I721))),1,OFFSET($F720,-COUNTIF($B$517:B721,"&lt;0")+3,0)),"")</f>
        <v>4</v>
      </c>
      <c r="O722" s="384">
        <f t="shared" si="106"/>
        <v>0</v>
      </c>
      <c r="P722" s="384"/>
      <c r="Q722" s="384"/>
      <c r="R722" s="384"/>
      <c r="S722" s="384"/>
      <c r="T722" s="388"/>
    </row>
    <row r="723" spans="1:20" x14ac:dyDescent="0.3">
      <c r="A723" s="384" t="b">
        <f t="shared" ca="1" si="96"/>
        <v>0</v>
      </c>
      <c r="B723" s="384">
        <f t="shared" si="103"/>
        <v>24</v>
      </c>
      <c r="C723" s="400" t="str">
        <f t="shared" ca="1" si="97"/>
        <v>a17Dm000000KyFWIA0</v>
      </c>
      <c r="D723" s="397"/>
      <c r="E723" s="384">
        <f t="shared" si="104"/>
        <v>6</v>
      </c>
      <c r="F723" s="398">
        <f ca="1">IF(COUNTA(D$518:D723)=1,"",OFFSET(F721,-COUNTA(D$518:D723)+3,0))</f>
        <v>4</v>
      </c>
      <c r="G723" s="388" t="str">
        <f t="shared" ca="1" si="98"/>
        <v/>
      </c>
      <c r="H723" s="384">
        <f t="shared" si="105"/>
        <v>15</v>
      </c>
      <c r="I723" s="386" t="str">
        <f t="shared" ca="1" si="99"/>
        <v/>
      </c>
      <c r="J723" s="389" t="str">
        <f t="shared" ca="1" si="100"/>
        <v/>
      </c>
      <c r="K723" s="389" t="str">
        <f t="shared" ca="1" si="101"/>
        <v/>
      </c>
      <c r="L723" s="388" t="str">
        <f t="shared" ca="1" si="102"/>
        <v/>
      </c>
      <c r="M723" s="397" t="str">
        <f ca="1">IFERROR(IF(COUNTIF($B$517:$B722,"&lt;0")=1,"",OFFSET($C721,-COUNTIF($B$517:$B722,"&lt;0")+3,0)),"")</f>
        <v>a17Dm000000KyFWIA0</v>
      </c>
      <c r="N723" s="397">
        <f ca="1">IFERROR(IF(AND(_xlfn.ISFORMULA(I723),NOT(_xlfn.ISFORMULA(I722))),1,OFFSET($F721,-COUNTIF($B$517:B722,"&lt;0")+3,0)),"")</f>
        <v>4</v>
      </c>
      <c r="O723" s="384">
        <f t="shared" si="106"/>
        <v>0</v>
      </c>
      <c r="P723" s="384"/>
      <c r="Q723" s="384"/>
      <c r="R723" s="384"/>
      <c r="S723" s="384"/>
      <c r="T723" s="388"/>
    </row>
    <row r="724" spans="1:20" x14ac:dyDescent="0.3">
      <c r="A724" s="384" t="b">
        <f t="shared" ca="1" si="96"/>
        <v>1</v>
      </c>
      <c r="B724" s="384">
        <f t="shared" si="103"/>
        <v>25</v>
      </c>
      <c r="C724" s="400" t="str">
        <f t="shared" ca="1" si="97"/>
        <v>a17Dm000000KyD7IAK</v>
      </c>
      <c r="D724" s="397"/>
      <c r="E724" s="384">
        <f t="shared" si="104"/>
        <v>1</v>
      </c>
      <c r="F724" s="398">
        <f ca="1">IF(COUNTA(D$518:D724)=1,"",OFFSET(F722,-COUNTA(D$518:D724)+3,0))</f>
        <v>5</v>
      </c>
      <c r="G724" s="388" t="str">
        <f t="shared" ca="1" si="98"/>
        <v/>
      </c>
      <c r="H724" s="384">
        <f t="shared" si="105"/>
        <v>17</v>
      </c>
      <c r="I724" s="386" t="str">
        <f t="shared" ca="1" si="99"/>
        <v/>
      </c>
      <c r="J724" s="389" t="str">
        <f t="shared" ca="1" si="100"/>
        <v/>
      </c>
      <c r="K724" s="389">
        <f t="shared" ca="1" si="101"/>
        <v>170</v>
      </c>
      <c r="L724" s="388" t="str">
        <f t="shared" ca="1" si="102"/>
        <v/>
      </c>
      <c r="M724" s="397" t="str">
        <f ca="1">IFERROR(IF(COUNTIF($B$517:$B723,"&lt;0")=1,"",OFFSET($C722,-COUNTIF($B$517:$B723,"&lt;0")+3,0)),"")</f>
        <v>a17Dm000000KyD7IAK</v>
      </c>
      <c r="N724" s="397">
        <f ca="1">IFERROR(IF(AND(_xlfn.ISFORMULA(I724),NOT(_xlfn.ISFORMULA(I723))),1,OFFSET($F722,-COUNTIF($B$517:B723,"&lt;0")+3,0)),"")</f>
        <v>5</v>
      </c>
      <c r="O724" s="384">
        <f t="shared" si="106"/>
        <v>0</v>
      </c>
      <c r="P724" s="384"/>
      <c r="Q724" s="384"/>
      <c r="R724" s="384"/>
      <c r="S724" s="384"/>
      <c r="T724" s="388"/>
    </row>
    <row r="725" spans="1:20" x14ac:dyDescent="0.3">
      <c r="A725" s="384" t="b">
        <f t="shared" ca="1" si="96"/>
        <v>1</v>
      </c>
      <c r="B725" s="384">
        <f t="shared" si="103"/>
        <v>26</v>
      </c>
      <c r="C725" s="400" t="str">
        <f t="shared" ca="1" si="97"/>
        <v>a17Dm000000KyDbIAK</v>
      </c>
      <c r="D725" s="397"/>
      <c r="E725" s="384">
        <f t="shared" si="104"/>
        <v>2</v>
      </c>
      <c r="F725" s="398">
        <f ca="1">IF(COUNTA(D$518:D725)=1,"",OFFSET(F723,-COUNTA(D$518:D725)+3,0))</f>
        <v>5</v>
      </c>
      <c r="G725" s="388" t="str">
        <f t="shared" ca="1" si="98"/>
        <v/>
      </c>
      <c r="H725" s="384">
        <f t="shared" si="105"/>
        <v>17</v>
      </c>
      <c r="I725" s="386" t="str">
        <f t="shared" ca="1" si="99"/>
        <v/>
      </c>
      <c r="J725" s="389" t="str">
        <f t="shared" ca="1" si="100"/>
        <v/>
      </c>
      <c r="K725" s="389">
        <f t="shared" ca="1" si="101"/>
        <v>200</v>
      </c>
      <c r="L725" s="388" t="str">
        <f t="shared" ca="1" si="102"/>
        <v/>
      </c>
      <c r="M725" s="397" t="str">
        <f ca="1">IFERROR(IF(COUNTIF($B$517:$B724,"&lt;0")=1,"",OFFSET($C723,-COUNTIF($B$517:$B724,"&lt;0")+3,0)),"")</f>
        <v>a17Dm000000KyDbIAK</v>
      </c>
      <c r="N725" s="397">
        <f ca="1">IFERROR(IF(AND(_xlfn.ISFORMULA(I725),NOT(_xlfn.ISFORMULA(I724))),1,OFFSET($F723,-COUNTIF($B$517:B724,"&lt;0")+3,0)),"")</f>
        <v>5</v>
      </c>
      <c r="O725" s="384">
        <f t="shared" si="106"/>
        <v>0</v>
      </c>
      <c r="P725" s="384"/>
      <c r="Q725" s="384"/>
      <c r="R725" s="384"/>
      <c r="S725" s="384"/>
      <c r="T725" s="388"/>
    </row>
    <row r="726" spans="1:20" x14ac:dyDescent="0.3">
      <c r="A726" s="384" t="b">
        <f t="shared" ca="1" si="96"/>
        <v>1</v>
      </c>
      <c r="B726" s="384">
        <f t="shared" si="103"/>
        <v>27</v>
      </c>
      <c r="C726" s="400" t="str">
        <f t="shared" ca="1" si="97"/>
        <v>a17Dm000000KyE5IAK</v>
      </c>
      <c r="D726" s="397"/>
      <c r="E726" s="384">
        <f t="shared" si="104"/>
        <v>3</v>
      </c>
      <c r="F726" s="398">
        <f ca="1">IF(COUNTA(D$518:D726)=1,"",OFFSET(F724,-COUNTA(D$518:D726)+3,0))</f>
        <v>5</v>
      </c>
      <c r="G726" s="388" t="str">
        <f t="shared" ca="1" si="98"/>
        <v/>
      </c>
      <c r="H726" s="384">
        <f t="shared" si="105"/>
        <v>17</v>
      </c>
      <c r="I726" s="386" t="str">
        <f t="shared" ca="1" si="99"/>
        <v/>
      </c>
      <c r="J726" s="389" t="str">
        <f t="shared" ca="1" si="100"/>
        <v/>
      </c>
      <c r="K726" s="389">
        <f t="shared" ca="1" si="101"/>
        <v>250</v>
      </c>
      <c r="L726" s="388" t="str">
        <f t="shared" ca="1" si="102"/>
        <v/>
      </c>
      <c r="M726" s="397" t="str">
        <f ca="1">IFERROR(IF(COUNTIF($B$517:$B725,"&lt;0")=1,"",OFFSET($C724,-COUNTIF($B$517:$B725,"&lt;0")+3,0)),"")</f>
        <v>a17Dm000000KyE5IAK</v>
      </c>
      <c r="N726" s="397">
        <f ca="1">IFERROR(IF(AND(_xlfn.ISFORMULA(I726),NOT(_xlfn.ISFORMULA(I725))),1,OFFSET($F724,-COUNTIF($B$517:B725,"&lt;0")+3,0)),"")</f>
        <v>5</v>
      </c>
      <c r="O726" s="384">
        <f t="shared" si="106"/>
        <v>0</v>
      </c>
      <c r="P726" s="384"/>
      <c r="Q726" s="384"/>
      <c r="R726" s="384"/>
      <c r="S726" s="384"/>
      <c r="T726" s="388"/>
    </row>
    <row r="727" spans="1:20" x14ac:dyDescent="0.3">
      <c r="A727" s="384" t="b">
        <f t="shared" ca="1" si="96"/>
        <v>0</v>
      </c>
      <c r="B727" s="384">
        <f t="shared" si="103"/>
        <v>28</v>
      </c>
      <c r="C727" s="400" t="str">
        <f t="shared" ca="1" si="97"/>
        <v>a17Dm000000KyEZIA0</v>
      </c>
      <c r="D727" s="397"/>
      <c r="E727" s="384">
        <f t="shared" si="104"/>
        <v>4</v>
      </c>
      <c r="F727" s="398">
        <f ca="1">IF(COUNTA(D$518:D727)=1,"",OFFSET(F725,-COUNTA(D$518:D727)+3,0))</f>
        <v>5</v>
      </c>
      <c r="G727" s="388" t="str">
        <f t="shared" ca="1" si="98"/>
        <v/>
      </c>
      <c r="H727" s="384">
        <f t="shared" si="105"/>
        <v>17</v>
      </c>
      <c r="I727" s="386" t="str">
        <f t="shared" ca="1" si="99"/>
        <v/>
      </c>
      <c r="J727" s="389" t="str">
        <f t="shared" ca="1" si="100"/>
        <v/>
      </c>
      <c r="K727" s="389" t="str">
        <f t="shared" ca="1" si="101"/>
        <v/>
      </c>
      <c r="L727" s="388" t="str">
        <f t="shared" ca="1" si="102"/>
        <v/>
      </c>
      <c r="M727" s="397" t="str">
        <f ca="1">IFERROR(IF(COUNTIF($B$517:$B726,"&lt;0")=1,"",OFFSET($C725,-COUNTIF($B$517:$B726,"&lt;0")+3,0)),"")</f>
        <v>a17Dm000000KyEZIA0</v>
      </c>
      <c r="N727" s="397">
        <f ca="1">IFERROR(IF(AND(_xlfn.ISFORMULA(I727),NOT(_xlfn.ISFORMULA(I726))),1,OFFSET($F725,-COUNTIF($B$517:B726,"&lt;0")+3,0)),"")</f>
        <v>5</v>
      </c>
      <c r="O727" s="384">
        <f t="shared" si="106"/>
        <v>0</v>
      </c>
      <c r="P727" s="384"/>
      <c r="Q727" s="384"/>
      <c r="R727" s="384"/>
      <c r="S727" s="384"/>
      <c r="T727" s="388"/>
    </row>
    <row r="728" spans="1:20" x14ac:dyDescent="0.3">
      <c r="A728" s="384" t="b">
        <f t="shared" ca="1" si="96"/>
        <v>0</v>
      </c>
      <c r="B728" s="384">
        <f t="shared" si="103"/>
        <v>29</v>
      </c>
      <c r="C728" s="400" t="str">
        <f t="shared" ca="1" si="97"/>
        <v>a17Dm000000KyF3IAK</v>
      </c>
      <c r="D728" s="397"/>
      <c r="E728" s="384">
        <f t="shared" si="104"/>
        <v>5</v>
      </c>
      <c r="F728" s="398">
        <f ca="1">IF(COUNTA(D$518:D728)=1,"",OFFSET(F726,-COUNTA(D$518:D728)+3,0))</f>
        <v>5</v>
      </c>
      <c r="G728" s="388" t="str">
        <f t="shared" ca="1" si="98"/>
        <v/>
      </c>
      <c r="H728" s="384">
        <f t="shared" si="105"/>
        <v>17</v>
      </c>
      <c r="I728" s="386" t="str">
        <f t="shared" ca="1" si="99"/>
        <v/>
      </c>
      <c r="J728" s="389" t="str">
        <f t="shared" ca="1" si="100"/>
        <v/>
      </c>
      <c r="K728" s="389" t="str">
        <f t="shared" ca="1" si="101"/>
        <v/>
      </c>
      <c r="L728" s="388" t="str">
        <f t="shared" ca="1" si="102"/>
        <v/>
      </c>
      <c r="M728" s="397" t="str">
        <f ca="1">IFERROR(IF(COUNTIF($B$517:$B727,"&lt;0")=1,"",OFFSET($C726,-COUNTIF($B$517:$B727,"&lt;0")+3,0)),"")</f>
        <v>a17Dm000000KyF3IAK</v>
      </c>
      <c r="N728" s="397">
        <f ca="1">IFERROR(IF(AND(_xlfn.ISFORMULA(I728),NOT(_xlfn.ISFORMULA(I727))),1,OFFSET($F726,-COUNTIF($B$517:B727,"&lt;0")+3,0)),"")</f>
        <v>5</v>
      </c>
      <c r="O728" s="384">
        <f t="shared" si="106"/>
        <v>0</v>
      </c>
      <c r="P728" s="384"/>
      <c r="Q728" s="384"/>
      <c r="R728" s="384"/>
      <c r="S728" s="384"/>
      <c r="T728" s="388"/>
    </row>
    <row r="729" spans="1:20" x14ac:dyDescent="0.3">
      <c r="A729" s="384" t="b">
        <f t="shared" ca="1" si="96"/>
        <v>0</v>
      </c>
      <c r="B729" s="384">
        <f t="shared" si="103"/>
        <v>30</v>
      </c>
      <c r="C729" s="400" t="str">
        <f t="shared" ca="1" si="97"/>
        <v>a17Dm000000KyFXIA0</v>
      </c>
      <c r="D729" s="397"/>
      <c r="E729" s="384">
        <f t="shared" si="104"/>
        <v>6</v>
      </c>
      <c r="F729" s="398">
        <f ca="1">IF(COUNTA(D$518:D729)=1,"",OFFSET(F727,-COUNTA(D$518:D729)+3,0))</f>
        <v>5</v>
      </c>
      <c r="G729" s="388" t="str">
        <f t="shared" ca="1" si="98"/>
        <v/>
      </c>
      <c r="H729" s="384">
        <f t="shared" si="105"/>
        <v>17</v>
      </c>
      <c r="I729" s="386" t="str">
        <f t="shared" ca="1" si="99"/>
        <v/>
      </c>
      <c r="J729" s="389" t="str">
        <f t="shared" ca="1" si="100"/>
        <v/>
      </c>
      <c r="K729" s="389" t="str">
        <f t="shared" ca="1" si="101"/>
        <v/>
      </c>
      <c r="L729" s="388" t="str">
        <f t="shared" ca="1" si="102"/>
        <v/>
      </c>
      <c r="M729" s="397" t="str">
        <f ca="1">IFERROR(IF(COUNTIF($B$517:$B728,"&lt;0")=1,"",OFFSET($C727,-COUNTIF($B$517:$B728,"&lt;0")+3,0)),"")</f>
        <v>a17Dm000000KyFXIA0</v>
      </c>
      <c r="N729" s="397">
        <f ca="1">IFERROR(IF(AND(_xlfn.ISFORMULA(I729),NOT(_xlfn.ISFORMULA(I728))),1,OFFSET($F727,-COUNTIF($B$517:B728,"&lt;0")+3,0)),"")</f>
        <v>5</v>
      </c>
      <c r="O729" s="384">
        <f t="shared" si="106"/>
        <v>0</v>
      </c>
      <c r="P729" s="384"/>
      <c r="Q729" s="384"/>
      <c r="R729" s="384"/>
      <c r="S729" s="384"/>
      <c r="T729" s="388"/>
    </row>
    <row r="730" spans="1:20" x14ac:dyDescent="0.3">
      <c r="A730" s="384" t="b">
        <f t="shared" ca="1" si="96"/>
        <v>1</v>
      </c>
      <c r="B730" s="384">
        <f t="shared" si="103"/>
        <v>31</v>
      </c>
      <c r="C730" s="400" t="str">
        <f t="shared" ca="1" si="97"/>
        <v>a17Dm000000KyD8IAK</v>
      </c>
      <c r="D730" s="397"/>
      <c r="E730" s="384">
        <f t="shared" si="104"/>
        <v>1</v>
      </c>
      <c r="F730" s="398">
        <f ca="1">IF(COUNTA(D$518:D730)=1,"",OFFSET(F728,-COUNTA(D$518:D730)+3,0))</f>
        <v>6</v>
      </c>
      <c r="G730" s="388" t="str">
        <f t="shared" ca="1" si="98"/>
        <v/>
      </c>
      <c r="H730" s="384">
        <f t="shared" si="105"/>
        <v>19</v>
      </c>
      <c r="I730" s="386">
        <f t="shared" ca="1" si="99"/>
        <v>85</v>
      </c>
      <c r="J730" s="389">
        <f t="shared" ca="1" si="100"/>
        <v>14500</v>
      </c>
      <c r="K730" s="389">
        <f t="shared" ca="1" si="101"/>
        <v>12325</v>
      </c>
      <c r="L730" s="388" t="str">
        <f t="shared" ca="1" si="102"/>
        <v/>
      </c>
      <c r="M730" s="397" t="str">
        <f ca="1">IFERROR(IF(COUNTIF($B$517:$B729,"&lt;0")=1,"",OFFSET($C728,-COUNTIF($B$517:$B729,"&lt;0")+3,0)),"")</f>
        <v>a17Dm000000KyD8IAK</v>
      </c>
      <c r="N730" s="397">
        <f ca="1">IFERROR(IF(AND(_xlfn.ISFORMULA(I730),NOT(_xlfn.ISFORMULA(I729))),1,OFFSET($F728,-COUNTIF($B$517:B729,"&lt;0")+3,0)),"")</f>
        <v>6</v>
      </c>
      <c r="O730" s="384">
        <f t="shared" si="106"/>
        <v>0</v>
      </c>
      <c r="P730" s="384"/>
      <c r="Q730" s="384"/>
      <c r="R730" s="384"/>
      <c r="S730" s="384"/>
      <c r="T730" s="388"/>
    </row>
    <row r="731" spans="1:20" x14ac:dyDescent="0.3">
      <c r="A731" s="384" t="b">
        <f t="shared" ca="1" si="96"/>
        <v>1</v>
      </c>
      <c r="B731" s="384">
        <f t="shared" si="103"/>
        <v>32</v>
      </c>
      <c r="C731" s="400" t="str">
        <f t="shared" ca="1" si="97"/>
        <v>a17Dm000000KyDcIAK</v>
      </c>
      <c r="D731" s="397"/>
      <c r="E731" s="384">
        <f t="shared" si="104"/>
        <v>2</v>
      </c>
      <c r="F731" s="398">
        <f ca="1">IF(COUNTA(D$518:D731)=1,"",OFFSET(F729,-COUNTA(D$518:D731)+3,0))</f>
        <v>6</v>
      </c>
      <c r="G731" s="388" t="str">
        <f t="shared" ca="1" si="98"/>
        <v/>
      </c>
      <c r="H731" s="384">
        <f t="shared" si="105"/>
        <v>19</v>
      </c>
      <c r="I731" s="386">
        <f t="shared" ca="1" si="99"/>
        <v>90</v>
      </c>
      <c r="J731" s="389">
        <f t="shared" ca="1" si="100"/>
        <v>14500</v>
      </c>
      <c r="K731" s="389">
        <f t="shared" ca="1" si="101"/>
        <v>13050</v>
      </c>
      <c r="L731" s="388" t="str">
        <f t="shared" ca="1" si="102"/>
        <v/>
      </c>
      <c r="M731" s="397" t="str">
        <f ca="1">IFERROR(IF(COUNTIF($B$517:$B730,"&lt;0")=1,"",OFFSET($C729,-COUNTIF($B$517:$B730,"&lt;0")+3,0)),"")</f>
        <v>a17Dm000000KyDcIAK</v>
      </c>
      <c r="N731" s="397">
        <f ca="1">IFERROR(IF(AND(_xlfn.ISFORMULA(I731),NOT(_xlfn.ISFORMULA(I730))),1,OFFSET($F729,-COUNTIF($B$517:B730,"&lt;0")+3,0)),"")</f>
        <v>6</v>
      </c>
      <c r="O731" s="384">
        <f t="shared" si="106"/>
        <v>0</v>
      </c>
      <c r="P731" s="384"/>
      <c r="Q731" s="384"/>
      <c r="R731" s="384"/>
      <c r="S731" s="384"/>
      <c r="T731" s="388"/>
    </row>
    <row r="732" spans="1:20" x14ac:dyDescent="0.3">
      <c r="A732" s="384" t="b">
        <f t="shared" ca="1" si="96"/>
        <v>1</v>
      </c>
      <c r="B732" s="384">
        <f t="shared" si="103"/>
        <v>33</v>
      </c>
      <c r="C732" s="400" t="str">
        <f t="shared" ca="1" si="97"/>
        <v>a17Dm000000KyE6IAK</v>
      </c>
      <c r="D732" s="397"/>
      <c r="E732" s="384">
        <f t="shared" si="104"/>
        <v>3</v>
      </c>
      <c r="F732" s="398">
        <f ca="1">IF(COUNTA(D$518:D732)=1,"",OFFSET(F730,-COUNTA(D$518:D732)+3,0))</f>
        <v>6</v>
      </c>
      <c r="G732" s="388" t="str">
        <f t="shared" ca="1" si="98"/>
        <v/>
      </c>
      <c r="H732" s="384">
        <f t="shared" si="105"/>
        <v>19</v>
      </c>
      <c r="I732" s="386">
        <f t="shared" ca="1" si="99"/>
        <v>95</v>
      </c>
      <c r="J732" s="389">
        <f t="shared" ca="1" si="100"/>
        <v>14500</v>
      </c>
      <c r="K732" s="389">
        <f t="shared" ca="1" si="101"/>
        <v>13775</v>
      </c>
      <c r="L732" s="388" t="str">
        <f t="shared" ca="1" si="102"/>
        <v/>
      </c>
      <c r="M732" s="397" t="str">
        <f ca="1">IFERROR(IF(COUNTIF($B$517:$B731,"&lt;0")=1,"",OFFSET($C730,-COUNTIF($B$517:$B731,"&lt;0")+3,0)),"")</f>
        <v>a17Dm000000KyE6IAK</v>
      </c>
      <c r="N732" s="397">
        <f ca="1">IFERROR(IF(AND(_xlfn.ISFORMULA(I732),NOT(_xlfn.ISFORMULA(I731))),1,OFFSET($F730,-COUNTIF($B$517:B731,"&lt;0")+3,0)),"")</f>
        <v>6</v>
      </c>
      <c r="O732" s="384">
        <f t="shared" si="106"/>
        <v>0</v>
      </c>
      <c r="P732" s="384"/>
      <c r="Q732" s="384"/>
      <c r="R732" s="384"/>
      <c r="S732" s="384"/>
      <c r="T732" s="388"/>
    </row>
    <row r="733" spans="1:20" x14ac:dyDescent="0.3">
      <c r="A733" s="384" t="b">
        <f t="shared" ca="1" si="96"/>
        <v>0</v>
      </c>
      <c r="B733" s="384">
        <f t="shared" si="103"/>
        <v>34</v>
      </c>
      <c r="C733" s="400" t="str">
        <f t="shared" ca="1" si="97"/>
        <v>a17Dm000000KyEaIAK</v>
      </c>
      <c r="D733" s="397"/>
      <c r="E733" s="384">
        <f t="shared" si="104"/>
        <v>4</v>
      </c>
      <c r="F733" s="398">
        <f ca="1">IF(COUNTA(D$518:D733)=1,"",OFFSET(F731,-COUNTA(D$518:D733)+3,0))</f>
        <v>6</v>
      </c>
      <c r="G733" s="388" t="str">
        <f t="shared" ca="1" si="98"/>
        <v/>
      </c>
      <c r="H733" s="384">
        <f t="shared" si="105"/>
        <v>19</v>
      </c>
      <c r="I733" s="386" t="str">
        <f t="shared" ca="1" si="99"/>
        <v/>
      </c>
      <c r="J733" s="389" t="str">
        <f t="shared" ca="1" si="100"/>
        <v/>
      </c>
      <c r="K733" s="389" t="str">
        <f t="shared" ca="1" si="101"/>
        <v/>
      </c>
      <c r="L733" s="388" t="str">
        <f t="shared" ca="1" si="102"/>
        <v/>
      </c>
      <c r="M733" s="397" t="str">
        <f ca="1">IFERROR(IF(COUNTIF($B$517:$B732,"&lt;0")=1,"",OFFSET($C731,-COUNTIF($B$517:$B732,"&lt;0")+3,0)),"")</f>
        <v>a17Dm000000KyEaIAK</v>
      </c>
      <c r="N733" s="397">
        <f ca="1">IFERROR(IF(AND(_xlfn.ISFORMULA(I733),NOT(_xlfn.ISFORMULA(I732))),1,OFFSET($F731,-COUNTIF($B$517:B732,"&lt;0")+3,0)),"")</f>
        <v>6</v>
      </c>
      <c r="O733" s="384">
        <f t="shared" si="106"/>
        <v>0</v>
      </c>
      <c r="P733" s="384"/>
      <c r="Q733" s="384"/>
      <c r="R733" s="384"/>
      <c r="S733" s="384"/>
      <c r="T733" s="388"/>
    </row>
    <row r="734" spans="1:20" x14ac:dyDescent="0.3">
      <c r="A734" s="384" t="b">
        <f t="shared" ca="1" si="96"/>
        <v>0</v>
      </c>
      <c r="B734" s="384">
        <f t="shared" si="103"/>
        <v>35</v>
      </c>
      <c r="C734" s="400" t="str">
        <f t="shared" ca="1" si="97"/>
        <v>a17Dm000000KyF4IAK</v>
      </c>
      <c r="D734" s="397"/>
      <c r="E734" s="384">
        <f t="shared" si="104"/>
        <v>5</v>
      </c>
      <c r="F734" s="398">
        <f ca="1">IF(COUNTA(D$518:D734)=1,"",OFFSET(F732,-COUNTA(D$518:D734)+3,0))</f>
        <v>6</v>
      </c>
      <c r="G734" s="388" t="str">
        <f t="shared" ca="1" si="98"/>
        <v/>
      </c>
      <c r="H734" s="384">
        <f t="shared" si="105"/>
        <v>19</v>
      </c>
      <c r="I734" s="386" t="str">
        <f t="shared" ca="1" si="99"/>
        <v/>
      </c>
      <c r="J734" s="389" t="str">
        <f t="shared" ca="1" si="100"/>
        <v/>
      </c>
      <c r="K734" s="389" t="str">
        <f t="shared" ca="1" si="101"/>
        <v/>
      </c>
      <c r="L734" s="388" t="str">
        <f t="shared" ca="1" si="102"/>
        <v/>
      </c>
      <c r="M734" s="397" t="str">
        <f ca="1">IFERROR(IF(COUNTIF($B$517:$B733,"&lt;0")=1,"",OFFSET($C732,-COUNTIF($B$517:$B733,"&lt;0")+3,0)),"")</f>
        <v>a17Dm000000KyF4IAK</v>
      </c>
      <c r="N734" s="397">
        <f ca="1">IFERROR(IF(AND(_xlfn.ISFORMULA(I734),NOT(_xlfn.ISFORMULA(I733))),1,OFFSET($F732,-COUNTIF($B$517:B733,"&lt;0")+3,0)),"")</f>
        <v>6</v>
      </c>
      <c r="O734" s="384">
        <f t="shared" si="106"/>
        <v>0</v>
      </c>
      <c r="P734" s="384"/>
      <c r="Q734" s="384"/>
      <c r="R734" s="384"/>
      <c r="S734" s="384"/>
      <c r="T734" s="388"/>
    </row>
    <row r="735" spans="1:20" x14ac:dyDescent="0.3">
      <c r="A735" s="384" t="b">
        <f t="shared" ca="1" si="96"/>
        <v>0</v>
      </c>
      <c r="B735" s="384">
        <f t="shared" si="103"/>
        <v>36</v>
      </c>
      <c r="C735" s="400" t="str">
        <f t="shared" ca="1" si="97"/>
        <v>a17Dm000000KyFYIA0</v>
      </c>
      <c r="D735" s="397"/>
      <c r="E735" s="384">
        <f t="shared" si="104"/>
        <v>6</v>
      </c>
      <c r="F735" s="398">
        <f ca="1">IF(COUNTA(D$518:D735)=1,"",OFFSET(F733,-COUNTA(D$518:D735)+3,0))</f>
        <v>6</v>
      </c>
      <c r="G735" s="388" t="str">
        <f t="shared" ca="1" si="98"/>
        <v/>
      </c>
      <c r="H735" s="384">
        <f t="shared" si="105"/>
        <v>19</v>
      </c>
      <c r="I735" s="386" t="str">
        <f t="shared" ca="1" si="99"/>
        <v/>
      </c>
      <c r="J735" s="389" t="str">
        <f t="shared" ca="1" si="100"/>
        <v/>
      </c>
      <c r="K735" s="389" t="str">
        <f t="shared" ca="1" si="101"/>
        <v/>
      </c>
      <c r="L735" s="388" t="str">
        <f t="shared" ca="1" si="102"/>
        <v/>
      </c>
      <c r="M735" s="397" t="str">
        <f ca="1">IFERROR(IF(COUNTIF($B$517:$B734,"&lt;0")=1,"",OFFSET($C733,-COUNTIF($B$517:$B734,"&lt;0")+3,0)),"")</f>
        <v>a17Dm000000KyFYIA0</v>
      </c>
      <c r="N735" s="397">
        <f ca="1">IFERROR(IF(AND(_xlfn.ISFORMULA(I735),NOT(_xlfn.ISFORMULA(I734))),1,OFFSET($F733,-COUNTIF($B$517:B734,"&lt;0")+3,0)),"")</f>
        <v>6</v>
      </c>
      <c r="O735" s="384">
        <f t="shared" si="106"/>
        <v>0</v>
      </c>
      <c r="P735" s="384"/>
      <c r="Q735" s="384"/>
      <c r="R735" s="384"/>
      <c r="S735" s="384"/>
      <c r="T735" s="388"/>
    </row>
    <row r="736" spans="1:20" x14ac:dyDescent="0.3">
      <c r="A736" s="384" t="b">
        <f t="shared" ca="1" si="96"/>
        <v>1</v>
      </c>
      <c r="B736" s="384">
        <f t="shared" si="103"/>
        <v>37</v>
      </c>
      <c r="C736" s="400" t="str">
        <f t="shared" ca="1" si="97"/>
        <v>a17Dm000000KyD9IAK</v>
      </c>
      <c r="D736" s="397"/>
      <c r="E736" s="384">
        <f t="shared" si="104"/>
        <v>1</v>
      </c>
      <c r="F736" s="398">
        <f ca="1">IF(COUNTA(D$518:D736)=1,"",OFFSET(F734,-COUNTA(D$518:D736)+3,0))</f>
        <v>7</v>
      </c>
      <c r="G736" s="388" t="str">
        <f t="shared" ca="1" si="98"/>
        <v/>
      </c>
      <c r="H736" s="384">
        <f t="shared" si="105"/>
        <v>21</v>
      </c>
      <c r="I736" s="386">
        <f t="shared" ca="1" si="99"/>
        <v>85</v>
      </c>
      <c r="J736" s="389">
        <f t="shared" ca="1" si="100"/>
        <v>4700</v>
      </c>
      <c r="K736" s="389">
        <f t="shared" ca="1" si="101"/>
        <v>3995</v>
      </c>
      <c r="L736" s="388" t="str">
        <f t="shared" ca="1" si="102"/>
        <v/>
      </c>
      <c r="M736" s="397" t="str">
        <f ca="1">IFERROR(IF(COUNTIF($B$517:$B735,"&lt;0")=1,"",OFFSET($C734,-COUNTIF($B$517:$B735,"&lt;0")+3,0)),"")</f>
        <v>a17Dm000000KyD9IAK</v>
      </c>
      <c r="N736" s="397">
        <f ca="1">IFERROR(IF(AND(_xlfn.ISFORMULA(I736),NOT(_xlfn.ISFORMULA(I735))),1,OFFSET($F734,-COUNTIF($B$517:B735,"&lt;0")+3,0)),"")</f>
        <v>7</v>
      </c>
      <c r="O736" s="384">
        <f t="shared" si="106"/>
        <v>0</v>
      </c>
      <c r="P736" s="384"/>
      <c r="Q736" s="384"/>
      <c r="R736" s="384"/>
      <c r="S736" s="384"/>
      <c r="T736" s="388"/>
    </row>
    <row r="737" spans="1:20" x14ac:dyDescent="0.3">
      <c r="A737" s="384" t="b">
        <f t="shared" ca="1" si="96"/>
        <v>1</v>
      </c>
      <c r="B737" s="384">
        <f t="shared" si="103"/>
        <v>38</v>
      </c>
      <c r="C737" s="400" t="str">
        <f t="shared" ca="1" si="97"/>
        <v>a17Dm000000KyDdIAK</v>
      </c>
      <c r="D737" s="397"/>
      <c r="E737" s="384">
        <f t="shared" si="104"/>
        <v>2</v>
      </c>
      <c r="F737" s="398">
        <f ca="1">IF(COUNTA(D$518:D737)=1,"",OFFSET(F735,-COUNTA(D$518:D737)+3,0))</f>
        <v>7</v>
      </c>
      <c r="G737" s="388" t="str">
        <f t="shared" ca="1" si="98"/>
        <v/>
      </c>
      <c r="H737" s="384">
        <f t="shared" si="105"/>
        <v>21</v>
      </c>
      <c r="I737" s="386">
        <f t="shared" ca="1" si="99"/>
        <v>90</v>
      </c>
      <c r="J737" s="389">
        <f t="shared" ca="1" si="100"/>
        <v>4700</v>
      </c>
      <c r="K737" s="389">
        <f t="shared" ca="1" si="101"/>
        <v>4230</v>
      </c>
      <c r="L737" s="388" t="str">
        <f t="shared" ca="1" si="102"/>
        <v/>
      </c>
      <c r="M737" s="397" t="str">
        <f ca="1">IFERROR(IF(COUNTIF($B$517:$B736,"&lt;0")=1,"",OFFSET($C735,-COUNTIF($B$517:$B736,"&lt;0")+3,0)),"")</f>
        <v>a17Dm000000KyDdIAK</v>
      </c>
      <c r="N737" s="397">
        <f ca="1">IFERROR(IF(AND(_xlfn.ISFORMULA(I737),NOT(_xlfn.ISFORMULA(I736))),1,OFFSET($F735,-COUNTIF($B$517:B736,"&lt;0")+3,0)),"")</f>
        <v>7</v>
      </c>
      <c r="O737" s="384">
        <f t="shared" si="106"/>
        <v>0</v>
      </c>
      <c r="P737" s="384"/>
      <c r="Q737" s="384"/>
      <c r="R737" s="384"/>
      <c r="S737" s="384"/>
      <c r="T737" s="388"/>
    </row>
    <row r="738" spans="1:20" x14ac:dyDescent="0.3">
      <c r="A738" s="384" t="b">
        <f t="shared" ca="1" si="96"/>
        <v>1</v>
      </c>
      <c r="B738" s="384">
        <f t="shared" si="103"/>
        <v>39</v>
      </c>
      <c r="C738" s="400" t="str">
        <f t="shared" ca="1" si="97"/>
        <v>a17Dm000000KyE7IAK</v>
      </c>
      <c r="D738" s="397"/>
      <c r="E738" s="384">
        <f t="shared" si="104"/>
        <v>3</v>
      </c>
      <c r="F738" s="398">
        <f ca="1">IF(COUNTA(D$518:D738)=1,"",OFFSET(F736,-COUNTA(D$518:D738)+3,0))</f>
        <v>7</v>
      </c>
      <c r="G738" s="388" t="str">
        <f t="shared" ca="1" si="98"/>
        <v/>
      </c>
      <c r="H738" s="384">
        <f t="shared" si="105"/>
        <v>21</v>
      </c>
      <c r="I738" s="386">
        <f t="shared" ca="1" si="99"/>
        <v>95</v>
      </c>
      <c r="J738" s="389">
        <f t="shared" ca="1" si="100"/>
        <v>4700</v>
      </c>
      <c r="K738" s="389">
        <f t="shared" ca="1" si="101"/>
        <v>4465</v>
      </c>
      <c r="L738" s="388" t="str">
        <f t="shared" ca="1" si="102"/>
        <v/>
      </c>
      <c r="M738" s="397" t="str">
        <f ca="1">IFERROR(IF(COUNTIF($B$517:$B737,"&lt;0")=1,"",OFFSET($C736,-COUNTIF($B$517:$B737,"&lt;0")+3,0)),"")</f>
        <v>a17Dm000000KyE7IAK</v>
      </c>
      <c r="N738" s="397">
        <f ca="1">IFERROR(IF(AND(_xlfn.ISFORMULA(I738),NOT(_xlfn.ISFORMULA(I737))),1,OFFSET($F736,-COUNTIF($B$517:B737,"&lt;0")+3,0)),"")</f>
        <v>7</v>
      </c>
      <c r="O738" s="384">
        <f t="shared" si="106"/>
        <v>0</v>
      </c>
      <c r="P738" s="384"/>
      <c r="Q738" s="384"/>
      <c r="R738" s="384"/>
      <c r="S738" s="384"/>
      <c r="T738" s="388"/>
    </row>
    <row r="739" spans="1:20" x14ac:dyDescent="0.3">
      <c r="A739" s="384" t="b">
        <f t="shared" ca="1" si="96"/>
        <v>0</v>
      </c>
      <c r="B739" s="384">
        <f t="shared" si="103"/>
        <v>40</v>
      </c>
      <c r="C739" s="400" t="str">
        <f t="shared" ca="1" si="97"/>
        <v>a17Dm000000KyEbIAK</v>
      </c>
      <c r="D739" s="397"/>
      <c r="E739" s="384">
        <f t="shared" si="104"/>
        <v>4</v>
      </c>
      <c r="F739" s="398">
        <f ca="1">IF(COUNTA(D$518:D739)=1,"",OFFSET(F737,-COUNTA(D$518:D739)+3,0))</f>
        <v>7</v>
      </c>
      <c r="G739" s="388" t="str">
        <f t="shared" ca="1" si="98"/>
        <v/>
      </c>
      <c r="H739" s="384">
        <f t="shared" si="105"/>
        <v>21</v>
      </c>
      <c r="I739" s="386" t="str">
        <f t="shared" ca="1" si="99"/>
        <v/>
      </c>
      <c r="J739" s="389" t="str">
        <f t="shared" ca="1" si="100"/>
        <v/>
      </c>
      <c r="K739" s="389" t="str">
        <f t="shared" ca="1" si="101"/>
        <v/>
      </c>
      <c r="L739" s="388" t="str">
        <f t="shared" ca="1" si="102"/>
        <v/>
      </c>
      <c r="M739" s="397" t="str">
        <f ca="1">IFERROR(IF(COUNTIF($B$517:$B738,"&lt;0")=1,"",OFFSET($C737,-COUNTIF($B$517:$B738,"&lt;0")+3,0)),"")</f>
        <v>a17Dm000000KyEbIAK</v>
      </c>
      <c r="N739" s="397">
        <f ca="1">IFERROR(IF(AND(_xlfn.ISFORMULA(I739),NOT(_xlfn.ISFORMULA(I738))),1,OFFSET($F737,-COUNTIF($B$517:B738,"&lt;0")+3,0)),"")</f>
        <v>7</v>
      </c>
      <c r="O739" s="384">
        <f t="shared" si="106"/>
        <v>0</v>
      </c>
      <c r="P739" s="384"/>
      <c r="Q739" s="384"/>
      <c r="R739" s="384"/>
      <c r="S739" s="384"/>
      <c r="T739" s="388"/>
    </row>
    <row r="740" spans="1:20" x14ac:dyDescent="0.3">
      <c r="A740" s="384" t="b">
        <f t="shared" ca="1" si="96"/>
        <v>0</v>
      </c>
      <c r="B740" s="384">
        <f t="shared" si="103"/>
        <v>41</v>
      </c>
      <c r="C740" s="400" t="str">
        <f t="shared" ca="1" si="97"/>
        <v>a17Dm000000KyF5IAK</v>
      </c>
      <c r="D740" s="397"/>
      <c r="E740" s="384">
        <f t="shared" si="104"/>
        <v>5</v>
      </c>
      <c r="F740" s="398">
        <f ca="1">IF(COUNTA(D$518:D740)=1,"",OFFSET(F738,-COUNTA(D$518:D740)+3,0))</f>
        <v>7</v>
      </c>
      <c r="G740" s="388" t="str">
        <f t="shared" ca="1" si="98"/>
        <v/>
      </c>
      <c r="H740" s="384">
        <f t="shared" si="105"/>
        <v>21</v>
      </c>
      <c r="I740" s="386" t="str">
        <f t="shared" ca="1" si="99"/>
        <v/>
      </c>
      <c r="J740" s="389" t="str">
        <f t="shared" ca="1" si="100"/>
        <v/>
      </c>
      <c r="K740" s="389" t="str">
        <f t="shared" ca="1" si="101"/>
        <v/>
      </c>
      <c r="L740" s="388" t="str">
        <f t="shared" ca="1" si="102"/>
        <v/>
      </c>
      <c r="M740" s="397" t="str">
        <f ca="1">IFERROR(IF(COUNTIF($B$517:$B739,"&lt;0")=1,"",OFFSET($C738,-COUNTIF($B$517:$B739,"&lt;0")+3,0)),"")</f>
        <v>a17Dm000000KyF5IAK</v>
      </c>
      <c r="N740" s="397">
        <f ca="1">IFERROR(IF(AND(_xlfn.ISFORMULA(I740),NOT(_xlfn.ISFORMULA(I739))),1,OFFSET($F738,-COUNTIF($B$517:B739,"&lt;0")+3,0)),"")</f>
        <v>7</v>
      </c>
      <c r="O740" s="384">
        <f t="shared" si="106"/>
        <v>0</v>
      </c>
      <c r="P740" s="384"/>
      <c r="Q740" s="384"/>
      <c r="R740" s="384"/>
      <c r="S740" s="384"/>
      <c r="T740" s="388"/>
    </row>
    <row r="741" spans="1:20" x14ac:dyDescent="0.3">
      <c r="A741" s="384" t="b">
        <f t="shared" ca="1" si="96"/>
        <v>0</v>
      </c>
      <c r="B741" s="384">
        <f t="shared" si="103"/>
        <v>42</v>
      </c>
      <c r="C741" s="400" t="str">
        <f t="shared" ca="1" si="97"/>
        <v>a17Dm000000KyFZIA0</v>
      </c>
      <c r="D741" s="397"/>
      <c r="E741" s="384">
        <f t="shared" si="104"/>
        <v>6</v>
      </c>
      <c r="F741" s="398">
        <f ca="1">IF(COUNTA(D$518:D741)=1,"",OFFSET(F739,-COUNTA(D$518:D741)+3,0))</f>
        <v>7</v>
      </c>
      <c r="G741" s="388" t="str">
        <f t="shared" ca="1" si="98"/>
        <v/>
      </c>
      <c r="H741" s="384">
        <f t="shared" si="105"/>
        <v>21</v>
      </c>
      <c r="I741" s="386" t="str">
        <f t="shared" ca="1" si="99"/>
        <v/>
      </c>
      <c r="J741" s="389" t="str">
        <f t="shared" ca="1" si="100"/>
        <v/>
      </c>
      <c r="K741" s="389" t="str">
        <f t="shared" ca="1" si="101"/>
        <v/>
      </c>
      <c r="L741" s="388" t="str">
        <f t="shared" ca="1" si="102"/>
        <v/>
      </c>
      <c r="M741" s="397" t="str">
        <f ca="1">IFERROR(IF(COUNTIF($B$517:$B740,"&lt;0")=1,"",OFFSET($C739,-COUNTIF($B$517:$B740,"&lt;0")+3,0)),"")</f>
        <v>a17Dm000000KyFZIA0</v>
      </c>
      <c r="N741" s="397">
        <f ca="1">IFERROR(IF(AND(_xlfn.ISFORMULA(I741),NOT(_xlfn.ISFORMULA(I740))),1,OFFSET($F739,-COUNTIF($B$517:B740,"&lt;0")+3,0)),"")</f>
        <v>7</v>
      </c>
      <c r="O741" s="384">
        <f t="shared" si="106"/>
        <v>0</v>
      </c>
      <c r="P741" s="384"/>
      <c r="Q741" s="384"/>
      <c r="R741" s="384"/>
      <c r="S741" s="384"/>
      <c r="T741" s="388"/>
    </row>
    <row r="742" spans="1:20" x14ac:dyDescent="0.3">
      <c r="A742" s="384" t="b">
        <f t="shared" ca="1" si="96"/>
        <v>1</v>
      </c>
      <c r="B742" s="384">
        <f t="shared" si="103"/>
        <v>43</v>
      </c>
      <c r="C742" s="400" t="str">
        <f t="shared" ca="1" si="97"/>
        <v>a17Dm000000KyDAIA0</v>
      </c>
      <c r="D742" s="397"/>
      <c r="E742" s="384">
        <f t="shared" si="104"/>
        <v>1</v>
      </c>
      <c r="F742" s="398">
        <f ca="1">IF(COUNTA(D$518:D742)=1,"",OFFSET(F740,-COUNTA(D$518:D742)+3,0))</f>
        <v>8</v>
      </c>
      <c r="G742" s="388" t="str">
        <f t="shared" ca="1" si="98"/>
        <v/>
      </c>
      <c r="H742" s="384">
        <f t="shared" si="105"/>
        <v>23</v>
      </c>
      <c r="I742" s="386">
        <f t="shared" ca="1" si="99"/>
        <v>85.18518518518519</v>
      </c>
      <c r="J742" s="389">
        <f t="shared" ca="1" si="100"/>
        <v>297</v>
      </c>
      <c r="K742" s="389">
        <f t="shared" ca="1" si="101"/>
        <v>253</v>
      </c>
      <c r="L742" s="388" t="str">
        <f t="shared" ca="1" si="102"/>
        <v/>
      </c>
      <c r="M742" s="397" t="str">
        <f ca="1">IFERROR(IF(COUNTIF($B$517:$B741,"&lt;0")=1,"",OFFSET($C740,-COUNTIF($B$517:$B741,"&lt;0")+3,0)),"")</f>
        <v>a17Dm000000KyDAIA0</v>
      </c>
      <c r="N742" s="397">
        <f ca="1">IFERROR(IF(AND(_xlfn.ISFORMULA(I742),NOT(_xlfn.ISFORMULA(I741))),1,OFFSET($F740,-COUNTIF($B$517:B741,"&lt;0")+3,0)),"")</f>
        <v>8</v>
      </c>
      <c r="O742" s="384">
        <f t="shared" si="106"/>
        <v>0</v>
      </c>
      <c r="P742" s="384"/>
      <c r="Q742" s="384"/>
      <c r="R742" s="384"/>
      <c r="S742" s="384"/>
      <c r="T742" s="388"/>
    </row>
    <row r="743" spans="1:20" x14ac:dyDescent="0.3">
      <c r="A743" s="384" t="b">
        <f t="shared" ca="1" si="96"/>
        <v>1</v>
      </c>
      <c r="B743" s="384">
        <f t="shared" si="103"/>
        <v>44</v>
      </c>
      <c r="C743" s="400" t="str">
        <f t="shared" ca="1" si="97"/>
        <v>a17Dm000000KyDeIAK</v>
      </c>
      <c r="D743" s="397"/>
      <c r="E743" s="384">
        <f t="shared" si="104"/>
        <v>2</v>
      </c>
      <c r="F743" s="398">
        <f ca="1">IF(COUNTA(D$518:D743)=1,"",OFFSET(F741,-COUNTA(D$518:D743)+3,0))</f>
        <v>8</v>
      </c>
      <c r="G743" s="388" t="str">
        <f t="shared" ca="1" si="98"/>
        <v/>
      </c>
      <c r="H743" s="384">
        <f t="shared" si="105"/>
        <v>23</v>
      </c>
      <c r="I743" s="386">
        <f t="shared" ca="1" si="99"/>
        <v>90.235690235690242</v>
      </c>
      <c r="J743" s="389">
        <f t="shared" ca="1" si="100"/>
        <v>297</v>
      </c>
      <c r="K743" s="389">
        <f t="shared" ca="1" si="101"/>
        <v>268</v>
      </c>
      <c r="L743" s="388" t="str">
        <f t="shared" ca="1" si="102"/>
        <v/>
      </c>
      <c r="M743" s="397" t="str">
        <f ca="1">IFERROR(IF(COUNTIF($B$517:$B742,"&lt;0")=1,"",OFFSET($C741,-COUNTIF($B$517:$B742,"&lt;0")+3,0)),"")</f>
        <v>a17Dm000000KyDeIAK</v>
      </c>
      <c r="N743" s="397">
        <f ca="1">IFERROR(IF(AND(_xlfn.ISFORMULA(I743),NOT(_xlfn.ISFORMULA(I742))),1,OFFSET($F741,-COUNTIF($B$517:B742,"&lt;0")+3,0)),"")</f>
        <v>8</v>
      </c>
      <c r="O743" s="384">
        <f t="shared" si="106"/>
        <v>0</v>
      </c>
      <c r="P743" s="384"/>
      <c r="Q743" s="384"/>
      <c r="R743" s="384"/>
      <c r="S743" s="384"/>
      <c r="T743" s="388"/>
    </row>
    <row r="744" spans="1:20" x14ac:dyDescent="0.3">
      <c r="A744" s="384" t="b">
        <f t="shared" ca="1" si="96"/>
        <v>1</v>
      </c>
      <c r="B744" s="384">
        <f t="shared" si="103"/>
        <v>45</v>
      </c>
      <c r="C744" s="400" t="str">
        <f t="shared" ca="1" si="97"/>
        <v>a17Dm000000KyE8IAK</v>
      </c>
      <c r="D744" s="397"/>
      <c r="E744" s="384">
        <f t="shared" si="104"/>
        <v>3</v>
      </c>
      <c r="F744" s="398">
        <f ca="1">IF(COUNTA(D$518:D744)=1,"",OFFSET(F742,-COUNTA(D$518:D744)+3,0))</f>
        <v>8</v>
      </c>
      <c r="G744" s="388" t="str">
        <f t="shared" ca="1" si="98"/>
        <v/>
      </c>
      <c r="H744" s="384">
        <f t="shared" si="105"/>
        <v>23</v>
      </c>
      <c r="I744" s="386">
        <f t="shared" ca="1" si="99"/>
        <v>95.28619528619528</v>
      </c>
      <c r="J744" s="389">
        <f t="shared" ca="1" si="100"/>
        <v>297</v>
      </c>
      <c r="K744" s="389">
        <f t="shared" ca="1" si="101"/>
        <v>283</v>
      </c>
      <c r="L744" s="388" t="str">
        <f t="shared" ca="1" si="102"/>
        <v/>
      </c>
      <c r="M744" s="397" t="str">
        <f ca="1">IFERROR(IF(COUNTIF($B$517:$B743,"&lt;0")=1,"",OFFSET($C742,-COUNTIF($B$517:$B743,"&lt;0")+3,0)),"")</f>
        <v>a17Dm000000KyE8IAK</v>
      </c>
      <c r="N744" s="397">
        <f ca="1">IFERROR(IF(AND(_xlfn.ISFORMULA(I744),NOT(_xlfn.ISFORMULA(I743))),1,OFFSET($F742,-COUNTIF($B$517:B743,"&lt;0")+3,0)),"")</f>
        <v>8</v>
      </c>
      <c r="O744" s="384">
        <f t="shared" si="106"/>
        <v>0</v>
      </c>
      <c r="P744" s="384"/>
      <c r="Q744" s="384"/>
      <c r="R744" s="384"/>
      <c r="S744" s="384"/>
      <c r="T744" s="388"/>
    </row>
    <row r="745" spans="1:20" x14ac:dyDescent="0.3">
      <c r="A745" s="384" t="b">
        <f t="shared" ca="1" si="96"/>
        <v>0</v>
      </c>
      <c r="B745" s="384">
        <f t="shared" si="103"/>
        <v>46</v>
      </c>
      <c r="C745" s="400" t="str">
        <f t="shared" ca="1" si="97"/>
        <v>a17Dm000000KyEcIAK</v>
      </c>
      <c r="D745" s="397"/>
      <c r="E745" s="384">
        <f t="shared" si="104"/>
        <v>4</v>
      </c>
      <c r="F745" s="398">
        <f ca="1">IF(COUNTA(D$518:D745)=1,"",OFFSET(F743,-COUNTA(D$518:D745)+3,0))</f>
        <v>8</v>
      </c>
      <c r="G745" s="388" t="str">
        <f t="shared" ca="1" si="98"/>
        <v/>
      </c>
      <c r="H745" s="384">
        <f t="shared" si="105"/>
        <v>23</v>
      </c>
      <c r="I745" s="386" t="str">
        <f t="shared" ca="1" si="99"/>
        <v/>
      </c>
      <c r="J745" s="389" t="str">
        <f t="shared" ca="1" si="100"/>
        <v/>
      </c>
      <c r="K745" s="389" t="str">
        <f t="shared" ca="1" si="101"/>
        <v/>
      </c>
      <c r="L745" s="388" t="str">
        <f t="shared" ca="1" si="102"/>
        <v/>
      </c>
      <c r="M745" s="397" t="str">
        <f ca="1">IFERROR(IF(COUNTIF($B$517:$B744,"&lt;0")=1,"",OFFSET($C743,-COUNTIF($B$517:$B744,"&lt;0")+3,0)),"")</f>
        <v>a17Dm000000KyEcIAK</v>
      </c>
      <c r="N745" s="397">
        <f ca="1">IFERROR(IF(AND(_xlfn.ISFORMULA(I745),NOT(_xlfn.ISFORMULA(I744))),1,OFFSET($F743,-COUNTIF($B$517:B744,"&lt;0")+3,0)),"")</f>
        <v>8</v>
      </c>
      <c r="O745" s="384">
        <f t="shared" si="106"/>
        <v>0</v>
      </c>
      <c r="P745" s="384"/>
      <c r="Q745" s="384"/>
      <c r="R745" s="384"/>
      <c r="S745" s="384"/>
      <c r="T745" s="388"/>
    </row>
    <row r="746" spans="1:20" x14ac:dyDescent="0.3">
      <c r="A746" s="384" t="b">
        <f t="shared" ca="1" si="96"/>
        <v>0</v>
      </c>
      <c r="B746" s="384">
        <f t="shared" si="103"/>
        <v>47</v>
      </c>
      <c r="C746" s="400" t="str">
        <f t="shared" ca="1" si="97"/>
        <v>a17Dm000000KyF6IAK</v>
      </c>
      <c r="D746" s="397"/>
      <c r="E746" s="384">
        <f t="shared" si="104"/>
        <v>5</v>
      </c>
      <c r="F746" s="398">
        <f ca="1">IF(COUNTA(D$518:D746)=1,"",OFFSET(F744,-COUNTA(D$518:D746)+3,0))</f>
        <v>8</v>
      </c>
      <c r="G746" s="388" t="str">
        <f t="shared" ca="1" si="98"/>
        <v/>
      </c>
      <c r="H746" s="384">
        <f t="shared" si="105"/>
        <v>23</v>
      </c>
      <c r="I746" s="386" t="str">
        <f t="shared" ca="1" si="99"/>
        <v/>
      </c>
      <c r="J746" s="389" t="str">
        <f t="shared" ca="1" si="100"/>
        <v/>
      </c>
      <c r="K746" s="389" t="str">
        <f t="shared" ca="1" si="101"/>
        <v/>
      </c>
      <c r="L746" s="388" t="str">
        <f t="shared" ca="1" si="102"/>
        <v/>
      </c>
      <c r="M746" s="397" t="str">
        <f ca="1">IFERROR(IF(COUNTIF($B$517:$B745,"&lt;0")=1,"",OFFSET($C744,-COUNTIF($B$517:$B745,"&lt;0")+3,0)),"")</f>
        <v>a17Dm000000KyF6IAK</v>
      </c>
      <c r="N746" s="397">
        <f ca="1">IFERROR(IF(AND(_xlfn.ISFORMULA(I746),NOT(_xlfn.ISFORMULA(I745))),1,OFFSET($F744,-COUNTIF($B$517:B745,"&lt;0")+3,0)),"")</f>
        <v>8</v>
      </c>
      <c r="O746" s="384">
        <f t="shared" si="106"/>
        <v>0</v>
      </c>
      <c r="P746" s="384"/>
      <c r="Q746" s="384"/>
      <c r="R746" s="384"/>
      <c r="S746" s="384"/>
      <c r="T746" s="388"/>
    </row>
    <row r="747" spans="1:20" x14ac:dyDescent="0.3">
      <c r="A747" s="384" t="b">
        <f t="shared" ca="1" si="96"/>
        <v>0</v>
      </c>
      <c r="B747" s="384">
        <f t="shared" si="103"/>
        <v>48</v>
      </c>
      <c r="C747" s="400" t="str">
        <f t="shared" ca="1" si="97"/>
        <v>a17Dm000000KyFaIAK</v>
      </c>
      <c r="D747" s="397"/>
      <c r="E747" s="384">
        <f t="shared" si="104"/>
        <v>6</v>
      </c>
      <c r="F747" s="398">
        <f ca="1">IF(COUNTA(D$518:D747)=1,"",OFFSET(F745,-COUNTA(D$518:D747)+3,0))</f>
        <v>8</v>
      </c>
      <c r="G747" s="388" t="str">
        <f t="shared" ca="1" si="98"/>
        <v/>
      </c>
      <c r="H747" s="384">
        <f t="shared" si="105"/>
        <v>23</v>
      </c>
      <c r="I747" s="386" t="str">
        <f t="shared" ca="1" si="99"/>
        <v/>
      </c>
      <c r="J747" s="389" t="str">
        <f t="shared" ca="1" si="100"/>
        <v/>
      </c>
      <c r="K747" s="389" t="str">
        <f t="shared" ca="1" si="101"/>
        <v/>
      </c>
      <c r="L747" s="388" t="str">
        <f t="shared" ca="1" si="102"/>
        <v/>
      </c>
      <c r="M747" s="397" t="str">
        <f ca="1">IFERROR(IF(COUNTIF($B$517:$B746,"&lt;0")=1,"",OFFSET($C745,-COUNTIF($B$517:$B746,"&lt;0")+3,0)),"")</f>
        <v>a17Dm000000KyFaIAK</v>
      </c>
      <c r="N747" s="397">
        <f ca="1">IFERROR(IF(AND(_xlfn.ISFORMULA(I747),NOT(_xlfn.ISFORMULA(I746))),1,OFFSET($F745,-COUNTIF($B$517:B746,"&lt;0")+3,0)),"")</f>
        <v>8</v>
      </c>
      <c r="O747" s="384">
        <f t="shared" si="106"/>
        <v>0</v>
      </c>
      <c r="P747" s="384"/>
      <c r="Q747" s="384"/>
      <c r="R747" s="384"/>
      <c r="S747" s="384"/>
      <c r="T747" s="388"/>
    </row>
    <row r="748" spans="1:20" x14ac:dyDescent="0.3">
      <c r="A748" s="384" t="b">
        <f t="shared" ca="1" si="96"/>
        <v>1</v>
      </c>
      <c r="B748" s="384">
        <f t="shared" si="103"/>
        <v>49</v>
      </c>
      <c r="C748" s="400" t="str">
        <f t="shared" ca="1" si="97"/>
        <v>a17Dm000000KyDBIA0</v>
      </c>
      <c r="D748" s="397"/>
      <c r="E748" s="384">
        <f t="shared" si="104"/>
        <v>1</v>
      </c>
      <c r="F748" s="398">
        <f ca="1">IF(COUNTA(D$518:D748)=1,"",OFFSET(F746,-COUNTA(D$518:D748)+3,0))</f>
        <v>9</v>
      </c>
      <c r="G748" s="388" t="str">
        <f t="shared" ca="1" si="98"/>
        <v/>
      </c>
      <c r="H748" s="384">
        <f t="shared" si="105"/>
        <v>25</v>
      </c>
      <c r="I748" s="386">
        <f t="shared" ca="1" si="99"/>
        <v>93.791357385350139</v>
      </c>
      <c r="J748" s="389">
        <f t="shared" ca="1" si="100"/>
        <v>17379</v>
      </c>
      <c r="K748" s="389">
        <f t="shared" ca="1" si="101"/>
        <v>16300</v>
      </c>
      <c r="L748" s="388" t="str">
        <f t="shared" ca="1" si="102"/>
        <v/>
      </c>
      <c r="M748" s="397" t="str">
        <f ca="1">IFERROR(IF(COUNTIF($B$517:$B747,"&lt;0")=1,"",OFFSET($C746,-COUNTIF($B$517:$B747,"&lt;0")+3,0)),"")</f>
        <v>a17Dm000000KyDBIA0</v>
      </c>
      <c r="N748" s="397">
        <f ca="1">IFERROR(IF(AND(_xlfn.ISFORMULA(I748),NOT(_xlfn.ISFORMULA(I747))),1,OFFSET($F746,-COUNTIF($B$517:B747,"&lt;0")+3,0)),"")</f>
        <v>9</v>
      </c>
      <c r="O748" s="384">
        <f t="shared" si="106"/>
        <v>0</v>
      </c>
      <c r="P748" s="384"/>
      <c r="Q748" s="384"/>
      <c r="R748" s="384"/>
      <c r="S748" s="384"/>
      <c r="T748" s="388"/>
    </row>
    <row r="749" spans="1:20" x14ac:dyDescent="0.3">
      <c r="A749" s="384" t="b">
        <f t="shared" ca="1" si="96"/>
        <v>1</v>
      </c>
      <c r="B749" s="384">
        <f t="shared" si="103"/>
        <v>50</v>
      </c>
      <c r="C749" s="400" t="str">
        <f t="shared" ca="1" si="97"/>
        <v>a17Dm000000KyDfIAK</v>
      </c>
      <c r="D749" s="397"/>
      <c r="E749" s="384">
        <f t="shared" si="104"/>
        <v>2</v>
      </c>
      <c r="F749" s="398">
        <f ca="1">IF(COUNTA(D$518:D749)=1,"",OFFSET(F747,-COUNTA(D$518:D749)+3,0))</f>
        <v>9</v>
      </c>
      <c r="G749" s="388" t="str">
        <f t="shared" ca="1" si="98"/>
        <v/>
      </c>
      <c r="H749" s="384">
        <f t="shared" si="105"/>
        <v>25</v>
      </c>
      <c r="I749" s="386">
        <f t="shared" ca="1" si="99"/>
        <v>94.079060935611949</v>
      </c>
      <c r="J749" s="389">
        <f t="shared" ca="1" si="100"/>
        <v>17379</v>
      </c>
      <c r="K749" s="389">
        <f t="shared" ca="1" si="101"/>
        <v>16350</v>
      </c>
      <c r="L749" s="388" t="str">
        <f t="shared" ca="1" si="102"/>
        <v/>
      </c>
      <c r="M749" s="397" t="str">
        <f ca="1">IFERROR(IF(COUNTIF($B$517:$B748,"&lt;0")=1,"",OFFSET($C747,-COUNTIF($B$517:$B748,"&lt;0")+3,0)),"")</f>
        <v>a17Dm000000KyDfIAK</v>
      </c>
      <c r="N749" s="397">
        <f ca="1">IFERROR(IF(AND(_xlfn.ISFORMULA(I749),NOT(_xlfn.ISFORMULA(I748))),1,OFFSET($F747,-COUNTIF($B$517:B748,"&lt;0")+3,0)),"")</f>
        <v>9</v>
      </c>
      <c r="O749" s="384">
        <f t="shared" si="106"/>
        <v>0</v>
      </c>
      <c r="P749" s="384"/>
      <c r="Q749" s="384"/>
      <c r="R749" s="384"/>
      <c r="S749" s="384"/>
      <c r="T749" s="388"/>
    </row>
    <row r="750" spans="1:20" x14ac:dyDescent="0.3">
      <c r="A750" s="384" t="b">
        <f t="shared" ca="1" si="96"/>
        <v>1</v>
      </c>
      <c r="B750" s="384">
        <f t="shared" si="103"/>
        <v>51</v>
      </c>
      <c r="C750" s="400" t="str">
        <f t="shared" ca="1" si="97"/>
        <v>a17Dm000000KyE9IAK</v>
      </c>
      <c r="D750" s="397"/>
      <c r="E750" s="384">
        <f t="shared" si="104"/>
        <v>3</v>
      </c>
      <c r="F750" s="398">
        <f ca="1">IF(COUNTA(D$518:D750)=1,"",OFFSET(F748,-COUNTA(D$518:D750)+3,0))</f>
        <v>9</v>
      </c>
      <c r="G750" s="388" t="str">
        <f t="shared" ca="1" si="98"/>
        <v/>
      </c>
      <c r="H750" s="384">
        <f t="shared" si="105"/>
        <v>25</v>
      </c>
      <c r="I750" s="386">
        <f t="shared" ca="1" si="99"/>
        <v>94.942171586397379</v>
      </c>
      <c r="J750" s="389">
        <f t="shared" ca="1" si="100"/>
        <v>17379</v>
      </c>
      <c r="K750" s="389">
        <f t="shared" ca="1" si="101"/>
        <v>16500</v>
      </c>
      <c r="L750" s="388" t="str">
        <f t="shared" ca="1" si="102"/>
        <v/>
      </c>
      <c r="M750" s="397" t="str">
        <f ca="1">IFERROR(IF(COUNTIF($B$517:$B749,"&lt;0")=1,"",OFFSET($C748,-COUNTIF($B$517:$B749,"&lt;0")+3,0)),"")</f>
        <v>a17Dm000000KyE9IAK</v>
      </c>
      <c r="N750" s="397">
        <f ca="1">IFERROR(IF(AND(_xlfn.ISFORMULA(I750),NOT(_xlfn.ISFORMULA(I749))),1,OFFSET($F748,-COUNTIF($B$517:B749,"&lt;0")+3,0)),"")</f>
        <v>9</v>
      </c>
      <c r="O750" s="384">
        <f t="shared" si="106"/>
        <v>0</v>
      </c>
      <c r="P750" s="384"/>
      <c r="Q750" s="384"/>
      <c r="R750" s="384"/>
      <c r="S750" s="384"/>
      <c r="T750" s="388"/>
    </row>
    <row r="751" spans="1:20" x14ac:dyDescent="0.3">
      <c r="A751" s="384" t="b">
        <f t="shared" ca="1" si="96"/>
        <v>0</v>
      </c>
      <c r="B751" s="384">
        <f t="shared" si="103"/>
        <v>52</v>
      </c>
      <c r="C751" s="400" t="str">
        <f t="shared" ca="1" si="97"/>
        <v>a17Dm000000KyEdIAK</v>
      </c>
      <c r="D751" s="397"/>
      <c r="E751" s="384">
        <f t="shared" si="104"/>
        <v>4</v>
      </c>
      <c r="F751" s="398">
        <f ca="1">IF(COUNTA(D$518:D751)=1,"",OFFSET(F749,-COUNTA(D$518:D751)+3,0))</f>
        <v>9</v>
      </c>
      <c r="G751" s="388" t="str">
        <f t="shared" ca="1" si="98"/>
        <v/>
      </c>
      <c r="H751" s="384">
        <f t="shared" si="105"/>
        <v>25</v>
      </c>
      <c r="I751" s="386" t="str">
        <f t="shared" ca="1" si="99"/>
        <v/>
      </c>
      <c r="J751" s="389" t="str">
        <f t="shared" ca="1" si="100"/>
        <v/>
      </c>
      <c r="K751" s="389" t="str">
        <f t="shared" ca="1" si="101"/>
        <v/>
      </c>
      <c r="L751" s="388" t="str">
        <f t="shared" ca="1" si="102"/>
        <v/>
      </c>
      <c r="M751" s="397" t="str">
        <f ca="1">IFERROR(IF(COUNTIF($B$517:$B750,"&lt;0")=1,"",OFFSET($C749,-COUNTIF($B$517:$B750,"&lt;0")+3,0)),"")</f>
        <v>a17Dm000000KyEdIAK</v>
      </c>
      <c r="N751" s="397">
        <f ca="1">IFERROR(IF(AND(_xlfn.ISFORMULA(I751),NOT(_xlfn.ISFORMULA(I750))),1,OFFSET($F749,-COUNTIF($B$517:B750,"&lt;0")+3,0)),"")</f>
        <v>9</v>
      </c>
      <c r="O751" s="384">
        <f t="shared" si="106"/>
        <v>0</v>
      </c>
      <c r="P751" s="384"/>
      <c r="Q751" s="384"/>
      <c r="R751" s="384"/>
      <c r="S751" s="384"/>
      <c r="T751" s="388"/>
    </row>
    <row r="752" spans="1:20" x14ac:dyDescent="0.3">
      <c r="A752" s="384" t="b">
        <f t="shared" ca="1" si="96"/>
        <v>0</v>
      </c>
      <c r="B752" s="384">
        <f t="shared" si="103"/>
        <v>53</v>
      </c>
      <c r="C752" s="400" t="str">
        <f t="shared" ca="1" si="97"/>
        <v>a17Dm000000KyF7IAK</v>
      </c>
      <c r="D752" s="397"/>
      <c r="E752" s="384">
        <f t="shared" si="104"/>
        <v>5</v>
      </c>
      <c r="F752" s="398">
        <f ca="1">IF(COUNTA(D$518:D752)=1,"",OFFSET(F750,-COUNTA(D$518:D752)+3,0))</f>
        <v>9</v>
      </c>
      <c r="G752" s="388" t="str">
        <f t="shared" ca="1" si="98"/>
        <v/>
      </c>
      <c r="H752" s="384">
        <f t="shared" si="105"/>
        <v>25</v>
      </c>
      <c r="I752" s="386" t="str">
        <f t="shared" ca="1" si="99"/>
        <v/>
      </c>
      <c r="J752" s="389" t="str">
        <f t="shared" ca="1" si="100"/>
        <v/>
      </c>
      <c r="K752" s="389" t="str">
        <f t="shared" ca="1" si="101"/>
        <v/>
      </c>
      <c r="L752" s="388" t="str">
        <f t="shared" ca="1" si="102"/>
        <v/>
      </c>
      <c r="M752" s="397" t="str">
        <f ca="1">IFERROR(IF(COUNTIF($B$517:$B751,"&lt;0")=1,"",OFFSET($C750,-COUNTIF($B$517:$B751,"&lt;0")+3,0)),"")</f>
        <v>a17Dm000000KyF7IAK</v>
      </c>
      <c r="N752" s="397">
        <f ca="1">IFERROR(IF(AND(_xlfn.ISFORMULA(I752),NOT(_xlfn.ISFORMULA(I751))),1,OFFSET($F750,-COUNTIF($B$517:B751,"&lt;0")+3,0)),"")</f>
        <v>9</v>
      </c>
      <c r="O752" s="384">
        <f t="shared" si="106"/>
        <v>0</v>
      </c>
      <c r="P752" s="384"/>
      <c r="Q752" s="384"/>
      <c r="R752" s="384"/>
      <c r="S752" s="384"/>
      <c r="T752" s="388"/>
    </row>
    <row r="753" spans="1:20" x14ac:dyDescent="0.3">
      <c r="A753" s="384" t="b">
        <f t="shared" ca="1" si="96"/>
        <v>0</v>
      </c>
      <c r="B753" s="384">
        <f t="shared" si="103"/>
        <v>54</v>
      </c>
      <c r="C753" s="400" t="str">
        <f t="shared" ca="1" si="97"/>
        <v>a17Dm000000KyFbIAK</v>
      </c>
      <c r="D753" s="397"/>
      <c r="E753" s="384">
        <f t="shared" si="104"/>
        <v>6</v>
      </c>
      <c r="F753" s="398">
        <f ca="1">IF(COUNTA(D$518:D753)=1,"",OFFSET(F751,-COUNTA(D$518:D753)+3,0))</f>
        <v>9</v>
      </c>
      <c r="G753" s="388" t="str">
        <f t="shared" ca="1" si="98"/>
        <v/>
      </c>
      <c r="H753" s="384">
        <f t="shared" si="105"/>
        <v>25</v>
      </c>
      <c r="I753" s="386" t="str">
        <f t="shared" ca="1" si="99"/>
        <v/>
      </c>
      <c r="J753" s="389" t="str">
        <f t="shared" ca="1" si="100"/>
        <v/>
      </c>
      <c r="K753" s="389" t="str">
        <f t="shared" ca="1" si="101"/>
        <v/>
      </c>
      <c r="L753" s="388" t="str">
        <f t="shared" ca="1" si="102"/>
        <v/>
      </c>
      <c r="M753" s="397" t="str">
        <f ca="1">IFERROR(IF(COUNTIF($B$517:$B752,"&lt;0")=1,"",OFFSET($C751,-COUNTIF($B$517:$B752,"&lt;0")+3,0)),"")</f>
        <v>a17Dm000000KyFbIAK</v>
      </c>
      <c r="N753" s="397">
        <f ca="1">IFERROR(IF(AND(_xlfn.ISFORMULA(I753),NOT(_xlfn.ISFORMULA(I752))),1,OFFSET($F751,-COUNTIF($B$517:B752,"&lt;0")+3,0)),"")</f>
        <v>9</v>
      </c>
      <c r="O753" s="384">
        <f t="shared" si="106"/>
        <v>0</v>
      </c>
      <c r="P753" s="384"/>
      <c r="Q753" s="384"/>
      <c r="R753" s="384"/>
      <c r="S753" s="384"/>
      <c r="T753" s="388"/>
    </row>
    <row r="754" spans="1:20" x14ac:dyDescent="0.3">
      <c r="A754" s="384" t="b">
        <f t="shared" ca="1" si="96"/>
        <v>1</v>
      </c>
      <c r="B754" s="384">
        <f t="shared" si="103"/>
        <v>55</v>
      </c>
      <c r="C754" s="400" t="str">
        <f t="shared" ca="1" si="97"/>
        <v>a17Dm000000KyDCIA0</v>
      </c>
      <c r="D754" s="397"/>
      <c r="E754" s="384">
        <f t="shared" si="104"/>
        <v>1</v>
      </c>
      <c r="F754" s="398">
        <f ca="1">IF(COUNTA(D$518:D754)=1,"",OFFSET(F752,-COUNTA(D$518:D754)+3,0))</f>
        <v>10</v>
      </c>
      <c r="G754" s="388" t="str">
        <f t="shared" ca="1" si="98"/>
        <v/>
      </c>
      <c r="H754" s="384">
        <f t="shared" si="105"/>
        <v>27</v>
      </c>
      <c r="I754" s="386">
        <f t="shared" ca="1" si="99"/>
        <v>85</v>
      </c>
      <c r="J754" s="389">
        <f t="shared" ca="1" si="100"/>
        <v>6280</v>
      </c>
      <c r="K754" s="389">
        <f t="shared" ca="1" si="101"/>
        <v>5338</v>
      </c>
      <c r="L754" s="388" t="str">
        <f t="shared" ca="1" si="102"/>
        <v/>
      </c>
      <c r="M754" s="397" t="str">
        <f ca="1">IFERROR(IF(COUNTIF($B$517:$B753,"&lt;0")=1,"",OFFSET($C752,-COUNTIF($B$517:$B753,"&lt;0")+3,0)),"")</f>
        <v>a17Dm000000KyDCIA0</v>
      </c>
      <c r="N754" s="397">
        <f ca="1">IFERROR(IF(AND(_xlfn.ISFORMULA(I754),NOT(_xlfn.ISFORMULA(I753))),1,OFFSET($F752,-COUNTIF($B$517:B753,"&lt;0")+3,0)),"")</f>
        <v>10</v>
      </c>
      <c r="O754" s="384">
        <f t="shared" si="106"/>
        <v>0</v>
      </c>
      <c r="P754" s="384"/>
      <c r="Q754" s="384"/>
      <c r="R754" s="384"/>
      <c r="S754" s="384"/>
      <c r="T754" s="388"/>
    </row>
    <row r="755" spans="1:20" x14ac:dyDescent="0.3">
      <c r="A755" s="384" t="b">
        <f t="shared" ca="1" si="96"/>
        <v>1</v>
      </c>
      <c r="B755" s="384">
        <f t="shared" si="103"/>
        <v>56</v>
      </c>
      <c r="C755" s="400" t="str">
        <f t="shared" ca="1" si="97"/>
        <v>a17Dm000000KyDgIAK</v>
      </c>
      <c r="D755" s="397"/>
      <c r="E755" s="384">
        <f t="shared" si="104"/>
        <v>2</v>
      </c>
      <c r="F755" s="398">
        <f ca="1">IF(COUNTA(D$518:D755)=1,"",OFFSET(F753,-COUNTA(D$518:D755)+3,0))</f>
        <v>10</v>
      </c>
      <c r="G755" s="388" t="str">
        <f t="shared" ca="1" si="98"/>
        <v/>
      </c>
      <c r="H755" s="384">
        <f t="shared" si="105"/>
        <v>27</v>
      </c>
      <c r="I755" s="386">
        <f t="shared" ca="1" si="99"/>
        <v>90</v>
      </c>
      <c r="J755" s="389">
        <f t="shared" ca="1" si="100"/>
        <v>6280</v>
      </c>
      <c r="K755" s="389">
        <f t="shared" ca="1" si="101"/>
        <v>5652</v>
      </c>
      <c r="L755" s="388" t="str">
        <f t="shared" ca="1" si="102"/>
        <v/>
      </c>
      <c r="M755" s="397" t="str">
        <f ca="1">IFERROR(IF(COUNTIF($B$517:$B754,"&lt;0")=1,"",OFFSET($C753,-COUNTIF($B$517:$B754,"&lt;0")+3,0)),"")</f>
        <v>a17Dm000000KyDgIAK</v>
      </c>
      <c r="N755" s="397">
        <f ca="1">IFERROR(IF(AND(_xlfn.ISFORMULA(I755),NOT(_xlfn.ISFORMULA(I754))),1,OFFSET($F753,-COUNTIF($B$517:B754,"&lt;0")+3,0)),"")</f>
        <v>10</v>
      </c>
      <c r="O755" s="384">
        <f t="shared" si="106"/>
        <v>0</v>
      </c>
      <c r="P755" s="384"/>
      <c r="Q755" s="384"/>
      <c r="R755" s="384"/>
      <c r="S755" s="384"/>
      <c r="T755" s="388"/>
    </row>
    <row r="756" spans="1:20" x14ac:dyDescent="0.3">
      <c r="A756" s="384" t="b">
        <f t="shared" ca="1" si="96"/>
        <v>1</v>
      </c>
      <c r="B756" s="384">
        <f t="shared" si="103"/>
        <v>57</v>
      </c>
      <c r="C756" s="400" t="str">
        <f t="shared" ca="1" si="97"/>
        <v>a17Dm000000KyEAIA0</v>
      </c>
      <c r="D756" s="397"/>
      <c r="E756" s="384">
        <f t="shared" si="104"/>
        <v>3</v>
      </c>
      <c r="F756" s="398">
        <f ca="1">IF(COUNTA(D$518:D756)=1,"",OFFSET(F754,-COUNTA(D$518:D756)+3,0))</f>
        <v>10</v>
      </c>
      <c r="G756" s="388" t="str">
        <f t="shared" ca="1" si="98"/>
        <v/>
      </c>
      <c r="H756" s="384">
        <f t="shared" si="105"/>
        <v>27</v>
      </c>
      <c r="I756" s="386">
        <f t="shared" ca="1" si="99"/>
        <v>95</v>
      </c>
      <c r="J756" s="389">
        <f t="shared" ca="1" si="100"/>
        <v>6280</v>
      </c>
      <c r="K756" s="389">
        <f t="shared" ca="1" si="101"/>
        <v>5966</v>
      </c>
      <c r="L756" s="388" t="str">
        <f t="shared" ca="1" si="102"/>
        <v/>
      </c>
      <c r="M756" s="397" t="str">
        <f ca="1">IFERROR(IF(COUNTIF($B$517:$B755,"&lt;0")=1,"",OFFSET($C754,-COUNTIF($B$517:$B755,"&lt;0")+3,0)),"")</f>
        <v>a17Dm000000KyEAIA0</v>
      </c>
      <c r="N756" s="397">
        <f ca="1">IFERROR(IF(AND(_xlfn.ISFORMULA(I756),NOT(_xlfn.ISFORMULA(I755))),1,OFFSET($F754,-COUNTIF($B$517:B755,"&lt;0")+3,0)),"")</f>
        <v>10</v>
      </c>
      <c r="O756" s="384">
        <f t="shared" si="106"/>
        <v>0</v>
      </c>
      <c r="P756" s="384"/>
      <c r="Q756" s="384"/>
      <c r="R756" s="384"/>
      <c r="S756" s="384"/>
      <c r="T756" s="388"/>
    </row>
    <row r="757" spans="1:20" x14ac:dyDescent="0.3">
      <c r="A757" s="384" t="b">
        <f t="shared" ca="1" si="96"/>
        <v>0</v>
      </c>
      <c r="B757" s="384">
        <f t="shared" si="103"/>
        <v>58</v>
      </c>
      <c r="C757" s="400" t="str">
        <f t="shared" ca="1" si="97"/>
        <v>a17Dm000000KyEeIAK</v>
      </c>
      <c r="D757" s="397"/>
      <c r="E757" s="384">
        <f t="shared" si="104"/>
        <v>4</v>
      </c>
      <c r="F757" s="398">
        <f ca="1">IF(COUNTA(D$518:D757)=1,"",OFFSET(F755,-COUNTA(D$518:D757)+3,0))</f>
        <v>10</v>
      </c>
      <c r="G757" s="388" t="str">
        <f t="shared" ca="1" si="98"/>
        <v/>
      </c>
      <c r="H757" s="384">
        <f t="shared" si="105"/>
        <v>27</v>
      </c>
      <c r="I757" s="386" t="str">
        <f t="shared" ca="1" si="99"/>
        <v/>
      </c>
      <c r="J757" s="389" t="str">
        <f t="shared" ca="1" si="100"/>
        <v/>
      </c>
      <c r="K757" s="389" t="str">
        <f t="shared" ca="1" si="101"/>
        <v/>
      </c>
      <c r="L757" s="388" t="str">
        <f t="shared" ca="1" si="102"/>
        <v/>
      </c>
      <c r="M757" s="397" t="str">
        <f ca="1">IFERROR(IF(COUNTIF($B$517:$B756,"&lt;0")=1,"",OFFSET($C755,-COUNTIF($B$517:$B756,"&lt;0")+3,0)),"")</f>
        <v>a17Dm000000KyEeIAK</v>
      </c>
      <c r="N757" s="397">
        <f ca="1">IFERROR(IF(AND(_xlfn.ISFORMULA(I757),NOT(_xlfn.ISFORMULA(I756))),1,OFFSET($F755,-COUNTIF($B$517:B756,"&lt;0")+3,0)),"")</f>
        <v>10</v>
      </c>
      <c r="O757" s="384">
        <f t="shared" si="106"/>
        <v>0</v>
      </c>
      <c r="P757" s="384"/>
      <c r="Q757" s="384"/>
      <c r="R757" s="384"/>
      <c r="S757" s="384"/>
      <c r="T757" s="388"/>
    </row>
    <row r="758" spans="1:20" x14ac:dyDescent="0.3">
      <c r="A758" s="384" t="b">
        <f t="shared" ca="1" si="96"/>
        <v>0</v>
      </c>
      <c r="B758" s="384">
        <f t="shared" si="103"/>
        <v>59</v>
      </c>
      <c r="C758" s="400" t="str">
        <f t="shared" ca="1" si="97"/>
        <v>a17Dm000000KyF8IAK</v>
      </c>
      <c r="D758" s="397"/>
      <c r="E758" s="384">
        <f t="shared" si="104"/>
        <v>5</v>
      </c>
      <c r="F758" s="398">
        <f ca="1">IF(COUNTA(D$518:D758)=1,"",OFFSET(F756,-COUNTA(D$518:D758)+3,0))</f>
        <v>10</v>
      </c>
      <c r="G758" s="388" t="str">
        <f t="shared" ca="1" si="98"/>
        <v/>
      </c>
      <c r="H758" s="384">
        <f t="shared" si="105"/>
        <v>27</v>
      </c>
      <c r="I758" s="386" t="str">
        <f t="shared" ca="1" si="99"/>
        <v/>
      </c>
      <c r="J758" s="389" t="str">
        <f t="shared" ca="1" si="100"/>
        <v/>
      </c>
      <c r="K758" s="389" t="str">
        <f t="shared" ca="1" si="101"/>
        <v/>
      </c>
      <c r="L758" s="388" t="str">
        <f t="shared" ca="1" si="102"/>
        <v/>
      </c>
      <c r="M758" s="397" t="str">
        <f ca="1">IFERROR(IF(COUNTIF($B$517:$B757,"&lt;0")=1,"",OFFSET($C756,-COUNTIF($B$517:$B757,"&lt;0")+3,0)),"")</f>
        <v>a17Dm000000KyF8IAK</v>
      </c>
      <c r="N758" s="397">
        <f ca="1">IFERROR(IF(AND(_xlfn.ISFORMULA(I758),NOT(_xlfn.ISFORMULA(I757))),1,OFFSET($F756,-COUNTIF($B$517:B757,"&lt;0")+3,0)),"")</f>
        <v>10</v>
      </c>
      <c r="O758" s="384">
        <f t="shared" si="106"/>
        <v>0</v>
      </c>
      <c r="P758" s="384"/>
      <c r="Q758" s="384"/>
      <c r="R758" s="384"/>
      <c r="S758" s="384"/>
      <c r="T758" s="388"/>
    </row>
    <row r="759" spans="1:20" x14ac:dyDescent="0.3">
      <c r="A759" s="384" t="b">
        <f t="shared" ca="1" si="96"/>
        <v>0</v>
      </c>
      <c r="B759" s="384">
        <f t="shared" si="103"/>
        <v>60</v>
      </c>
      <c r="C759" s="400" t="str">
        <f t="shared" ca="1" si="97"/>
        <v>a17Dm000000KyFcIAK</v>
      </c>
      <c r="D759" s="397"/>
      <c r="E759" s="384">
        <f t="shared" si="104"/>
        <v>6</v>
      </c>
      <c r="F759" s="398">
        <f ca="1">IF(COUNTA(D$518:D759)=1,"",OFFSET(F757,-COUNTA(D$518:D759)+3,0))</f>
        <v>10</v>
      </c>
      <c r="G759" s="388" t="str">
        <f t="shared" ca="1" si="98"/>
        <v/>
      </c>
      <c r="H759" s="384">
        <f t="shared" si="105"/>
        <v>27</v>
      </c>
      <c r="I759" s="386" t="str">
        <f t="shared" ca="1" si="99"/>
        <v/>
      </c>
      <c r="J759" s="389" t="str">
        <f t="shared" ca="1" si="100"/>
        <v/>
      </c>
      <c r="K759" s="389" t="str">
        <f t="shared" ca="1" si="101"/>
        <v/>
      </c>
      <c r="L759" s="388" t="str">
        <f t="shared" ca="1" si="102"/>
        <v/>
      </c>
      <c r="M759" s="397" t="str">
        <f ca="1">IFERROR(IF(COUNTIF($B$517:$B758,"&lt;0")=1,"",OFFSET($C757,-COUNTIF($B$517:$B758,"&lt;0")+3,0)),"")</f>
        <v>a17Dm000000KyFcIAK</v>
      </c>
      <c r="N759" s="397">
        <f ca="1">IFERROR(IF(AND(_xlfn.ISFORMULA(I759),NOT(_xlfn.ISFORMULA(I758))),1,OFFSET($F757,-COUNTIF($B$517:B758,"&lt;0")+3,0)),"")</f>
        <v>10</v>
      </c>
      <c r="O759" s="384">
        <f t="shared" si="106"/>
        <v>0</v>
      </c>
      <c r="P759" s="384"/>
      <c r="Q759" s="384"/>
      <c r="R759" s="384"/>
      <c r="S759" s="384"/>
      <c r="T759" s="388"/>
    </row>
    <row r="760" spans="1:20" x14ac:dyDescent="0.3">
      <c r="A760" s="384" t="b">
        <f t="shared" ca="1" si="96"/>
        <v>1</v>
      </c>
      <c r="B760" s="384">
        <f t="shared" si="103"/>
        <v>61</v>
      </c>
      <c r="C760" s="400" t="str">
        <f t="shared" ca="1" si="97"/>
        <v>a17Dm000000KyDDIA0</v>
      </c>
      <c r="D760" s="397"/>
      <c r="E760" s="384">
        <f t="shared" si="104"/>
        <v>1</v>
      </c>
      <c r="F760" s="398">
        <f ca="1">IF(COUNTA(D$518:D760)=1,"",OFFSET(F758,-COUNTA(D$518:D760)+3,0))</f>
        <v>11</v>
      </c>
      <c r="G760" s="388" t="str">
        <f t="shared" ca="1" si="98"/>
        <v/>
      </c>
      <c r="H760" s="384">
        <f t="shared" si="105"/>
        <v>29</v>
      </c>
      <c r="I760" s="386">
        <f t="shared" ca="1" si="99"/>
        <v>75.002489791853407</v>
      </c>
      <c r="J760" s="389">
        <f t="shared" ca="1" si="100"/>
        <v>10041</v>
      </c>
      <c r="K760" s="389">
        <f t="shared" ca="1" si="101"/>
        <v>7531</v>
      </c>
      <c r="L760" s="388" t="str">
        <f t="shared" ca="1" si="102"/>
        <v/>
      </c>
      <c r="M760" s="397" t="str">
        <f ca="1">IFERROR(IF(COUNTIF($B$517:$B759,"&lt;0")=1,"",OFFSET($C758,-COUNTIF($B$517:$B759,"&lt;0")+3,0)),"")</f>
        <v>a17Dm000000KyDDIA0</v>
      </c>
      <c r="N760" s="397">
        <f ca="1">IFERROR(IF(AND(_xlfn.ISFORMULA(I760),NOT(_xlfn.ISFORMULA(I759))),1,OFFSET($F758,-COUNTIF($B$517:B759,"&lt;0")+3,0)),"")</f>
        <v>11</v>
      </c>
      <c r="O760" s="384">
        <f t="shared" si="106"/>
        <v>0</v>
      </c>
      <c r="P760" s="384"/>
      <c r="Q760" s="384"/>
      <c r="R760" s="384"/>
      <c r="S760" s="384"/>
      <c r="T760" s="388"/>
    </row>
    <row r="761" spans="1:20" x14ac:dyDescent="0.3">
      <c r="A761" s="384" t="b">
        <f t="shared" ca="1" si="96"/>
        <v>1</v>
      </c>
      <c r="B761" s="384">
        <f t="shared" si="103"/>
        <v>62</v>
      </c>
      <c r="C761" s="400" t="str">
        <f t="shared" ca="1" si="97"/>
        <v>a17Dm000000KyDhIAK</v>
      </c>
      <c r="D761" s="397"/>
      <c r="E761" s="384">
        <f t="shared" si="104"/>
        <v>2</v>
      </c>
      <c r="F761" s="398">
        <f ca="1">IF(COUNTA(D$518:D761)=1,"",OFFSET(F759,-COUNTA(D$518:D761)+3,0))</f>
        <v>11</v>
      </c>
      <c r="G761" s="388" t="str">
        <f t="shared" ca="1" si="98"/>
        <v/>
      </c>
      <c r="H761" s="384">
        <f t="shared" si="105"/>
        <v>29</v>
      </c>
      <c r="I761" s="386">
        <f t="shared" ca="1" si="99"/>
        <v>85.001493875112047</v>
      </c>
      <c r="J761" s="389">
        <f t="shared" ca="1" si="100"/>
        <v>10041</v>
      </c>
      <c r="K761" s="389">
        <f t="shared" ca="1" si="101"/>
        <v>8535</v>
      </c>
      <c r="L761" s="388" t="str">
        <f t="shared" ca="1" si="102"/>
        <v/>
      </c>
      <c r="M761" s="397" t="str">
        <f ca="1">IFERROR(IF(COUNTIF($B$517:$B760,"&lt;0")=1,"",OFFSET($C759,-COUNTIF($B$517:$B760,"&lt;0")+3,0)),"")</f>
        <v>a17Dm000000KyDhIAK</v>
      </c>
      <c r="N761" s="397">
        <f ca="1">IFERROR(IF(AND(_xlfn.ISFORMULA(I761),NOT(_xlfn.ISFORMULA(I760))),1,OFFSET($F759,-COUNTIF($B$517:B760,"&lt;0")+3,0)),"")</f>
        <v>11</v>
      </c>
      <c r="O761" s="384">
        <f t="shared" si="106"/>
        <v>0</v>
      </c>
      <c r="P761" s="384"/>
      <c r="Q761" s="384"/>
      <c r="R761" s="384"/>
      <c r="S761" s="384"/>
      <c r="T761" s="388"/>
    </row>
    <row r="762" spans="1:20" x14ac:dyDescent="0.3">
      <c r="A762" s="384" t="b">
        <f t="shared" ca="1" si="96"/>
        <v>1</v>
      </c>
      <c r="B762" s="384">
        <f t="shared" si="103"/>
        <v>63</v>
      </c>
      <c r="C762" s="400" t="str">
        <f t="shared" ca="1" si="97"/>
        <v>a17Dm000000KyEBIA0</v>
      </c>
      <c r="D762" s="397"/>
      <c r="E762" s="384">
        <f t="shared" si="104"/>
        <v>3</v>
      </c>
      <c r="F762" s="398">
        <f ca="1">IF(COUNTA(D$518:D762)=1,"",OFFSET(F760,-COUNTA(D$518:D762)+3,0))</f>
        <v>11</v>
      </c>
      <c r="G762" s="388" t="str">
        <f t="shared" ca="1" si="98"/>
        <v/>
      </c>
      <c r="H762" s="384">
        <f t="shared" si="105"/>
        <v>29</v>
      </c>
      <c r="I762" s="386">
        <f t="shared" ca="1" si="99"/>
        <v>95.000497958370673</v>
      </c>
      <c r="J762" s="389">
        <f t="shared" ca="1" si="100"/>
        <v>10041</v>
      </c>
      <c r="K762" s="389">
        <f t="shared" ca="1" si="101"/>
        <v>9539</v>
      </c>
      <c r="L762" s="388" t="str">
        <f t="shared" ca="1" si="102"/>
        <v/>
      </c>
      <c r="M762" s="397" t="str">
        <f ca="1">IFERROR(IF(COUNTIF($B$517:$B761,"&lt;0")=1,"",OFFSET($C760,-COUNTIF($B$517:$B761,"&lt;0")+3,0)),"")</f>
        <v>a17Dm000000KyEBIA0</v>
      </c>
      <c r="N762" s="397">
        <f ca="1">IFERROR(IF(AND(_xlfn.ISFORMULA(I762),NOT(_xlfn.ISFORMULA(I761))),1,OFFSET($F760,-COUNTIF($B$517:B761,"&lt;0")+3,0)),"")</f>
        <v>11</v>
      </c>
      <c r="O762" s="384">
        <f t="shared" si="106"/>
        <v>0</v>
      </c>
      <c r="P762" s="384"/>
      <c r="Q762" s="384"/>
      <c r="R762" s="384"/>
      <c r="S762" s="384"/>
      <c r="T762" s="388"/>
    </row>
    <row r="763" spans="1:20" x14ac:dyDescent="0.3">
      <c r="A763" s="384" t="b">
        <f t="shared" ca="1" si="96"/>
        <v>0</v>
      </c>
      <c r="B763" s="384">
        <f t="shared" si="103"/>
        <v>64</v>
      </c>
      <c r="C763" s="400" t="str">
        <f t="shared" ca="1" si="97"/>
        <v>a17Dm000000KyEfIAK</v>
      </c>
      <c r="D763" s="397"/>
      <c r="E763" s="384">
        <f t="shared" si="104"/>
        <v>4</v>
      </c>
      <c r="F763" s="398">
        <f ca="1">IF(COUNTA(D$518:D763)=1,"",OFFSET(F761,-COUNTA(D$518:D763)+3,0))</f>
        <v>11</v>
      </c>
      <c r="G763" s="388" t="str">
        <f t="shared" ca="1" si="98"/>
        <v/>
      </c>
      <c r="H763" s="384">
        <f t="shared" si="105"/>
        <v>29</v>
      </c>
      <c r="I763" s="386" t="str">
        <f t="shared" ca="1" si="99"/>
        <v/>
      </c>
      <c r="J763" s="389" t="str">
        <f t="shared" ca="1" si="100"/>
        <v/>
      </c>
      <c r="K763" s="389" t="str">
        <f t="shared" ca="1" si="101"/>
        <v/>
      </c>
      <c r="L763" s="388" t="str">
        <f t="shared" ca="1" si="102"/>
        <v/>
      </c>
      <c r="M763" s="397" t="str">
        <f ca="1">IFERROR(IF(COUNTIF($B$517:$B762,"&lt;0")=1,"",OFFSET($C761,-COUNTIF($B$517:$B762,"&lt;0")+3,0)),"")</f>
        <v>a17Dm000000KyEfIAK</v>
      </c>
      <c r="N763" s="397">
        <f ca="1">IFERROR(IF(AND(_xlfn.ISFORMULA(I763),NOT(_xlfn.ISFORMULA(I762))),1,OFFSET($F761,-COUNTIF($B$517:B762,"&lt;0")+3,0)),"")</f>
        <v>11</v>
      </c>
      <c r="O763" s="384">
        <f t="shared" si="106"/>
        <v>0</v>
      </c>
      <c r="P763" s="384"/>
      <c r="Q763" s="384"/>
      <c r="R763" s="384"/>
      <c r="S763" s="384"/>
      <c r="T763" s="388"/>
    </row>
    <row r="764" spans="1:20" x14ac:dyDescent="0.3">
      <c r="A764" s="384" t="b">
        <f t="shared" ref="A764:A827" ca="1" si="107">IF(OR(I764&lt;&gt;"",J764&lt;&gt;"",K764&lt;&gt;"",L764&lt;&gt;""),TRUE,FALSE)</f>
        <v>0</v>
      </c>
      <c r="B764" s="384">
        <f t="shared" si="103"/>
        <v>65</v>
      </c>
      <c r="C764" s="400" t="str">
        <f t="shared" ref="C764:C827" ca="1" si="108">M764</f>
        <v>a17Dm000000KyF9IAK</v>
      </c>
      <c r="D764" s="397"/>
      <c r="E764" s="384">
        <f t="shared" si="104"/>
        <v>5</v>
      </c>
      <c r="F764" s="398">
        <f ca="1">IF(COUNTA(D$518:D764)=1,"",OFFSET(F762,-COUNTA(D$518:D764)+3,0))</f>
        <v>11</v>
      </c>
      <c r="G764" s="388" t="str">
        <f t="shared" ref="G764:G827" ca="1" si="109">IFERROR(IF(INDIRECT("'Coverage Indicators - Section I'!G"&amp;$I248)="","",INDIRECT("'Coverage Indicators - Section I'!G"&amp;$I248)),"")</f>
        <v/>
      </c>
      <c r="H764" s="384">
        <f t="shared" si="105"/>
        <v>29</v>
      </c>
      <c r="I764" s="386" t="str">
        <f t="shared" ref="I764:I827" ca="1" si="110">IFERROR(CHOOSE(E764,IFERROR(IF(INDIRECT("'Coverage Indicators - Section D'!O"&amp;H764)="","",INDIRECT("'Coverage Indicators - Section D'!O"&amp;H764)*100),""),IFERROR(IF(INDIRECT("'Coverage Indicators - Section D'!R"&amp;H764)="","",INDIRECT("'Coverage Indicators - Section D'!R"&amp;H764)*100),""),IFERROR(IF(INDIRECT("'Coverage Indicators - Section D'!U"&amp;H764)="","",INDIRECT("'Coverage Indicators - Section D'!U"&amp;H764)*100),""),IFERROR(IF(INDIRECT("'Coverage Indicators - Section D'!X"&amp;H764)="","",INDIRECT("'Coverage Indicators - Section D'!X"&amp;H764)*100),""),IFERROR(IF(INDIRECT("'Coverage Indicators - Section D'!AA"&amp;H764)="","",INDIRECT("'Coverage Indicators - Section D'!AA"&amp;H764)*100),""),IFERROR(IF(INDIRECT("'Coverage Indicators - Section D'!AD"&amp;H764)="","",INDIRECT("'Coverage Indicators - Section D'!AD"&amp;H764)*100),""),IFERROR(IF(INDIRECT("'Coverage Indicators - Section D'!AG"&amp;H764)="","",INDIRECT("'Coverage Indicators - Section D'!AG"&amp;H764)*100),""),IFERROR(IF(INDIRECT("'Coverage Indicators - Section D'!AJ"&amp;H764)="","",INDIRECT("'Coverage Indicators - Section D'!AJ"&amp;H764)*100),"")),"")</f>
        <v/>
      </c>
      <c r="J764" s="389" t="str">
        <f t="shared" ref="J764:J827" ca="1" si="111">IFERROR(CHOOSE(E764,IFERROR(IF(INDIRECT("'Coverage Indicators - Section D'!N"&amp;H764+1)="","",INDIRECT("'Coverage Indicators - Section D'!N"&amp;H764+1)),""),IFERROR(IF(INDIRECT("'Coverage Indicators - Section D'!Q"&amp;H764+1)="","",INDIRECT("'Coverage Indicators - Section D'!Q"&amp;H764+1)),""),IFERROR(IF(INDIRECT("'Coverage Indicators - Section D'!T"&amp;H764+1)="","",INDIRECT("'Coverage Indicators - Section D'!T"&amp;H764+1)),""),IFERROR(IF(INDIRECT("'Coverage Indicators - Section D'!W"&amp;H764+1)="","",INDIRECT("'Coverage Indicators - Section D'!W"&amp;H764+1)),""),IFERROR(IF(INDIRECT("'Coverage Indicators - Section D'!Z"&amp;H764+1)="","",INDIRECT("'Coverage Indicators - Section D'!Z"&amp;H764+1)),""),IFERROR(IF(INDIRECT("'Coverage Indicators - Section D'!AC"&amp;H764+1)="","",INDIRECT("'Coverage Indicators - Section D'!AC"&amp;H764+1)),""),IFERROR(IF(INDIRECT("'Coverage Indicators - Section D'!AF"&amp;H764+1)="","",INDIRECT("'Coverage Indicators - Section D'!AF"&amp;H764+1)),""),IFERROR(IF(INDIRECT("'Coverage Indicators - Section D'!AI"&amp;H764+1)="","",INDIRECT("'Coverage Indicators - Section D'!AI"&amp;H764+1)),"")),"")</f>
        <v/>
      </c>
      <c r="K764" s="389" t="str">
        <f t="shared" ref="K764:K827" ca="1" si="112">IFERROR(CHOOSE(E764,IFERROR(IF(INDIRECT("'Coverage Indicators - Section D'!N"&amp;H764)="","",INDIRECT("'Coverage Indicators - Section D'!N"&amp;H764)),""),IFERROR(IF(INDIRECT("'Coverage Indicators - Section D'!Q"&amp;H764)="","",INDIRECT("'Coverage Indicators - Section D'!Q"&amp;H764)),""),IFERROR(IF(INDIRECT("'Coverage Indicators - Section D'!T"&amp;H764)="","",INDIRECT("'Coverage Indicators - Section D'!T"&amp;H764)),""),IFERROR(IF(INDIRECT("'Coverage Indicators - Section D'!W"&amp;H764)="","",INDIRECT("'Coverage Indicators - Section D'!W"&amp;H764)),""),IFERROR(IF(INDIRECT("'Coverage Indicators - Section D'!Z"&amp;H764)="","",INDIRECT("'Coverage Indicators - Section D'!Z"&amp;H764)),""),IFERROR(IF(INDIRECT("'Coverage Indicators - Section D'!AC"&amp;H764)="","",INDIRECT("'Coverage Indicators - Section D'!AC"&amp;H764)),""),IFERROR(IF(INDIRECT("'Coverage Indicators - Section D'!AF"&amp;H764)="","",INDIRECT("'Coverage Indicators - Section D'!AF"&amp;H764)),""),IFERROR(IF(INDIRECT("'Coverage Indicators - Section D'!AI"&amp;H764)="","",INDIRECT("'Coverage Indicators - Section D'!AI"&amp;H764)),"")),"")</f>
        <v/>
      </c>
      <c r="L764" s="388" t="str">
        <f t="shared" ref="L764:L827" ca="1" si="113">IF(IFERROR(CHOOSE(E764,IFERROR(IF(INDIRECT("'Coverage Indicators - Section D'!P"&amp;H764)=0,"",INDIRECT("'Coverage Indicators - Section D'!P"&amp;H764)),""),IFERROR(IF(INDIRECT("'Coverage Indicators - Section D'!S"&amp;H764)=0,"",INDIRECT("'Coverage Indicators - Section D'!S"&amp;H764)),""),IFERROR(IF(INDIRECT("'Coverage Indicators - Section D'!V"&amp;H764)=0,"",INDIRECT("'Coverage Indicators - Section D'!V"&amp;H764)),""),IFERROR(IF(INDIRECT("'Coverage Indicators - Section D'!Y"&amp;H764)=0,"",INDIRECT("'Coverage Indicators - Section D'!Y"&amp;H764)),""),IFERROR(IF(INDIRECT("'Coverage Indicators - Section D'!AB"&amp;H764)=0,"",INDIRECT("'Coverage Indicators - Section D'!AB"&amp;H764)),""),IFERROR(IF(INDIRECT("'Coverage Indicators - Section D'!AE"&amp;H764)=0,"",INDIRECT("'Coverage Indicators - Section D'!AE"&amp;H764)),""),IFERROR(IF(INDIRECT("'Coverage Indicators - Section D'!AH"&amp;H764)=0,"",INDIRECT("'Coverage Indicators - Section D'!AH"&amp;H764)),""),IFERROR(IF(INDIRECT("'Coverage Indicators - Section D'!AK"&amp;H764)=0,"",INDIRECT("'Coverage Indicators - Section D'!AK"&amp;H764)),""),),"")=0,"",IFERROR(CHOOSE(E764,IFERROR(IF(INDIRECT("'Coverage Indicators - Section D'!P"&amp;H764)=0,"",INDIRECT("'Coverage Indicators - Section D'!P"&amp;H764)),""),IFERROR(IF(INDIRECT("'Coverage Indicators - Section D'!S"&amp;H764)=0,"",INDIRECT("'Coverage Indicators - Section D'!S"&amp;H764)),""),IFERROR(IF(INDIRECT("'Coverage Indicators - Section D'!V"&amp;H764)=0,"",INDIRECT("'Coverage Indicators - Section D'!V"&amp;H764)),""),IFERROR(IF(INDIRECT("'Coverage Indicators - Section D'!Y"&amp;H764)=0,"",INDIRECT("'Coverage Indicators - Section D'!Y"&amp;H764)),""),IFERROR(IF(INDIRECT("'Coverage Indicators - Section D'!AB"&amp;H764)=0,"",INDIRECT("'Coverage Indicators - Section D'!AB"&amp;H764)),""),IFERROR(IF(INDIRECT("'Coverage Indicators - Section D'!AE"&amp;H764)=0,"",INDIRECT("'Coverage Indicators - Section D'!AE"&amp;H764)),""),IFERROR(IF(INDIRECT("'Coverage Indicators - Section D'!AH"&amp;H764)=0,"",INDIRECT("'Coverage Indicators - Section D'!AH"&amp;H764)),""),IFERROR(IF(INDIRECT("'Coverage Indicators - Section D'!AK"&amp;H764)=0,"",INDIRECT("'Coverage Indicators - Section D'!AK"&amp;H764)),""),),""))</f>
        <v/>
      </c>
      <c r="M764" s="397" t="str">
        <f ca="1">IFERROR(IF(COUNTIF($B$517:$B763,"&lt;0")=1,"",OFFSET($C762,-COUNTIF($B$517:$B763,"&lt;0")+3,0)),"")</f>
        <v>a17Dm000000KyF9IAK</v>
      </c>
      <c r="N764" s="397">
        <f ca="1">IFERROR(IF(AND(_xlfn.ISFORMULA(I764),NOT(_xlfn.ISFORMULA(I763))),1,OFFSET($F762,-COUNTIF($B$517:B763,"&lt;0")+3,0)),"")</f>
        <v>11</v>
      </c>
      <c r="O764" s="384">
        <f t="shared" si="106"/>
        <v>0</v>
      </c>
      <c r="P764" s="384"/>
      <c r="Q764" s="384"/>
      <c r="R764" s="384"/>
      <c r="S764" s="384"/>
      <c r="T764" s="388"/>
    </row>
    <row r="765" spans="1:20" x14ac:dyDescent="0.3">
      <c r="A765" s="384" t="b">
        <f t="shared" ca="1" si="107"/>
        <v>0</v>
      </c>
      <c r="B765" s="384">
        <f t="shared" si="103"/>
        <v>66</v>
      </c>
      <c r="C765" s="400" t="str">
        <f t="shared" ca="1" si="108"/>
        <v>a17Dm000000KyFdIAK</v>
      </c>
      <c r="D765" s="397"/>
      <c r="E765" s="384">
        <f t="shared" si="104"/>
        <v>6</v>
      </c>
      <c r="F765" s="398">
        <f ca="1">IF(COUNTA(D$518:D765)=1,"",OFFSET(F763,-COUNTA(D$518:D765)+3,0))</f>
        <v>11</v>
      </c>
      <c r="G765" s="388" t="str">
        <f t="shared" ca="1" si="109"/>
        <v/>
      </c>
      <c r="H765" s="384">
        <f t="shared" si="105"/>
        <v>29</v>
      </c>
      <c r="I765" s="386" t="str">
        <f t="shared" ca="1" si="110"/>
        <v/>
      </c>
      <c r="J765" s="389" t="str">
        <f t="shared" ca="1" si="111"/>
        <v/>
      </c>
      <c r="K765" s="389" t="str">
        <f t="shared" ca="1" si="112"/>
        <v/>
      </c>
      <c r="L765" s="388" t="str">
        <f t="shared" ca="1" si="113"/>
        <v/>
      </c>
      <c r="M765" s="397" t="str">
        <f ca="1">IFERROR(IF(COUNTIF($B$517:$B764,"&lt;0")=1,"",OFFSET($C763,-COUNTIF($B$517:$B764,"&lt;0")+3,0)),"")</f>
        <v>a17Dm000000KyFdIAK</v>
      </c>
      <c r="N765" s="397">
        <f ca="1">IFERROR(IF(AND(_xlfn.ISFORMULA(I765),NOT(_xlfn.ISFORMULA(I764))),1,OFFSET($F763,-COUNTIF($B$517:B764,"&lt;0")+3,0)),"")</f>
        <v>11</v>
      </c>
      <c r="O765" s="384">
        <f t="shared" si="106"/>
        <v>0</v>
      </c>
      <c r="P765" s="384"/>
      <c r="Q765" s="384"/>
      <c r="R765" s="384"/>
      <c r="S765" s="384"/>
      <c r="T765" s="388"/>
    </row>
    <row r="766" spans="1:20" x14ac:dyDescent="0.3">
      <c r="A766" s="384" t="b">
        <f t="shared" ca="1" si="107"/>
        <v>1</v>
      </c>
      <c r="B766" s="384">
        <f t="shared" si="103"/>
        <v>67</v>
      </c>
      <c r="C766" s="400" t="str">
        <f t="shared" ca="1" si="108"/>
        <v>a17Dm000000KyDEIA0</v>
      </c>
      <c r="D766" s="397"/>
      <c r="E766" s="384">
        <f t="shared" si="104"/>
        <v>1</v>
      </c>
      <c r="F766" s="398">
        <f ca="1">IF(COUNTA(D$518:D766)=1,"",OFFSET(F764,-COUNTA(D$518:D766)+3,0))</f>
        <v>12</v>
      </c>
      <c r="G766" s="388" t="str">
        <f t="shared" ca="1" si="109"/>
        <v/>
      </c>
      <c r="H766" s="384">
        <f t="shared" si="105"/>
        <v>31</v>
      </c>
      <c r="I766" s="386">
        <f t="shared" ca="1" si="110"/>
        <v>75</v>
      </c>
      <c r="J766" s="389" t="str">
        <f t="shared" ca="1" si="111"/>
        <v/>
      </c>
      <c r="K766" s="389" t="str">
        <f t="shared" ca="1" si="112"/>
        <v/>
      </c>
      <c r="L766" s="388" t="str">
        <f t="shared" ca="1" si="113"/>
        <v/>
      </c>
      <c r="M766" s="397" t="str">
        <f ca="1">IFERROR(IF(COUNTIF($B$517:$B765,"&lt;0")=1,"",OFFSET($C764,-COUNTIF($B$517:$B765,"&lt;0")+3,0)),"")</f>
        <v>a17Dm000000KyDEIA0</v>
      </c>
      <c r="N766" s="397">
        <f ca="1">IFERROR(IF(AND(_xlfn.ISFORMULA(I766),NOT(_xlfn.ISFORMULA(I765))),1,OFFSET($F764,-COUNTIF($B$517:B765,"&lt;0")+3,0)),"")</f>
        <v>12</v>
      </c>
      <c r="O766" s="384">
        <f t="shared" si="106"/>
        <v>0</v>
      </c>
      <c r="P766" s="384"/>
      <c r="Q766" s="384"/>
      <c r="R766" s="384"/>
      <c r="S766" s="384"/>
      <c r="T766" s="388"/>
    </row>
    <row r="767" spans="1:20" x14ac:dyDescent="0.3">
      <c r="A767" s="384" t="b">
        <f t="shared" ca="1" si="107"/>
        <v>1</v>
      </c>
      <c r="B767" s="384">
        <f t="shared" si="103"/>
        <v>68</v>
      </c>
      <c r="C767" s="400" t="str">
        <f t="shared" ca="1" si="108"/>
        <v>a17Dm000000KyDiIAK</v>
      </c>
      <c r="D767" s="397"/>
      <c r="E767" s="384">
        <f t="shared" si="104"/>
        <v>2</v>
      </c>
      <c r="F767" s="398">
        <f ca="1">IF(COUNTA(D$518:D767)=1,"",OFFSET(F765,-COUNTA(D$518:D767)+3,0))</f>
        <v>12</v>
      </c>
      <c r="G767" s="388" t="str">
        <f t="shared" ca="1" si="109"/>
        <v/>
      </c>
      <c r="H767" s="384">
        <f t="shared" si="105"/>
        <v>31</v>
      </c>
      <c r="I767" s="386">
        <f t="shared" ca="1" si="110"/>
        <v>85</v>
      </c>
      <c r="J767" s="389" t="str">
        <f t="shared" ca="1" si="111"/>
        <v/>
      </c>
      <c r="K767" s="389" t="str">
        <f t="shared" ca="1" si="112"/>
        <v/>
      </c>
      <c r="L767" s="388" t="str">
        <f t="shared" ca="1" si="113"/>
        <v/>
      </c>
      <c r="M767" s="397" t="str">
        <f ca="1">IFERROR(IF(COUNTIF($B$517:$B766,"&lt;0")=1,"",OFFSET($C765,-COUNTIF($B$517:$B766,"&lt;0")+3,0)),"")</f>
        <v>a17Dm000000KyDiIAK</v>
      </c>
      <c r="N767" s="397">
        <f ca="1">IFERROR(IF(AND(_xlfn.ISFORMULA(I767),NOT(_xlfn.ISFORMULA(I766))),1,OFFSET($F765,-COUNTIF($B$517:B766,"&lt;0")+3,0)),"")</f>
        <v>12</v>
      </c>
      <c r="O767" s="384">
        <f t="shared" si="106"/>
        <v>0</v>
      </c>
      <c r="P767" s="384"/>
      <c r="Q767" s="384"/>
      <c r="R767" s="384"/>
      <c r="S767" s="384"/>
      <c r="T767" s="388"/>
    </row>
    <row r="768" spans="1:20" x14ac:dyDescent="0.3">
      <c r="A768" s="384" t="b">
        <f t="shared" ca="1" si="107"/>
        <v>1</v>
      </c>
      <c r="B768" s="384">
        <f t="shared" si="103"/>
        <v>69</v>
      </c>
      <c r="C768" s="400" t="str">
        <f t="shared" ca="1" si="108"/>
        <v>a17Dm000000KyECIA0</v>
      </c>
      <c r="D768" s="397"/>
      <c r="E768" s="384">
        <f t="shared" si="104"/>
        <v>3</v>
      </c>
      <c r="F768" s="398">
        <f ca="1">IF(COUNTA(D$518:D768)=1,"",OFFSET(F766,-COUNTA(D$518:D768)+3,0))</f>
        <v>12</v>
      </c>
      <c r="G768" s="388" t="str">
        <f t="shared" ca="1" si="109"/>
        <v/>
      </c>
      <c r="H768" s="384">
        <f t="shared" si="105"/>
        <v>31</v>
      </c>
      <c r="I768" s="386">
        <f t="shared" ca="1" si="110"/>
        <v>95</v>
      </c>
      <c r="J768" s="389" t="str">
        <f t="shared" ca="1" si="111"/>
        <v/>
      </c>
      <c r="K768" s="389" t="str">
        <f t="shared" ca="1" si="112"/>
        <v/>
      </c>
      <c r="L768" s="388" t="str">
        <f t="shared" ca="1" si="113"/>
        <v/>
      </c>
      <c r="M768" s="397" t="str">
        <f ca="1">IFERROR(IF(COUNTIF($B$517:$B767,"&lt;0")=1,"",OFFSET($C766,-COUNTIF($B$517:$B767,"&lt;0")+3,0)),"")</f>
        <v>a17Dm000000KyECIA0</v>
      </c>
      <c r="N768" s="397">
        <f ca="1">IFERROR(IF(AND(_xlfn.ISFORMULA(I768),NOT(_xlfn.ISFORMULA(I767))),1,OFFSET($F766,-COUNTIF($B$517:B767,"&lt;0")+3,0)),"")</f>
        <v>12</v>
      </c>
      <c r="O768" s="384">
        <f t="shared" si="106"/>
        <v>0</v>
      </c>
      <c r="P768" s="384"/>
      <c r="Q768" s="384"/>
      <c r="R768" s="384"/>
      <c r="S768" s="384"/>
      <c r="T768" s="388"/>
    </row>
    <row r="769" spans="1:20" x14ac:dyDescent="0.3">
      <c r="A769" s="384" t="b">
        <f t="shared" ca="1" si="107"/>
        <v>0</v>
      </c>
      <c r="B769" s="384">
        <f t="shared" si="103"/>
        <v>70</v>
      </c>
      <c r="C769" s="400" t="str">
        <f t="shared" ca="1" si="108"/>
        <v>a17Dm000000KyEgIAK</v>
      </c>
      <c r="D769" s="397"/>
      <c r="E769" s="384">
        <f t="shared" si="104"/>
        <v>4</v>
      </c>
      <c r="F769" s="398">
        <f ca="1">IF(COUNTA(D$518:D769)=1,"",OFFSET(F767,-COUNTA(D$518:D769)+3,0))</f>
        <v>12</v>
      </c>
      <c r="G769" s="388" t="str">
        <f t="shared" ca="1" si="109"/>
        <v/>
      </c>
      <c r="H769" s="384">
        <f t="shared" si="105"/>
        <v>31</v>
      </c>
      <c r="I769" s="386" t="str">
        <f t="shared" ca="1" si="110"/>
        <v/>
      </c>
      <c r="J769" s="389" t="str">
        <f t="shared" ca="1" si="111"/>
        <v/>
      </c>
      <c r="K769" s="389" t="str">
        <f t="shared" ca="1" si="112"/>
        <v/>
      </c>
      <c r="L769" s="388" t="str">
        <f t="shared" ca="1" si="113"/>
        <v/>
      </c>
      <c r="M769" s="397" t="str">
        <f ca="1">IFERROR(IF(COUNTIF($B$517:$B768,"&lt;0")=1,"",OFFSET($C767,-COUNTIF($B$517:$B768,"&lt;0")+3,0)),"")</f>
        <v>a17Dm000000KyEgIAK</v>
      </c>
      <c r="N769" s="397">
        <f ca="1">IFERROR(IF(AND(_xlfn.ISFORMULA(I769),NOT(_xlfn.ISFORMULA(I768))),1,OFFSET($F767,-COUNTIF($B$517:B768,"&lt;0")+3,0)),"")</f>
        <v>12</v>
      </c>
      <c r="O769" s="384">
        <f t="shared" si="106"/>
        <v>0</v>
      </c>
      <c r="P769" s="384"/>
      <c r="Q769" s="384"/>
      <c r="R769" s="384"/>
      <c r="S769" s="384"/>
      <c r="T769" s="388"/>
    </row>
    <row r="770" spans="1:20" x14ac:dyDescent="0.3">
      <c r="A770" s="384" t="b">
        <f t="shared" ca="1" si="107"/>
        <v>0</v>
      </c>
      <c r="B770" s="384">
        <f t="shared" si="103"/>
        <v>71</v>
      </c>
      <c r="C770" s="400" t="str">
        <f t="shared" ca="1" si="108"/>
        <v>a17Dm000000KyFAIA0</v>
      </c>
      <c r="D770" s="397"/>
      <c r="E770" s="384">
        <f t="shared" si="104"/>
        <v>5</v>
      </c>
      <c r="F770" s="398">
        <f ca="1">IF(COUNTA(D$518:D770)=1,"",OFFSET(F768,-COUNTA(D$518:D770)+3,0))</f>
        <v>12</v>
      </c>
      <c r="G770" s="388" t="str">
        <f t="shared" ca="1" si="109"/>
        <v/>
      </c>
      <c r="H770" s="384">
        <f t="shared" si="105"/>
        <v>31</v>
      </c>
      <c r="I770" s="386" t="str">
        <f t="shared" ca="1" si="110"/>
        <v/>
      </c>
      <c r="J770" s="389" t="str">
        <f t="shared" ca="1" si="111"/>
        <v/>
      </c>
      <c r="K770" s="389" t="str">
        <f t="shared" ca="1" si="112"/>
        <v/>
      </c>
      <c r="L770" s="388" t="str">
        <f t="shared" ca="1" si="113"/>
        <v/>
      </c>
      <c r="M770" s="397" t="str">
        <f ca="1">IFERROR(IF(COUNTIF($B$517:$B769,"&lt;0")=1,"",OFFSET($C768,-COUNTIF($B$517:$B769,"&lt;0")+3,0)),"")</f>
        <v>a17Dm000000KyFAIA0</v>
      </c>
      <c r="N770" s="397">
        <f ca="1">IFERROR(IF(AND(_xlfn.ISFORMULA(I770),NOT(_xlfn.ISFORMULA(I769))),1,OFFSET($F768,-COUNTIF($B$517:B769,"&lt;0")+3,0)),"")</f>
        <v>12</v>
      </c>
      <c r="O770" s="384">
        <f t="shared" si="106"/>
        <v>0</v>
      </c>
      <c r="P770" s="384"/>
      <c r="Q770" s="384"/>
      <c r="R770" s="384"/>
      <c r="S770" s="384"/>
      <c r="T770" s="388"/>
    </row>
    <row r="771" spans="1:20" x14ac:dyDescent="0.3">
      <c r="A771" s="384" t="b">
        <f t="shared" ca="1" si="107"/>
        <v>0</v>
      </c>
      <c r="B771" s="384">
        <f t="shared" si="103"/>
        <v>72</v>
      </c>
      <c r="C771" s="400" t="str">
        <f t="shared" ca="1" si="108"/>
        <v>a17Dm000000KyFeIAK</v>
      </c>
      <c r="D771" s="397"/>
      <c r="E771" s="384">
        <f t="shared" si="104"/>
        <v>6</v>
      </c>
      <c r="F771" s="398">
        <f ca="1">IF(COUNTA(D$518:D771)=1,"",OFFSET(F769,-COUNTA(D$518:D771)+3,0))</f>
        <v>12</v>
      </c>
      <c r="G771" s="388" t="str">
        <f t="shared" ca="1" si="109"/>
        <v/>
      </c>
      <c r="H771" s="384">
        <f t="shared" si="105"/>
        <v>31</v>
      </c>
      <c r="I771" s="386" t="str">
        <f t="shared" ca="1" si="110"/>
        <v/>
      </c>
      <c r="J771" s="389" t="str">
        <f t="shared" ca="1" si="111"/>
        <v/>
      </c>
      <c r="K771" s="389" t="str">
        <f t="shared" ca="1" si="112"/>
        <v/>
      </c>
      <c r="L771" s="388" t="str">
        <f t="shared" ca="1" si="113"/>
        <v/>
      </c>
      <c r="M771" s="397" t="str">
        <f ca="1">IFERROR(IF(COUNTIF($B$517:$B770,"&lt;0")=1,"",OFFSET($C769,-COUNTIF($B$517:$B770,"&lt;0")+3,0)),"")</f>
        <v>a17Dm000000KyFeIAK</v>
      </c>
      <c r="N771" s="397">
        <f ca="1">IFERROR(IF(AND(_xlfn.ISFORMULA(I771),NOT(_xlfn.ISFORMULA(I770))),1,OFFSET($F769,-COUNTIF($B$517:B770,"&lt;0")+3,0)),"")</f>
        <v>12</v>
      </c>
      <c r="O771" s="384">
        <f t="shared" si="106"/>
        <v>0</v>
      </c>
      <c r="P771" s="384"/>
      <c r="Q771" s="384"/>
      <c r="R771" s="384"/>
      <c r="S771" s="384"/>
      <c r="T771" s="388"/>
    </row>
    <row r="772" spans="1:20" x14ac:dyDescent="0.3">
      <c r="A772" s="384" t="b">
        <f t="shared" ca="1" si="107"/>
        <v>1</v>
      </c>
      <c r="B772" s="384">
        <f t="shared" si="103"/>
        <v>73</v>
      </c>
      <c r="C772" s="400" t="str">
        <f t="shared" ca="1" si="108"/>
        <v>a17Dm000000KyDFIA0</v>
      </c>
      <c r="D772" s="397"/>
      <c r="E772" s="384">
        <f t="shared" si="104"/>
        <v>1</v>
      </c>
      <c r="F772" s="398">
        <f ca="1">IF(COUNTA(D$518:D772)=1,"",OFFSET(F770,-COUNTA(D$518:D772)+3,0))</f>
        <v>13</v>
      </c>
      <c r="G772" s="388" t="str">
        <f t="shared" ca="1" si="109"/>
        <v/>
      </c>
      <c r="H772" s="384">
        <f t="shared" si="105"/>
        <v>33</v>
      </c>
      <c r="I772" s="386">
        <f t="shared" ca="1" si="110"/>
        <v>75</v>
      </c>
      <c r="J772" s="389" t="str">
        <f t="shared" ca="1" si="111"/>
        <v/>
      </c>
      <c r="K772" s="389" t="str">
        <f t="shared" ca="1" si="112"/>
        <v/>
      </c>
      <c r="L772" s="388" t="str">
        <f t="shared" ca="1" si="113"/>
        <v/>
      </c>
      <c r="M772" s="397" t="str">
        <f ca="1">IFERROR(IF(COUNTIF($B$517:$B771,"&lt;0")=1,"",OFFSET($C770,-COUNTIF($B$517:$B771,"&lt;0")+3,0)),"")</f>
        <v>a17Dm000000KyDFIA0</v>
      </c>
      <c r="N772" s="397">
        <f ca="1">IFERROR(IF(AND(_xlfn.ISFORMULA(I772),NOT(_xlfn.ISFORMULA(I771))),1,OFFSET($F770,-COUNTIF($B$517:B771,"&lt;0")+3,0)),"")</f>
        <v>13</v>
      </c>
      <c r="O772" s="384">
        <f t="shared" si="106"/>
        <v>0</v>
      </c>
      <c r="P772" s="384"/>
      <c r="Q772" s="384"/>
      <c r="R772" s="384"/>
      <c r="S772" s="384"/>
      <c r="T772" s="388"/>
    </row>
    <row r="773" spans="1:20" x14ac:dyDescent="0.3">
      <c r="A773" s="384" t="b">
        <f t="shared" ca="1" si="107"/>
        <v>1</v>
      </c>
      <c r="B773" s="384">
        <f t="shared" si="103"/>
        <v>74</v>
      </c>
      <c r="C773" s="400" t="str">
        <f t="shared" ca="1" si="108"/>
        <v>a17Dm000000KyDjIAK</v>
      </c>
      <c r="D773" s="397"/>
      <c r="E773" s="384">
        <f t="shared" si="104"/>
        <v>2</v>
      </c>
      <c r="F773" s="398">
        <f ca="1">IF(COUNTA(D$518:D773)=1,"",OFFSET(F771,-COUNTA(D$518:D773)+3,0))</f>
        <v>13</v>
      </c>
      <c r="G773" s="388" t="str">
        <f t="shared" ca="1" si="109"/>
        <v/>
      </c>
      <c r="H773" s="384">
        <f t="shared" si="105"/>
        <v>33</v>
      </c>
      <c r="I773" s="386">
        <f t="shared" ca="1" si="110"/>
        <v>85</v>
      </c>
      <c r="J773" s="389" t="str">
        <f t="shared" ca="1" si="111"/>
        <v/>
      </c>
      <c r="K773" s="389" t="str">
        <f t="shared" ca="1" si="112"/>
        <v/>
      </c>
      <c r="L773" s="388" t="str">
        <f t="shared" ca="1" si="113"/>
        <v/>
      </c>
      <c r="M773" s="397" t="str">
        <f ca="1">IFERROR(IF(COUNTIF($B$517:$B772,"&lt;0")=1,"",OFFSET($C771,-COUNTIF($B$517:$B772,"&lt;0")+3,0)),"")</f>
        <v>a17Dm000000KyDjIAK</v>
      </c>
      <c r="N773" s="397">
        <f ca="1">IFERROR(IF(AND(_xlfn.ISFORMULA(I773),NOT(_xlfn.ISFORMULA(I772))),1,OFFSET($F771,-COUNTIF($B$517:B772,"&lt;0")+3,0)),"")</f>
        <v>13</v>
      </c>
      <c r="O773" s="384">
        <f t="shared" si="106"/>
        <v>0</v>
      </c>
      <c r="P773" s="384"/>
      <c r="Q773" s="384"/>
      <c r="R773" s="384"/>
      <c r="S773" s="384"/>
      <c r="T773" s="388"/>
    </row>
    <row r="774" spans="1:20" x14ac:dyDescent="0.3">
      <c r="A774" s="384" t="b">
        <f t="shared" ca="1" si="107"/>
        <v>1</v>
      </c>
      <c r="B774" s="384">
        <f t="shared" si="103"/>
        <v>75</v>
      </c>
      <c r="C774" s="400" t="str">
        <f t="shared" ca="1" si="108"/>
        <v>a17Dm000000KyEDIA0</v>
      </c>
      <c r="D774" s="397"/>
      <c r="E774" s="384">
        <f t="shared" si="104"/>
        <v>3</v>
      </c>
      <c r="F774" s="398">
        <f ca="1">IF(COUNTA(D$518:D774)=1,"",OFFSET(F772,-COUNTA(D$518:D774)+3,0))</f>
        <v>13</v>
      </c>
      <c r="G774" s="388" t="str">
        <f t="shared" ca="1" si="109"/>
        <v/>
      </c>
      <c r="H774" s="384">
        <f t="shared" si="105"/>
        <v>33</v>
      </c>
      <c r="I774" s="386">
        <f t="shared" ca="1" si="110"/>
        <v>95</v>
      </c>
      <c r="J774" s="389" t="str">
        <f t="shared" ca="1" si="111"/>
        <v/>
      </c>
      <c r="K774" s="389" t="str">
        <f t="shared" ca="1" si="112"/>
        <v/>
      </c>
      <c r="L774" s="388" t="str">
        <f t="shared" ca="1" si="113"/>
        <v/>
      </c>
      <c r="M774" s="397" t="str">
        <f ca="1">IFERROR(IF(COUNTIF($B$517:$B773,"&lt;0")=1,"",OFFSET($C772,-COUNTIF($B$517:$B773,"&lt;0")+3,0)),"")</f>
        <v>a17Dm000000KyEDIA0</v>
      </c>
      <c r="N774" s="397">
        <f ca="1">IFERROR(IF(AND(_xlfn.ISFORMULA(I774),NOT(_xlfn.ISFORMULA(I773))),1,OFFSET($F772,-COUNTIF($B$517:B773,"&lt;0")+3,0)),"")</f>
        <v>13</v>
      </c>
      <c r="O774" s="384">
        <f t="shared" si="106"/>
        <v>0</v>
      </c>
      <c r="P774" s="384"/>
      <c r="Q774" s="384"/>
      <c r="R774" s="384"/>
      <c r="S774" s="384"/>
      <c r="T774" s="388"/>
    </row>
    <row r="775" spans="1:20" x14ac:dyDescent="0.3">
      <c r="A775" s="384" t="b">
        <f t="shared" ca="1" si="107"/>
        <v>0</v>
      </c>
      <c r="B775" s="384">
        <f t="shared" si="103"/>
        <v>76</v>
      </c>
      <c r="C775" s="400" t="str">
        <f t="shared" ca="1" si="108"/>
        <v>a17Dm000000KyEhIAK</v>
      </c>
      <c r="D775" s="397"/>
      <c r="E775" s="384">
        <f t="shared" si="104"/>
        <v>4</v>
      </c>
      <c r="F775" s="398">
        <f ca="1">IF(COUNTA(D$518:D775)=1,"",OFFSET(F773,-COUNTA(D$518:D775)+3,0))</f>
        <v>13</v>
      </c>
      <c r="G775" s="388" t="str">
        <f t="shared" ca="1" si="109"/>
        <v/>
      </c>
      <c r="H775" s="384">
        <f t="shared" si="105"/>
        <v>33</v>
      </c>
      <c r="I775" s="386" t="str">
        <f t="shared" ca="1" si="110"/>
        <v/>
      </c>
      <c r="J775" s="389" t="str">
        <f t="shared" ca="1" si="111"/>
        <v/>
      </c>
      <c r="K775" s="389" t="str">
        <f t="shared" ca="1" si="112"/>
        <v/>
      </c>
      <c r="L775" s="388" t="str">
        <f t="shared" ca="1" si="113"/>
        <v/>
      </c>
      <c r="M775" s="397" t="str">
        <f ca="1">IFERROR(IF(COUNTIF($B$517:$B774,"&lt;0")=1,"",OFFSET($C773,-COUNTIF($B$517:$B774,"&lt;0")+3,0)),"")</f>
        <v>a17Dm000000KyEhIAK</v>
      </c>
      <c r="N775" s="397">
        <f ca="1">IFERROR(IF(AND(_xlfn.ISFORMULA(I775),NOT(_xlfn.ISFORMULA(I774))),1,OFFSET($F773,-COUNTIF($B$517:B774,"&lt;0")+3,0)),"")</f>
        <v>13</v>
      </c>
      <c r="O775" s="384">
        <f t="shared" si="106"/>
        <v>0</v>
      </c>
      <c r="P775" s="384"/>
      <c r="Q775" s="384"/>
      <c r="R775" s="384"/>
      <c r="S775" s="384"/>
      <c r="T775" s="388"/>
    </row>
    <row r="776" spans="1:20" x14ac:dyDescent="0.3">
      <c r="A776" s="384" t="b">
        <f t="shared" ca="1" si="107"/>
        <v>0</v>
      </c>
      <c r="B776" s="384">
        <f t="shared" ref="B776:B839" si="114">B775+1</f>
        <v>77</v>
      </c>
      <c r="C776" s="400" t="str">
        <f t="shared" ca="1" si="108"/>
        <v>a17Dm000000KyFBIA0</v>
      </c>
      <c r="D776" s="397"/>
      <c r="E776" s="384">
        <f t="shared" ref="E776:E839" si="115">IF(E775="countif",0,IF(E775=W$2,1,E775+1))</f>
        <v>5</v>
      </c>
      <c r="F776" s="398">
        <f ca="1">IF(COUNTA(D$518:D776)=1,"",OFFSET(F774,-COUNTA(D$518:D776)+3,0))</f>
        <v>13</v>
      </c>
      <c r="G776" s="388" t="str">
        <f t="shared" ca="1" si="109"/>
        <v/>
      </c>
      <c r="H776" s="384">
        <f t="shared" ref="H776:H839" si="116">IF(B776=1,9,IF(E775=MAX(E774:E776),H774+2,H775))</f>
        <v>33</v>
      </c>
      <c r="I776" s="386" t="str">
        <f t="shared" ca="1" si="110"/>
        <v/>
      </c>
      <c r="J776" s="389" t="str">
        <f t="shared" ca="1" si="111"/>
        <v/>
      </c>
      <c r="K776" s="389" t="str">
        <f t="shared" ca="1" si="112"/>
        <v/>
      </c>
      <c r="L776" s="388" t="str">
        <f t="shared" ca="1" si="113"/>
        <v/>
      </c>
      <c r="M776" s="397" t="str">
        <f ca="1">IFERROR(IF(COUNTIF($B$517:$B775,"&lt;0")=1,"",OFFSET($C774,-COUNTIF($B$517:$B775,"&lt;0")+3,0)),"")</f>
        <v>a17Dm000000KyFBIA0</v>
      </c>
      <c r="N776" s="397">
        <f ca="1">IFERROR(IF(AND(_xlfn.ISFORMULA(I776),NOT(_xlfn.ISFORMULA(I775))),1,OFFSET($F774,-COUNTIF($B$517:B775,"&lt;0")+3,0)),"")</f>
        <v>13</v>
      </c>
      <c r="O776" s="384">
        <f t="shared" ref="O776:O839" si="117">IF(NOT(_xlfn.ISFORMULA(I776)),O775+1,0)</f>
        <v>0</v>
      </c>
      <c r="P776" s="384"/>
      <c r="Q776" s="384"/>
      <c r="R776" s="384"/>
      <c r="S776" s="384"/>
      <c r="T776" s="388"/>
    </row>
    <row r="777" spans="1:20" x14ac:dyDescent="0.3">
      <c r="A777" s="384" t="b">
        <f t="shared" ca="1" si="107"/>
        <v>0</v>
      </c>
      <c r="B777" s="384">
        <f t="shared" si="114"/>
        <v>78</v>
      </c>
      <c r="C777" s="400" t="str">
        <f t="shared" ca="1" si="108"/>
        <v>a17Dm000000KyFfIAK</v>
      </c>
      <c r="D777" s="397"/>
      <c r="E777" s="384">
        <f t="shared" si="115"/>
        <v>6</v>
      </c>
      <c r="F777" s="398">
        <f ca="1">IF(COUNTA(D$518:D777)=1,"",OFFSET(F775,-COUNTA(D$518:D777)+3,0))</f>
        <v>13</v>
      </c>
      <c r="G777" s="388" t="str">
        <f t="shared" ca="1" si="109"/>
        <v/>
      </c>
      <c r="H777" s="384">
        <f t="shared" si="116"/>
        <v>33</v>
      </c>
      <c r="I777" s="386" t="str">
        <f t="shared" ca="1" si="110"/>
        <v/>
      </c>
      <c r="J777" s="389" t="str">
        <f t="shared" ca="1" si="111"/>
        <v/>
      </c>
      <c r="K777" s="389" t="str">
        <f t="shared" ca="1" si="112"/>
        <v/>
      </c>
      <c r="L777" s="388" t="str">
        <f t="shared" ca="1" si="113"/>
        <v/>
      </c>
      <c r="M777" s="397" t="str">
        <f ca="1">IFERROR(IF(COUNTIF($B$517:$B776,"&lt;0")=1,"",OFFSET($C775,-COUNTIF($B$517:$B776,"&lt;0")+3,0)),"")</f>
        <v>a17Dm000000KyFfIAK</v>
      </c>
      <c r="N777" s="397">
        <f ca="1">IFERROR(IF(AND(_xlfn.ISFORMULA(I777),NOT(_xlfn.ISFORMULA(I776))),1,OFFSET($F775,-COUNTIF($B$517:B776,"&lt;0")+3,0)),"")</f>
        <v>13</v>
      </c>
      <c r="O777" s="384">
        <f t="shared" si="117"/>
        <v>0</v>
      </c>
      <c r="P777" s="384"/>
      <c r="Q777" s="384"/>
      <c r="R777" s="384"/>
      <c r="S777" s="384"/>
      <c r="T777" s="388"/>
    </row>
    <row r="778" spans="1:20" x14ac:dyDescent="0.3">
      <c r="A778" s="384" t="b">
        <f t="shared" ca="1" si="107"/>
        <v>1</v>
      </c>
      <c r="B778" s="384">
        <f t="shared" si="114"/>
        <v>79</v>
      </c>
      <c r="C778" s="400" t="str">
        <f t="shared" ca="1" si="108"/>
        <v>a17Dm000000KyDGIA0</v>
      </c>
      <c r="D778" s="397"/>
      <c r="E778" s="384">
        <f t="shared" si="115"/>
        <v>1</v>
      </c>
      <c r="F778" s="398">
        <f ca="1">IF(COUNTA(D$518:D778)=1,"",OFFSET(F776,-COUNTA(D$518:D778)+3,0))</f>
        <v>14</v>
      </c>
      <c r="G778" s="388" t="str">
        <f t="shared" ca="1" si="109"/>
        <v/>
      </c>
      <c r="H778" s="384">
        <f t="shared" si="116"/>
        <v>35</v>
      </c>
      <c r="I778" s="386">
        <f t="shared" ca="1" si="110"/>
        <v>97</v>
      </c>
      <c r="J778" s="389" t="str">
        <f t="shared" ca="1" si="111"/>
        <v/>
      </c>
      <c r="K778" s="389" t="str">
        <f t="shared" ca="1" si="112"/>
        <v/>
      </c>
      <c r="L778" s="388" t="str">
        <f t="shared" ca="1" si="113"/>
        <v/>
      </c>
      <c r="M778" s="397" t="str">
        <f ca="1">IFERROR(IF(COUNTIF($B$517:$B777,"&lt;0")=1,"",OFFSET($C776,-COUNTIF($B$517:$B777,"&lt;0")+3,0)),"")</f>
        <v>a17Dm000000KyDGIA0</v>
      </c>
      <c r="N778" s="397">
        <f ca="1">IFERROR(IF(AND(_xlfn.ISFORMULA(I778),NOT(_xlfn.ISFORMULA(I777))),1,OFFSET($F776,-COUNTIF($B$517:B777,"&lt;0")+3,0)),"")</f>
        <v>14</v>
      </c>
      <c r="O778" s="384">
        <f t="shared" si="117"/>
        <v>0</v>
      </c>
      <c r="P778" s="384"/>
      <c r="Q778" s="384"/>
      <c r="R778" s="384"/>
      <c r="S778" s="384"/>
      <c r="T778" s="388"/>
    </row>
    <row r="779" spans="1:20" x14ac:dyDescent="0.3">
      <c r="A779" s="384" t="b">
        <f t="shared" ca="1" si="107"/>
        <v>1</v>
      </c>
      <c r="B779" s="384">
        <f t="shared" si="114"/>
        <v>80</v>
      </c>
      <c r="C779" s="400" t="str">
        <f t="shared" ca="1" si="108"/>
        <v>a17Dm000000KyDkIAK</v>
      </c>
      <c r="D779" s="397"/>
      <c r="E779" s="384">
        <f t="shared" si="115"/>
        <v>2</v>
      </c>
      <c r="F779" s="398">
        <f ca="1">IF(COUNTA(D$518:D779)=1,"",OFFSET(F777,-COUNTA(D$518:D779)+3,0))</f>
        <v>14</v>
      </c>
      <c r="G779" s="388" t="str">
        <f t="shared" ca="1" si="109"/>
        <v/>
      </c>
      <c r="H779" s="384">
        <f t="shared" si="116"/>
        <v>35</v>
      </c>
      <c r="I779" s="386">
        <f t="shared" ca="1" si="110"/>
        <v>98</v>
      </c>
      <c r="J779" s="389" t="str">
        <f t="shared" ca="1" si="111"/>
        <v/>
      </c>
      <c r="K779" s="389" t="str">
        <f t="shared" ca="1" si="112"/>
        <v/>
      </c>
      <c r="L779" s="388" t="str">
        <f t="shared" ca="1" si="113"/>
        <v/>
      </c>
      <c r="M779" s="397" t="str">
        <f ca="1">IFERROR(IF(COUNTIF($B$517:$B778,"&lt;0")=1,"",OFFSET($C777,-COUNTIF($B$517:$B778,"&lt;0")+3,0)),"")</f>
        <v>a17Dm000000KyDkIAK</v>
      </c>
      <c r="N779" s="397">
        <f ca="1">IFERROR(IF(AND(_xlfn.ISFORMULA(I779),NOT(_xlfn.ISFORMULA(I778))),1,OFFSET($F777,-COUNTIF($B$517:B778,"&lt;0")+3,0)),"")</f>
        <v>14</v>
      </c>
      <c r="O779" s="384">
        <f t="shared" si="117"/>
        <v>0</v>
      </c>
      <c r="P779" s="384"/>
      <c r="Q779" s="384"/>
      <c r="R779" s="384"/>
      <c r="S779" s="384"/>
      <c r="T779" s="388"/>
    </row>
    <row r="780" spans="1:20" x14ac:dyDescent="0.3">
      <c r="A780" s="384" t="b">
        <f t="shared" ca="1" si="107"/>
        <v>1</v>
      </c>
      <c r="B780" s="384">
        <f t="shared" si="114"/>
        <v>81</v>
      </c>
      <c r="C780" s="400" t="str">
        <f t="shared" ca="1" si="108"/>
        <v>a17Dm000000KyEEIA0</v>
      </c>
      <c r="D780" s="397"/>
      <c r="E780" s="384">
        <f t="shared" si="115"/>
        <v>3</v>
      </c>
      <c r="F780" s="398">
        <f ca="1">IF(COUNTA(D$518:D780)=1,"",OFFSET(F778,-COUNTA(D$518:D780)+3,0))</f>
        <v>14</v>
      </c>
      <c r="G780" s="388" t="str">
        <f t="shared" ca="1" si="109"/>
        <v/>
      </c>
      <c r="H780" s="384">
        <f t="shared" si="116"/>
        <v>35</v>
      </c>
      <c r="I780" s="386">
        <f t="shared" ca="1" si="110"/>
        <v>99</v>
      </c>
      <c r="J780" s="389" t="str">
        <f t="shared" ca="1" si="111"/>
        <v/>
      </c>
      <c r="K780" s="389" t="str">
        <f t="shared" ca="1" si="112"/>
        <v/>
      </c>
      <c r="L780" s="388" t="str">
        <f t="shared" ca="1" si="113"/>
        <v/>
      </c>
      <c r="M780" s="397" t="str">
        <f ca="1">IFERROR(IF(COUNTIF($B$517:$B779,"&lt;0")=1,"",OFFSET($C778,-COUNTIF($B$517:$B779,"&lt;0")+3,0)),"")</f>
        <v>a17Dm000000KyEEIA0</v>
      </c>
      <c r="N780" s="397">
        <f ca="1">IFERROR(IF(AND(_xlfn.ISFORMULA(I780),NOT(_xlfn.ISFORMULA(I779))),1,OFFSET($F778,-COUNTIF($B$517:B779,"&lt;0")+3,0)),"")</f>
        <v>14</v>
      </c>
      <c r="O780" s="384">
        <f t="shared" si="117"/>
        <v>0</v>
      </c>
      <c r="P780" s="384"/>
      <c r="Q780" s="384"/>
      <c r="R780" s="384"/>
      <c r="S780" s="384"/>
      <c r="T780" s="388"/>
    </row>
    <row r="781" spans="1:20" x14ac:dyDescent="0.3">
      <c r="A781" s="384" t="b">
        <f t="shared" ca="1" si="107"/>
        <v>0</v>
      </c>
      <c r="B781" s="384">
        <f t="shared" si="114"/>
        <v>82</v>
      </c>
      <c r="C781" s="400" t="str">
        <f t="shared" ca="1" si="108"/>
        <v>a17Dm000000KyEiIAK</v>
      </c>
      <c r="D781" s="397"/>
      <c r="E781" s="384">
        <f t="shared" si="115"/>
        <v>4</v>
      </c>
      <c r="F781" s="398">
        <f ca="1">IF(COUNTA(D$518:D781)=1,"",OFFSET(F779,-COUNTA(D$518:D781)+3,0))</f>
        <v>14</v>
      </c>
      <c r="G781" s="388" t="str">
        <f t="shared" ca="1" si="109"/>
        <v/>
      </c>
      <c r="H781" s="384">
        <f t="shared" si="116"/>
        <v>35</v>
      </c>
      <c r="I781" s="386" t="str">
        <f t="shared" ca="1" si="110"/>
        <v/>
      </c>
      <c r="J781" s="389" t="str">
        <f t="shared" ca="1" si="111"/>
        <v/>
      </c>
      <c r="K781" s="389" t="str">
        <f t="shared" ca="1" si="112"/>
        <v/>
      </c>
      <c r="L781" s="388" t="str">
        <f t="shared" ca="1" si="113"/>
        <v/>
      </c>
      <c r="M781" s="397" t="str">
        <f ca="1">IFERROR(IF(COUNTIF($B$517:$B780,"&lt;0")=1,"",OFFSET($C779,-COUNTIF($B$517:$B780,"&lt;0")+3,0)),"")</f>
        <v>a17Dm000000KyEiIAK</v>
      </c>
      <c r="N781" s="397">
        <f ca="1">IFERROR(IF(AND(_xlfn.ISFORMULA(I781),NOT(_xlfn.ISFORMULA(I780))),1,OFFSET($F779,-COUNTIF($B$517:B780,"&lt;0")+3,0)),"")</f>
        <v>14</v>
      </c>
      <c r="O781" s="384">
        <f t="shared" si="117"/>
        <v>0</v>
      </c>
      <c r="P781" s="384"/>
      <c r="Q781" s="384"/>
      <c r="R781" s="384"/>
      <c r="S781" s="384"/>
      <c r="T781" s="388"/>
    </row>
    <row r="782" spans="1:20" x14ac:dyDescent="0.3">
      <c r="A782" s="384" t="b">
        <f t="shared" ca="1" si="107"/>
        <v>0</v>
      </c>
      <c r="B782" s="384">
        <f t="shared" si="114"/>
        <v>83</v>
      </c>
      <c r="C782" s="400" t="str">
        <f t="shared" ca="1" si="108"/>
        <v>a17Dm000000KyFCIA0</v>
      </c>
      <c r="D782" s="397"/>
      <c r="E782" s="384">
        <f t="shared" si="115"/>
        <v>5</v>
      </c>
      <c r="F782" s="398">
        <f ca="1">IF(COUNTA(D$518:D782)=1,"",OFFSET(F780,-COUNTA(D$518:D782)+3,0))</f>
        <v>14</v>
      </c>
      <c r="G782" s="388" t="str">
        <f t="shared" ca="1" si="109"/>
        <v/>
      </c>
      <c r="H782" s="384">
        <f t="shared" si="116"/>
        <v>35</v>
      </c>
      <c r="I782" s="386" t="str">
        <f t="shared" ca="1" si="110"/>
        <v/>
      </c>
      <c r="J782" s="389" t="str">
        <f t="shared" ca="1" si="111"/>
        <v/>
      </c>
      <c r="K782" s="389" t="str">
        <f t="shared" ca="1" si="112"/>
        <v/>
      </c>
      <c r="L782" s="388" t="str">
        <f t="shared" ca="1" si="113"/>
        <v/>
      </c>
      <c r="M782" s="397" t="str">
        <f ca="1">IFERROR(IF(COUNTIF($B$517:$B781,"&lt;0")=1,"",OFFSET($C780,-COUNTIF($B$517:$B781,"&lt;0")+3,0)),"")</f>
        <v>a17Dm000000KyFCIA0</v>
      </c>
      <c r="N782" s="397">
        <f ca="1">IFERROR(IF(AND(_xlfn.ISFORMULA(I782),NOT(_xlfn.ISFORMULA(I781))),1,OFFSET($F780,-COUNTIF($B$517:B781,"&lt;0")+3,0)),"")</f>
        <v>14</v>
      </c>
      <c r="O782" s="384">
        <f t="shared" si="117"/>
        <v>0</v>
      </c>
      <c r="P782" s="384"/>
      <c r="Q782" s="384"/>
      <c r="R782" s="384"/>
      <c r="S782" s="384"/>
      <c r="T782" s="388"/>
    </row>
    <row r="783" spans="1:20" x14ac:dyDescent="0.3">
      <c r="A783" s="384" t="b">
        <f t="shared" ca="1" si="107"/>
        <v>0</v>
      </c>
      <c r="B783" s="384">
        <f t="shared" si="114"/>
        <v>84</v>
      </c>
      <c r="C783" s="400" t="str">
        <f t="shared" ca="1" si="108"/>
        <v>a17Dm000000KyFgIAK</v>
      </c>
      <c r="D783" s="397"/>
      <c r="E783" s="384">
        <f t="shared" si="115"/>
        <v>6</v>
      </c>
      <c r="F783" s="398">
        <f ca="1">IF(COUNTA(D$518:D783)=1,"",OFFSET(F781,-COUNTA(D$518:D783)+3,0))</f>
        <v>14</v>
      </c>
      <c r="G783" s="388" t="str">
        <f t="shared" ca="1" si="109"/>
        <v/>
      </c>
      <c r="H783" s="384">
        <f t="shared" si="116"/>
        <v>35</v>
      </c>
      <c r="I783" s="386" t="str">
        <f t="shared" ca="1" si="110"/>
        <v/>
      </c>
      <c r="J783" s="389" t="str">
        <f t="shared" ca="1" si="111"/>
        <v/>
      </c>
      <c r="K783" s="389" t="str">
        <f t="shared" ca="1" si="112"/>
        <v/>
      </c>
      <c r="L783" s="388" t="str">
        <f t="shared" ca="1" si="113"/>
        <v/>
      </c>
      <c r="M783" s="397" t="str">
        <f ca="1">IFERROR(IF(COUNTIF($B$517:$B782,"&lt;0")=1,"",OFFSET($C781,-COUNTIF($B$517:$B782,"&lt;0")+3,0)),"")</f>
        <v>a17Dm000000KyFgIAK</v>
      </c>
      <c r="N783" s="397">
        <f ca="1">IFERROR(IF(AND(_xlfn.ISFORMULA(I783),NOT(_xlfn.ISFORMULA(I782))),1,OFFSET($F781,-COUNTIF($B$517:B782,"&lt;0")+3,0)),"")</f>
        <v>14</v>
      </c>
      <c r="O783" s="384">
        <f t="shared" si="117"/>
        <v>0</v>
      </c>
      <c r="P783" s="384"/>
      <c r="Q783" s="384"/>
      <c r="R783" s="384"/>
      <c r="S783" s="384"/>
      <c r="T783" s="388"/>
    </row>
    <row r="784" spans="1:20" x14ac:dyDescent="0.3">
      <c r="A784" s="384" t="b">
        <f t="shared" ca="1" si="107"/>
        <v>1</v>
      </c>
      <c r="B784" s="384">
        <f t="shared" si="114"/>
        <v>85</v>
      </c>
      <c r="C784" s="400" t="str">
        <f t="shared" ca="1" si="108"/>
        <v>a17Dm000000KyDHIA0</v>
      </c>
      <c r="D784" s="397"/>
      <c r="E784" s="384">
        <f t="shared" si="115"/>
        <v>1</v>
      </c>
      <c r="F784" s="398">
        <f ca="1">IF(COUNTA(D$518:D784)=1,"",OFFSET(F782,-COUNTA(D$518:D784)+3,0))</f>
        <v>15</v>
      </c>
      <c r="G784" s="388" t="str">
        <f t="shared" ca="1" si="109"/>
        <v/>
      </c>
      <c r="H784" s="384">
        <f t="shared" si="116"/>
        <v>37</v>
      </c>
      <c r="I784" s="386">
        <f t="shared" ca="1" si="110"/>
        <v>4.8484848484848486</v>
      </c>
      <c r="J784" s="389">
        <f t="shared" ca="1" si="111"/>
        <v>16500</v>
      </c>
      <c r="K784" s="389">
        <f t="shared" ca="1" si="112"/>
        <v>800</v>
      </c>
      <c r="L784" s="388" t="str">
        <f t="shared" ca="1" si="113"/>
        <v/>
      </c>
      <c r="M784" s="397" t="str">
        <f ca="1">IFERROR(IF(COUNTIF($B$517:$B783,"&lt;0")=1,"",OFFSET($C782,-COUNTIF($B$517:$B783,"&lt;0")+3,0)),"")</f>
        <v>a17Dm000000KyDHIA0</v>
      </c>
      <c r="N784" s="397">
        <f ca="1">IFERROR(IF(AND(_xlfn.ISFORMULA(I784),NOT(_xlfn.ISFORMULA(I783))),1,OFFSET($F782,-COUNTIF($B$517:B783,"&lt;0")+3,0)),"")</f>
        <v>15</v>
      </c>
      <c r="O784" s="384">
        <f t="shared" si="117"/>
        <v>0</v>
      </c>
      <c r="P784" s="384"/>
      <c r="Q784" s="384"/>
      <c r="R784" s="384"/>
      <c r="S784" s="384"/>
      <c r="T784" s="388"/>
    </row>
    <row r="785" spans="1:20" x14ac:dyDescent="0.3">
      <c r="A785" s="384" t="b">
        <f t="shared" ca="1" si="107"/>
        <v>1</v>
      </c>
      <c r="B785" s="384">
        <f t="shared" si="114"/>
        <v>86</v>
      </c>
      <c r="C785" s="400" t="str">
        <f t="shared" ca="1" si="108"/>
        <v>a17Dm000000KyDlIAK</v>
      </c>
      <c r="D785" s="397"/>
      <c r="E785" s="384">
        <f t="shared" si="115"/>
        <v>2</v>
      </c>
      <c r="F785" s="398">
        <f ca="1">IF(COUNTA(D$518:D785)=1,"",OFFSET(F783,-COUNTA(D$518:D785)+3,0))</f>
        <v>15</v>
      </c>
      <c r="G785" s="388" t="str">
        <f t="shared" ca="1" si="109"/>
        <v/>
      </c>
      <c r="H785" s="384">
        <f t="shared" si="116"/>
        <v>37</v>
      </c>
      <c r="I785" s="386">
        <f t="shared" ca="1" si="110"/>
        <v>5</v>
      </c>
      <c r="J785" s="389">
        <f t="shared" ca="1" si="111"/>
        <v>16500</v>
      </c>
      <c r="K785" s="389">
        <f t="shared" ca="1" si="112"/>
        <v>825</v>
      </c>
      <c r="L785" s="388" t="str">
        <f t="shared" ca="1" si="113"/>
        <v/>
      </c>
      <c r="M785" s="397" t="str">
        <f ca="1">IFERROR(IF(COUNTIF($B$517:$B784,"&lt;0")=1,"",OFFSET($C783,-COUNTIF($B$517:$B784,"&lt;0")+3,0)),"")</f>
        <v>a17Dm000000KyDlIAK</v>
      </c>
      <c r="N785" s="397">
        <f ca="1">IFERROR(IF(AND(_xlfn.ISFORMULA(I785),NOT(_xlfn.ISFORMULA(I784))),1,OFFSET($F783,-COUNTIF($B$517:B784,"&lt;0")+3,0)),"")</f>
        <v>15</v>
      </c>
      <c r="O785" s="384">
        <f t="shared" si="117"/>
        <v>0</v>
      </c>
      <c r="P785" s="384"/>
      <c r="Q785" s="384"/>
      <c r="R785" s="384"/>
      <c r="S785" s="384"/>
      <c r="T785" s="388"/>
    </row>
    <row r="786" spans="1:20" x14ac:dyDescent="0.3">
      <c r="A786" s="384" t="b">
        <f t="shared" ca="1" si="107"/>
        <v>1</v>
      </c>
      <c r="B786" s="384">
        <f t="shared" si="114"/>
        <v>87</v>
      </c>
      <c r="C786" s="400" t="str">
        <f t="shared" ca="1" si="108"/>
        <v>a17Dm000000KyEFIA0</v>
      </c>
      <c r="D786" s="397"/>
      <c r="E786" s="384">
        <f t="shared" si="115"/>
        <v>3</v>
      </c>
      <c r="F786" s="398">
        <f ca="1">IF(COUNTA(D$518:D786)=1,"",OFFSET(F784,-COUNTA(D$518:D786)+3,0))</f>
        <v>15</v>
      </c>
      <c r="G786" s="388" t="str">
        <f t="shared" ca="1" si="109"/>
        <v/>
      </c>
      <c r="H786" s="384">
        <f t="shared" si="116"/>
        <v>37</v>
      </c>
      <c r="I786" s="386">
        <f t="shared" ca="1" si="110"/>
        <v>5.1515151515151514</v>
      </c>
      <c r="J786" s="389">
        <f t="shared" ca="1" si="111"/>
        <v>16500</v>
      </c>
      <c r="K786" s="389">
        <f t="shared" ca="1" si="112"/>
        <v>850</v>
      </c>
      <c r="L786" s="388" t="str">
        <f t="shared" ca="1" si="113"/>
        <v/>
      </c>
      <c r="M786" s="397" t="str">
        <f ca="1">IFERROR(IF(COUNTIF($B$517:$B785,"&lt;0")=1,"",OFFSET($C784,-COUNTIF($B$517:$B785,"&lt;0")+3,0)),"")</f>
        <v>a17Dm000000KyEFIA0</v>
      </c>
      <c r="N786" s="397">
        <f ca="1">IFERROR(IF(AND(_xlfn.ISFORMULA(I786),NOT(_xlfn.ISFORMULA(I785))),1,OFFSET($F784,-COUNTIF($B$517:B785,"&lt;0")+3,0)),"")</f>
        <v>15</v>
      </c>
      <c r="O786" s="384">
        <f t="shared" si="117"/>
        <v>0</v>
      </c>
      <c r="P786" s="384"/>
      <c r="Q786" s="384"/>
      <c r="R786" s="384"/>
      <c r="S786" s="384"/>
      <c r="T786" s="388"/>
    </row>
    <row r="787" spans="1:20" x14ac:dyDescent="0.3">
      <c r="A787" s="384" t="b">
        <f t="shared" ca="1" si="107"/>
        <v>0</v>
      </c>
      <c r="B787" s="384">
        <f t="shared" si="114"/>
        <v>88</v>
      </c>
      <c r="C787" s="400" t="str">
        <f t="shared" ca="1" si="108"/>
        <v>a17Dm000000KyEjIAK</v>
      </c>
      <c r="D787" s="397"/>
      <c r="E787" s="384">
        <f t="shared" si="115"/>
        <v>4</v>
      </c>
      <c r="F787" s="398">
        <f ca="1">IF(COUNTA(D$518:D787)=1,"",OFFSET(F785,-COUNTA(D$518:D787)+3,0))</f>
        <v>15</v>
      </c>
      <c r="G787" s="388" t="str">
        <f t="shared" ca="1" si="109"/>
        <v/>
      </c>
      <c r="H787" s="384">
        <f t="shared" si="116"/>
        <v>37</v>
      </c>
      <c r="I787" s="386" t="str">
        <f t="shared" ca="1" si="110"/>
        <v/>
      </c>
      <c r="J787" s="389" t="str">
        <f t="shared" ca="1" si="111"/>
        <v/>
      </c>
      <c r="K787" s="389" t="str">
        <f t="shared" ca="1" si="112"/>
        <v/>
      </c>
      <c r="L787" s="388" t="str">
        <f t="shared" ca="1" si="113"/>
        <v/>
      </c>
      <c r="M787" s="397" t="str">
        <f ca="1">IFERROR(IF(COUNTIF($B$517:$B786,"&lt;0")=1,"",OFFSET($C785,-COUNTIF($B$517:$B786,"&lt;0")+3,0)),"")</f>
        <v>a17Dm000000KyEjIAK</v>
      </c>
      <c r="N787" s="397">
        <f ca="1">IFERROR(IF(AND(_xlfn.ISFORMULA(I787),NOT(_xlfn.ISFORMULA(I786))),1,OFFSET($F785,-COUNTIF($B$517:B786,"&lt;0")+3,0)),"")</f>
        <v>15</v>
      </c>
      <c r="O787" s="384">
        <f t="shared" si="117"/>
        <v>0</v>
      </c>
      <c r="P787" s="384"/>
      <c r="Q787" s="384"/>
      <c r="R787" s="384"/>
      <c r="S787" s="384"/>
      <c r="T787" s="388"/>
    </row>
    <row r="788" spans="1:20" x14ac:dyDescent="0.3">
      <c r="A788" s="384" t="b">
        <f t="shared" ca="1" si="107"/>
        <v>0</v>
      </c>
      <c r="B788" s="384">
        <f t="shared" si="114"/>
        <v>89</v>
      </c>
      <c r="C788" s="400" t="str">
        <f t="shared" ca="1" si="108"/>
        <v>a17Dm000000KyFDIA0</v>
      </c>
      <c r="D788" s="397"/>
      <c r="E788" s="384">
        <f t="shared" si="115"/>
        <v>5</v>
      </c>
      <c r="F788" s="398">
        <f ca="1">IF(COUNTA(D$518:D788)=1,"",OFFSET(F786,-COUNTA(D$518:D788)+3,0))</f>
        <v>15</v>
      </c>
      <c r="G788" s="388" t="str">
        <f t="shared" ca="1" si="109"/>
        <v/>
      </c>
      <c r="H788" s="384">
        <f t="shared" si="116"/>
        <v>37</v>
      </c>
      <c r="I788" s="386" t="str">
        <f t="shared" ca="1" si="110"/>
        <v/>
      </c>
      <c r="J788" s="389" t="str">
        <f t="shared" ca="1" si="111"/>
        <v/>
      </c>
      <c r="K788" s="389" t="str">
        <f t="shared" ca="1" si="112"/>
        <v/>
      </c>
      <c r="L788" s="388" t="str">
        <f t="shared" ca="1" si="113"/>
        <v/>
      </c>
      <c r="M788" s="397" t="str">
        <f ca="1">IFERROR(IF(COUNTIF($B$517:$B787,"&lt;0")=1,"",OFFSET($C786,-COUNTIF($B$517:$B787,"&lt;0")+3,0)),"")</f>
        <v>a17Dm000000KyFDIA0</v>
      </c>
      <c r="N788" s="397">
        <f ca="1">IFERROR(IF(AND(_xlfn.ISFORMULA(I788),NOT(_xlfn.ISFORMULA(I787))),1,OFFSET($F786,-COUNTIF($B$517:B787,"&lt;0")+3,0)),"")</f>
        <v>15</v>
      </c>
      <c r="O788" s="384">
        <f t="shared" si="117"/>
        <v>0</v>
      </c>
      <c r="P788" s="384"/>
      <c r="Q788" s="384"/>
      <c r="R788" s="384"/>
      <c r="S788" s="384"/>
      <c r="T788" s="388"/>
    </row>
    <row r="789" spans="1:20" x14ac:dyDescent="0.3">
      <c r="A789" s="384" t="b">
        <f t="shared" ca="1" si="107"/>
        <v>0</v>
      </c>
      <c r="B789" s="384">
        <f t="shared" si="114"/>
        <v>90</v>
      </c>
      <c r="C789" s="400" t="str">
        <f t="shared" ca="1" si="108"/>
        <v>a17Dm000000KyFhIAK</v>
      </c>
      <c r="D789" s="397"/>
      <c r="E789" s="384">
        <f t="shared" si="115"/>
        <v>6</v>
      </c>
      <c r="F789" s="398">
        <f ca="1">IF(COUNTA(D$518:D789)=1,"",OFFSET(F787,-COUNTA(D$518:D789)+3,0))</f>
        <v>15</v>
      </c>
      <c r="G789" s="388" t="str">
        <f t="shared" ca="1" si="109"/>
        <v/>
      </c>
      <c r="H789" s="384">
        <f t="shared" si="116"/>
        <v>37</v>
      </c>
      <c r="I789" s="386" t="str">
        <f t="shared" ca="1" si="110"/>
        <v/>
      </c>
      <c r="J789" s="389" t="str">
        <f t="shared" ca="1" si="111"/>
        <v/>
      </c>
      <c r="K789" s="389" t="str">
        <f t="shared" ca="1" si="112"/>
        <v/>
      </c>
      <c r="L789" s="388" t="str">
        <f t="shared" ca="1" si="113"/>
        <v/>
      </c>
      <c r="M789" s="397" t="str">
        <f ca="1">IFERROR(IF(COUNTIF($B$517:$B788,"&lt;0")=1,"",OFFSET($C787,-COUNTIF($B$517:$B788,"&lt;0")+3,0)),"")</f>
        <v>a17Dm000000KyFhIAK</v>
      </c>
      <c r="N789" s="397">
        <f ca="1">IFERROR(IF(AND(_xlfn.ISFORMULA(I789),NOT(_xlfn.ISFORMULA(I788))),1,OFFSET($F787,-COUNTIF($B$517:B788,"&lt;0")+3,0)),"")</f>
        <v>15</v>
      </c>
      <c r="O789" s="384">
        <f t="shared" si="117"/>
        <v>0</v>
      </c>
      <c r="P789" s="384"/>
      <c r="Q789" s="384"/>
      <c r="R789" s="384"/>
      <c r="S789" s="384"/>
      <c r="T789" s="388"/>
    </row>
    <row r="790" spans="1:20" x14ac:dyDescent="0.3">
      <c r="A790" s="384" t="b">
        <f t="shared" ca="1" si="107"/>
        <v>1</v>
      </c>
      <c r="B790" s="384">
        <f t="shared" si="114"/>
        <v>91</v>
      </c>
      <c r="C790" s="400" t="str">
        <f t="shared" ca="1" si="108"/>
        <v>a17Dm000000KyDIIA0</v>
      </c>
      <c r="D790" s="397"/>
      <c r="E790" s="384">
        <f t="shared" si="115"/>
        <v>1</v>
      </c>
      <c r="F790" s="398">
        <f ca="1">IF(COUNTA(D$518:D790)=1,"",OFFSET(F788,-COUNTA(D$518:D790)+3,0))</f>
        <v>16</v>
      </c>
      <c r="G790" s="388" t="str">
        <f t="shared" ca="1" si="109"/>
        <v/>
      </c>
      <c r="H790" s="384">
        <f t="shared" si="116"/>
        <v>39</v>
      </c>
      <c r="I790" s="386">
        <f t="shared" ca="1" si="110"/>
        <v>95</v>
      </c>
      <c r="J790" s="389" t="str">
        <f t="shared" ca="1" si="111"/>
        <v/>
      </c>
      <c r="K790" s="389" t="str">
        <f t="shared" ca="1" si="112"/>
        <v/>
      </c>
      <c r="L790" s="388" t="str">
        <f t="shared" ca="1" si="113"/>
        <v/>
      </c>
      <c r="M790" s="397" t="str">
        <f ca="1">IFERROR(IF(COUNTIF($B$517:$B789,"&lt;0")=1,"",OFFSET($C788,-COUNTIF($B$517:$B789,"&lt;0")+3,0)),"")</f>
        <v>a17Dm000000KyDIIA0</v>
      </c>
      <c r="N790" s="397">
        <f ca="1">IFERROR(IF(AND(_xlfn.ISFORMULA(I790),NOT(_xlfn.ISFORMULA(I789))),1,OFFSET($F788,-COUNTIF($B$517:B789,"&lt;0")+3,0)),"")</f>
        <v>16</v>
      </c>
      <c r="O790" s="384">
        <f t="shared" si="117"/>
        <v>0</v>
      </c>
      <c r="P790" s="384"/>
      <c r="Q790" s="384"/>
      <c r="R790" s="384"/>
      <c r="S790" s="384"/>
      <c r="T790" s="388"/>
    </row>
    <row r="791" spans="1:20" x14ac:dyDescent="0.3">
      <c r="A791" s="384" t="b">
        <f t="shared" ca="1" si="107"/>
        <v>1</v>
      </c>
      <c r="B791" s="384">
        <f t="shared" si="114"/>
        <v>92</v>
      </c>
      <c r="C791" s="400" t="str">
        <f t="shared" ca="1" si="108"/>
        <v>a17Dm000000KyDmIAK</v>
      </c>
      <c r="D791" s="397"/>
      <c r="E791" s="384">
        <f t="shared" si="115"/>
        <v>2</v>
      </c>
      <c r="F791" s="398">
        <f ca="1">IF(COUNTA(D$518:D791)=1,"",OFFSET(F789,-COUNTA(D$518:D791)+3,0))</f>
        <v>16</v>
      </c>
      <c r="G791" s="388" t="str">
        <f t="shared" ca="1" si="109"/>
        <v/>
      </c>
      <c r="H791" s="384">
        <f t="shared" si="116"/>
        <v>39</v>
      </c>
      <c r="I791" s="386">
        <f t="shared" ca="1" si="110"/>
        <v>95</v>
      </c>
      <c r="J791" s="389" t="str">
        <f t="shared" ca="1" si="111"/>
        <v/>
      </c>
      <c r="K791" s="389" t="str">
        <f t="shared" ca="1" si="112"/>
        <v/>
      </c>
      <c r="L791" s="388" t="str">
        <f t="shared" ca="1" si="113"/>
        <v/>
      </c>
      <c r="M791" s="397" t="str">
        <f ca="1">IFERROR(IF(COUNTIF($B$517:$B790,"&lt;0")=1,"",OFFSET($C789,-COUNTIF($B$517:$B790,"&lt;0")+3,0)),"")</f>
        <v>a17Dm000000KyDmIAK</v>
      </c>
      <c r="N791" s="397">
        <f ca="1">IFERROR(IF(AND(_xlfn.ISFORMULA(I791),NOT(_xlfn.ISFORMULA(I790))),1,OFFSET($F789,-COUNTIF($B$517:B790,"&lt;0")+3,0)),"")</f>
        <v>16</v>
      </c>
      <c r="O791" s="384">
        <f t="shared" si="117"/>
        <v>0</v>
      </c>
      <c r="P791" s="384"/>
      <c r="Q791" s="384"/>
      <c r="R791" s="384"/>
      <c r="S791" s="384"/>
      <c r="T791" s="388"/>
    </row>
    <row r="792" spans="1:20" x14ac:dyDescent="0.3">
      <c r="A792" s="384" t="b">
        <f t="shared" ca="1" si="107"/>
        <v>1</v>
      </c>
      <c r="B792" s="384">
        <f t="shared" si="114"/>
        <v>93</v>
      </c>
      <c r="C792" s="400" t="str">
        <f t="shared" ca="1" si="108"/>
        <v>a17Dm000000KyEGIA0</v>
      </c>
      <c r="D792" s="397"/>
      <c r="E792" s="384">
        <f t="shared" si="115"/>
        <v>3</v>
      </c>
      <c r="F792" s="398">
        <f ca="1">IF(COUNTA(D$518:D792)=1,"",OFFSET(F790,-COUNTA(D$518:D792)+3,0))</f>
        <v>16</v>
      </c>
      <c r="G792" s="388" t="str">
        <f t="shared" ca="1" si="109"/>
        <v/>
      </c>
      <c r="H792" s="384">
        <f t="shared" si="116"/>
        <v>39</v>
      </c>
      <c r="I792" s="386">
        <f t="shared" ca="1" si="110"/>
        <v>95</v>
      </c>
      <c r="J792" s="389" t="str">
        <f t="shared" ca="1" si="111"/>
        <v/>
      </c>
      <c r="K792" s="389" t="str">
        <f t="shared" ca="1" si="112"/>
        <v/>
      </c>
      <c r="L792" s="388" t="str">
        <f t="shared" ca="1" si="113"/>
        <v/>
      </c>
      <c r="M792" s="397" t="str">
        <f ca="1">IFERROR(IF(COUNTIF($B$517:$B791,"&lt;0")=1,"",OFFSET($C790,-COUNTIF($B$517:$B791,"&lt;0")+3,0)),"")</f>
        <v>a17Dm000000KyEGIA0</v>
      </c>
      <c r="N792" s="397">
        <f ca="1">IFERROR(IF(AND(_xlfn.ISFORMULA(I792),NOT(_xlfn.ISFORMULA(I791))),1,OFFSET($F790,-COUNTIF($B$517:B791,"&lt;0")+3,0)),"")</f>
        <v>16</v>
      </c>
      <c r="O792" s="384">
        <f t="shared" si="117"/>
        <v>0</v>
      </c>
      <c r="P792" s="384"/>
      <c r="Q792" s="384"/>
      <c r="R792" s="384"/>
      <c r="S792" s="384"/>
      <c r="T792" s="388"/>
    </row>
    <row r="793" spans="1:20" x14ac:dyDescent="0.3">
      <c r="A793" s="384" t="b">
        <f t="shared" ca="1" si="107"/>
        <v>0</v>
      </c>
      <c r="B793" s="384">
        <f t="shared" si="114"/>
        <v>94</v>
      </c>
      <c r="C793" s="400" t="str">
        <f t="shared" ca="1" si="108"/>
        <v>a17Dm000000KyEkIAK</v>
      </c>
      <c r="D793" s="397"/>
      <c r="E793" s="384">
        <f t="shared" si="115"/>
        <v>4</v>
      </c>
      <c r="F793" s="398">
        <f ca="1">IF(COUNTA(D$518:D793)=1,"",OFFSET(F791,-COUNTA(D$518:D793)+3,0))</f>
        <v>16</v>
      </c>
      <c r="G793" s="388" t="str">
        <f t="shared" ca="1" si="109"/>
        <v/>
      </c>
      <c r="H793" s="384">
        <f t="shared" si="116"/>
        <v>39</v>
      </c>
      <c r="I793" s="386" t="str">
        <f t="shared" ca="1" si="110"/>
        <v/>
      </c>
      <c r="J793" s="389" t="str">
        <f t="shared" ca="1" si="111"/>
        <v/>
      </c>
      <c r="K793" s="389" t="str">
        <f t="shared" ca="1" si="112"/>
        <v/>
      </c>
      <c r="L793" s="388" t="str">
        <f t="shared" ca="1" si="113"/>
        <v/>
      </c>
      <c r="M793" s="397" t="str">
        <f ca="1">IFERROR(IF(COUNTIF($B$517:$B792,"&lt;0")=1,"",OFFSET($C791,-COUNTIF($B$517:$B792,"&lt;0")+3,0)),"")</f>
        <v>a17Dm000000KyEkIAK</v>
      </c>
      <c r="N793" s="397">
        <f ca="1">IFERROR(IF(AND(_xlfn.ISFORMULA(I793),NOT(_xlfn.ISFORMULA(I792))),1,OFFSET($F791,-COUNTIF($B$517:B792,"&lt;0")+3,0)),"")</f>
        <v>16</v>
      </c>
      <c r="O793" s="384">
        <f t="shared" si="117"/>
        <v>0</v>
      </c>
      <c r="P793" s="384"/>
      <c r="Q793" s="384"/>
      <c r="R793" s="384"/>
      <c r="S793" s="384"/>
      <c r="T793" s="388"/>
    </row>
    <row r="794" spans="1:20" x14ac:dyDescent="0.3">
      <c r="A794" s="384" t="b">
        <f t="shared" ca="1" si="107"/>
        <v>0</v>
      </c>
      <c r="B794" s="384">
        <f t="shared" si="114"/>
        <v>95</v>
      </c>
      <c r="C794" s="400" t="str">
        <f t="shared" ca="1" si="108"/>
        <v>a17Dm000000KyFEIA0</v>
      </c>
      <c r="D794" s="397"/>
      <c r="E794" s="384">
        <f t="shared" si="115"/>
        <v>5</v>
      </c>
      <c r="F794" s="398">
        <f ca="1">IF(COUNTA(D$518:D794)=1,"",OFFSET(F792,-COUNTA(D$518:D794)+3,0))</f>
        <v>16</v>
      </c>
      <c r="G794" s="388" t="str">
        <f t="shared" ca="1" si="109"/>
        <v/>
      </c>
      <c r="H794" s="384">
        <f t="shared" si="116"/>
        <v>39</v>
      </c>
      <c r="I794" s="386" t="str">
        <f t="shared" ca="1" si="110"/>
        <v/>
      </c>
      <c r="J794" s="389" t="str">
        <f t="shared" ca="1" si="111"/>
        <v/>
      </c>
      <c r="K794" s="389" t="str">
        <f t="shared" ca="1" si="112"/>
        <v/>
      </c>
      <c r="L794" s="388" t="str">
        <f t="shared" ca="1" si="113"/>
        <v/>
      </c>
      <c r="M794" s="397" t="str">
        <f ca="1">IFERROR(IF(COUNTIF($B$517:$B793,"&lt;0")=1,"",OFFSET($C792,-COUNTIF($B$517:$B793,"&lt;0")+3,0)),"")</f>
        <v>a17Dm000000KyFEIA0</v>
      </c>
      <c r="N794" s="397">
        <f ca="1">IFERROR(IF(AND(_xlfn.ISFORMULA(I794),NOT(_xlfn.ISFORMULA(I793))),1,OFFSET($F792,-COUNTIF($B$517:B793,"&lt;0")+3,0)),"")</f>
        <v>16</v>
      </c>
      <c r="O794" s="384">
        <f t="shared" si="117"/>
        <v>0</v>
      </c>
      <c r="P794" s="384"/>
      <c r="Q794" s="384"/>
      <c r="R794" s="384"/>
      <c r="S794" s="384"/>
      <c r="T794" s="388"/>
    </row>
    <row r="795" spans="1:20" x14ac:dyDescent="0.3">
      <c r="A795" s="384" t="b">
        <f t="shared" ca="1" si="107"/>
        <v>0</v>
      </c>
      <c r="B795" s="384">
        <f t="shared" si="114"/>
        <v>96</v>
      </c>
      <c r="C795" s="400" t="str">
        <f t="shared" ca="1" si="108"/>
        <v>a17Dm000000KyFiIAK</v>
      </c>
      <c r="D795" s="397"/>
      <c r="E795" s="384">
        <f t="shared" si="115"/>
        <v>6</v>
      </c>
      <c r="F795" s="398">
        <f ca="1">IF(COUNTA(D$518:D795)=1,"",OFFSET(F793,-COUNTA(D$518:D795)+3,0))</f>
        <v>16</v>
      </c>
      <c r="G795" s="388" t="str">
        <f t="shared" ca="1" si="109"/>
        <v/>
      </c>
      <c r="H795" s="384">
        <f t="shared" si="116"/>
        <v>39</v>
      </c>
      <c r="I795" s="386" t="str">
        <f t="shared" ca="1" si="110"/>
        <v/>
      </c>
      <c r="J795" s="389" t="str">
        <f t="shared" ca="1" si="111"/>
        <v/>
      </c>
      <c r="K795" s="389" t="str">
        <f t="shared" ca="1" si="112"/>
        <v/>
      </c>
      <c r="L795" s="388" t="str">
        <f t="shared" ca="1" si="113"/>
        <v/>
      </c>
      <c r="M795" s="397" t="str">
        <f ca="1">IFERROR(IF(COUNTIF($B$517:$B794,"&lt;0")=1,"",OFFSET($C793,-COUNTIF($B$517:$B794,"&lt;0")+3,0)),"")</f>
        <v>a17Dm000000KyFiIAK</v>
      </c>
      <c r="N795" s="397">
        <f ca="1">IFERROR(IF(AND(_xlfn.ISFORMULA(I795),NOT(_xlfn.ISFORMULA(I794))),1,OFFSET($F793,-COUNTIF($B$517:B794,"&lt;0")+3,0)),"")</f>
        <v>16</v>
      </c>
      <c r="O795" s="384">
        <f t="shared" si="117"/>
        <v>0</v>
      </c>
      <c r="P795" s="384"/>
      <c r="Q795" s="384"/>
      <c r="R795" s="384"/>
      <c r="S795" s="384"/>
      <c r="T795" s="388"/>
    </row>
    <row r="796" spans="1:20" x14ac:dyDescent="0.3">
      <c r="A796" s="384" t="b">
        <f t="shared" ca="1" si="107"/>
        <v>1</v>
      </c>
      <c r="B796" s="384">
        <f t="shared" si="114"/>
        <v>97</v>
      </c>
      <c r="C796" s="400" t="str">
        <f t="shared" ca="1" si="108"/>
        <v>a17Dm000000KyDJIA0</v>
      </c>
      <c r="D796" s="397"/>
      <c r="E796" s="384">
        <f t="shared" si="115"/>
        <v>1</v>
      </c>
      <c r="F796" s="398">
        <f ca="1">IF(COUNTA(D$518:D796)=1,"",OFFSET(F794,-COUNTA(D$518:D796)+3,0))</f>
        <v>17</v>
      </c>
      <c r="G796" s="388" t="str">
        <f t="shared" ca="1" si="109"/>
        <v/>
      </c>
      <c r="H796" s="384">
        <f t="shared" si="116"/>
        <v>41</v>
      </c>
      <c r="I796" s="386">
        <f t="shared" ca="1" si="110"/>
        <v>43</v>
      </c>
      <c r="J796" s="389" t="str">
        <f t="shared" ca="1" si="111"/>
        <v/>
      </c>
      <c r="K796" s="389" t="str">
        <f t="shared" ca="1" si="112"/>
        <v/>
      </c>
      <c r="L796" s="388" t="str">
        <f t="shared" ca="1" si="113"/>
        <v/>
      </c>
      <c r="M796" s="397" t="str">
        <f ca="1">IFERROR(IF(COUNTIF($B$517:$B795,"&lt;0")=1,"",OFFSET($C794,-COUNTIF($B$517:$B795,"&lt;0")+3,0)),"")</f>
        <v>a17Dm000000KyDJIA0</v>
      </c>
      <c r="N796" s="397">
        <f ca="1">IFERROR(IF(AND(_xlfn.ISFORMULA(I796),NOT(_xlfn.ISFORMULA(I795))),1,OFFSET($F794,-COUNTIF($B$517:B795,"&lt;0")+3,0)),"")</f>
        <v>17</v>
      </c>
      <c r="O796" s="384">
        <f t="shared" si="117"/>
        <v>0</v>
      </c>
      <c r="P796" s="384"/>
      <c r="Q796" s="384"/>
      <c r="R796" s="384"/>
      <c r="S796" s="384"/>
      <c r="T796" s="388"/>
    </row>
    <row r="797" spans="1:20" x14ac:dyDescent="0.3">
      <c r="A797" s="384" t="b">
        <f t="shared" ca="1" si="107"/>
        <v>1</v>
      </c>
      <c r="B797" s="384">
        <f t="shared" si="114"/>
        <v>98</v>
      </c>
      <c r="C797" s="400" t="str">
        <f t="shared" ca="1" si="108"/>
        <v>a17Dm000000KyDnIAK</v>
      </c>
      <c r="D797" s="397"/>
      <c r="E797" s="384">
        <f t="shared" si="115"/>
        <v>2</v>
      </c>
      <c r="F797" s="398">
        <f ca="1">IF(COUNTA(D$518:D797)=1,"",OFFSET(F795,-COUNTA(D$518:D797)+3,0))</f>
        <v>17</v>
      </c>
      <c r="G797" s="388" t="str">
        <f t="shared" ca="1" si="109"/>
        <v/>
      </c>
      <c r="H797" s="384">
        <f t="shared" si="116"/>
        <v>41</v>
      </c>
      <c r="I797" s="386">
        <f t="shared" ca="1" si="110"/>
        <v>44</v>
      </c>
      <c r="J797" s="389" t="str">
        <f t="shared" ca="1" si="111"/>
        <v/>
      </c>
      <c r="K797" s="389" t="str">
        <f t="shared" ca="1" si="112"/>
        <v/>
      </c>
      <c r="L797" s="388" t="str">
        <f t="shared" ca="1" si="113"/>
        <v/>
      </c>
      <c r="M797" s="397" t="str">
        <f ca="1">IFERROR(IF(COUNTIF($B$517:$B796,"&lt;0")=1,"",OFFSET($C795,-COUNTIF($B$517:$B796,"&lt;0")+3,0)),"")</f>
        <v>a17Dm000000KyDnIAK</v>
      </c>
      <c r="N797" s="397">
        <f ca="1">IFERROR(IF(AND(_xlfn.ISFORMULA(I797),NOT(_xlfn.ISFORMULA(I796))),1,OFFSET($F795,-COUNTIF($B$517:B796,"&lt;0")+3,0)),"")</f>
        <v>17</v>
      </c>
      <c r="O797" s="384">
        <f t="shared" si="117"/>
        <v>0</v>
      </c>
      <c r="P797" s="384"/>
      <c r="Q797" s="384"/>
      <c r="R797" s="384"/>
      <c r="S797" s="384"/>
      <c r="T797" s="388"/>
    </row>
    <row r="798" spans="1:20" x14ac:dyDescent="0.3">
      <c r="A798" s="384" t="b">
        <f t="shared" ca="1" si="107"/>
        <v>1</v>
      </c>
      <c r="B798" s="384">
        <f t="shared" si="114"/>
        <v>99</v>
      </c>
      <c r="C798" s="400" t="str">
        <f t="shared" ca="1" si="108"/>
        <v>a17Dm000000KyEHIA0</v>
      </c>
      <c r="D798" s="397"/>
      <c r="E798" s="384">
        <f t="shared" si="115"/>
        <v>3</v>
      </c>
      <c r="F798" s="398">
        <f ca="1">IF(COUNTA(D$518:D798)=1,"",OFFSET(F796,-COUNTA(D$518:D798)+3,0))</f>
        <v>17</v>
      </c>
      <c r="G798" s="388" t="str">
        <f t="shared" ca="1" si="109"/>
        <v/>
      </c>
      <c r="H798" s="384">
        <f t="shared" si="116"/>
        <v>41</v>
      </c>
      <c r="I798" s="386">
        <f t="shared" ca="1" si="110"/>
        <v>45</v>
      </c>
      <c r="J798" s="389" t="str">
        <f t="shared" ca="1" si="111"/>
        <v/>
      </c>
      <c r="K798" s="389" t="str">
        <f t="shared" ca="1" si="112"/>
        <v/>
      </c>
      <c r="L798" s="388" t="str">
        <f t="shared" ca="1" si="113"/>
        <v/>
      </c>
      <c r="M798" s="397" t="str">
        <f ca="1">IFERROR(IF(COUNTIF($B$517:$B797,"&lt;0")=1,"",OFFSET($C796,-COUNTIF($B$517:$B797,"&lt;0")+3,0)),"")</f>
        <v>a17Dm000000KyEHIA0</v>
      </c>
      <c r="N798" s="397">
        <f ca="1">IFERROR(IF(AND(_xlfn.ISFORMULA(I798),NOT(_xlfn.ISFORMULA(I797))),1,OFFSET($F796,-COUNTIF($B$517:B797,"&lt;0")+3,0)),"")</f>
        <v>17</v>
      </c>
      <c r="O798" s="384">
        <f t="shared" si="117"/>
        <v>0</v>
      </c>
      <c r="P798" s="384"/>
      <c r="Q798" s="384"/>
      <c r="R798" s="384"/>
      <c r="S798" s="384"/>
      <c r="T798" s="388"/>
    </row>
    <row r="799" spans="1:20" x14ac:dyDescent="0.3">
      <c r="A799" s="384" t="b">
        <f t="shared" ca="1" si="107"/>
        <v>0</v>
      </c>
      <c r="B799" s="384">
        <f t="shared" si="114"/>
        <v>100</v>
      </c>
      <c r="C799" s="400" t="str">
        <f t="shared" ca="1" si="108"/>
        <v>a17Dm000000KyElIAK</v>
      </c>
      <c r="D799" s="397"/>
      <c r="E799" s="384">
        <f t="shared" si="115"/>
        <v>4</v>
      </c>
      <c r="F799" s="398">
        <f ca="1">IF(COUNTA(D$518:D799)=1,"",OFFSET(F797,-COUNTA(D$518:D799)+3,0))</f>
        <v>17</v>
      </c>
      <c r="G799" s="388" t="str">
        <f t="shared" ca="1" si="109"/>
        <v/>
      </c>
      <c r="H799" s="384">
        <f t="shared" si="116"/>
        <v>41</v>
      </c>
      <c r="I799" s="386" t="str">
        <f t="shared" ca="1" si="110"/>
        <v/>
      </c>
      <c r="J799" s="389" t="str">
        <f t="shared" ca="1" si="111"/>
        <v/>
      </c>
      <c r="K799" s="389" t="str">
        <f t="shared" ca="1" si="112"/>
        <v/>
      </c>
      <c r="L799" s="388" t="str">
        <f t="shared" ca="1" si="113"/>
        <v/>
      </c>
      <c r="M799" s="397" t="str">
        <f ca="1">IFERROR(IF(COUNTIF($B$517:$B798,"&lt;0")=1,"",OFFSET($C797,-COUNTIF($B$517:$B798,"&lt;0")+3,0)),"")</f>
        <v>a17Dm000000KyElIAK</v>
      </c>
      <c r="N799" s="397">
        <f ca="1">IFERROR(IF(AND(_xlfn.ISFORMULA(I799),NOT(_xlfn.ISFORMULA(I798))),1,OFFSET($F797,-COUNTIF($B$517:B798,"&lt;0")+3,0)),"")</f>
        <v>17</v>
      </c>
      <c r="O799" s="384">
        <f t="shared" si="117"/>
        <v>0</v>
      </c>
      <c r="P799" s="384"/>
      <c r="Q799" s="384"/>
      <c r="R799" s="384"/>
      <c r="S799" s="384"/>
      <c r="T799" s="388"/>
    </row>
    <row r="800" spans="1:20" x14ac:dyDescent="0.3">
      <c r="A800" s="384" t="b">
        <f t="shared" ca="1" si="107"/>
        <v>0</v>
      </c>
      <c r="B800" s="384">
        <f t="shared" si="114"/>
        <v>101</v>
      </c>
      <c r="C800" s="400" t="str">
        <f t="shared" ca="1" si="108"/>
        <v>a17Dm000000KyFFIA0</v>
      </c>
      <c r="D800" s="397"/>
      <c r="E800" s="384">
        <f t="shared" si="115"/>
        <v>5</v>
      </c>
      <c r="F800" s="398">
        <f ca="1">IF(COUNTA(D$518:D800)=1,"",OFFSET(F798,-COUNTA(D$518:D800)+3,0))</f>
        <v>17</v>
      </c>
      <c r="G800" s="388" t="str">
        <f t="shared" ca="1" si="109"/>
        <v/>
      </c>
      <c r="H800" s="384">
        <f t="shared" si="116"/>
        <v>41</v>
      </c>
      <c r="I800" s="386" t="str">
        <f t="shared" ca="1" si="110"/>
        <v/>
      </c>
      <c r="J800" s="389" t="str">
        <f t="shared" ca="1" si="111"/>
        <v/>
      </c>
      <c r="K800" s="389" t="str">
        <f t="shared" ca="1" si="112"/>
        <v/>
      </c>
      <c r="L800" s="388" t="str">
        <f t="shared" ca="1" si="113"/>
        <v/>
      </c>
      <c r="M800" s="397" t="str">
        <f ca="1">IFERROR(IF(COUNTIF($B$517:$B799,"&lt;0")=1,"",OFFSET($C798,-COUNTIF($B$517:$B799,"&lt;0")+3,0)),"")</f>
        <v>a17Dm000000KyFFIA0</v>
      </c>
      <c r="N800" s="397">
        <f ca="1">IFERROR(IF(AND(_xlfn.ISFORMULA(I800),NOT(_xlfn.ISFORMULA(I799))),1,OFFSET($F798,-COUNTIF($B$517:B799,"&lt;0")+3,0)),"")</f>
        <v>17</v>
      </c>
      <c r="O800" s="384">
        <f t="shared" si="117"/>
        <v>0</v>
      </c>
      <c r="P800" s="384"/>
      <c r="Q800" s="384"/>
      <c r="R800" s="384"/>
      <c r="S800" s="384"/>
      <c r="T800" s="388"/>
    </row>
    <row r="801" spans="1:20" x14ac:dyDescent="0.3">
      <c r="A801" s="384" t="b">
        <f t="shared" ca="1" si="107"/>
        <v>0</v>
      </c>
      <c r="B801" s="384">
        <f t="shared" si="114"/>
        <v>102</v>
      </c>
      <c r="C801" s="400" t="str">
        <f t="shared" ca="1" si="108"/>
        <v>a17Dm000000KyFjIAK</v>
      </c>
      <c r="D801" s="397"/>
      <c r="E801" s="384">
        <f t="shared" si="115"/>
        <v>6</v>
      </c>
      <c r="F801" s="398">
        <f ca="1">IF(COUNTA(D$518:D801)=1,"",OFFSET(F799,-COUNTA(D$518:D801)+3,0))</f>
        <v>17</v>
      </c>
      <c r="G801" s="388" t="str">
        <f t="shared" ca="1" si="109"/>
        <v/>
      </c>
      <c r="H801" s="384">
        <f t="shared" si="116"/>
        <v>41</v>
      </c>
      <c r="I801" s="386" t="str">
        <f t="shared" ca="1" si="110"/>
        <v/>
      </c>
      <c r="J801" s="389" t="str">
        <f t="shared" ca="1" si="111"/>
        <v/>
      </c>
      <c r="K801" s="389" t="str">
        <f t="shared" ca="1" si="112"/>
        <v/>
      </c>
      <c r="L801" s="388" t="str">
        <f t="shared" ca="1" si="113"/>
        <v/>
      </c>
      <c r="M801" s="397" t="str">
        <f ca="1">IFERROR(IF(COUNTIF($B$517:$B800,"&lt;0")=1,"",OFFSET($C799,-COUNTIF($B$517:$B800,"&lt;0")+3,0)),"")</f>
        <v>a17Dm000000KyFjIAK</v>
      </c>
      <c r="N801" s="397">
        <f ca="1">IFERROR(IF(AND(_xlfn.ISFORMULA(I801),NOT(_xlfn.ISFORMULA(I800))),1,OFFSET($F799,-COUNTIF($B$517:B800,"&lt;0")+3,0)),"")</f>
        <v>17</v>
      </c>
      <c r="O801" s="384">
        <f t="shared" si="117"/>
        <v>0</v>
      </c>
      <c r="P801" s="384"/>
      <c r="Q801" s="384"/>
      <c r="R801" s="384"/>
      <c r="S801" s="384"/>
      <c r="T801" s="388"/>
    </row>
    <row r="802" spans="1:20" x14ac:dyDescent="0.3">
      <c r="A802" s="384" t="b">
        <f t="shared" ca="1" si="107"/>
        <v>1</v>
      </c>
      <c r="B802" s="384">
        <f t="shared" si="114"/>
        <v>103</v>
      </c>
      <c r="C802" s="400" t="str">
        <f t="shared" ca="1" si="108"/>
        <v>a17Dm000000KyDKIA0</v>
      </c>
      <c r="D802" s="397"/>
      <c r="E802" s="384">
        <f t="shared" si="115"/>
        <v>1</v>
      </c>
      <c r="F802" s="398">
        <f ca="1">IF(COUNTA(D$518:D802)=1,"",OFFSET(F800,-COUNTA(D$518:D802)+3,0))</f>
        <v>18</v>
      </c>
      <c r="G802" s="388" t="str">
        <f t="shared" ca="1" si="109"/>
        <v/>
      </c>
      <c r="H802" s="384">
        <f t="shared" si="116"/>
        <v>43</v>
      </c>
      <c r="I802" s="386" t="str">
        <f t="shared" ca="1" si="110"/>
        <v/>
      </c>
      <c r="J802" s="389" t="str">
        <f t="shared" ca="1" si="111"/>
        <v/>
      </c>
      <c r="K802" s="389">
        <f t="shared" ca="1" si="112"/>
        <v>3300</v>
      </c>
      <c r="L802" s="388" t="str">
        <f t="shared" ca="1" si="113"/>
        <v/>
      </c>
      <c r="M802" s="397" t="str">
        <f ca="1">IFERROR(IF(COUNTIF($B$517:$B801,"&lt;0")=1,"",OFFSET($C800,-COUNTIF($B$517:$B801,"&lt;0")+3,0)),"")</f>
        <v>a17Dm000000KyDKIA0</v>
      </c>
      <c r="N802" s="397">
        <f ca="1">IFERROR(IF(AND(_xlfn.ISFORMULA(I802),NOT(_xlfn.ISFORMULA(I801))),1,OFFSET($F800,-COUNTIF($B$517:B801,"&lt;0")+3,0)),"")</f>
        <v>18</v>
      </c>
      <c r="O802" s="384">
        <f t="shared" si="117"/>
        <v>0</v>
      </c>
      <c r="P802" s="384"/>
      <c r="Q802" s="384"/>
      <c r="R802" s="384"/>
      <c r="S802" s="384"/>
      <c r="T802" s="388"/>
    </row>
    <row r="803" spans="1:20" x14ac:dyDescent="0.3">
      <c r="A803" s="384" t="b">
        <f t="shared" ca="1" si="107"/>
        <v>1</v>
      </c>
      <c r="B803" s="384">
        <f t="shared" si="114"/>
        <v>104</v>
      </c>
      <c r="C803" s="400" t="str">
        <f t="shared" ca="1" si="108"/>
        <v>a17Dm000000KyDoIAK</v>
      </c>
      <c r="D803" s="397"/>
      <c r="E803" s="384">
        <f t="shared" si="115"/>
        <v>2</v>
      </c>
      <c r="F803" s="398">
        <f ca="1">IF(COUNTA(D$518:D803)=1,"",OFFSET(F801,-COUNTA(D$518:D803)+3,0))</f>
        <v>18</v>
      </c>
      <c r="G803" s="388" t="str">
        <f t="shared" ca="1" si="109"/>
        <v/>
      </c>
      <c r="H803" s="384">
        <f t="shared" si="116"/>
        <v>43</v>
      </c>
      <c r="I803" s="386" t="str">
        <f t="shared" ca="1" si="110"/>
        <v/>
      </c>
      <c r="J803" s="389" t="str">
        <f t="shared" ca="1" si="111"/>
        <v/>
      </c>
      <c r="K803" s="389">
        <f t="shared" ca="1" si="112"/>
        <v>4300</v>
      </c>
      <c r="L803" s="388" t="str">
        <f t="shared" ca="1" si="113"/>
        <v/>
      </c>
      <c r="M803" s="397" t="str">
        <f ca="1">IFERROR(IF(COUNTIF($B$517:$B802,"&lt;0")=1,"",OFFSET($C801,-COUNTIF($B$517:$B802,"&lt;0")+3,0)),"")</f>
        <v>a17Dm000000KyDoIAK</v>
      </c>
      <c r="N803" s="397">
        <f ca="1">IFERROR(IF(AND(_xlfn.ISFORMULA(I803),NOT(_xlfn.ISFORMULA(I802))),1,OFFSET($F801,-COUNTIF($B$517:B802,"&lt;0")+3,0)),"")</f>
        <v>18</v>
      </c>
      <c r="O803" s="384">
        <f t="shared" si="117"/>
        <v>0</v>
      </c>
      <c r="P803" s="384"/>
      <c r="Q803" s="384"/>
      <c r="R803" s="384"/>
      <c r="S803" s="384"/>
      <c r="T803" s="388"/>
    </row>
    <row r="804" spans="1:20" x14ac:dyDescent="0.3">
      <c r="A804" s="384" t="b">
        <f t="shared" ca="1" si="107"/>
        <v>1</v>
      </c>
      <c r="B804" s="384">
        <f t="shared" si="114"/>
        <v>105</v>
      </c>
      <c r="C804" s="400" t="str">
        <f t="shared" ca="1" si="108"/>
        <v>a17Dm000000KyEIIA0</v>
      </c>
      <c r="D804" s="397"/>
      <c r="E804" s="384">
        <f t="shared" si="115"/>
        <v>3</v>
      </c>
      <c r="F804" s="398">
        <f ca="1">IF(COUNTA(D$518:D804)=1,"",OFFSET(F802,-COUNTA(D$518:D804)+3,0))</f>
        <v>18</v>
      </c>
      <c r="G804" s="388" t="str">
        <f t="shared" ca="1" si="109"/>
        <v/>
      </c>
      <c r="H804" s="384">
        <f t="shared" si="116"/>
        <v>43</v>
      </c>
      <c r="I804" s="386" t="str">
        <f t="shared" ca="1" si="110"/>
        <v/>
      </c>
      <c r="J804" s="389" t="str">
        <f t="shared" ca="1" si="111"/>
        <v/>
      </c>
      <c r="K804" s="389">
        <f t="shared" ca="1" si="112"/>
        <v>5300</v>
      </c>
      <c r="L804" s="388" t="str">
        <f t="shared" ca="1" si="113"/>
        <v/>
      </c>
      <c r="M804" s="397" t="str">
        <f ca="1">IFERROR(IF(COUNTIF($B$517:$B803,"&lt;0")=1,"",OFFSET($C802,-COUNTIF($B$517:$B803,"&lt;0")+3,0)),"")</f>
        <v>a17Dm000000KyEIIA0</v>
      </c>
      <c r="N804" s="397">
        <f ca="1">IFERROR(IF(AND(_xlfn.ISFORMULA(I804),NOT(_xlfn.ISFORMULA(I803))),1,OFFSET($F802,-COUNTIF($B$517:B803,"&lt;0")+3,0)),"")</f>
        <v>18</v>
      </c>
      <c r="O804" s="384">
        <f t="shared" si="117"/>
        <v>0</v>
      </c>
      <c r="P804" s="384"/>
      <c r="Q804" s="384"/>
      <c r="R804" s="384"/>
      <c r="S804" s="384"/>
      <c r="T804" s="388"/>
    </row>
    <row r="805" spans="1:20" x14ac:dyDescent="0.3">
      <c r="A805" s="384" t="b">
        <f t="shared" ca="1" si="107"/>
        <v>0</v>
      </c>
      <c r="B805" s="384">
        <f t="shared" si="114"/>
        <v>106</v>
      </c>
      <c r="C805" s="400" t="str">
        <f t="shared" ca="1" si="108"/>
        <v>a17Dm000000KyEmIAK</v>
      </c>
      <c r="D805" s="397"/>
      <c r="E805" s="384">
        <f t="shared" si="115"/>
        <v>4</v>
      </c>
      <c r="F805" s="398">
        <f ca="1">IF(COUNTA(D$518:D805)=1,"",OFFSET(F803,-COUNTA(D$518:D805)+3,0))</f>
        <v>18</v>
      </c>
      <c r="G805" s="388" t="str">
        <f t="shared" ca="1" si="109"/>
        <v/>
      </c>
      <c r="H805" s="384">
        <f t="shared" si="116"/>
        <v>43</v>
      </c>
      <c r="I805" s="386" t="str">
        <f t="shared" ca="1" si="110"/>
        <v/>
      </c>
      <c r="J805" s="389" t="str">
        <f t="shared" ca="1" si="111"/>
        <v/>
      </c>
      <c r="K805" s="389" t="str">
        <f t="shared" ca="1" si="112"/>
        <v/>
      </c>
      <c r="L805" s="388" t="str">
        <f t="shared" ca="1" si="113"/>
        <v/>
      </c>
      <c r="M805" s="397" t="str">
        <f ca="1">IFERROR(IF(COUNTIF($B$517:$B804,"&lt;0")=1,"",OFFSET($C803,-COUNTIF($B$517:$B804,"&lt;0")+3,0)),"")</f>
        <v>a17Dm000000KyEmIAK</v>
      </c>
      <c r="N805" s="397">
        <f ca="1">IFERROR(IF(AND(_xlfn.ISFORMULA(I805),NOT(_xlfn.ISFORMULA(I804))),1,OFFSET($F803,-COUNTIF($B$517:B804,"&lt;0")+3,0)),"")</f>
        <v>18</v>
      </c>
      <c r="O805" s="384">
        <f t="shared" si="117"/>
        <v>0</v>
      </c>
      <c r="P805" s="384"/>
      <c r="Q805" s="384"/>
      <c r="R805" s="384"/>
      <c r="S805" s="384"/>
      <c r="T805" s="388"/>
    </row>
    <row r="806" spans="1:20" x14ac:dyDescent="0.3">
      <c r="A806" s="384" t="b">
        <f t="shared" ca="1" si="107"/>
        <v>0</v>
      </c>
      <c r="B806" s="384">
        <f t="shared" si="114"/>
        <v>107</v>
      </c>
      <c r="C806" s="400" t="str">
        <f t="shared" ca="1" si="108"/>
        <v>a17Dm000000KyFGIA0</v>
      </c>
      <c r="D806" s="397"/>
      <c r="E806" s="384">
        <f t="shared" si="115"/>
        <v>5</v>
      </c>
      <c r="F806" s="398">
        <f ca="1">IF(COUNTA(D$518:D806)=1,"",OFFSET(F804,-COUNTA(D$518:D806)+3,0))</f>
        <v>18</v>
      </c>
      <c r="G806" s="388" t="str">
        <f t="shared" ca="1" si="109"/>
        <v/>
      </c>
      <c r="H806" s="384">
        <f t="shared" si="116"/>
        <v>43</v>
      </c>
      <c r="I806" s="386" t="str">
        <f t="shared" ca="1" si="110"/>
        <v/>
      </c>
      <c r="J806" s="389" t="str">
        <f t="shared" ca="1" si="111"/>
        <v/>
      </c>
      <c r="K806" s="389" t="str">
        <f t="shared" ca="1" si="112"/>
        <v/>
      </c>
      <c r="L806" s="388" t="str">
        <f t="shared" ca="1" si="113"/>
        <v/>
      </c>
      <c r="M806" s="397" t="str">
        <f ca="1">IFERROR(IF(COUNTIF($B$517:$B805,"&lt;0")=1,"",OFFSET($C804,-COUNTIF($B$517:$B805,"&lt;0")+3,0)),"")</f>
        <v>a17Dm000000KyFGIA0</v>
      </c>
      <c r="N806" s="397">
        <f ca="1">IFERROR(IF(AND(_xlfn.ISFORMULA(I806),NOT(_xlfn.ISFORMULA(I805))),1,OFFSET($F804,-COUNTIF($B$517:B805,"&lt;0")+3,0)),"")</f>
        <v>18</v>
      </c>
      <c r="O806" s="384">
        <f t="shared" si="117"/>
        <v>0</v>
      </c>
      <c r="P806" s="384"/>
      <c r="Q806" s="384"/>
      <c r="R806" s="384"/>
      <c r="S806" s="384"/>
      <c r="T806" s="388"/>
    </row>
    <row r="807" spans="1:20" x14ac:dyDescent="0.3">
      <c r="A807" s="384" t="b">
        <f t="shared" ca="1" si="107"/>
        <v>0</v>
      </c>
      <c r="B807" s="384">
        <f t="shared" si="114"/>
        <v>108</v>
      </c>
      <c r="C807" s="400" t="str">
        <f t="shared" ca="1" si="108"/>
        <v>a17Dm000000KyFkIAK</v>
      </c>
      <c r="D807" s="397"/>
      <c r="E807" s="384">
        <f t="shared" si="115"/>
        <v>6</v>
      </c>
      <c r="F807" s="398">
        <f ca="1">IF(COUNTA(D$518:D807)=1,"",OFFSET(F805,-COUNTA(D$518:D807)+3,0))</f>
        <v>18</v>
      </c>
      <c r="G807" s="388" t="str">
        <f t="shared" ca="1" si="109"/>
        <v/>
      </c>
      <c r="H807" s="384">
        <f t="shared" si="116"/>
        <v>43</v>
      </c>
      <c r="I807" s="386" t="str">
        <f t="shared" ca="1" si="110"/>
        <v/>
      </c>
      <c r="J807" s="389" t="str">
        <f t="shared" ca="1" si="111"/>
        <v/>
      </c>
      <c r="K807" s="389" t="str">
        <f t="shared" ca="1" si="112"/>
        <v/>
      </c>
      <c r="L807" s="388" t="str">
        <f t="shared" ca="1" si="113"/>
        <v/>
      </c>
      <c r="M807" s="397" t="str">
        <f ca="1">IFERROR(IF(COUNTIF($B$517:$B806,"&lt;0")=1,"",OFFSET($C805,-COUNTIF($B$517:$B806,"&lt;0")+3,0)),"")</f>
        <v>a17Dm000000KyFkIAK</v>
      </c>
      <c r="N807" s="397">
        <f ca="1">IFERROR(IF(AND(_xlfn.ISFORMULA(I807),NOT(_xlfn.ISFORMULA(I806))),1,OFFSET($F805,-COUNTIF($B$517:B806,"&lt;0")+3,0)),"")</f>
        <v>18</v>
      </c>
      <c r="O807" s="384">
        <f t="shared" si="117"/>
        <v>0</v>
      </c>
      <c r="P807" s="384"/>
      <c r="Q807" s="384"/>
      <c r="R807" s="384"/>
      <c r="S807" s="384"/>
      <c r="T807" s="388"/>
    </row>
    <row r="808" spans="1:20" x14ac:dyDescent="0.3">
      <c r="A808" s="384" t="b">
        <f t="shared" ca="1" si="107"/>
        <v>1</v>
      </c>
      <c r="B808" s="384">
        <f t="shared" si="114"/>
        <v>109</v>
      </c>
      <c r="C808" s="400" t="str">
        <f t="shared" ca="1" si="108"/>
        <v>a17Dm000000KyDLIA0</v>
      </c>
      <c r="D808" s="397"/>
      <c r="E808" s="384">
        <f t="shared" si="115"/>
        <v>1</v>
      </c>
      <c r="F808" s="398">
        <f ca="1">IF(COUNTA(D$518:D808)=1,"",OFFSET(F806,-COUNTA(D$518:D808)+3,0))</f>
        <v>19</v>
      </c>
      <c r="G808" s="388" t="str">
        <f t="shared" ca="1" si="109"/>
        <v/>
      </c>
      <c r="H808" s="384">
        <f t="shared" si="116"/>
        <v>45</v>
      </c>
      <c r="I808" s="386">
        <f t="shared" ca="1" si="110"/>
        <v>75</v>
      </c>
      <c r="J808" s="389" t="str">
        <f t="shared" ca="1" si="111"/>
        <v/>
      </c>
      <c r="K808" s="389" t="str">
        <f t="shared" ca="1" si="112"/>
        <v/>
      </c>
      <c r="L808" s="388" t="str">
        <f t="shared" ca="1" si="113"/>
        <v/>
      </c>
      <c r="M808" s="397" t="str">
        <f ca="1">IFERROR(IF(COUNTIF($B$517:$B807,"&lt;0")=1,"",OFFSET($C806,-COUNTIF($B$517:$B807,"&lt;0")+3,0)),"")</f>
        <v>a17Dm000000KyDLIA0</v>
      </c>
      <c r="N808" s="397">
        <f ca="1">IFERROR(IF(AND(_xlfn.ISFORMULA(I808),NOT(_xlfn.ISFORMULA(I807))),1,OFFSET($F806,-COUNTIF($B$517:B807,"&lt;0")+3,0)),"")</f>
        <v>19</v>
      </c>
      <c r="O808" s="384">
        <f t="shared" si="117"/>
        <v>0</v>
      </c>
      <c r="P808" s="384"/>
      <c r="Q808" s="384"/>
      <c r="R808" s="384"/>
      <c r="S808" s="384"/>
      <c r="T808" s="388"/>
    </row>
    <row r="809" spans="1:20" x14ac:dyDescent="0.3">
      <c r="A809" s="384" t="b">
        <f t="shared" ca="1" si="107"/>
        <v>1</v>
      </c>
      <c r="B809" s="384">
        <f t="shared" si="114"/>
        <v>110</v>
      </c>
      <c r="C809" s="400" t="str">
        <f t="shared" ca="1" si="108"/>
        <v>a17Dm000000KyDpIAK</v>
      </c>
      <c r="D809" s="397"/>
      <c r="E809" s="384">
        <f t="shared" si="115"/>
        <v>2</v>
      </c>
      <c r="F809" s="398">
        <f ca="1">IF(COUNTA(D$518:D809)=1,"",OFFSET(F807,-COUNTA(D$518:D809)+3,0))</f>
        <v>19</v>
      </c>
      <c r="G809" s="388" t="str">
        <f t="shared" ca="1" si="109"/>
        <v/>
      </c>
      <c r="H809" s="384">
        <f t="shared" si="116"/>
        <v>45</v>
      </c>
      <c r="I809" s="386">
        <f t="shared" ca="1" si="110"/>
        <v>80</v>
      </c>
      <c r="J809" s="389" t="str">
        <f t="shared" ca="1" si="111"/>
        <v/>
      </c>
      <c r="K809" s="389" t="str">
        <f t="shared" ca="1" si="112"/>
        <v/>
      </c>
      <c r="L809" s="388" t="str">
        <f t="shared" ca="1" si="113"/>
        <v/>
      </c>
      <c r="M809" s="397" t="str">
        <f ca="1">IFERROR(IF(COUNTIF($B$517:$B808,"&lt;0")=1,"",OFFSET($C807,-COUNTIF($B$517:$B808,"&lt;0")+3,0)),"")</f>
        <v>a17Dm000000KyDpIAK</v>
      </c>
      <c r="N809" s="397">
        <f ca="1">IFERROR(IF(AND(_xlfn.ISFORMULA(I809),NOT(_xlfn.ISFORMULA(I808))),1,OFFSET($F807,-COUNTIF($B$517:B808,"&lt;0")+3,0)),"")</f>
        <v>19</v>
      </c>
      <c r="O809" s="384">
        <f t="shared" si="117"/>
        <v>0</v>
      </c>
      <c r="P809" s="384"/>
      <c r="Q809" s="384"/>
      <c r="R809" s="384"/>
      <c r="S809" s="384"/>
      <c r="T809" s="388"/>
    </row>
    <row r="810" spans="1:20" x14ac:dyDescent="0.3">
      <c r="A810" s="384" t="b">
        <f t="shared" ca="1" si="107"/>
        <v>1</v>
      </c>
      <c r="B810" s="384">
        <f t="shared" si="114"/>
        <v>111</v>
      </c>
      <c r="C810" s="400" t="str">
        <f t="shared" ca="1" si="108"/>
        <v>a17Dm000000KyEJIA0</v>
      </c>
      <c r="D810" s="397"/>
      <c r="E810" s="384">
        <f t="shared" si="115"/>
        <v>3</v>
      </c>
      <c r="F810" s="398">
        <f ca="1">IF(COUNTA(D$518:D810)=1,"",OFFSET(F808,-COUNTA(D$518:D810)+3,0))</f>
        <v>19</v>
      </c>
      <c r="G810" s="388" t="str">
        <f t="shared" ca="1" si="109"/>
        <v/>
      </c>
      <c r="H810" s="384">
        <f t="shared" si="116"/>
        <v>45</v>
      </c>
      <c r="I810" s="386">
        <f t="shared" ca="1" si="110"/>
        <v>85</v>
      </c>
      <c r="J810" s="389" t="str">
        <f t="shared" ca="1" si="111"/>
        <v/>
      </c>
      <c r="K810" s="389" t="str">
        <f t="shared" ca="1" si="112"/>
        <v/>
      </c>
      <c r="L810" s="388" t="str">
        <f t="shared" ca="1" si="113"/>
        <v/>
      </c>
      <c r="M810" s="397" t="str">
        <f ca="1">IFERROR(IF(COUNTIF($B$517:$B809,"&lt;0")=1,"",OFFSET($C808,-COUNTIF($B$517:$B809,"&lt;0")+3,0)),"")</f>
        <v>a17Dm000000KyEJIA0</v>
      </c>
      <c r="N810" s="397">
        <f ca="1">IFERROR(IF(AND(_xlfn.ISFORMULA(I810),NOT(_xlfn.ISFORMULA(I809))),1,OFFSET($F808,-COUNTIF($B$517:B809,"&lt;0")+3,0)),"")</f>
        <v>19</v>
      </c>
      <c r="O810" s="384">
        <f t="shared" si="117"/>
        <v>0</v>
      </c>
      <c r="P810" s="384"/>
      <c r="Q810" s="384"/>
      <c r="R810" s="384"/>
      <c r="S810" s="384"/>
      <c r="T810" s="388"/>
    </row>
    <row r="811" spans="1:20" x14ac:dyDescent="0.3">
      <c r="A811" s="384" t="b">
        <f t="shared" ca="1" si="107"/>
        <v>0</v>
      </c>
      <c r="B811" s="384">
        <f t="shared" si="114"/>
        <v>112</v>
      </c>
      <c r="C811" s="400" t="str">
        <f t="shared" ca="1" si="108"/>
        <v>a17Dm000000KyEnIAK</v>
      </c>
      <c r="D811" s="397"/>
      <c r="E811" s="384">
        <f t="shared" si="115"/>
        <v>4</v>
      </c>
      <c r="F811" s="398">
        <f ca="1">IF(COUNTA(D$518:D811)=1,"",OFFSET(F809,-COUNTA(D$518:D811)+3,0))</f>
        <v>19</v>
      </c>
      <c r="G811" s="388" t="str">
        <f t="shared" ca="1" si="109"/>
        <v/>
      </c>
      <c r="H811" s="384">
        <f t="shared" si="116"/>
        <v>45</v>
      </c>
      <c r="I811" s="386" t="str">
        <f t="shared" ca="1" si="110"/>
        <v/>
      </c>
      <c r="J811" s="389" t="str">
        <f t="shared" ca="1" si="111"/>
        <v/>
      </c>
      <c r="K811" s="389" t="str">
        <f t="shared" ca="1" si="112"/>
        <v/>
      </c>
      <c r="L811" s="388" t="str">
        <f t="shared" ca="1" si="113"/>
        <v/>
      </c>
      <c r="M811" s="397" t="str">
        <f ca="1">IFERROR(IF(COUNTIF($B$517:$B810,"&lt;0")=1,"",OFFSET($C809,-COUNTIF($B$517:$B810,"&lt;0")+3,0)),"")</f>
        <v>a17Dm000000KyEnIAK</v>
      </c>
      <c r="N811" s="397">
        <f ca="1">IFERROR(IF(AND(_xlfn.ISFORMULA(I811),NOT(_xlfn.ISFORMULA(I810))),1,OFFSET($F809,-COUNTIF($B$517:B810,"&lt;0")+3,0)),"")</f>
        <v>19</v>
      </c>
      <c r="O811" s="384">
        <f t="shared" si="117"/>
        <v>0</v>
      </c>
      <c r="P811" s="384"/>
      <c r="Q811" s="384"/>
      <c r="R811" s="384"/>
      <c r="S811" s="384"/>
      <c r="T811" s="388"/>
    </row>
    <row r="812" spans="1:20" x14ac:dyDescent="0.3">
      <c r="A812" s="384" t="b">
        <f t="shared" ca="1" si="107"/>
        <v>0</v>
      </c>
      <c r="B812" s="384">
        <f t="shared" si="114"/>
        <v>113</v>
      </c>
      <c r="C812" s="400" t="str">
        <f t="shared" ca="1" si="108"/>
        <v>a17Dm000000KyFHIA0</v>
      </c>
      <c r="D812" s="397"/>
      <c r="E812" s="384">
        <f t="shared" si="115"/>
        <v>5</v>
      </c>
      <c r="F812" s="398">
        <f ca="1">IF(COUNTA(D$518:D812)=1,"",OFFSET(F810,-COUNTA(D$518:D812)+3,0))</f>
        <v>19</v>
      </c>
      <c r="G812" s="388" t="str">
        <f t="shared" ca="1" si="109"/>
        <v/>
      </c>
      <c r="H812" s="384">
        <f t="shared" si="116"/>
        <v>45</v>
      </c>
      <c r="I812" s="386" t="str">
        <f t="shared" ca="1" si="110"/>
        <v/>
      </c>
      <c r="J812" s="389" t="str">
        <f t="shared" ca="1" si="111"/>
        <v/>
      </c>
      <c r="K812" s="389" t="str">
        <f t="shared" ca="1" si="112"/>
        <v/>
      </c>
      <c r="L812" s="388" t="str">
        <f t="shared" ca="1" si="113"/>
        <v/>
      </c>
      <c r="M812" s="397" t="str">
        <f ca="1">IFERROR(IF(COUNTIF($B$517:$B811,"&lt;0")=1,"",OFFSET($C810,-COUNTIF($B$517:$B811,"&lt;0")+3,0)),"")</f>
        <v>a17Dm000000KyFHIA0</v>
      </c>
      <c r="N812" s="397">
        <f ca="1">IFERROR(IF(AND(_xlfn.ISFORMULA(I812),NOT(_xlfn.ISFORMULA(I811))),1,OFFSET($F810,-COUNTIF($B$517:B811,"&lt;0")+3,0)),"")</f>
        <v>19</v>
      </c>
      <c r="O812" s="384">
        <f t="shared" si="117"/>
        <v>0</v>
      </c>
      <c r="P812" s="384"/>
      <c r="Q812" s="384"/>
      <c r="R812" s="384"/>
      <c r="S812" s="384"/>
      <c r="T812" s="388"/>
    </row>
    <row r="813" spans="1:20" x14ac:dyDescent="0.3">
      <c r="A813" s="384" t="b">
        <f t="shared" ca="1" si="107"/>
        <v>0</v>
      </c>
      <c r="B813" s="384">
        <f t="shared" si="114"/>
        <v>114</v>
      </c>
      <c r="C813" s="400" t="str">
        <f t="shared" ca="1" si="108"/>
        <v>a17Dm000000KyFlIAK</v>
      </c>
      <c r="D813" s="397"/>
      <c r="E813" s="384">
        <f t="shared" si="115"/>
        <v>6</v>
      </c>
      <c r="F813" s="398">
        <f ca="1">IF(COUNTA(D$518:D813)=1,"",OFFSET(F811,-COUNTA(D$518:D813)+3,0))</f>
        <v>19</v>
      </c>
      <c r="G813" s="388" t="str">
        <f t="shared" ca="1" si="109"/>
        <v/>
      </c>
      <c r="H813" s="384">
        <f t="shared" si="116"/>
        <v>45</v>
      </c>
      <c r="I813" s="386" t="str">
        <f t="shared" ca="1" si="110"/>
        <v/>
      </c>
      <c r="J813" s="389" t="str">
        <f t="shared" ca="1" si="111"/>
        <v/>
      </c>
      <c r="K813" s="389" t="str">
        <f t="shared" ca="1" si="112"/>
        <v/>
      </c>
      <c r="L813" s="388" t="str">
        <f t="shared" ca="1" si="113"/>
        <v/>
      </c>
      <c r="M813" s="397" t="str">
        <f ca="1">IFERROR(IF(COUNTIF($B$517:$B812,"&lt;0")=1,"",OFFSET($C811,-COUNTIF($B$517:$B812,"&lt;0")+3,0)),"")</f>
        <v>a17Dm000000KyFlIAK</v>
      </c>
      <c r="N813" s="397">
        <f ca="1">IFERROR(IF(AND(_xlfn.ISFORMULA(I813),NOT(_xlfn.ISFORMULA(I812))),1,OFFSET($F811,-COUNTIF($B$517:B812,"&lt;0")+3,0)),"")</f>
        <v>19</v>
      </c>
      <c r="O813" s="384">
        <f t="shared" si="117"/>
        <v>0</v>
      </c>
      <c r="P813" s="384"/>
      <c r="Q813" s="384"/>
      <c r="R813" s="384"/>
      <c r="S813" s="384"/>
      <c r="T813" s="388"/>
    </row>
    <row r="814" spans="1:20" x14ac:dyDescent="0.3">
      <c r="A814" s="384" t="b">
        <f t="shared" ca="1" si="107"/>
        <v>1</v>
      </c>
      <c r="B814" s="384">
        <f t="shared" si="114"/>
        <v>115</v>
      </c>
      <c r="C814" s="400" t="str">
        <f t="shared" ca="1" si="108"/>
        <v>a17Dm000000KyDMIA0</v>
      </c>
      <c r="D814" s="397"/>
      <c r="E814" s="384">
        <f t="shared" si="115"/>
        <v>1</v>
      </c>
      <c r="F814" s="398">
        <f ca="1">IF(COUNTA(D$518:D814)=1,"",OFFSET(F812,-COUNTA(D$518:D814)+3,0))</f>
        <v>20</v>
      </c>
      <c r="G814" s="388" t="str">
        <f t="shared" ca="1" si="109"/>
        <v/>
      </c>
      <c r="H814" s="384">
        <f t="shared" si="116"/>
        <v>47</v>
      </c>
      <c r="I814" s="386" t="str">
        <f t="shared" ca="1" si="110"/>
        <v/>
      </c>
      <c r="J814" s="389" t="str">
        <f t="shared" ca="1" si="111"/>
        <v/>
      </c>
      <c r="K814" s="389">
        <f t="shared" ca="1" si="112"/>
        <v>1150</v>
      </c>
      <c r="L814" s="388" t="str">
        <f t="shared" ca="1" si="113"/>
        <v/>
      </c>
      <c r="M814" s="397" t="str">
        <f ca="1">IFERROR(IF(COUNTIF($B$517:$B813,"&lt;0")=1,"",OFFSET($C812,-COUNTIF($B$517:$B813,"&lt;0")+3,0)),"")</f>
        <v>a17Dm000000KyDMIA0</v>
      </c>
      <c r="N814" s="397">
        <f ca="1">IFERROR(IF(AND(_xlfn.ISFORMULA(I814),NOT(_xlfn.ISFORMULA(I813))),1,OFFSET($F812,-COUNTIF($B$517:B813,"&lt;0")+3,0)),"")</f>
        <v>20</v>
      </c>
      <c r="O814" s="384">
        <f t="shared" si="117"/>
        <v>0</v>
      </c>
      <c r="P814" s="384"/>
      <c r="Q814" s="384"/>
      <c r="R814" s="384"/>
      <c r="S814" s="384"/>
      <c r="T814" s="388"/>
    </row>
    <row r="815" spans="1:20" x14ac:dyDescent="0.3">
      <c r="A815" s="384" t="b">
        <f t="shared" ca="1" si="107"/>
        <v>1</v>
      </c>
      <c r="B815" s="384">
        <f t="shared" si="114"/>
        <v>116</v>
      </c>
      <c r="C815" s="400" t="str">
        <f t="shared" ca="1" si="108"/>
        <v>a17Dm000000KyDqIAK</v>
      </c>
      <c r="D815" s="397"/>
      <c r="E815" s="384">
        <f t="shared" si="115"/>
        <v>2</v>
      </c>
      <c r="F815" s="398">
        <f ca="1">IF(COUNTA(D$518:D815)=1,"",OFFSET(F813,-COUNTA(D$518:D815)+3,0))</f>
        <v>20</v>
      </c>
      <c r="G815" s="388" t="str">
        <f t="shared" ca="1" si="109"/>
        <v/>
      </c>
      <c r="H815" s="384">
        <f t="shared" si="116"/>
        <v>47</v>
      </c>
      <c r="I815" s="386" t="str">
        <f t="shared" ca="1" si="110"/>
        <v/>
      </c>
      <c r="J815" s="389" t="str">
        <f t="shared" ca="1" si="111"/>
        <v/>
      </c>
      <c r="K815" s="389">
        <f t="shared" ca="1" si="112"/>
        <v>1200</v>
      </c>
      <c r="L815" s="388" t="str">
        <f t="shared" ca="1" si="113"/>
        <v/>
      </c>
      <c r="M815" s="397" t="str">
        <f ca="1">IFERROR(IF(COUNTIF($B$517:$B814,"&lt;0")=1,"",OFFSET($C813,-COUNTIF($B$517:$B814,"&lt;0")+3,0)),"")</f>
        <v>a17Dm000000KyDqIAK</v>
      </c>
      <c r="N815" s="397">
        <f ca="1">IFERROR(IF(AND(_xlfn.ISFORMULA(I815),NOT(_xlfn.ISFORMULA(I814))),1,OFFSET($F813,-COUNTIF($B$517:B814,"&lt;0")+3,0)),"")</f>
        <v>20</v>
      </c>
      <c r="O815" s="384">
        <f t="shared" si="117"/>
        <v>0</v>
      </c>
      <c r="P815" s="384"/>
      <c r="Q815" s="384"/>
      <c r="R815" s="384"/>
      <c r="S815" s="384"/>
      <c r="T815" s="388"/>
    </row>
    <row r="816" spans="1:20" x14ac:dyDescent="0.3">
      <c r="A816" s="384" t="b">
        <f t="shared" ca="1" si="107"/>
        <v>1</v>
      </c>
      <c r="B816" s="384">
        <f t="shared" si="114"/>
        <v>117</v>
      </c>
      <c r="C816" s="400" t="str">
        <f t="shared" ca="1" si="108"/>
        <v>a17Dm000000KyEKIA0</v>
      </c>
      <c r="D816" s="397"/>
      <c r="E816" s="384">
        <f t="shared" si="115"/>
        <v>3</v>
      </c>
      <c r="F816" s="398">
        <f ca="1">IF(COUNTA(D$518:D816)=1,"",OFFSET(F814,-COUNTA(D$518:D816)+3,0))</f>
        <v>20</v>
      </c>
      <c r="G816" s="388" t="str">
        <f t="shared" ca="1" si="109"/>
        <v/>
      </c>
      <c r="H816" s="384">
        <f t="shared" si="116"/>
        <v>47</v>
      </c>
      <c r="I816" s="386" t="str">
        <f t="shared" ca="1" si="110"/>
        <v/>
      </c>
      <c r="J816" s="389" t="str">
        <f t="shared" ca="1" si="111"/>
        <v/>
      </c>
      <c r="K816" s="389">
        <f t="shared" ca="1" si="112"/>
        <v>1250</v>
      </c>
      <c r="L816" s="388" t="str">
        <f t="shared" ca="1" si="113"/>
        <v/>
      </c>
      <c r="M816" s="397" t="str">
        <f ca="1">IFERROR(IF(COUNTIF($B$517:$B815,"&lt;0")=1,"",OFFSET($C814,-COUNTIF($B$517:$B815,"&lt;0")+3,0)),"")</f>
        <v>a17Dm000000KyEKIA0</v>
      </c>
      <c r="N816" s="397">
        <f ca="1">IFERROR(IF(AND(_xlfn.ISFORMULA(I816),NOT(_xlfn.ISFORMULA(I815))),1,OFFSET($F814,-COUNTIF($B$517:B815,"&lt;0")+3,0)),"")</f>
        <v>20</v>
      </c>
      <c r="O816" s="384">
        <f t="shared" si="117"/>
        <v>0</v>
      </c>
      <c r="P816" s="384"/>
      <c r="Q816" s="384"/>
      <c r="R816" s="384"/>
      <c r="S816" s="384"/>
      <c r="T816" s="388"/>
    </row>
    <row r="817" spans="1:20" x14ac:dyDescent="0.3">
      <c r="A817" s="384" t="b">
        <f t="shared" ca="1" si="107"/>
        <v>0</v>
      </c>
      <c r="B817" s="384">
        <f t="shared" si="114"/>
        <v>118</v>
      </c>
      <c r="C817" s="400" t="str">
        <f t="shared" ca="1" si="108"/>
        <v>a17Dm000000KyEoIAK</v>
      </c>
      <c r="D817" s="397"/>
      <c r="E817" s="384">
        <f t="shared" si="115"/>
        <v>4</v>
      </c>
      <c r="F817" s="398">
        <f ca="1">IF(COUNTA(D$518:D817)=1,"",OFFSET(F815,-COUNTA(D$518:D817)+3,0))</f>
        <v>20</v>
      </c>
      <c r="G817" s="388" t="str">
        <f t="shared" ca="1" si="109"/>
        <v/>
      </c>
      <c r="H817" s="384">
        <f t="shared" si="116"/>
        <v>47</v>
      </c>
      <c r="I817" s="386" t="str">
        <f t="shared" ca="1" si="110"/>
        <v/>
      </c>
      <c r="J817" s="389" t="str">
        <f t="shared" ca="1" si="111"/>
        <v/>
      </c>
      <c r="K817" s="389" t="str">
        <f t="shared" ca="1" si="112"/>
        <v/>
      </c>
      <c r="L817" s="388" t="str">
        <f t="shared" ca="1" si="113"/>
        <v/>
      </c>
      <c r="M817" s="397" t="str">
        <f ca="1">IFERROR(IF(COUNTIF($B$517:$B816,"&lt;0")=1,"",OFFSET($C815,-COUNTIF($B$517:$B816,"&lt;0")+3,0)),"")</f>
        <v>a17Dm000000KyEoIAK</v>
      </c>
      <c r="N817" s="397">
        <f ca="1">IFERROR(IF(AND(_xlfn.ISFORMULA(I817),NOT(_xlfn.ISFORMULA(I816))),1,OFFSET($F815,-COUNTIF($B$517:B816,"&lt;0")+3,0)),"")</f>
        <v>20</v>
      </c>
      <c r="O817" s="384">
        <f t="shared" si="117"/>
        <v>0</v>
      </c>
      <c r="P817" s="384"/>
      <c r="Q817" s="384"/>
      <c r="R817" s="384"/>
      <c r="S817" s="384"/>
      <c r="T817" s="388"/>
    </row>
    <row r="818" spans="1:20" x14ac:dyDescent="0.3">
      <c r="A818" s="384" t="b">
        <f t="shared" ca="1" si="107"/>
        <v>0</v>
      </c>
      <c r="B818" s="384">
        <f t="shared" si="114"/>
        <v>119</v>
      </c>
      <c r="C818" s="400" t="str">
        <f t="shared" ca="1" si="108"/>
        <v>a17Dm000000KyFIIA0</v>
      </c>
      <c r="D818" s="397"/>
      <c r="E818" s="384">
        <f t="shared" si="115"/>
        <v>5</v>
      </c>
      <c r="F818" s="398">
        <f ca="1">IF(COUNTA(D$518:D818)=1,"",OFFSET(F816,-COUNTA(D$518:D818)+3,0))</f>
        <v>20</v>
      </c>
      <c r="G818" s="388" t="str">
        <f t="shared" ca="1" si="109"/>
        <v/>
      </c>
      <c r="H818" s="384">
        <f t="shared" si="116"/>
        <v>47</v>
      </c>
      <c r="I818" s="386" t="str">
        <f t="shared" ca="1" si="110"/>
        <v/>
      </c>
      <c r="J818" s="389" t="str">
        <f t="shared" ca="1" si="111"/>
        <v/>
      </c>
      <c r="K818" s="389" t="str">
        <f t="shared" ca="1" si="112"/>
        <v/>
      </c>
      <c r="L818" s="388" t="str">
        <f t="shared" ca="1" si="113"/>
        <v/>
      </c>
      <c r="M818" s="397" t="str">
        <f ca="1">IFERROR(IF(COUNTIF($B$517:$B817,"&lt;0")=1,"",OFFSET($C816,-COUNTIF($B$517:$B817,"&lt;0")+3,0)),"")</f>
        <v>a17Dm000000KyFIIA0</v>
      </c>
      <c r="N818" s="397">
        <f ca="1">IFERROR(IF(AND(_xlfn.ISFORMULA(I818),NOT(_xlfn.ISFORMULA(I817))),1,OFFSET($F816,-COUNTIF($B$517:B817,"&lt;0")+3,0)),"")</f>
        <v>20</v>
      </c>
      <c r="O818" s="384">
        <f t="shared" si="117"/>
        <v>0</v>
      </c>
      <c r="P818" s="384"/>
      <c r="Q818" s="384"/>
      <c r="R818" s="384"/>
      <c r="S818" s="384"/>
      <c r="T818" s="388"/>
    </row>
    <row r="819" spans="1:20" x14ac:dyDescent="0.3">
      <c r="A819" s="384" t="b">
        <f t="shared" ca="1" si="107"/>
        <v>0</v>
      </c>
      <c r="B819" s="384">
        <f t="shared" si="114"/>
        <v>120</v>
      </c>
      <c r="C819" s="400" t="str">
        <f t="shared" ca="1" si="108"/>
        <v>a17Dm000000KyFmIAK</v>
      </c>
      <c r="D819" s="397"/>
      <c r="E819" s="384">
        <f t="shared" si="115"/>
        <v>6</v>
      </c>
      <c r="F819" s="398">
        <f ca="1">IF(COUNTA(D$518:D819)=1,"",OFFSET(F817,-COUNTA(D$518:D819)+3,0))</f>
        <v>20</v>
      </c>
      <c r="G819" s="388" t="str">
        <f t="shared" ca="1" si="109"/>
        <v/>
      </c>
      <c r="H819" s="384">
        <f t="shared" si="116"/>
        <v>47</v>
      </c>
      <c r="I819" s="386" t="str">
        <f t="shared" ca="1" si="110"/>
        <v/>
      </c>
      <c r="J819" s="389" t="str">
        <f t="shared" ca="1" si="111"/>
        <v/>
      </c>
      <c r="K819" s="389" t="str">
        <f t="shared" ca="1" si="112"/>
        <v/>
      </c>
      <c r="L819" s="388" t="str">
        <f t="shared" ca="1" si="113"/>
        <v/>
      </c>
      <c r="M819" s="397" t="str">
        <f ca="1">IFERROR(IF(COUNTIF($B$517:$B818,"&lt;0")=1,"",OFFSET($C817,-COUNTIF($B$517:$B818,"&lt;0")+3,0)),"")</f>
        <v>a17Dm000000KyFmIAK</v>
      </c>
      <c r="N819" s="397">
        <f ca="1">IFERROR(IF(AND(_xlfn.ISFORMULA(I819),NOT(_xlfn.ISFORMULA(I818))),1,OFFSET($F817,-COUNTIF($B$517:B818,"&lt;0")+3,0)),"")</f>
        <v>20</v>
      </c>
      <c r="O819" s="384">
        <f t="shared" si="117"/>
        <v>0</v>
      </c>
      <c r="P819" s="384"/>
      <c r="Q819" s="384"/>
      <c r="R819" s="384"/>
      <c r="S819" s="384"/>
      <c r="T819" s="388"/>
    </row>
    <row r="820" spans="1:20" x14ac:dyDescent="0.3">
      <c r="A820" s="384" t="b">
        <f t="shared" ca="1" si="107"/>
        <v>1</v>
      </c>
      <c r="B820" s="384">
        <f t="shared" si="114"/>
        <v>121</v>
      </c>
      <c r="C820" s="400" t="str">
        <f t="shared" ca="1" si="108"/>
        <v>a17Dm000000KyDNIA0</v>
      </c>
      <c r="D820" s="397"/>
      <c r="E820" s="384">
        <f t="shared" si="115"/>
        <v>1</v>
      </c>
      <c r="F820" s="398">
        <f ca="1">IF(COUNTA(D$518:D820)=1,"",OFFSET(F818,-COUNTA(D$518:D820)+3,0))</f>
        <v>21</v>
      </c>
      <c r="G820" s="388" t="str">
        <f t="shared" ca="1" si="109"/>
        <v/>
      </c>
      <c r="H820" s="384">
        <f t="shared" si="116"/>
        <v>49</v>
      </c>
      <c r="I820" s="386">
        <f t="shared" ca="1" si="110"/>
        <v>98</v>
      </c>
      <c r="J820" s="389" t="str">
        <f t="shared" ca="1" si="111"/>
        <v/>
      </c>
      <c r="K820" s="389" t="str">
        <f t="shared" ca="1" si="112"/>
        <v/>
      </c>
      <c r="L820" s="388" t="str">
        <f t="shared" ca="1" si="113"/>
        <v/>
      </c>
      <c r="M820" s="397" t="str">
        <f ca="1">IFERROR(IF(COUNTIF($B$517:$B819,"&lt;0")=1,"",OFFSET($C818,-COUNTIF($B$517:$B819,"&lt;0")+3,0)),"")</f>
        <v>a17Dm000000KyDNIA0</v>
      </c>
      <c r="N820" s="397">
        <f ca="1">IFERROR(IF(AND(_xlfn.ISFORMULA(I820),NOT(_xlfn.ISFORMULA(I819))),1,OFFSET($F818,-COUNTIF($B$517:B819,"&lt;0")+3,0)),"")</f>
        <v>21</v>
      </c>
      <c r="O820" s="384">
        <f t="shared" si="117"/>
        <v>0</v>
      </c>
      <c r="P820" s="384"/>
      <c r="Q820" s="384"/>
      <c r="R820" s="384"/>
      <c r="S820" s="384"/>
      <c r="T820" s="388"/>
    </row>
    <row r="821" spans="1:20" x14ac:dyDescent="0.3">
      <c r="A821" s="384" t="b">
        <f t="shared" ca="1" si="107"/>
        <v>1</v>
      </c>
      <c r="B821" s="384">
        <f t="shared" si="114"/>
        <v>122</v>
      </c>
      <c r="C821" s="400" t="str">
        <f t="shared" ca="1" si="108"/>
        <v>a17Dm000000KyDrIAK</v>
      </c>
      <c r="D821" s="397"/>
      <c r="E821" s="384">
        <f t="shared" si="115"/>
        <v>2</v>
      </c>
      <c r="F821" s="398">
        <f ca="1">IF(COUNTA(D$518:D821)=1,"",OFFSET(F819,-COUNTA(D$518:D821)+3,0))</f>
        <v>21</v>
      </c>
      <c r="G821" s="388" t="str">
        <f t="shared" ca="1" si="109"/>
        <v/>
      </c>
      <c r="H821" s="384">
        <f t="shared" si="116"/>
        <v>49</v>
      </c>
      <c r="I821" s="386">
        <f t="shared" ca="1" si="110"/>
        <v>98</v>
      </c>
      <c r="J821" s="389" t="str">
        <f t="shared" ca="1" si="111"/>
        <v/>
      </c>
      <c r="K821" s="389" t="str">
        <f t="shared" ca="1" si="112"/>
        <v/>
      </c>
      <c r="L821" s="388" t="str">
        <f t="shared" ca="1" si="113"/>
        <v/>
      </c>
      <c r="M821" s="397" t="str">
        <f ca="1">IFERROR(IF(COUNTIF($B$517:$B820,"&lt;0")=1,"",OFFSET($C819,-COUNTIF($B$517:$B820,"&lt;0")+3,0)),"")</f>
        <v>a17Dm000000KyDrIAK</v>
      </c>
      <c r="N821" s="397">
        <f ca="1">IFERROR(IF(AND(_xlfn.ISFORMULA(I821),NOT(_xlfn.ISFORMULA(I820))),1,OFFSET($F819,-COUNTIF($B$517:B820,"&lt;0")+3,0)),"")</f>
        <v>21</v>
      </c>
      <c r="O821" s="384">
        <f t="shared" si="117"/>
        <v>0</v>
      </c>
      <c r="P821" s="384"/>
      <c r="Q821" s="384"/>
      <c r="R821" s="384"/>
      <c r="S821" s="384"/>
      <c r="T821" s="388"/>
    </row>
    <row r="822" spans="1:20" x14ac:dyDescent="0.3">
      <c r="A822" s="384" t="b">
        <f t="shared" ca="1" si="107"/>
        <v>1</v>
      </c>
      <c r="B822" s="384">
        <f t="shared" si="114"/>
        <v>123</v>
      </c>
      <c r="C822" s="400" t="str">
        <f t="shared" ca="1" si="108"/>
        <v>a17Dm000000KyELIA0</v>
      </c>
      <c r="D822" s="397"/>
      <c r="E822" s="384">
        <f t="shared" si="115"/>
        <v>3</v>
      </c>
      <c r="F822" s="398">
        <f ca="1">IF(COUNTA(D$518:D822)=1,"",OFFSET(F820,-COUNTA(D$518:D822)+3,0))</f>
        <v>21</v>
      </c>
      <c r="G822" s="388" t="str">
        <f t="shared" ca="1" si="109"/>
        <v/>
      </c>
      <c r="H822" s="384">
        <f t="shared" si="116"/>
        <v>49</v>
      </c>
      <c r="I822" s="386">
        <f t="shared" ca="1" si="110"/>
        <v>98</v>
      </c>
      <c r="J822" s="389" t="str">
        <f t="shared" ca="1" si="111"/>
        <v/>
      </c>
      <c r="K822" s="389" t="str">
        <f t="shared" ca="1" si="112"/>
        <v/>
      </c>
      <c r="L822" s="388" t="str">
        <f t="shared" ca="1" si="113"/>
        <v/>
      </c>
      <c r="M822" s="397" t="str">
        <f ca="1">IFERROR(IF(COUNTIF($B$517:$B821,"&lt;0")=1,"",OFFSET($C820,-COUNTIF($B$517:$B821,"&lt;0")+3,0)),"")</f>
        <v>a17Dm000000KyELIA0</v>
      </c>
      <c r="N822" s="397">
        <f ca="1">IFERROR(IF(AND(_xlfn.ISFORMULA(I822),NOT(_xlfn.ISFORMULA(I821))),1,OFFSET($F820,-COUNTIF($B$517:B821,"&lt;0")+3,0)),"")</f>
        <v>21</v>
      </c>
      <c r="O822" s="384">
        <f t="shared" si="117"/>
        <v>0</v>
      </c>
      <c r="P822" s="384"/>
      <c r="Q822" s="384"/>
      <c r="R822" s="384"/>
      <c r="S822" s="384"/>
      <c r="T822" s="388"/>
    </row>
    <row r="823" spans="1:20" x14ac:dyDescent="0.3">
      <c r="A823" s="384" t="b">
        <f t="shared" ca="1" si="107"/>
        <v>0</v>
      </c>
      <c r="B823" s="384">
        <f t="shared" si="114"/>
        <v>124</v>
      </c>
      <c r="C823" s="400" t="str">
        <f t="shared" ca="1" si="108"/>
        <v>a17Dm000000KyEpIAK</v>
      </c>
      <c r="D823" s="397"/>
      <c r="E823" s="384">
        <f t="shared" si="115"/>
        <v>4</v>
      </c>
      <c r="F823" s="398">
        <f ca="1">IF(COUNTA(D$518:D823)=1,"",OFFSET(F821,-COUNTA(D$518:D823)+3,0))</f>
        <v>21</v>
      </c>
      <c r="G823" s="388" t="str">
        <f t="shared" ca="1" si="109"/>
        <v/>
      </c>
      <c r="H823" s="384">
        <f t="shared" si="116"/>
        <v>49</v>
      </c>
      <c r="I823" s="386" t="str">
        <f t="shared" ca="1" si="110"/>
        <v/>
      </c>
      <c r="J823" s="389" t="str">
        <f t="shared" ca="1" si="111"/>
        <v/>
      </c>
      <c r="K823" s="389" t="str">
        <f t="shared" ca="1" si="112"/>
        <v/>
      </c>
      <c r="L823" s="388" t="str">
        <f t="shared" ca="1" si="113"/>
        <v/>
      </c>
      <c r="M823" s="397" t="str">
        <f ca="1">IFERROR(IF(COUNTIF($B$517:$B822,"&lt;0")=1,"",OFFSET($C821,-COUNTIF($B$517:$B822,"&lt;0")+3,0)),"")</f>
        <v>a17Dm000000KyEpIAK</v>
      </c>
      <c r="N823" s="397">
        <f ca="1">IFERROR(IF(AND(_xlfn.ISFORMULA(I823),NOT(_xlfn.ISFORMULA(I822))),1,OFFSET($F821,-COUNTIF($B$517:B822,"&lt;0")+3,0)),"")</f>
        <v>21</v>
      </c>
      <c r="O823" s="384">
        <f t="shared" si="117"/>
        <v>0</v>
      </c>
      <c r="P823" s="384"/>
      <c r="Q823" s="384"/>
      <c r="R823" s="384"/>
      <c r="S823" s="384"/>
      <c r="T823" s="388"/>
    </row>
    <row r="824" spans="1:20" x14ac:dyDescent="0.3">
      <c r="A824" s="384" t="b">
        <f t="shared" ca="1" si="107"/>
        <v>0</v>
      </c>
      <c r="B824" s="384">
        <f t="shared" si="114"/>
        <v>125</v>
      </c>
      <c r="C824" s="400" t="str">
        <f t="shared" ca="1" si="108"/>
        <v>a17Dm000000KyFJIA0</v>
      </c>
      <c r="D824" s="397"/>
      <c r="E824" s="384">
        <f t="shared" si="115"/>
        <v>5</v>
      </c>
      <c r="F824" s="398">
        <f ca="1">IF(COUNTA(D$518:D824)=1,"",OFFSET(F822,-COUNTA(D$518:D824)+3,0))</f>
        <v>21</v>
      </c>
      <c r="G824" s="388" t="str">
        <f t="shared" ca="1" si="109"/>
        <v/>
      </c>
      <c r="H824" s="384">
        <f t="shared" si="116"/>
        <v>49</v>
      </c>
      <c r="I824" s="386" t="str">
        <f t="shared" ca="1" si="110"/>
        <v/>
      </c>
      <c r="J824" s="389" t="str">
        <f t="shared" ca="1" si="111"/>
        <v/>
      </c>
      <c r="K824" s="389" t="str">
        <f t="shared" ca="1" si="112"/>
        <v/>
      </c>
      <c r="L824" s="388" t="str">
        <f t="shared" ca="1" si="113"/>
        <v/>
      </c>
      <c r="M824" s="397" t="str">
        <f ca="1">IFERROR(IF(COUNTIF($B$517:$B823,"&lt;0")=1,"",OFFSET($C822,-COUNTIF($B$517:$B823,"&lt;0")+3,0)),"")</f>
        <v>a17Dm000000KyFJIA0</v>
      </c>
      <c r="N824" s="397">
        <f ca="1">IFERROR(IF(AND(_xlfn.ISFORMULA(I824),NOT(_xlfn.ISFORMULA(I823))),1,OFFSET($F822,-COUNTIF($B$517:B823,"&lt;0")+3,0)),"")</f>
        <v>21</v>
      </c>
      <c r="O824" s="384">
        <f t="shared" si="117"/>
        <v>0</v>
      </c>
      <c r="P824" s="384"/>
      <c r="Q824" s="384"/>
      <c r="R824" s="384"/>
      <c r="S824" s="384"/>
      <c r="T824" s="388"/>
    </row>
    <row r="825" spans="1:20" x14ac:dyDescent="0.3">
      <c r="A825" s="384" t="b">
        <f t="shared" ca="1" si="107"/>
        <v>0</v>
      </c>
      <c r="B825" s="384">
        <f t="shared" si="114"/>
        <v>126</v>
      </c>
      <c r="C825" s="400" t="str">
        <f t="shared" ca="1" si="108"/>
        <v>a17Dm000000KyFnIAK</v>
      </c>
      <c r="D825" s="397"/>
      <c r="E825" s="384">
        <f t="shared" si="115"/>
        <v>6</v>
      </c>
      <c r="F825" s="398">
        <f ca="1">IF(COUNTA(D$518:D825)=1,"",OFFSET(F823,-COUNTA(D$518:D825)+3,0))</f>
        <v>21</v>
      </c>
      <c r="G825" s="388" t="str">
        <f t="shared" ca="1" si="109"/>
        <v/>
      </c>
      <c r="H825" s="384">
        <f t="shared" si="116"/>
        <v>49</v>
      </c>
      <c r="I825" s="386" t="str">
        <f t="shared" ca="1" si="110"/>
        <v/>
      </c>
      <c r="J825" s="389" t="str">
        <f t="shared" ca="1" si="111"/>
        <v/>
      </c>
      <c r="K825" s="389" t="str">
        <f t="shared" ca="1" si="112"/>
        <v/>
      </c>
      <c r="L825" s="388" t="str">
        <f t="shared" ca="1" si="113"/>
        <v/>
      </c>
      <c r="M825" s="397" t="str">
        <f ca="1">IFERROR(IF(COUNTIF($B$517:$B824,"&lt;0")=1,"",OFFSET($C823,-COUNTIF($B$517:$B824,"&lt;0")+3,0)),"")</f>
        <v>a17Dm000000KyFnIAK</v>
      </c>
      <c r="N825" s="397">
        <f ca="1">IFERROR(IF(AND(_xlfn.ISFORMULA(I825),NOT(_xlfn.ISFORMULA(I824))),1,OFFSET($F823,-COUNTIF($B$517:B824,"&lt;0")+3,0)),"")</f>
        <v>21</v>
      </c>
      <c r="O825" s="384">
        <f t="shared" si="117"/>
        <v>0</v>
      </c>
      <c r="P825" s="384"/>
      <c r="Q825" s="384"/>
      <c r="R825" s="384"/>
      <c r="S825" s="384"/>
      <c r="T825" s="388"/>
    </row>
    <row r="826" spans="1:20" x14ac:dyDescent="0.3">
      <c r="A826" s="384" t="b">
        <f t="shared" ca="1" si="107"/>
        <v>1</v>
      </c>
      <c r="B826" s="384">
        <f t="shared" si="114"/>
        <v>127</v>
      </c>
      <c r="C826" s="400" t="str">
        <f t="shared" ca="1" si="108"/>
        <v>a17Dm000000KyDOIA0</v>
      </c>
      <c r="D826" s="397"/>
      <c r="E826" s="384">
        <f t="shared" si="115"/>
        <v>1</v>
      </c>
      <c r="F826" s="398">
        <f ca="1">IF(COUNTA(D$518:D826)=1,"",OFFSET(F824,-COUNTA(D$518:D826)+3,0))</f>
        <v>22</v>
      </c>
      <c r="G826" s="388" t="str">
        <f t="shared" ca="1" si="109"/>
        <v/>
      </c>
      <c r="H826" s="384">
        <f t="shared" si="116"/>
        <v>51</v>
      </c>
      <c r="I826" s="386">
        <f t="shared" ca="1" si="110"/>
        <v>95</v>
      </c>
      <c r="J826" s="389" t="str">
        <f t="shared" ca="1" si="111"/>
        <v/>
      </c>
      <c r="K826" s="389" t="str">
        <f t="shared" ca="1" si="112"/>
        <v/>
      </c>
      <c r="L826" s="388" t="str">
        <f t="shared" ca="1" si="113"/>
        <v/>
      </c>
      <c r="M826" s="397" t="str">
        <f ca="1">IFERROR(IF(COUNTIF($B$517:$B825,"&lt;0")=1,"",OFFSET($C824,-COUNTIF($B$517:$B825,"&lt;0")+3,0)),"")</f>
        <v>a17Dm000000KyDOIA0</v>
      </c>
      <c r="N826" s="397">
        <f ca="1">IFERROR(IF(AND(_xlfn.ISFORMULA(I826),NOT(_xlfn.ISFORMULA(I825))),1,OFFSET($F824,-COUNTIF($B$517:B825,"&lt;0")+3,0)),"")</f>
        <v>22</v>
      </c>
      <c r="O826" s="384">
        <f t="shared" si="117"/>
        <v>0</v>
      </c>
      <c r="P826" s="384"/>
      <c r="Q826" s="384"/>
      <c r="R826" s="384"/>
      <c r="S826" s="384"/>
      <c r="T826" s="388"/>
    </row>
    <row r="827" spans="1:20" x14ac:dyDescent="0.3">
      <c r="A827" s="384" t="b">
        <f t="shared" ca="1" si="107"/>
        <v>1</v>
      </c>
      <c r="B827" s="384">
        <f t="shared" si="114"/>
        <v>128</v>
      </c>
      <c r="C827" s="400" t="str">
        <f t="shared" ca="1" si="108"/>
        <v>a17Dm000000KyDsIAK</v>
      </c>
      <c r="D827" s="397"/>
      <c r="E827" s="384">
        <f t="shared" si="115"/>
        <v>2</v>
      </c>
      <c r="F827" s="398">
        <f ca="1">IF(COUNTA(D$518:D827)=1,"",OFFSET(F825,-COUNTA(D$518:D827)+3,0))</f>
        <v>22</v>
      </c>
      <c r="G827" s="388" t="str">
        <f t="shared" ca="1" si="109"/>
        <v/>
      </c>
      <c r="H827" s="384">
        <f t="shared" si="116"/>
        <v>51</v>
      </c>
      <c r="I827" s="386">
        <f t="shared" ca="1" si="110"/>
        <v>97</v>
      </c>
      <c r="J827" s="389" t="str">
        <f t="shared" ca="1" si="111"/>
        <v/>
      </c>
      <c r="K827" s="389" t="str">
        <f t="shared" ca="1" si="112"/>
        <v/>
      </c>
      <c r="L827" s="388" t="str">
        <f t="shared" ca="1" si="113"/>
        <v/>
      </c>
      <c r="M827" s="397" t="str">
        <f ca="1">IFERROR(IF(COUNTIF($B$517:$B826,"&lt;0")=1,"",OFFSET($C825,-COUNTIF($B$517:$B826,"&lt;0")+3,0)),"")</f>
        <v>a17Dm000000KyDsIAK</v>
      </c>
      <c r="N827" s="397">
        <f ca="1">IFERROR(IF(AND(_xlfn.ISFORMULA(I827),NOT(_xlfn.ISFORMULA(I826))),1,OFFSET($F825,-COUNTIF($B$517:B826,"&lt;0")+3,0)),"")</f>
        <v>22</v>
      </c>
      <c r="O827" s="384">
        <f t="shared" si="117"/>
        <v>0</v>
      </c>
      <c r="P827" s="384"/>
      <c r="Q827" s="384"/>
      <c r="R827" s="384"/>
      <c r="S827" s="384"/>
      <c r="T827" s="388"/>
    </row>
    <row r="828" spans="1:20" x14ac:dyDescent="0.3">
      <c r="A828" s="384" t="b">
        <f t="shared" ref="A828:A879" ca="1" si="118">IF(OR(I828&lt;&gt;"",J828&lt;&gt;"",K828&lt;&gt;"",L828&lt;&gt;""),TRUE,FALSE)</f>
        <v>1</v>
      </c>
      <c r="B828" s="384">
        <f t="shared" si="114"/>
        <v>129</v>
      </c>
      <c r="C828" s="400" t="str">
        <f t="shared" ref="C828:C879" ca="1" si="119">M828</f>
        <v>a17Dm000000KyEMIA0</v>
      </c>
      <c r="D828" s="397"/>
      <c r="E828" s="384">
        <f t="shared" si="115"/>
        <v>3</v>
      </c>
      <c r="F828" s="398">
        <f ca="1">IF(COUNTA(D$518:D828)=1,"",OFFSET(F826,-COUNTA(D$518:D828)+3,0))</f>
        <v>22</v>
      </c>
      <c r="G828" s="388" t="str">
        <f t="shared" ref="G828:G879" ca="1" si="120">IFERROR(IF(INDIRECT("'Coverage Indicators - Section I'!G"&amp;$I312)="","",INDIRECT("'Coverage Indicators - Section I'!G"&amp;$I312)),"")</f>
        <v/>
      </c>
      <c r="H828" s="384">
        <f t="shared" si="116"/>
        <v>51</v>
      </c>
      <c r="I828" s="386">
        <f t="shared" ref="I828:I879" ca="1" si="121">IFERROR(CHOOSE(E828,IFERROR(IF(INDIRECT("'Coverage Indicators - Section D'!O"&amp;H828)="","",INDIRECT("'Coverage Indicators - Section D'!O"&amp;H828)*100),""),IFERROR(IF(INDIRECT("'Coverage Indicators - Section D'!R"&amp;H828)="","",INDIRECT("'Coverage Indicators - Section D'!R"&amp;H828)*100),""),IFERROR(IF(INDIRECT("'Coverage Indicators - Section D'!U"&amp;H828)="","",INDIRECT("'Coverage Indicators - Section D'!U"&amp;H828)*100),""),IFERROR(IF(INDIRECT("'Coverage Indicators - Section D'!X"&amp;H828)="","",INDIRECT("'Coverage Indicators - Section D'!X"&amp;H828)*100),""),IFERROR(IF(INDIRECT("'Coverage Indicators - Section D'!AA"&amp;H828)="","",INDIRECT("'Coverage Indicators - Section D'!AA"&amp;H828)*100),""),IFERROR(IF(INDIRECT("'Coverage Indicators - Section D'!AD"&amp;H828)="","",INDIRECT("'Coverage Indicators - Section D'!AD"&amp;H828)*100),""),IFERROR(IF(INDIRECT("'Coverage Indicators - Section D'!AG"&amp;H828)="","",INDIRECT("'Coverage Indicators - Section D'!AG"&amp;H828)*100),""),IFERROR(IF(INDIRECT("'Coverage Indicators - Section D'!AJ"&amp;H828)="","",INDIRECT("'Coverage Indicators - Section D'!AJ"&amp;H828)*100),"")),"")</f>
        <v>98</v>
      </c>
      <c r="J828" s="389" t="str">
        <f t="shared" ref="J828:J879" ca="1" si="122">IFERROR(CHOOSE(E828,IFERROR(IF(INDIRECT("'Coverage Indicators - Section D'!N"&amp;H828+1)="","",INDIRECT("'Coverage Indicators - Section D'!N"&amp;H828+1)),""),IFERROR(IF(INDIRECT("'Coverage Indicators - Section D'!Q"&amp;H828+1)="","",INDIRECT("'Coverage Indicators - Section D'!Q"&amp;H828+1)),""),IFERROR(IF(INDIRECT("'Coverage Indicators - Section D'!T"&amp;H828+1)="","",INDIRECT("'Coverage Indicators - Section D'!T"&amp;H828+1)),""),IFERROR(IF(INDIRECT("'Coverage Indicators - Section D'!W"&amp;H828+1)="","",INDIRECT("'Coverage Indicators - Section D'!W"&amp;H828+1)),""),IFERROR(IF(INDIRECT("'Coverage Indicators - Section D'!Z"&amp;H828+1)="","",INDIRECT("'Coverage Indicators - Section D'!Z"&amp;H828+1)),""),IFERROR(IF(INDIRECT("'Coverage Indicators - Section D'!AC"&amp;H828+1)="","",INDIRECT("'Coverage Indicators - Section D'!AC"&amp;H828+1)),""),IFERROR(IF(INDIRECT("'Coverage Indicators - Section D'!AF"&amp;H828+1)="","",INDIRECT("'Coverage Indicators - Section D'!AF"&amp;H828+1)),""),IFERROR(IF(INDIRECT("'Coverage Indicators - Section D'!AI"&amp;H828+1)="","",INDIRECT("'Coverage Indicators - Section D'!AI"&amp;H828+1)),"")),"")</f>
        <v/>
      </c>
      <c r="K828" s="389" t="str">
        <f t="shared" ref="K828:K879" ca="1" si="123">IFERROR(CHOOSE(E828,IFERROR(IF(INDIRECT("'Coverage Indicators - Section D'!N"&amp;H828)="","",INDIRECT("'Coverage Indicators - Section D'!N"&amp;H828)),""),IFERROR(IF(INDIRECT("'Coverage Indicators - Section D'!Q"&amp;H828)="","",INDIRECT("'Coverage Indicators - Section D'!Q"&amp;H828)),""),IFERROR(IF(INDIRECT("'Coverage Indicators - Section D'!T"&amp;H828)="","",INDIRECT("'Coverage Indicators - Section D'!T"&amp;H828)),""),IFERROR(IF(INDIRECT("'Coverage Indicators - Section D'!W"&amp;H828)="","",INDIRECT("'Coverage Indicators - Section D'!W"&amp;H828)),""),IFERROR(IF(INDIRECT("'Coverage Indicators - Section D'!Z"&amp;H828)="","",INDIRECT("'Coverage Indicators - Section D'!Z"&amp;H828)),""),IFERROR(IF(INDIRECT("'Coverage Indicators - Section D'!AC"&amp;H828)="","",INDIRECT("'Coverage Indicators - Section D'!AC"&amp;H828)),""),IFERROR(IF(INDIRECT("'Coverage Indicators - Section D'!AF"&amp;H828)="","",INDIRECT("'Coverage Indicators - Section D'!AF"&amp;H828)),""),IFERROR(IF(INDIRECT("'Coverage Indicators - Section D'!AI"&amp;H828)="","",INDIRECT("'Coverage Indicators - Section D'!AI"&amp;H828)),"")),"")</f>
        <v/>
      </c>
      <c r="L828" s="388" t="str">
        <f t="shared" ref="L828:L879" ca="1" si="124">IF(IFERROR(CHOOSE(E828,IFERROR(IF(INDIRECT("'Coverage Indicators - Section D'!P"&amp;H828)=0,"",INDIRECT("'Coverage Indicators - Section D'!P"&amp;H828)),""),IFERROR(IF(INDIRECT("'Coverage Indicators - Section D'!S"&amp;H828)=0,"",INDIRECT("'Coverage Indicators - Section D'!S"&amp;H828)),""),IFERROR(IF(INDIRECT("'Coverage Indicators - Section D'!V"&amp;H828)=0,"",INDIRECT("'Coverage Indicators - Section D'!V"&amp;H828)),""),IFERROR(IF(INDIRECT("'Coverage Indicators - Section D'!Y"&amp;H828)=0,"",INDIRECT("'Coverage Indicators - Section D'!Y"&amp;H828)),""),IFERROR(IF(INDIRECT("'Coverage Indicators - Section D'!AB"&amp;H828)=0,"",INDIRECT("'Coverage Indicators - Section D'!AB"&amp;H828)),""),IFERROR(IF(INDIRECT("'Coverage Indicators - Section D'!AE"&amp;H828)=0,"",INDIRECT("'Coverage Indicators - Section D'!AE"&amp;H828)),""),IFERROR(IF(INDIRECT("'Coverage Indicators - Section D'!AH"&amp;H828)=0,"",INDIRECT("'Coverage Indicators - Section D'!AH"&amp;H828)),""),IFERROR(IF(INDIRECT("'Coverage Indicators - Section D'!AK"&amp;H828)=0,"",INDIRECT("'Coverage Indicators - Section D'!AK"&amp;H828)),""),),"")=0,"",IFERROR(CHOOSE(E828,IFERROR(IF(INDIRECT("'Coverage Indicators - Section D'!P"&amp;H828)=0,"",INDIRECT("'Coverage Indicators - Section D'!P"&amp;H828)),""),IFERROR(IF(INDIRECT("'Coverage Indicators - Section D'!S"&amp;H828)=0,"",INDIRECT("'Coverage Indicators - Section D'!S"&amp;H828)),""),IFERROR(IF(INDIRECT("'Coverage Indicators - Section D'!V"&amp;H828)=0,"",INDIRECT("'Coverage Indicators - Section D'!V"&amp;H828)),""),IFERROR(IF(INDIRECT("'Coverage Indicators - Section D'!Y"&amp;H828)=0,"",INDIRECT("'Coverage Indicators - Section D'!Y"&amp;H828)),""),IFERROR(IF(INDIRECT("'Coverage Indicators - Section D'!AB"&amp;H828)=0,"",INDIRECT("'Coverage Indicators - Section D'!AB"&amp;H828)),""),IFERROR(IF(INDIRECT("'Coverage Indicators - Section D'!AE"&amp;H828)=0,"",INDIRECT("'Coverage Indicators - Section D'!AE"&amp;H828)),""),IFERROR(IF(INDIRECT("'Coverage Indicators - Section D'!AH"&amp;H828)=0,"",INDIRECT("'Coverage Indicators - Section D'!AH"&amp;H828)),""),IFERROR(IF(INDIRECT("'Coverage Indicators - Section D'!AK"&amp;H828)=0,"",INDIRECT("'Coverage Indicators - Section D'!AK"&amp;H828)),""),),""))</f>
        <v/>
      </c>
      <c r="M828" s="397" t="str">
        <f ca="1">IFERROR(IF(COUNTIF($B$517:$B827,"&lt;0")=1,"",OFFSET($C826,-COUNTIF($B$517:$B827,"&lt;0")+3,0)),"")</f>
        <v>a17Dm000000KyEMIA0</v>
      </c>
      <c r="N828" s="397">
        <f ca="1">IFERROR(IF(AND(_xlfn.ISFORMULA(I828),NOT(_xlfn.ISFORMULA(I827))),1,OFFSET($F826,-COUNTIF($B$517:B827,"&lt;0")+3,0)),"")</f>
        <v>22</v>
      </c>
      <c r="O828" s="384">
        <f t="shared" si="117"/>
        <v>0</v>
      </c>
      <c r="P828" s="384"/>
      <c r="Q828" s="384"/>
      <c r="R828" s="384"/>
      <c r="S828" s="384"/>
      <c r="T828" s="388"/>
    </row>
    <row r="829" spans="1:20" x14ac:dyDescent="0.3">
      <c r="A829" s="384" t="b">
        <f t="shared" ca="1" si="118"/>
        <v>0</v>
      </c>
      <c r="B829" s="384">
        <f t="shared" si="114"/>
        <v>130</v>
      </c>
      <c r="C829" s="400" t="str">
        <f t="shared" ca="1" si="119"/>
        <v>a17Dm000000KyEqIAK</v>
      </c>
      <c r="D829" s="397"/>
      <c r="E829" s="384">
        <f t="shared" si="115"/>
        <v>4</v>
      </c>
      <c r="F829" s="398">
        <f ca="1">IF(COUNTA(D$518:D829)=1,"",OFFSET(F827,-COUNTA(D$518:D829)+3,0))</f>
        <v>22</v>
      </c>
      <c r="G829" s="388" t="str">
        <f t="shared" ca="1" si="120"/>
        <v/>
      </c>
      <c r="H829" s="384">
        <f t="shared" si="116"/>
        <v>51</v>
      </c>
      <c r="I829" s="386" t="str">
        <f t="shared" ca="1" si="121"/>
        <v/>
      </c>
      <c r="J829" s="389" t="str">
        <f t="shared" ca="1" si="122"/>
        <v/>
      </c>
      <c r="K829" s="389" t="str">
        <f t="shared" ca="1" si="123"/>
        <v/>
      </c>
      <c r="L829" s="388" t="str">
        <f t="shared" ca="1" si="124"/>
        <v/>
      </c>
      <c r="M829" s="397" t="str">
        <f ca="1">IFERROR(IF(COUNTIF($B$517:$B828,"&lt;0")=1,"",OFFSET($C827,-COUNTIF($B$517:$B828,"&lt;0")+3,0)),"")</f>
        <v>a17Dm000000KyEqIAK</v>
      </c>
      <c r="N829" s="397">
        <f ca="1">IFERROR(IF(AND(_xlfn.ISFORMULA(I829),NOT(_xlfn.ISFORMULA(I828))),1,OFFSET($F827,-COUNTIF($B$517:B828,"&lt;0")+3,0)),"")</f>
        <v>22</v>
      </c>
      <c r="O829" s="384">
        <f t="shared" si="117"/>
        <v>0</v>
      </c>
      <c r="P829" s="384"/>
      <c r="Q829" s="384"/>
      <c r="R829" s="384"/>
      <c r="S829" s="384"/>
      <c r="T829" s="388"/>
    </row>
    <row r="830" spans="1:20" x14ac:dyDescent="0.3">
      <c r="A830" s="384" t="b">
        <f t="shared" ca="1" si="118"/>
        <v>0</v>
      </c>
      <c r="B830" s="384">
        <f t="shared" si="114"/>
        <v>131</v>
      </c>
      <c r="C830" s="400" t="str">
        <f t="shared" ca="1" si="119"/>
        <v>a17Dm000000KyFKIA0</v>
      </c>
      <c r="D830" s="397"/>
      <c r="E830" s="384">
        <f t="shared" si="115"/>
        <v>5</v>
      </c>
      <c r="F830" s="398">
        <f ca="1">IF(COUNTA(D$518:D830)=1,"",OFFSET(F828,-COUNTA(D$518:D830)+3,0))</f>
        <v>22</v>
      </c>
      <c r="G830" s="388" t="str">
        <f t="shared" ca="1" si="120"/>
        <v/>
      </c>
      <c r="H830" s="384">
        <f t="shared" si="116"/>
        <v>51</v>
      </c>
      <c r="I830" s="386" t="str">
        <f t="shared" ca="1" si="121"/>
        <v/>
      </c>
      <c r="J830" s="389" t="str">
        <f t="shared" ca="1" si="122"/>
        <v/>
      </c>
      <c r="K830" s="389" t="str">
        <f t="shared" ca="1" si="123"/>
        <v/>
      </c>
      <c r="L830" s="388" t="str">
        <f t="shared" ca="1" si="124"/>
        <v/>
      </c>
      <c r="M830" s="397" t="str">
        <f ca="1">IFERROR(IF(COUNTIF($B$517:$B829,"&lt;0")=1,"",OFFSET($C828,-COUNTIF($B$517:$B829,"&lt;0")+3,0)),"")</f>
        <v>a17Dm000000KyFKIA0</v>
      </c>
      <c r="N830" s="397">
        <f ca="1">IFERROR(IF(AND(_xlfn.ISFORMULA(I830),NOT(_xlfn.ISFORMULA(I829))),1,OFFSET($F828,-COUNTIF($B$517:B829,"&lt;0")+3,0)),"")</f>
        <v>22</v>
      </c>
      <c r="O830" s="384">
        <f t="shared" si="117"/>
        <v>0</v>
      </c>
      <c r="P830" s="384"/>
      <c r="Q830" s="384"/>
      <c r="R830" s="384"/>
      <c r="S830" s="384"/>
      <c r="T830" s="388"/>
    </row>
    <row r="831" spans="1:20" x14ac:dyDescent="0.3">
      <c r="A831" s="384" t="b">
        <f t="shared" ca="1" si="118"/>
        <v>0</v>
      </c>
      <c r="B831" s="384">
        <f t="shared" si="114"/>
        <v>132</v>
      </c>
      <c r="C831" s="400" t="str">
        <f t="shared" ca="1" si="119"/>
        <v>a17Dm000000KyFoIAK</v>
      </c>
      <c r="D831" s="397"/>
      <c r="E831" s="384">
        <f t="shared" si="115"/>
        <v>6</v>
      </c>
      <c r="F831" s="398">
        <f ca="1">IF(COUNTA(D$518:D831)=1,"",OFFSET(F829,-COUNTA(D$518:D831)+3,0))</f>
        <v>22</v>
      </c>
      <c r="G831" s="388" t="str">
        <f t="shared" ca="1" si="120"/>
        <v/>
      </c>
      <c r="H831" s="384">
        <f t="shared" si="116"/>
        <v>51</v>
      </c>
      <c r="I831" s="386" t="str">
        <f t="shared" ca="1" si="121"/>
        <v/>
      </c>
      <c r="J831" s="389" t="str">
        <f t="shared" ca="1" si="122"/>
        <v/>
      </c>
      <c r="K831" s="389" t="str">
        <f t="shared" ca="1" si="123"/>
        <v/>
      </c>
      <c r="L831" s="388" t="str">
        <f t="shared" ca="1" si="124"/>
        <v/>
      </c>
      <c r="M831" s="397" t="str">
        <f ca="1">IFERROR(IF(COUNTIF($B$517:$B830,"&lt;0")=1,"",OFFSET($C829,-COUNTIF($B$517:$B830,"&lt;0")+3,0)),"")</f>
        <v>a17Dm000000KyFoIAK</v>
      </c>
      <c r="N831" s="397">
        <f ca="1">IFERROR(IF(AND(_xlfn.ISFORMULA(I831),NOT(_xlfn.ISFORMULA(I830))),1,OFFSET($F829,-COUNTIF($B$517:B830,"&lt;0")+3,0)),"")</f>
        <v>22</v>
      </c>
      <c r="O831" s="384">
        <f t="shared" si="117"/>
        <v>0</v>
      </c>
      <c r="P831" s="384"/>
      <c r="Q831" s="384"/>
      <c r="R831" s="384"/>
      <c r="S831" s="384"/>
      <c r="T831" s="388"/>
    </row>
    <row r="832" spans="1:20" x14ac:dyDescent="0.3">
      <c r="A832" s="384" t="b">
        <f t="shared" ca="1" si="118"/>
        <v>1</v>
      </c>
      <c r="B832" s="384">
        <f t="shared" si="114"/>
        <v>133</v>
      </c>
      <c r="C832" s="400" t="str">
        <f t="shared" ca="1" si="119"/>
        <v>a17Dm000000KyDPIA0</v>
      </c>
      <c r="D832" s="397"/>
      <c r="E832" s="384">
        <f t="shared" si="115"/>
        <v>1</v>
      </c>
      <c r="F832" s="398">
        <f ca="1">IF(COUNTA(D$518:D832)=1,"",OFFSET(F830,-COUNTA(D$518:D832)+3,0))</f>
        <v>23</v>
      </c>
      <c r="G832" s="388" t="str">
        <f t="shared" ca="1" si="120"/>
        <v/>
      </c>
      <c r="H832" s="384">
        <f t="shared" si="116"/>
        <v>53</v>
      </c>
      <c r="I832" s="386">
        <f t="shared" ca="1" si="121"/>
        <v>80</v>
      </c>
      <c r="J832" s="389" t="str">
        <f t="shared" ca="1" si="122"/>
        <v/>
      </c>
      <c r="K832" s="389" t="str">
        <f t="shared" ca="1" si="123"/>
        <v/>
      </c>
      <c r="L832" s="388" t="str">
        <f t="shared" ca="1" si="124"/>
        <v/>
      </c>
      <c r="M832" s="397" t="str">
        <f ca="1">IFERROR(IF(COUNTIF($B$517:$B831,"&lt;0")=1,"",OFFSET($C830,-COUNTIF($B$517:$B831,"&lt;0")+3,0)),"")</f>
        <v>a17Dm000000KyDPIA0</v>
      </c>
      <c r="N832" s="397">
        <f ca="1">IFERROR(IF(AND(_xlfn.ISFORMULA(I832),NOT(_xlfn.ISFORMULA(I831))),1,OFFSET($F830,-COUNTIF($B$517:B831,"&lt;0")+3,0)),"")</f>
        <v>23</v>
      </c>
      <c r="O832" s="384">
        <f t="shared" si="117"/>
        <v>0</v>
      </c>
      <c r="P832" s="384"/>
      <c r="Q832" s="384"/>
      <c r="R832" s="384"/>
      <c r="S832" s="384"/>
      <c r="T832" s="388"/>
    </row>
    <row r="833" spans="1:20" x14ac:dyDescent="0.3">
      <c r="A833" s="384" t="b">
        <f t="shared" ca="1" si="118"/>
        <v>1</v>
      </c>
      <c r="B833" s="384">
        <f t="shared" si="114"/>
        <v>134</v>
      </c>
      <c r="C833" s="400" t="str">
        <f t="shared" ca="1" si="119"/>
        <v>a17Dm000000KyDtIAK</v>
      </c>
      <c r="D833" s="397"/>
      <c r="E833" s="384">
        <f t="shared" si="115"/>
        <v>2</v>
      </c>
      <c r="F833" s="398">
        <f ca="1">IF(COUNTA(D$518:D833)=1,"",OFFSET(F831,-COUNTA(D$518:D833)+3,0))</f>
        <v>23</v>
      </c>
      <c r="G833" s="388" t="str">
        <f t="shared" ca="1" si="120"/>
        <v/>
      </c>
      <c r="H833" s="384">
        <f t="shared" si="116"/>
        <v>53</v>
      </c>
      <c r="I833" s="386">
        <f t="shared" ca="1" si="121"/>
        <v>82</v>
      </c>
      <c r="J833" s="389" t="str">
        <f t="shared" ca="1" si="122"/>
        <v/>
      </c>
      <c r="K833" s="389" t="str">
        <f t="shared" ca="1" si="123"/>
        <v/>
      </c>
      <c r="L833" s="388" t="str">
        <f t="shared" ca="1" si="124"/>
        <v/>
      </c>
      <c r="M833" s="397" t="str">
        <f ca="1">IFERROR(IF(COUNTIF($B$517:$B832,"&lt;0")=1,"",OFFSET($C831,-COUNTIF($B$517:$B832,"&lt;0")+3,0)),"")</f>
        <v>a17Dm000000KyDtIAK</v>
      </c>
      <c r="N833" s="397">
        <f ca="1">IFERROR(IF(AND(_xlfn.ISFORMULA(I833),NOT(_xlfn.ISFORMULA(I832))),1,OFFSET($F831,-COUNTIF($B$517:B832,"&lt;0")+3,0)),"")</f>
        <v>23</v>
      </c>
      <c r="O833" s="384">
        <f t="shared" si="117"/>
        <v>0</v>
      </c>
      <c r="P833" s="384"/>
      <c r="Q833" s="384"/>
      <c r="R833" s="384"/>
      <c r="S833" s="384"/>
      <c r="T833" s="388"/>
    </row>
    <row r="834" spans="1:20" x14ac:dyDescent="0.3">
      <c r="A834" s="384" t="b">
        <f t="shared" ca="1" si="118"/>
        <v>1</v>
      </c>
      <c r="B834" s="384">
        <f t="shared" si="114"/>
        <v>135</v>
      </c>
      <c r="C834" s="400" t="str">
        <f t="shared" ca="1" si="119"/>
        <v>a17Dm000000KyENIA0</v>
      </c>
      <c r="D834" s="397"/>
      <c r="E834" s="384">
        <f t="shared" si="115"/>
        <v>3</v>
      </c>
      <c r="F834" s="398">
        <f ca="1">IF(COUNTA(D$518:D834)=1,"",OFFSET(F832,-COUNTA(D$518:D834)+3,0))</f>
        <v>23</v>
      </c>
      <c r="G834" s="388" t="str">
        <f t="shared" ca="1" si="120"/>
        <v/>
      </c>
      <c r="H834" s="384">
        <f t="shared" si="116"/>
        <v>53</v>
      </c>
      <c r="I834" s="386">
        <f t="shared" ca="1" si="121"/>
        <v>85</v>
      </c>
      <c r="J834" s="389" t="str">
        <f t="shared" ca="1" si="122"/>
        <v/>
      </c>
      <c r="K834" s="389" t="str">
        <f t="shared" ca="1" si="123"/>
        <v/>
      </c>
      <c r="L834" s="388" t="str">
        <f t="shared" ca="1" si="124"/>
        <v/>
      </c>
      <c r="M834" s="397" t="str">
        <f ca="1">IFERROR(IF(COUNTIF($B$517:$B833,"&lt;0")=1,"",OFFSET($C832,-COUNTIF($B$517:$B833,"&lt;0")+3,0)),"")</f>
        <v>a17Dm000000KyENIA0</v>
      </c>
      <c r="N834" s="397">
        <f ca="1">IFERROR(IF(AND(_xlfn.ISFORMULA(I834),NOT(_xlfn.ISFORMULA(I833))),1,OFFSET($F832,-COUNTIF($B$517:B833,"&lt;0")+3,0)),"")</f>
        <v>23</v>
      </c>
      <c r="O834" s="384">
        <f t="shared" si="117"/>
        <v>0</v>
      </c>
      <c r="P834" s="384"/>
      <c r="Q834" s="384"/>
      <c r="R834" s="384"/>
      <c r="S834" s="384"/>
      <c r="T834" s="388"/>
    </row>
    <row r="835" spans="1:20" x14ac:dyDescent="0.3">
      <c r="A835" s="384" t="b">
        <f t="shared" ca="1" si="118"/>
        <v>0</v>
      </c>
      <c r="B835" s="384">
        <f t="shared" si="114"/>
        <v>136</v>
      </c>
      <c r="C835" s="400" t="str">
        <f t="shared" ca="1" si="119"/>
        <v>a17Dm000000KyErIAK</v>
      </c>
      <c r="D835" s="397"/>
      <c r="E835" s="384">
        <f t="shared" si="115"/>
        <v>4</v>
      </c>
      <c r="F835" s="398">
        <f ca="1">IF(COUNTA(D$518:D835)=1,"",OFFSET(F833,-COUNTA(D$518:D835)+3,0))</f>
        <v>23</v>
      </c>
      <c r="G835" s="388" t="str">
        <f t="shared" ca="1" si="120"/>
        <v/>
      </c>
      <c r="H835" s="384">
        <f t="shared" si="116"/>
        <v>53</v>
      </c>
      <c r="I835" s="386" t="str">
        <f t="shared" ca="1" si="121"/>
        <v/>
      </c>
      <c r="J835" s="389" t="str">
        <f t="shared" ca="1" si="122"/>
        <v/>
      </c>
      <c r="K835" s="389" t="str">
        <f t="shared" ca="1" si="123"/>
        <v/>
      </c>
      <c r="L835" s="388" t="str">
        <f t="shared" ca="1" si="124"/>
        <v/>
      </c>
      <c r="M835" s="397" t="str">
        <f ca="1">IFERROR(IF(COUNTIF($B$517:$B834,"&lt;0")=1,"",OFFSET($C833,-COUNTIF($B$517:$B834,"&lt;0")+3,0)),"")</f>
        <v>a17Dm000000KyErIAK</v>
      </c>
      <c r="N835" s="397">
        <f ca="1">IFERROR(IF(AND(_xlfn.ISFORMULA(I835),NOT(_xlfn.ISFORMULA(I834))),1,OFFSET($F833,-COUNTIF($B$517:B834,"&lt;0")+3,0)),"")</f>
        <v>23</v>
      </c>
      <c r="O835" s="384">
        <f t="shared" si="117"/>
        <v>0</v>
      </c>
      <c r="P835" s="384"/>
      <c r="Q835" s="384"/>
      <c r="R835" s="384"/>
      <c r="S835" s="384"/>
      <c r="T835" s="388"/>
    </row>
    <row r="836" spans="1:20" x14ac:dyDescent="0.3">
      <c r="A836" s="384" t="b">
        <f t="shared" ca="1" si="118"/>
        <v>0</v>
      </c>
      <c r="B836" s="384">
        <f t="shared" si="114"/>
        <v>137</v>
      </c>
      <c r="C836" s="400" t="str">
        <f t="shared" ca="1" si="119"/>
        <v>a17Dm000000KyFLIA0</v>
      </c>
      <c r="D836" s="397"/>
      <c r="E836" s="384">
        <f t="shared" si="115"/>
        <v>5</v>
      </c>
      <c r="F836" s="398">
        <f ca="1">IF(COUNTA(D$518:D836)=1,"",OFFSET(F834,-COUNTA(D$518:D836)+3,0))</f>
        <v>23</v>
      </c>
      <c r="G836" s="388" t="str">
        <f t="shared" ca="1" si="120"/>
        <v/>
      </c>
      <c r="H836" s="384">
        <f t="shared" si="116"/>
        <v>53</v>
      </c>
      <c r="I836" s="386" t="str">
        <f t="shared" ca="1" si="121"/>
        <v/>
      </c>
      <c r="J836" s="389" t="str">
        <f t="shared" ca="1" si="122"/>
        <v/>
      </c>
      <c r="K836" s="389" t="str">
        <f t="shared" ca="1" si="123"/>
        <v/>
      </c>
      <c r="L836" s="388" t="str">
        <f t="shared" ca="1" si="124"/>
        <v/>
      </c>
      <c r="M836" s="397" t="str">
        <f ca="1">IFERROR(IF(COUNTIF($B$517:$B835,"&lt;0")=1,"",OFFSET($C834,-COUNTIF($B$517:$B835,"&lt;0")+3,0)),"")</f>
        <v>a17Dm000000KyFLIA0</v>
      </c>
      <c r="N836" s="397">
        <f ca="1">IFERROR(IF(AND(_xlfn.ISFORMULA(I836),NOT(_xlfn.ISFORMULA(I835))),1,OFFSET($F834,-COUNTIF($B$517:B835,"&lt;0")+3,0)),"")</f>
        <v>23</v>
      </c>
      <c r="O836" s="384">
        <f t="shared" si="117"/>
        <v>0</v>
      </c>
      <c r="P836" s="384"/>
      <c r="Q836" s="384"/>
      <c r="R836" s="384"/>
      <c r="S836" s="384"/>
      <c r="T836" s="388"/>
    </row>
    <row r="837" spans="1:20" x14ac:dyDescent="0.3">
      <c r="A837" s="384" t="b">
        <f t="shared" ca="1" si="118"/>
        <v>0</v>
      </c>
      <c r="B837" s="384">
        <f t="shared" si="114"/>
        <v>138</v>
      </c>
      <c r="C837" s="400" t="str">
        <f t="shared" ca="1" si="119"/>
        <v>a17Dm000000KyFpIAK</v>
      </c>
      <c r="D837" s="397"/>
      <c r="E837" s="384">
        <f t="shared" si="115"/>
        <v>6</v>
      </c>
      <c r="F837" s="398">
        <f ca="1">IF(COUNTA(D$518:D837)=1,"",OFFSET(F835,-COUNTA(D$518:D837)+3,0))</f>
        <v>23</v>
      </c>
      <c r="G837" s="388" t="str">
        <f t="shared" ca="1" si="120"/>
        <v/>
      </c>
      <c r="H837" s="384">
        <f t="shared" si="116"/>
        <v>53</v>
      </c>
      <c r="I837" s="386" t="str">
        <f t="shared" ca="1" si="121"/>
        <v/>
      </c>
      <c r="J837" s="389" t="str">
        <f t="shared" ca="1" si="122"/>
        <v/>
      </c>
      <c r="K837" s="389" t="str">
        <f t="shared" ca="1" si="123"/>
        <v/>
      </c>
      <c r="L837" s="388" t="str">
        <f t="shared" ca="1" si="124"/>
        <v/>
      </c>
      <c r="M837" s="397" t="str">
        <f ca="1">IFERROR(IF(COUNTIF($B$517:$B836,"&lt;0")=1,"",OFFSET($C835,-COUNTIF($B$517:$B836,"&lt;0")+3,0)),"")</f>
        <v>a17Dm000000KyFpIAK</v>
      </c>
      <c r="N837" s="397">
        <f ca="1">IFERROR(IF(AND(_xlfn.ISFORMULA(I837),NOT(_xlfn.ISFORMULA(I836))),1,OFFSET($F835,-COUNTIF($B$517:B836,"&lt;0")+3,0)),"")</f>
        <v>23</v>
      </c>
      <c r="O837" s="384">
        <f t="shared" si="117"/>
        <v>0</v>
      </c>
      <c r="P837" s="384"/>
      <c r="Q837" s="384"/>
      <c r="R837" s="384"/>
      <c r="S837" s="384"/>
      <c r="T837" s="388"/>
    </row>
    <row r="838" spans="1:20" x14ac:dyDescent="0.3">
      <c r="A838" s="384" t="b">
        <f t="shared" ca="1" si="118"/>
        <v>1</v>
      </c>
      <c r="B838" s="384">
        <f t="shared" si="114"/>
        <v>139</v>
      </c>
      <c r="C838" s="400" t="str">
        <f t="shared" ca="1" si="119"/>
        <v>a17Dm000000KyDQIA0</v>
      </c>
      <c r="D838" s="397"/>
      <c r="E838" s="384">
        <f t="shared" si="115"/>
        <v>1</v>
      </c>
      <c r="F838" s="398">
        <f ca="1">IF(COUNTA(D$518:D838)=1,"",OFFSET(F836,-COUNTA(D$518:D838)+3,0))</f>
        <v>24</v>
      </c>
      <c r="G838" s="388" t="str">
        <f t="shared" ca="1" si="120"/>
        <v/>
      </c>
      <c r="H838" s="384">
        <f t="shared" si="116"/>
        <v>55</v>
      </c>
      <c r="I838" s="386">
        <f t="shared" ca="1" si="121"/>
        <v>75</v>
      </c>
      <c r="J838" s="389" t="str">
        <f t="shared" ca="1" si="122"/>
        <v/>
      </c>
      <c r="K838" s="389" t="str">
        <f t="shared" ca="1" si="123"/>
        <v/>
      </c>
      <c r="L838" s="388" t="str">
        <f t="shared" ca="1" si="124"/>
        <v/>
      </c>
      <c r="M838" s="397" t="str">
        <f ca="1">IFERROR(IF(COUNTIF($B$517:$B837,"&lt;0")=1,"",OFFSET($C836,-COUNTIF($B$517:$B837,"&lt;0")+3,0)),"")</f>
        <v>a17Dm000000KyDQIA0</v>
      </c>
      <c r="N838" s="397">
        <f ca="1">IFERROR(IF(AND(_xlfn.ISFORMULA(I838),NOT(_xlfn.ISFORMULA(I837))),1,OFFSET($F836,-COUNTIF($B$517:B837,"&lt;0")+3,0)),"")</f>
        <v>24</v>
      </c>
      <c r="O838" s="384">
        <f t="shared" si="117"/>
        <v>0</v>
      </c>
      <c r="P838" s="384"/>
      <c r="Q838" s="384"/>
      <c r="R838" s="384"/>
      <c r="S838" s="384"/>
      <c r="T838" s="388"/>
    </row>
    <row r="839" spans="1:20" x14ac:dyDescent="0.3">
      <c r="A839" s="384" t="b">
        <f t="shared" ca="1" si="118"/>
        <v>1</v>
      </c>
      <c r="B839" s="384">
        <f t="shared" si="114"/>
        <v>140</v>
      </c>
      <c r="C839" s="400" t="str">
        <f t="shared" ca="1" si="119"/>
        <v>a17Dm000000KyDuIAK</v>
      </c>
      <c r="D839" s="397"/>
      <c r="E839" s="384">
        <f t="shared" si="115"/>
        <v>2</v>
      </c>
      <c r="F839" s="398">
        <f ca="1">IF(COUNTA(D$518:D839)=1,"",OFFSET(F837,-COUNTA(D$518:D839)+3,0))</f>
        <v>24</v>
      </c>
      <c r="G839" s="388" t="str">
        <f t="shared" ca="1" si="120"/>
        <v/>
      </c>
      <c r="H839" s="384">
        <f t="shared" si="116"/>
        <v>55</v>
      </c>
      <c r="I839" s="386">
        <f t="shared" ca="1" si="121"/>
        <v>78</v>
      </c>
      <c r="J839" s="389" t="str">
        <f t="shared" ca="1" si="122"/>
        <v/>
      </c>
      <c r="K839" s="389" t="str">
        <f t="shared" ca="1" si="123"/>
        <v/>
      </c>
      <c r="L839" s="388" t="str">
        <f t="shared" ca="1" si="124"/>
        <v/>
      </c>
      <c r="M839" s="397" t="str">
        <f ca="1">IFERROR(IF(COUNTIF($B$517:$B838,"&lt;0")=1,"",OFFSET($C837,-COUNTIF($B$517:$B838,"&lt;0")+3,0)),"")</f>
        <v>a17Dm000000KyDuIAK</v>
      </c>
      <c r="N839" s="397">
        <f ca="1">IFERROR(IF(AND(_xlfn.ISFORMULA(I839),NOT(_xlfn.ISFORMULA(I838))),1,OFFSET($F837,-COUNTIF($B$517:B838,"&lt;0")+3,0)),"")</f>
        <v>24</v>
      </c>
      <c r="O839" s="384">
        <f t="shared" si="117"/>
        <v>0</v>
      </c>
      <c r="P839" s="384"/>
      <c r="Q839" s="384"/>
      <c r="R839" s="384"/>
      <c r="S839" s="384"/>
      <c r="T839" s="388"/>
    </row>
    <row r="840" spans="1:20" x14ac:dyDescent="0.3">
      <c r="A840" s="384" t="b">
        <f t="shared" ca="1" si="118"/>
        <v>1</v>
      </c>
      <c r="B840" s="384">
        <f t="shared" ref="B840:B879" si="125">B839+1</f>
        <v>141</v>
      </c>
      <c r="C840" s="400" t="str">
        <f t="shared" ca="1" si="119"/>
        <v>a17Dm000000KyEOIA0</v>
      </c>
      <c r="D840" s="397"/>
      <c r="E840" s="384">
        <f t="shared" ref="E840:E879" si="126">IF(E839="countif",0,IF(E839=W$2,1,E839+1))</f>
        <v>3</v>
      </c>
      <c r="F840" s="398">
        <f ca="1">IF(COUNTA(D$518:D840)=1,"",OFFSET(F838,-COUNTA(D$518:D840)+3,0))</f>
        <v>24</v>
      </c>
      <c r="G840" s="388" t="str">
        <f t="shared" ca="1" si="120"/>
        <v/>
      </c>
      <c r="H840" s="384">
        <f t="shared" ref="H840:H879" si="127">IF(B840=1,9,IF(E839=MAX(E838:E840),H838+2,H839))</f>
        <v>55</v>
      </c>
      <c r="I840" s="386">
        <f t="shared" ca="1" si="121"/>
        <v>80</v>
      </c>
      <c r="J840" s="389" t="str">
        <f t="shared" ca="1" si="122"/>
        <v/>
      </c>
      <c r="K840" s="389" t="str">
        <f t="shared" ca="1" si="123"/>
        <v/>
      </c>
      <c r="L840" s="388" t="str">
        <f t="shared" ca="1" si="124"/>
        <v/>
      </c>
      <c r="M840" s="397" t="str">
        <f ca="1">IFERROR(IF(COUNTIF($B$517:$B839,"&lt;0")=1,"",OFFSET($C838,-COUNTIF($B$517:$B839,"&lt;0")+3,0)),"")</f>
        <v>a17Dm000000KyEOIA0</v>
      </c>
      <c r="N840" s="397">
        <f ca="1">IFERROR(IF(AND(_xlfn.ISFORMULA(I840),NOT(_xlfn.ISFORMULA(I839))),1,OFFSET($F838,-COUNTIF($B$517:B839,"&lt;0")+3,0)),"")</f>
        <v>24</v>
      </c>
      <c r="O840" s="384">
        <f t="shared" ref="O840:O879" si="128">IF(NOT(_xlfn.ISFORMULA(I840)),O839+1,0)</f>
        <v>0</v>
      </c>
      <c r="P840" s="384"/>
      <c r="Q840" s="384"/>
      <c r="R840" s="384"/>
      <c r="S840" s="384"/>
      <c r="T840" s="388"/>
    </row>
    <row r="841" spans="1:20" x14ac:dyDescent="0.3">
      <c r="A841" s="384" t="b">
        <f t="shared" ca="1" si="118"/>
        <v>0</v>
      </c>
      <c r="B841" s="384">
        <f t="shared" si="125"/>
        <v>142</v>
      </c>
      <c r="C841" s="400" t="str">
        <f t="shared" ca="1" si="119"/>
        <v>a17Dm000000KyEsIAK</v>
      </c>
      <c r="D841" s="397"/>
      <c r="E841" s="384">
        <f t="shared" si="126"/>
        <v>4</v>
      </c>
      <c r="F841" s="398">
        <f ca="1">IF(COUNTA(D$518:D841)=1,"",OFFSET(F839,-COUNTA(D$518:D841)+3,0))</f>
        <v>24</v>
      </c>
      <c r="G841" s="388" t="str">
        <f t="shared" ca="1" si="120"/>
        <v/>
      </c>
      <c r="H841" s="384">
        <f t="shared" si="127"/>
        <v>55</v>
      </c>
      <c r="I841" s="386" t="str">
        <f t="shared" ca="1" si="121"/>
        <v/>
      </c>
      <c r="J841" s="389" t="str">
        <f t="shared" ca="1" si="122"/>
        <v/>
      </c>
      <c r="K841" s="389" t="str">
        <f t="shared" ca="1" si="123"/>
        <v/>
      </c>
      <c r="L841" s="388" t="str">
        <f t="shared" ca="1" si="124"/>
        <v/>
      </c>
      <c r="M841" s="397" t="str">
        <f ca="1">IFERROR(IF(COUNTIF($B$517:$B840,"&lt;0")=1,"",OFFSET($C839,-COUNTIF($B$517:$B840,"&lt;0")+3,0)),"")</f>
        <v>a17Dm000000KyEsIAK</v>
      </c>
      <c r="N841" s="397">
        <f ca="1">IFERROR(IF(AND(_xlfn.ISFORMULA(I841),NOT(_xlfn.ISFORMULA(I840))),1,OFFSET($F839,-COUNTIF($B$517:B840,"&lt;0")+3,0)),"")</f>
        <v>24</v>
      </c>
      <c r="O841" s="384">
        <f t="shared" si="128"/>
        <v>0</v>
      </c>
      <c r="P841" s="384"/>
      <c r="Q841" s="384"/>
      <c r="R841" s="384"/>
      <c r="S841" s="384"/>
      <c r="T841" s="388"/>
    </row>
    <row r="842" spans="1:20" x14ac:dyDescent="0.3">
      <c r="A842" s="384" t="b">
        <f t="shared" ca="1" si="118"/>
        <v>0</v>
      </c>
      <c r="B842" s="384">
        <f t="shared" si="125"/>
        <v>143</v>
      </c>
      <c r="C842" s="400" t="str">
        <f t="shared" ca="1" si="119"/>
        <v>a17Dm000000KyFMIA0</v>
      </c>
      <c r="D842" s="397"/>
      <c r="E842" s="384">
        <f t="shared" si="126"/>
        <v>5</v>
      </c>
      <c r="F842" s="398">
        <f ca="1">IF(COUNTA(D$518:D842)=1,"",OFFSET(F840,-COUNTA(D$518:D842)+3,0))</f>
        <v>24</v>
      </c>
      <c r="G842" s="388" t="str">
        <f t="shared" ca="1" si="120"/>
        <v/>
      </c>
      <c r="H842" s="384">
        <f t="shared" si="127"/>
        <v>55</v>
      </c>
      <c r="I842" s="386" t="str">
        <f t="shared" ca="1" si="121"/>
        <v/>
      </c>
      <c r="J842" s="389" t="str">
        <f t="shared" ca="1" si="122"/>
        <v/>
      </c>
      <c r="K842" s="389" t="str">
        <f t="shared" ca="1" si="123"/>
        <v/>
      </c>
      <c r="L842" s="388" t="str">
        <f t="shared" ca="1" si="124"/>
        <v/>
      </c>
      <c r="M842" s="397" t="str">
        <f ca="1">IFERROR(IF(COUNTIF($B$517:$B841,"&lt;0")=1,"",OFFSET($C840,-COUNTIF($B$517:$B841,"&lt;0")+3,0)),"")</f>
        <v>a17Dm000000KyFMIA0</v>
      </c>
      <c r="N842" s="397">
        <f ca="1">IFERROR(IF(AND(_xlfn.ISFORMULA(I842),NOT(_xlfn.ISFORMULA(I841))),1,OFFSET($F840,-COUNTIF($B$517:B841,"&lt;0")+3,0)),"")</f>
        <v>24</v>
      </c>
      <c r="O842" s="384">
        <f t="shared" si="128"/>
        <v>0</v>
      </c>
      <c r="P842" s="384"/>
      <c r="Q842" s="384"/>
      <c r="R842" s="384"/>
      <c r="S842" s="384"/>
      <c r="T842" s="388"/>
    </row>
    <row r="843" spans="1:20" x14ac:dyDescent="0.3">
      <c r="A843" s="384" t="b">
        <f t="shared" ca="1" si="118"/>
        <v>0</v>
      </c>
      <c r="B843" s="384">
        <f t="shared" si="125"/>
        <v>144</v>
      </c>
      <c r="C843" s="400" t="str">
        <f t="shared" ca="1" si="119"/>
        <v>a17Dm000000KyFqIAK</v>
      </c>
      <c r="D843" s="397"/>
      <c r="E843" s="384">
        <f t="shared" si="126"/>
        <v>6</v>
      </c>
      <c r="F843" s="398">
        <f ca="1">IF(COUNTA(D$518:D843)=1,"",OFFSET(F841,-COUNTA(D$518:D843)+3,0))</f>
        <v>24</v>
      </c>
      <c r="G843" s="388" t="str">
        <f t="shared" ca="1" si="120"/>
        <v/>
      </c>
      <c r="H843" s="384">
        <f t="shared" si="127"/>
        <v>55</v>
      </c>
      <c r="I843" s="386" t="str">
        <f t="shared" ca="1" si="121"/>
        <v/>
      </c>
      <c r="J843" s="389" t="str">
        <f t="shared" ca="1" si="122"/>
        <v/>
      </c>
      <c r="K843" s="389" t="str">
        <f t="shared" ca="1" si="123"/>
        <v/>
      </c>
      <c r="L843" s="388" t="str">
        <f t="shared" ca="1" si="124"/>
        <v/>
      </c>
      <c r="M843" s="397" t="str">
        <f ca="1">IFERROR(IF(COUNTIF($B$517:$B842,"&lt;0")=1,"",OFFSET($C841,-COUNTIF($B$517:$B842,"&lt;0")+3,0)),"")</f>
        <v>a17Dm000000KyFqIAK</v>
      </c>
      <c r="N843" s="397">
        <f ca="1">IFERROR(IF(AND(_xlfn.ISFORMULA(I843),NOT(_xlfn.ISFORMULA(I842))),1,OFFSET($F841,-COUNTIF($B$517:B842,"&lt;0")+3,0)),"")</f>
        <v>24</v>
      </c>
      <c r="O843" s="384">
        <f t="shared" si="128"/>
        <v>0</v>
      </c>
      <c r="P843" s="384"/>
      <c r="Q843" s="384"/>
      <c r="R843" s="384"/>
      <c r="S843" s="384"/>
      <c r="T843" s="388"/>
    </row>
    <row r="844" spans="1:20" x14ac:dyDescent="0.3">
      <c r="A844" s="384" t="b">
        <f t="shared" ca="1" si="118"/>
        <v>0</v>
      </c>
      <c r="B844" s="384">
        <f t="shared" si="125"/>
        <v>145</v>
      </c>
      <c r="C844" s="400" t="str">
        <f t="shared" ca="1" si="119"/>
        <v>a17Dm000000KyDRIA0</v>
      </c>
      <c r="D844" s="397"/>
      <c r="E844" s="384">
        <f t="shared" si="126"/>
        <v>1</v>
      </c>
      <c r="F844" s="398">
        <f ca="1">IF(COUNTA(D$518:D844)=1,"",OFFSET(F842,-COUNTA(D$518:D844)+3,0))</f>
        <v>25</v>
      </c>
      <c r="G844" s="388" t="str">
        <f t="shared" ca="1" si="120"/>
        <v/>
      </c>
      <c r="H844" s="384">
        <f t="shared" si="127"/>
        <v>57</v>
      </c>
      <c r="I844" s="386" t="str">
        <f t="shared" ca="1" si="121"/>
        <v/>
      </c>
      <c r="J844" s="389" t="str">
        <f t="shared" ca="1" si="122"/>
        <v/>
      </c>
      <c r="K844" s="389" t="str">
        <f t="shared" ca="1" si="123"/>
        <v/>
      </c>
      <c r="L844" s="388" t="str">
        <f t="shared" ca="1" si="124"/>
        <v/>
      </c>
      <c r="M844" s="397" t="str">
        <f ca="1">IFERROR(IF(COUNTIF($B$517:$B843,"&lt;0")=1,"",OFFSET($C842,-COUNTIF($B$517:$B843,"&lt;0")+3,0)),"")</f>
        <v>a17Dm000000KyDRIA0</v>
      </c>
      <c r="N844" s="397">
        <f ca="1">IFERROR(IF(AND(_xlfn.ISFORMULA(I844),NOT(_xlfn.ISFORMULA(I843))),1,OFFSET($F842,-COUNTIF($B$517:B843,"&lt;0")+3,0)),"")</f>
        <v>25</v>
      </c>
      <c r="O844" s="384">
        <f t="shared" si="128"/>
        <v>0</v>
      </c>
      <c r="P844" s="384"/>
      <c r="Q844" s="384"/>
      <c r="R844" s="384"/>
      <c r="S844" s="384"/>
      <c r="T844" s="388"/>
    </row>
    <row r="845" spans="1:20" x14ac:dyDescent="0.3">
      <c r="A845" s="384" t="b">
        <f t="shared" ca="1" si="118"/>
        <v>0</v>
      </c>
      <c r="B845" s="384">
        <f t="shared" si="125"/>
        <v>146</v>
      </c>
      <c r="C845" s="400" t="str">
        <f t="shared" ca="1" si="119"/>
        <v>a17Dm000000KyDvIAK</v>
      </c>
      <c r="D845" s="397"/>
      <c r="E845" s="384">
        <f t="shared" si="126"/>
        <v>2</v>
      </c>
      <c r="F845" s="398">
        <f ca="1">IF(COUNTA(D$518:D845)=1,"",OFFSET(F843,-COUNTA(D$518:D845)+3,0))</f>
        <v>25</v>
      </c>
      <c r="G845" s="388" t="str">
        <f t="shared" ca="1" si="120"/>
        <v/>
      </c>
      <c r="H845" s="384">
        <f t="shared" si="127"/>
        <v>57</v>
      </c>
      <c r="I845" s="386" t="str">
        <f t="shared" ca="1" si="121"/>
        <v/>
      </c>
      <c r="J845" s="389" t="str">
        <f t="shared" ca="1" si="122"/>
        <v/>
      </c>
      <c r="K845" s="389" t="str">
        <f t="shared" ca="1" si="123"/>
        <v/>
      </c>
      <c r="L845" s="388" t="str">
        <f t="shared" ca="1" si="124"/>
        <v/>
      </c>
      <c r="M845" s="397" t="str">
        <f ca="1">IFERROR(IF(COUNTIF($B$517:$B844,"&lt;0")=1,"",OFFSET($C843,-COUNTIF($B$517:$B844,"&lt;0")+3,0)),"")</f>
        <v>a17Dm000000KyDvIAK</v>
      </c>
      <c r="N845" s="397">
        <f ca="1">IFERROR(IF(AND(_xlfn.ISFORMULA(I845),NOT(_xlfn.ISFORMULA(I844))),1,OFFSET($F843,-COUNTIF($B$517:B844,"&lt;0")+3,0)),"")</f>
        <v>25</v>
      </c>
      <c r="O845" s="384">
        <f t="shared" si="128"/>
        <v>0</v>
      </c>
      <c r="P845" s="384"/>
      <c r="Q845" s="384"/>
      <c r="R845" s="384"/>
      <c r="S845" s="384"/>
      <c r="T845" s="388"/>
    </row>
    <row r="846" spans="1:20" x14ac:dyDescent="0.3">
      <c r="A846" s="384" t="b">
        <f t="shared" ca="1" si="118"/>
        <v>0</v>
      </c>
      <c r="B846" s="384">
        <f t="shared" si="125"/>
        <v>147</v>
      </c>
      <c r="C846" s="400" t="str">
        <f t="shared" ca="1" si="119"/>
        <v>a17Dm000000KyEPIA0</v>
      </c>
      <c r="D846" s="397"/>
      <c r="E846" s="384">
        <f t="shared" si="126"/>
        <v>3</v>
      </c>
      <c r="F846" s="398">
        <f ca="1">IF(COUNTA(D$518:D846)=1,"",OFFSET(F844,-COUNTA(D$518:D846)+3,0))</f>
        <v>25</v>
      </c>
      <c r="G846" s="388" t="str">
        <f t="shared" ca="1" si="120"/>
        <v/>
      </c>
      <c r="H846" s="384">
        <f t="shared" si="127"/>
        <v>57</v>
      </c>
      <c r="I846" s="386" t="str">
        <f t="shared" ca="1" si="121"/>
        <v/>
      </c>
      <c r="J846" s="389" t="str">
        <f t="shared" ca="1" si="122"/>
        <v/>
      </c>
      <c r="K846" s="389" t="str">
        <f t="shared" ca="1" si="123"/>
        <v/>
      </c>
      <c r="L846" s="388" t="str">
        <f t="shared" ca="1" si="124"/>
        <v/>
      </c>
      <c r="M846" s="397" t="str">
        <f ca="1">IFERROR(IF(COUNTIF($B$517:$B845,"&lt;0")=1,"",OFFSET($C844,-COUNTIF($B$517:$B845,"&lt;0")+3,0)),"")</f>
        <v>a17Dm000000KyEPIA0</v>
      </c>
      <c r="N846" s="397">
        <f ca="1">IFERROR(IF(AND(_xlfn.ISFORMULA(I846),NOT(_xlfn.ISFORMULA(I845))),1,OFFSET($F844,-COUNTIF($B$517:B845,"&lt;0")+3,0)),"")</f>
        <v>25</v>
      </c>
      <c r="O846" s="384">
        <f t="shared" si="128"/>
        <v>0</v>
      </c>
      <c r="P846" s="384"/>
      <c r="Q846" s="384"/>
      <c r="R846" s="384"/>
      <c r="S846" s="384"/>
      <c r="T846" s="388"/>
    </row>
    <row r="847" spans="1:20" x14ac:dyDescent="0.3">
      <c r="A847" s="384" t="b">
        <f t="shared" ca="1" si="118"/>
        <v>0</v>
      </c>
      <c r="B847" s="384">
        <f t="shared" si="125"/>
        <v>148</v>
      </c>
      <c r="C847" s="400" t="str">
        <f t="shared" ca="1" si="119"/>
        <v>a17Dm000000KyEtIAK</v>
      </c>
      <c r="D847" s="397"/>
      <c r="E847" s="384">
        <f t="shared" si="126"/>
        <v>4</v>
      </c>
      <c r="F847" s="398">
        <f ca="1">IF(COUNTA(D$518:D847)=1,"",OFFSET(F845,-COUNTA(D$518:D847)+3,0))</f>
        <v>25</v>
      </c>
      <c r="G847" s="388" t="str">
        <f t="shared" ca="1" si="120"/>
        <v/>
      </c>
      <c r="H847" s="384">
        <f t="shared" si="127"/>
        <v>57</v>
      </c>
      <c r="I847" s="386" t="str">
        <f t="shared" ca="1" si="121"/>
        <v/>
      </c>
      <c r="J847" s="389" t="str">
        <f t="shared" ca="1" si="122"/>
        <v/>
      </c>
      <c r="K847" s="389" t="str">
        <f t="shared" ca="1" si="123"/>
        <v/>
      </c>
      <c r="L847" s="388" t="str">
        <f t="shared" ca="1" si="124"/>
        <v/>
      </c>
      <c r="M847" s="397" t="str">
        <f ca="1">IFERROR(IF(COUNTIF($B$517:$B846,"&lt;0")=1,"",OFFSET($C845,-COUNTIF($B$517:$B846,"&lt;0")+3,0)),"")</f>
        <v>a17Dm000000KyEtIAK</v>
      </c>
      <c r="N847" s="397">
        <f ca="1">IFERROR(IF(AND(_xlfn.ISFORMULA(I847),NOT(_xlfn.ISFORMULA(I846))),1,OFFSET($F845,-COUNTIF($B$517:B846,"&lt;0")+3,0)),"")</f>
        <v>25</v>
      </c>
      <c r="O847" s="384">
        <f t="shared" si="128"/>
        <v>0</v>
      </c>
      <c r="P847" s="384"/>
      <c r="Q847" s="384"/>
      <c r="R847" s="384"/>
      <c r="S847" s="384"/>
      <c r="T847" s="388"/>
    </row>
    <row r="848" spans="1:20" x14ac:dyDescent="0.3">
      <c r="A848" s="384" t="b">
        <f t="shared" ca="1" si="118"/>
        <v>0</v>
      </c>
      <c r="B848" s="384">
        <f t="shared" si="125"/>
        <v>149</v>
      </c>
      <c r="C848" s="400" t="str">
        <f t="shared" ca="1" si="119"/>
        <v>a17Dm000000KyFNIA0</v>
      </c>
      <c r="D848" s="397"/>
      <c r="E848" s="384">
        <f t="shared" si="126"/>
        <v>5</v>
      </c>
      <c r="F848" s="398">
        <f ca="1">IF(COUNTA(D$518:D848)=1,"",OFFSET(F846,-COUNTA(D$518:D848)+3,0))</f>
        <v>25</v>
      </c>
      <c r="G848" s="388" t="str">
        <f t="shared" ca="1" si="120"/>
        <v/>
      </c>
      <c r="H848" s="384">
        <f t="shared" si="127"/>
        <v>57</v>
      </c>
      <c r="I848" s="386" t="str">
        <f t="shared" ca="1" si="121"/>
        <v/>
      </c>
      <c r="J848" s="389" t="str">
        <f t="shared" ca="1" si="122"/>
        <v/>
      </c>
      <c r="K848" s="389" t="str">
        <f t="shared" ca="1" si="123"/>
        <v/>
      </c>
      <c r="L848" s="388" t="str">
        <f t="shared" ca="1" si="124"/>
        <v/>
      </c>
      <c r="M848" s="397" t="str">
        <f ca="1">IFERROR(IF(COUNTIF($B$517:$B847,"&lt;0")=1,"",OFFSET($C846,-COUNTIF($B$517:$B847,"&lt;0")+3,0)),"")</f>
        <v>a17Dm000000KyFNIA0</v>
      </c>
      <c r="N848" s="397">
        <f ca="1">IFERROR(IF(AND(_xlfn.ISFORMULA(I848),NOT(_xlfn.ISFORMULA(I847))),1,OFFSET($F846,-COUNTIF($B$517:B847,"&lt;0")+3,0)),"")</f>
        <v>25</v>
      </c>
      <c r="O848" s="384">
        <f t="shared" si="128"/>
        <v>0</v>
      </c>
      <c r="P848" s="384"/>
      <c r="Q848" s="384"/>
      <c r="R848" s="384"/>
      <c r="S848" s="384"/>
      <c r="T848" s="388"/>
    </row>
    <row r="849" spans="1:20" x14ac:dyDescent="0.3">
      <c r="A849" s="384" t="b">
        <f t="shared" ca="1" si="118"/>
        <v>0</v>
      </c>
      <c r="B849" s="384">
        <f t="shared" si="125"/>
        <v>150</v>
      </c>
      <c r="C849" s="400" t="str">
        <f t="shared" ca="1" si="119"/>
        <v>a17Dm000000KyFrIAK</v>
      </c>
      <c r="D849" s="397"/>
      <c r="E849" s="384">
        <f t="shared" si="126"/>
        <v>6</v>
      </c>
      <c r="F849" s="398">
        <f ca="1">IF(COUNTA(D$518:D849)=1,"",OFFSET(F847,-COUNTA(D$518:D849)+3,0))</f>
        <v>25</v>
      </c>
      <c r="G849" s="388" t="str">
        <f t="shared" ca="1" si="120"/>
        <v/>
      </c>
      <c r="H849" s="384">
        <f t="shared" si="127"/>
        <v>57</v>
      </c>
      <c r="I849" s="386" t="str">
        <f t="shared" ca="1" si="121"/>
        <v/>
      </c>
      <c r="J849" s="389" t="str">
        <f t="shared" ca="1" si="122"/>
        <v/>
      </c>
      <c r="K849" s="389" t="str">
        <f t="shared" ca="1" si="123"/>
        <v/>
      </c>
      <c r="L849" s="388" t="str">
        <f t="shared" ca="1" si="124"/>
        <v/>
      </c>
      <c r="M849" s="397" t="str">
        <f ca="1">IFERROR(IF(COUNTIF($B$517:$B848,"&lt;0")=1,"",OFFSET($C847,-COUNTIF($B$517:$B848,"&lt;0")+3,0)),"")</f>
        <v>a17Dm000000KyFrIAK</v>
      </c>
      <c r="N849" s="397">
        <f ca="1">IFERROR(IF(AND(_xlfn.ISFORMULA(I849),NOT(_xlfn.ISFORMULA(I848))),1,OFFSET($F847,-COUNTIF($B$517:B848,"&lt;0")+3,0)),"")</f>
        <v>25</v>
      </c>
      <c r="O849" s="384">
        <f t="shared" si="128"/>
        <v>0</v>
      </c>
      <c r="P849" s="384"/>
      <c r="Q849" s="384"/>
      <c r="R849" s="384"/>
      <c r="S849" s="384"/>
      <c r="T849" s="388"/>
    </row>
    <row r="850" spans="1:20" x14ac:dyDescent="0.3">
      <c r="A850" s="384" t="b">
        <f t="shared" ca="1" si="118"/>
        <v>0</v>
      </c>
      <c r="B850" s="384">
        <f t="shared" si="125"/>
        <v>151</v>
      </c>
      <c r="C850" s="400" t="str">
        <f t="shared" ca="1" si="119"/>
        <v>a17Dm000000KyDSIA0</v>
      </c>
      <c r="D850" s="397"/>
      <c r="E850" s="384">
        <f t="shared" si="126"/>
        <v>1</v>
      </c>
      <c r="F850" s="398">
        <f ca="1">IF(COUNTA(D$518:D850)=1,"",OFFSET(F848,-COUNTA(D$518:D850)+3,0))</f>
        <v>26</v>
      </c>
      <c r="G850" s="388" t="str">
        <f t="shared" ca="1" si="120"/>
        <v/>
      </c>
      <c r="H850" s="384">
        <f t="shared" si="127"/>
        <v>59</v>
      </c>
      <c r="I850" s="386" t="str">
        <f t="shared" ca="1" si="121"/>
        <v/>
      </c>
      <c r="J850" s="389" t="str">
        <f t="shared" ca="1" si="122"/>
        <v/>
      </c>
      <c r="K850" s="389" t="str">
        <f t="shared" ca="1" si="123"/>
        <v/>
      </c>
      <c r="L850" s="388" t="str">
        <f t="shared" ca="1" si="124"/>
        <v/>
      </c>
      <c r="M850" s="397" t="str">
        <f ca="1">IFERROR(IF(COUNTIF($B$517:$B849,"&lt;0")=1,"",OFFSET($C848,-COUNTIF($B$517:$B849,"&lt;0")+3,0)),"")</f>
        <v>a17Dm000000KyDSIA0</v>
      </c>
      <c r="N850" s="397">
        <f ca="1">IFERROR(IF(AND(_xlfn.ISFORMULA(I850),NOT(_xlfn.ISFORMULA(I849))),1,OFFSET($F848,-COUNTIF($B$517:B849,"&lt;0")+3,0)),"")</f>
        <v>26</v>
      </c>
      <c r="O850" s="384">
        <f t="shared" si="128"/>
        <v>0</v>
      </c>
      <c r="P850" s="384"/>
      <c r="Q850" s="384"/>
      <c r="R850" s="384"/>
      <c r="S850" s="384"/>
      <c r="T850" s="388"/>
    </row>
    <row r="851" spans="1:20" x14ac:dyDescent="0.3">
      <c r="A851" s="384" t="b">
        <f t="shared" ca="1" si="118"/>
        <v>0</v>
      </c>
      <c r="B851" s="384">
        <f t="shared" si="125"/>
        <v>152</v>
      </c>
      <c r="C851" s="400" t="str">
        <f t="shared" ca="1" si="119"/>
        <v>a17Dm000000KyDwIAK</v>
      </c>
      <c r="D851" s="397"/>
      <c r="E851" s="384">
        <f t="shared" si="126"/>
        <v>2</v>
      </c>
      <c r="F851" s="398">
        <f ca="1">IF(COUNTA(D$518:D851)=1,"",OFFSET(F849,-COUNTA(D$518:D851)+3,0))</f>
        <v>26</v>
      </c>
      <c r="G851" s="388" t="str">
        <f t="shared" ca="1" si="120"/>
        <v/>
      </c>
      <c r="H851" s="384">
        <f t="shared" si="127"/>
        <v>59</v>
      </c>
      <c r="I851" s="386" t="str">
        <f t="shared" ca="1" si="121"/>
        <v/>
      </c>
      <c r="J851" s="389" t="str">
        <f t="shared" ca="1" si="122"/>
        <v/>
      </c>
      <c r="K851" s="389" t="str">
        <f t="shared" ca="1" si="123"/>
        <v/>
      </c>
      <c r="L851" s="388" t="str">
        <f t="shared" ca="1" si="124"/>
        <v/>
      </c>
      <c r="M851" s="397" t="str">
        <f ca="1">IFERROR(IF(COUNTIF($B$517:$B850,"&lt;0")=1,"",OFFSET($C849,-COUNTIF($B$517:$B850,"&lt;0")+3,0)),"")</f>
        <v>a17Dm000000KyDwIAK</v>
      </c>
      <c r="N851" s="397">
        <f ca="1">IFERROR(IF(AND(_xlfn.ISFORMULA(I851),NOT(_xlfn.ISFORMULA(I850))),1,OFFSET($F849,-COUNTIF($B$517:B850,"&lt;0")+3,0)),"")</f>
        <v>26</v>
      </c>
      <c r="O851" s="384">
        <f t="shared" si="128"/>
        <v>0</v>
      </c>
      <c r="P851" s="384"/>
      <c r="Q851" s="384"/>
      <c r="R851" s="384"/>
      <c r="S851" s="384"/>
      <c r="T851" s="388"/>
    </row>
    <row r="852" spans="1:20" x14ac:dyDescent="0.3">
      <c r="A852" s="384" t="b">
        <f t="shared" ca="1" si="118"/>
        <v>0</v>
      </c>
      <c r="B852" s="384">
        <f t="shared" si="125"/>
        <v>153</v>
      </c>
      <c r="C852" s="400" t="str">
        <f t="shared" ca="1" si="119"/>
        <v>a17Dm000000KyEQIA0</v>
      </c>
      <c r="D852" s="397"/>
      <c r="E852" s="384">
        <f t="shared" si="126"/>
        <v>3</v>
      </c>
      <c r="F852" s="398">
        <f ca="1">IF(COUNTA(D$518:D852)=1,"",OFFSET(F850,-COUNTA(D$518:D852)+3,0))</f>
        <v>26</v>
      </c>
      <c r="G852" s="388" t="str">
        <f t="shared" ca="1" si="120"/>
        <v/>
      </c>
      <c r="H852" s="384">
        <f t="shared" si="127"/>
        <v>59</v>
      </c>
      <c r="I852" s="386" t="str">
        <f t="shared" ca="1" si="121"/>
        <v/>
      </c>
      <c r="J852" s="389" t="str">
        <f t="shared" ca="1" si="122"/>
        <v/>
      </c>
      <c r="K852" s="389" t="str">
        <f t="shared" ca="1" si="123"/>
        <v/>
      </c>
      <c r="L852" s="388" t="str">
        <f t="shared" ca="1" si="124"/>
        <v/>
      </c>
      <c r="M852" s="397" t="str">
        <f ca="1">IFERROR(IF(COUNTIF($B$517:$B851,"&lt;0")=1,"",OFFSET($C850,-COUNTIF($B$517:$B851,"&lt;0")+3,0)),"")</f>
        <v>a17Dm000000KyEQIA0</v>
      </c>
      <c r="N852" s="397">
        <f ca="1">IFERROR(IF(AND(_xlfn.ISFORMULA(I852),NOT(_xlfn.ISFORMULA(I851))),1,OFFSET($F850,-COUNTIF($B$517:B851,"&lt;0")+3,0)),"")</f>
        <v>26</v>
      </c>
      <c r="O852" s="384">
        <f t="shared" si="128"/>
        <v>0</v>
      </c>
      <c r="P852" s="384"/>
      <c r="Q852" s="384"/>
      <c r="R852" s="384"/>
      <c r="S852" s="384"/>
      <c r="T852" s="388"/>
    </row>
    <row r="853" spans="1:20" x14ac:dyDescent="0.3">
      <c r="A853" s="384" t="b">
        <f t="shared" ca="1" si="118"/>
        <v>0</v>
      </c>
      <c r="B853" s="384">
        <f t="shared" si="125"/>
        <v>154</v>
      </c>
      <c r="C853" s="400" t="str">
        <f t="shared" ca="1" si="119"/>
        <v>a17Dm000000KyEuIAK</v>
      </c>
      <c r="D853" s="397"/>
      <c r="E853" s="384">
        <f t="shared" si="126"/>
        <v>4</v>
      </c>
      <c r="F853" s="398">
        <f ca="1">IF(COUNTA(D$518:D853)=1,"",OFFSET(F851,-COUNTA(D$518:D853)+3,0))</f>
        <v>26</v>
      </c>
      <c r="G853" s="388" t="str">
        <f t="shared" ca="1" si="120"/>
        <v/>
      </c>
      <c r="H853" s="384">
        <f t="shared" si="127"/>
        <v>59</v>
      </c>
      <c r="I853" s="386" t="str">
        <f t="shared" ca="1" si="121"/>
        <v/>
      </c>
      <c r="J853" s="389" t="str">
        <f t="shared" ca="1" si="122"/>
        <v/>
      </c>
      <c r="K853" s="389" t="str">
        <f t="shared" ca="1" si="123"/>
        <v/>
      </c>
      <c r="L853" s="388" t="str">
        <f t="shared" ca="1" si="124"/>
        <v/>
      </c>
      <c r="M853" s="397" t="str">
        <f ca="1">IFERROR(IF(COUNTIF($B$517:$B852,"&lt;0")=1,"",OFFSET($C851,-COUNTIF($B$517:$B852,"&lt;0")+3,0)),"")</f>
        <v>a17Dm000000KyEuIAK</v>
      </c>
      <c r="N853" s="397">
        <f ca="1">IFERROR(IF(AND(_xlfn.ISFORMULA(I853),NOT(_xlfn.ISFORMULA(I852))),1,OFFSET($F851,-COUNTIF($B$517:B852,"&lt;0")+3,0)),"")</f>
        <v>26</v>
      </c>
      <c r="O853" s="384">
        <f t="shared" si="128"/>
        <v>0</v>
      </c>
      <c r="P853" s="384"/>
      <c r="Q853" s="384"/>
      <c r="R853" s="384"/>
      <c r="S853" s="384"/>
      <c r="T853" s="388"/>
    </row>
    <row r="854" spans="1:20" x14ac:dyDescent="0.3">
      <c r="A854" s="384" t="b">
        <f t="shared" ca="1" si="118"/>
        <v>0</v>
      </c>
      <c r="B854" s="384">
        <f t="shared" si="125"/>
        <v>155</v>
      </c>
      <c r="C854" s="400" t="str">
        <f t="shared" ca="1" si="119"/>
        <v>a17Dm000000KyFOIA0</v>
      </c>
      <c r="D854" s="397"/>
      <c r="E854" s="384">
        <f t="shared" si="126"/>
        <v>5</v>
      </c>
      <c r="F854" s="398">
        <f ca="1">IF(COUNTA(D$518:D854)=1,"",OFFSET(F852,-COUNTA(D$518:D854)+3,0))</f>
        <v>26</v>
      </c>
      <c r="G854" s="388" t="str">
        <f t="shared" ca="1" si="120"/>
        <v/>
      </c>
      <c r="H854" s="384">
        <f t="shared" si="127"/>
        <v>59</v>
      </c>
      <c r="I854" s="386" t="str">
        <f t="shared" ca="1" si="121"/>
        <v/>
      </c>
      <c r="J854" s="389" t="str">
        <f t="shared" ca="1" si="122"/>
        <v/>
      </c>
      <c r="K854" s="389" t="str">
        <f t="shared" ca="1" si="123"/>
        <v/>
      </c>
      <c r="L854" s="388" t="str">
        <f t="shared" ca="1" si="124"/>
        <v/>
      </c>
      <c r="M854" s="397" t="str">
        <f ca="1">IFERROR(IF(COUNTIF($B$517:$B853,"&lt;0")=1,"",OFFSET($C852,-COUNTIF($B$517:$B853,"&lt;0")+3,0)),"")</f>
        <v>a17Dm000000KyFOIA0</v>
      </c>
      <c r="N854" s="397">
        <f ca="1">IFERROR(IF(AND(_xlfn.ISFORMULA(I854),NOT(_xlfn.ISFORMULA(I853))),1,OFFSET($F852,-COUNTIF($B$517:B853,"&lt;0")+3,0)),"")</f>
        <v>26</v>
      </c>
      <c r="O854" s="384">
        <f t="shared" si="128"/>
        <v>0</v>
      </c>
      <c r="P854" s="384"/>
      <c r="Q854" s="384"/>
      <c r="R854" s="384"/>
      <c r="S854" s="384"/>
      <c r="T854" s="388"/>
    </row>
    <row r="855" spans="1:20" x14ac:dyDescent="0.3">
      <c r="A855" s="384" t="b">
        <f t="shared" ca="1" si="118"/>
        <v>0</v>
      </c>
      <c r="B855" s="384">
        <f t="shared" si="125"/>
        <v>156</v>
      </c>
      <c r="C855" s="400" t="str">
        <f t="shared" ca="1" si="119"/>
        <v>a17Dm000000KyFsIAK</v>
      </c>
      <c r="D855" s="397"/>
      <c r="E855" s="384">
        <f t="shared" si="126"/>
        <v>6</v>
      </c>
      <c r="F855" s="398">
        <f ca="1">IF(COUNTA(D$518:D855)=1,"",OFFSET(F853,-COUNTA(D$518:D855)+3,0))</f>
        <v>26</v>
      </c>
      <c r="G855" s="388" t="str">
        <f t="shared" ca="1" si="120"/>
        <v/>
      </c>
      <c r="H855" s="384">
        <f t="shared" si="127"/>
        <v>59</v>
      </c>
      <c r="I855" s="386" t="str">
        <f t="shared" ca="1" si="121"/>
        <v/>
      </c>
      <c r="J855" s="389" t="str">
        <f t="shared" ca="1" si="122"/>
        <v/>
      </c>
      <c r="K855" s="389" t="str">
        <f t="shared" ca="1" si="123"/>
        <v/>
      </c>
      <c r="L855" s="388" t="str">
        <f t="shared" ca="1" si="124"/>
        <v/>
      </c>
      <c r="M855" s="397" t="str">
        <f ca="1">IFERROR(IF(COUNTIF($B$517:$B854,"&lt;0")=1,"",OFFSET($C853,-COUNTIF($B$517:$B854,"&lt;0")+3,0)),"")</f>
        <v>a17Dm000000KyFsIAK</v>
      </c>
      <c r="N855" s="397">
        <f ca="1">IFERROR(IF(AND(_xlfn.ISFORMULA(I855),NOT(_xlfn.ISFORMULA(I854))),1,OFFSET($F853,-COUNTIF($B$517:B854,"&lt;0")+3,0)),"")</f>
        <v>26</v>
      </c>
      <c r="O855" s="384">
        <f t="shared" si="128"/>
        <v>0</v>
      </c>
      <c r="P855" s="384"/>
      <c r="Q855" s="384"/>
      <c r="R855" s="384"/>
      <c r="S855" s="384"/>
      <c r="T855" s="388"/>
    </row>
    <row r="856" spans="1:20" x14ac:dyDescent="0.3">
      <c r="A856" s="384" t="b">
        <f t="shared" ca="1" si="118"/>
        <v>0</v>
      </c>
      <c r="B856" s="384">
        <f t="shared" si="125"/>
        <v>157</v>
      </c>
      <c r="C856" s="400" t="str">
        <f t="shared" ca="1" si="119"/>
        <v>a17Dm000000KyDTIA0</v>
      </c>
      <c r="D856" s="397"/>
      <c r="E856" s="384">
        <f t="shared" si="126"/>
        <v>1</v>
      </c>
      <c r="F856" s="398">
        <f ca="1">IF(COUNTA(D$518:D856)=1,"",OFFSET(F854,-COUNTA(D$518:D856)+3,0))</f>
        <v>27</v>
      </c>
      <c r="G856" s="388" t="str">
        <f t="shared" ca="1" si="120"/>
        <v/>
      </c>
      <c r="H856" s="384">
        <f t="shared" si="127"/>
        <v>61</v>
      </c>
      <c r="I856" s="386" t="str">
        <f t="shared" ca="1" si="121"/>
        <v/>
      </c>
      <c r="J856" s="389" t="str">
        <f t="shared" ca="1" si="122"/>
        <v/>
      </c>
      <c r="K856" s="389" t="str">
        <f t="shared" ca="1" si="123"/>
        <v/>
      </c>
      <c r="L856" s="388" t="str">
        <f t="shared" ca="1" si="124"/>
        <v/>
      </c>
      <c r="M856" s="397" t="str">
        <f ca="1">IFERROR(IF(COUNTIF($B$517:$B855,"&lt;0")=1,"",OFFSET($C854,-COUNTIF($B$517:$B855,"&lt;0")+3,0)),"")</f>
        <v>a17Dm000000KyDTIA0</v>
      </c>
      <c r="N856" s="397">
        <f ca="1">IFERROR(IF(AND(_xlfn.ISFORMULA(I856),NOT(_xlfn.ISFORMULA(I855))),1,OFFSET($F854,-COUNTIF($B$517:B855,"&lt;0")+3,0)),"")</f>
        <v>27</v>
      </c>
      <c r="O856" s="384">
        <f t="shared" si="128"/>
        <v>0</v>
      </c>
      <c r="P856" s="384"/>
      <c r="Q856" s="384"/>
      <c r="R856" s="384"/>
      <c r="S856" s="384"/>
      <c r="T856" s="388"/>
    </row>
    <row r="857" spans="1:20" x14ac:dyDescent="0.3">
      <c r="A857" s="384" t="b">
        <f t="shared" ca="1" si="118"/>
        <v>0</v>
      </c>
      <c r="B857" s="384">
        <f t="shared" si="125"/>
        <v>158</v>
      </c>
      <c r="C857" s="400" t="str">
        <f t="shared" ca="1" si="119"/>
        <v>a17Dm000000KyDxIAK</v>
      </c>
      <c r="D857" s="397"/>
      <c r="E857" s="384">
        <f t="shared" si="126"/>
        <v>2</v>
      </c>
      <c r="F857" s="398">
        <f ca="1">IF(COUNTA(D$518:D857)=1,"",OFFSET(F855,-COUNTA(D$518:D857)+3,0))</f>
        <v>27</v>
      </c>
      <c r="G857" s="388" t="str">
        <f t="shared" ca="1" si="120"/>
        <v/>
      </c>
      <c r="H857" s="384">
        <f t="shared" si="127"/>
        <v>61</v>
      </c>
      <c r="I857" s="386" t="str">
        <f t="shared" ca="1" si="121"/>
        <v/>
      </c>
      <c r="J857" s="389" t="str">
        <f t="shared" ca="1" si="122"/>
        <v/>
      </c>
      <c r="K857" s="389" t="str">
        <f t="shared" ca="1" si="123"/>
        <v/>
      </c>
      <c r="L857" s="388" t="str">
        <f t="shared" ca="1" si="124"/>
        <v/>
      </c>
      <c r="M857" s="397" t="str">
        <f ca="1">IFERROR(IF(COUNTIF($B$517:$B856,"&lt;0")=1,"",OFFSET($C855,-COUNTIF($B$517:$B856,"&lt;0")+3,0)),"")</f>
        <v>a17Dm000000KyDxIAK</v>
      </c>
      <c r="N857" s="397">
        <f ca="1">IFERROR(IF(AND(_xlfn.ISFORMULA(I857),NOT(_xlfn.ISFORMULA(I856))),1,OFFSET($F855,-COUNTIF($B$517:B856,"&lt;0")+3,0)),"")</f>
        <v>27</v>
      </c>
      <c r="O857" s="384">
        <f t="shared" si="128"/>
        <v>0</v>
      </c>
      <c r="P857" s="384"/>
      <c r="Q857" s="384"/>
      <c r="R857" s="384"/>
      <c r="S857" s="384"/>
      <c r="T857" s="388"/>
    </row>
    <row r="858" spans="1:20" x14ac:dyDescent="0.3">
      <c r="A858" s="384" t="b">
        <f t="shared" ca="1" si="118"/>
        <v>0</v>
      </c>
      <c r="B858" s="384">
        <f t="shared" si="125"/>
        <v>159</v>
      </c>
      <c r="C858" s="400" t="str">
        <f t="shared" ca="1" si="119"/>
        <v>a17Dm000000KyERIA0</v>
      </c>
      <c r="D858" s="397"/>
      <c r="E858" s="384">
        <f t="shared" si="126"/>
        <v>3</v>
      </c>
      <c r="F858" s="398">
        <f ca="1">IF(COUNTA(D$518:D858)=1,"",OFFSET(F856,-COUNTA(D$518:D858)+3,0))</f>
        <v>27</v>
      </c>
      <c r="G858" s="388" t="str">
        <f t="shared" ca="1" si="120"/>
        <v/>
      </c>
      <c r="H858" s="384">
        <f t="shared" si="127"/>
        <v>61</v>
      </c>
      <c r="I858" s="386" t="str">
        <f t="shared" ca="1" si="121"/>
        <v/>
      </c>
      <c r="J858" s="389" t="str">
        <f t="shared" ca="1" si="122"/>
        <v/>
      </c>
      <c r="K858" s="389" t="str">
        <f t="shared" ca="1" si="123"/>
        <v/>
      </c>
      <c r="L858" s="388" t="str">
        <f t="shared" ca="1" si="124"/>
        <v/>
      </c>
      <c r="M858" s="397" t="str">
        <f ca="1">IFERROR(IF(COUNTIF($B$517:$B857,"&lt;0")=1,"",OFFSET($C856,-COUNTIF($B$517:$B857,"&lt;0")+3,0)),"")</f>
        <v>a17Dm000000KyERIA0</v>
      </c>
      <c r="N858" s="397">
        <f ca="1">IFERROR(IF(AND(_xlfn.ISFORMULA(I858),NOT(_xlfn.ISFORMULA(I857))),1,OFFSET($F856,-COUNTIF($B$517:B857,"&lt;0")+3,0)),"")</f>
        <v>27</v>
      </c>
      <c r="O858" s="384">
        <f t="shared" si="128"/>
        <v>0</v>
      </c>
      <c r="P858" s="384"/>
      <c r="Q858" s="384"/>
      <c r="R858" s="384"/>
      <c r="S858" s="384"/>
      <c r="T858" s="388"/>
    </row>
    <row r="859" spans="1:20" x14ac:dyDescent="0.3">
      <c r="A859" s="384" t="b">
        <f t="shared" ca="1" si="118"/>
        <v>0</v>
      </c>
      <c r="B859" s="384">
        <f t="shared" si="125"/>
        <v>160</v>
      </c>
      <c r="C859" s="400" t="str">
        <f t="shared" ca="1" si="119"/>
        <v>a17Dm000000KyEvIAK</v>
      </c>
      <c r="D859" s="397"/>
      <c r="E859" s="384">
        <f t="shared" si="126"/>
        <v>4</v>
      </c>
      <c r="F859" s="398">
        <f ca="1">IF(COUNTA(D$518:D859)=1,"",OFFSET(F857,-COUNTA(D$518:D859)+3,0))</f>
        <v>27</v>
      </c>
      <c r="G859" s="388" t="str">
        <f t="shared" ca="1" si="120"/>
        <v/>
      </c>
      <c r="H859" s="384">
        <f t="shared" si="127"/>
        <v>61</v>
      </c>
      <c r="I859" s="386" t="str">
        <f t="shared" ca="1" si="121"/>
        <v/>
      </c>
      <c r="J859" s="389" t="str">
        <f t="shared" ca="1" si="122"/>
        <v/>
      </c>
      <c r="K859" s="389" t="str">
        <f t="shared" ca="1" si="123"/>
        <v/>
      </c>
      <c r="L859" s="388" t="str">
        <f t="shared" ca="1" si="124"/>
        <v/>
      </c>
      <c r="M859" s="397" t="str">
        <f ca="1">IFERROR(IF(COUNTIF($B$517:$B858,"&lt;0")=1,"",OFFSET($C857,-COUNTIF($B$517:$B858,"&lt;0")+3,0)),"")</f>
        <v>a17Dm000000KyEvIAK</v>
      </c>
      <c r="N859" s="397">
        <f ca="1">IFERROR(IF(AND(_xlfn.ISFORMULA(I859),NOT(_xlfn.ISFORMULA(I858))),1,OFFSET($F857,-COUNTIF($B$517:B858,"&lt;0")+3,0)),"")</f>
        <v>27</v>
      </c>
      <c r="O859" s="384">
        <f t="shared" si="128"/>
        <v>0</v>
      </c>
      <c r="P859" s="384"/>
      <c r="Q859" s="384"/>
      <c r="R859" s="384"/>
      <c r="S859" s="384"/>
      <c r="T859" s="388"/>
    </row>
    <row r="860" spans="1:20" x14ac:dyDescent="0.3">
      <c r="A860" s="384" t="b">
        <f t="shared" ca="1" si="118"/>
        <v>0</v>
      </c>
      <c r="B860" s="384">
        <f t="shared" si="125"/>
        <v>161</v>
      </c>
      <c r="C860" s="400" t="str">
        <f t="shared" ca="1" si="119"/>
        <v>a17Dm000000KyFPIA0</v>
      </c>
      <c r="D860" s="397"/>
      <c r="E860" s="384">
        <f t="shared" si="126"/>
        <v>5</v>
      </c>
      <c r="F860" s="398">
        <f ca="1">IF(COUNTA(D$518:D860)=1,"",OFFSET(F858,-COUNTA(D$518:D860)+3,0))</f>
        <v>27</v>
      </c>
      <c r="G860" s="388" t="str">
        <f t="shared" ca="1" si="120"/>
        <v/>
      </c>
      <c r="H860" s="384">
        <f t="shared" si="127"/>
        <v>61</v>
      </c>
      <c r="I860" s="386" t="str">
        <f t="shared" ca="1" si="121"/>
        <v/>
      </c>
      <c r="J860" s="389" t="str">
        <f t="shared" ca="1" si="122"/>
        <v/>
      </c>
      <c r="K860" s="389" t="str">
        <f t="shared" ca="1" si="123"/>
        <v/>
      </c>
      <c r="L860" s="388" t="str">
        <f t="shared" ca="1" si="124"/>
        <v/>
      </c>
      <c r="M860" s="397" t="str">
        <f ca="1">IFERROR(IF(COUNTIF($B$517:$B859,"&lt;0")=1,"",OFFSET($C858,-COUNTIF($B$517:$B859,"&lt;0")+3,0)),"")</f>
        <v>a17Dm000000KyFPIA0</v>
      </c>
      <c r="N860" s="397">
        <f ca="1">IFERROR(IF(AND(_xlfn.ISFORMULA(I860),NOT(_xlfn.ISFORMULA(I859))),1,OFFSET($F858,-COUNTIF($B$517:B859,"&lt;0")+3,0)),"")</f>
        <v>27</v>
      </c>
      <c r="O860" s="384">
        <f t="shared" si="128"/>
        <v>0</v>
      </c>
      <c r="P860" s="384"/>
      <c r="Q860" s="384"/>
      <c r="R860" s="384"/>
      <c r="S860" s="384"/>
      <c r="T860" s="388"/>
    </row>
    <row r="861" spans="1:20" x14ac:dyDescent="0.3">
      <c r="A861" s="384" t="b">
        <f t="shared" ca="1" si="118"/>
        <v>0</v>
      </c>
      <c r="B861" s="384">
        <f t="shared" si="125"/>
        <v>162</v>
      </c>
      <c r="C861" s="400" t="str">
        <f t="shared" ca="1" si="119"/>
        <v>a17Dm000000KyFtIAK</v>
      </c>
      <c r="D861" s="397"/>
      <c r="E861" s="384">
        <f t="shared" si="126"/>
        <v>6</v>
      </c>
      <c r="F861" s="398">
        <f ca="1">IF(COUNTA(D$518:D861)=1,"",OFFSET(F859,-COUNTA(D$518:D861)+3,0))</f>
        <v>27</v>
      </c>
      <c r="G861" s="388" t="str">
        <f t="shared" ca="1" si="120"/>
        <v/>
      </c>
      <c r="H861" s="384">
        <f t="shared" si="127"/>
        <v>61</v>
      </c>
      <c r="I861" s="386" t="str">
        <f t="shared" ca="1" si="121"/>
        <v/>
      </c>
      <c r="J861" s="389" t="str">
        <f t="shared" ca="1" si="122"/>
        <v/>
      </c>
      <c r="K861" s="389" t="str">
        <f t="shared" ca="1" si="123"/>
        <v/>
      </c>
      <c r="L861" s="388" t="str">
        <f t="shared" ca="1" si="124"/>
        <v/>
      </c>
      <c r="M861" s="397" t="str">
        <f ca="1">IFERROR(IF(COUNTIF($B$517:$B860,"&lt;0")=1,"",OFFSET($C859,-COUNTIF($B$517:$B860,"&lt;0")+3,0)),"")</f>
        <v>a17Dm000000KyFtIAK</v>
      </c>
      <c r="N861" s="397">
        <f ca="1">IFERROR(IF(AND(_xlfn.ISFORMULA(I861),NOT(_xlfn.ISFORMULA(I860))),1,OFFSET($F859,-COUNTIF($B$517:B860,"&lt;0")+3,0)),"")</f>
        <v>27</v>
      </c>
      <c r="O861" s="384">
        <f t="shared" si="128"/>
        <v>0</v>
      </c>
      <c r="P861" s="384"/>
      <c r="Q861" s="384"/>
      <c r="R861" s="384"/>
      <c r="S861" s="384"/>
      <c r="T861" s="388"/>
    </row>
    <row r="862" spans="1:20" x14ac:dyDescent="0.3">
      <c r="A862" s="384" t="b">
        <f t="shared" ca="1" si="118"/>
        <v>0</v>
      </c>
      <c r="B862" s="384">
        <f t="shared" si="125"/>
        <v>163</v>
      </c>
      <c r="C862" s="400" t="str">
        <f t="shared" ca="1" si="119"/>
        <v>a17Dm000000KyDUIA0</v>
      </c>
      <c r="D862" s="397"/>
      <c r="E862" s="384">
        <f t="shared" si="126"/>
        <v>1</v>
      </c>
      <c r="F862" s="398">
        <f ca="1">IF(COUNTA(D$518:D862)=1,"",OFFSET(F860,-COUNTA(D$518:D862)+3,0))</f>
        <v>28</v>
      </c>
      <c r="G862" s="388" t="str">
        <f t="shared" ca="1" si="120"/>
        <v/>
      </c>
      <c r="H862" s="384">
        <f t="shared" si="127"/>
        <v>63</v>
      </c>
      <c r="I862" s="386" t="str">
        <f t="shared" ca="1" si="121"/>
        <v/>
      </c>
      <c r="J862" s="389" t="str">
        <f t="shared" ca="1" si="122"/>
        <v/>
      </c>
      <c r="K862" s="389" t="str">
        <f t="shared" ca="1" si="123"/>
        <v/>
      </c>
      <c r="L862" s="388" t="str">
        <f t="shared" ca="1" si="124"/>
        <v/>
      </c>
      <c r="M862" s="397" t="str">
        <f ca="1">IFERROR(IF(COUNTIF($B$517:$B861,"&lt;0")=1,"",OFFSET($C860,-COUNTIF($B$517:$B861,"&lt;0")+3,0)),"")</f>
        <v>a17Dm000000KyDUIA0</v>
      </c>
      <c r="N862" s="397">
        <f ca="1">IFERROR(IF(AND(_xlfn.ISFORMULA(I862),NOT(_xlfn.ISFORMULA(I861))),1,OFFSET($F860,-COUNTIF($B$517:B861,"&lt;0")+3,0)),"")</f>
        <v>28</v>
      </c>
      <c r="O862" s="384">
        <f t="shared" si="128"/>
        <v>0</v>
      </c>
      <c r="P862" s="384"/>
      <c r="Q862" s="384"/>
      <c r="R862" s="384"/>
      <c r="S862" s="384"/>
      <c r="T862" s="388"/>
    </row>
    <row r="863" spans="1:20" x14ac:dyDescent="0.3">
      <c r="A863" s="384" t="b">
        <f t="shared" ca="1" si="118"/>
        <v>0</v>
      </c>
      <c r="B863" s="384">
        <f t="shared" si="125"/>
        <v>164</v>
      </c>
      <c r="C863" s="400" t="str">
        <f t="shared" ca="1" si="119"/>
        <v>a17Dm000000KyDyIAK</v>
      </c>
      <c r="D863" s="397"/>
      <c r="E863" s="384">
        <f t="shared" si="126"/>
        <v>2</v>
      </c>
      <c r="F863" s="398">
        <f ca="1">IF(COUNTA(D$518:D863)=1,"",OFFSET(F861,-COUNTA(D$518:D863)+3,0))</f>
        <v>28</v>
      </c>
      <c r="G863" s="388" t="str">
        <f t="shared" ca="1" si="120"/>
        <v/>
      </c>
      <c r="H863" s="384">
        <f t="shared" si="127"/>
        <v>63</v>
      </c>
      <c r="I863" s="386" t="str">
        <f t="shared" ca="1" si="121"/>
        <v/>
      </c>
      <c r="J863" s="389" t="str">
        <f t="shared" ca="1" si="122"/>
        <v/>
      </c>
      <c r="K863" s="389" t="str">
        <f t="shared" ca="1" si="123"/>
        <v/>
      </c>
      <c r="L863" s="388" t="str">
        <f t="shared" ca="1" si="124"/>
        <v/>
      </c>
      <c r="M863" s="397" t="str">
        <f ca="1">IFERROR(IF(COUNTIF($B$517:$B862,"&lt;0")=1,"",OFFSET($C861,-COUNTIF($B$517:$B862,"&lt;0")+3,0)),"")</f>
        <v>a17Dm000000KyDyIAK</v>
      </c>
      <c r="N863" s="397">
        <f ca="1">IFERROR(IF(AND(_xlfn.ISFORMULA(I863),NOT(_xlfn.ISFORMULA(I862))),1,OFFSET($F861,-COUNTIF($B$517:B862,"&lt;0")+3,0)),"")</f>
        <v>28</v>
      </c>
      <c r="O863" s="384">
        <f t="shared" si="128"/>
        <v>0</v>
      </c>
      <c r="P863" s="384"/>
      <c r="Q863" s="384"/>
      <c r="R863" s="384"/>
      <c r="S863" s="384"/>
      <c r="T863" s="388"/>
    </row>
    <row r="864" spans="1:20" x14ac:dyDescent="0.3">
      <c r="A864" s="384" t="b">
        <f t="shared" ca="1" si="118"/>
        <v>0</v>
      </c>
      <c r="B864" s="384">
        <f t="shared" si="125"/>
        <v>165</v>
      </c>
      <c r="C864" s="400" t="str">
        <f t="shared" ca="1" si="119"/>
        <v>a17Dm000000KyESIA0</v>
      </c>
      <c r="D864" s="397"/>
      <c r="E864" s="384">
        <f t="shared" si="126"/>
        <v>3</v>
      </c>
      <c r="F864" s="398">
        <f ca="1">IF(COUNTA(D$518:D864)=1,"",OFFSET(F862,-COUNTA(D$518:D864)+3,0))</f>
        <v>28</v>
      </c>
      <c r="G864" s="388" t="str">
        <f t="shared" ca="1" si="120"/>
        <v/>
      </c>
      <c r="H864" s="384">
        <f t="shared" si="127"/>
        <v>63</v>
      </c>
      <c r="I864" s="386" t="str">
        <f t="shared" ca="1" si="121"/>
        <v/>
      </c>
      <c r="J864" s="389" t="str">
        <f t="shared" ca="1" si="122"/>
        <v/>
      </c>
      <c r="K864" s="389" t="str">
        <f t="shared" ca="1" si="123"/>
        <v/>
      </c>
      <c r="L864" s="388" t="str">
        <f t="shared" ca="1" si="124"/>
        <v/>
      </c>
      <c r="M864" s="397" t="str">
        <f ca="1">IFERROR(IF(COUNTIF($B$517:$B863,"&lt;0")=1,"",OFFSET($C862,-COUNTIF($B$517:$B863,"&lt;0")+3,0)),"")</f>
        <v>a17Dm000000KyESIA0</v>
      </c>
      <c r="N864" s="397">
        <f ca="1">IFERROR(IF(AND(_xlfn.ISFORMULA(I864),NOT(_xlfn.ISFORMULA(I863))),1,OFFSET($F862,-COUNTIF($B$517:B863,"&lt;0")+3,0)),"")</f>
        <v>28</v>
      </c>
      <c r="O864" s="384">
        <f t="shared" si="128"/>
        <v>0</v>
      </c>
      <c r="P864" s="384"/>
      <c r="Q864" s="384"/>
      <c r="R864" s="384"/>
      <c r="S864" s="384"/>
      <c r="T864" s="388"/>
    </row>
    <row r="865" spans="1:20" x14ac:dyDescent="0.3">
      <c r="A865" s="384" t="b">
        <f t="shared" ca="1" si="118"/>
        <v>0</v>
      </c>
      <c r="B865" s="384">
        <f t="shared" si="125"/>
        <v>166</v>
      </c>
      <c r="C865" s="400" t="str">
        <f t="shared" ca="1" si="119"/>
        <v>a17Dm000000KyEwIAK</v>
      </c>
      <c r="D865" s="397"/>
      <c r="E865" s="384">
        <f t="shared" si="126"/>
        <v>4</v>
      </c>
      <c r="F865" s="398">
        <f ca="1">IF(COUNTA(D$518:D865)=1,"",OFFSET(F863,-COUNTA(D$518:D865)+3,0))</f>
        <v>28</v>
      </c>
      <c r="G865" s="388" t="str">
        <f t="shared" ca="1" si="120"/>
        <v/>
      </c>
      <c r="H865" s="384">
        <f t="shared" si="127"/>
        <v>63</v>
      </c>
      <c r="I865" s="386" t="str">
        <f t="shared" ca="1" si="121"/>
        <v/>
      </c>
      <c r="J865" s="389" t="str">
        <f t="shared" ca="1" si="122"/>
        <v/>
      </c>
      <c r="K865" s="389" t="str">
        <f t="shared" ca="1" si="123"/>
        <v/>
      </c>
      <c r="L865" s="388" t="str">
        <f t="shared" ca="1" si="124"/>
        <v/>
      </c>
      <c r="M865" s="397" t="str">
        <f ca="1">IFERROR(IF(COUNTIF($B$517:$B864,"&lt;0")=1,"",OFFSET($C863,-COUNTIF($B$517:$B864,"&lt;0")+3,0)),"")</f>
        <v>a17Dm000000KyEwIAK</v>
      </c>
      <c r="N865" s="397">
        <f ca="1">IFERROR(IF(AND(_xlfn.ISFORMULA(I865),NOT(_xlfn.ISFORMULA(I864))),1,OFFSET($F863,-COUNTIF($B$517:B864,"&lt;0")+3,0)),"")</f>
        <v>28</v>
      </c>
      <c r="O865" s="384">
        <f t="shared" si="128"/>
        <v>0</v>
      </c>
      <c r="P865" s="384"/>
      <c r="Q865" s="384"/>
      <c r="R865" s="384"/>
      <c r="S865" s="384"/>
      <c r="T865" s="388"/>
    </row>
    <row r="866" spans="1:20" x14ac:dyDescent="0.3">
      <c r="A866" s="384" t="b">
        <f t="shared" ca="1" si="118"/>
        <v>0</v>
      </c>
      <c r="B866" s="384">
        <f t="shared" si="125"/>
        <v>167</v>
      </c>
      <c r="C866" s="400" t="str">
        <f t="shared" ca="1" si="119"/>
        <v>a17Dm000000KyFQIA0</v>
      </c>
      <c r="D866" s="397"/>
      <c r="E866" s="384">
        <f t="shared" si="126"/>
        <v>5</v>
      </c>
      <c r="F866" s="398">
        <f ca="1">IF(COUNTA(D$518:D866)=1,"",OFFSET(F864,-COUNTA(D$518:D866)+3,0))</f>
        <v>28</v>
      </c>
      <c r="G866" s="388" t="str">
        <f t="shared" ca="1" si="120"/>
        <v/>
      </c>
      <c r="H866" s="384">
        <f t="shared" si="127"/>
        <v>63</v>
      </c>
      <c r="I866" s="386" t="str">
        <f t="shared" ca="1" si="121"/>
        <v/>
      </c>
      <c r="J866" s="389" t="str">
        <f t="shared" ca="1" si="122"/>
        <v/>
      </c>
      <c r="K866" s="389" t="str">
        <f t="shared" ca="1" si="123"/>
        <v/>
      </c>
      <c r="L866" s="388" t="str">
        <f t="shared" ca="1" si="124"/>
        <v/>
      </c>
      <c r="M866" s="397" t="str">
        <f ca="1">IFERROR(IF(COUNTIF($B$517:$B865,"&lt;0")=1,"",OFFSET($C864,-COUNTIF($B$517:$B865,"&lt;0")+3,0)),"")</f>
        <v>a17Dm000000KyFQIA0</v>
      </c>
      <c r="N866" s="397">
        <f ca="1">IFERROR(IF(AND(_xlfn.ISFORMULA(I866),NOT(_xlfn.ISFORMULA(I865))),1,OFFSET($F864,-COUNTIF($B$517:B865,"&lt;0")+3,0)),"")</f>
        <v>28</v>
      </c>
      <c r="O866" s="384">
        <f t="shared" si="128"/>
        <v>0</v>
      </c>
      <c r="P866" s="384"/>
      <c r="Q866" s="384"/>
      <c r="R866" s="384"/>
      <c r="S866" s="384"/>
      <c r="T866" s="388"/>
    </row>
    <row r="867" spans="1:20" x14ac:dyDescent="0.3">
      <c r="A867" s="384" t="b">
        <f t="shared" ca="1" si="118"/>
        <v>0</v>
      </c>
      <c r="B867" s="384">
        <f t="shared" si="125"/>
        <v>168</v>
      </c>
      <c r="C867" s="400" t="str">
        <f t="shared" ca="1" si="119"/>
        <v>a17Dm000000KyFuIAK</v>
      </c>
      <c r="D867" s="397"/>
      <c r="E867" s="384">
        <f t="shared" si="126"/>
        <v>6</v>
      </c>
      <c r="F867" s="398">
        <f ca="1">IF(COUNTA(D$518:D867)=1,"",OFFSET(F865,-COUNTA(D$518:D867)+3,0))</f>
        <v>28</v>
      </c>
      <c r="G867" s="388" t="str">
        <f t="shared" ca="1" si="120"/>
        <v/>
      </c>
      <c r="H867" s="384">
        <f t="shared" si="127"/>
        <v>63</v>
      </c>
      <c r="I867" s="386" t="str">
        <f t="shared" ca="1" si="121"/>
        <v/>
      </c>
      <c r="J867" s="389" t="str">
        <f t="shared" ca="1" si="122"/>
        <v/>
      </c>
      <c r="K867" s="389" t="str">
        <f t="shared" ca="1" si="123"/>
        <v/>
      </c>
      <c r="L867" s="388" t="str">
        <f t="shared" ca="1" si="124"/>
        <v/>
      </c>
      <c r="M867" s="397" t="str">
        <f ca="1">IFERROR(IF(COUNTIF($B$517:$B866,"&lt;0")=1,"",OFFSET($C865,-COUNTIF($B$517:$B866,"&lt;0")+3,0)),"")</f>
        <v>a17Dm000000KyFuIAK</v>
      </c>
      <c r="N867" s="397">
        <f ca="1">IFERROR(IF(AND(_xlfn.ISFORMULA(I867),NOT(_xlfn.ISFORMULA(I866))),1,OFFSET($F865,-COUNTIF($B$517:B866,"&lt;0")+3,0)),"")</f>
        <v>28</v>
      </c>
      <c r="O867" s="384">
        <f t="shared" si="128"/>
        <v>0</v>
      </c>
      <c r="P867" s="384"/>
      <c r="Q867" s="384"/>
      <c r="R867" s="384"/>
      <c r="S867" s="384"/>
      <c r="T867" s="388"/>
    </row>
    <row r="868" spans="1:20" x14ac:dyDescent="0.3">
      <c r="A868" s="384" t="b">
        <f t="shared" ca="1" si="118"/>
        <v>0</v>
      </c>
      <c r="B868" s="384">
        <f t="shared" si="125"/>
        <v>169</v>
      </c>
      <c r="C868" s="400" t="str">
        <f t="shared" ca="1" si="119"/>
        <v>a17Dm000000KyDVIA0</v>
      </c>
      <c r="D868" s="397"/>
      <c r="E868" s="384">
        <f t="shared" si="126"/>
        <v>1</v>
      </c>
      <c r="F868" s="398">
        <f ca="1">IF(COUNTA(D$518:D868)=1,"",OFFSET(F866,-COUNTA(D$518:D868)+3,0))</f>
        <v>29</v>
      </c>
      <c r="G868" s="388" t="str">
        <f t="shared" ca="1" si="120"/>
        <v/>
      </c>
      <c r="H868" s="384">
        <f t="shared" si="127"/>
        <v>65</v>
      </c>
      <c r="I868" s="386" t="str">
        <f t="shared" ca="1" si="121"/>
        <v/>
      </c>
      <c r="J868" s="389" t="str">
        <f t="shared" ca="1" si="122"/>
        <v/>
      </c>
      <c r="K868" s="389" t="str">
        <f t="shared" ca="1" si="123"/>
        <v/>
      </c>
      <c r="L868" s="388" t="str">
        <f t="shared" ca="1" si="124"/>
        <v/>
      </c>
      <c r="M868" s="397" t="str">
        <f ca="1">IFERROR(IF(COUNTIF($B$517:$B867,"&lt;0")=1,"",OFFSET($C866,-COUNTIF($B$517:$B867,"&lt;0")+3,0)),"")</f>
        <v>a17Dm000000KyDVIA0</v>
      </c>
      <c r="N868" s="397">
        <f ca="1">IFERROR(IF(AND(_xlfn.ISFORMULA(I868),NOT(_xlfn.ISFORMULA(I867))),1,OFFSET($F866,-COUNTIF($B$517:B867,"&lt;0")+3,0)),"")</f>
        <v>29</v>
      </c>
      <c r="O868" s="384">
        <f t="shared" si="128"/>
        <v>0</v>
      </c>
      <c r="P868" s="384"/>
      <c r="Q868" s="384"/>
      <c r="R868" s="384"/>
      <c r="S868" s="384"/>
      <c r="T868" s="388"/>
    </row>
    <row r="869" spans="1:20" x14ac:dyDescent="0.3">
      <c r="A869" s="384" t="b">
        <f t="shared" ca="1" si="118"/>
        <v>0</v>
      </c>
      <c r="B869" s="384">
        <f t="shared" si="125"/>
        <v>170</v>
      </c>
      <c r="C869" s="400" t="str">
        <f t="shared" ca="1" si="119"/>
        <v>a17Dm000000KyDzIAK</v>
      </c>
      <c r="D869" s="397"/>
      <c r="E869" s="384">
        <f t="shared" si="126"/>
        <v>2</v>
      </c>
      <c r="F869" s="398">
        <f ca="1">IF(COUNTA(D$518:D869)=1,"",OFFSET(F867,-COUNTA(D$518:D869)+3,0))</f>
        <v>29</v>
      </c>
      <c r="G869" s="388" t="str">
        <f t="shared" ca="1" si="120"/>
        <v/>
      </c>
      <c r="H869" s="384">
        <f t="shared" si="127"/>
        <v>65</v>
      </c>
      <c r="I869" s="386" t="str">
        <f t="shared" ca="1" si="121"/>
        <v/>
      </c>
      <c r="J869" s="389" t="str">
        <f t="shared" ca="1" si="122"/>
        <v/>
      </c>
      <c r="K869" s="389" t="str">
        <f t="shared" ca="1" si="123"/>
        <v/>
      </c>
      <c r="L869" s="388" t="str">
        <f t="shared" ca="1" si="124"/>
        <v/>
      </c>
      <c r="M869" s="397" t="str">
        <f ca="1">IFERROR(IF(COUNTIF($B$517:$B868,"&lt;0")=1,"",OFFSET($C867,-COUNTIF($B$517:$B868,"&lt;0")+3,0)),"")</f>
        <v>a17Dm000000KyDzIAK</v>
      </c>
      <c r="N869" s="397">
        <f ca="1">IFERROR(IF(AND(_xlfn.ISFORMULA(I869),NOT(_xlfn.ISFORMULA(I868))),1,OFFSET($F867,-COUNTIF($B$517:B868,"&lt;0")+3,0)),"")</f>
        <v>29</v>
      </c>
      <c r="O869" s="384">
        <f t="shared" si="128"/>
        <v>0</v>
      </c>
      <c r="P869" s="384"/>
      <c r="Q869" s="384"/>
      <c r="R869" s="384"/>
      <c r="S869" s="384"/>
      <c r="T869" s="388"/>
    </row>
    <row r="870" spans="1:20" x14ac:dyDescent="0.3">
      <c r="A870" s="384" t="b">
        <f t="shared" ca="1" si="118"/>
        <v>0</v>
      </c>
      <c r="B870" s="384">
        <f t="shared" si="125"/>
        <v>171</v>
      </c>
      <c r="C870" s="400" t="str">
        <f t="shared" ca="1" si="119"/>
        <v>a17Dm000000KyETIA0</v>
      </c>
      <c r="D870" s="397"/>
      <c r="E870" s="384">
        <f t="shared" si="126"/>
        <v>3</v>
      </c>
      <c r="F870" s="398">
        <f ca="1">IF(COUNTA(D$518:D870)=1,"",OFFSET(F868,-COUNTA(D$518:D870)+3,0))</f>
        <v>29</v>
      </c>
      <c r="G870" s="388" t="str">
        <f t="shared" ca="1" si="120"/>
        <v/>
      </c>
      <c r="H870" s="384">
        <f t="shared" si="127"/>
        <v>65</v>
      </c>
      <c r="I870" s="386" t="str">
        <f t="shared" ca="1" si="121"/>
        <v/>
      </c>
      <c r="J870" s="389" t="str">
        <f t="shared" ca="1" si="122"/>
        <v/>
      </c>
      <c r="K870" s="389" t="str">
        <f t="shared" ca="1" si="123"/>
        <v/>
      </c>
      <c r="L870" s="388" t="str">
        <f t="shared" ca="1" si="124"/>
        <v/>
      </c>
      <c r="M870" s="397" t="str">
        <f ca="1">IFERROR(IF(COUNTIF($B$517:$B869,"&lt;0")=1,"",OFFSET($C868,-COUNTIF($B$517:$B869,"&lt;0")+3,0)),"")</f>
        <v>a17Dm000000KyETIA0</v>
      </c>
      <c r="N870" s="397">
        <f ca="1">IFERROR(IF(AND(_xlfn.ISFORMULA(I870),NOT(_xlfn.ISFORMULA(I869))),1,OFFSET($F868,-COUNTIF($B$517:B869,"&lt;0")+3,0)),"")</f>
        <v>29</v>
      </c>
      <c r="O870" s="384">
        <f t="shared" si="128"/>
        <v>0</v>
      </c>
      <c r="P870" s="384"/>
      <c r="Q870" s="384"/>
      <c r="R870" s="384"/>
      <c r="S870" s="384"/>
      <c r="T870" s="388"/>
    </row>
    <row r="871" spans="1:20" x14ac:dyDescent="0.3">
      <c r="A871" s="384" t="b">
        <f t="shared" ca="1" si="118"/>
        <v>0</v>
      </c>
      <c r="B871" s="384">
        <f t="shared" si="125"/>
        <v>172</v>
      </c>
      <c r="C871" s="400" t="str">
        <f t="shared" ca="1" si="119"/>
        <v>a17Dm000000KyExIAK</v>
      </c>
      <c r="D871" s="397"/>
      <c r="E871" s="384">
        <f t="shared" si="126"/>
        <v>4</v>
      </c>
      <c r="F871" s="398">
        <f ca="1">IF(COUNTA(D$518:D871)=1,"",OFFSET(F869,-COUNTA(D$518:D871)+3,0))</f>
        <v>29</v>
      </c>
      <c r="G871" s="388" t="str">
        <f t="shared" ca="1" si="120"/>
        <v/>
      </c>
      <c r="H871" s="384">
        <f t="shared" si="127"/>
        <v>65</v>
      </c>
      <c r="I871" s="386" t="str">
        <f t="shared" ca="1" si="121"/>
        <v/>
      </c>
      <c r="J871" s="389" t="str">
        <f t="shared" ca="1" si="122"/>
        <v/>
      </c>
      <c r="K871" s="389" t="str">
        <f t="shared" ca="1" si="123"/>
        <v/>
      </c>
      <c r="L871" s="388" t="str">
        <f t="shared" ca="1" si="124"/>
        <v/>
      </c>
      <c r="M871" s="397" t="str">
        <f ca="1">IFERROR(IF(COUNTIF($B$517:$B870,"&lt;0")=1,"",OFFSET($C869,-COUNTIF($B$517:$B870,"&lt;0")+3,0)),"")</f>
        <v>a17Dm000000KyExIAK</v>
      </c>
      <c r="N871" s="397">
        <f ca="1">IFERROR(IF(AND(_xlfn.ISFORMULA(I871),NOT(_xlfn.ISFORMULA(I870))),1,OFFSET($F869,-COUNTIF($B$517:B870,"&lt;0")+3,0)),"")</f>
        <v>29</v>
      </c>
      <c r="O871" s="384">
        <f t="shared" si="128"/>
        <v>0</v>
      </c>
      <c r="P871" s="384"/>
      <c r="Q871" s="384"/>
      <c r="R871" s="384"/>
      <c r="S871" s="384"/>
      <c r="T871" s="388"/>
    </row>
    <row r="872" spans="1:20" x14ac:dyDescent="0.3">
      <c r="A872" s="384" t="b">
        <f t="shared" ca="1" si="118"/>
        <v>0</v>
      </c>
      <c r="B872" s="384">
        <f t="shared" si="125"/>
        <v>173</v>
      </c>
      <c r="C872" s="400" t="str">
        <f t="shared" ca="1" si="119"/>
        <v>a17Dm000000KyFRIA0</v>
      </c>
      <c r="D872" s="397"/>
      <c r="E872" s="384">
        <f t="shared" si="126"/>
        <v>5</v>
      </c>
      <c r="F872" s="398">
        <f ca="1">IF(COUNTA(D$518:D872)=1,"",OFFSET(F870,-COUNTA(D$518:D872)+3,0))</f>
        <v>29</v>
      </c>
      <c r="G872" s="388" t="str">
        <f t="shared" ca="1" si="120"/>
        <v/>
      </c>
      <c r="H872" s="384">
        <f t="shared" si="127"/>
        <v>65</v>
      </c>
      <c r="I872" s="386" t="str">
        <f t="shared" ca="1" si="121"/>
        <v/>
      </c>
      <c r="J872" s="389" t="str">
        <f t="shared" ca="1" si="122"/>
        <v/>
      </c>
      <c r="K872" s="389" t="str">
        <f t="shared" ca="1" si="123"/>
        <v/>
      </c>
      <c r="L872" s="388" t="str">
        <f t="shared" ca="1" si="124"/>
        <v/>
      </c>
      <c r="M872" s="397" t="str">
        <f ca="1">IFERROR(IF(COUNTIF($B$517:$B871,"&lt;0")=1,"",OFFSET($C870,-COUNTIF($B$517:$B871,"&lt;0")+3,0)),"")</f>
        <v>a17Dm000000KyFRIA0</v>
      </c>
      <c r="N872" s="397">
        <f ca="1">IFERROR(IF(AND(_xlfn.ISFORMULA(I872),NOT(_xlfn.ISFORMULA(I871))),1,OFFSET($F870,-COUNTIF($B$517:B871,"&lt;0")+3,0)),"")</f>
        <v>29</v>
      </c>
      <c r="O872" s="384">
        <f t="shared" si="128"/>
        <v>0</v>
      </c>
      <c r="P872" s="384"/>
      <c r="Q872" s="384"/>
      <c r="R872" s="384"/>
      <c r="S872" s="384"/>
      <c r="T872" s="388"/>
    </row>
    <row r="873" spans="1:20" x14ac:dyDescent="0.3">
      <c r="A873" s="384" t="b">
        <f t="shared" ca="1" si="118"/>
        <v>0</v>
      </c>
      <c r="B873" s="384">
        <f t="shared" si="125"/>
        <v>174</v>
      </c>
      <c r="C873" s="400" t="str">
        <f t="shared" ca="1" si="119"/>
        <v>a17Dm000000KyFvIAK</v>
      </c>
      <c r="D873" s="397"/>
      <c r="E873" s="384">
        <f t="shared" si="126"/>
        <v>6</v>
      </c>
      <c r="F873" s="398">
        <f ca="1">IF(COUNTA(D$518:D873)=1,"",OFFSET(F871,-COUNTA(D$518:D873)+3,0))</f>
        <v>29</v>
      </c>
      <c r="G873" s="388" t="str">
        <f t="shared" ca="1" si="120"/>
        <v/>
      </c>
      <c r="H873" s="384">
        <f t="shared" si="127"/>
        <v>65</v>
      </c>
      <c r="I873" s="386" t="str">
        <f t="shared" ca="1" si="121"/>
        <v/>
      </c>
      <c r="J873" s="389" t="str">
        <f t="shared" ca="1" si="122"/>
        <v/>
      </c>
      <c r="K873" s="389" t="str">
        <f t="shared" ca="1" si="123"/>
        <v/>
      </c>
      <c r="L873" s="388" t="str">
        <f t="shared" ca="1" si="124"/>
        <v/>
      </c>
      <c r="M873" s="397" t="str">
        <f ca="1">IFERROR(IF(COUNTIF($B$517:$B872,"&lt;0")=1,"",OFFSET($C871,-COUNTIF($B$517:$B872,"&lt;0")+3,0)),"")</f>
        <v>a17Dm000000KyFvIAK</v>
      </c>
      <c r="N873" s="397">
        <f ca="1">IFERROR(IF(AND(_xlfn.ISFORMULA(I873),NOT(_xlfn.ISFORMULA(I872))),1,OFFSET($F871,-COUNTIF($B$517:B872,"&lt;0")+3,0)),"")</f>
        <v>29</v>
      </c>
      <c r="O873" s="384">
        <f t="shared" si="128"/>
        <v>0</v>
      </c>
      <c r="P873" s="384"/>
      <c r="Q873" s="384"/>
      <c r="R873" s="384"/>
      <c r="S873" s="384"/>
      <c r="T873" s="388"/>
    </row>
    <row r="874" spans="1:20" x14ac:dyDescent="0.3">
      <c r="A874" s="384" t="b">
        <f t="shared" ca="1" si="118"/>
        <v>0</v>
      </c>
      <c r="B874" s="384">
        <f t="shared" si="125"/>
        <v>175</v>
      </c>
      <c r="C874" s="400" t="str">
        <f t="shared" ca="1" si="119"/>
        <v>a17Dm000000KyDWIA0</v>
      </c>
      <c r="D874" s="397"/>
      <c r="E874" s="384">
        <f t="shared" si="126"/>
        <v>1</v>
      </c>
      <c r="F874" s="398">
        <f ca="1">IF(COUNTA(D$518:D874)=1,"",OFFSET(F872,-COUNTA(D$518:D874)+3,0))</f>
        <v>30</v>
      </c>
      <c r="G874" s="388" t="str">
        <f t="shared" ca="1" si="120"/>
        <v/>
      </c>
      <c r="H874" s="384">
        <f t="shared" si="127"/>
        <v>67</v>
      </c>
      <c r="I874" s="386" t="str">
        <f t="shared" ca="1" si="121"/>
        <v/>
      </c>
      <c r="J874" s="389" t="str">
        <f t="shared" ca="1" si="122"/>
        <v/>
      </c>
      <c r="K874" s="389" t="str">
        <f t="shared" ca="1" si="123"/>
        <v/>
      </c>
      <c r="L874" s="388" t="str">
        <f t="shared" ca="1" si="124"/>
        <v/>
      </c>
      <c r="M874" s="397" t="str">
        <f ca="1">IFERROR(IF(COUNTIF($B$517:$B873,"&lt;0")=1,"",OFFSET($C872,-COUNTIF($B$517:$B873,"&lt;0")+3,0)),"")</f>
        <v>a17Dm000000KyDWIA0</v>
      </c>
      <c r="N874" s="397">
        <f ca="1">IFERROR(IF(AND(_xlfn.ISFORMULA(I874),NOT(_xlfn.ISFORMULA(I873))),1,OFFSET($F872,-COUNTIF($B$517:B873,"&lt;0")+3,0)),"")</f>
        <v>30</v>
      </c>
      <c r="O874" s="384">
        <f t="shared" si="128"/>
        <v>0</v>
      </c>
      <c r="P874" s="384"/>
      <c r="Q874" s="384"/>
      <c r="R874" s="384"/>
      <c r="S874" s="384"/>
      <c r="T874" s="388"/>
    </row>
    <row r="875" spans="1:20" x14ac:dyDescent="0.3">
      <c r="A875" s="384" t="b">
        <f t="shared" ca="1" si="118"/>
        <v>0</v>
      </c>
      <c r="B875" s="384">
        <f t="shared" si="125"/>
        <v>176</v>
      </c>
      <c r="C875" s="400" t="str">
        <f t="shared" ca="1" si="119"/>
        <v>a17Dm000000KyE0IAK</v>
      </c>
      <c r="D875" s="397"/>
      <c r="E875" s="384">
        <f t="shared" si="126"/>
        <v>2</v>
      </c>
      <c r="F875" s="398">
        <f ca="1">IF(COUNTA(D$518:D875)=1,"",OFFSET(F873,-COUNTA(D$518:D875)+3,0))</f>
        <v>30</v>
      </c>
      <c r="G875" s="388" t="str">
        <f t="shared" ca="1" si="120"/>
        <v/>
      </c>
      <c r="H875" s="384">
        <f t="shared" si="127"/>
        <v>67</v>
      </c>
      <c r="I875" s="386" t="str">
        <f t="shared" ca="1" si="121"/>
        <v/>
      </c>
      <c r="J875" s="389" t="str">
        <f t="shared" ca="1" si="122"/>
        <v/>
      </c>
      <c r="K875" s="389" t="str">
        <f t="shared" ca="1" si="123"/>
        <v/>
      </c>
      <c r="L875" s="388" t="str">
        <f t="shared" ca="1" si="124"/>
        <v/>
      </c>
      <c r="M875" s="397" t="str">
        <f ca="1">IFERROR(IF(COUNTIF($B$517:$B874,"&lt;0")=1,"",OFFSET($C873,-COUNTIF($B$517:$B874,"&lt;0")+3,0)),"")</f>
        <v>a17Dm000000KyE0IAK</v>
      </c>
      <c r="N875" s="397">
        <f ca="1">IFERROR(IF(AND(_xlfn.ISFORMULA(I875),NOT(_xlfn.ISFORMULA(I874))),1,OFFSET($F873,-COUNTIF($B$517:B874,"&lt;0")+3,0)),"")</f>
        <v>30</v>
      </c>
      <c r="O875" s="384">
        <f t="shared" si="128"/>
        <v>0</v>
      </c>
      <c r="P875" s="384"/>
      <c r="Q875" s="384"/>
      <c r="R875" s="384"/>
      <c r="S875" s="384"/>
      <c r="T875" s="388"/>
    </row>
    <row r="876" spans="1:20" x14ac:dyDescent="0.3">
      <c r="A876" s="384" t="b">
        <f t="shared" ca="1" si="118"/>
        <v>0</v>
      </c>
      <c r="B876" s="384">
        <f t="shared" si="125"/>
        <v>177</v>
      </c>
      <c r="C876" s="400" t="str">
        <f t="shared" ca="1" si="119"/>
        <v>a17Dm000000KyEUIA0</v>
      </c>
      <c r="D876" s="397"/>
      <c r="E876" s="384">
        <f t="shared" si="126"/>
        <v>3</v>
      </c>
      <c r="F876" s="398">
        <f ca="1">IF(COUNTA(D$518:D876)=1,"",OFFSET(F874,-COUNTA(D$518:D876)+3,0))</f>
        <v>30</v>
      </c>
      <c r="G876" s="388" t="str">
        <f t="shared" ca="1" si="120"/>
        <v/>
      </c>
      <c r="H876" s="384">
        <f t="shared" si="127"/>
        <v>67</v>
      </c>
      <c r="I876" s="386" t="str">
        <f t="shared" ca="1" si="121"/>
        <v/>
      </c>
      <c r="J876" s="389" t="str">
        <f t="shared" ca="1" si="122"/>
        <v/>
      </c>
      <c r="K876" s="389" t="str">
        <f t="shared" ca="1" si="123"/>
        <v/>
      </c>
      <c r="L876" s="388" t="str">
        <f t="shared" ca="1" si="124"/>
        <v/>
      </c>
      <c r="M876" s="397" t="str">
        <f ca="1">IFERROR(IF(COUNTIF($B$517:$B875,"&lt;0")=1,"",OFFSET($C874,-COUNTIF($B$517:$B875,"&lt;0")+3,0)),"")</f>
        <v>a17Dm000000KyEUIA0</v>
      </c>
      <c r="N876" s="397">
        <f ca="1">IFERROR(IF(AND(_xlfn.ISFORMULA(I876),NOT(_xlfn.ISFORMULA(I875))),1,OFFSET($F874,-COUNTIF($B$517:B875,"&lt;0")+3,0)),"")</f>
        <v>30</v>
      </c>
      <c r="O876" s="384">
        <f t="shared" si="128"/>
        <v>0</v>
      </c>
      <c r="P876" s="384"/>
      <c r="Q876" s="384"/>
      <c r="R876" s="384"/>
      <c r="S876" s="384"/>
      <c r="T876" s="388"/>
    </row>
    <row r="877" spans="1:20" x14ac:dyDescent="0.3">
      <c r="A877" s="384" t="b">
        <f t="shared" ca="1" si="118"/>
        <v>0</v>
      </c>
      <c r="B877" s="384">
        <f t="shared" si="125"/>
        <v>178</v>
      </c>
      <c r="C877" s="400" t="str">
        <f t="shared" ca="1" si="119"/>
        <v>a17Dm000000KyEyIAK</v>
      </c>
      <c r="D877" s="397"/>
      <c r="E877" s="384">
        <f t="shared" si="126"/>
        <v>4</v>
      </c>
      <c r="F877" s="398">
        <f ca="1">IF(COUNTA(D$518:D877)=1,"",OFFSET(F875,-COUNTA(D$518:D877)+3,0))</f>
        <v>30</v>
      </c>
      <c r="G877" s="388" t="str">
        <f t="shared" ca="1" si="120"/>
        <v/>
      </c>
      <c r="H877" s="384">
        <f t="shared" si="127"/>
        <v>67</v>
      </c>
      <c r="I877" s="386" t="str">
        <f t="shared" ca="1" si="121"/>
        <v/>
      </c>
      <c r="J877" s="389" t="str">
        <f t="shared" ca="1" si="122"/>
        <v/>
      </c>
      <c r="K877" s="389" t="str">
        <f t="shared" ca="1" si="123"/>
        <v/>
      </c>
      <c r="L877" s="388" t="str">
        <f t="shared" ca="1" si="124"/>
        <v/>
      </c>
      <c r="M877" s="397" t="str">
        <f ca="1">IFERROR(IF(COUNTIF($B$517:$B876,"&lt;0")=1,"",OFFSET($C875,-COUNTIF($B$517:$B876,"&lt;0")+3,0)),"")</f>
        <v>a17Dm000000KyEyIAK</v>
      </c>
      <c r="N877" s="397">
        <f ca="1">IFERROR(IF(AND(_xlfn.ISFORMULA(I877),NOT(_xlfn.ISFORMULA(I876))),1,OFFSET($F875,-COUNTIF($B$517:B876,"&lt;0")+3,0)),"")</f>
        <v>30</v>
      </c>
      <c r="O877" s="384">
        <f t="shared" si="128"/>
        <v>0</v>
      </c>
      <c r="P877" s="384"/>
      <c r="Q877" s="384"/>
      <c r="R877" s="384"/>
      <c r="S877" s="384"/>
      <c r="T877" s="388"/>
    </row>
    <row r="878" spans="1:20" x14ac:dyDescent="0.3">
      <c r="A878" s="384" t="b">
        <f t="shared" ca="1" si="118"/>
        <v>0</v>
      </c>
      <c r="B878" s="384">
        <f t="shared" si="125"/>
        <v>179</v>
      </c>
      <c r="C878" s="400" t="str">
        <f t="shared" ca="1" si="119"/>
        <v>a17Dm000000KyFSIA0</v>
      </c>
      <c r="D878" s="397"/>
      <c r="E878" s="384">
        <f t="shared" si="126"/>
        <v>5</v>
      </c>
      <c r="F878" s="398">
        <f ca="1">IF(COUNTA(D$518:D878)=1,"",OFFSET(F876,-COUNTA(D$518:D878)+3,0))</f>
        <v>30</v>
      </c>
      <c r="G878" s="388" t="str">
        <f t="shared" ca="1" si="120"/>
        <v/>
      </c>
      <c r="H878" s="384">
        <f t="shared" si="127"/>
        <v>67</v>
      </c>
      <c r="I878" s="386" t="str">
        <f t="shared" ca="1" si="121"/>
        <v/>
      </c>
      <c r="J878" s="389" t="str">
        <f t="shared" ca="1" si="122"/>
        <v/>
      </c>
      <c r="K878" s="389" t="str">
        <f t="shared" ca="1" si="123"/>
        <v/>
      </c>
      <c r="L878" s="388" t="str">
        <f t="shared" ca="1" si="124"/>
        <v/>
      </c>
      <c r="M878" s="397" t="str">
        <f ca="1">IFERROR(IF(COUNTIF($B$517:$B877,"&lt;0")=1,"",OFFSET($C876,-COUNTIF($B$517:$B877,"&lt;0")+3,0)),"")</f>
        <v>a17Dm000000KyFSIA0</v>
      </c>
      <c r="N878" s="397">
        <f ca="1">IFERROR(IF(AND(_xlfn.ISFORMULA(I878),NOT(_xlfn.ISFORMULA(I877))),1,OFFSET($F876,-COUNTIF($B$517:B877,"&lt;0")+3,0)),"")</f>
        <v>30</v>
      </c>
      <c r="O878" s="384">
        <f t="shared" si="128"/>
        <v>0</v>
      </c>
      <c r="P878" s="384"/>
      <c r="Q878" s="384"/>
      <c r="R878" s="384"/>
      <c r="S878" s="384"/>
      <c r="T878" s="388"/>
    </row>
    <row r="879" spans="1:20" x14ac:dyDescent="0.3">
      <c r="A879" s="384" t="b">
        <f t="shared" ca="1" si="118"/>
        <v>0</v>
      </c>
      <c r="B879" s="384">
        <f t="shared" si="125"/>
        <v>180</v>
      </c>
      <c r="C879" s="400" t="str">
        <f t="shared" ca="1" si="119"/>
        <v>a17Dm000000KyFwIAK</v>
      </c>
      <c r="D879" s="397"/>
      <c r="E879" s="384">
        <f t="shared" si="126"/>
        <v>6</v>
      </c>
      <c r="F879" s="398">
        <f ca="1">IF(COUNTA(D$518:D879)=1,"",OFFSET(F877,-COUNTA(D$518:D879)+3,0))</f>
        <v>30</v>
      </c>
      <c r="G879" s="388" t="str">
        <f t="shared" ca="1" si="120"/>
        <v/>
      </c>
      <c r="H879" s="384">
        <f t="shared" si="127"/>
        <v>67</v>
      </c>
      <c r="I879" s="386" t="str">
        <f t="shared" ca="1" si="121"/>
        <v/>
      </c>
      <c r="J879" s="389" t="str">
        <f t="shared" ca="1" si="122"/>
        <v/>
      </c>
      <c r="K879" s="389" t="str">
        <f t="shared" ca="1" si="123"/>
        <v/>
      </c>
      <c r="L879" s="388" t="str">
        <f t="shared" ca="1" si="124"/>
        <v/>
      </c>
      <c r="M879" s="397" t="str">
        <f ca="1">IFERROR(IF(COUNTIF($B$517:$B878,"&lt;0")=1,"",OFFSET($C877,-COUNTIF($B$517:$B878,"&lt;0")+3,0)),"")</f>
        <v>a17Dm000000KyFwIAK</v>
      </c>
      <c r="N879" s="397">
        <f ca="1">IFERROR(IF(AND(_xlfn.ISFORMULA(I879),NOT(_xlfn.ISFORMULA(I878))),1,OFFSET($F877,-COUNTIF($B$517:B878,"&lt;0")+3,0)),"")</f>
        <v>30</v>
      </c>
      <c r="O879" s="384">
        <f t="shared" si="128"/>
        <v>0</v>
      </c>
      <c r="P879" s="384"/>
      <c r="Q879" s="384"/>
      <c r="R879" s="384"/>
      <c r="S879" s="384"/>
      <c r="T879" s="388"/>
    </row>
    <row r="881" spans="1:15" x14ac:dyDescent="0.3">
      <c r="A881" s="382" t="s">
        <v>2815</v>
      </c>
      <c r="J881" s="383" t="str">
        <f ca="1">IF(ROW()&gt;'Impact Indicator Target Update'!A17,"",INDIRECT("'Impact Indicators - Section B'!A"&amp;'Impact Indicator Target Update'!D17))</f>
        <v/>
      </c>
    </row>
    <row r="882" spans="1:15" x14ac:dyDescent="0.3">
      <c r="A882" s="382"/>
    </row>
    <row r="884" spans="1:15" x14ac:dyDescent="0.3">
      <c r="A884" s="382" t="s">
        <v>2224</v>
      </c>
    </row>
    <row r="885" spans="1:15" x14ac:dyDescent="0.3">
      <c r="A885" s="384" t="s">
        <v>325</v>
      </c>
      <c r="B885" s="384"/>
      <c r="C885" s="384" t="s">
        <v>318</v>
      </c>
      <c r="D885" s="384" t="s">
        <v>2225</v>
      </c>
      <c r="E885" s="384" t="s">
        <v>105</v>
      </c>
      <c r="F885" s="384"/>
      <c r="G885" s="384" t="s">
        <v>2296</v>
      </c>
      <c r="H885" s="384" t="s">
        <v>2295</v>
      </c>
      <c r="I885" s="384" t="s">
        <v>741</v>
      </c>
      <c r="J885" s="384" t="s">
        <v>199</v>
      </c>
      <c r="K885" s="384" t="s">
        <v>2816</v>
      </c>
      <c r="L885" s="384" t="s">
        <v>176</v>
      </c>
      <c r="M885" s="384" t="s">
        <v>2817</v>
      </c>
      <c r="N885" s="384"/>
      <c r="O885" s="384" t="s">
        <v>2818</v>
      </c>
    </row>
    <row r="886" spans="1:15" hidden="1" x14ac:dyDescent="0.3">
      <c r="A886" s="384" t="b">
        <f ca="1">IF(M886&lt;&gt;"",TRUE,FALSE)</f>
        <v>0</v>
      </c>
      <c r="B886" s="384"/>
      <c r="C886" s="397" t="str">
        <f ca="1">IF(COUNTA(O$885:O886)=1,"",OFFSET(C886,-COUNTA(O$885:O886)+1,0))</f>
        <v/>
      </c>
      <c r="D886" s="389"/>
      <c r="E886" s="386" t="str">
        <f ca="1">IFERROR(IF(VLOOKUP(C886,' Disaggregation - Section E '!A$313:J614,7,0)="","",VLOOKUP(C886,' Disaggregation - Section E '!A$313:J614,7,0)*100),"")</f>
        <v/>
      </c>
      <c r="F886" s="384"/>
      <c r="G886" s="387" t="str">
        <f ca="1">IFERROR(IF(VLOOKUP(C886,' Disaggregation - Section E '!A$313:J614,6,0)="","",VLOOKUP(C886,' Disaggregation - Section E '!A$313:J614,6,0)),"")</f>
        <v/>
      </c>
      <c r="H886" s="387" t="str">
        <f ca="1">IFERROR(IF(INDEX(' Disaggregation - Section E '!F$313:F614,MATCH(C886,' Disaggregation - Section E '!A$313:A614,0)+1,1)&lt;&gt;0,INDEX(' Disaggregation - Section E '!F$313:F614,MATCH(C886,' Disaggregation - Section E '!A$313:A614,0)+1,1),""),"")</f>
        <v/>
      </c>
      <c r="I886" s="388" t="str">
        <f ca="1">IFERROR(IF(VLOOKUP(C886,' Disaggregation - Section E '!A$313:J614,8,0)=0,"",VLOOKUP(C886,' Disaggregation - Section E '!A$313:J614,8,0)),"")</f>
        <v/>
      </c>
      <c r="J886" s="388" t="str">
        <f ca="1">IFERROR(IF(VLOOKUP(C886,' Disaggregation - Section E '!A$313:J614,9,0)="","",VLOOKUP(C886,' Disaggregation - Section E '!A$313:J614,9,0)),"")</f>
        <v/>
      </c>
      <c r="K886" s="384" t="str">
        <f ca="1">IFERROR(VLOOKUP(C886,' Disaggregation - Section E '!A$313:J614,3,0),"")</f>
        <v/>
      </c>
      <c r="L886" s="388" t="str">
        <f ca="1">IFERROR(IF(VLOOKUP(C886,' Disaggregation - Section E '!A$313:J614,10,0)="","",VLOOKUP(C886,' Disaggregation - Section E '!A$313:J614,10,0)),"")</f>
        <v/>
      </c>
      <c r="M886" s="385" t="str">
        <f ca="1">IFERROR(IF(VLOOKUP(C886,' Disaggregation - Section E '!A$313:O318,15,0)=0,"",VLOOKUP(C886,' Disaggregation - Section E '!A$313:O614,15,0)),"")</f>
        <v/>
      </c>
      <c r="N886" s="384"/>
      <c r="O886" s="384"/>
    </row>
    <row r="887" spans="1:15" x14ac:dyDescent="0.3">
      <c r="A887" s="384" t="b">
        <v>0</v>
      </c>
      <c r="B887" s="384"/>
      <c r="C887" s="397" t="s">
        <v>2819</v>
      </c>
      <c r="D887" s="389">
        <v>1</v>
      </c>
      <c r="E887" s="386"/>
      <c r="F887" s="384"/>
      <c r="G887" s="387"/>
      <c r="H887" s="387"/>
      <c r="I887" s="388"/>
      <c r="J887" s="388"/>
      <c r="K887" s="384" t="str">
        <f ca="1">IFERROR(VLOOKUP(C887,' Disaggregation - Section E '!A$313:J615,3,0),"")</f>
        <v>HIV O-4a⁽ᴹ⁾ Percentage of men reporting using a condom the last time they had anal sex with a male partner</v>
      </c>
      <c r="L887" s="388"/>
      <c r="M887" s="385"/>
      <c r="N887" s="384"/>
      <c r="O887" s="384" t="s">
        <v>2452</v>
      </c>
    </row>
    <row r="888" spans="1:15" x14ac:dyDescent="0.3">
      <c r="A888" s="384" t="b">
        <v>0</v>
      </c>
      <c r="B888" s="384"/>
      <c r="C888" s="397" t="s">
        <v>2820</v>
      </c>
      <c r="D888" s="389">
        <v>1</v>
      </c>
      <c r="E888" s="386"/>
      <c r="F888" s="384"/>
      <c r="G888" s="387"/>
      <c r="H888" s="387"/>
      <c r="I888" s="388"/>
      <c r="J888" s="388"/>
      <c r="K888" s="384" t="str">
        <f ca="1">IFERROR(VLOOKUP(C888,' Disaggregation - Section E '!A$313:J616,3,0),"")</f>
        <v>HIV O-4a⁽ᴹ⁾ Percentage of men reporting using a condom the last time they had anal sex with a male partner</v>
      </c>
      <c r="L888" s="388"/>
      <c r="M888" s="385"/>
      <c r="N888" s="384"/>
      <c r="O888" s="384" t="s">
        <v>2452</v>
      </c>
    </row>
    <row r="889" spans="1:15" x14ac:dyDescent="0.3">
      <c r="A889" s="384" t="b">
        <v>0</v>
      </c>
      <c r="B889" s="384"/>
      <c r="C889" s="397" t="s">
        <v>2821</v>
      </c>
      <c r="D889" s="389">
        <v>1</v>
      </c>
      <c r="E889" s="386"/>
      <c r="F889" s="384"/>
      <c r="G889" s="387"/>
      <c r="H889" s="387"/>
      <c r="I889" s="388"/>
      <c r="J889" s="388"/>
      <c r="K889" s="384" t="str">
        <f ca="1">IFERROR(VLOOKUP(C889,' Disaggregation - Section E '!A$313:J617,3,0),"")</f>
        <v>HIV O-4a⁽ᴹ⁾ Percentage of men reporting using a condom the last time they had anal sex with a male partner</v>
      </c>
      <c r="L889" s="388"/>
      <c r="M889" s="385"/>
      <c r="N889" s="384"/>
      <c r="O889" s="384" t="s">
        <v>2452</v>
      </c>
    </row>
    <row r="890" spans="1:15" x14ac:dyDescent="0.3">
      <c r="A890" s="384" t="b">
        <v>0</v>
      </c>
      <c r="B890" s="384"/>
      <c r="C890" s="397" t="s">
        <v>2822</v>
      </c>
      <c r="D890" s="389">
        <v>1</v>
      </c>
      <c r="E890" s="386"/>
      <c r="F890" s="384"/>
      <c r="G890" s="387"/>
      <c r="H890" s="387"/>
      <c r="I890" s="388"/>
      <c r="J890" s="388"/>
      <c r="K890" s="384" t="str">
        <f ca="1">IFERROR(VLOOKUP(C890,' Disaggregation - Section E '!A$313:J618,3,0),"")</f>
        <v>HIV O-4a⁽ᴹ⁾ Percentage of men reporting using a condom the last time they had anal sex with a male partner</v>
      </c>
      <c r="L890" s="388"/>
      <c r="M890" s="385"/>
      <c r="N890" s="384"/>
      <c r="O890" s="384" t="s">
        <v>2452</v>
      </c>
    </row>
    <row r="891" spans="1:15" x14ac:dyDescent="0.3">
      <c r="A891" s="384" t="b">
        <v>0</v>
      </c>
      <c r="B891" s="384"/>
      <c r="C891" s="397" t="s">
        <v>2823</v>
      </c>
      <c r="D891" s="389">
        <v>1</v>
      </c>
      <c r="E891" s="386"/>
      <c r="F891" s="384"/>
      <c r="G891" s="387"/>
      <c r="H891" s="387"/>
      <c r="I891" s="388"/>
      <c r="J891" s="388"/>
      <c r="K891" s="384" t="str">
        <f ca="1">IFERROR(VLOOKUP(C891,' Disaggregation - Section E '!A$313:J619,3,0),"")</f>
        <v>HIV O-4a⁽ᴹ⁾ Percentage of men reporting using a condom the last time they had anal sex with a male partner</v>
      </c>
      <c r="L891" s="388"/>
      <c r="M891" s="385"/>
      <c r="N891" s="384"/>
      <c r="O891" s="384" t="s">
        <v>2452</v>
      </c>
    </row>
    <row r="892" spans="1:15" x14ac:dyDescent="0.3">
      <c r="A892" s="384" t="b">
        <v>0</v>
      </c>
      <c r="B892" s="384"/>
      <c r="C892" s="397" t="s">
        <v>2824</v>
      </c>
      <c r="D892" s="389">
        <v>1</v>
      </c>
      <c r="E892" s="386"/>
      <c r="F892" s="384"/>
      <c r="G892" s="387"/>
      <c r="H892" s="387"/>
      <c r="I892" s="388"/>
      <c r="J892" s="388"/>
      <c r="K892" s="384" t="str">
        <f ca="1">IFERROR(VLOOKUP(C892,' Disaggregation - Section E '!A$313:J620,3,0),"")</f>
        <v>HIV O-4a⁽ᴹ⁾ Percentage of men reporting using a condom the last time they had anal sex with a male partner</v>
      </c>
      <c r="L892" s="388"/>
      <c r="M892" s="385"/>
      <c r="N892" s="384"/>
      <c r="O892" s="384" t="s">
        <v>2452</v>
      </c>
    </row>
    <row r="893" spans="1:15" x14ac:dyDescent="0.3">
      <c r="A893" s="384" t="b">
        <v>0</v>
      </c>
      <c r="B893" s="384"/>
      <c r="C893" s="397" t="s">
        <v>2825</v>
      </c>
      <c r="D893" s="389">
        <v>1</v>
      </c>
      <c r="E893" s="386"/>
      <c r="F893" s="384"/>
      <c r="G893" s="387"/>
      <c r="H893" s="387"/>
      <c r="I893" s="388"/>
      <c r="J893" s="388"/>
      <c r="K893" s="384" t="str">
        <f ca="1">IFERROR(VLOOKUP(C893,' Disaggregation - Section E '!A$313:J621,3,0),"")</f>
        <v>HIV O-4a⁽ᴹ⁾ Percentage of men reporting using a condom the last time they had anal sex with a male partner</v>
      </c>
      <c r="L893" s="388"/>
      <c r="M893" s="385"/>
      <c r="N893" s="384"/>
      <c r="O893" s="384" t="s">
        <v>2452</v>
      </c>
    </row>
    <row r="894" spans="1:15" x14ac:dyDescent="0.3">
      <c r="A894" s="384" t="b">
        <v>0</v>
      </c>
      <c r="B894" s="384"/>
      <c r="C894" s="397" t="s">
        <v>2826</v>
      </c>
      <c r="D894" s="389">
        <v>1</v>
      </c>
      <c r="E894" s="386"/>
      <c r="F894" s="384"/>
      <c r="G894" s="387"/>
      <c r="H894" s="387"/>
      <c r="I894" s="388"/>
      <c r="J894" s="388"/>
      <c r="K894" s="384" t="str">
        <f ca="1">IFERROR(VLOOKUP(C894,' Disaggregation - Section E '!A$313:J622,3,0),"")</f>
        <v>HIV O-4a⁽ᴹ⁾ Percentage of men reporting using a condom the last time they had anal sex with a male partner</v>
      </c>
      <c r="L894" s="388"/>
      <c r="M894" s="385"/>
      <c r="N894" s="384"/>
      <c r="O894" s="384" t="s">
        <v>2452</v>
      </c>
    </row>
    <row r="895" spans="1:15" x14ac:dyDescent="0.3">
      <c r="A895" s="384" t="b">
        <v>0</v>
      </c>
      <c r="B895" s="384"/>
      <c r="C895" s="397" t="s">
        <v>2827</v>
      </c>
      <c r="D895" s="389">
        <v>1</v>
      </c>
      <c r="E895" s="386"/>
      <c r="F895" s="384"/>
      <c r="G895" s="387"/>
      <c r="H895" s="387"/>
      <c r="I895" s="388"/>
      <c r="J895" s="388"/>
      <c r="K895" s="384" t="str">
        <f ca="1">IFERROR(VLOOKUP(C895,' Disaggregation - Section E '!A$313:J623,3,0),"")</f>
        <v>HIV O-4a⁽ᴹ⁾ Percentage of men reporting using a condom the last time they had anal sex with a male partner</v>
      </c>
      <c r="L895" s="388"/>
      <c r="M895" s="385"/>
      <c r="N895" s="384"/>
      <c r="O895" s="384" t="s">
        <v>2452</v>
      </c>
    </row>
    <row r="896" spans="1:15" x14ac:dyDescent="0.3">
      <c r="A896" s="384" t="b">
        <v>0</v>
      </c>
      <c r="B896" s="384"/>
      <c r="C896" s="397" t="s">
        <v>2828</v>
      </c>
      <c r="D896" s="389">
        <v>1</v>
      </c>
      <c r="E896" s="386"/>
      <c r="F896" s="384"/>
      <c r="G896" s="387"/>
      <c r="H896" s="387"/>
      <c r="I896" s="388"/>
      <c r="J896" s="388"/>
      <c r="K896" s="384" t="str">
        <f ca="1">IFERROR(VLOOKUP(C896,' Disaggregation - Section E '!A$313:J624,3,0),"")</f>
        <v>HIV O-4a⁽ᴹ⁾ Percentage of men reporting using a condom the last time they had anal sex with a male partner</v>
      </c>
      <c r="L896" s="388"/>
      <c r="M896" s="385"/>
      <c r="N896" s="384"/>
      <c r="O896" s="384" t="s">
        <v>2452</v>
      </c>
    </row>
    <row r="897" spans="1:15" x14ac:dyDescent="0.3">
      <c r="A897" s="384" t="b">
        <v>0</v>
      </c>
      <c r="B897" s="384"/>
      <c r="C897" s="397" t="s">
        <v>2829</v>
      </c>
      <c r="D897" s="389">
        <v>2</v>
      </c>
      <c r="E897" s="386"/>
      <c r="F897" s="384"/>
      <c r="G897" s="387"/>
      <c r="H897" s="387"/>
      <c r="I897" s="388"/>
      <c r="J897" s="388"/>
      <c r="K897" s="384" t="str">
        <f ca="1">IFERROR(VLOOKUP(C897,' Disaggregation - Section E '!A$313:J625,3,0),"")</f>
        <v>HIV O-5⁽ᴹ⁾ Percentage of sex workers reporting using a condom with their most recent client</v>
      </c>
      <c r="L897" s="388"/>
      <c r="M897" s="385"/>
      <c r="N897" s="384"/>
      <c r="O897" s="384" t="s">
        <v>2459</v>
      </c>
    </row>
    <row r="898" spans="1:15" x14ac:dyDescent="0.3">
      <c r="A898" s="384" t="b">
        <v>0</v>
      </c>
      <c r="B898" s="384"/>
      <c r="C898" s="397" t="s">
        <v>2830</v>
      </c>
      <c r="D898" s="389">
        <v>2</v>
      </c>
      <c r="E898" s="386"/>
      <c r="F898" s="384"/>
      <c r="G898" s="387"/>
      <c r="H898" s="387"/>
      <c r="I898" s="388"/>
      <c r="J898" s="388"/>
      <c r="K898" s="384" t="str">
        <f ca="1">IFERROR(VLOOKUP(C898,' Disaggregation - Section E '!A$313:J626,3,0),"")</f>
        <v>HIV O-5⁽ᴹ⁾ Percentage of sex workers reporting using a condom with their most recent client</v>
      </c>
      <c r="L898" s="388"/>
      <c r="M898" s="385"/>
      <c r="N898" s="384"/>
      <c r="O898" s="384" t="s">
        <v>2459</v>
      </c>
    </row>
    <row r="899" spans="1:15" x14ac:dyDescent="0.3">
      <c r="A899" s="384" t="b">
        <v>0</v>
      </c>
      <c r="B899" s="384"/>
      <c r="C899" s="397" t="s">
        <v>2831</v>
      </c>
      <c r="D899" s="389">
        <v>2</v>
      </c>
      <c r="E899" s="386"/>
      <c r="F899" s="384"/>
      <c r="G899" s="387"/>
      <c r="H899" s="387"/>
      <c r="I899" s="388"/>
      <c r="J899" s="388"/>
      <c r="K899" s="384" t="str">
        <f ca="1">IFERROR(VLOOKUP(C899,' Disaggregation - Section E '!A$313:J627,3,0),"")</f>
        <v>HIV O-5⁽ᴹ⁾ Percentage of sex workers reporting using a condom with their most recent client</v>
      </c>
      <c r="L899" s="388"/>
      <c r="M899" s="385"/>
      <c r="N899" s="384"/>
      <c r="O899" s="384" t="s">
        <v>2459</v>
      </c>
    </row>
    <row r="900" spans="1:15" x14ac:dyDescent="0.3">
      <c r="A900" s="384" t="b">
        <v>0</v>
      </c>
      <c r="B900" s="384"/>
      <c r="C900" s="397" t="s">
        <v>2832</v>
      </c>
      <c r="D900" s="389">
        <v>2</v>
      </c>
      <c r="E900" s="386"/>
      <c r="F900" s="384"/>
      <c r="G900" s="387"/>
      <c r="H900" s="387"/>
      <c r="I900" s="388"/>
      <c r="J900" s="388"/>
      <c r="K900" s="384" t="str">
        <f ca="1">IFERROR(VLOOKUP(C900,' Disaggregation - Section E '!A$313:J628,3,0),"")</f>
        <v>HIV O-5⁽ᴹ⁾ Percentage of sex workers reporting using a condom with their most recent client</v>
      </c>
      <c r="L900" s="388"/>
      <c r="M900" s="385"/>
      <c r="N900" s="384"/>
      <c r="O900" s="384" t="s">
        <v>2459</v>
      </c>
    </row>
    <row r="901" spans="1:15" x14ac:dyDescent="0.3">
      <c r="A901" s="384" t="b">
        <v>0</v>
      </c>
      <c r="B901" s="384"/>
      <c r="C901" s="397" t="s">
        <v>2833</v>
      </c>
      <c r="D901" s="389">
        <v>2</v>
      </c>
      <c r="E901" s="386"/>
      <c r="F901" s="384"/>
      <c r="G901" s="387"/>
      <c r="H901" s="387"/>
      <c r="I901" s="388"/>
      <c r="J901" s="388"/>
      <c r="K901" s="384" t="str">
        <f ca="1">IFERROR(VLOOKUP(C901,' Disaggregation - Section E '!A$313:J629,3,0),"")</f>
        <v>HIV O-5⁽ᴹ⁾ Percentage of sex workers reporting using a condom with their most recent client</v>
      </c>
      <c r="L901" s="388"/>
      <c r="M901" s="385"/>
      <c r="N901" s="384"/>
      <c r="O901" s="384" t="s">
        <v>2459</v>
      </c>
    </row>
    <row r="902" spans="1:15" x14ac:dyDescent="0.3">
      <c r="A902" s="384" t="b">
        <v>0</v>
      </c>
      <c r="B902" s="384"/>
      <c r="C902" s="397" t="s">
        <v>2834</v>
      </c>
      <c r="D902" s="389">
        <v>2</v>
      </c>
      <c r="E902" s="386"/>
      <c r="F902" s="384"/>
      <c r="G902" s="387"/>
      <c r="H902" s="387"/>
      <c r="I902" s="388"/>
      <c r="J902" s="388"/>
      <c r="K902" s="384" t="str">
        <f ca="1">IFERROR(VLOOKUP(C902,' Disaggregation - Section E '!A$313:J630,3,0),"")</f>
        <v>HIV O-5⁽ᴹ⁾ Percentage of sex workers reporting using a condom with their most recent client</v>
      </c>
      <c r="L902" s="388"/>
      <c r="M902" s="385"/>
      <c r="N902" s="384"/>
      <c r="O902" s="384" t="s">
        <v>2459</v>
      </c>
    </row>
    <row r="903" spans="1:15" x14ac:dyDescent="0.3">
      <c r="A903" s="384" t="b">
        <v>0</v>
      </c>
      <c r="B903" s="384"/>
      <c r="C903" s="397" t="s">
        <v>2835</v>
      </c>
      <c r="D903" s="389">
        <v>2</v>
      </c>
      <c r="E903" s="386"/>
      <c r="F903" s="384"/>
      <c r="G903" s="387"/>
      <c r="H903" s="387"/>
      <c r="I903" s="388"/>
      <c r="J903" s="388"/>
      <c r="K903" s="384" t="str">
        <f ca="1">IFERROR(VLOOKUP(C903,' Disaggregation - Section E '!A$313:J631,3,0),"")</f>
        <v>HIV O-5⁽ᴹ⁾ Percentage of sex workers reporting using a condom with their most recent client</v>
      </c>
      <c r="L903" s="388"/>
      <c r="M903" s="385"/>
      <c r="N903" s="384"/>
      <c r="O903" s="384" t="s">
        <v>2459</v>
      </c>
    </row>
    <row r="904" spans="1:15" x14ac:dyDescent="0.3">
      <c r="A904" s="384" t="b">
        <v>0</v>
      </c>
      <c r="B904" s="384"/>
      <c r="C904" s="397" t="s">
        <v>2836</v>
      </c>
      <c r="D904" s="389">
        <v>2</v>
      </c>
      <c r="E904" s="386"/>
      <c r="F904" s="384"/>
      <c r="G904" s="387"/>
      <c r="H904" s="387"/>
      <c r="I904" s="388"/>
      <c r="J904" s="388"/>
      <c r="K904" s="384" t="str">
        <f ca="1">IFERROR(VLOOKUP(C904,' Disaggregation - Section E '!A$313:J632,3,0),"")</f>
        <v>HIV O-5⁽ᴹ⁾ Percentage of sex workers reporting using a condom with their most recent client</v>
      </c>
      <c r="L904" s="388"/>
      <c r="M904" s="385"/>
      <c r="N904" s="384"/>
      <c r="O904" s="384" t="s">
        <v>2459</v>
      </c>
    </row>
    <row r="905" spans="1:15" x14ac:dyDescent="0.3">
      <c r="A905" s="384" t="b">
        <v>0</v>
      </c>
      <c r="B905" s="384"/>
      <c r="C905" s="397" t="s">
        <v>2837</v>
      </c>
      <c r="D905" s="389">
        <v>2</v>
      </c>
      <c r="E905" s="386"/>
      <c r="F905" s="384"/>
      <c r="G905" s="387"/>
      <c r="H905" s="387"/>
      <c r="I905" s="388"/>
      <c r="J905" s="388"/>
      <c r="K905" s="384" t="str">
        <f ca="1">IFERROR(VLOOKUP(C905,' Disaggregation - Section E '!A$313:J633,3,0),"")</f>
        <v>HIV O-5⁽ᴹ⁾ Percentage of sex workers reporting using a condom with their most recent client</v>
      </c>
      <c r="L905" s="388"/>
      <c r="M905" s="385"/>
      <c r="N905" s="384"/>
      <c r="O905" s="384" t="s">
        <v>2459</v>
      </c>
    </row>
    <row r="906" spans="1:15" x14ac:dyDescent="0.3">
      <c r="A906" s="384" t="b">
        <v>0</v>
      </c>
      <c r="B906" s="384"/>
      <c r="C906" s="397" t="s">
        <v>2838</v>
      </c>
      <c r="D906" s="389">
        <v>2</v>
      </c>
      <c r="E906" s="386"/>
      <c r="F906" s="384"/>
      <c r="G906" s="387"/>
      <c r="H906" s="387"/>
      <c r="I906" s="388"/>
      <c r="J906" s="388"/>
      <c r="K906" s="384" t="str">
        <f ca="1">IFERROR(VLOOKUP(C906,' Disaggregation - Section E '!A$313:J634,3,0),"")</f>
        <v>HIV O-5⁽ᴹ⁾ Percentage of sex workers reporting using a condom with their most recent client</v>
      </c>
      <c r="L906" s="388"/>
      <c r="M906" s="385"/>
      <c r="N906" s="384"/>
      <c r="O906" s="384" t="s">
        <v>2459</v>
      </c>
    </row>
    <row r="907" spans="1:15" x14ac:dyDescent="0.3">
      <c r="A907" s="384" t="b">
        <v>0</v>
      </c>
      <c r="B907" s="384"/>
      <c r="C907" s="397" t="s">
        <v>2839</v>
      </c>
      <c r="D907" s="389">
        <v>3</v>
      </c>
      <c r="E907" s="386"/>
      <c r="F907" s="384"/>
      <c r="G907" s="387"/>
      <c r="H907" s="387"/>
      <c r="I907" s="388"/>
      <c r="J907" s="388"/>
      <c r="K907" s="384" t="str">
        <f ca="1">IFERROR(VLOOKUP(C907,' Disaggregation - Section E '!A$313:J635,3,0),"")</f>
        <v>HIV O-4.1b⁽ᴹ⁾ Percentage of transgender people reporting using a condom during their most recent sexual intercourse or anal sex</v>
      </c>
      <c r="L907" s="388"/>
      <c r="M907" s="385"/>
      <c r="N907" s="384"/>
      <c r="O907" s="384" t="s">
        <v>2466</v>
      </c>
    </row>
    <row r="908" spans="1:15" x14ac:dyDescent="0.3">
      <c r="A908" s="384" t="b">
        <v>0</v>
      </c>
      <c r="B908" s="384"/>
      <c r="C908" s="397" t="s">
        <v>2840</v>
      </c>
      <c r="D908" s="389">
        <v>3</v>
      </c>
      <c r="E908" s="386"/>
      <c r="F908" s="384"/>
      <c r="G908" s="387"/>
      <c r="H908" s="387"/>
      <c r="I908" s="388"/>
      <c r="J908" s="388"/>
      <c r="K908" s="384" t="str">
        <f ca="1">IFERROR(VLOOKUP(C908,' Disaggregation - Section E '!A$313:J636,3,0),"")</f>
        <v>HIV O-4.1b⁽ᴹ⁾ Percentage of transgender people reporting using a condom during their most recent sexual intercourse or anal sex</v>
      </c>
      <c r="L908" s="388"/>
      <c r="M908" s="385"/>
      <c r="N908" s="384"/>
      <c r="O908" s="384" t="s">
        <v>2466</v>
      </c>
    </row>
    <row r="909" spans="1:15" x14ac:dyDescent="0.3">
      <c r="A909" s="384" t="b">
        <v>0</v>
      </c>
      <c r="B909" s="384"/>
      <c r="C909" s="397" t="s">
        <v>2841</v>
      </c>
      <c r="D909" s="389">
        <v>3</v>
      </c>
      <c r="E909" s="386"/>
      <c r="F909" s="384"/>
      <c r="G909" s="387"/>
      <c r="H909" s="387"/>
      <c r="I909" s="388"/>
      <c r="J909" s="388"/>
      <c r="K909" s="384" t="str">
        <f ca="1">IFERROR(VLOOKUP(C909,' Disaggregation - Section E '!A$313:J637,3,0),"")</f>
        <v>HIV O-4.1b⁽ᴹ⁾ Percentage of transgender people reporting using a condom during their most recent sexual intercourse or anal sex</v>
      </c>
      <c r="L909" s="388"/>
      <c r="M909" s="385"/>
      <c r="N909" s="384"/>
      <c r="O909" s="384" t="s">
        <v>2466</v>
      </c>
    </row>
    <row r="910" spans="1:15" x14ac:dyDescent="0.3">
      <c r="A910" s="384" t="b">
        <v>0</v>
      </c>
      <c r="B910" s="384"/>
      <c r="C910" s="397" t="s">
        <v>2842</v>
      </c>
      <c r="D910" s="389">
        <v>3</v>
      </c>
      <c r="E910" s="386"/>
      <c r="F910" s="384"/>
      <c r="G910" s="387"/>
      <c r="H910" s="387"/>
      <c r="I910" s="388"/>
      <c r="J910" s="388"/>
      <c r="K910" s="384" t="str">
        <f ca="1">IFERROR(VLOOKUP(C910,' Disaggregation - Section E '!A$313:J638,3,0),"")</f>
        <v>HIV O-4.1b⁽ᴹ⁾ Percentage of transgender people reporting using a condom during their most recent sexual intercourse or anal sex</v>
      </c>
      <c r="L910" s="388"/>
      <c r="M910" s="385"/>
      <c r="N910" s="384"/>
      <c r="O910" s="384" t="s">
        <v>2466</v>
      </c>
    </row>
    <row r="911" spans="1:15" x14ac:dyDescent="0.3">
      <c r="A911" s="384" t="b">
        <v>0</v>
      </c>
      <c r="B911" s="384"/>
      <c r="C911" s="397" t="s">
        <v>2843</v>
      </c>
      <c r="D911" s="389">
        <v>3</v>
      </c>
      <c r="E911" s="386"/>
      <c r="F911" s="384"/>
      <c r="G911" s="387"/>
      <c r="H911" s="387"/>
      <c r="I911" s="388"/>
      <c r="J911" s="388"/>
      <c r="K911" s="384" t="str">
        <f ca="1">IFERROR(VLOOKUP(C911,' Disaggregation - Section E '!A$313:J639,3,0),"")</f>
        <v>HIV O-4.1b⁽ᴹ⁾ Percentage of transgender people reporting using a condom during their most recent sexual intercourse or anal sex</v>
      </c>
      <c r="L911" s="388"/>
      <c r="M911" s="385"/>
      <c r="N911" s="384"/>
      <c r="O911" s="384" t="s">
        <v>2466</v>
      </c>
    </row>
    <row r="912" spans="1:15" x14ac:dyDescent="0.3">
      <c r="A912" s="384" t="b">
        <v>0</v>
      </c>
      <c r="B912" s="384"/>
      <c r="C912" s="397" t="s">
        <v>2844</v>
      </c>
      <c r="D912" s="389">
        <v>3</v>
      </c>
      <c r="E912" s="386"/>
      <c r="F912" s="384"/>
      <c r="G912" s="387"/>
      <c r="H912" s="387"/>
      <c r="I912" s="388"/>
      <c r="J912" s="388"/>
      <c r="K912" s="384" t="str">
        <f ca="1">IFERROR(VLOOKUP(C912,' Disaggregation - Section E '!A$313:J640,3,0),"")</f>
        <v>HIV O-4.1b⁽ᴹ⁾ Percentage of transgender people reporting using a condom during their most recent sexual intercourse or anal sex</v>
      </c>
      <c r="L912" s="388"/>
      <c r="M912" s="385"/>
      <c r="N912" s="384"/>
      <c r="O912" s="384" t="s">
        <v>2466</v>
      </c>
    </row>
    <row r="913" spans="1:15" x14ac:dyDescent="0.3">
      <c r="A913" s="384" t="b">
        <v>0</v>
      </c>
      <c r="B913" s="384"/>
      <c r="C913" s="397" t="s">
        <v>2845</v>
      </c>
      <c r="D913" s="389">
        <v>3</v>
      </c>
      <c r="E913" s="386"/>
      <c r="F913" s="384"/>
      <c r="G913" s="387"/>
      <c r="H913" s="387"/>
      <c r="I913" s="388"/>
      <c r="J913" s="388"/>
      <c r="K913" s="384" t="str">
        <f ca="1">IFERROR(VLOOKUP(C913,' Disaggregation - Section E '!A$313:J641,3,0),"")</f>
        <v>HIV O-4.1b⁽ᴹ⁾ Percentage of transgender people reporting using a condom during their most recent sexual intercourse or anal sex</v>
      </c>
      <c r="L913" s="388"/>
      <c r="M913" s="385"/>
      <c r="N913" s="384"/>
      <c r="O913" s="384" t="s">
        <v>2466</v>
      </c>
    </row>
    <row r="914" spans="1:15" x14ac:dyDescent="0.3">
      <c r="A914" s="384" t="b">
        <v>0</v>
      </c>
      <c r="B914" s="384"/>
      <c r="C914" s="397" t="s">
        <v>2846</v>
      </c>
      <c r="D914" s="389">
        <v>3</v>
      </c>
      <c r="E914" s="386"/>
      <c r="F914" s="384"/>
      <c r="G914" s="387"/>
      <c r="H914" s="387"/>
      <c r="I914" s="388"/>
      <c r="J914" s="388"/>
      <c r="K914" s="384" t="str">
        <f ca="1">IFERROR(VLOOKUP(C914,' Disaggregation - Section E '!A$313:J642,3,0),"")</f>
        <v>HIV O-4.1b⁽ᴹ⁾ Percentage of transgender people reporting using a condom during their most recent sexual intercourse or anal sex</v>
      </c>
      <c r="L914" s="388"/>
      <c r="M914" s="385"/>
      <c r="N914" s="384"/>
      <c r="O914" s="384" t="s">
        <v>2466</v>
      </c>
    </row>
    <row r="915" spans="1:15" x14ac:dyDescent="0.3">
      <c r="A915" s="384" t="b">
        <v>0</v>
      </c>
      <c r="B915" s="384"/>
      <c r="C915" s="397" t="s">
        <v>2847</v>
      </c>
      <c r="D915" s="389">
        <v>3</v>
      </c>
      <c r="E915" s="386"/>
      <c r="F915" s="384"/>
      <c r="G915" s="387"/>
      <c r="H915" s="387"/>
      <c r="I915" s="388"/>
      <c r="J915" s="388"/>
      <c r="K915" s="384" t="str">
        <f ca="1">IFERROR(VLOOKUP(C915,' Disaggregation - Section E '!A$313:J643,3,0),"")</f>
        <v>HIV O-4.1b⁽ᴹ⁾ Percentage of transgender people reporting using a condom during their most recent sexual intercourse or anal sex</v>
      </c>
      <c r="L915" s="388"/>
      <c r="M915" s="385"/>
      <c r="N915" s="384"/>
      <c r="O915" s="384" t="s">
        <v>2466</v>
      </c>
    </row>
    <row r="916" spans="1:15" x14ac:dyDescent="0.3">
      <c r="A916" s="384" t="b">
        <v>0</v>
      </c>
      <c r="B916" s="384"/>
      <c r="C916" s="397" t="s">
        <v>2848</v>
      </c>
      <c r="D916" s="389">
        <v>3</v>
      </c>
      <c r="E916" s="386"/>
      <c r="F916" s="384"/>
      <c r="G916" s="387"/>
      <c r="H916" s="387"/>
      <c r="I916" s="388"/>
      <c r="J916" s="388"/>
      <c r="K916" s="384" t="str">
        <f ca="1">IFERROR(VLOOKUP(C916,' Disaggregation - Section E '!A$313:J644,3,0),"")</f>
        <v>HIV O-4.1b⁽ᴹ⁾ Percentage of transgender people reporting using a condom during their most recent sexual intercourse or anal sex</v>
      </c>
      <c r="L916" s="388"/>
      <c r="M916" s="385"/>
      <c r="N916" s="384"/>
      <c r="O916" s="384" t="s">
        <v>2466</v>
      </c>
    </row>
    <row r="917" spans="1:15" x14ac:dyDescent="0.3">
      <c r="A917" s="384" t="b">
        <v>0</v>
      </c>
      <c r="B917" s="384"/>
      <c r="C917" s="397" t="s">
        <v>2849</v>
      </c>
      <c r="D917" s="389">
        <v>4</v>
      </c>
      <c r="E917" s="386"/>
      <c r="F917" s="384"/>
      <c r="G917" s="387"/>
      <c r="H917" s="387"/>
      <c r="I917" s="388"/>
      <c r="J917" s="388"/>
      <c r="K917" s="384" t="str">
        <f ca="1">IFERROR(VLOOKUP(C917,' Disaggregation - Section E '!A$313:J645,3,0),"")</f>
        <v>HIV O-6⁽ᴹ⁾ Percentage of people who inject drugs reporting using sterile injecting equipment the last time they injected</v>
      </c>
      <c r="L917" s="388"/>
      <c r="M917" s="385"/>
      <c r="N917" s="384"/>
      <c r="O917" s="384" t="s">
        <v>2473</v>
      </c>
    </row>
    <row r="918" spans="1:15" x14ac:dyDescent="0.3">
      <c r="A918" s="384" t="b">
        <v>0</v>
      </c>
      <c r="B918" s="384"/>
      <c r="C918" s="397" t="s">
        <v>2850</v>
      </c>
      <c r="D918" s="389">
        <v>4</v>
      </c>
      <c r="E918" s="386"/>
      <c r="F918" s="384"/>
      <c r="G918" s="387"/>
      <c r="H918" s="387"/>
      <c r="I918" s="388"/>
      <c r="J918" s="388"/>
      <c r="K918" s="384" t="str">
        <f ca="1">IFERROR(VLOOKUP(C918,' Disaggregation - Section E '!A$313:J646,3,0),"")</f>
        <v>HIV O-6⁽ᴹ⁾ Percentage of people who inject drugs reporting using sterile injecting equipment the last time they injected</v>
      </c>
      <c r="L918" s="388"/>
      <c r="M918" s="385"/>
      <c r="N918" s="384"/>
      <c r="O918" s="384" t="s">
        <v>2473</v>
      </c>
    </row>
    <row r="919" spans="1:15" x14ac:dyDescent="0.3">
      <c r="A919" s="384" t="b">
        <v>0</v>
      </c>
      <c r="B919" s="384"/>
      <c r="C919" s="397" t="s">
        <v>2851</v>
      </c>
      <c r="D919" s="389">
        <v>4</v>
      </c>
      <c r="E919" s="386"/>
      <c r="F919" s="384"/>
      <c r="G919" s="387"/>
      <c r="H919" s="387"/>
      <c r="I919" s="388"/>
      <c r="J919" s="388"/>
      <c r="K919" s="384" t="str">
        <f ca="1">IFERROR(VLOOKUP(C919,' Disaggregation - Section E '!A$313:J647,3,0),"")</f>
        <v>HIV O-6⁽ᴹ⁾ Percentage of people who inject drugs reporting using sterile injecting equipment the last time they injected</v>
      </c>
      <c r="L919" s="388"/>
      <c r="M919" s="385"/>
      <c r="N919" s="384"/>
      <c r="O919" s="384" t="s">
        <v>2473</v>
      </c>
    </row>
    <row r="920" spans="1:15" x14ac:dyDescent="0.3">
      <c r="A920" s="384" t="b">
        <v>0</v>
      </c>
      <c r="B920" s="384"/>
      <c r="C920" s="397" t="s">
        <v>2852</v>
      </c>
      <c r="D920" s="389">
        <v>4</v>
      </c>
      <c r="E920" s="386"/>
      <c r="F920" s="384"/>
      <c r="G920" s="387"/>
      <c r="H920" s="387"/>
      <c r="I920" s="388"/>
      <c r="J920" s="388"/>
      <c r="K920" s="384" t="str">
        <f ca="1">IFERROR(VLOOKUP(C920,' Disaggregation - Section E '!A$313:J648,3,0),"")</f>
        <v>HIV O-6⁽ᴹ⁾ Percentage of people who inject drugs reporting using sterile injecting equipment the last time they injected</v>
      </c>
      <c r="L920" s="388"/>
      <c r="M920" s="385"/>
      <c r="N920" s="384"/>
      <c r="O920" s="384" t="s">
        <v>2473</v>
      </c>
    </row>
    <row r="921" spans="1:15" x14ac:dyDescent="0.3">
      <c r="A921" s="384" t="b">
        <v>0</v>
      </c>
      <c r="B921" s="384"/>
      <c r="C921" s="397" t="s">
        <v>2853</v>
      </c>
      <c r="D921" s="389">
        <v>4</v>
      </c>
      <c r="E921" s="386"/>
      <c r="F921" s="384"/>
      <c r="G921" s="387"/>
      <c r="H921" s="387"/>
      <c r="I921" s="388"/>
      <c r="J921" s="388"/>
      <c r="K921" s="384" t="str">
        <f ca="1">IFERROR(VLOOKUP(C921,' Disaggregation - Section E '!A$313:J649,3,0),"")</f>
        <v>HIV O-6⁽ᴹ⁾ Percentage of people who inject drugs reporting using sterile injecting equipment the last time they injected</v>
      </c>
      <c r="L921" s="388"/>
      <c r="M921" s="385"/>
      <c r="N921" s="384"/>
      <c r="O921" s="384" t="s">
        <v>2473</v>
      </c>
    </row>
    <row r="922" spans="1:15" x14ac:dyDescent="0.3">
      <c r="A922" s="384" t="b">
        <v>0</v>
      </c>
      <c r="B922" s="384"/>
      <c r="C922" s="397" t="s">
        <v>2854</v>
      </c>
      <c r="D922" s="389">
        <v>4</v>
      </c>
      <c r="E922" s="386"/>
      <c r="F922" s="384"/>
      <c r="G922" s="387"/>
      <c r="H922" s="387"/>
      <c r="I922" s="388"/>
      <c r="J922" s="388"/>
      <c r="K922" s="384" t="str">
        <f ca="1">IFERROR(VLOOKUP(C922,' Disaggregation - Section E '!A$313:J650,3,0),"")</f>
        <v>HIV O-6⁽ᴹ⁾ Percentage of people who inject drugs reporting using sterile injecting equipment the last time they injected</v>
      </c>
      <c r="L922" s="388"/>
      <c r="M922" s="385"/>
      <c r="N922" s="384"/>
      <c r="O922" s="384" t="s">
        <v>2473</v>
      </c>
    </row>
    <row r="923" spans="1:15" x14ac:dyDescent="0.3">
      <c r="A923" s="384" t="b">
        <v>0</v>
      </c>
      <c r="B923" s="384"/>
      <c r="C923" s="397" t="s">
        <v>2855</v>
      </c>
      <c r="D923" s="389">
        <v>4</v>
      </c>
      <c r="E923" s="386"/>
      <c r="F923" s="384"/>
      <c r="G923" s="387"/>
      <c r="H923" s="387"/>
      <c r="I923" s="388"/>
      <c r="J923" s="388"/>
      <c r="K923" s="384" t="str">
        <f ca="1">IFERROR(VLOOKUP(C923,' Disaggregation - Section E '!A$313:J651,3,0),"")</f>
        <v>HIV O-6⁽ᴹ⁾ Percentage of people who inject drugs reporting using sterile injecting equipment the last time they injected</v>
      </c>
      <c r="L923" s="388"/>
      <c r="M923" s="385"/>
      <c r="N923" s="384"/>
      <c r="O923" s="384" t="s">
        <v>2473</v>
      </c>
    </row>
    <row r="924" spans="1:15" x14ac:dyDescent="0.3">
      <c r="A924" s="384" t="b">
        <v>0</v>
      </c>
      <c r="B924" s="384"/>
      <c r="C924" s="397" t="s">
        <v>2856</v>
      </c>
      <c r="D924" s="389">
        <v>4</v>
      </c>
      <c r="E924" s="386"/>
      <c r="F924" s="384"/>
      <c r="G924" s="387"/>
      <c r="H924" s="387"/>
      <c r="I924" s="388"/>
      <c r="J924" s="388"/>
      <c r="K924" s="384" t="str">
        <f ca="1">IFERROR(VLOOKUP(C924,' Disaggregation - Section E '!A$313:J652,3,0),"")</f>
        <v>HIV O-6⁽ᴹ⁾ Percentage of people who inject drugs reporting using sterile injecting equipment the last time they injected</v>
      </c>
      <c r="L924" s="388"/>
      <c r="M924" s="385"/>
      <c r="N924" s="384"/>
      <c r="O924" s="384" t="s">
        <v>2473</v>
      </c>
    </row>
    <row r="925" spans="1:15" x14ac:dyDescent="0.3">
      <c r="A925" s="384" t="b">
        <v>0</v>
      </c>
      <c r="B925" s="384"/>
      <c r="C925" s="397" t="s">
        <v>2857</v>
      </c>
      <c r="D925" s="389">
        <v>4</v>
      </c>
      <c r="E925" s="386"/>
      <c r="F925" s="384"/>
      <c r="G925" s="387"/>
      <c r="H925" s="387"/>
      <c r="I925" s="388"/>
      <c r="J925" s="388"/>
      <c r="K925" s="384" t="str">
        <f ca="1">IFERROR(VLOOKUP(C925,' Disaggregation - Section E '!A$313:J653,3,0),"")</f>
        <v>HIV O-6⁽ᴹ⁾ Percentage of people who inject drugs reporting using sterile injecting equipment the last time they injected</v>
      </c>
      <c r="L925" s="388"/>
      <c r="M925" s="385"/>
      <c r="N925" s="384"/>
      <c r="O925" s="384" t="s">
        <v>2473</v>
      </c>
    </row>
    <row r="926" spans="1:15" x14ac:dyDescent="0.3">
      <c r="A926" s="384" t="b">
        <v>0</v>
      </c>
      <c r="B926" s="384"/>
      <c r="C926" s="397" t="s">
        <v>2858</v>
      </c>
      <c r="D926" s="389">
        <v>4</v>
      </c>
      <c r="E926" s="386"/>
      <c r="F926" s="384"/>
      <c r="G926" s="387"/>
      <c r="H926" s="387"/>
      <c r="I926" s="388"/>
      <c r="J926" s="388"/>
      <c r="K926" s="384" t="str">
        <f ca="1">IFERROR(VLOOKUP(C926,' Disaggregation - Section E '!A$313:J654,3,0),"")</f>
        <v>HIV O-6⁽ᴹ⁾ Percentage of people who inject drugs reporting using sterile injecting equipment the last time they injected</v>
      </c>
      <c r="L926" s="388"/>
      <c r="M926" s="385"/>
      <c r="N926" s="384"/>
      <c r="O926" s="384" t="s">
        <v>2473</v>
      </c>
    </row>
    <row r="927" spans="1:15" x14ac:dyDescent="0.3">
      <c r="A927" s="384" t="b">
        <v>0</v>
      </c>
      <c r="B927" s="384"/>
      <c r="C927" s="397" t="s">
        <v>2859</v>
      </c>
      <c r="D927" s="389">
        <v>5</v>
      </c>
      <c r="E927" s="386"/>
      <c r="F927" s="384"/>
      <c r="G927" s="387"/>
      <c r="H927" s="387"/>
      <c r="I927" s="388"/>
      <c r="J927" s="388"/>
      <c r="K927" s="384" t="str">
        <f ca="1">IFERROR(VLOOKUP(C927,' Disaggregation - Section E '!A$313:J655,3,0),"")</f>
        <v>HIV O-11⁽ᴹ⁾ Percentage of people living with HIV who know their HIV status at the end of the reporting period</v>
      </c>
      <c r="L927" s="388"/>
      <c r="M927" s="385"/>
      <c r="N927" s="384"/>
      <c r="O927" s="384" t="s">
        <v>2480</v>
      </c>
    </row>
    <row r="928" spans="1:15" x14ac:dyDescent="0.3">
      <c r="A928" s="384" t="b">
        <v>0</v>
      </c>
      <c r="B928" s="384"/>
      <c r="C928" s="397" t="s">
        <v>2860</v>
      </c>
      <c r="D928" s="389">
        <v>5</v>
      </c>
      <c r="E928" s="386"/>
      <c r="F928" s="384"/>
      <c r="G928" s="387"/>
      <c r="H928" s="387"/>
      <c r="I928" s="388"/>
      <c r="J928" s="388"/>
      <c r="K928" s="384" t="str">
        <f ca="1">IFERROR(VLOOKUP(C928,' Disaggregation - Section E '!A$313:J656,3,0),"")</f>
        <v>HIV O-11⁽ᴹ⁾ Percentage of people living with HIV who know their HIV status at the end of the reporting period</v>
      </c>
      <c r="L928" s="388"/>
      <c r="M928" s="385"/>
      <c r="N928" s="384"/>
      <c r="O928" s="384" t="s">
        <v>2480</v>
      </c>
    </row>
    <row r="929" spans="1:15" x14ac:dyDescent="0.3">
      <c r="A929" s="384" t="b">
        <v>0</v>
      </c>
      <c r="B929" s="384"/>
      <c r="C929" s="397" t="s">
        <v>2861</v>
      </c>
      <c r="D929" s="389">
        <v>5</v>
      </c>
      <c r="E929" s="386"/>
      <c r="F929" s="384"/>
      <c r="G929" s="387"/>
      <c r="H929" s="387"/>
      <c r="I929" s="388"/>
      <c r="J929" s="388"/>
      <c r="K929" s="384" t="str">
        <f ca="1">IFERROR(VLOOKUP(C929,' Disaggregation - Section E '!A$313:J657,3,0),"")</f>
        <v>HIV O-11⁽ᴹ⁾ Percentage of people living with HIV who know their HIV status at the end of the reporting period</v>
      </c>
      <c r="L929" s="388"/>
      <c r="M929" s="385"/>
      <c r="N929" s="384"/>
      <c r="O929" s="384" t="s">
        <v>2480</v>
      </c>
    </row>
    <row r="930" spans="1:15" x14ac:dyDescent="0.3">
      <c r="A930" s="384" t="b">
        <v>0</v>
      </c>
      <c r="B930" s="384"/>
      <c r="C930" s="397" t="s">
        <v>2862</v>
      </c>
      <c r="D930" s="389">
        <v>5</v>
      </c>
      <c r="E930" s="386"/>
      <c r="F930" s="384"/>
      <c r="G930" s="387"/>
      <c r="H930" s="387"/>
      <c r="I930" s="388"/>
      <c r="J930" s="388"/>
      <c r="K930" s="384" t="str">
        <f ca="1">IFERROR(VLOOKUP(C930,' Disaggregation - Section E '!A$313:J658,3,0),"")</f>
        <v>HIV O-11⁽ᴹ⁾ Percentage of people living with HIV who know their HIV status at the end of the reporting period</v>
      </c>
      <c r="L930" s="388"/>
      <c r="M930" s="385"/>
      <c r="N930" s="384"/>
      <c r="O930" s="384" t="s">
        <v>2480</v>
      </c>
    </row>
    <row r="931" spans="1:15" x14ac:dyDescent="0.3">
      <c r="A931" s="384" t="b">
        <v>0</v>
      </c>
      <c r="B931" s="384"/>
      <c r="C931" s="397" t="s">
        <v>2863</v>
      </c>
      <c r="D931" s="389">
        <v>5</v>
      </c>
      <c r="E931" s="386"/>
      <c r="F931" s="384"/>
      <c r="G931" s="387"/>
      <c r="H931" s="387"/>
      <c r="I931" s="388"/>
      <c r="J931" s="388"/>
      <c r="K931" s="384" t="str">
        <f ca="1">IFERROR(VLOOKUP(C931,' Disaggregation - Section E '!A$313:J659,3,0),"")</f>
        <v>HIV O-11⁽ᴹ⁾ Percentage of people living with HIV who know their HIV status at the end of the reporting period</v>
      </c>
      <c r="L931" s="388"/>
      <c r="M931" s="385"/>
      <c r="N931" s="384"/>
      <c r="O931" s="384" t="s">
        <v>2480</v>
      </c>
    </row>
    <row r="932" spans="1:15" x14ac:dyDescent="0.3">
      <c r="A932" s="384" t="b">
        <v>0</v>
      </c>
      <c r="B932" s="384"/>
      <c r="C932" s="397" t="s">
        <v>2864</v>
      </c>
      <c r="D932" s="389">
        <v>5</v>
      </c>
      <c r="E932" s="386"/>
      <c r="F932" s="384"/>
      <c r="G932" s="387"/>
      <c r="H932" s="387"/>
      <c r="I932" s="388"/>
      <c r="J932" s="388"/>
      <c r="K932" s="384" t="str">
        <f ca="1">IFERROR(VLOOKUP(C932,' Disaggregation - Section E '!A$313:J660,3,0),"")</f>
        <v>HIV O-11⁽ᴹ⁾ Percentage of people living with HIV who know their HIV status at the end of the reporting period</v>
      </c>
      <c r="L932" s="388"/>
      <c r="M932" s="385"/>
      <c r="N932" s="384"/>
      <c r="O932" s="384" t="s">
        <v>2480</v>
      </c>
    </row>
    <row r="933" spans="1:15" x14ac:dyDescent="0.3">
      <c r="A933" s="384" t="b">
        <v>0</v>
      </c>
      <c r="B933" s="384"/>
      <c r="C933" s="397" t="s">
        <v>2865</v>
      </c>
      <c r="D933" s="389">
        <v>5</v>
      </c>
      <c r="E933" s="386"/>
      <c r="F933" s="384"/>
      <c r="G933" s="387"/>
      <c r="H933" s="387"/>
      <c r="I933" s="388"/>
      <c r="J933" s="388"/>
      <c r="K933" s="384" t="str">
        <f ca="1">IFERROR(VLOOKUP(C933,' Disaggregation - Section E '!A$313:J661,3,0),"")</f>
        <v>HIV O-11⁽ᴹ⁾ Percentage of people living with HIV who know their HIV status at the end of the reporting period</v>
      </c>
      <c r="L933" s="388"/>
      <c r="M933" s="385"/>
      <c r="N933" s="384"/>
      <c r="O933" s="384" t="s">
        <v>2480</v>
      </c>
    </row>
    <row r="934" spans="1:15" x14ac:dyDescent="0.3">
      <c r="A934" s="384" t="b">
        <v>0</v>
      </c>
      <c r="B934" s="384"/>
      <c r="C934" s="397" t="s">
        <v>2866</v>
      </c>
      <c r="D934" s="389">
        <v>5</v>
      </c>
      <c r="E934" s="386"/>
      <c r="F934" s="384"/>
      <c r="G934" s="387"/>
      <c r="H934" s="387"/>
      <c r="I934" s="388"/>
      <c r="J934" s="388"/>
      <c r="K934" s="384" t="str">
        <f ca="1">IFERROR(VLOOKUP(C934,' Disaggregation - Section E '!A$313:J662,3,0),"")</f>
        <v>HIV O-11⁽ᴹ⁾ Percentage of people living with HIV who know their HIV status at the end of the reporting period</v>
      </c>
      <c r="L934" s="388"/>
      <c r="M934" s="385"/>
      <c r="N934" s="384"/>
      <c r="O934" s="384" t="s">
        <v>2480</v>
      </c>
    </row>
    <row r="935" spans="1:15" x14ac:dyDescent="0.3">
      <c r="A935" s="384" t="b">
        <v>0</v>
      </c>
      <c r="B935" s="384"/>
      <c r="C935" s="397" t="s">
        <v>2867</v>
      </c>
      <c r="D935" s="389">
        <v>5</v>
      </c>
      <c r="E935" s="386"/>
      <c r="F935" s="384"/>
      <c r="G935" s="387"/>
      <c r="H935" s="387"/>
      <c r="I935" s="388"/>
      <c r="J935" s="388"/>
      <c r="K935" s="384" t="str">
        <f ca="1">IFERROR(VLOOKUP(C935,' Disaggregation - Section E '!A$313:J663,3,0),"")</f>
        <v>HIV O-11⁽ᴹ⁾ Percentage of people living with HIV who know their HIV status at the end of the reporting period</v>
      </c>
      <c r="L935" s="388"/>
      <c r="M935" s="385"/>
      <c r="N935" s="384"/>
      <c r="O935" s="384" t="s">
        <v>2480</v>
      </c>
    </row>
    <row r="936" spans="1:15" x14ac:dyDescent="0.3">
      <c r="A936" s="384" t="b">
        <v>0</v>
      </c>
      <c r="B936" s="384"/>
      <c r="C936" s="397" t="s">
        <v>2868</v>
      </c>
      <c r="D936" s="389">
        <v>5</v>
      </c>
      <c r="E936" s="386"/>
      <c r="F936" s="384"/>
      <c r="G936" s="387"/>
      <c r="H936" s="387"/>
      <c r="I936" s="388"/>
      <c r="J936" s="388"/>
      <c r="K936" s="384" t="str">
        <f ca="1">IFERROR(VLOOKUP(C936,' Disaggregation - Section E '!A$313:J664,3,0),"")</f>
        <v>HIV O-11⁽ᴹ⁾ Percentage of people living with HIV who know their HIV status at the end of the reporting period</v>
      </c>
      <c r="L936" s="388"/>
      <c r="M936" s="385"/>
      <c r="N936" s="384"/>
      <c r="O936" s="384" t="s">
        <v>2480</v>
      </c>
    </row>
    <row r="937" spans="1:15" x14ac:dyDescent="0.3">
      <c r="A937" s="384" t="b">
        <v>0</v>
      </c>
      <c r="B937" s="384"/>
      <c r="C937" s="397" t="s">
        <v>2869</v>
      </c>
      <c r="D937" s="389">
        <v>6</v>
      </c>
      <c r="E937" s="386"/>
      <c r="F937" s="384"/>
      <c r="G937" s="387"/>
      <c r="H937" s="387"/>
      <c r="I937" s="388"/>
      <c r="J937" s="388"/>
      <c r="K937" s="384" t="str">
        <f ca="1">IFERROR(VLOOKUP(C937,' Disaggregation - Section E '!A$313:J665,3,0),"")</f>
        <v>HIV O-12 Percentage of people living with HIV and on ART who are virologically suppressed</v>
      </c>
      <c r="L937" s="388"/>
      <c r="M937" s="385"/>
      <c r="N937" s="384"/>
      <c r="O937" s="384" t="s">
        <v>2487</v>
      </c>
    </row>
    <row r="938" spans="1:15" x14ac:dyDescent="0.3">
      <c r="A938" s="384" t="b">
        <v>0</v>
      </c>
      <c r="B938" s="384"/>
      <c r="C938" s="397" t="s">
        <v>2870</v>
      </c>
      <c r="D938" s="389">
        <v>6</v>
      </c>
      <c r="E938" s="386"/>
      <c r="F938" s="384"/>
      <c r="G938" s="387"/>
      <c r="H938" s="387"/>
      <c r="I938" s="388"/>
      <c r="J938" s="388"/>
      <c r="K938" s="384" t="str">
        <f ca="1">IFERROR(VLOOKUP(C938,' Disaggregation - Section E '!A$313:J666,3,0),"")</f>
        <v>HIV O-12 Percentage of people living with HIV and on ART who are virologically suppressed</v>
      </c>
      <c r="L938" s="388"/>
      <c r="M938" s="385"/>
      <c r="N938" s="384"/>
      <c r="O938" s="384" t="s">
        <v>2487</v>
      </c>
    </row>
    <row r="939" spans="1:15" x14ac:dyDescent="0.3">
      <c r="A939" s="384" t="b">
        <v>0</v>
      </c>
      <c r="B939" s="384"/>
      <c r="C939" s="397" t="s">
        <v>2871</v>
      </c>
      <c r="D939" s="389">
        <v>6</v>
      </c>
      <c r="E939" s="386"/>
      <c r="F939" s="384"/>
      <c r="G939" s="387"/>
      <c r="H939" s="387"/>
      <c r="I939" s="388"/>
      <c r="J939" s="388"/>
      <c r="K939" s="384" t="str">
        <f ca="1">IFERROR(VLOOKUP(C939,' Disaggregation - Section E '!A$313:J667,3,0),"")</f>
        <v>HIV O-12 Percentage of people living with HIV and on ART who are virologically suppressed</v>
      </c>
      <c r="L939" s="388"/>
      <c r="M939" s="385"/>
      <c r="N939" s="384"/>
      <c r="O939" s="384" t="s">
        <v>2487</v>
      </c>
    </row>
    <row r="940" spans="1:15" x14ac:dyDescent="0.3">
      <c r="A940" s="384" t="b">
        <v>0</v>
      </c>
      <c r="B940" s="384"/>
      <c r="C940" s="397" t="s">
        <v>2872</v>
      </c>
      <c r="D940" s="389">
        <v>6</v>
      </c>
      <c r="E940" s="386"/>
      <c r="F940" s="384"/>
      <c r="G940" s="387"/>
      <c r="H940" s="387"/>
      <c r="I940" s="388"/>
      <c r="J940" s="388"/>
      <c r="K940" s="384" t="str">
        <f ca="1">IFERROR(VLOOKUP(C940,' Disaggregation - Section E '!A$313:J668,3,0),"")</f>
        <v>HIV O-12 Percentage of people living with HIV and on ART who are virologically suppressed</v>
      </c>
      <c r="L940" s="388"/>
      <c r="M940" s="385"/>
      <c r="N940" s="384"/>
      <c r="O940" s="384" t="s">
        <v>2487</v>
      </c>
    </row>
    <row r="941" spans="1:15" x14ac:dyDescent="0.3">
      <c r="A941" s="384" t="b">
        <v>0</v>
      </c>
      <c r="B941" s="384"/>
      <c r="C941" s="397" t="s">
        <v>2873</v>
      </c>
      <c r="D941" s="389">
        <v>6</v>
      </c>
      <c r="E941" s="386"/>
      <c r="F941" s="384"/>
      <c r="G941" s="387"/>
      <c r="H941" s="387"/>
      <c r="I941" s="388"/>
      <c r="J941" s="388"/>
      <c r="K941" s="384" t="str">
        <f ca="1">IFERROR(VLOOKUP(C941,' Disaggregation - Section E '!A$313:J669,3,0),"")</f>
        <v>HIV O-12 Percentage of people living with HIV and on ART who are virologically suppressed</v>
      </c>
      <c r="L941" s="388"/>
      <c r="M941" s="385"/>
      <c r="N941" s="384"/>
      <c r="O941" s="384" t="s">
        <v>2487</v>
      </c>
    </row>
    <row r="942" spans="1:15" x14ac:dyDescent="0.3">
      <c r="A942" s="384" t="b">
        <v>0</v>
      </c>
      <c r="B942" s="384"/>
      <c r="C942" s="397" t="s">
        <v>2874</v>
      </c>
      <c r="D942" s="389">
        <v>6</v>
      </c>
      <c r="E942" s="386"/>
      <c r="F942" s="384"/>
      <c r="G942" s="387"/>
      <c r="H942" s="387"/>
      <c r="I942" s="388"/>
      <c r="J942" s="388"/>
      <c r="K942" s="384" t="str">
        <f ca="1">IFERROR(VLOOKUP(C942,' Disaggregation - Section E '!A$313:J670,3,0),"")</f>
        <v>HIV O-12 Percentage of people living with HIV and on ART who are virologically suppressed</v>
      </c>
      <c r="L942" s="388"/>
      <c r="M942" s="385"/>
      <c r="N942" s="384"/>
      <c r="O942" s="384" t="s">
        <v>2487</v>
      </c>
    </row>
    <row r="943" spans="1:15" x14ac:dyDescent="0.3">
      <c r="A943" s="384" t="b">
        <v>0</v>
      </c>
      <c r="B943" s="384"/>
      <c r="C943" s="397" t="s">
        <v>2875</v>
      </c>
      <c r="D943" s="389">
        <v>6</v>
      </c>
      <c r="E943" s="386"/>
      <c r="F943" s="384"/>
      <c r="G943" s="387"/>
      <c r="H943" s="387"/>
      <c r="I943" s="388"/>
      <c r="J943" s="388"/>
      <c r="K943" s="384" t="str">
        <f ca="1">IFERROR(VLOOKUP(C943,' Disaggregation - Section E '!A$313:J671,3,0),"")</f>
        <v>HIV O-12 Percentage of people living with HIV and on ART who are virologically suppressed</v>
      </c>
      <c r="L943" s="388"/>
      <c r="M943" s="385"/>
      <c r="N943" s="384"/>
      <c r="O943" s="384" t="s">
        <v>2487</v>
      </c>
    </row>
    <row r="944" spans="1:15" x14ac:dyDescent="0.3">
      <c r="A944" s="384" t="b">
        <v>0</v>
      </c>
      <c r="B944" s="384"/>
      <c r="C944" s="397" t="s">
        <v>2876</v>
      </c>
      <c r="D944" s="389">
        <v>6</v>
      </c>
      <c r="E944" s="386"/>
      <c r="F944" s="384"/>
      <c r="G944" s="387"/>
      <c r="H944" s="387"/>
      <c r="I944" s="388"/>
      <c r="J944" s="388"/>
      <c r="K944" s="384" t="str">
        <f ca="1">IFERROR(VLOOKUP(C944,' Disaggregation - Section E '!A$313:J672,3,0),"")</f>
        <v>HIV O-12 Percentage of people living with HIV and on ART who are virologically suppressed</v>
      </c>
      <c r="L944" s="388"/>
      <c r="M944" s="385"/>
      <c r="N944" s="384"/>
      <c r="O944" s="384" t="s">
        <v>2487</v>
      </c>
    </row>
    <row r="945" spans="1:15" x14ac:dyDescent="0.3">
      <c r="A945" s="384" t="b">
        <v>0</v>
      </c>
      <c r="B945" s="384"/>
      <c r="C945" s="397" t="s">
        <v>2877</v>
      </c>
      <c r="D945" s="389">
        <v>6</v>
      </c>
      <c r="E945" s="386"/>
      <c r="F945" s="384"/>
      <c r="G945" s="387"/>
      <c r="H945" s="387"/>
      <c r="I945" s="388"/>
      <c r="J945" s="388"/>
      <c r="K945" s="384" t="str">
        <f ca="1">IFERROR(VLOOKUP(C945,' Disaggregation - Section E '!A$313:J673,3,0),"")</f>
        <v>HIV O-12 Percentage of people living with HIV and on ART who are virologically suppressed</v>
      </c>
      <c r="L945" s="388"/>
      <c r="M945" s="385"/>
      <c r="N945" s="384"/>
      <c r="O945" s="384" t="s">
        <v>2487</v>
      </c>
    </row>
    <row r="946" spans="1:15" x14ac:dyDescent="0.3">
      <c r="A946" s="384" t="b">
        <v>0</v>
      </c>
      <c r="B946" s="384"/>
      <c r="C946" s="397" t="s">
        <v>2878</v>
      </c>
      <c r="D946" s="389">
        <v>6</v>
      </c>
      <c r="E946" s="386"/>
      <c r="F946" s="384"/>
      <c r="G946" s="387"/>
      <c r="H946" s="387"/>
      <c r="I946" s="388"/>
      <c r="J946" s="388"/>
      <c r="K946" s="384" t="str">
        <f ca="1">IFERROR(VLOOKUP(C946,' Disaggregation - Section E '!A$313:J674,3,0),"")</f>
        <v>HIV O-12 Percentage of people living with HIV and on ART who are virologically suppressed</v>
      </c>
      <c r="L946" s="388"/>
      <c r="M946" s="385"/>
      <c r="N946" s="384"/>
      <c r="O946" s="384" t="s">
        <v>2487</v>
      </c>
    </row>
    <row r="947" spans="1:15" x14ac:dyDescent="0.3">
      <c r="A947" s="384" t="b">
        <v>0</v>
      </c>
      <c r="B947" s="384"/>
      <c r="C947" s="397" t="s">
        <v>2879</v>
      </c>
      <c r="D947" s="389">
        <v>7</v>
      </c>
      <c r="E947" s="386"/>
      <c r="F947" s="384"/>
      <c r="G947" s="387"/>
      <c r="H947" s="387"/>
      <c r="I947" s="388"/>
      <c r="J947" s="388"/>
      <c r="K947" s="384" t="str">
        <f ca="1">IFERROR(VLOOKUP(C947,' Disaggregation - Section E '!A$313:J675,3,0),"")</f>
        <v>HIV O-15 Percentage of people living with HIV who report experiences of HIV-related discrimination in health-care settings</v>
      </c>
      <c r="L947" s="388"/>
      <c r="M947" s="385"/>
      <c r="N947" s="384"/>
      <c r="O947" s="384" t="s">
        <v>2494</v>
      </c>
    </row>
    <row r="948" spans="1:15" x14ac:dyDescent="0.3">
      <c r="A948" s="384" t="b">
        <v>0</v>
      </c>
      <c r="B948" s="384"/>
      <c r="C948" s="397" t="s">
        <v>2880</v>
      </c>
      <c r="D948" s="389">
        <v>7</v>
      </c>
      <c r="E948" s="386"/>
      <c r="F948" s="384"/>
      <c r="G948" s="387"/>
      <c r="H948" s="387"/>
      <c r="I948" s="388"/>
      <c r="J948" s="388"/>
      <c r="K948" s="384" t="str">
        <f ca="1">IFERROR(VLOOKUP(C948,' Disaggregation - Section E '!A$313:J676,3,0),"")</f>
        <v>HIV O-15 Percentage of people living with HIV who report experiences of HIV-related discrimination in health-care settings</v>
      </c>
      <c r="L948" s="388"/>
      <c r="M948" s="385"/>
      <c r="N948" s="384"/>
      <c r="O948" s="384" t="s">
        <v>2494</v>
      </c>
    </row>
    <row r="949" spans="1:15" x14ac:dyDescent="0.3">
      <c r="A949" s="384" t="b">
        <v>0</v>
      </c>
      <c r="B949" s="384"/>
      <c r="C949" s="397" t="s">
        <v>2881</v>
      </c>
      <c r="D949" s="389">
        <v>7</v>
      </c>
      <c r="E949" s="386"/>
      <c r="F949" s="384"/>
      <c r="G949" s="387"/>
      <c r="H949" s="387"/>
      <c r="I949" s="388"/>
      <c r="J949" s="388"/>
      <c r="K949" s="384" t="str">
        <f ca="1">IFERROR(VLOOKUP(C949,' Disaggregation - Section E '!A$313:J677,3,0),"")</f>
        <v>HIV O-15 Percentage of people living with HIV who report experiences of HIV-related discrimination in health-care settings</v>
      </c>
      <c r="L949" s="388"/>
      <c r="M949" s="385"/>
      <c r="N949" s="384"/>
      <c r="O949" s="384" t="s">
        <v>2494</v>
      </c>
    </row>
    <row r="950" spans="1:15" x14ac:dyDescent="0.3">
      <c r="A950" s="384" t="b">
        <v>0</v>
      </c>
      <c r="B950" s="384"/>
      <c r="C950" s="397" t="s">
        <v>2882</v>
      </c>
      <c r="D950" s="389">
        <v>7</v>
      </c>
      <c r="E950" s="386"/>
      <c r="F950" s="384"/>
      <c r="G950" s="387"/>
      <c r="H950" s="387"/>
      <c r="I950" s="388"/>
      <c r="J950" s="388"/>
      <c r="K950" s="384" t="str">
        <f ca="1">IFERROR(VLOOKUP(C950,' Disaggregation - Section E '!A$313:J678,3,0),"")</f>
        <v>HIV O-15 Percentage of people living with HIV who report experiences of HIV-related discrimination in health-care settings</v>
      </c>
      <c r="L950" s="388"/>
      <c r="M950" s="385"/>
      <c r="N950" s="384"/>
      <c r="O950" s="384" t="s">
        <v>2494</v>
      </c>
    </row>
    <row r="951" spans="1:15" x14ac:dyDescent="0.3">
      <c r="A951" s="384" t="b">
        <v>0</v>
      </c>
      <c r="B951" s="384"/>
      <c r="C951" s="397" t="s">
        <v>2883</v>
      </c>
      <c r="D951" s="389">
        <v>7</v>
      </c>
      <c r="E951" s="386"/>
      <c r="F951" s="384"/>
      <c r="G951" s="387"/>
      <c r="H951" s="387"/>
      <c r="I951" s="388"/>
      <c r="J951" s="388"/>
      <c r="K951" s="384" t="str">
        <f ca="1">IFERROR(VLOOKUP(C951,' Disaggregation - Section E '!A$313:J679,3,0),"")</f>
        <v>HIV O-15 Percentage of people living with HIV who report experiences of HIV-related discrimination in health-care settings</v>
      </c>
      <c r="L951" s="388"/>
      <c r="M951" s="385"/>
      <c r="N951" s="384"/>
      <c r="O951" s="384" t="s">
        <v>2494</v>
      </c>
    </row>
    <row r="952" spans="1:15" x14ac:dyDescent="0.3">
      <c r="A952" s="384" t="b">
        <v>0</v>
      </c>
      <c r="B952" s="384"/>
      <c r="C952" s="397" t="s">
        <v>2884</v>
      </c>
      <c r="D952" s="389">
        <v>7</v>
      </c>
      <c r="E952" s="386"/>
      <c r="F952" s="384"/>
      <c r="G952" s="387"/>
      <c r="H952" s="387"/>
      <c r="I952" s="388"/>
      <c r="J952" s="388"/>
      <c r="K952" s="384" t="str">
        <f ca="1">IFERROR(VLOOKUP(C952,' Disaggregation - Section E '!A$313:J680,3,0),"")</f>
        <v>HIV O-15 Percentage of people living with HIV who report experiences of HIV-related discrimination in health-care settings</v>
      </c>
      <c r="L952" s="388"/>
      <c r="M952" s="385"/>
      <c r="N952" s="384"/>
      <c r="O952" s="384" t="s">
        <v>2494</v>
      </c>
    </row>
    <row r="953" spans="1:15" x14ac:dyDescent="0.3">
      <c r="A953" s="384" t="b">
        <v>0</v>
      </c>
      <c r="B953" s="384"/>
      <c r="C953" s="397" t="s">
        <v>2885</v>
      </c>
      <c r="D953" s="389">
        <v>7</v>
      </c>
      <c r="E953" s="386"/>
      <c r="F953" s="384"/>
      <c r="G953" s="387"/>
      <c r="H953" s="387"/>
      <c r="I953" s="388"/>
      <c r="J953" s="388"/>
      <c r="K953" s="384" t="str">
        <f ca="1">IFERROR(VLOOKUP(C953,' Disaggregation - Section E '!A$313:J681,3,0),"")</f>
        <v>HIV O-15 Percentage of people living with HIV who report experiences of HIV-related discrimination in health-care settings</v>
      </c>
      <c r="L953" s="388"/>
      <c r="M953" s="385"/>
      <c r="N953" s="384"/>
      <c r="O953" s="384" t="s">
        <v>2494</v>
      </c>
    </row>
    <row r="954" spans="1:15" x14ac:dyDescent="0.3">
      <c r="A954" s="384" t="b">
        <v>0</v>
      </c>
      <c r="B954" s="384"/>
      <c r="C954" s="397" t="s">
        <v>2886</v>
      </c>
      <c r="D954" s="389">
        <v>7</v>
      </c>
      <c r="E954" s="386"/>
      <c r="F954" s="384"/>
      <c r="G954" s="387"/>
      <c r="H954" s="387"/>
      <c r="I954" s="388"/>
      <c r="J954" s="388"/>
      <c r="K954" s="384" t="str">
        <f ca="1">IFERROR(VLOOKUP(C954,' Disaggregation - Section E '!A$313:J682,3,0),"")</f>
        <v>HIV O-15 Percentage of people living with HIV who report experiences of HIV-related discrimination in health-care settings</v>
      </c>
      <c r="L954" s="388"/>
      <c r="M954" s="385"/>
      <c r="N954" s="384"/>
      <c r="O954" s="384" t="s">
        <v>2494</v>
      </c>
    </row>
    <row r="955" spans="1:15" x14ac:dyDescent="0.3">
      <c r="A955" s="384" t="b">
        <v>0</v>
      </c>
      <c r="B955" s="384"/>
      <c r="C955" s="397" t="s">
        <v>2887</v>
      </c>
      <c r="D955" s="389">
        <v>7</v>
      </c>
      <c r="E955" s="386"/>
      <c r="F955" s="384"/>
      <c r="G955" s="387"/>
      <c r="H955" s="387"/>
      <c r="I955" s="388"/>
      <c r="J955" s="388"/>
      <c r="K955" s="384" t="str">
        <f ca="1">IFERROR(VLOOKUP(C955,' Disaggregation - Section E '!A$313:J683,3,0),"")</f>
        <v>HIV O-15 Percentage of people living with HIV who report experiences of HIV-related discrimination in health-care settings</v>
      </c>
      <c r="L955" s="388"/>
      <c r="M955" s="385"/>
      <c r="N955" s="384"/>
      <c r="O955" s="384" t="s">
        <v>2494</v>
      </c>
    </row>
    <row r="956" spans="1:15" x14ac:dyDescent="0.3">
      <c r="A956" s="384" t="b">
        <v>0</v>
      </c>
      <c r="B956" s="384"/>
      <c r="C956" s="397" t="s">
        <v>2888</v>
      </c>
      <c r="D956" s="389">
        <v>7</v>
      </c>
      <c r="E956" s="386"/>
      <c r="F956" s="384"/>
      <c r="G956" s="387"/>
      <c r="H956" s="387"/>
      <c r="I956" s="388"/>
      <c r="J956" s="388"/>
      <c r="K956" s="384" t="str">
        <f ca="1">IFERROR(VLOOKUP(C956,' Disaggregation - Section E '!A$313:J684,3,0),"")</f>
        <v>HIV O-15 Percentage of people living with HIV who report experiences of HIV-related discrimination in health-care settings</v>
      </c>
      <c r="L956" s="388"/>
      <c r="M956" s="385"/>
      <c r="N956" s="384"/>
      <c r="O956" s="384" t="s">
        <v>2494</v>
      </c>
    </row>
    <row r="957" spans="1:15" x14ac:dyDescent="0.3">
      <c r="A957" s="384" t="b">
        <v>0</v>
      </c>
      <c r="B957" s="384"/>
      <c r="C957" s="397" t="s">
        <v>2889</v>
      </c>
      <c r="D957" s="389">
        <v>8</v>
      </c>
      <c r="E957" s="386"/>
      <c r="F957" s="384"/>
      <c r="G957" s="387"/>
      <c r="H957" s="387"/>
      <c r="I957" s="388"/>
      <c r="J957" s="388"/>
      <c r="K957" s="384" t="str">
        <f ca="1">IFERROR(VLOOKUP(C957,' Disaggregation - Section E '!A$313:J685,3,0),"")</f>
        <v>TB O-5⁽ᴹ⁾ TB treatment coverage: Percentage of patients with new and relapse TB that were notified and treated among the estimated number of incident TB in the same year (all forms of TB - bacteriologically confirmed plus clinically diagnosed</v>
      </c>
      <c r="L957" s="388"/>
      <c r="M957" s="385"/>
      <c r="N957" s="384"/>
      <c r="O957" s="384" t="s">
        <v>2501</v>
      </c>
    </row>
    <row r="958" spans="1:15" x14ac:dyDescent="0.3">
      <c r="A958" s="384" t="b">
        <v>0</v>
      </c>
      <c r="B958" s="384"/>
      <c r="C958" s="397" t="s">
        <v>2890</v>
      </c>
      <c r="D958" s="389">
        <v>8</v>
      </c>
      <c r="E958" s="386"/>
      <c r="F958" s="384"/>
      <c r="G958" s="387"/>
      <c r="H958" s="387"/>
      <c r="I958" s="388"/>
      <c r="J958" s="388"/>
      <c r="K958" s="384" t="str">
        <f ca="1">IFERROR(VLOOKUP(C958,' Disaggregation - Section E '!A$313:J686,3,0),"")</f>
        <v>TB O-5⁽ᴹ⁾ TB treatment coverage: Percentage of patients with new and relapse TB that were notified and treated among the estimated number of incident TB in the same year (all forms of TB - bacteriologically confirmed plus clinically diagnosed</v>
      </c>
      <c r="L958" s="388"/>
      <c r="M958" s="385"/>
      <c r="N958" s="384"/>
      <c r="O958" s="384" t="s">
        <v>2501</v>
      </c>
    </row>
    <row r="959" spans="1:15" x14ac:dyDescent="0.3">
      <c r="A959" s="384" t="b">
        <v>0</v>
      </c>
      <c r="B959" s="384"/>
      <c r="C959" s="397" t="s">
        <v>2891</v>
      </c>
      <c r="D959" s="389">
        <v>8</v>
      </c>
      <c r="E959" s="386"/>
      <c r="F959" s="384"/>
      <c r="G959" s="387"/>
      <c r="H959" s="387"/>
      <c r="I959" s="388"/>
      <c r="J959" s="388"/>
      <c r="K959" s="384" t="str">
        <f ca="1">IFERROR(VLOOKUP(C959,' Disaggregation - Section E '!A$313:J687,3,0),"")</f>
        <v>TB O-5⁽ᴹ⁾ TB treatment coverage: Percentage of patients with new and relapse TB that were notified and treated among the estimated number of incident TB in the same year (all forms of TB - bacteriologically confirmed plus clinically diagnosed</v>
      </c>
      <c r="L959" s="388"/>
      <c r="M959" s="385"/>
      <c r="N959" s="384"/>
      <c r="O959" s="384" t="s">
        <v>2501</v>
      </c>
    </row>
    <row r="960" spans="1:15" x14ac:dyDescent="0.3">
      <c r="A960" s="384" t="b">
        <v>0</v>
      </c>
      <c r="B960" s="384"/>
      <c r="C960" s="397" t="s">
        <v>2892</v>
      </c>
      <c r="D960" s="389">
        <v>8</v>
      </c>
      <c r="E960" s="386"/>
      <c r="F960" s="384"/>
      <c r="G960" s="387"/>
      <c r="H960" s="387"/>
      <c r="I960" s="388"/>
      <c r="J960" s="388"/>
      <c r="K960" s="384" t="str">
        <f ca="1">IFERROR(VLOOKUP(C960,' Disaggregation - Section E '!A$313:J688,3,0),"")</f>
        <v>TB O-5⁽ᴹ⁾ TB treatment coverage: Percentage of patients with new and relapse TB that were notified and treated among the estimated number of incident TB in the same year (all forms of TB - bacteriologically confirmed plus clinically diagnosed</v>
      </c>
      <c r="L960" s="388"/>
      <c r="M960" s="385"/>
      <c r="N960" s="384"/>
      <c r="O960" s="384" t="s">
        <v>2501</v>
      </c>
    </row>
    <row r="961" spans="1:15" x14ac:dyDescent="0.3">
      <c r="A961" s="384" t="b">
        <v>0</v>
      </c>
      <c r="B961" s="384"/>
      <c r="C961" s="397" t="s">
        <v>2893</v>
      </c>
      <c r="D961" s="389">
        <v>8</v>
      </c>
      <c r="E961" s="386"/>
      <c r="F961" s="384"/>
      <c r="G961" s="387"/>
      <c r="H961" s="387"/>
      <c r="I961" s="388"/>
      <c r="J961" s="388"/>
      <c r="K961" s="384" t="str">
        <f ca="1">IFERROR(VLOOKUP(C961,' Disaggregation - Section E '!A$313:J689,3,0),"")</f>
        <v>TB O-5⁽ᴹ⁾ TB treatment coverage: Percentage of patients with new and relapse TB that were notified and treated among the estimated number of incident TB in the same year (all forms of TB - bacteriologically confirmed plus clinically diagnosed</v>
      </c>
      <c r="L961" s="388"/>
      <c r="M961" s="385"/>
      <c r="N961" s="384"/>
      <c r="O961" s="384" t="s">
        <v>2501</v>
      </c>
    </row>
    <row r="962" spans="1:15" x14ac:dyDescent="0.3">
      <c r="A962" s="384" t="b">
        <v>0</v>
      </c>
      <c r="B962" s="384"/>
      <c r="C962" s="397" t="s">
        <v>2894</v>
      </c>
      <c r="D962" s="389">
        <v>8</v>
      </c>
      <c r="E962" s="386"/>
      <c r="F962" s="384"/>
      <c r="G962" s="387"/>
      <c r="H962" s="387"/>
      <c r="I962" s="388"/>
      <c r="J962" s="388"/>
      <c r="K962" s="384" t="str">
        <f ca="1">IFERROR(VLOOKUP(C962,' Disaggregation - Section E '!A$313:J690,3,0),"")</f>
        <v>TB O-5⁽ᴹ⁾ TB treatment coverage: Percentage of patients with new and relapse TB that were notified and treated among the estimated number of incident TB in the same year (all forms of TB - bacteriologically confirmed plus clinically diagnosed</v>
      </c>
      <c r="L962" s="388"/>
      <c r="M962" s="385"/>
      <c r="N962" s="384"/>
      <c r="O962" s="384" t="s">
        <v>2501</v>
      </c>
    </row>
    <row r="963" spans="1:15" x14ac:dyDescent="0.3">
      <c r="A963" s="384" t="b">
        <v>0</v>
      </c>
      <c r="B963" s="384"/>
      <c r="C963" s="397" t="s">
        <v>2895</v>
      </c>
      <c r="D963" s="389">
        <v>8</v>
      </c>
      <c r="E963" s="386"/>
      <c r="F963" s="384"/>
      <c r="G963" s="387"/>
      <c r="H963" s="387"/>
      <c r="I963" s="388"/>
      <c r="J963" s="388"/>
      <c r="K963" s="384" t="str">
        <f ca="1">IFERROR(VLOOKUP(C963,' Disaggregation - Section E '!A$313:J691,3,0),"")</f>
        <v>TB O-5⁽ᴹ⁾ TB treatment coverage: Percentage of patients with new and relapse TB that were notified and treated among the estimated number of incident TB in the same year (all forms of TB - bacteriologically confirmed plus clinically diagnosed</v>
      </c>
      <c r="L963" s="388"/>
      <c r="M963" s="385"/>
      <c r="N963" s="384"/>
      <c r="O963" s="384" t="s">
        <v>2501</v>
      </c>
    </row>
    <row r="964" spans="1:15" x14ac:dyDescent="0.3">
      <c r="A964" s="384" t="b">
        <v>0</v>
      </c>
      <c r="B964" s="384"/>
      <c r="C964" s="397" t="s">
        <v>2896</v>
      </c>
      <c r="D964" s="389">
        <v>8</v>
      </c>
      <c r="E964" s="386"/>
      <c r="F964" s="384"/>
      <c r="G964" s="387"/>
      <c r="H964" s="387"/>
      <c r="I964" s="388"/>
      <c r="J964" s="388"/>
      <c r="K964" s="384" t="str">
        <f ca="1">IFERROR(VLOOKUP(C964,' Disaggregation - Section E '!A$313:J692,3,0),"")</f>
        <v>TB O-5⁽ᴹ⁾ TB treatment coverage: Percentage of patients with new and relapse TB that were notified and treated among the estimated number of incident TB in the same year (all forms of TB - bacteriologically confirmed plus clinically diagnosed</v>
      </c>
      <c r="L964" s="388"/>
      <c r="M964" s="385"/>
      <c r="N964" s="384"/>
      <c r="O964" s="384" t="s">
        <v>2501</v>
      </c>
    </row>
    <row r="965" spans="1:15" x14ac:dyDescent="0.3">
      <c r="A965" s="384" t="b">
        <v>0</v>
      </c>
      <c r="B965" s="384"/>
      <c r="C965" s="397" t="s">
        <v>2897</v>
      </c>
      <c r="D965" s="389">
        <v>8</v>
      </c>
      <c r="E965" s="386"/>
      <c r="F965" s="384"/>
      <c r="G965" s="387"/>
      <c r="H965" s="387"/>
      <c r="I965" s="388"/>
      <c r="J965" s="388"/>
      <c r="K965" s="384" t="str">
        <f ca="1">IFERROR(VLOOKUP(C965,' Disaggregation - Section E '!A$313:J693,3,0),"")</f>
        <v>TB O-5⁽ᴹ⁾ TB treatment coverage: Percentage of patients with new and relapse TB that were notified and treated among the estimated number of incident TB in the same year (all forms of TB - bacteriologically confirmed plus clinically diagnosed</v>
      </c>
      <c r="L965" s="388"/>
      <c r="M965" s="385"/>
      <c r="N965" s="384"/>
      <c r="O965" s="384" t="s">
        <v>2501</v>
      </c>
    </row>
    <row r="966" spans="1:15" x14ac:dyDescent="0.3">
      <c r="A966" s="384" t="b">
        <v>0</v>
      </c>
      <c r="B966" s="384"/>
      <c r="C966" s="397" t="s">
        <v>2898</v>
      </c>
      <c r="D966" s="389">
        <v>8</v>
      </c>
      <c r="E966" s="386"/>
      <c r="F966" s="384"/>
      <c r="G966" s="387"/>
      <c r="H966" s="387"/>
      <c r="I966" s="388"/>
      <c r="J966" s="388"/>
      <c r="K966" s="384" t="str">
        <f ca="1">IFERROR(VLOOKUP(C966,' Disaggregation - Section E '!A$313:J694,3,0),"")</f>
        <v>TB O-5⁽ᴹ⁾ TB treatment coverage: Percentage of patients with new and relapse TB that were notified and treated among the estimated number of incident TB in the same year (all forms of TB - bacteriologically confirmed plus clinically diagnosed</v>
      </c>
      <c r="L966" s="388"/>
      <c r="M966" s="385"/>
      <c r="N966" s="384"/>
      <c r="O966" s="384" t="s">
        <v>2501</v>
      </c>
    </row>
    <row r="967" spans="1:15" x14ac:dyDescent="0.3">
      <c r="A967" s="384" t="b">
        <v>0</v>
      </c>
      <c r="B967" s="384"/>
      <c r="C967" s="397" t="s">
        <v>2899</v>
      </c>
      <c r="D967" s="389">
        <v>9</v>
      </c>
      <c r="E967" s="386"/>
      <c r="F967" s="384"/>
      <c r="G967" s="387"/>
      <c r="H967" s="387"/>
      <c r="I967" s="388"/>
      <c r="J967" s="388"/>
      <c r="K967" s="384" t="str">
        <f ca="1">IFERROR(VLOOKUP(C967,' Disaggregation - Section E '!A$313:J695,3,0),"")</f>
        <v>TB O-4⁽ᴹ⁾ Treatment success rate of RR-TB and/or MDR-TB: Percentage of patients with RR and/or MDR-TB successfully treated</v>
      </c>
      <c r="L967" s="388"/>
      <c r="M967" s="385"/>
      <c r="N967" s="384"/>
      <c r="O967" s="384" t="s">
        <v>2508</v>
      </c>
    </row>
    <row r="968" spans="1:15" x14ac:dyDescent="0.3">
      <c r="A968" s="384" t="b">
        <v>0</v>
      </c>
      <c r="B968" s="384"/>
      <c r="C968" s="397" t="s">
        <v>2900</v>
      </c>
      <c r="D968" s="389">
        <v>9</v>
      </c>
      <c r="E968" s="386"/>
      <c r="F968" s="384"/>
      <c r="G968" s="387"/>
      <c r="H968" s="387"/>
      <c r="I968" s="388"/>
      <c r="J968" s="388"/>
      <c r="K968" s="384" t="str">
        <f ca="1">IFERROR(VLOOKUP(C968,' Disaggregation - Section E '!A$313:J696,3,0),"")</f>
        <v>TB O-4⁽ᴹ⁾ Treatment success rate of RR-TB and/or MDR-TB: Percentage of patients with RR and/or MDR-TB successfully treated</v>
      </c>
      <c r="L968" s="388"/>
      <c r="M968" s="385"/>
      <c r="N968" s="384"/>
      <c r="O968" s="384" t="s">
        <v>2508</v>
      </c>
    </row>
    <row r="969" spans="1:15" x14ac:dyDescent="0.3">
      <c r="A969" s="384" t="b">
        <v>0</v>
      </c>
      <c r="B969" s="384"/>
      <c r="C969" s="397" t="s">
        <v>2901</v>
      </c>
      <c r="D969" s="389">
        <v>9</v>
      </c>
      <c r="E969" s="386"/>
      <c r="F969" s="384"/>
      <c r="G969" s="387"/>
      <c r="H969" s="387"/>
      <c r="I969" s="388"/>
      <c r="J969" s="388"/>
      <c r="K969" s="384" t="str">
        <f ca="1">IFERROR(VLOOKUP(C969,' Disaggregation - Section E '!A$313:J697,3,0),"")</f>
        <v>TB O-4⁽ᴹ⁾ Treatment success rate of RR-TB and/or MDR-TB: Percentage of patients with RR and/or MDR-TB successfully treated</v>
      </c>
      <c r="L969" s="388"/>
      <c r="M969" s="385"/>
      <c r="N969" s="384"/>
      <c r="O969" s="384" t="s">
        <v>2508</v>
      </c>
    </row>
    <row r="970" spans="1:15" x14ac:dyDescent="0.3">
      <c r="A970" s="384" t="b">
        <v>0</v>
      </c>
      <c r="B970" s="384"/>
      <c r="C970" s="397" t="s">
        <v>2902</v>
      </c>
      <c r="D970" s="389">
        <v>9</v>
      </c>
      <c r="E970" s="386"/>
      <c r="F970" s="384"/>
      <c r="G970" s="387"/>
      <c r="H970" s="387"/>
      <c r="I970" s="388"/>
      <c r="J970" s="388"/>
      <c r="K970" s="384" t="str">
        <f ca="1">IFERROR(VLOOKUP(C970,' Disaggregation - Section E '!A$313:J698,3,0),"")</f>
        <v>TB O-4⁽ᴹ⁾ Treatment success rate of RR-TB and/or MDR-TB: Percentage of patients with RR and/or MDR-TB successfully treated</v>
      </c>
      <c r="L970" s="388"/>
      <c r="M970" s="385"/>
      <c r="N970" s="384"/>
      <c r="O970" s="384" t="s">
        <v>2508</v>
      </c>
    </row>
    <row r="971" spans="1:15" x14ac:dyDescent="0.3">
      <c r="A971" s="384" t="b">
        <v>0</v>
      </c>
      <c r="B971" s="384"/>
      <c r="C971" s="397" t="s">
        <v>2903</v>
      </c>
      <c r="D971" s="389">
        <v>9</v>
      </c>
      <c r="E971" s="386"/>
      <c r="F971" s="384"/>
      <c r="G971" s="387"/>
      <c r="H971" s="387"/>
      <c r="I971" s="388"/>
      <c r="J971" s="388"/>
      <c r="K971" s="384" t="str">
        <f ca="1">IFERROR(VLOOKUP(C971,' Disaggregation - Section E '!A$313:J699,3,0),"")</f>
        <v>TB O-4⁽ᴹ⁾ Treatment success rate of RR-TB and/or MDR-TB: Percentage of patients with RR and/or MDR-TB successfully treated</v>
      </c>
      <c r="L971" s="388"/>
      <c r="M971" s="385"/>
      <c r="N971" s="384"/>
      <c r="O971" s="384" t="s">
        <v>2508</v>
      </c>
    </row>
    <row r="972" spans="1:15" x14ac:dyDescent="0.3">
      <c r="A972" s="384" t="b">
        <v>0</v>
      </c>
      <c r="B972" s="384"/>
      <c r="C972" s="397" t="s">
        <v>2904</v>
      </c>
      <c r="D972" s="389">
        <v>9</v>
      </c>
      <c r="E972" s="386"/>
      <c r="F972" s="384"/>
      <c r="G972" s="387"/>
      <c r="H972" s="387"/>
      <c r="I972" s="388"/>
      <c r="J972" s="388"/>
      <c r="K972" s="384" t="str">
        <f ca="1">IFERROR(VLOOKUP(C972,' Disaggregation - Section E '!A$313:J700,3,0),"")</f>
        <v>TB O-4⁽ᴹ⁾ Treatment success rate of RR-TB and/or MDR-TB: Percentage of patients with RR and/or MDR-TB successfully treated</v>
      </c>
      <c r="L972" s="388"/>
      <c r="M972" s="385"/>
      <c r="N972" s="384"/>
      <c r="O972" s="384" t="s">
        <v>2508</v>
      </c>
    </row>
    <row r="973" spans="1:15" x14ac:dyDescent="0.3">
      <c r="A973" s="384" t="b">
        <v>0</v>
      </c>
      <c r="B973" s="384"/>
      <c r="C973" s="397" t="s">
        <v>2905</v>
      </c>
      <c r="D973" s="389">
        <v>9</v>
      </c>
      <c r="E973" s="386"/>
      <c r="F973" s="384"/>
      <c r="G973" s="387"/>
      <c r="H973" s="387"/>
      <c r="I973" s="388"/>
      <c r="J973" s="388"/>
      <c r="K973" s="384" t="str">
        <f ca="1">IFERROR(VLOOKUP(C973,' Disaggregation - Section E '!A$313:J701,3,0),"")</f>
        <v>TB O-4⁽ᴹ⁾ Treatment success rate of RR-TB and/or MDR-TB: Percentage of patients with RR and/or MDR-TB successfully treated</v>
      </c>
      <c r="L973" s="388"/>
      <c r="M973" s="385"/>
      <c r="N973" s="384"/>
      <c r="O973" s="384" t="s">
        <v>2508</v>
      </c>
    </row>
    <row r="974" spans="1:15" x14ac:dyDescent="0.3">
      <c r="A974" s="384" t="b">
        <v>0</v>
      </c>
      <c r="B974" s="384"/>
      <c r="C974" s="397" t="s">
        <v>2906</v>
      </c>
      <c r="D974" s="389">
        <v>9</v>
      </c>
      <c r="E974" s="386"/>
      <c r="F974" s="384"/>
      <c r="G974" s="387"/>
      <c r="H974" s="387"/>
      <c r="I974" s="388"/>
      <c r="J974" s="388"/>
      <c r="K974" s="384" t="str">
        <f ca="1">IFERROR(VLOOKUP(C974,' Disaggregation - Section E '!A$313:J702,3,0),"")</f>
        <v>TB O-4⁽ᴹ⁾ Treatment success rate of RR-TB and/or MDR-TB: Percentage of patients with RR and/or MDR-TB successfully treated</v>
      </c>
      <c r="L974" s="388"/>
      <c r="M974" s="385"/>
      <c r="N974" s="384"/>
      <c r="O974" s="384" t="s">
        <v>2508</v>
      </c>
    </row>
    <row r="975" spans="1:15" x14ac:dyDescent="0.3">
      <c r="A975" s="384" t="b">
        <v>0</v>
      </c>
      <c r="B975" s="384"/>
      <c r="C975" s="397" t="s">
        <v>2907</v>
      </c>
      <c r="D975" s="389">
        <v>9</v>
      </c>
      <c r="E975" s="386"/>
      <c r="F975" s="384"/>
      <c r="G975" s="387"/>
      <c r="H975" s="387"/>
      <c r="I975" s="388"/>
      <c r="J975" s="388"/>
      <c r="K975" s="384" t="str">
        <f ca="1">IFERROR(VLOOKUP(C975,' Disaggregation - Section E '!A$313:J703,3,0),"")</f>
        <v>TB O-4⁽ᴹ⁾ Treatment success rate of RR-TB and/or MDR-TB: Percentage of patients with RR and/or MDR-TB successfully treated</v>
      </c>
      <c r="L975" s="388"/>
      <c r="M975" s="385"/>
      <c r="N975" s="384"/>
      <c r="O975" s="384" t="s">
        <v>2508</v>
      </c>
    </row>
    <row r="976" spans="1:15" x14ac:dyDescent="0.3">
      <c r="A976" s="384" t="b">
        <v>0</v>
      </c>
      <c r="B976" s="384"/>
      <c r="C976" s="397" t="s">
        <v>2908</v>
      </c>
      <c r="D976" s="389">
        <v>9</v>
      </c>
      <c r="E976" s="386"/>
      <c r="F976" s="384"/>
      <c r="G976" s="387"/>
      <c r="H976" s="387"/>
      <c r="I976" s="388"/>
      <c r="J976" s="388"/>
      <c r="K976" s="384" t="str">
        <f ca="1">IFERROR(VLOOKUP(C976,' Disaggregation - Section E '!A$313:J704,3,0),"")</f>
        <v>TB O-4⁽ᴹ⁾ Treatment success rate of RR-TB and/or MDR-TB: Percentage of patients with RR and/or MDR-TB successfully treated</v>
      </c>
      <c r="L976" s="388"/>
      <c r="M976" s="385"/>
      <c r="N976" s="384"/>
      <c r="O976" s="384" t="s">
        <v>2508</v>
      </c>
    </row>
    <row r="977" spans="1:15" x14ac:dyDescent="0.3">
      <c r="A977" s="384" t="b">
        <v>0</v>
      </c>
      <c r="B977" s="384"/>
      <c r="C977" s="397" t="s">
        <v>2909</v>
      </c>
      <c r="D977" s="389">
        <v>10</v>
      </c>
      <c r="E977" s="386"/>
      <c r="F977" s="384"/>
      <c r="G977" s="387"/>
      <c r="H977" s="387"/>
      <c r="I977" s="388"/>
      <c r="J977" s="388"/>
      <c r="K977" s="384" t="str">
        <f ca="1">IFERROR(VLOOKUP(C977,' Disaggregation - Section E '!A$313:J705,3,0),"")</f>
        <v>TB O-8 Percentage of people diagnosed with TB who report stigma in health care settings that inhibited them from seeking and accessing TB services</v>
      </c>
      <c r="L977" s="388"/>
      <c r="M977" s="385"/>
      <c r="N977" s="384"/>
      <c r="O977" s="384" t="s">
        <v>2515</v>
      </c>
    </row>
    <row r="978" spans="1:15" x14ac:dyDescent="0.3">
      <c r="A978" s="384" t="b">
        <v>0</v>
      </c>
      <c r="B978" s="384"/>
      <c r="C978" s="397" t="s">
        <v>2910</v>
      </c>
      <c r="D978" s="389">
        <v>10</v>
      </c>
      <c r="E978" s="386"/>
      <c r="F978" s="384"/>
      <c r="G978" s="387"/>
      <c r="H978" s="387"/>
      <c r="I978" s="388"/>
      <c r="J978" s="388"/>
      <c r="K978" s="384" t="str">
        <f ca="1">IFERROR(VLOOKUP(C978,' Disaggregation - Section E '!A$313:J706,3,0),"")</f>
        <v>TB O-8 Percentage of people diagnosed with TB who report stigma in health care settings that inhibited them from seeking and accessing TB services</v>
      </c>
      <c r="L978" s="388"/>
      <c r="M978" s="385"/>
      <c r="N978" s="384"/>
      <c r="O978" s="384" t="s">
        <v>2515</v>
      </c>
    </row>
    <row r="979" spans="1:15" x14ac:dyDescent="0.3">
      <c r="A979" s="384" t="b">
        <v>0</v>
      </c>
      <c r="B979" s="384"/>
      <c r="C979" s="397" t="s">
        <v>2911</v>
      </c>
      <c r="D979" s="389">
        <v>10</v>
      </c>
      <c r="E979" s="386"/>
      <c r="F979" s="384"/>
      <c r="G979" s="387"/>
      <c r="H979" s="387"/>
      <c r="I979" s="388"/>
      <c r="J979" s="388"/>
      <c r="K979" s="384" t="str">
        <f ca="1">IFERROR(VLOOKUP(C979,' Disaggregation - Section E '!A$313:J707,3,0),"")</f>
        <v>TB O-8 Percentage of people diagnosed with TB who report stigma in health care settings that inhibited them from seeking and accessing TB services</v>
      </c>
      <c r="L979" s="388"/>
      <c r="M979" s="385"/>
      <c r="N979" s="384"/>
      <c r="O979" s="384" t="s">
        <v>2515</v>
      </c>
    </row>
    <row r="980" spans="1:15" x14ac:dyDescent="0.3">
      <c r="A980" s="384" t="b">
        <v>0</v>
      </c>
      <c r="B980" s="384"/>
      <c r="C980" s="397" t="s">
        <v>2912</v>
      </c>
      <c r="D980" s="389">
        <v>10</v>
      </c>
      <c r="E980" s="386"/>
      <c r="F980" s="384"/>
      <c r="G980" s="387"/>
      <c r="H980" s="387"/>
      <c r="I980" s="388"/>
      <c r="J980" s="388"/>
      <c r="K980" s="384" t="str">
        <f ca="1">IFERROR(VLOOKUP(C980,' Disaggregation - Section E '!A$313:J708,3,0),"")</f>
        <v>TB O-8 Percentage of people diagnosed with TB who report stigma in health care settings that inhibited them from seeking and accessing TB services</v>
      </c>
      <c r="L980" s="388"/>
      <c r="M980" s="385"/>
      <c r="N980" s="384"/>
      <c r="O980" s="384" t="s">
        <v>2515</v>
      </c>
    </row>
    <row r="981" spans="1:15" x14ac:dyDescent="0.3">
      <c r="A981" s="384" t="b">
        <v>0</v>
      </c>
      <c r="B981" s="384"/>
      <c r="C981" s="397" t="s">
        <v>2913</v>
      </c>
      <c r="D981" s="389">
        <v>10</v>
      </c>
      <c r="E981" s="386"/>
      <c r="F981" s="384"/>
      <c r="G981" s="387"/>
      <c r="H981" s="387"/>
      <c r="I981" s="388"/>
      <c r="J981" s="388"/>
      <c r="K981" s="384" t="str">
        <f ca="1">IFERROR(VLOOKUP(C981,' Disaggregation - Section E '!A$313:J709,3,0),"")</f>
        <v>TB O-8 Percentage of people diagnosed with TB who report stigma in health care settings that inhibited them from seeking and accessing TB services</v>
      </c>
      <c r="L981" s="388"/>
      <c r="M981" s="385"/>
      <c r="N981" s="384"/>
      <c r="O981" s="384" t="s">
        <v>2515</v>
      </c>
    </row>
    <row r="982" spans="1:15" x14ac:dyDescent="0.3">
      <c r="A982" s="384" t="b">
        <v>0</v>
      </c>
      <c r="B982" s="384"/>
      <c r="C982" s="397" t="s">
        <v>2914</v>
      </c>
      <c r="D982" s="389">
        <v>10</v>
      </c>
      <c r="E982" s="386"/>
      <c r="F982" s="384"/>
      <c r="G982" s="387"/>
      <c r="H982" s="387"/>
      <c r="I982" s="388"/>
      <c r="J982" s="388"/>
      <c r="K982" s="384" t="str">
        <f ca="1">IFERROR(VLOOKUP(C982,' Disaggregation - Section E '!A$313:J710,3,0),"")</f>
        <v>TB O-8 Percentage of people diagnosed with TB who report stigma in health care settings that inhibited them from seeking and accessing TB services</v>
      </c>
      <c r="L982" s="388"/>
      <c r="M982" s="385"/>
      <c r="N982" s="384"/>
      <c r="O982" s="384" t="s">
        <v>2515</v>
      </c>
    </row>
    <row r="983" spans="1:15" x14ac:dyDescent="0.3">
      <c r="A983" s="384" t="b">
        <v>0</v>
      </c>
      <c r="B983" s="384"/>
      <c r="C983" s="397" t="s">
        <v>2915</v>
      </c>
      <c r="D983" s="389">
        <v>10</v>
      </c>
      <c r="E983" s="386"/>
      <c r="F983" s="384"/>
      <c r="G983" s="387"/>
      <c r="H983" s="387"/>
      <c r="I983" s="388"/>
      <c r="J983" s="388"/>
      <c r="K983" s="384" t="str">
        <f ca="1">IFERROR(VLOOKUP(C983,' Disaggregation - Section E '!A$313:J711,3,0),"")</f>
        <v>TB O-8 Percentage of people diagnosed with TB who report stigma in health care settings that inhibited them from seeking and accessing TB services</v>
      </c>
      <c r="L983" s="388"/>
      <c r="M983" s="385"/>
      <c r="N983" s="384"/>
      <c r="O983" s="384" t="s">
        <v>2515</v>
      </c>
    </row>
    <row r="984" spans="1:15" x14ac:dyDescent="0.3">
      <c r="A984" s="384" t="b">
        <v>0</v>
      </c>
      <c r="B984" s="384"/>
      <c r="C984" s="397" t="s">
        <v>2916</v>
      </c>
      <c r="D984" s="389">
        <v>10</v>
      </c>
      <c r="E984" s="386"/>
      <c r="F984" s="384"/>
      <c r="G984" s="387"/>
      <c r="H984" s="387"/>
      <c r="I984" s="388"/>
      <c r="J984" s="388"/>
      <c r="K984" s="384" t="str">
        <f ca="1">IFERROR(VLOOKUP(C984,' Disaggregation - Section E '!A$313:J712,3,0),"")</f>
        <v>TB O-8 Percentage of people diagnosed with TB who report stigma in health care settings that inhibited them from seeking and accessing TB services</v>
      </c>
      <c r="L984" s="388"/>
      <c r="M984" s="385"/>
      <c r="N984" s="384"/>
      <c r="O984" s="384" t="s">
        <v>2515</v>
      </c>
    </row>
    <row r="985" spans="1:15" x14ac:dyDescent="0.3">
      <c r="A985" s="384" t="b">
        <v>0</v>
      </c>
      <c r="B985" s="384"/>
      <c r="C985" s="397" t="s">
        <v>2917</v>
      </c>
      <c r="D985" s="389">
        <v>10</v>
      </c>
      <c r="E985" s="386"/>
      <c r="F985" s="384"/>
      <c r="G985" s="387"/>
      <c r="H985" s="387"/>
      <c r="I985" s="388"/>
      <c r="J985" s="388"/>
      <c r="K985" s="384" t="str">
        <f ca="1">IFERROR(VLOOKUP(C985,' Disaggregation - Section E '!A$313:J713,3,0),"")</f>
        <v>TB O-8 Percentage of people diagnosed with TB who report stigma in health care settings that inhibited them from seeking and accessing TB services</v>
      </c>
      <c r="L985" s="388"/>
      <c r="M985" s="385"/>
      <c r="N985" s="384"/>
      <c r="O985" s="384" t="s">
        <v>2515</v>
      </c>
    </row>
    <row r="986" spans="1:15" x14ac:dyDescent="0.3">
      <c r="A986" s="384" t="b">
        <v>0</v>
      </c>
      <c r="B986" s="384"/>
      <c r="C986" s="397" t="s">
        <v>2918</v>
      </c>
      <c r="D986" s="389">
        <v>10</v>
      </c>
      <c r="E986" s="386"/>
      <c r="F986" s="384"/>
      <c r="G986" s="387"/>
      <c r="H986" s="387"/>
      <c r="I986" s="388"/>
      <c r="J986" s="388"/>
      <c r="K986" s="384" t="str">
        <f ca="1">IFERROR(VLOOKUP(C986,' Disaggregation - Section E '!A$313:J714,3,0),"")</f>
        <v>TB O-8 Percentage of people diagnosed with TB who report stigma in health care settings that inhibited them from seeking and accessing TB services</v>
      </c>
      <c r="L986" s="388"/>
      <c r="M986" s="385"/>
      <c r="N986" s="384"/>
      <c r="O986" s="384" t="s">
        <v>2515</v>
      </c>
    </row>
    <row r="987" spans="1:15" x14ac:dyDescent="0.3">
      <c r="A987" s="384" t="b">
        <v>0</v>
      </c>
      <c r="B987" s="384"/>
      <c r="C987" s="397" t="s">
        <v>2919</v>
      </c>
      <c r="D987" s="389">
        <v>11</v>
      </c>
      <c r="E987" s="386"/>
      <c r="F987" s="384"/>
      <c r="G987" s="387"/>
      <c r="H987" s="387"/>
      <c r="I987" s="388"/>
      <c r="J987" s="388"/>
      <c r="K987" s="384" t="str">
        <f ca="1">IFERROR(VLOOKUP(C987,' Disaggregation - Section E '!A$313:J715,3,0),"")</f>
        <v/>
      </c>
      <c r="L987" s="388"/>
      <c r="M987" s="385"/>
      <c r="N987" s="384"/>
      <c r="O987" s="384" t="s">
        <v>2522</v>
      </c>
    </row>
    <row r="988" spans="1:15" x14ac:dyDescent="0.3">
      <c r="A988" s="384" t="b">
        <v>0</v>
      </c>
      <c r="B988" s="384"/>
      <c r="C988" s="397" t="s">
        <v>2920</v>
      </c>
      <c r="D988" s="389">
        <v>11</v>
      </c>
      <c r="E988" s="386"/>
      <c r="F988" s="384"/>
      <c r="G988" s="387"/>
      <c r="H988" s="387"/>
      <c r="I988" s="388"/>
      <c r="J988" s="388"/>
      <c r="K988" s="384" t="str">
        <f ca="1">IFERROR(VLOOKUP(C988,' Disaggregation - Section E '!A$313:J716,3,0),"")</f>
        <v/>
      </c>
      <c r="L988" s="388"/>
      <c r="M988" s="385"/>
      <c r="N988" s="384"/>
      <c r="O988" s="384" t="s">
        <v>2522</v>
      </c>
    </row>
    <row r="989" spans="1:15" x14ac:dyDescent="0.3">
      <c r="A989" s="384" t="b">
        <v>0</v>
      </c>
      <c r="B989" s="384"/>
      <c r="C989" s="397" t="s">
        <v>2921</v>
      </c>
      <c r="D989" s="389">
        <v>11</v>
      </c>
      <c r="E989" s="386"/>
      <c r="F989" s="384"/>
      <c r="G989" s="387"/>
      <c r="H989" s="387"/>
      <c r="I989" s="388"/>
      <c r="J989" s="388"/>
      <c r="K989" s="384" t="str">
        <f ca="1">IFERROR(VLOOKUP(C989,' Disaggregation - Section E '!A$313:J717,3,0),"")</f>
        <v/>
      </c>
      <c r="L989" s="388"/>
      <c r="M989" s="385"/>
      <c r="N989" s="384"/>
      <c r="O989" s="384" t="s">
        <v>2522</v>
      </c>
    </row>
    <row r="990" spans="1:15" x14ac:dyDescent="0.3">
      <c r="A990" s="384" t="b">
        <v>0</v>
      </c>
      <c r="B990" s="384"/>
      <c r="C990" s="397" t="s">
        <v>2922</v>
      </c>
      <c r="D990" s="389">
        <v>11</v>
      </c>
      <c r="E990" s="386"/>
      <c r="F990" s="384"/>
      <c r="G990" s="387"/>
      <c r="H990" s="387"/>
      <c r="I990" s="388"/>
      <c r="J990" s="388"/>
      <c r="K990" s="384" t="str">
        <f ca="1">IFERROR(VLOOKUP(C990,' Disaggregation - Section E '!A$313:J718,3,0),"")</f>
        <v/>
      </c>
      <c r="L990" s="388"/>
      <c r="M990" s="385"/>
      <c r="N990" s="384"/>
      <c r="O990" s="384" t="s">
        <v>2522</v>
      </c>
    </row>
    <row r="991" spans="1:15" x14ac:dyDescent="0.3">
      <c r="A991" s="384" t="b">
        <v>0</v>
      </c>
      <c r="B991" s="384"/>
      <c r="C991" s="397" t="s">
        <v>2923</v>
      </c>
      <c r="D991" s="389">
        <v>11</v>
      </c>
      <c r="E991" s="386"/>
      <c r="F991" s="384"/>
      <c r="G991" s="387"/>
      <c r="H991" s="387"/>
      <c r="I991" s="388"/>
      <c r="J991" s="388"/>
      <c r="K991" s="384" t="str">
        <f ca="1">IFERROR(VLOOKUP(C991,' Disaggregation - Section E '!A$313:J719,3,0),"")</f>
        <v/>
      </c>
      <c r="L991" s="388"/>
      <c r="M991" s="385"/>
      <c r="N991" s="384"/>
      <c r="O991" s="384" t="s">
        <v>2522</v>
      </c>
    </row>
    <row r="992" spans="1:15" x14ac:dyDescent="0.3">
      <c r="A992" s="384" t="b">
        <v>0</v>
      </c>
      <c r="B992" s="384"/>
      <c r="C992" s="397" t="s">
        <v>2924</v>
      </c>
      <c r="D992" s="389">
        <v>11</v>
      </c>
      <c r="E992" s="386"/>
      <c r="F992" s="384"/>
      <c r="G992" s="387"/>
      <c r="H992" s="387"/>
      <c r="I992" s="388"/>
      <c r="J992" s="388"/>
      <c r="K992" s="384" t="str">
        <f ca="1">IFERROR(VLOOKUP(C992,' Disaggregation - Section E '!A$313:J720,3,0),"")</f>
        <v/>
      </c>
      <c r="L992" s="388"/>
      <c r="M992" s="385"/>
      <c r="N992" s="384"/>
      <c r="O992" s="384" t="s">
        <v>2522</v>
      </c>
    </row>
    <row r="993" spans="1:15" x14ac:dyDescent="0.3">
      <c r="A993" s="384" t="b">
        <v>0</v>
      </c>
      <c r="B993" s="384"/>
      <c r="C993" s="397" t="s">
        <v>2925</v>
      </c>
      <c r="D993" s="389">
        <v>11</v>
      </c>
      <c r="E993" s="386"/>
      <c r="F993" s="384"/>
      <c r="G993" s="387"/>
      <c r="H993" s="387"/>
      <c r="I993" s="388"/>
      <c r="J993" s="388"/>
      <c r="K993" s="384" t="str">
        <f ca="1">IFERROR(VLOOKUP(C993,' Disaggregation - Section E '!A$313:J721,3,0),"")</f>
        <v/>
      </c>
      <c r="L993" s="388"/>
      <c r="M993" s="385"/>
      <c r="N993" s="384"/>
      <c r="O993" s="384" t="s">
        <v>2522</v>
      </c>
    </row>
    <row r="994" spans="1:15" x14ac:dyDescent="0.3">
      <c r="A994" s="384" t="b">
        <v>0</v>
      </c>
      <c r="B994" s="384"/>
      <c r="C994" s="397" t="s">
        <v>2926</v>
      </c>
      <c r="D994" s="389">
        <v>11</v>
      </c>
      <c r="E994" s="386"/>
      <c r="F994" s="384"/>
      <c r="G994" s="387"/>
      <c r="H994" s="387"/>
      <c r="I994" s="388"/>
      <c r="J994" s="388"/>
      <c r="K994" s="384" t="str">
        <f ca="1">IFERROR(VLOOKUP(C994,' Disaggregation - Section E '!A$313:J722,3,0),"")</f>
        <v/>
      </c>
      <c r="L994" s="388"/>
      <c r="M994" s="385"/>
      <c r="N994" s="384"/>
      <c r="O994" s="384" t="s">
        <v>2522</v>
      </c>
    </row>
    <row r="995" spans="1:15" x14ac:dyDescent="0.3">
      <c r="A995" s="384" t="b">
        <v>0</v>
      </c>
      <c r="B995" s="384"/>
      <c r="C995" s="397" t="s">
        <v>2927</v>
      </c>
      <c r="D995" s="389">
        <v>11</v>
      </c>
      <c r="E995" s="386"/>
      <c r="F995" s="384"/>
      <c r="G995" s="387"/>
      <c r="H995" s="387"/>
      <c r="I995" s="388"/>
      <c r="J995" s="388"/>
      <c r="K995" s="384" t="str">
        <f ca="1">IFERROR(VLOOKUP(C995,' Disaggregation - Section E '!A$313:J723,3,0),"")</f>
        <v/>
      </c>
      <c r="L995" s="388"/>
      <c r="M995" s="385"/>
      <c r="N995" s="384"/>
      <c r="O995" s="384" t="s">
        <v>2522</v>
      </c>
    </row>
    <row r="996" spans="1:15" x14ac:dyDescent="0.3">
      <c r="A996" s="384" t="b">
        <v>0</v>
      </c>
      <c r="B996" s="384"/>
      <c r="C996" s="397" t="s">
        <v>2928</v>
      </c>
      <c r="D996" s="389">
        <v>11</v>
      </c>
      <c r="E996" s="386"/>
      <c r="F996" s="384"/>
      <c r="G996" s="387"/>
      <c r="H996" s="387"/>
      <c r="I996" s="388"/>
      <c r="J996" s="388"/>
      <c r="K996" s="384" t="str">
        <f ca="1">IFERROR(VLOOKUP(C996,' Disaggregation - Section E '!A$313:J724,3,0),"")</f>
        <v/>
      </c>
      <c r="L996" s="388"/>
      <c r="M996" s="385"/>
      <c r="N996" s="384"/>
      <c r="O996" s="384" t="s">
        <v>2522</v>
      </c>
    </row>
    <row r="997" spans="1:15" x14ac:dyDescent="0.3">
      <c r="A997" s="384" t="b">
        <v>0</v>
      </c>
      <c r="B997" s="384"/>
      <c r="C997" s="397" t="s">
        <v>2929</v>
      </c>
      <c r="D997" s="389">
        <v>12</v>
      </c>
      <c r="E997" s="386"/>
      <c r="F997" s="384"/>
      <c r="G997" s="387"/>
      <c r="H997" s="387"/>
      <c r="I997" s="388"/>
      <c r="J997" s="388"/>
      <c r="K997" s="384" t="str">
        <f ca="1">IFERROR(VLOOKUP(C997,' Disaggregation - Section E '!A$313:J725,3,0),"")</f>
        <v/>
      </c>
      <c r="L997" s="388"/>
      <c r="M997" s="385"/>
      <c r="N997" s="384"/>
      <c r="O997" s="384" t="s">
        <v>2529</v>
      </c>
    </row>
    <row r="998" spans="1:15" x14ac:dyDescent="0.3">
      <c r="A998" s="384" t="b">
        <v>0</v>
      </c>
      <c r="B998" s="384"/>
      <c r="C998" s="397" t="s">
        <v>2930</v>
      </c>
      <c r="D998" s="389">
        <v>12</v>
      </c>
      <c r="E998" s="386"/>
      <c r="F998" s="384"/>
      <c r="G998" s="387"/>
      <c r="H998" s="387"/>
      <c r="I998" s="388"/>
      <c r="J998" s="388"/>
      <c r="K998" s="384" t="str">
        <f ca="1">IFERROR(VLOOKUP(C998,' Disaggregation - Section E '!A$313:J726,3,0),"")</f>
        <v/>
      </c>
      <c r="L998" s="388"/>
      <c r="M998" s="385"/>
      <c r="N998" s="384"/>
      <c r="O998" s="384" t="s">
        <v>2529</v>
      </c>
    </row>
    <row r="999" spans="1:15" x14ac:dyDescent="0.3">
      <c r="A999" s="384" t="b">
        <v>0</v>
      </c>
      <c r="B999" s="384"/>
      <c r="C999" s="397" t="s">
        <v>2931</v>
      </c>
      <c r="D999" s="389">
        <v>12</v>
      </c>
      <c r="E999" s="386"/>
      <c r="F999" s="384"/>
      <c r="G999" s="387"/>
      <c r="H999" s="387"/>
      <c r="I999" s="388"/>
      <c r="J999" s="388"/>
      <c r="K999" s="384" t="str">
        <f ca="1">IFERROR(VLOOKUP(C999,' Disaggregation - Section E '!A$313:J727,3,0),"")</f>
        <v/>
      </c>
      <c r="L999" s="388"/>
      <c r="M999" s="385"/>
      <c r="N999" s="384"/>
      <c r="O999" s="384" t="s">
        <v>2529</v>
      </c>
    </row>
    <row r="1000" spans="1:15" x14ac:dyDescent="0.3">
      <c r="A1000" s="384" t="b">
        <v>0</v>
      </c>
      <c r="B1000" s="384"/>
      <c r="C1000" s="397" t="s">
        <v>2932</v>
      </c>
      <c r="D1000" s="389">
        <v>12</v>
      </c>
      <c r="E1000" s="386"/>
      <c r="F1000" s="384"/>
      <c r="G1000" s="387"/>
      <c r="H1000" s="387"/>
      <c r="I1000" s="388"/>
      <c r="J1000" s="388"/>
      <c r="K1000" s="384" t="str">
        <f ca="1">IFERROR(VLOOKUP(C1000,' Disaggregation - Section E '!A$313:J728,3,0),"")</f>
        <v/>
      </c>
      <c r="L1000" s="388"/>
      <c r="M1000" s="385"/>
      <c r="N1000" s="384"/>
      <c r="O1000" s="384" t="s">
        <v>2529</v>
      </c>
    </row>
    <row r="1001" spans="1:15" x14ac:dyDescent="0.3">
      <c r="A1001" s="384" t="b">
        <v>0</v>
      </c>
      <c r="B1001" s="384"/>
      <c r="C1001" s="397" t="s">
        <v>2933</v>
      </c>
      <c r="D1001" s="389">
        <v>12</v>
      </c>
      <c r="E1001" s="386"/>
      <c r="F1001" s="384"/>
      <c r="G1001" s="387"/>
      <c r="H1001" s="387"/>
      <c r="I1001" s="388"/>
      <c r="J1001" s="388"/>
      <c r="K1001" s="384" t="str">
        <f ca="1">IFERROR(VLOOKUP(C1001,' Disaggregation - Section E '!A$313:J729,3,0),"")</f>
        <v/>
      </c>
      <c r="L1001" s="388"/>
      <c r="M1001" s="385"/>
      <c r="N1001" s="384"/>
      <c r="O1001" s="384" t="s">
        <v>2529</v>
      </c>
    </row>
    <row r="1002" spans="1:15" x14ac:dyDescent="0.3">
      <c r="A1002" s="384" t="b">
        <v>0</v>
      </c>
      <c r="B1002" s="384"/>
      <c r="C1002" s="397" t="s">
        <v>2934</v>
      </c>
      <c r="D1002" s="389">
        <v>12</v>
      </c>
      <c r="E1002" s="386"/>
      <c r="F1002" s="384"/>
      <c r="G1002" s="387"/>
      <c r="H1002" s="387"/>
      <c r="I1002" s="388"/>
      <c r="J1002" s="388"/>
      <c r="K1002" s="384" t="str">
        <f ca="1">IFERROR(VLOOKUP(C1002,' Disaggregation - Section E '!A$313:J730,3,0),"")</f>
        <v/>
      </c>
      <c r="L1002" s="388"/>
      <c r="M1002" s="385"/>
      <c r="N1002" s="384"/>
      <c r="O1002" s="384" t="s">
        <v>2529</v>
      </c>
    </row>
    <row r="1003" spans="1:15" x14ac:dyDescent="0.3">
      <c r="A1003" s="384" t="b">
        <v>0</v>
      </c>
      <c r="B1003" s="384"/>
      <c r="C1003" s="397" t="s">
        <v>2935</v>
      </c>
      <c r="D1003" s="389">
        <v>12</v>
      </c>
      <c r="E1003" s="386"/>
      <c r="F1003" s="384"/>
      <c r="G1003" s="387"/>
      <c r="H1003" s="387"/>
      <c r="I1003" s="388"/>
      <c r="J1003" s="388"/>
      <c r="K1003" s="384" t="str">
        <f ca="1">IFERROR(VLOOKUP(C1003,' Disaggregation - Section E '!A$313:J731,3,0),"")</f>
        <v/>
      </c>
      <c r="L1003" s="388"/>
      <c r="M1003" s="385"/>
      <c r="N1003" s="384"/>
      <c r="O1003" s="384" t="s">
        <v>2529</v>
      </c>
    </row>
    <row r="1004" spans="1:15" x14ac:dyDescent="0.3">
      <c r="A1004" s="384" t="b">
        <v>0</v>
      </c>
      <c r="B1004" s="384"/>
      <c r="C1004" s="397" t="s">
        <v>2936</v>
      </c>
      <c r="D1004" s="389">
        <v>12</v>
      </c>
      <c r="E1004" s="386"/>
      <c r="F1004" s="384"/>
      <c r="G1004" s="387"/>
      <c r="H1004" s="387"/>
      <c r="I1004" s="388"/>
      <c r="J1004" s="388"/>
      <c r="K1004" s="384" t="str">
        <f ca="1">IFERROR(VLOOKUP(C1004,' Disaggregation - Section E '!A$313:J732,3,0),"")</f>
        <v/>
      </c>
      <c r="L1004" s="388"/>
      <c r="M1004" s="385"/>
      <c r="N1004" s="384"/>
      <c r="O1004" s="384" t="s">
        <v>2529</v>
      </c>
    </row>
    <row r="1005" spans="1:15" x14ac:dyDescent="0.3">
      <c r="A1005" s="384" t="b">
        <v>0</v>
      </c>
      <c r="B1005" s="384"/>
      <c r="C1005" s="397" t="s">
        <v>2937</v>
      </c>
      <c r="D1005" s="389">
        <v>12</v>
      </c>
      <c r="E1005" s="386"/>
      <c r="F1005" s="384"/>
      <c r="G1005" s="387"/>
      <c r="H1005" s="387"/>
      <c r="I1005" s="388"/>
      <c r="J1005" s="388"/>
      <c r="K1005" s="384" t="str">
        <f ca="1">IFERROR(VLOOKUP(C1005,' Disaggregation - Section E '!A$313:J733,3,0),"")</f>
        <v/>
      </c>
      <c r="L1005" s="388"/>
      <c r="M1005" s="385"/>
      <c r="N1005" s="384"/>
      <c r="O1005" s="384" t="s">
        <v>2529</v>
      </c>
    </row>
    <row r="1006" spans="1:15" x14ac:dyDescent="0.3">
      <c r="A1006" s="384" t="b">
        <v>0</v>
      </c>
      <c r="B1006" s="384"/>
      <c r="C1006" s="397" t="s">
        <v>2938</v>
      </c>
      <c r="D1006" s="389">
        <v>12</v>
      </c>
      <c r="E1006" s="386"/>
      <c r="F1006" s="384"/>
      <c r="G1006" s="387"/>
      <c r="H1006" s="387"/>
      <c r="I1006" s="388"/>
      <c r="J1006" s="388"/>
      <c r="K1006" s="384" t="str">
        <f ca="1">IFERROR(VLOOKUP(C1006,' Disaggregation - Section E '!A$313:J734,3,0),"")</f>
        <v/>
      </c>
      <c r="L1006" s="388"/>
      <c r="M1006" s="385"/>
      <c r="N1006" s="384"/>
      <c r="O1006" s="384" t="s">
        <v>2529</v>
      </c>
    </row>
    <row r="1007" spans="1:15" x14ac:dyDescent="0.3">
      <c r="A1007" s="384" t="b">
        <v>0</v>
      </c>
      <c r="B1007" s="384"/>
      <c r="C1007" s="397" t="s">
        <v>2939</v>
      </c>
      <c r="D1007" s="389">
        <v>13</v>
      </c>
      <c r="E1007" s="386"/>
      <c r="F1007" s="384"/>
      <c r="G1007" s="387"/>
      <c r="H1007" s="387"/>
      <c r="I1007" s="388"/>
      <c r="J1007" s="388"/>
      <c r="K1007" s="384" t="str">
        <f ca="1">IFERROR(VLOOKUP(C1007,' Disaggregation - Section E '!A$313:J735,3,0),"")</f>
        <v/>
      </c>
      <c r="L1007" s="388"/>
      <c r="M1007" s="385"/>
      <c r="N1007" s="384"/>
      <c r="O1007" s="384" t="s">
        <v>2536</v>
      </c>
    </row>
    <row r="1008" spans="1:15" x14ac:dyDescent="0.3">
      <c r="A1008" s="384" t="b">
        <v>0</v>
      </c>
      <c r="B1008" s="384"/>
      <c r="C1008" s="397" t="s">
        <v>2940</v>
      </c>
      <c r="D1008" s="389">
        <v>13</v>
      </c>
      <c r="E1008" s="386"/>
      <c r="F1008" s="384"/>
      <c r="G1008" s="387"/>
      <c r="H1008" s="387"/>
      <c r="I1008" s="388"/>
      <c r="J1008" s="388"/>
      <c r="K1008" s="384" t="str">
        <f ca="1">IFERROR(VLOOKUP(C1008,' Disaggregation - Section E '!A$313:J736,3,0),"")</f>
        <v/>
      </c>
      <c r="L1008" s="388"/>
      <c r="M1008" s="385"/>
      <c r="N1008" s="384"/>
      <c r="O1008" s="384" t="s">
        <v>2536</v>
      </c>
    </row>
    <row r="1009" spans="1:15" x14ac:dyDescent="0.3">
      <c r="A1009" s="384" t="b">
        <v>0</v>
      </c>
      <c r="B1009" s="384"/>
      <c r="C1009" s="397" t="s">
        <v>2941</v>
      </c>
      <c r="D1009" s="389">
        <v>13</v>
      </c>
      <c r="E1009" s="386"/>
      <c r="F1009" s="384"/>
      <c r="G1009" s="387"/>
      <c r="H1009" s="387"/>
      <c r="I1009" s="388"/>
      <c r="J1009" s="388"/>
      <c r="K1009" s="384" t="str">
        <f ca="1">IFERROR(VLOOKUP(C1009,' Disaggregation - Section E '!A$313:J737,3,0),"")</f>
        <v/>
      </c>
      <c r="L1009" s="388"/>
      <c r="M1009" s="385"/>
      <c r="N1009" s="384"/>
      <c r="O1009" s="384" t="s">
        <v>2536</v>
      </c>
    </row>
    <row r="1010" spans="1:15" x14ac:dyDescent="0.3">
      <c r="A1010" s="384" t="b">
        <v>0</v>
      </c>
      <c r="B1010" s="384"/>
      <c r="C1010" s="397" t="s">
        <v>2942</v>
      </c>
      <c r="D1010" s="389">
        <v>13</v>
      </c>
      <c r="E1010" s="386"/>
      <c r="F1010" s="384"/>
      <c r="G1010" s="387"/>
      <c r="H1010" s="387"/>
      <c r="I1010" s="388"/>
      <c r="J1010" s="388"/>
      <c r="K1010" s="384" t="str">
        <f ca="1">IFERROR(VLOOKUP(C1010,' Disaggregation - Section E '!A$313:J738,3,0),"")</f>
        <v/>
      </c>
      <c r="L1010" s="388"/>
      <c r="M1010" s="385"/>
      <c r="N1010" s="384"/>
      <c r="O1010" s="384" t="s">
        <v>2536</v>
      </c>
    </row>
    <row r="1011" spans="1:15" x14ac:dyDescent="0.3">
      <c r="A1011" s="384" t="b">
        <v>0</v>
      </c>
      <c r="B1011" s="384"/>
      <c r="C1011" s="397" t="s">
        <v>2943</v>
      </c>
      <c r="D1011" s="389">
        <v>13</v>
      </c>
      <c r="E1011" s="386"/>
      <c r="F1011" s="384"/>
      <c r="G1011" s="387"/>
      <c r="H1011" s="387"/>
      <c r="I1011" s="388"/>
      <c r="J1011" s="388"/>
      <c r="K1011" s="384" t="str">
        <f ca="1">IFERROR(VLOOKUP(C1011,' Disaggregation - Section E '!A$313:J739,3,0),"")</f>
        <v/>
      </c>
      <c r="L1011" s="388"/>
      <c r="M1011" s="385"/>
      <c r="N1011" s="384"/>
      <c r="O1011" s="384" t="s">
        <v>2536</v>
      </c>
    </row>
    <row r="1012" spans="1:15" x14ac:dyDescent="0.3">
      <c r="A1012" s="384" t="b">
        <v>0</v>
      </c>
      <c r="B1012" s="384"/>
      <c r="C1012" s="397" t="s">
        <v>2944</v>
      </c>
      <c r="D1012" s="389">
        <v>13</v>
      </c>
      <c r="E1012" s="386"/>
      <c r="F1012" s="384"/>
      <c r="G1012" s="387"/>
      <c r="H1012" s="387"/>
      <c r="I1012" s="388"/>
      <c r="J1012" s="388"/>
      <c r="K1012" s="384" t="str">
        <f ca="1">IFERROR(VLOOKUP(C1012,' Disaggregation - Section E '!A$313:J740,3,0),"")</f>
        <v/>
      </c>
      <c r="L1012" s="388"/>
      <c r="M1012" s="385"/>
      <c r="N1012" s="384"/>
      <c r="O1012" s="384" t="s">
        <v>2536</v>
      </c>
    </row>
    <row r="1013" spans="1:15" x14ac:dyDescent="0.3">
      <c r="A1013" s="384" t="b">
        <v>0</v>
      </c>
      <c r="B1013" s="384"/>
      <c r="C1013" s="397" t="s">
        <v>2945</v>
      </c>
      <c r="D1013" s="389">
        <v>13</v>
      </c>
      <c r="E1013" s="386"/>
      <c r="F1013" s="384"/>
      <c r="G1013" s="387"/>
      <c r="H1013" s="387"/>
      <c r="I1013" s="388"/>
      <c r="J1013" s="388"/>
      <c r="K1013" s="384" t="str">
        <f ca="1">IFERROR(VLOOKUP(C1013,' Disaggregation - Section E '!A$313:J741,3,0),"")</f>
        <v/>
      </c>
      <c r="L1013" s="388"/>
      <c r="M1013" s="385"/>
      <c r="N1013" s="384"/>
      <c r="O1013" s="384" t="s">
        <v>2536</v>
      </c>
    </row>
    <row r="1014" spans="1:15" x14ac:dyDescent="0.3">
      <c r="A1014" s="384" t="b">
        <v>0</v>
      </c>
      <c r="B1014" s="384"/>
      <c r="C1014" s="397" t="s">
        <v>2946</v>
      </c>
      <c r="D1014" s="389">
        <v>13</v>
      </c>
      <c r="E1014" s="386"/>
      <c r="F1014" s="384"/>
      <c r="G1014" s="387"/>
      <c r="H1014" s="387"/>
      <c r="I1014" s="388"/>
      <c r="J1014" s="388"/>
      <c r="K1014" s="384" t="str">
        <f ca="1">IFERROR(VLOOKUP(C1014,' Disaggregation - Section E '!A$313:J742,3,0),"")</f>
        <v/>
      </c>
      <c r="L1014" s="388"/>
      <c r="M1014" s="385"/>
      <c r="N1014" s="384"/>
      <c r="O1014" s="384" t="s">
        <v>2536</v>
      </c>
    </row>
    <row r="1015" spans="1:15" x14ac:dyDescent="0.3">
      <c r="A1015" s="384" t="b">
        <v>0</v>
      </c>
      <c r="B1015" s="384"/>
      <c r="C1015" s="397" t="s">
        <v>2947</v>
      </c>
      <c r="D1015" s="389">
        <v>13</v>
      </c>
      <c r="E1015" s="386"/>
      <c r="F1015" s="384"/>
      <c r="G1015" s="387"/>
      <c r="H1015" s="387"/>
      <c r="I1015" s="388"/>
      <c r="J1015" s="388"/>
      <c r="K1015" s="384" t="str">
        <f ca="1">IFERROR(VLOOKUP(C1015,' Disaggregation - Section E '!A$313:J743,3,0),"")</f>
        <v/>
      </c>
      <c r="L1015" s="388"/>
      <c r="M1015" s="385"/>
      <c r="N1015" s="384"/>
      <c r="O1015" s="384" t="s">
        <v>2536</v>
      </c>
    </row>
    <row r="1016" spans="1:15" x14ac:dyDescent="0.3">
      <c r="A1016" s="384" t="b">
        <v>0</v>
      </c>
      <c r="B1016" s="384"/>
      <c r="C1016" s="397" t="s">
        <v>2948</v>
      </c>
      <c r="D1016" s="389">
        <v>13</v>
      </c>
      <c r="E1016" s="386"/>
      <c r="F1016" s="384"/>
      <c r="G1016" s="387"/>
      <c r="H1016" s="387"/>
      <c r="I1016" s="388"/>
      <c r="J1016" s="388"/>
      <c r="K1016" s="384" t="str">
        <f ca="1">IFERROR(VLOOKUP(C1016,' Disaggregation - Section E '!A$313:J744,3,0),"")</f>
        <v/>
      </c>
      <c r="L1016" s="388"/>
      <c r="M1016" s="385"/>
      <c r="N1016" s="384"/>
      <c r="O1016" s="384" t="s">
        <v>2536</v>
      </c>
    </row>
    <row r="1017" spans="1:15" x14ac:dyDescent="0.3">
      <c r="A1017" s="384" t="b">
        <v>0</v>
      </c>
      <c r="B1017" s="384"/>
      <c r="C1017" s="397" t="s">
        <v>2949</v>
      </c>
      <c r="D1017" s="389">
        <v>14</v>
      </c>
      <c r="E1017" s="386"/>
      <c r="F1017" s="384"/>
      <c r="G1017" s="387"/>
      <c r="H1017" s="387"/>
      <c r="I1017" s="388"/>
      <c r="J1017" s="388"/>
      <c r="K1017" s="384" t="str">
        <f ca="1">IFERROR(VLOOKUP(C1017,' Disaggregation - Section E '!A$313:J745,3,0),"")</f>
        <v/>
      </c>
      <c r="L1017" s="388"/>
      <c r="M1017" s="385"/>
      <c r="N1017" s="384"/>
      <c r="O1017" s="384" t="s">
        <v>2543</v>
      </c>
    </row>
    <row r="1018" spans="1:15" x14ac:dyDescent="0.3">
      <c r="A1018" s="384" t="b">
        <v>0</v>
      </c>
      <c r="B1018" s="384"/>
      <c r="C1018" s="397" t="s">
        <v>2950</v>
      </c>
      <c r="D1018" s="389">
        <v>14</v>
      </c>
      <c r="E1018" s="386"/>
      <c r="F1018" s="384"/>
      <c r="G1018" s="387"/>
      <c r="H1018" s="387"/>
      <c r="I1018" s="388"/>
      <c r="J1018" s="388"/>
      <c r="K1018" s="384" t="str">
        <f ca="1">IFERROR(VLOOKUP(C1018,' Disaggregation - Section E '!A$313:J746,3,0),"")</f>
        <v/>
      </c>
      <c r="L1018" s="388"/>
      <c r="M1018" s="385"/>
      <c r="N1018" s="384"/>
      <c r="O1018" s="384" t="s">
        <v>2543</v>
      </c>
    </row>
    <row r="1019" spans="1:15" x14ac:dyDescent="0.3">
      <c r="A1019" s="384" t="b">
        <v>0</v>
      </c>
      <c r="B1019" s="384"/>
      <c r="C1019" s="397" t="s">
        <v>2951</v>
      </c>
      <c r="D1019" s="389">
        <v>14</v>
      </c>
      <c r="E1019" s="386"/>
      <c r="F1019" s="384"/>
      <c r="G1019" s="387"/>
      <c r="H1019" s="387"/>
      <c r="I1019" s="388"/>
      <c r="J1019" s="388"/>
      <c r="K1019" s="384" t="str">
        <f ca="1">IFERROR(VLOOKUP(C1019,' Disaggregation - Section E '!A$313:J747,3,0),"")</f>
        <v/>
      </c>
      <c r="L1019" s="388"/>
      <c r="M1019" s="385"/>
      <c r="N1019" s="384"/>
      <c r="O1019" s="384" t="s">
        <v>2543</v>
      </c>
    </row>
    <row r="1020" spans="1:15" x14ac:dyDescent="0.3">
      <c r="A1020" s="384" t="b">
        <v>0</v>
      </c>
      <c r="B1020" s="384"/>
      <c r="C1020" s="397" t="s">
        <v>2952</v>
      </c>
      <c r="D1020" s="389">
        <v>14</v>
      </c>
      <c r="E1020" s="386"/>
      <c r="F1020" s="384"/>
      <c r="G1020" s="387"/>
      <c r="H1020" s="387"/>
      <c r="I1020" s="388"/>
      <c r="J1020" s="388"/>
      <c r="K1020" s="384" t="str">
        <f ca="1">IFERROR(VLOOKUP(C1020,' Disaggregation - Section E '!A$313:J748,3,0),"")</f>
        <v/>
      </c>
      <c r="L1020" s="388"/>
      <c r="M1020" s="385"/>
      <c r="N1020" s="384"/>
      <c r="O1020" s="384" t="s">
        <v>2543</v>
      </c>
    </row>
    <row r="1021" spans="1:15" x14ac:dyDescent="0.3">
      <c r="A1021" s="384" t="b">
        <v>0</v>
      </c>
      <c r="B1021" s="384"/>
      <c r="C1021" s="397" t="s">
        <v>2953</v>
      </c>
      <c r="D1021" s="389">
        <v>14</v>
      </c>
      <c r="E1021" s="386"/>
      <c r="F1021" s="384"/>
      <c r="G1021" s="387"/>
      <c r="H1021" s="387"/>
      <c r="I1021" s="388"/>
      <c r="J1021" s="388"/>
      <c r="K1021" s="384" t="str">
        <f ca="1">IFERROR(VLOOKUP(C1021,' Disaggregation - Section E '!A$313:J749,3,0),"")</f>
        <v/>
      </c>
      <c r="L1021" s="388"/>
      <c r="M1021" s="385"/>
      <c r="N1021" s="384"/>
      <c r="O1021" s="384" t="s">
        <v>2543</v>
      </c>
    </row>
    <row r="1022" spans="1:15" x14ac:dyDescent="0.3">
      <c r="A1022" s="384" t="b">
        <v>0</v>
      </c>
      <c r="B1022" s="384"/>
      <c r="C1022" s="397" t="s">
        <v>2954</v>
      </c>
      <c r="D1022" s="389">
        <v>14</v>
      </c>
      <c r="E1022" s="386"/>
      <c r="F1022" s="384"/>
      <c r="G1022" s="387"/>
      <c r="H1022" s="387"/>
      <c r="I1022" s="388"/>
      <c r="J1022" s="388"/>
      <c r="K1022" s="384" t="str">
        <f ca="1">IFERROR(VLOOKUP(C1022,' Disaggregation - Section E '!A$313:J750,3,0),"")</f>
        <v/>
      </c>
      <c r="L1022" s="388"/>
      <c r="M1022" s="385"/>
      <c r="N1022" s="384"/>
      <c r="O1022" s="384" t="s">
        <v>2543</v>
      </c>
    </row>
    <row r="1023" spans="1:15" x14ac:dyDescent="0.3">
      <c r="A1023" s="384" t="b">
        <v>0</v>
      </c>
      <c r="B1023" s="384"/>
      <c r="C1023" s="397" t="s">
        <v>2955</v>
      </c>
      <c r="D1023" s="389">
        <v>14</v>
      </c>
      <c r="E1023" s="386"/>
      <c r="F1023" s="384"/>
      <c r="G1023" s="387"/>
      <c r="H1023" s="387"/>
      <c r="I1023" s="388"/>
      <c r="J1023" s="388"/>
      <c r="K1023" s="384" t="str">
        <f ca="1">IFERROR(VLOOKUP(C1023,' Disaggregation - Section E '!A$313:J751,3,0),"")</f>
        <v/>
      </c>
      <c r="L1023" s="388"/>
      <c r="M1023" s="385"/>
      <c r="N1023" s="384"/>
      <c r="O1023" s="384" t="s">
        <v>2543</v>
      </c>
    </row>
    <row r="1024" spans="1:15" x14ac:dyDescent="0.3">
      <c r="A1024" s="384" t="b">
        <v>0</v>
      </c>
      <c r="B1024" s="384"/>
      <c r="C1024" s="397" t="s">
        <v>2956</v>
      </c>
      <c r="D1024" s="389">
        <v>14</v>
      </c>
      <c r="E1024" s="386"/>
      <c r="F1024" s="384"/>
      <c r="G1024" s="387"/>
      <c r="H1024" s="387"/>
      <c r="I1024" s="388"/>
      <c r="J1024" s="388"/>
      <c r="K1024" s="384" t="str">
        <f ca="1">IFERROR(VLOOKUP(C1024,' Disaggregation - Section E '!A$313:J752,3,0),"")</f>
        <v/>
      </c>
      <c r="L1024" s="388"/>
      <c r="M1024" s="385"/>
      <c r="N1024" s="384"/>
      <c r="O1024" s="384" t="s">
        <v>2543</v>
      </c>
    </row>
    <row r="1025" spans="1:15" x14ac:dyDescent="0.3">
      <c r="A1025" s="384" t="b">
        <v>0</v>
      </c>
      <c r="B1025" s="384"/>
      <c r="C1025" s="397" t="s">
        <v>2957</v>
      </c>
      <c r="D1025" s="389">
        <v>14</v>
      </c>
      <c r="E1025" s="386"/>
      <c r="F1025" s="384"/>
      <c r="G1025" s="387"/>
      <c r="H1025" s="387"/>
      <c r="I1025" s="388"/>
      <c r="J1025" s="388"/>
      <c r="K1025" s="384" t="str">
        <f ca="1">IFERROR(VLOOKUP(C1025,' Disaggregation - Section E '!A$313:J753,3,0),"")</f>
        <v/>
      </c>
      <c r="L1025" s="388"/>
      <c r="M1025" s="385"/>
      <c r="N1025" s="384"/>
      <c r="O1025" s="384" t="s">
        <v>2543</v>
      </c>
    </row>
    <row r="1026" spans="1:15" x14ac:dyDescent="0.3">
      <c r="A1026" s="384" t="b">
        <v>0</v>
      </c>
      <c r="B1026" s="384"/>
      <c r="C1026" s="397" t="s">
        <v>2958</v>
      </c>
      <c r="D1026" s="389">
        <v>14</v>
      </c>
      <c r="E1026" s="386"/>
      <c r="F1026" s="384"/>
      <c r="G1026" s="387"/>
      <c r="H1026" s="387"/>
      <c r="I1026" s="388"/>
      <c r="J1026" s="388"/>
      <c r="K1026" s="384" t="str">
        <f ca="1">IFERROR(VLOOKUP(C1026,' Disaggregation - Section E '!A$313:J754,3,0),"")</f>
        <v/>
      </c>
      <c r="L1026" s="388"/>
      <c r="M1026" s="385"/>
      <c r="N1026" s="384"/>
      <c r="O1026" s="384" t="s">
        <v>2543</v>
      </c>
    </row>
    <row r="1027" spans="1:15" x14ac:dyDescent="0.3">
      <c r="A1027" s="384" t="b">
        <v>0</v>
      </c>
      <c r="B1027" s="384"/>
      <c r="C1027" s="397" t="s">
        <v>2959</v>
      </c>
      <c r="D1027" s="389">
        <v>15</v>
      </c>
      <c r="E1027" s="386"/>
      <c r="F1027" s="384"/>
      <c r="G1027" s="387"/>
      <c r="H1027" s="387"/>
      <c r="I1027" s="388"/>
      <c r="J1027" s="388"/>
      <c r="K1027" s="384" t="str">
        <f ca="1">IFERROR(VLOOKUP(C1027,' Disaggregation - Section E '!A$313:J755,3,0),"")</f>
        <v/>
      </c>
      <c r="L1027" s="388"/>
      <c r="M1027" s="385"/>
      <c r="N1027" s="384"/>
      <c r="O1027" s="384" t="s">
        <v>2550</v>
      </c>
    </row>
    <row r="1028" spans="1:15" x14ac:dyDescent="0.3">
      <c r="A1028" s="384" t="b">
        <v>0</v>
      </c>
      <c r="B1028" s="384"/>
      <c r="C1028" s="397" t="s">
        <v>2960</v>
      </c>
      <c r="D1028" s="389">
        <v>15</v>
      </c>
      <c r="E1028" s="386"/>
      <c r="F1028" s="384"/>
      <c r="G1028" s="387"/>
      <c r="H1028" s="387"/>
      <c r="I1028" s="388"/>
      <c r="J1028" s="388"/>
      <c r="K1028" s="384" t="str">
        <f ca="1">IFERROR(VLOOKUP(C1028,' Disaggregation - Section E '!A$313:J756,3,0),"")</f>
        <v/>
      </c>
      <c r="L1028" s="388"/>
      <c r="M1028" s="385"/>
      <c r="N1028" s="384"/>
      <c r="O1028" s="384" t="s">
        <v>2550</v>
      </c>
    </row>
    <row r="1029" spans="1:15" x14ac:dyDescent="0.3">
      <c r="A1029" s="384" t="b">
        <v>0</v>
      </c>
      <c r="B1029" s="384"/>
      <c r="C1029" s="397" t="s">
        <v>2961</v>
      </c>
      <c r="D1029" s="389">
        <v>15</v>
      </c>
      <c r="E1029" s="386"/>
      <c r="F1029" s="384"/>
      <c r="G1029" s="387"/>
      <c r="H1029" s="387"/>
      <c r="I1029" s="388"/>
      <c r="J1029" s="388"/>
      <c r="K1029" s="384" t="str">
        <f ca="1">IFERROR(VLOOKUP(C1029,' Disaggregation - Section E '!A$313:J757,3,0),"")</f>
        <v/>
      </c>
      <c r="L1029" s="388"/>
      <c r="M1029" s="385"/>
      <c r="N1029" s="384"/>
      <c r="O1029" s="384" t="s">
        <v>2550</v>
      </c>
    </row>
    <row r="1030" spans="1:15" x14ac:dyDescent="0.3">
      <c r="A1030" s="384" t="b">
        <v>0</v>
      </c>
      <c r="B1030" s="384"/>
      <c r="C1030" s="397" t="s">
        <v>2962</v>
      </c>
      <c r="D1030" s="389">
        <v>15</v>
      </c>
      <c r="E1030" s="386"/>
      <c r="F1030" s="384"/>
      <c r="G1030" s="387"/>
      <c r="H1030" s="387"/>
      <c r="I1030" s="388"/>
      <c r="J1030" s="388"/>
      <c r="K1030" s="384" t="str">
        <f ca="1">IFERROR(VLOOKUP(C1030,' Disaggregation - Section E '!A$313:J758,3,0),"")</f>
        <v/>
      </c>
      <c r="L1030" s="388"/>
      <c r="M1030" s="385"/>
      <c r="N1030" s="384"/>
      <c r="O1030" s="384" t="s">
        <v>2550</v>
      </c>
    </row>
    <row r="1031" spans="1:15" x14ac:dyDescent="0.3">
      <c r="A1031" s="384" t="b">
        <v>0</v>
      </c>
      <c r="B1031" s="384"/>
      <c r="C1031" s="397" t="s">
        <v>2963</v>
      </c>
      <c r="D1031" s="389">
        <v>15</v>
      </c>
      <c r="E1031" s="386"/>
      <c r="F1031" s="384"/>
      <c r="G1031" s="387"/>
      <c r="H1031" s="387"/>
      <c r="I1031" s="388"/>
      <c r="J1031" s="388"/>
      <c r="K1031" s="384" t="str">
        <f ca="1">IFERROR(VLOOKUP(C1031,' Disaggregation - Section E '!A$313:J759,3,0),"")</f>
        <v/>
      </c>
      <c r="L1031" s="388"/>
      <c r="M1031" s="385"/>
      <c r="N1031" s="384"/>
      <c r="O1031" s="384" t="s">
        <v>2550</v>
      </c>
    </row>
    <row r="1032" spans="1:15" x14ac:dyDescent="0.3">
      <c r="A1032" s="384" t="b">
        <v>0</v>
      </c>
      <c r="B1032" s="384"/>
      <c r="C1032" s="397" t="s">
        <v>2964</v>
      </c>
      <c r="D1032" s="389">
        <v>15</v>
      </c>
      <c r="E1032" s="386"/>
      <c r="F1032" s="384"/>
      <c r="G1032" s="387"/>
      <c r="H1032" s="387"/>
      <c r="I1032" s="388"/>
      <c r="J1032" s="388"/>
      <c r="K1032" s="384" t="str">
        <f ca="1">IFERROR(VLOOKUP(C1032,' Disaggregation - Section E '!A$313:J760,3,0),"")</f>
        <v/>
      </c>
      <c r="L1032" s="388"/>
      <c r="M1032" s="385"/>
      <c r="N1032" s="384"/>
      <c r="O1032" s="384" t="s">
        <v>2550</v>
      </c>
    </row>
    <row r="1033" spans="1:15" x14ac:dyDescent="0.3">
      <c r="A1033" s="384" t="b">
        <v>0</v>
      </c>
      <c r="B1033" s="384"/>
      <c r="C1033" s="397" t="s">
        <v>2965</v>
      </c>
      <c r="D1033" s="389">
        <v>15</v>
      </c>
      <c r="E1033" s="386"/>
      <c r="F1033" s="384"/>
      <c r="G1033" s="387"/>
      <c r="H1033" s="387"/>
      <c r="I1033" s="388"/>
      <c r="J1033" s="388"/>
      <c r="K1033" s="384" t="str">
        <f ca="1">IFERROR(VLOOKUP(C1033,' Disaggregation - Section E '!A$313:J761,3,0),"")</f>
        <v/>
      </c>
      <c r="L1033" s="388"/>
      <c r="M1033" s="385"/>
      <c r="N1033" s="384"/>
      <c r="O1033" s="384" t="s">
        <v>2550</v>
      </c>
    </row>
    <row r="1034" spans="1:15" x14ac:dyDescent="0.3">
      <c r="A1034" s="384" t="b">
        <v>0</v>
      </c>
      <c r="B1034" s="384"/>
      <c r="C1034" s="397" t="s">
        <v>2966</v>
      </c>
      <c r="D1034" s="389">
        <v>15</v>
      </c>
      <c r="E1034" s="386"/>
      <c r="F1034" s="384"/>
      <c r="G1034" s="387"/>
      <c r="H1034" s="387"/>
      <c r="I1034" s="388"/>
      <c r="J1034" s="388"/>
      <c r="K1034" s="384" t="str">
        <f ca="1">IFERROR(VLOOKUP(C1034,' Disaggregation - Section E '!A$313:J762,3,0),"")</f>
        <v/>
      </c>
      <c r="L1034" s="388"/>
      <c r="M1034" s="385"/>
      <c r="N1034" s="384"/>
      <c r="O1034" s="384" t="s">
        <v>2550</v>
      </c>
    </row>
    <row r="1035" spans="1:15" x14ac:dyDescent="0.3">
      <c r="A1035" s="384" t="b">
        <v>0</v>
      </c>
      <c r="B1035" s="384"/>
      <c r="C1035" s="397" t="s">
        <v>2967</v>
      </c>
      <c r="D1035" s="389">
        <v>15</v>
      </c>
      <c r="E1035" s="386"/>
      <c r="F1035" s="384"/>
      <c r="G1035" s="387"/>
      <c r="H1035" s="387"/>
      <c r="I1035" s="388"/>
      <c r="J1035" s="388"/>
      <c r="K1035" s="384" t="str">
        <f ca="1">IFERROR(VLOOKUP(C1035,' Disaggregation - Section E '!A$313:J763,3,0),"")</f>
        <v/>
      </c>
      <c r="L1035" s="388"/>
      <c r="M1035" s="385"/>
      <c r="N1035" s="384"/>
      <c r="O1035" s="384" t="s">
        <v>2550</v>
      </c>
    </row>
    <row r="1036" spans="1:15" x14ac:dyDescent="0.3">
      <c r="A1036" s="384" t="b">
        <v>0</v>
      </c>
      <c r="B1036" s="384"/>
      <c r="C1036" s="397" t="s">
        <v>2968</v>
      </c>
      <c r="D1036" s="389">
        <v>15</v>
      </c>
      <c r="E1036" s="386"/>
      <c r="F1036" s="384"/>
      <c r="G1036" s="387"/>
      <c r="H1036" s="387"/>
      <c r="I1036" s="388"/>
      <c r="J1036" s="388"/>
      <c r="K1036" s="384" t="str">
        <f ca="1">IFERROR(VLOOKUP(C1036,' Disaggregation - Section E '!A$313:J764,3,0),"")</f>
        <v/>
      </c>
      <c r="L1036" s="388"/>
      <c r="M1036" s="385"/>
      <c r="N1036" s="384"/>
      <c r="O1036" s="384" t="s">
        <v>2550</v>
      </c>
    </row>
    <row r="1037" spans="1:15" x14ac:dyDescent="0.3">
      <c r="A1037" s="384" t="b">
        <f t="shared" ref="A1037:A1100" ca="1" si="129">IF(M1037&lt;&gt;"",TRUE,FALSE)</f>
        <v>0</v>
      </c>
      <c r="B1037" s="384"/>
      <c r="C1037" s="400" t="str">
        <f ca="1">IF(COUNTA(O$885:O1037)=1,"",OFFSET(C1037,-COUNTA(O$885:O1037)+1,0))</f>
        <v>a1VDm000000PRahMAG</v>
      </c>
      <c r="D1037" s="389"/>
      <c r="E1037" s="386" t="str">
        <f ca="1">IFERROR(IF(VLOOKUP(C1037,' Disaggregation - Section E '!A$313:J765,7,0)="","",VLOOKUP(C1037,' Disaggregation - Section E '!A$313:J765,7,0)*100),"")</f>
        <v/>
      </c>
      <c r="F1037" s="384"/>
      <c r="G1037" s="387" t="str">
        <f ca="1">IFERROR(IF(VLOOKUP(C1037,' Disaggregation - Section E '!A$313:J765,6,0)="","",VLOOKUP(C1037,' Disaggregation - Section E '!A$313:J765,6,0)),"")</f>
        <v/>
      </c>
      <c r="H1037" s="387" t="str">
        <f ca="1">IFERROR(IF(INDEX(' Disaggregation - Section E '!F$313:F765,MATCH(C1037,' Disaggregation - Section E '!A$313:A765,0)+1,1)&lt;&gt;0,INDEX(' Disaggregation - Section E '!F$313:F765,MATCH(C1037,' Disaggregation - Section E '!A$313:A765,0)+1,1),""),"")</f>
        <v/>
      </c>
      <c r="I1037" s="388" t="str">
        <f ca="1">IFERROR(IF(VLOOKUP(C1037,' Disaggregation - Section E '!A$313:J765,8,0)=0,"",VLOOKUP(C1037,' Disaggregation - Section E '!A$313:J765,8,0)),"")</f>
        <v/>
      </c>
      <c r="J1037" s="388" t="str">
        <f ca="1">IFERROR(IF(VLOOKUP(C1037,' Disaggregation - Section E '!A$313:J765,9,0)="","",VLOOKUP(C1037,' Disaggregation - Section E '!A$313:J765,9,0)),"")</f>
        <v/>
      </c>
      <c r="K1037" s="384" t="str">
        <f ca="1">IFERROR(VLOOKUP(C1037,' Disaggregation - Section E '!A$313:J765,3,0),"")</f>
        <v>HIV O-4a⁽ᴹ⁾ Percentage of men reporting using a condom the last time they had anal sex with a male partner</v>
      </c>
      <c r="L1037" s="388" t="str">
        <f ca="1">IFERROR(IF(VLOOKUP(C1037,' Disaggregation - Section E '!A$313:J765,10,0)="","",VLOOKUP(C1037,' Disaggregation - Section E '!A$313:J765,10,0)),"")</f>
        <v/>
      </c>
      <c r="M1037" s="385" t="str">
        <f ca="1">IFERROR(IF(VLOOKUP(C1037,' Disaggregation - Section E '!A$313:O469,15,0)=0,"",VLOOKUP(C1037,' Disaggregation - Section E '!A$313:O765,15,0)),"")</f>
        <v/>
      </c>
      <c r="N1037" s="384"/>
      <c r="O1037" s="384"/>
    </row>
    <row r="1038" spans="1:15" x14ac:dyDescent="0.3">
      <c r="A1038" s="384" t="b">
        <f t="shared" ca="1" si="129"/>
        <v>0</v>
      </c>
      <c r="B1038" s="384"/>
      <c r="C1038" s="400" t="str">
        <f ca="1">IF(COUNTA(O$885:O1038)=1,"",OFFSET(C1038,-COUNTA(O$885:O1038)+1,0))</f>
        <v>a1VDm000000PRaiMAG</v>
      </c>
      <c r="D1038" s="389"/>
      <c r="E1038" s="386" t="str">
        <f ca="1">IFERROR(IF(VLOOKUP(C1038,' Disaggregation - Section E '!A$313:J766,7,0)="","",VLOOKUP(C1038,' Disaggregation - Section E '!A$313:J766,7,0)*100),"")</f>
        <v/>
      </c>
      <c r="F1038" s="384"/>
      <c r="G1038" s="387" t="str">
        <f ca="1">IFERROR(IF(VLOOKUP(C1038,' Disaggregation - Section E '!A$313:J766,6,0)="","",VLOOKUP(C1038,' Disaggregation - Section E '!A$313:J766,6,0)),"")</f>
        <v/>
      </c>
      <c r="H1038" s="387" t="str">
        <f ca="1">IFERROR(IF(INDEX(' Disaggregation - Section E '!F$313:F766,MATCH(C1038,' Disaggregation - Section E '!A$313:A766,0)+1,1)&lt;&gt;0,INDEX(' Disaggregation - Section E '!F$313:F766,MATCH(C1038,' Disaggregation - Section E '!A$313:A766,0)+1,1),""),"")</f>
        <v/>
      </c>
      <c r="I1038" s="388" t="str">
        <f ca="1">IFERROR(IF(VLOOKUP(C1038,' Disaggregation - Section E '!A$313:J766,8,0)=0,"",VLOOKUP(C1038,' Disaggregation - Section E '!A$313:J766,8,0)),"")</f>
        <v/>
      </c>
      <c r="J1038" s="388" t="str">
        <f ca="1">IFERROR(IF(VLOOKUP(C1038,' Disaggregation - Section E '!A$313:J766,9,0)="","",VLOOKUP(C1038,' Disaggregation - Section E '!A$313:J766,9,0)),"")</f>
        <v/>
      </c>
      <c r="K1038" s="384" t="str">
        <f ca="1">IFERROR(VLOOKUP(C1038,' Disaggregation - Section E '!A$313:J766,3,0),"")</f>
        <v>HIV O-4a⁽ᴹ⁾ Percentage of men reporting using a condom the last time they had anal sex with a male partner</v>
      </c>
      <c r="L1038" s="388" t="str">
        <f ca="1">IFERROR(IF(VLOOKUP(C1038,' Disaggregation - Section E '!A$313:J766,10,0)="","",VLOOKUP(C1038,' Disaggregation - Section E '!A$313:J766,10,0)),"")</f>
        <v/>
      </c>
      <c r="M1038" s="385" t="str">
        <f ca="1">IFERROR(IF(VLOOKUP(C1038,' Disaggregation - Section E '!A$313:O470,15,0)=0,"",VLOOKUP(C1038,' Disaggregation - Section E '!A$313:O766,15,0)),"")</f>
        <v/>
      </c>
      <c r="N1038" s="384"/>
      <c r="O1038" s="384"/>
    </row>
    <row r="1039" spans="1:15" x14ac:dyDescent="0.3">
      <c r="A1039" s="384" t="b">
        <f t="shared" ca="1" si="129"/>
        <v>0</v>
      </c>
      <c r="B1039" s="384"/>
      <c r="C1039" s="400" t="str">
        <f ca="1">IF(COUNTA(O$885:O1039)=1,"",OFFSET(C1039,-COUNTA(O$885:O1039)+1,0))</f>
        <v>a1VDm000000PRajMAG</v>
      </c>
      <c r="D1039" s="389"/>
      <c r="E1039" s="386" t="str">
        <f ca="1">IFERROR(IF(VLOOKUP(C1039,' Disaggregation - Section E '!A$313:J767,7,0)="","",VLOOKUP(C1039,' Disaggregation - Section E '!A$313:J767,7,0)*100),"")</f>
        <v/>
      </c>
      <c r="F1039" s="384"/>
      <c r="G1039" s="387" t="str">
        <f ca="1">IFERROR(IF(VLOOKUP(C1039,' Disaggregation - Section E '!A$313:J767,6,0)="","",VLOOKUP(C1039,' Disaggregation - Section E '!A$313:J767,6,0)),"")</f>
        <v/>
      </c>
      <c r="H1039" s="387" t="str">
        <f ca="1">IFERROR(IF(INDEX(' Disaggregation - Section E '!F$313:F767,MATCH(C1039,' Disaggregation - Section E '!A$313:A767,0)+1,1)&lt;&gt;0,INDEX(' Disaggregation - Section E '!F$313:F767,MATCH(C1039,' Disaggregation - Section E '!A$313:A767,0)+1,1),""),"")</f>
        <v/>
      </c>
      <c r="I1039" s="388" t="str">
        <f ca="1">IFERROR(IF(VLOOKUP(C1039,' Disaggregation - Section E '!A$313:J767,8,0)=0,"",VLOOKUP(C1039,' Disaggregation - Section E '!A$313:J767,8,0)),"")</f>
        <v/>
      </c>
      <c r="J1039" s="388" t="str">
        <f ca="1">IFERROR(IF(VLOOKUP(C1039,' Disaggregation - Section E '!A$313:J767,9,0)="","",VLOOKUP(C1039,' Disaggregation - Section E '!A$313:J767,9,0)),"")</f>
        <v/>
      </c>
      <c r="K1039" s="384" t="str">
        <f ca="1">IFERROR(VLOOKUP(C1039,' Disaggregation - Section E '!A$313:J767,3,0),"")</f>
        <v>HIV O-4a⁽ᴹ⁾ Percentage of men reporting using a condom the last time they had anal sex with a male partner</v>
      </c>
      <c r="L1039" s="388" t="str">
        <f ca="1">IFERROR(IF(VLOOKUP(C1039,' Disaggregation - Section E '!A$313:J767,10,0)="","",VLOOKUP(C1039,' Disaggregation - Section E '!A$313:J767,10,0)),"")</f>
        <v/>
      </c>
      <c r="M1039" s="385" t="str">
        <f ca="1">IFERROR(IF(VLOOKUP(C1039,' Disaggregation - Section E '!A$313:O471,15,0)=0,"",VLOOKUP(C1039,' Disaggregation - Section E '!A$313:O767,15,0)),"")</f>
        <v/>
      </c>
      <c r="N1039" s="384"/>
      <c r="O1039" s="384"/>
    </row>
    <row r="1040" spans="1:15" x14ac:dyDescent="0.3">
      <c r="A1040" s="384" t="b">
        <f t="shared" ca="1" si="129"/>
        <v>0</v>
      </c>
      <c r="B1040" s="384"/>
      <c r="C1040" s="400" t="str">
        <f ca="1">IF(COUNTA(O$885:O1040)=1,"",OFFSET(C1040,-COUNTA(O$885:O1040)+1,0))</f>
        <v>a1VDm000000PRakMAG</v>
      </c>
      <c r="D1040" s="389"/>
      <c r="E1040" s="386" t="str">
        <f ca="1">IFERROR(IF(VLOOKUP(C1040,' Disaggregation - Section E '!A$313:J768,7,0)="","",VLOOKUP(C1040,' Disaggregation - Section E '!A$313:J768,7,0)*100),"")</f>
        <v/>
      </c>
      <c r="F1040" s="384"/>
      <c r="G1040" s="387" t="str">
        <f ca="1">IFERROR(IF(VLOOKUP(C1040,' Disaggregation - Section E '!A$313:J768,6,0)="","",VLOOKUP(C1040,' Disaggregation - Section E '!A$313:J768,6,0)),"")</f>
        <v/>
      </c>
      <c r="H1040" s="387" t="str">
        <f ca="1">IFERROR(IF(INDEX(' Disaggregation - Section E '!F$313:F768,MATCH(C1040,' Disaggregation - Section E '!A$313:A768,0)+1,1)&lt;&gt;0,INDEX(' Disaggregation - Section E '!F$313:F768,MATCH(C1040,' Disaggregation - Section E '!A$313:A768,0)+1,1),""),"")</f>
        <v/>
      </c>
      <c r="I1040" s="388" t="str">
        <f ca="1">IFERROR(IF(VLOOKUP(C1040,' Disaggregation - Section E '!A$313:J768,8,0)=0,"",VLOOKUP(C1040,' Disaggregation - Section E '!A$313:J768,8,0)),"")</f>
        <v/>
      </c>
      <c r="J1040" s="388" t="str">
        <f ca="1">IFERROR(IF(VLOOKUP(C1040,' Disaggregation - Section E '!A$313:J768,9,0)="","",VLOOKUP(C1040,' Disaggregation - Section E '!A$313:J768,9,0)),"")</f>
        <v/>
      </c>
      <c r="K1040" s="384" t="str">
        <f ca="1">IFERROR(VLOOKUP(C1040,' Disaggregation - Section E '!A$313:J768,3,0),"")</f>
        <v>HIV O-4a⁽ᴹ⁾ Percentage of men reporting using a condom the last time they had anal sex with a male partner</v>
      </c>
      <c r="L1040" s="388" t="str">
        <f ca="1">IFERROR(IF(VLOOKUP(C1040,' Disaggregation - Section E '!A$313:J768,10,0)="","",VLOOKUP(C1040,' Disaggregation - Section E '!A$313:J768,10,0)),"")</f>
        <v/>
      </c>
      <c r="M1040" s="385" t="str">
        <f ca="1">IFERROR(IF(VLOOKUP(C1040,' Disaggregation - Section E '!A$313:O472,15,0)=0,"",VLOOKUP(C1040,' Disaggregation - Section E '!A$313:O768,15,0)),"")</f>
        <v/>
      </c>
      <c r="N1040" s="384"/>
      <c r="O1040" s="384"/>
    </row>
    <row r="1041" spans="1:15" x14ac:dyDescent="0.3">
      <c r="A1041" s="384" t="b">
        <f t="shared" ca="1" si="129"/>
        <v>0</v>
      </c>
      <c r="B1041" s="384"/>
      <c r="C1041" s="400" t="str">
        <f ca="1">IF(COUNTA(O$885:O1041)=1,"",OFFSET(C1041,-COUNTA(O$885:O1041)+1,0))</f>
        <v>a1VDm000000PRalMAG</v>
      </c>
      <c r="D1041" s="389"/>
      <c r="E1041" s="386" t="str">
        <f ca="1">IFERROR(IF(VLOOKUP(C1041,' Disaggregation - Section E '!A$313:J769,7,0)="","",VLOOKUP(C1041,' Disaggregation - Section E '!A$313:J769,7,0)*100),"")</f>
        <v/>
      </c>
      <c r="F1041" s="384"/>
      <c r="G1041" s="387" t="str">
        <f ca="1">IFERROR(IF(VLOOKUP(C1041,' Disaggregation - Section E '!A$313:J769,6,0)="","",VLOOKUP(C1041,' Disaggregation - Section E '!A$313:J769,6,0)),"")</f>
        <v/>
      </c>
      <c r="H1041" s="387" t="str">
        <f ca="1">IFERROR(IF(INDEX(' Disaggregation - Section E '!F$313:F769,MATCH(C1041,' Disaggregation - Section E '!A$313:A769,0)+1,1)&lt;&gt;0,INDEX(' Disaggregation - Section E '!F$313:F769,MATCH(C1041,' Disaggregation - Section E '!A$313:A769,0)+1,1),""),"")</f>
        <v/>
      </c>
      <c r="I1041" s="388" t="str">
        <f ca="1">IFERROR(IF(VLOOKUP(C1041,' Disaggregation - Section E '!A$313:J769,8,0)=0,"",VLOOKUP(C1041,' Disaggregation - Section E '!A$313:J769,8,0)),"")</f>
        <v/>
      </c>
      <c r="J1041" s="388" t="str">
        <f ca="1">IFERROR(IF(VLOOKUP(C1041,' Disaggregation - Section E '!A$313:J769,9,0)="","",VLOOKUP(C1041,' Disaggregation - Section E '!A$313:J769,9,0)),"")</f>
        <v/>
      </c>
      <c r="K1041" s="384" t="str">
        <f ca="1">IFERROR(VLOOKUP(C1041,' Disaggregation - Section E '!A$313:J769,3,0),"")</f>
        <v>HIV O-4a⁽ᴹ⁾ Percentage of men reporting using a condom the last time they had anal sex with a male partner</v>
      </c>
      <c r="L1041" s="388" t="str">
        <f ca="1">IFERROR(IF(VLOOKUP(C1041,' Disaggregation - Section E '!A$313:J769,10,0)="","",VLOOKUP(C1041,' Disaggregation - Section E '!A$313:J769,10,0)),"")</f>
        <v/>
      </c>
      <c r="M1041" s="385" t="str">
        <f ca="1">IFERROR(IF(VLOOKUP(C1041,' Disaggregation - Section E '!A$313:O473,15,0)=0,"",VLOOKUP(C1041,' Disaggregation - Section E '!A$313:O769,15,0)),"")</f>
        <v/>
      </c>
      <c r="N1041" s="384"/>
      <c r="O1041" s="384"/>
    </row>
    <row r="1042" spans="1:15" x14ac:dyDescent="0.3">
      <c r="A1042" s="384" t="b">
        <f t="shared" ca="1" si="129"/>
        <v>0</v>
      </c>
      <c r="B1042" s="384"/>
      <c r="C1042" s="400" t="str">
        <f ca="1">IF(COUNTA(O$885:O1042)=1,"",OFFSET(C1042,-COUNTA(O$885:O1042)+1,0))</f>
        <v>a1VDm000000PRamMAG</v>
      </c>
      <c r="D1042" s="389"/>
      <c r="E1042" s="386" t="str">
        <f ca="1">IFERROR(IF(VLOOKUP(C1042,' Disaggregation - Section E '!A$313:J770,7,0)="","",VLOOKUP(C1042,' Disaggregation - Section E '!A$313:J770,7,0)*100),"")</f>
        <v/>
      </c>
      <c r="F1042" s="384"/>
      <c r="G1042" s="387" t="str">
        <f ca="1">IFERROR(IF(VLOOKUP(C1042,' Disaggregation - Section E '!A$313:J770,6,0)="","",VLOOKUP(C1042,' Disaggregation - Section E '!A$313:J770,6,0)),"")</f>
        <v/>
      </c>
      <c r="H1042" s="387" t="str">
        <f ca="1">IFERROR(IF(INDEX(' Disaggregation - Section E '!F$313:F770,MATCH(C1042,' Disaggregation - Section E '!A$313:A770,0)+1,1)&lt;&gt;0,INDEX(' Disaggregation - Section E '!F$313:F770,MATCH(C1042,' Disaggregation - Section E '!A$313:A770,0)+1,1),""),"")</f>
        <v/>
      </c>
      <c r="I1042" s="388" t="str">
        <f ca="1">IFERROR(IF(VLOOKUP(C1042,' Disaggregation - Section E '!A$313:J770,8,0)=0,"",VLOOKUP(C1042,' Disaggregation - Section E '!A$313:J770,8,0)),"")</f>
        <v/>
      </c>
      <c r="J1042" s="388" t="str">
        <f ca="1">IFERROR(IF(VLOOKUP(C1042,' Disaggregation - Section E '!A$313:J770,9,0)="","",VLOOKUP(C1042,' Disaggregation - Section E '!A$313:J770,9,0)),"")</f>
        <v/>
      </c>
      <c r="K1042" s="384" t="str">
        <f ca="1">IFERROR(VLOOKUP(C1042,' Disaggregation - Section E '!A$313:J770,3,0),"")</f>
        <v>HIV O-4a⁽ᴹ⁾ Percentage of men reporting using a condom the last time they had anal sex with a male partner</v>
      </c>
      <c r="L1042" s="388" t="str">
        <f ca="1">IFERROR(IF(VLOOKUP(C1042,' Disaggregation - Section E '!A$313:J770,10,0)="","",VLOOKUP(C1042,' Disaggregation - Section E '!A$313:J770,10,0)),"")</f>
        <v/>
      </c>
      <c r="M1042" s="385" t="str">
        <f ca="1">IFERROR(IF(VLOOKUP(C1042,' Disaggregation - Section E '!A$313:O474,15,0)=0,"",VLOOKUP(C1042,' Disaggregation - Section E '!A$313:O770,15,0)),"")</f>
        <v/>
      </c>
      <c r="N1042" s="384"/>
      <c r="O1042" s="384"/>
    </row>
    <row r="1043" spans="1:15" x14ac:dyDescent="0.3">
      <c r="A1043" s="384" t="b">
        <f t="shared" ca="1" si="129"/>
        <v>0</v>
      </c>
      <c r="B1043" s="384"/>
      <c r="C1043" s="400" t="str">
        <f ca="1">IF(COUNTA(O$885:O1043)=1,"",OFFSET(C1043,-COUNTA(O$885:O1043)+1,0))</f>
        <v>a1VDm000000PRanMAG</v>
      </c>
      <c r="D1043" s="389"/>
      <c r="E1043" s="386" t="str">
        <f ca="1">IFERROR(IF(VLOOKUP(C1043,' Disaggregation - Section E '!A$313:J771,7,0)="","",VLOOKUP(C1043,' Disaggregation - Section E '!A$313:J771,7,0)*100),"")</f>
        <v/>
      </c>
      <c r="F1043" s="384"/>
      <c r="G1043" s="387" t="str">
        <f ca="1">IFERROR(IF(VLOOKUP(C1043,' Disaggregation - Section E '!A$313:J771,6,0)="","",VLOOKUP(C1043,' Disaggregation - Section E '!A$313:J771,6,0)),"")</f>
        <v/>
      </c>
      <c r="H1043" s="387" t="str">
        <f ca="1">IFERROR(IF(INDEX(' Disaggregation - Section E '!F$313:F771,MATCH(C1043,' Disaggregation - Section E '!A$313:A771,0)+1,1)&lt;&gt;0,INDEX(' Disaggregation - Section E '!F$313:F771,MATCH(C1043,' Disaggregation - Section E '!A$313:A771,0)+1,1),""),"")</f>
        <v/>
      </c>
      <c r="I1043" s="388" t="str">
        <f ca="1">IFERROR(IF(VLOOKUP(C1043,' Disaggregation - Section E '!A$313:J771,8,0)=0,"",VLOOKUP(C1043,' Disaggregation - Section E '!A$313:J771,8,0)),"")</f>
        <v/>
      </c>
      <c r="J1043" s="388" t="str">
        <f ca="1">IFERROR(IF(VLOOKUP(C1043,' Disaggregation - Section E '!A$313:J771,9,0)="","",VLOOKUP(C1043,' Disaggregation - Section E '!A$313:J771,9,0)),"")</f>
        <v/>
      </c>
      <c r="K1043" s="384" t="str">
        <f ca="1">IFERROR(VLOOKUP(C1043,' Disaggregation - Section E '!A$313:J771,3,0),"")</f>
        <v>HIV O-4a⁽ᴹ⁾ Percentage of men reporting using a condom the last time they had anal sex with a male partner</v>
      </c>
      <c r="L1043" s="388" t="str">
        <f ca="1">IFERROR(IF(VLOOKUP(C1043,' Disaggregation - Section E '!A$313:J771,10,0)="","",VLOOKUP(C1043,' Disaggregation - Section E '!A$313:J771,10,0)),"")</f>
        <v/>
      </c>
      <c r="M1043" s="385" t="str">
        <f ca="1">IFERROR(IF(VLOOKUP(C1043,' Disaggregation - Section E '!A$313:O475,15,0)=0,"",VLOOKUP(C1043,' Disaggregation - Section E '!A$313:O771,15,0)),"")</f>
        <v/>
      </c>
      <c r="N1043" s="384"/>
      <c r="O1043" s="384"/>
    </row>
    <row r="1044" spans="1:15" x14ac:dyDescent="0.3">
      <c r="A1044" s="384" t="b">
        <f t="shared" ca="1" si="129"/>
        <v>0</v>
      </c>
      <c r="B1044" s="384"/>
      <c r="C1044" s="400" t="str">
        <f ca="1">IF(COUNTA(O$885:O1044)=1,"",OFFSET(C1044,-COUNTA(O$885:O1044)+1,0))</f>
        <v>a1VDm000000PRaoMAG</v>
      </c>
      <c r="D1044" s="389"/>
      <c r="E1044" s="386" t="str">
        <f ca="1">IFERROR(IF(VLOOKUP(C1044,' Disaggregation - Section E '!A$313:J772,7,0)="","",VLOOKUP(C1044,' Disaggregation - Section E '!A$313:J772,7,0)*100),"")</f>
        <v/>
      </c>
      <c r="F1044" s="384"/>
      <c r="G1044" s="387" t="str">
        <f ca="1">IFERROR(IF(VLOOKUP(C1044,' Disaggregation - Section E '!A$313:J772,6,0)="","",VLOOKUP(C1044,' Disaggregation - Section E '!A$313:J772,6,0)),"")</f>
        <v/>
      </c>
      <c r="H1044" s="387" t="str">
        <f ca="1">IFERROR(IF(INDEX(' Disaggregation - Section E '!F$313:F772,MATCH(C1044,' Disaggregation - Section E '!A$313:A772,0)+1,1)&lt;&gt;0,INDEX(' Disaggregation - Section E '!F$313:F772,MATCH(C1044,' Disaggregation - Section E '!A$313:A772,0)+1,1),""),"")</f>
        <v/>
      </c>
      <c r="I1044" s="388" t="str">
        <f ca="1">IFERROR(IF(VLOOKUP(C1044,' Disaggregation - Section E '!A$313:J772,8,0)=0,"",VLOOKUP(C1044,' Disaggregation - Section E '!A$313:J772,8,0)),"")</f>
        <v/>
      </c>
      <c r="J1044" s="388" t="str">
        <f ca="1">IFERROR(IF(VLOOKUP(C1044,' Disaggregation - Section E '!A$313:J772,9,0)="","",VLOOKUP(C1044,' Disaggregation - Section E '!A$313:J772,9,0)),"")</f>
        <v/>
      </c>
      <c r="K1044" s="384" t="str">
        <f ca="1">IFERROR(VLOOKUP(C1044,' Disaggregation - Section E '!A$313:J772,3,0),"")</f>
        <v>HIV O-4a⁽ᴹ⁾ Percentage of men reporting using a condom the last time they had anal sex with a male partner</v>
      </c>
      <c r="L1044" s="388" t="str">
        <f ca="1">IFERROR(IF(VLOOKUP(C1044,' Disaggregation - Section E '!A$313:J772,10,0)="","",VLOOKUP(C1044,' Disaggregation - Section E '!A$313:J772,10,0)),"")</f>
        <v/>
      </c>
      <c r="M1044" s="385" t="str">
        <f ca="1">IFERROR(IF(VLOOKUP(C1044,' Disaggregation - Section E '!A$313:O476,15,0)=0,"",VLOOKUP(C1044,' Disaggregation - Section E '!A$313:O772,15,0)),"")</f>
        <v/>
      </c>
      <c r="N1044" s="384"/>
      <c r="O1044" s="384"/>
    </row>
    <row r="1045" spans="1:15" x14ac:dyDescent="0.3">
      <c r="A1045" s="384" t="b">
        <f t="shared" ca="1" si="129"/>
        <v>0</v>
      </c>
      <c r="B1045" s="384"/>
      <c r="C1045" s="400" t="str">
        <f ca="1">IF(COUNTA(O$885:O1045)=1,"",OFFSET(C1045,-COUNTA(O$885:O1045)+1,0))</f>
        <v>a1VDm000000PRapMAG</v>
      </c>
      <c r="D1045" s="389"/>
      <c r="E1045" s="386" t="str">
        <f ca="1">IFERROR(IF(VLOOKUP(C1045,' Disaggregation - Section E '!A$313:J773,7,0)="","",VLOOKUP(C1045,' Disaggregation - Section E '!A$313:J773,7,0)*100),"")</f>
        <v/>
      </c>
      <c r="F1045" s="384"/>
      <c r="G1045" s="387" t="str">
        <f ca="1">IFERROR(IF(VLOOKUP(C1045,' Disaggregation - Section E '!A$313:J773,6,0)="","",VLOOKUP(C1045,' Disaggregation - Section E '!A$313:J773,6,0)),"")</f>
        <v/>
      </c>
      <c r="H1045" s="387" t="str">
        <f ca="1">IFERROR(IF(INDEX(' Disaggregation - Section E '!F$313:F773,MATCH(C1045,' Disaggregation - Section E '!A$313:A773,0)+1,1)&lt;&gt;0,INDEX(' Disaggregation - Section E '!F$313:F773,MATCH(C1045,' Disaggregation - Section E '!A$313:A773,0)+1,1),""),"")</f>
        <v/>
      </c>
      <c r="I1045" s="388" t="str">
        <f ca="1">IFERROR(IF(VLOOKUP(C1045,' Disaggregation - Section E '!A$313:J773,8,0)=0,"",VLOOKUP(C1045,' Disaggregation - Section E '!A$313:J773,8,0)),"")</f>
        <v/>
      </c>
      <c r="J1045" s="388" t="str">
        <f ca="1">IFERROR(IF(VLOOKUP(C1045,' Disaggregation - Section E '!A$313:J773,9,0)="","",VLOOKUP(C1045,' Disaggregation - Section E '!A$313:J773,9,0)),"")</f>
        <v/>
      </c>
      <c r="K1045" s="384" t="str">
        <f ca="1">IFERROR(VLOOKUP(C1045,' Disaggregation - Section E '!A$313:J773,3,0),"")</f>
        <v>HIV O-4a⁽ᴹ⁾ Percentage of men reporting using a condom the last time they had anal sex with a male partner</v>
      </c>
      <c r="L1045" s="388" t="str">
        <f ca="1">IFERROR(IF(VLOOKUP(C1045,' Disaggregation - Section E '!A$313:J773,10,0)="","",VLOOKUP(C1045,' Disaggregation - Section E '!A$313:J773,10,0)),"")</f>
        <v/>
      </c>
      <c r="M1045" s="385" t="str">
        <f ca="1">IFERROR(IF(VLOOKUP(C1045,' Disaggregation - Section E '!A$313:O477,15,0)=0,"",VLOOKUP(C1045,' Disaggregation - Section E '!A$313:O773,15,0)),"")</f>
        <v/>
      </c>
      <c r="N1045" s="384"/>
      <c r="O1045" s="384"/>
    </row>
    <row r="1046" spans="1:15" x14ac:dyDescent="0.3">
      <c r="A1046" s="384" t="b">
        <f t="shared" ca="1" si="129"/>
        <v>0</v>
      </c>
      <c r="B1046" s="384"/>
      <c r="C1046" s="400" t="str">
        <f ca="1">IF(COUNTA(O$885:O1046)=1,"",OFFSET(C1046,-COUNTA(O$885:O1046)+1,0))</f>
        <v>a1VDm000000PRaqMAG</v>
      </c>
      <c r="D1046" s="389"/>
      <c r="E1046" s="386" t="str">
        <f ca="1">IFERROR(IF(VLOOKUP(C1046,' Disaggregation - Section E '!A$313:J774,7,0)="","",VLOOKUP(C1046,' Disaggregation - Section E '!A$313:J774,7,0)*100),"")</f>
        <v/>
      </c>
      <c r="F1046" s="384"/>
      <c r="G1046" s="387" t="str">
        <f ca="1">IFERROR(IF(VLOOKUP(C1046,' Disaggregation - Section E '!A$313:J774,6,0)="","",VLOOKUP(C1046,' Disaggregation - Section E '!A$313:J774,6,0)),"")</f>
        <v/>
      </c>
      <c r="H1046" s="387" t="str">
        <f ca="1">IFERROR(IF(INDEX(' Disaggregation - Section E '!F$313:F774,MATCH(C1046,' Disaggregation - Section E '!A$313:A774,0)+1,1)&lt;&gt;0,INDEX(' Disaggregation - Section E '!F$313:F774,MATCH(C1046,' Disaggregation - Section E '!A$313:A774,0)+1,1),""),"")</f>
        <v/>
      </c>
      <c r="I1046" s="388" t="str">
        <f ca="1">IFERROR(IF(VLOOKUP(C1046,' Disaggregation - Section E '!A$313:J774,8,0)=0,"",VLOOKUP(C1046,' Disaggregation - Section E '!A$313:J774,8,0)),"")</f>
        <v/>
      </c>
      <c r="J1046" s="388" t="str">
        <f ca="1">IFERROR(IF(VLOOKUP(C1046,' Disaggregation - Section E '!A$313:J774,9,0)="","",VLOOKUP(C1046,' Disaggregation - Section E '!A$313:J774,9,0)),"")</f>
        <v/>
      </c>
      <c r="K1046" s="384" t="str">
        <f ca="1">IFERROR(VLOOKUP(C1046,' Disaggregation - Section E '!A$313:J774,3,0),"")</f>
        <v>HIV O-4a⁽ᴹ⁾ Percentage of men reporting using a condom the last time they had anal sex with a male partner</v>
      </c>
      <c r="L1046" s="388" t="str">
        <f ca="1">IFERROR(IF(VLOOKUP(C1046,' Disaggregation - Section E '!A$313:J774,10,0)="","",VLOOKUP(C1046,' Disaggregation - Section E '!A$313:J774,10,0)),"")</f>
        <v/>
      </c>
      <c r="M1046" s="385" t="str">
        <f ca="1">IFERROR(IF(VLOOKUP(C1046,' Disaggregation - Section E '!A$313:O478,15,0)=0,"",VLOOKUP(C1046,' Disaggregation - Section E '!A$313:O774,15,0)),"")</f>
        <v/>
      </c>
      <c r="N1046" s="384"/>
      <c r="O1046" s="384"/>
    </row>
    <row r="1047" spans="1:15" x14ac:dyDescent="0.3">
      <c r="A1047" s="384" t="b">
        <f t="shared" ca="1" si="129"/>
        <v>0</v>
      </c>
      <c r="B1047" s="384"/>
      <c r="C1047" s="400" t="str">
        <f ca="1">IF(COUNTA(O$885:O1047)=1,"",OFFSET(C1047,-COUNTA(O$885:O1047)+1,0))</f>
        <v>a1VDm000000PRarMAG</v>
      </c>
      <c r="D1047" s="389"/>
      <c r="E1047" s="386" t="str">
        <f ca="1">IFERROR(IF(VLOOKUP(C1047,' Disaggregation - Section E '!A$313:J775,7,0)="","",VLOOKUP(C1047,' Disaggregation - Section E '!A$313:J775,7,0)*100),"")</f>
        <v/>
      </c>
      <c r="F1047" s="384"/>
      <c r="G1047" s="387" t="str">
        <f ca="1">IFERROR(IF(VLOOKUP(C1047,' Disaggregation - Section E '!A$313:J775,6,0)="","",VLOOKUP(C1047,' Disaggregation - Section E '!A$313:J775,6,0)),"")</f>
        <v/>
      </c>
      <c r="H1047" s="387" t="str">
        <f ca="1">IFERROR(IF(INDEX(' Disaggregation - Section E '!F$313:F775,MATCH(C1047,' Disaggregation - Section E '!A$313:A775,0)+1,1)&lt;&gt;0,INDEX(' Disaggregation - Section E '!F$313:F775,MATCH(C1047,' Disaggregation - Section E '!A$313:A775,0)+1,1),""),"")</f>
        <v/>
      </c>
      <c r="I1047" s="388" t="str">
        <f ca="1">IFERROR(IF(VLOOKUP(C1047,' Disaggregation - Section E '!A$313:J775,8,0)=0,"",VLOOKUP(C1047,' Disaggregation - Section E '!A$313:J775,8,0)),"")</f>
        <v/>
      </c>
      <c r="J1047" s="388" t="str">
        <f ca="1">IFERROR(IF(VLOOKUP(C1047,' Disaggregation - Section E '!A$313:J775,9,0)="","",VLOOKUP(C1047,' Disaggregation - Section E '!A$313:J775,9,0)),"")</f>
        <v/>
      </c>
      <c r="K1047" s="384" t="str">
        <f ca="1">IFERROR(VLOOKUP(C1047,' Disaggregation - Section E '!A$313:J775,3,0),"")</f>
        <v>HIV O-5⁽ᴹ⁾ Percentage of sex workers reporting using a condom with their most recent client</v>
      </c>
      <c r="L1047" s="388" t="str">
        <f ca="1">IFERROR(IF(VLOOKUP(C1047,' Disaggregation - Section E '!A$313:J775,10,0)="","",VLOOKUP(C1047,' Disaggregation - Section E '!A$313:J775,10,0)),"")</f>
        <v/>
      </c>
      <c r="M1047" s="385" t="str">
        <f ca="1">IFERROR(IF(VLOOKUP(C1047,' Disaggregation - Section E '!A$313:O479,15,0)=0,"",VLOOKUP(C1047,' Disaggregation - Section E '!A$313:O775,15,0)),"")</f>
        <v/>
      </c>
      <c r="N1047" s="384"/>
      <c r="O1047" s="384"/>
    </row>
    <row r="1048" spans="1:15" x14ac:dyDescent="0.3">
      <c r="A1048" s="384" t="b">
        <f t="shared" ca="1" si="129"/>
        <v>0</v>
      </c>
      <c r="B1048" s="384"/>
      <c r="C1048" s="400" t="str">
        <f ca="1">IF(COUNTA(O$885:O1048)=1,"",OFFSET(C1048,-COUNTA(O$885:O1048)+1,0))</f>
        <v>a1VDm000000PRasMAG</v>
      </c>
      <c r="D1048" s="389"/>
      <c r="E1048" s="386" t="str">
        <f ca="1">IFERROR(IF(VLOOKUP(C1048,' Disaggregation - Section E '!A$313:J776,7,0)="","",VLOOKUP(C1048,' Disaggregation - Section E '!A$313:J776,7,0)*100),"")</f>
        <v/>
      </c>
      <c r="F1048" s="384"/>
      <c r="G1048" s="387" t="str">
        <f ca="1">IFERROR(IF(VLOOKUP(C1048,' Disaggregation - Section E '!A$313:J776,6,0)="","",VLOOKUP(C1048,' Disaggregation - Section E '!A$313:J776,6,0)),"")</f>
        <v/>
      </c>
      <c r="H1048" s="387" t="str">
        <f ca="1">IFERROR(IF(INDEX(' Disaggregation - Section E '!F$313:F776,MATCH(C1048,' Disaggregation - Section E '!A$313:A776,0)+1,1)&lt;&gt;0,INDEX(' Disaggregation - Section E '!F$313:F776,MATCH(C1048,' Disaggregation - Section E '!A$313:A776,0)+1,1),""),"")</f>
        <v/>
      </c>
      <c r="I1048" s="388" t="str">
        <f ca="1">IFERROR(IF(VLOOKUP(C1048,' Disaggregation - Section E '!A$313:J776,8,0)=0,"",VLOOKUP(C1048,' Disaggregation - Section E '!A$313:J776,8,0)),"")</f>
        <v/>
      </c>
      <c r="J1048" s="388" t="str">
        <f ca="1">IFERROR(IF(VLOOKUP(C1048,' Disaggregation - Section E '!A$313:J776,9,0)="","",VLOOKUP(C1048,' Disaggregation - Section E '!A$313:J776,9,0)),"")</f>
        <v/>
      </c>
      <c r="K1048" s="384" t="str">
        <f ca="1">IFERROR(VLOOKUP(C1048,' Disaggregation - Section E '!A$313:J776,3,0),"")</f>
        <v>HIV O-5⁽ᴹ⁾ Percentage of sex workers reporting using a condom with their most recent client</v>
      </c>
      <c r="L1048" s="388" t="str">
        <f ca="1">IFERROR(IF(VLOOKUP(C1048,' Disaggregation - Section E '!A$313:J776,10,0)="","",VLOOKUP(C1048,' Disaggregation - Section E '!A$313:J776,10,0)),"")</f>
        <v/>
      </c>
      <c r="M1048" s="385" t="str">
        <f ca="1">IFERROR(IF(VLOOKUP(C1048,' Disaggregation - Section E '!A$313:O480,15,0)=0,"",VLOOKUP(C1048,' Disaggregation - Section E '!A$313:O776,15,0)),"")</f>
        <v/>
      </c>
      <c r="N1048" s="384"/>
      <c r="O1048" s="384"/>
    </row>
    <row r="1049" spans="1:15" x14ac:dyDescent="0.3">
      <c r="A1049" s="384" t="b">
        <f t="shared" ca="1" si="129"/>
        <v>0</v>
      </c>
      <c r="B1049" s="384"/>
      <c r="C1049" s="400" t="str">
        <f ca="1">IF(COUNTA(O$885:O1049)=1,"",OFFSET(C1049,-COUNTA(O$885:O1049)+1,0))</f>
        <v>a1VDm000000PRatMAG</v>
      </c>
      <c r="D1049" s="389"/>
      <c r="E1049" s="386" t="str">
        <f ca="1">IFERROR(IF(VLOOKUP(C1049,' Disaggregation - Section E '!A$313:J777,7,0)="","",VLOOKUP(C1049,' Disaggregation - Section E '!A$313:J777,7,0)*100),"")</f>
        <v/>
      </c>
      <c r="F1049" s="384"/>
      <c r="G1049" s="387" t="str">
        <f ca="1">IFERROR(IF(VLOOKUP(C1049,' Disaggregation - Section E '!A$313:J777,6,0)="","",VLOOKUP(C1049,' Disaggregation - Section E '!A$313:J777,6,0)),"")</f>
        <v/>
      </c>
      <c r="H1049" s="387" t="str">
        <f ca="1">IFERROR(IF(INDEX(' Disaggregation - Section E '!F$313:F777,MATCH(C1049,' Disaggregation - Section E '!A$313:A777,0)+1,1)&lt;&gt;0,INDEX(' Disaggregation - Section E '!F$313:F777,MATCH(C1049,' Disaggregation - Section E '!A$313:A777,0)+1,1),""),"")</f>
        <v/>
      </c>
      <c r="I1049" s="388" t="str">
        <f ca="1">IFERROR(IF(VLOOKUP(C1049,' Disaggregation - Section E '!A$313:J777,8,0)=0,"",VLOOKUP(C1049,' Disaggregation - Section E '!A$313:J777,8,0)),"")</f>
        <v/>
      </c>
      <c r="J1049" s="388" t="str">
        <f ca="1">IFERROR(IF(VLOOKUP(C1049,' Disaggregation - Section E '!A$313:J777,9,0)="","",VLOOKUP(C1049,' Disaggregation - Section E '!A$313:J777,9,0)),"")</f>
        <v/>
      </c>
      <c r="K1049" s="384" t="str">
        <f ca="1">IFERROR(VLOOKUP(C1049,' Disaggregation - Section E '!A$313:J777,3,0),"")</f>
        <v>HIV O-5⁽ᴹ⁾ Percentage of sex workers reporting using a condom with their most recent client</v>
      </c>
      <c r="L1049" s="388" t="str">
        <f ca="1">IFERROR(IF(VLOOKUP(C1049,' Disaggregation - Section E '!A$313:J777,10,0)="","",VLOOKUP(C1049,' Disaggregation - Section E '!A$313:J777,10,0)),"")</f>
        <v/>
      </c>
      <c r="M1049" s="385" t="str">
        <f ca="1">IFERROR(IF(VLOOKUP(C1049,' Disaggregation - Section E '!A$313:O481,15,0)=0,"",VLOOKUP(C1049,' Disaggregation - Section E '!A$313:O777,15,0)),"")</f>
        <v/>
      </c>
      <c r="N1049" s="384"/>
      <c r="O1049" s="384"/>
    </row>
    <row r="1050" spans="1:15" x14ac:dyDescent="0.3">
      <c r="A1050" s="384" t="b">
        <f t="shared" ca="1" si="129"/>
        <v>0</v>
      </c>
      <c r="B1050" s="384"/>
      <c r="C1050" s="400" t="str">
        <f ca="1">IF(COUNTA(O$885:O1050)=1,"",OFFSET(C1050,-COUNTA(O$885:O1050)+1,0))</f>
        <v>a1VDm000000PRauMAG</v>
      </c>
      <c r="D1050" s="389"/>
      <c r="E1050" s="386" t="str">
        <f ca="1">IFERROR(IF(VLOOKUP(C1050,' Disaggregation - Section E '!A$313:J778,7,0)="","",VLOOKUP(C1050,' Disaggregation - Section E '!A$313:J778,7,0)*100),"")</f>
        <v/>
      </c>
      <c r="F1050" s="384"/>
      <c r="G1050" s="387" t="str">
        <f ca="1">IFERROR(IF(VLOOKUP(C1050,' Disaggregation - Section E '!A$313:J778,6,0)="","",VLOOKUP(C1050,' Disaggregation - Section E '!A$313:J778,6,0)),"")</f>
        <v/>
      </c>
      <c r="H1050" s="387" t="str">
        <f ca="1">IFERROR(IF(INDEX(' Disaggregation - Section E '!F$313:F778,MATCH(C1050,' Disaggregation - Section E '!A$313:A778,0)+1,1)&lt;&gt;0,INDEX(' Disaggregation - Section E '!F$313:F778,MATCH(C1050,' Disaggregation - Section E '!A$313:A778,0)+1,1),""),"")</f>
        <v/>
      </c>
      <c r="I1050" s="388" t="str">
        <f ca="1">IFERROR(IF(VLOOKUP(C1050,' Disaggregation - Section E '!A$313:J778,8,0)=0,"",VLOOKUP(C1050,' Disaggregation - Section E '!A$313:J778,8,0)),"")</f>
        <v/>
      </c>
      <c r="J1050" s="388" t="str">
        <f ca="1">IFERROR(IF(VLOOKUP(C1050,' Disaggregation - Section E '!A$313:J778,9,0)="","",VLOOKUP(C1050,' Disaggregation - Section E '!A$313:J778,9,0)),"")</f>
        <v/>
      </c>
      <c r="K1050" s="384" t="str">
        <f ca="1">IFERROR(VLOOKUP(C1050,' Disaggregation - Section E '!A$313:J778,3,0),"")</f>
        <v>HIV O-5⁽ᴹ⁾ Percentage of sex workers reporting using a condom with their most recent client</v>
      </c>
      <c r="L1050" s="388" t="str">
        <f ca="1">IFERROR(IF(VLOOKUP(C1050,' Disaggregation - Section E '!A$313:J778,10,0)="","",VLOOKUP(C1050,' Disaggregation - Section E '!A$313:J778,10,0)),"")</f>
        <v/>
      </c>
      <c r="M1050" s="385" t="str">
        <f ca="1">IFERROR(IF(VLOOKUP(C1050,' Disaggregation - Section E '!A$313:O482,15,0)=0,"",VLOOKUP(C1050,' Disaggregation - Section E '!A$313:O778,15,0)),"")</f>
        <v/>
      </c>
      <c r="N1050" s="384"/>
      <c r="O1050" s="384"/>
    </row>
    <row r="1051" spans="1:15" x14ac:dyDescent="0.3">
      <c r="A1051" s="384" t="b">
        <f t="shared" ca="1" si="129"/>
        <v>0</v>
      </c>
      <c r="B1051" s="384"/>
      <c r="C1051" s="400" t="str">
        <f ca="1">IF(COUNTA(O$885:O1051)=1,"",OFFSET(C1051,-COUNTA(O$885:O1051)+1,0))</f>
        <v>a1VDm000000PRavMAG</v>
      </c>
      <c r="D1051" s="389"/>
      <c r="E1051" s="386" t="str">
        <f ca="1">IFERROR(IF(VLOOKUP(C1051,' Disaggregation - Section E '!A$313:J779,7,0)="","",VLOOKUP(C1051,' Disaggregation - Section E '!A$313:J779,7,0)*100),"")</f>
        <v/>
      </c>
      <c r="F1051" s="384"/>
      <c r="G1051" s="387" t="str">
        <f ca="1">IFERROR(IF(VLOOKUP(C1051,' Disaggregation - Section E '!A$313:J779,6,0)="","",VLOOKUP(C1051,' Disaggregation - Section E '!A$313:J779,6,0)),"")</f>
        <v/>
      </c>
      <c r="H1051" s="387" t="str">
        <f ca="1">IFERROR(IF(INDEX(' Disaggregation - Section E '!F$313:F779,MATCH(C1051,' Disaggregation - Section E '!A$313:A779,0)+1,1)&lt;&gt;0,INDEX(' Disaggregation - Section E '!F$313:F779,MATCH(C1051,' Disaggregation - Section E '!A$313:A779,0)+1,1),""),"")</f>
        <v/>
      </c>
      <c r="I1051" s="388" t="str">
        <f ca="1">IFERROR(IF(VLOOKUP(C1051,' Disaggregation - Section E '!A$313:J779,8,0)=0,"",VLOOKUP(C1051,' Disaggregation - Section E '!A$313:J779,8,0)),"")</f>
        <v/>
      </c>
      <c r="J1051" s="388" t="str">
        <f ca="1">IFERROR(IF(VLOOKUP(C1051,' Disaggregation - Section E '!A$313:J779,9,0)="","",VLOOKUP(C1051,' Disaggregation - Section E '!A$313:J779,9,0)),"")</f>
        <v/>
      </c>
      <c r="K1051" s="384" t="str">
        <f ca="1">IFERROR(VLOOKUP(C1051,' Disaggregation - Section E '!A$313:J779,3,0),"")</f>
        <v>HIV O-5⁽ᴹ⁾ Percentage of sex workers reporting using a condom with their most recent client</v>
      </c>
      <c r="L1051" s="388" t="str">
        <f ca="1">IFERROR(IF(VLOOKUP(C1051,' Disaggregation - Section E '!A$313:J779,10,0)="","",VLOOKUP(C1051,' Disaggregation - Section E '!A$313:J779,10,0)),"")</f>
        <v/>
      </c>
      <c r="M1051" s="385" t="str">
        <f ca="1">IFERROR(IF(VLOOKUP(C1051,' Disaggregation - Section E '!A$313:O483,15,0)=0,"",VLOOKUP(C1051,' Disaggregation - Section E '!A$313:O779,15,0)),"")</f>
        <v/>
      </c>
      <c r="N1051" s="384"/>
      <c r="O1051" s="384"/>
    </row>
    <row r="1052" spans="1:15" x14ac:dyDescent="0.3">
      <c r="A1052" s="384" t="b">
        <f t="shared" ca="1" si="129"/>
        <v>0</v>
      </c>
      <c r="B1052" s="384"/>
      <c r="C1052" s="400" t="str">
        <f ca="1">IF(COUNTA(O$885:O1052)=1,"",OFFSET(C1052,-COUNTA(O$885:O1052)+1,0))</f>
        <v>a1VDm000000PRawMAG</v>
      </c>
      <c r="D1052" s="389"/>
      <c r="E1052" s="386" t="str">
        <f ca="1">IFERROR(IF(VLOOKUP(C1052,' Disaggregation - Section E '!A$313:J780,7,0)="","",VLOOKUP(C1052,' Disaggregation - Section E '!A$313:J780,7,0)*100),"")</f>
        <v/>
      </c>
      <c r="F1052" s="384"/>
      <c r="G1052" s="387" t="str">
        <f ca="1">IFERROR(IF(VLOOKUP(C1052,' Disaggregation - Section E '!A$313:J780,6,0)="","",VLOOKUP(C1052,' Disaggregation - Section E '!A$313:J780,6,0)),"")</f>
        <v/>
      </c>
      <c r="H1052" s="387" t="str">
        <f ca="1">IFERROR(IF(INDEX(' Disaggregation - Section E '!F$313:F780,MATCH(C1052,' Disaggregation - Section E '!A$313:A780,0)+1,1)&lt;&gt;0,INDEX(' Disaggregation - Section E '!F$313:F780,MATCH(C1052,' Disaggregation - Section E '!A$313:A780,0)+1,1),""),"")</f>
        <v/>
      </c>
      <c r="I1052" s="388" t="str">
        <f ca="1">IFERROR(IF(VLOOKUP(C1052,' Disaggregation - Section E '!A$313:J780,8,0)=0,"",VLOOKUP(C1052,' Disaggregation - Section E '!A$313:J780,8,0)),"")</f>
        <v/>
      </c>
      <c r="J1052" s="388" t="str">
        <f ca="1">IFERROR(IF(VLOOKUP(C1052,' Disaggregation - Section E '!A$313:J780,9,0)="","",VLOOKUP(C1052,' Disaggregation - Section E '!A$313:J780,9,0)),"")</f>
        <v/>
      </c>
      <c r="K1052" s="384" t="str">
        <f ca="1">IFERROR(VLOOKUP(C1052,' Disaggregation - Section E '!A$313:J780,3,0),"")</f>
        <v>HIV O-5⁽ᴹ⁾ Percentage of sex workers reporting using a condom with their most recent client</v>
      </c>
      <c r="L1052" s="388" t="str">
        <f ca="1">IFERROR(IF(VLOOKUP(C1052,' Disaggregation - Section E '!A$313:J780,10,0)="","",VLOOKUP(C1052,' Disaggregation - Section E '!A$313:J780,10,0)),"")</f>
        <v/>
      </c>
      <c r="M1052" s="385" t="str">
        <f ca="1">IFERROR(IF(VLOOKUP(C1052,' Disaggregation - Section E '!A$313:O484,15,0)=0,"",VLOOKUP(C1052,' Disaggregation - Section E '!A$313:O780,15,0)),"")</f>
        <v/>
      </c>
      <c r="N1052" s="384"/>
      <c r="O1052" s="384"/>
    </row>
    <row r="1053" spans="1:15" x14ac:dyDescent="0.3">
      <c r="A1053" s="384" t="b">
        <f t="shared" ca="1" si="129"/>
        <v>0</v>
      </c>
      <c r="B1053" s="384"/>
      <c r="C1053" s="400" t="str">
        <f ca="1">IF(COUNTA(O$885:O1053)=1,"",OFFSET(C1053,-COUNTA(O$885:O1053)+1,0))</f>
        <v>a1VDm000000PRaxMAG</v>
      </c>
      <c r="D1053" s="389"/>
      <c r="E1053" s="386" t="str">
        <f ca="1">IFERROR(IF(VLOOKUP(C1053,' Disaggregation - Section E '!A$313:J781,7,0)="","",VLOOKUP(C1053,' Disaggregation - Section E '!A$313:J781,7,0)*100),"")</f>
        <v/>
      </c>
      <c r="F1053" s="384"/>
      <c r="G1053" s="387" t="str">
        <f ca="1">IFERROR(IF(VLOOKUP(C1053,' Disaggregation - Section E '!A$313:J781,6,0)="","",VLOOKUP(C1053,' Disaggregation - Section E '!A$313:J781,6,0)),"")</f>
        <v/>
      </c>
      <c r="H1053" s="387" t="str">
        <f ca="1">IFERROR(IF(INDEX(' Disaggregation - Section E '!F$313:F781,MATCH(C1053,' Disaggregation - Section E '!A$313:A781,0)+1,1)&lt;&gt;0,INDEX(' Disaggregation - Section E '!F$313:F781,MATCH(C1053,' Disaggregation - Section E '!A$313:A781,0)+1,1),""),"")</f>
        <v/>
      </c>
      <c r="I1053" s="388" t="str">
        <f ca="1">IFERROR(IF(VLOOKUP(C1053,' Disaggregation - Section E '!A$313:J781,8,0)=0,"",VLOOKUP(C1053,' Disaggregation - Section E '!A$313:J781,8,0)),"")</f>
        <v/>
      </c>
      <c r="J1053" s="388" t="str">
        <f ca="1">IFERROR(IF(VLOOKUP(C1053,' Disaggregation - Section E '!A$313:J781,9,0)="","",VLOOKUP(C1053,' Disaggregation - Section E '!A$313:J781,9,0)),"")</f>
        <v/>
      </c>
      <c r="K1053" s="384" t="str">
        <f ca="1">IFERROR(VLOOKUP(C1053,' Disaggregation - Section E '!A$313:J781,3,0),"")</f>
        <v>HIV O-5⁽ᴹ⁾ Percentage of sex workers reporting using a condom with their most recent client</v>
      </c>
      <c r="L1053" s="388" t="str">
        <f ca="1">IFERROR(IF(VLOOKUP(C1053,' Disaggregation - Section E '!A$313:J781,10,0)="","",VLOOKUP(C1053,' Disaggregation - Section E '!A$313:J781,10,0)),"")</f>
        <v/>
      </c>
      <c r="M1053" s="385" t="str">
        <f ca="1">IFERROR(IF(VLOOKUP(C1053,' Disaggregation - Section E '!A$313:O485,15,0)=0,"",VLOOKUP(C1053,' Disaggregation - Section E '!A$313:O781,15,0)),"")</f>
        <v/>
      </c>
      <c r="N1053" s="384"/>
      <c r="O1053" s="384"/>
    </row>
    <row r="1054" spans="1:15" x14ac:dyDescent="0.3">
      <c r="A1054" s="384" t="b">
        <f t="shared" ca="1" si="129"/>
        <v>0</v>
      </c>
      <c r="B1054" s="384"/>
      <c r="C1054" s="400" t="str">
        <f ca="1">IF(COUNTA(O$885:O1054)=1,"",OFFSET(C1054,-COUNTA(O$885:O1054)+1,0))</f>
        <v>a1VDm000000PRayMAG</v>
      </c>
      <c r="D1054" s="389"/>
      <c r="E1054" s="386" t="str">
        <f ca="1">IFERROR(IF(VLOOKUP(C1054,' Disaggregation - Section E '!A$313:J782,7,0)="","",VLOOKUP(C1054,' Disaggregation - Section E '!A$313:J782,7,0)*100),"")</f>
        <v/>
      </c>
      <c r="F1054" s="384"/>
      <c r="G1054" s="387" t="str">
        <f ca="1">IFERROR(IF(VLOOKUP(C1054,' Disaggregation - Section E '!A$313:J782,6,0)="","",VLOOKUP(C1054,' Disaggregation - Section E '!A$313:J782,6,0)),"")</f>
        <v/>
      </c>
      <c r="H1054" s="387" t="str">
        <f ca="1">IFERROR(IF(INDEX(' Disaggregation - Section E '!F$313:F782,MATCH(C1054,' Disaggregation - Section E '!A$313:A782,0)+1,1)&lt;&gt;0,INDEX(' Disaggregation - Section E '!F$313:F782,MATCH(C1054,' Disaggregation - Section E '!A$313:A782,0)+1,1),""),"")</f>
        <v/>
      </c>
      <c r="I1054" s="388" t="str">
        <f ca="1">IFERROR(IF(VLOOKUP(C1054,' Disaggregation - Section E '!A$313:J782,8,0)=0,"",VLOOKUP(C1054,' Disaggregation - Section E '!A$313:J782,8,0)),"")</f>
        <v/>
      </c>
      <c r="J1054" s="388" t="str">
        <f ca="1">IFERROR(IF(VLOOKUP(C1054,' Disaggregation - Section E '!A$313:J782,9,0)="","",VLOOKUP(C1054,' Disaggregation - Section E '!A$313:J782,9,0)),"")</f>
        <v/>
      </c>
      <c r="K1054" s="384" t="str">
        <f ca="1">IFERROR(VLOOKUP(C1054,' Disaggregation - Section E '!A$313:J782,3,0),"")</f>
        <v>HIV O-5⁽ᴹ⁾ Percentage of sex workers reporting using a condom with their most recent client</v>
      </c>
      <c r="L1054" s="388" t="str">
        <f ca="1">IFERROR(IF(VLOOKUP(C1054,' Disaggregation - Section E '!A$313:J782,10,0)="","",VLOOKUP(C1054,' Disaggregation - Section E '!A$313:J782,10,0)),"")</f>
        <v/>
      </c>
      <c r="M1054" s="385" t="str">
        <f ca="1">IFERROR(IF(VLOOKUP(C1054,' Disaggregation - Section E '!A$313:O486,15,0)=0,"",VLOOKUP(C1054,' Disaggregation - Section E '!A$313:O782,15,0)),"")</f>
        <v/>
      </c>
      <c r="N1054" s="384"/>
      <c r="O1054" s="384"/>
    </row>
    <row r="1055" spans="1:15" x14ac:dyDescent="0.3">
      <c r="A1055" s="384" t="b">
        <f t="shared" ca="1" si="129"/>
        <v>0</v>
      </c>
      <c r="B1055" s="384"/>
      <c r="C1055" s="400" t="str">
        <f ca="1">IF(COUNTA(O$885:O1055)=1,"",OFFSET(C1055,-COUNTA(O$885:O1055)+1,0))</f>
        <v>a1VDm000000PRazMAG</v>
      </c>
      <c r="D1055" s="389"/>
      <c r="E1055" s="386" t="str">
        <f ca="1">IFERROR(IF(VLOOKUP(C1055,' Disaggregation - Section E '!A$313:J783,7,0)="","",VLOOKUP(C1055,' Disaggregation - Section E '!A$313:J783,7,0)*100),"")</f>
        <v/>
      </c>
      <c r="F1055" s="384"/>
      <c r="G1055" s="387" t="str">
        <f ca="1">IFERROR(IF(VLOOKUP(C1055,' Disaggregation - Section E '!A$313:J783,6,0)="","",VLOOKUP(C1055,' Disaggregation - Section E '!A$313:J783,6,0)),"")</f>
        <v/>
      </c>
      <c r="H1055" s="387" t="str">
        <f ca="1">IFERROR(IF(INDEX(' Disaggregation - Section E '!F$313:F783,MATCH(C1055,' Disaggregation - Section E '!A$313:A783,0)+1,1)&lt;&gt;0,INDEX(' Disaggregation - Section E '!F$313:F783,MATCH(C1055,' Disaggregation - Section E '!A$313:A783,0)+1,1),""),"")</f>
        <v/>
      </c>
      <c r="I1055" s="388" t="str">
        <f ca="1">IFERROR(IF(VLOOKUP(C1055,' Disaggregation - Section E '!A$313:J783,8,0)=0,"",VLOOKUP(C1055,' Disaggregation - Section E '!A$313:J783,8,0)),"")</f>
        <v/>
      </c>
      <c r="J1055" s="388" t="str">
        <f ca="1">IFERROR(IF(VLOOKUP(C1055,' Disaggregation - Section E '!A$313:J783,9,0)="","",VLOOKUP(C1055,' Disaggregation - Section E '!A$313:J783,9,0)),"")</f>
        <v/>
      </c>
      <c r="K1055" s="384" t="str">
        <f ca="1">IFERROR(VLOOKUP(C1055,' Disaggregation - Section E '!A$313:J783,3,0),"")</f>
        <v>HIV O-5⁽ᴹ⁾ Percentage of sex workers reporting using a condom with their most recent client</v>
      </c>
      <c r="L1055" s="388" t="str">
        <f ca="1">IFERROR(IF(VLOOKUP(C1055,' Disaggregation - Section E '!A$313:J783,10,0)="","",VLOOKUP(C1055,' Disaggregation - Section E '!A$313:J783,10,0)),"")</f>
        <v/>
      </c>
      <c r="M1055" s="385" t="str">
        <f ca="1">IFERROR(IF(VLOOKUP(C1055,' Disaggregation - Section E '!A$313:O487,15,0)=0,"",VLOOKUP(C1055,' Disaggregation - Section E '!A$313:O783,15,0)),"")</f>
        <v/>
      </c>
      <c r="N1055" s="384"/>
      <c r="O1055" s="384"/>
    </row>
    <row r="1056" spans="1:15" x14ac:dyDescent="0.3">
      <c r="A1056" s="384" t="b">
        <f t="shared" ca="1" si="129"/>
        <v>0</v>
      </c>
      <c r="B1056" s="384"/>
      <c r="C1056" s="400" t="str">
        <f ca="1">IF(COUNTA(O$885:O1056)=1,"",OFFSET(C1056,-COUNTA(O$885:O1056)+1,0))</f>
        <v>a1VDm000000PRb0MAG</v>
      </c>
      <c r="D1056" s="389"/>
      <c r="E1056" s="386" t="str">
        <f ca="1">IFERROR(IF(VLOOKUP(C1056,' Disaggregation - Section E '!A$313:J784,7,0)="","",VLOOKUP(C1056,' Disaggregation - Section E '!A$313:J784,7,0)*100),"")</f>
        <v/>
      </c>
      <c r="F1056" s="384"/>
      <c r="G1056" s="387" t="str">
        <f ca="1">IFERROR(IF(VLOOKUP(C1056,' Disaggregation - Section E '!A$313:J784,6,0)="","",VLOOKUP(C1056,' Disaggregation - Section E '!A$313:J784,6,0)),"")</f>
        <v/>
      </c>
      <c r="H1056" s="387" t="str">
        <f ca="1">IFERROR(IF(INDEX(' Disaggregation - Section E '!F$313:F784,MATCH(C1056,' Disaggregation - Section E '!A$313:A784,0)+1,1)&lt;&gt;0,INDEX(' Disaggregation - Section E '!F$313:F784,MATCH(C1056,' Disaggregation - Section E '!A$313:A784,0)+1,1),""),"")</f>
        <v/>
      </c>
      <c r="I1056" s="388" t="str">
        <f ca="1">IFERROR(IF(VLOOKUP(C1056,' Disaggregation - Section E '!A$313:J784,8,0)=0,"",VLOOKUP(C1056,' Disaggregation - Section E '!A$313:J784,8,0)),"")</f>
        <v/>
      </c>
      <c r="J1056" s="388" t="str">
        <f ca="1">IFERROR(IF(VLOOKUP(C1056,' Disaggregation - Section E '!A$313:J784,9,0)="","",VLOOKUP(C1056,' Disaggregation - Section E '!A$313:J784,9,0)),"")</f>
        <v/>
      </c>
      <c r="K1056" s="384" t="str">
        <f ca="1">IFERROR(VLOOKUP(C1056,' Disaggregation - Section E '!A$313:J784,3,0),"")</f>
        <v>HIV O-5⁽ᴹ⁾ Percentage of sex workers reporting using a condom with their most recent client</v>
      </c>
      <c r="L1056" s="388" t="str">
        <f ca="1">IFERROR(IF(VLOOKUP(C1056,' Disaggregation - Section E '!A$313:J784,10,0)="","",VLOOKUP(C1056,' Disaggregation - Section E '!A$313:J784,10,0)),"")</f>
        <v/>
      </c>
      <c r="M1056" s="385" t="str">
        <f ca="1">IFERROR(IF(VLOOKUP(C1056,' Disaggregation - Section E '!A$313:O488,15,0)=0,"",VLOOKUP(C1056,' Disaggregation - Section E '!A$313:O784,15,0)),"")</f>
        <v/>
      </c>
      <c r="N1056" s="384"/>
      <c r="O1056" s="384"/>
    </row>
    <row r="1057" spans="1:15" x14ac:dyDescent="0.3">
      <c r="A1057" s="384" t="b">
        <f t="shared" ca="1" si="129"/>
        <v>0</v>
      </c>
      <c r="B1057" s="384"/>
      <c r="C1057" s="400" t="str">
        <f ca="1">IF(COUNTA(O$885:O1057)=1,"",OFFSET(C1057,-COUNTA(O$885:O1057)+1,0))</f>
        <v>a1VDm000000PRb1MAG</v>
      </c>
      <c r="D1057" s="389"/>
      <c r="E1057" s="386" t="str">
        <f ca="1">IFERROR(IF(VLOOKUP(C1057,' Disaggregation - Section E '!A$313:J785,7,0)="","",VLOOKUP(C1057,' Disaggregation - Section E '!A$313:J785,7,0)*100),"")</f>
        <v/>
      </c>
      <c r="F1057" s="384"/>
      <c r="G1057" s="387" t="str">
        <f ca="1">IFERROR(IF(VLOOKUP(C1057,' Disaggregation - Section E '!A$313:J785,6,0)="","",VLOOKUP(C1057,' Disaggregation - Section E '!A$313:J785,6,0)),"")</f>
        <v/>
      </c>
      <c r="H1057" s="387" t="str">
        <f ca="1">IFERROR(IF(INDEX(' Disaggregation - Section E '!F$313:F785,MATCH(C1057,' Disaggregation - Section E '!A$313:A785,0)+1,1)&lt;&gt;0,INDEX(' Disaggregation - Section E '!F$313:F785,MATCH(C1057,' Disaggregation - Section E '!A$313:A785,0)+1,1),""),"")</f>
        <v/>
      </c>
      <c r="I1057" s="388" t="str">
        <f ca="1">IFERROR(IF(VLOOKUP(C1057,' Disaggregation - Section E '!A$313:J785,8,0)=0,"",VLOOKUP(C1057,' Disaggregation - Section E '!A$313:J785,8,0)),"")</f>
        <v/>
      </c>
      <c r="J1057" s="388" t="str">
        <f ca="1">IFERROR(IF(VLOOKUP(C1057,' Disaggregation - Section E '!A$313:J785,9,0)="","",VLOOKUP(C1057,' Disaggregation - Section E '!A$313:J785,9,0)),"")</f>
        <v/>
      </c>
      <c r="K1057" s="384" t="str">
        <f ca="1">IFERROR(VLOOKUP(C1057,' Disaggregation - Section E '!A$313:J785,3,0),"")</f>
        <v>HIV O-4.1b⁽ᴹ⁾ Percentage of transgender people reporting using a condom during their most recent sexual intercourse or anal sex</v>
      </c>
      <c r="L1057" s="388" t="str">
        <f ca="1">IFERROR(IF(VLOOKUP(C1057,' Disaggregation - Section E '!A$313:J785,10,0)="","",VLOOKUP(C1057,' Disaggregation - Section E '!A$313:J785,10,0)),"")</f>
        <v/>
      </c>
      <c r="M1057" s="385" t="str">
        <f ca="1">IFERROR(IF(VLOOKUP(C1057,' Disaggregation - Section E '!A$313:O489,15,0)=0,"",VLOOKUP(C1057,' Disaggregation - Section E '!A$313:O785,15,0)),"")</f>
        <v/>
      </c>
      <c r="N1057" s="384"/>
      <c r="O1057" s="384"/>
    </row>
    <row r="1058" spans="1:15" x14ac:dyDescent="0.3">
      <c r="A1058" s="384" t="b">
        <f t="shared" ca="1" si="129"/>
        <v>0</v>
      </c>
      <c r="B1058" s="384"/>
      <c r="C1058" s="400" t="str">
        <f ca="1">IF(COUNTA(O$885:O1058)=1,"",OFFSET(C1058,-COUNTA(O$885:O1058)+1,0))</f>
        <v>a1VDm000000PRb2MAG</v>
      </c>
      <c r="D1058" s="389"/>
      <c r="E1058" s="386" t="str">
        <f ca="1">IFERROR(IF(VLOOKUP(C1058,' Disaggregation - Section E '!A$313:J786,7,0)="","",VLOOKUP(C1058,' Disaggregation - Section E '!A$313:J786,7,0)*100),"")</f>
        <v/>
      </c>
      <c r="F1058" s="384"/>
      <c r="G1058" s="387" t="str">
        <f ca="1">IFERROR(IF(VLOOKUP(C1058,' Disaggregation - Section E '!A$313:J786,6,0)="","",VLOOKUP(C1058,' Disaggregation - Section E '!A$313:J786,6,0)),"")</f>
        <v/>
      </c>
      <c r="H1058" s="387" t="str">
        <f ca="1">IFERROR(IF(INDEX(' Disaggregation - Section E '!F$313:F786,MATCH(C1058,' Disaggregation - Section E '!A$313:A786,0)+1,1)&lt;&gt;0,INDEX(' Disaggregation - Section E '!F$313:F786,MATCH(C1058,' Disaggregation - Section E '!A$313:A786,0)+1,1),""),"")</f>
        <v/>
      </c>
      <c r="I1058" s="388" t="str">
        <f ca="1">IFERROR(IF(VLOOKUP(C1058,' Disaggregation - Section E '!A$313:J786,8,0)=0,"",VLOOKUP(C1058,' Disaggregation - Section E '!A$313:J786,8,0)),"")</f>
        <v/>
      </c>
      <c r="J1058" s="388" t="str">
        <f ca="1">IFERROR(IF(VLOOKUP(C1058,' Disaggregation - Section E '!A$313:J786,9,0)="","",VLOOKUP(C1058,' Disaggregation - Section E '!A$313:J786,9,0)),"")</f>
        <v/>
      </c>
      <c r="K1058" s="384" t="str">
        <f ca="1">IFERROR(VLOOKUP(C1058,' Disaggregation - Section E '!A$313:J786,3,0),"")</f>
        <v>HIV O-4.1b⁽ᴹ⁾ Percentage of transgender people reporting using a condom during their most recent sexual intercourse or anal sex</v>
      </c>
      <c r="L1058" s="388" t="str">
        <f ca="1">IFERROR(IF(VLOOKUP(C1058,' Disaggregation - Section E '!A$313:J786,10,0)="","",VLOOKUP(C1058,' Disaggregation - Section E '!A$313:J786,10,0)),"")</f>
        <v/>
      </c>
      <c r="M1058" s="385" t="str">
        <f ca="1">IFERROR(IF(VLOOKUP(C1058,' Disaggregation - Section E '!A$313:O490,15,0)=0,"",VLOOKUP(C1058,' Disaggregation - Section E '!A$313:O786,15,0)),"")</f>
        <v/>
      </c>
      <c r="N1058" s="384"/>
      <c r="O1058" s="384"/>
    </row>
    <row r="1059" spans="1:15" x14ac:dyDescent="0.3">
      <c r="A1059" s="384" t="b">
        <f t="shared" ca="1" si="129"/>
        <v>0</v>
      </c>
      <c r="B1059" s="384"/>
      <c r="C1059" s="400" t="str">
        <f ca="1">IF(COUNTA(O$885:O1059)=1,"",OFFSET(C1059,-COUNTA(O$885:O1059)+1,0))</f>
        <v>a1VDm000000PRb3MAG</v>
      </c>
      <c r="D1059" s="389"/>
      <c r="E1059" s="386" t="str">
        <f ca="1">IFERROR(IF(VLOOKUP(C1059,' Disaggregation - Section E '!A$313:J787,7,0)="","",VLOOKUP(C1059,' Disaggregation - Section E '!A$313:J787,7,0)*100),"")</f>
        <v/>
      </c>
      <c r="F1059" s="384"/>
      <c r="G1059" s="387" t="str">
        <f ca="1">IFERROR(IF(VLOOKUP(C1059,' Disaggregation - Section E '!A$313:J787,6,0)="","",VLOOKUP(C1059,' Disaggregation - Section E '!A$313:J787,6,0)),"")</f>
        <v/>
      </c>
      <c r="H1059" s="387" t="str">
        <f ca="1">IFERROR(IF(INDEX(' Disaggregation - Section E '!F$313:F787,MATCH(C1059,' Disaggregation - Section E '!A$313:A787,0)+1,1)&lt;&gt;0,INDEX(' Disaggregation - Section E '!F$313:F787,MATCH(C1059,' Disaggregation - Section E '!A$313:A787,0)+1,1),""),"")</f>
        <v/>
      </c>
      <c r="I1059" s="388" t="str">
        <f ca="1">IFERROR(IF(VLOOKUP(C1059,' Disaggregation - Section E '!A$313:J787,8,0)=0,"",VLOOKUP(C1059,' Disaggregation - Section E '!A$313:J787,8,0)),"")</f>
        <v/>
      </c>
      <c r="J1059" s="388" t="str">
        <f ca="1">IFERROR(IF(VLOOKUP(C1059,' Disaggregation - Section E '!A$313:J787,9,0)="","",VLOOKUP(C1059,' Disaggregation - Section E '!A$313:J787,9,0)),"")</f>
        <v/>
      </c>
      <c r="K1059" s="384" t="str">
        <f ca="1">IFERROR(VLOOKUP(C1059,' Disaggregation - Section E '!A$313:J787,3,0),"")</f>
        <v>HIV O-4.1b⁽ᴹ⁾ Percentage of transgender people reporting using a condom during their most recent sexual intercourse or anal sex</v>
      </c>
      <c r="L1059" s="388" t="str">
        <f ca="1">IFERROR(IF(VLOOKUP(C1059,' Disaggregation - Section E '!A$313:J787,10,0)="","",VLOOKUP(C1059,' Disaggregation - Section E '!A$313:J787,10,0)),"")</f>
        <v/>
      </c>
      <c r="M1059" s="385" t="str">
        <f ca="1">IFERROR(IF(VLOOKUP(C1059,' Disaggregation - Section E '!A$313:O491,15,0)=0,"",VLOOKUP(C1059,' Disaggregation - Section E '!A$313:O787,15,0)),"")</f>
        <v/>
      </c>
      <c r="N1059" s="384"/>
      <c r="O1059" s="384"/>
    </row>
    <row r="1060" spans="1:15" x14ac:dyDescent="0.3">
      <c r="A1060" s="384" t="b">
        <f t="shared" ca="1" si="129"/>
        <v>0</v>
      </c>
      <c r="B1060" s="384"/>
      <c r="C1060" s="400" t="str">
        <f ca="1">IF(COUNTA(O$885:O1060)=1,"",OFFSET(C1060,-COUNTA(O$885:O1060)+1,0))</f>
        <v>a1VDm000000PRb4MAG</v>
      </c>
      <c r="D1060" s="389"/>
      <c r="E1060" s="386" t="str">
        <f ca="1">IFERROR(IF(VLOOKUP(C1060,' Disaggregation - Section E '!A$313:J788,7,0)="","",VLOOKUP(C1060,' Disaggregation - Section E '!A$313:J788,7,0)*100),"")</f>
        <v/>
      </c>
      <c r="F1060" s="384"/>
      <c r="G1060" s="387" t="str">
        <f ca="1">IFERROR(IF(VLOOKUP(C1060,' Disaggregation - Section E '!A$313:J788,6,0)="","",VLOOKUP(C1060,' Disaggregation - Section E '!A$313:J788,6,0)),"")</f>
        <v/>
      </c>
      <c r="H1060" s="387" t="str">
        <f ca="1">IFERROR(IF(INDEX(' Disaggregation - Section E '!F$313:F788,MATCH(C1060,' Disaggregation - Section E '!A$313:A788,0)+1,1)&lt;&gt;0,INDEX(' Disaggregation - Section E '!F$313:F788,MATCH(C1060,' Disaggregation - Section E '!A$313:A788,0)+1,1),""),"")</f>
        <v/>
      </c>
      <c r="I1060" s="388" t="str">
        <f ca="1">IFERROR(IF(VLOOKUP(C1060,' Disaggregation - Section E '!A$313:J788,8,0)=0,"",VLOOKUP(C1060,' Disaggregation - Section E '!A$313:J788,8,0)),"")</f>
        <v/>
      </c>
      <c r="J1060" s="388" t="str">
        <f ca="1">IFERROR(IF(VLOOKUP(C1060,' Disaggregation - Section E '!A$313:J788,9,0)="","",VLOOKUP(C1060,' Disaggregation - Section E '!A$313:J788,9,0)),"")</f>
        <v/>
      </c>
      <c r="K1060" s="384" t="str">
        <f ca="1">IFERROR(VLOOKUP(C1060,' Disaggregation - Section E '!A$313:J788,3,0),"")</f>
        <v>HIV O-4.1b⁽ᴹ⁾ Percentage of transgender people reporting using a condom during their most recent sexual intercourse or anal sex</v>
      </c>
      <c r="L1060" s="388" t="str">
        <f ca="1">IFERROR(IF(VLOOKUP(C1060,' Disaggregation - Section E '!A$313:J788,10,0)="","",VLOOKUP(C1060,' Disaggregation - Section E '!A$313:J788,10,0)),"")</f>
        <v/>
      </c>
      <c r="M1060" s="385" t="str">
        <f ca="1">IFERROR(IF(VLOOKUP(C1060,' Disaggregation - Section E '!A$313:O492,15,0)=0,"",VLOOKUP(C1060,' Disaggregation - Section E '!A$313:O788,15,0)),"")</f>
        <v/>
      </c>
      <c r="N1060" s="384"/>
      <c r="O1060" s="384"/>
    </row>
    <row r="1061" spans="1:15" x14ac:dyDescent="0.3">
      <c r="A1061" s="384" t="b">
        <f t="shared" ca="1" si="129"/>
        <v>0</v>
      </c>
      <c r="B1061" s="384"/>
      <c r="C1061" s="400" t="str">
        <f ca="1">IF(COUNTA(O$885:O1061)=1,"",OFFSET(C1061,-COUNTA(O$885:O1061)+1,0))</f>
        <v>a1VDm000000PRb5MAG</v>
      </c>
      <c r="D1061" s="389"/>
      <c r="E1061" s="386" t="str">
        <f ca="1">IFERROR(IF(VLOOKUP(C1061,' Disaggregation - Section E '!A$313:J789,7,0)="","",VLOOKUP(C1061,' Disaggregation - Section E '!A$313:J789,7,0)*100),"")</f>
        <v/>
      </c>
      <c r="F1061" s="384"/>
      <c r="G1061" s="387" t="str">
        <f ca="1">IFERROR(IF(VLOOKUP(C1061,' Disaggregation - Section E '!A$313:J789,6,0)="","",VLOOKUP(C1061,' Disaggregation - Section E '!A$313:J789,6,0)),"")</f>
        <v/>
      </c>
      <c r="H1061" s="387" t="str">
        <f ca="1">IFERROR(IF(INDEX(' Disaggregation - Section E '!F$313:F789,MATCH(C1061,' Disaggregation - Section E '!A$313:A789,0)+1,1)&lt;&gt;0,INDEX(' Disaggregation - Section E '!F$313:F789,MATCH(C1061,' Disaggregation - Section E '!A$313:A789,0)+1,1),""),"")</f>
        <v/>
      </c>
      <c r="I1061" s="388" t="str">
        <f ca="1">IFERROR(IF(VLOOKUP(C1061,' Disaggregation - Section E '!A$313:J789,8,0)=0,"",VLOOKUP(C1061,' Disaggregation - Section E '!A$313:J789,8,0)),"")</f>
        <v/>
      </c>
      <c r="J1061" s="388" t="str">
        <f ca="1">IFERROR(IF(VLOOKUP(C1061,' Disaggregation - Section E '!A$313:J789,9,0)="","",VLOOKUP(C1061,' Disaggregation - Section E '!A$313:J789,9,0)),"")</f>
        <v/>
      </c>
      <c r="K1061" s="384" t="str">
        <f ca="1">IFERROR(VLOOKUP(C1061,' Disaggregation - Section E '!A$313:J789,3,0),"")</f>
        <v>HIV O-4.1b⁽ᴹ⁾ Percentage of transgender people reporting using a condom during their most recent sexual intercourse or anal sex</v>
      </c>
      <c r="L1061" s="388" t="str">
        <f ca="1">IFERROR(IF(VLOOKUP(C1061,' Disaggregation - Section E '!A$313:J789,10,0)="","",VLOOKUP(C1061,' Disaggregation - Section E '!A$313:J789,10,0)),"")</f>
        <v/>
      </c>
      <c r="M1061" s="385" t="str">
        <f ca="1">IFERROR(IF(VLOOKUP(C1061,' Disaggregation - Section E '!A$313:O493,15,0)=0,"",VLOOKUP(C1061,' Disaggregation - Section E '!A$313:O789,15,0)),"")</f>
        <v/>
      </c>
      <c r="N1061" s="384"/>
      <c r="O1061" s="384"/>
    </row>
    <row r="1062" spans="1:15" x14ac:dyDescent="0.3">
      <c r="A1062" s="384" t="b">
        <f t="shared" ca="1" si="129"/>
        <v>0</v>
      </c>
      <c r="B1062" s="384"/>
      <c r="C1062" s="400" t="str">
        <f ca="1">IF(COUNTA(O$885:O1062)=1,"",OFFSET(C1062,-COUNTA(O$885:O1062)+1,0))</f>
        <v>a1VDm000000PRb6MAG</v>
      </c>
      <c r="D1062" s="389"/>
      <c r="E1062" s="386" t="str">
        <f ca="1">IFERROR(IF(VLOOKUP(C1062,' Disaggregation - Section E '!A$313:J790,7,0)="","",VLOOKUP(C1062,' Disaggregation - Section E '!A$313:J790,7,0)*100),"")</f>
        <v/>
      </c>
      <c r="F1062" s="384"/>
      <c r="G1062" s="387" t="str">
        <f ca="1">IFERROR(IF(VLOOKUP(C1062,' Disaggregation - Section E '!A$313:J790,6,0)="","",VLOOKUP(C1062,' Disaggregation - Section E '!A$313:J790,6,0)),"")</f>
        <v/>
      </c>
      <c r="H1062" s="387" t="str">
        <f ca="1">IFERROR(IF(INDEX(' Disaggregation - Section E '!F$313:F790,MATCH(C1062,' Disaggregation - Section E '!A$313:A790,0)+1,1)&lt;&gt;0,INDEX(' Disaggregation - Section E '!F$313:F790,MATCH(C1062,' Disaggregation - Section E '!A$313:A790,0)+1,1),""),"")</f>
        <v/>
      </c>
      <c r="I1062" s="388" t="str">
        <f ca="1">IFERROR(IF(VLOOKUP(C1062,' Disaggregation - Section E '!A$313:J790,8,0)=0,"",VLOOKUP(C1062,' Disaggregation - Section E '!A$313:J790,8,0)),"")</f>
        <v/>
      </c>
      <c r="J1062" s="388" t="str">
        <f ca="1">IFERROR(IF(VLOOKUP(C1062,' Disaggregation - Section E '!A$313:J790,9,0)="","",VLOOKUP(C1062,' Disaggregation - Section E '!A$313:J790,9,0)),"")</f>
        <v/>
      </c>
      <c r="K1062" s="384" t="str">
        <f ca="1">IFERROR(VLOOKUP(C1062,' Disaggregation - Section E '!A$313:J790,3,0),"")</f>
        <v>HIV O-4.1b⁽ᴹ⁾ Percentage of transgender people reporting using a condom during their most recent sexual intercourse or anal sex</v>
      </c>
      <c r="L1062" s="388" t="str">
        <f ca="1">IFERROR(IF(VLOOKUP(C1062,' Disaggregation - Section E '!A$313:J790,10,0)="","",VLOOKUP(C1062,' Disaggregation - Section E '!A$313:J790,10,0)),"")</f>
        <v/>
      </c>
      <c r="M1062" s="385" t="str">
        <f ca="1">IFERROR(IF(VLOOKUP(C1062,' Disaggregation - Section E '!A$313:O494,15,0)=0,"",VLOOKUP(C1062,' Disaggregation - Section E '!A$313:O790,15,0)),"")</f>
        <v/>
      </c>
      <c r="N1062" s="384"/>
      <c r="O1062" s="384"/>
    </row>
    <row r="1063" spans="1:15" x14ac:dyDescent="0.3">
      <c r="A1063" s="384" t="b">
        <f t="shared" ca="1" si="129"/>
        <v>0</v>
      </c>
      <c r="B1063" s="384"/>
      <c r="C1063" s="400" t="str">
        <f ca="1">IF(COUNTA(O$885:O1063)=1,"",OFFSET(C1063,-COUNTA(O$885:O1063)+1,0))</f>
        <v>a1VDm000000PRb7MAG</v>
      </c>
      <c r="D1063" s="389"/>
      <c r="E1063" s="386" t="str">
        <f ca="1">IFERROR(IF(VLOOKUP(C1063,' Disaggregation - Section E '!A$313:J791,7,0)="","",VLOOKUP(C1063,' Disaggregation - Section E '!A$313:J791,7,0)*100),"")</f>
        <v/>
      </c>
      <c r="F1063" s="384"/>
      <c r="G1063" s="387" t="str">
        <f ca="1">IFERROR(IF(VLOOKUP(C1063,' Disaggregation - Section E '!A$313:J791,6,0)="","",VLOOKUP(C1063,' Disaggregation - Section E '!A$313:J791,6,0)),"")</f>
        <v/>
      </c>
      <c r="H1063" s="387" t="str">
        <f ca="1">IFERROR(IF(INDEX(' Disaggregation - Section E '!F$313:F791,MATCH(C1063,' Disaggregation - Section E '!A$313:A791,0)+1,1)&lt;&gt;0,INDEX(' Disaggregation - Section E '!F$313:F791,MATCH(C1063,' Disaggregation - Section E '!A$313:A791,0)+1,1),""),"")</f>
        <v/>
      </c>
      <c r="I1063" s="388" t="str">
        <f ca="1">IFERROR(IF(VLOOKUP(C1063,' Disaggregation - Section E '!A$313:J791,8,0)=0,"",VLOOKUP(C1063,' Disaggregation - Section E '!A$313:J791,8,0)),"")</f>
        <v/>
      </c>
      <c r="J1063" s="388" t="str">
        <f ca="1">IFERROR(IF(VLOOKUP(C1063,' Disaggregation - Section E '!A$313:J791,9,0)="","",VLOOKUP(C1063,' Disaggregation - Section E '!A$313:J791,9,0)),"")</f>
        <v/>
      </c>
      <c r="K1063" s="384" t="str">
        <f ca="1">IFERROR(VLOOKUP(C1063,' Disaggregation - Section E '!A$313:J791,3,0),"")</f>
        <v>HIV O-4.1b⁽ᴹ⁾ Percentage of transgender people reporting using a condom during their most recent sexual intercourse or anal sex</v>
      </c>
      <c r="L1063" s="388" t="str">
        <f ca="1">IFERROR(IF(VLOOKUP(C1063,' Disaggregation - Section E '!A$313:J791,10,0)="","",VLOOKUP(C1063,' Disaggregation - Section E '!A$313:J791,10,0)),"")</f>
        <v/>
      </c>
      <c r="M1063" s="385" t="str">
        <f ca="1">IFERROR(IF(VLOOKUP(C1063,' Disaggregation - Section E '!A$313:O495,15,0)=0,"",VLOOKUP(C1063,' Disaggregation - Section E '!A$313:O791,15,0)),"")</f>
        <v/>
      </c>
      <c r="N1063" s="384"/>
      <c r="O1063" s="384"/>
    </row>
    <row r="1064" spans="1:15" x14ac:dyDescent="0.3">
      <c r="A1064" s="384" t="b">
        <f t="shared" ca="1" si="129"/>
        <v>0</v>
      </c>
      <c r="B1064" s="384"/>
      <c r="C1064" s="400" t="str">
        <f ca="1">IF(COUNTA(O$885:O1064)=1,"",OFFSET(C1064,-COUNTA(O$885:O1064)+1,0))</f>
        <v>a1VDm000000PRb8MAG</v>
      </c>
      <c r="D1064" s="389"/>
      <c r="E1064" s="386" t="str">
        <f ca="1">IFERROR(IF(VLOOKUP(C1064,' Disaggregation - Section E '!A$313:J792,7,0)="","",VLOOKUP(C1064,' Disaggregation - Section E '!A$313:J792,7,0)*100),"")</f>
        <v/>
      </c>
      <c r="F1064" s="384"/>
      <c r="G1064" s="387" t="str">
        <f ca="1">IFERROR(IF(VLOOKUP(C1064,' Disaggregation - Section E '!A$313:J792,6,0)="","",VLOOKUP(C1064,' Disaggregation - Section E '!A$313:J792,6,0)),"")</f>
        <v/>
      </c>
      <c r="H1064" s="387" t="str">
        <f ca="1">IFERROR(IF(INDEX(' Disaggregation - Section E '!F$313:F792,MATCH(C1064,' Disaggregation - Section E '!A$313:A792,0)+1,1)&lt;&gt;0,INDEX(' Disaggregation - Section E '!F$313:F792,MATCH(C1064,' Disaggregation - Section E '!A$313:A792,0)+1,1),""),"")</f>
        <v/>
      </c>
      <c r="I1064" s="388" t="str">
        <f ca="1">IFERROR(IF(VLOOKUP(C1064,' Disaggregation - Section E '!A$313:J792,8,0)=0,"",VLOOKUP(C1064,' Disaggregation - Section E '!A$313:J792,8,0)),"")</f>
        <v/>
      </c>
      <c r="J1064" s="388" t="str">
        <f ca="1">IFERROR(IF(VLOOKUP(C1064,' Disaggregation - Section E '!A$313:J792,9,0)="","",VLOOKUP(C1064,' Disaggregation - Section E '!A$313:J792,9,0)),"")</f>
        <v/>
      </c>
      <c r="K1064" s="384" t="str">
        <f ca="1">IFERROR(VLOOKUP(C1064,' Disaggregation - Section E '!A$313:J792,3,0),"")</f>
        <v>HIV O-4.1b⁽ᴹ⁾ Percentage of transgender people reporting using a condom during their most recent sexual intercourse or anal sex</v>
      </c>
      <c r="L1064" s="388" t="str">
        <f ca="1">IFERROR(IF(VLOOKUP(C1064,' Disaggregation - Section E '!A$313:J792,10,0)="","",VLOOKUP(C1064,' Disaggregation - Section E '!A$313:J792,10,0)),"")</f>
        <v/>
      </c>
      <c r="M1064" s="385" t="str">
        <f ca="1">IFERROR(IF(VLOOKUP(C1064,' Disaggregation - Section E '!A$313:O496,15,0)=0,"",VLOOKUP(C1064,' Disaggregation - Section E '!A$313:O792,15,0)),"")</f>
        <v/>
      </c>
      <c r="N1064" s="384"/>
      <c r="O1064" s="384"/>
    </row>
    <row r="1065" spans="1:15" x14ac:dyDescent="0.3">
      <c r="A1065" s="384" t="b">
        <f t="shared" ca="1" si="129"/>
        <v>0</v>
      </c>
      <c r="B1065" s="384"/>
      <c r="C1065" s="400" t="str">
        <f ca="1">IF(COUNTA(O$885:O1065)=1,"",OFFSET(C1065,-COUNTA(O$885:O1065)+1,0))</f>
        <v>a1VDm000000PRb9MAG</v>
      </c>
      <c r="D1065" s="389"/>
      <c r="E1065" s="386" t="str">
        <f ca="1">IFERROR(IF(VLOOKUP(C1065,' Disaggregation - Section E '!A$313:J793,7,0)="","",VLOOKUP(C1065,' Disaggregation - Section E '!A$313:J793,7,0)*100),"")</f>
        <v/>
      </c>
      <c r="F1065" s="384"/>
      <c r="G1065" s="387" t="str">
        <f ca="1">IFERROR(IF(VLOOKUP(C1065,' Disaggregation - Section E '!A$313:J793,6,0)="","",VLOOKUP(C1065,' Disaggregation - Section E '!A$313:J793,6,0)),"")</f>
        <v/>
      </c>
      <c r="H1065" s="387" t="str">
        <f ca="1">IFERROR(IF(INDEX(' Disaggregation - Section E '!F$313:F793,MATCH(C1065,' Disaggregation - Section E '!A$313:A793,0)+1,1)&lt;&gt;0,INDEX(' Disaggregation - Section E '!F$313:F793,MATCH(C1065,' Disaggregation - Section E '!A$313:A793,0)+1,1),""),"")</f>
        <v/>
      </c>
      <c r="I1065" s="388" t="str">
        <f ca="1">IFERROR(IF(VLOOKUP(C1065,' Disaggregation - Section E '!A$313:J793,8,0)=0,"",VLOOKUP(C1065,' Disaggregation - Section E '!A$313:J793,8,0)),"")</f>
        <v/>
      </c>
      <c r="J1065" s="388" t="str">
        <f ca="1">IFERROR(IF(VLOOKUP(C1065,' Disaggregation - Section E '!A$313:J793,9,0)="","",VLOOKUP(C1065,' Disaggregation - Section E '!A$313:J793,9,0)),"")</f>
        <v/>
      </c>
      <c r="K1065" s="384" t="str">
        <f ca="1">IFERROR(VLOOKUP(C1065,' Disaggregation - Section E '!A$313:J793,3,0),"")</f>
        <v>HIV O-4.1b⁽ᴹ⁾ Percentage of transgender people reporting using a condom during their most recent sexual intercourse or anal sex</v>
      </c>
      <c r="L1065" s="388" t="str">
        <f ca="1">IFERROR(IF(VLOOKUP(C1065,' Disaggregation - Section E '!A$313:J793,10,0)="","",VLOOKUP(C1065,' Disaggregation - Section E '!A$313:J793,10,0)),"")</f>
        <v/>
      </c>
      <c r="M1065" s="385" t="str">
        <f ca="1">IFERROR(IF(VLOOKUP(C1065,' Disaggregation - Section E '!A$313:O497,15,0)=0,"",VLOOKUP(C1065,' Disaggregation - Section E '!A$313:O793,15,0)),"")</f>
        <v/>
      </c>
      <c r="N1065" s="384"/>
      <c r="O1065" s="384"/>
    </row>
    <row r="1066" spans="1:15" x14ac:dyDescent="0.3">
      <c r="A1066" s="384" t="b">
        <f t="shared" ca="1" si="129"/>
        <v>0</v>
      </c>
      <c r="B1066" s="384"/>
      <c r="C1066" s="400" t="str">
        <f ca="1">IF(COUNTA(O$885:O1066)=1,"",OFFSET(C1066,-COUNTA(O$885:O1066)+1,0))</f>
        <v>a1VDm000000PRbAMAW</v>
      </c>
      <c r="D1066" s="389"/>
      <c r="E1066" s="386" t="str">
        <f ca="1">IFERROR(IF(VLOOKUP(C1066,' Disaggregation - Section E '!A$313:J794,7,0)="","",VLOOKUP(C1066,' Disaggregation - Section E '!A$313:J794,7,0)*100),"")</f>
        <v/>
      </c>
      <c r="F1066" s="384"/>
      <c r="G1066" s="387" t="str">
        <f ca="1">IFERROR(IF(VLOOKUP(C1066,' Disaggregation - Section E '!A$313:J794,6,0)="","",VLOOKUP(C1066,' Disaggregation - Section E '!A$313:J794,6,0)),"")</f>
        <v/>
      </c>
      <c r="H1066" s="387" t="str">
        <f ca="1">IFERROR(IF(INDEX(' Disaggregation - Section E '!F$313:F794,MATCH(C1066,' Disaggregation - Section E '!A$313:A794,0)+1,1)&lt;&gt;0,INDEX(' Disaggregation - Section E '!F$313:F794,MATCH(C1066,' Disaggregation - Section E '!A$313:A794,0)+1,1),""),"")</f>
        <v/>
      </c>
      <c r="I1066" s="388" t="str">
        <f ca="1">IFERROR(IF(VLOOKUP(C1066,' Disaggregation - Section E '!A$313:J794,8,0)=0,"",VLOOKUP(C1066,' Disaggregation - Section E '!A$313:J794,8,0)),"")</f>
        <v/>
      </c>
      <c r="J1066" s="388" t="str">
        <f ca="1">IFERROR(IF(VLOOKUP(C1066,' Disaggregation - Section E '!A$313:J794,9,0)="","",VLOOKUP(C1066,' Disaggregation - Section E '!A$313:J794,9,0)),"")</f>
        <v/>
      </c>
      <c r="K1066" s="384" t="str">
        <f ca="1">IFERROR(VLOOKUP(C1066,' Disaggregation - Section E '!A$313:J794,3,0),"")</f>
        <v>HIV O-4.1b⁽ᴹ⁾ Percentage of transgender people reporting using a condom during their most recent sexual intercourse or anal sex</v>
      </c>
      <c r="L1066" s="388" t="str">
        <f ca="1">IFERROR(IF(VLOOKUP(C1066,' Disaggregation - Section E '!A$313:J794,10,0)="","",VLOOKUP(C1066,' Disaggregation - Section E '!A$313:J794,10,0)),"")</f>
        <v/>
      </c>
      <c r="M1066" s="385" t="str">
        <f ca="1">IFERROR(IF(VLOOKUP(C1066,' Disaggregation - Section E '!A$313:O498,15,0)=0,"",VLOOKUP(C1066,' Disaggregation - Section E '!A$313:O794,15,0)),"")</f>
        <v/>
      </c>
      <c r="N1066" s="384"/>
      <c r="O1066" s="384"/>
    </row>
    <row r="1067" spans="1:15" x14ac:dyDescent="0.3">
      <c r="A1067" s="384" t="b">
        <f t="shared" ca="1" si="129"/>
        <v>0</v>
      </c>
      <c r="B1067" s="384"/>
      <c r="C1067" s="400" t="str">
        <f ca="1">IF(COUNTA(O$885:O1067)=1,"",OFFSET(C1067,-COUNTA(O$885:O1067)+1,0))</f>
        <v>a1VDm000000PRbBMAW</v>
      </c>
      <c r="D1067" s="389"/>
      <c r="E1067" s="386" t="str">
        <f ca="1">IFERROR(IF(VLOOKUP(C1067,' Disaggregation - Section E '!A$313:J795,7,0)="","",VLOOKUP(C1067,' Disaggregation - Section E '!A$313:J795,7,0)*100),"")</f>
        <v/>
      </c>
      <c r="F1067" s="384"/>
      <c r="G1067" s="387" t="str">
        <f ca="1">IFERROR(IF(VLOOKUP(C1067,' Disaggregation - Section E '!A$313:J795,6,0)="","",VLOOKUP(C1067,' Disaggregation - Section E '!A$313:J795,6,0)),"")</f>
        <v/>
      </c>
      <c r="H1067" s="387" t="str">
        <f ca="1">IFERROR(IF(INDEX(' Disaggregation - Section E '!F$313:F795,MATCH(C1067,' Disaggregation - Section E '!A$313:A795,0)+1,1)&lt;&gt;0,INDEX(' Disaggregation - Section E '!F$313:F795,MATCH(C1067,' Disaggregation - Section E '!A$313:A795,0)+1,1),""),"")</f>
        <v/>
      </c>
      <c r="I1067" s="388" t="str">
        <f ca="1">IFERROR(IF(VLOOKUP(C1067,' Disaggregation - Section E '!A$313:J795,8,0)=0,"",VLOOKUP(C1067,' Disaggregation - Section E '!A$313:J795,8,0)),"")</f>
        <v/>
      </c>
      <c r="J1067" s="388" t="str">
        <f ca="1">IFERROR(IF(VLOOKUP(C1067,' Disaggregation - Section E '!A$313:J795,9,0)="","",VLOOKUP(C1067,' Disaggregation - Section E '!A$313:J795,9,0)),"")</f>
        <v/>
      </c>
      <c r="K1067" s="384" t="str">
        <f ca="1">IFERROR(VLOOKUP(C1067,' Disaggregation - Section E '!A$313:J795,3,0),"")</f>
        <v>HIV O-6⁽ᴹ⁾ Percentage of people who inject drugs reporting using sterile injecting equipment the last time they injected</v>
      </c>
      <c r="L1067" s="388" t="str">
        <f ca="1">IFERROR(IF(VLOOKUP(C1067,' Disaggregation - Section E '!A$313:J795,10,0)="","",VLOOKUP(C1067,' Disaggregation - Section E '!A$313:J795,10,0)),"")</f>
        <v/>
      </c>
      <c r="M1067" s="385" t="str">
        <f ca="1">IFERROR(IF(VLOOKUP(C1067,' Disaggregation - Section E '!A$313:O499,15,0)=0,"",VLOOKUP(C1067,' Disaggregation - Section E '!A$313:O795,15,0)),"")</f>
        <v/>
      </c>
      <c r="N1067" s="384"/>
      <c r="O1067" s="384"/>
    </row>
    <row r="1068" spans="1:15" x14ac:dyDescent="0.3">
      <c r="A1068" s="384" t="b">
        <f t="shared" ca="1" si="129"/>
        <v>0</v>
      </c>
      <c r="B1068" s="384"/>
      <c r="C1068" s="400" t="str">
        <f ca="1">IF(COUNTA(O$885:O1068)=1,"",OFFSET(C1068,-COUNTA(O$885:O1068)+1,0))</f>
        <v>a1VDm000000PRbCMAW</v>
      </c>
      <c r="D1068" s="389"/>
      <c r="E1068" s="386" t="str">
        <f ca="1">IFERROR(IF(VLOOKUP(C1068,' Disaggregation - Section E '!A$313:J796,7,0)="","",VLOOKUP(C1068,' Disaggregation - Section E '!A$313:J796,7,0)*100),"")</f>
        <v/>
      </c>
      <c r="F1068" s="384"/>
      <c r="G1068" s="387" t="str">
        <f ca="1">IFERROR(IF(VLOOKUP(C1068,' Disaggregation - Section E '!A$313:J796,6,0)="","",VLOOKUP(C1068,' Disaggregation - Section E '!A$313:J796,6,0)),"")</f>
        <v/>
      </c>
      <c r="H1068" s="387" t="str">
        <f ca="1">IFERROR(IF(INDEX(' Disaggregation - Section E '!F$313:F796,MATCH(C1068,' Disaggregation - Section E '!A$313:A796,0)+1,1)&lt;&gt;0,INDEX(' Disaggregation - Section E '!F$313:F796,MATCH(C1068,' Disaggregation - Section E '!A$313:A796,0)+1,1),""),"")</f>
        <v/>
      </c>
      <c r="I1068" s="388" t="str">
        <f ca="1">IFERROR(IF(VLOOKUP(C1068,' Disaggregation - Section E '!A$313:J796,8,0)=0,"",VLOOKUP(C1068,' Disaggregation - Section E '!A$313:J796,8,0)),"")</f>
        <v/>
      </c>
      <c r="J1068" s="388" t="str">
        <f ca="1">IFERROR(IF(VLOOKUP(C1068,' Disaggregation - Section E '!A$313:J796,9,0)="","",VLOOKUP(C1068,' Disaggregation - Section E '!A$313:J796,9,0)),"")</f>
        <v/>
      </c>
      <c r="K1068" s="384" t="str">
        <f ca="1">IFERROR(VLOOKUP(C1068,' Disaggregation - Section E '!A$313:J796,3,0),"")</f>
        <v>HIV O-6⁽ᴹ⁾ Percentage of people who inject drugs reporting using sterile injecting equipment the last time they injected</v>
      </c>
      <c r="L1068" s="388" t="str">
        <f ca="1">IFERROR(IF(VLOOKUP(C1068,' Disaggregation - Section E '!A$313:J796,10,0)="","",VLOOKUP(C1068,' Disaggregation - Section E '!A$313:J796,10,0)),"")</f>
        <v/>
      </c>
      <c r="M1068" s="385" t="str">
        <f ca="1">IFERROR(IF(VLOOKUP(C1068,' Disaggregation - Section E '!A$313:O500,15,0)=0,"",VLOOKUP(C1068,' Disaggregation - Section E '!A$313:O796,15,0)),"")</f>
        <v/>
      </c>
      <c r="N1068" s="384"/>
      <c r="O1068" s="384"/>
    </row>
    <row r="1069" spans="1:15" x14ac:dyDescent="0.3">
      <c r="A1069" s="384" t="b">
        <f t="shared" ca="1" si="129"/>
        <v>0</v>
      </c>
      <c r="B1069" s="384"/>
      <c r="C1069" s="400" t="str">
        <f ca="1">IF(COUNTA(O$885:O1069)=1,"",OFFSET(C1069,-COUNTA(O$885:O1069)+1,0))</f>
        <v>a1VDm000000PRbDMAW</v>
      </c>
      <c r="D1069" s="389"/>
      <c r="E1069" s="386" t="str">
        <f ca="1">IFERROR(IF(VLOOKUP(C1069,' Disaggregation - Section E '!A$313:J797,7,0)="","",VLOOKUP(C1069,' Disaggregation - Section E '!A$313:J797,7,0)*100),"")</f>
        <v/>
      </c>
      <c r="F1069" s="384"/>
      <c r="G1069" s="387" t="str">
        <f ca="1">IFERROR(IF(VLOOKUP(C1069,' Disaggregation - Section E '!A$313:J797,6,0)="","",VLOOKUP(C1069,' Disaggregation - Section E '!A$313:J797,6,0)),"")</f>
        <v/>
      </c>
      <c r="H1069" s="387" t="str">
        <f ca="1">IFERROR(IF(INDEX(' Disaggregation - Section E '!F$313:F797,MATCH(C1069,' Disaggregation - Section E '!A$313:A797,0)+1,1)&lt;&gt;0,INDEX(' Disaggregation - Section E '!F$313:F797,MATCH(C1069,' Disaggregation - Section E '!A$313:A797,0)+1,1),""),"")</f>
        <v/>
      </c>
      <c r="I1069" s="388" t="str">
        <f ca="1">IFERROR(IF(VLOOKUP(C1069,' Disaggregation - Section E '!A$313:J797,8,0)=0,"",VLOOKUP(C1069,' Disaggregation - Section E '!A$313:J797,8,0)),"")</f>
        <v/>
      </c>
      <c r="J1069" s="388" t="str">
        <f ca="1">IFERROR(IF(VLOOKUP(C1069,' Disaggregation - Section E '!A$313:J797,9,0)="","",VLOOKUP(C1069,' Disaggregation - Section E '!A$313:J797,9,0)),"")</f>
        <v/>
      </c>
      <c r="K1069" s="384" t="str">
        <f ca="1">IFERROR(VLOOKUP(C1069,' Disaggregation - Section E '!A$313:J797,3,0),"")</f>
        <v>HIV O-6⁽ᴹ⁾ Percentage of people who inject drugs reporting using sterile injecting equipment the last time they injected</v>
      </c>
      <c r="L1069" s="388" t="str">
        <f ca="1">IFERROR(IF(VLOOKUP(C1069,' Disaggregation - Section E '!A$313:J797,10,0)="","",VLOOKUP(C1069,' Disaggregation - Section E '!A$313:J797,10,0)),"")</f>
        <v/>
      </c>
      <c r="M1069" s="385" t="str">
        <f ca="1">IFERROR(IF(VLOOKUP(C1069,' Disaggregation - Section E '!A$313:O501,15,0)=0,"",VLOOKUP(C1069,' Disaggregation - Section E '!A$313:O797,15,0)),"")</f>
        <v/>
      </c>
      <c r="N1069" s="384"/>
      <c r="O1069" s="384"/>
    </row>
    <row r="1070" spans="1:15" x14ac:dyDescent="0.3">
      <c r="A1070" s="384" t="b">
        <f t="shared" ca="1" si="129"/>
        <v>0</v>
      </c>
      <c r="B1070" s="384"/>
      <c r="C1070" s="400" t="str">
        <f ca="1">IF(COUNTA(O$885:O1070)=1,"",OFFSET(C1070,-COUNTA(O$885:O1070)+1,0))</f>
        <v>a1VDm000000PRbEMAW</v>
      </c>
      <c r="D1070" s="389"/>
      <c r="E1070" s="386" t="str">
        <f ca="1">IFERROR(IF(VLOOKUP(C1070,' Disaggregation - Section E '!A$313:J798,7,0)="","",VLOOKUP(C1070,' Disaggregation - Section E '!A$313:J798,7,0)*100),"")</f>
        <v/>
      </c>
      <c r="F1070" s="384"/>
      <c r="G1070" s="387" t="str">
        <f ca="1">IFERROR(IF(VLOOKUP(C1070,' Disaggregation - Section E '!A$313:J798,6,0)="","",VLOOKUP(C1070,' Disaggregation - Section E '!A$313:J798,6,0)),"")</f>
        <v/>
      </c>
      <c r="H1070" s="387" t="str">
        <f ca="1">IFERROR(IF(INDEX(' Disaggregation - Section E '!F$313:F798,MATCH(C1070,' Disaggregation - Section E '!A$313:A798,0)+1,1)&lt;&gt;0,INDEX(' Disaggregation - Section E '!F$313:F798,MATCH(C1070,' Disaggregation - Section E '!A$313:A798,0)+1,1),""),"")</f>
        <v/>
      </c>
      <c r="I1070" s="388" t="str">
        <f ca="1">IFERROR(IF(VLOOKUP(C1070,' Disaggregation - Section E '!A$313:J798,8,0)=0,"",VLOOKUP(C1070,' Disaggregation - Section E '!A$313:J798,8,0)),"")</f>
        <v/>
      </c>
      <c r="J1070" s="388" t="str">
        <f ca="1">IFERROR(IF(VLOOKUP(C1070,' Disaggregation - Section E '!A$313:J798,9,0)="","",VLOOKUP(C1070,' Disaggregation - Section E '!A$313:J798,9,0)),"")</f>
        <v/>
      </c>
      <c r="K1070" s="384" t="str">
        <f ca="1">IFERROR(VLOOKUP(C1070,' Disaggregation - Section E '!A$313:J798,3,0),"")</f>
        <v>HIV O-6⁽ᴹ⁾ Percentage of people who inject drugs reporting using sterile injecting equipment the last time they injected</v>
      </c>
      <c r="L1070" s="388" t="str">
        <f ca="1">IFERROR(IF(VLOOKUP(C1070,' Disaggregation - Section E '!A$313:J798,10,0)="","",VLOOKUP(C1070,' Disaggregation - Section E '!A$313:J798,10,0)),"")</f>
        <v/>
      </c>
      <c r="M1070" s="385" t="str">
        <f ca="1">IFERROR(IF(VLOOKUP(C1070,' Disaggregation - Section E '!A$313:O502,15,0)=0,"",VLOOKUP(C1070,' Disaggregation - Section E '!A$313:O798,15,0)),"")</f>
        <v/>
      </c>
      <c r="N1070" s="384"/>
      <c r="O1070" s="384"/>
    </row>
    <row r="1071" spans="1:15" x14ac:dyDescent="0.3">
      <c r="A1071" s="384" t="b">
        <f t="shared" ca="1" si="129"/>
        <v>0</v>
      </c>
      <c r="B1071" s="384"/>
      <c r="C1071" s="400" t="str">
        <f ca="1">IF(COUNTA(O$885:O1071)=1,"",OFFSET(C1071,-COUNTA(O$885:O1071)+1,0))</f>
        <v>a1VDm000000PRbFMAW</v>
      </c>
      <c r="D1071" s="389"/>
      <c r="E1071" s="386" t="str">
        <f ca="1">IFERROR(IF(VLOOKUP(C1071,' Disaggregation - Section E '!A$313:J799,7,0)="","",VLOOKUP(C1071,' Disaggregation - Section E '!A$313:J799,7,0)*100),"")</f>
        <v/>
      </c>
      <c r="F1071" s="384"/>
      <c r="G1071" s="387" t="str">
        <f ca="1">IFERROR(IF(VLOOKUP(C1071,' Disaggregation - Section E '!A$313:J799,6,0)="","",VLOOKUP(C1071,' Disaggregation - Section E '!A$313:J799,6,0)),"")</f>
        <v/>
      </c>
      <c r="H1071" s="387" t="str">
        <f ca="1">IFERROR(IF(INDEX(' Disaggregation - Section E '!F$313:F799,MATCH(C1071,' Disaggregation - Section E '!A$313:A799,0)+1,1)&lt;&gt;0,INDEX(' Disaggregation - Section E '!F$313:F799,MATCH(C1071,' Disaggregation - Section E '!A$313:A799,0)+1,1),""),"")</f>
        <v/>
      </c>
      <c r="I1071" s="388" t="str">
        <f ca="1">IFERROR(IF(VLOOKUP(C1071,' Disaggregation - Section E '!A$313:J799,8,0)=0,"",VLOOKUP(C1071,' Disaggregation - Section E '!A$313:J799,8,0)),"")</f>
        <v/>
      </c>
      <c r="J1071" s="388" t="str">
        <f ca="1">IFERROR(IF(VLOOKUP(C1071,' Disaggregation - Section E '!A$313:J799,9,0)="","",VLOOKUP(C1071,' Disaggregation - Section E '!A$313:J799,9,0)),"")</f>
        <v/>
      </c>
      <c r="K1071" s="384" t="str">
        <f ca="1">IFERROR(VLOOKUP(C1071,' Disaggregation - Section E '!A$313:J799,3,0),"")</f>
        <v>HIV O-6⁽ᴹ⁾ Percentage of people who inject drugs reporting using sterile injecting equipment the last time they injected</v>
      </c>
      <c r="L1071" s="388" t="str">
        <f ca="1">IFERROR(IF(VLOOKUP(C1071,' Disaggregation - Section E '!A$313:J799,10,0)="","",VLOOKUP(C1071,' Disaggregation - Section E '!A$313:J799,10,0)),"")</f>
        <v/>
      </c>
      <c r="M1071" s="385" t="str">
        <f ca="1">IFERROR(IF(VLOOKUP(C1071,' Disaggregation - Section E '!A$313:O503,15,0)=0,"",VLOOKUP(C1071,' Disaggregation - Section E '!A$313:O799,15,0)),"")</f>
        <v/>
      </c>
      <c r="N1071" s="384"/>
      <c r="O1071" s="384"/>
    </row>
    <row r="1072" spans="1:15" x14ac:dyDescent="0.3">
      <c r="A1072" s="384" t="b">
        <f t="shared" ca="1" si="129"/>
        <v>0</v>
      </c>
      <c r="B1072" s="384"/>
      <c r="C1072" s="400" t="str">
        <f ca="1">IF(COUNTA(O$885:O1072)=1,"",OFFSET(C1072,-COUNTA(O$885:O1072)+1,0))</f>
        <v>a1VDm000000PRbGMAW</v>
      </c>
      <c r="D1072" s="389"/>
      <c r="E1072" s="386" t="str">
        <f ca="1">IFERROR(IF(VLOOKUP(C1072,' Disaggregation - Section E '!A$313:J800,7,0)="","",VLOOKUP(C1072,' Disaggregation - Section E '!A$313:J800,7,0)*100),"")</f>
        <v/>
      </c>
      <c r="F1072" s="384"/>
      <c r="G1072" s="387" t="str">
        <f ca="1">IFERROR(IF(VLOOKUP(C1072,' Disaggregation - Section E '!A$313:J800,6,0)="","",VLOOKUP(C1072,' Disaggregation - Section E '!A$313:J800,6,0)),"")</f>
        <v/>
      </c>
      <c r="H1072" s="387" t="str">
        <f ca="1">IFERROR(IF(INDEX(' Disaggregation - Section E '!F$313:F800,MATCH(C1072,' Disaggregation - Section E '!A$313:A800,0)+1,1)&lt;&gt;0,INDEX(' Disaggregation - Section E '!F$313:F800,MATCH(C1072,' Disaggregation - Section E '!A$313:A800,0)+1,1),""),"")</f>
        <v/>
      </c>
      <c r="I1072" s="388" t="str">
        <f ca="1">IFERROR(IF(VLOOKUP(C1072,' Disaggregation - Section E '!A$313:J800,8,0)=0,"",VLOOKUP(C1072,' Disaggregation - Section E '!A$313:J800,8,0)),"")</f>
        <v/>
      </c>
      <c r="J1072" s="388" t="str">
        <f ca="1">IFERROR(IF(VLOOKUP(C1072,' Disaggregation - Section E '!A$313:J800,9,0)="","",VLOOKUP(C1072,' Disaggregation - Section E '!A$313:J800,9,0)),"")</f>
        <v/>
      </c>
      <c r="K1072" s="384" t="str">
        <f ca="1">IFERROR(VLOOKUP(C1072,' Disaggregation - Section E '!A$313:J800,3,0),"")</f>
        <v>HIV O-6⁽ᴹ⁾ Percentage of people who inject drugs reporting using sterile injecting equipment the last time they injected</v>
      </c>
      <c r="L1072" s="388" t="str">
        <f ca="1">IFERROR(IF(VLOOKUP(C1072,' Disaggregation - Section E '!A$313:J800,10,0)="","",VLOOKUP(C1072,' Disaggregation - Section E '!A$313:J800,10,0)),"")</f>
        <v/>
      </c>
      <c r="M1072" s="385" t="str">
        <f ca="1">IFERROR(IF(VLOOKUP(C1072,' Disaggregation - Section E '!A$313:O504,15,0)=0,"",VLOOKUP(C1072,' Disaggregation - Section E '!A$313:O800,15,0)),"")</f>
        <v/>
      </c>
      <c r="N1072" s="384"/>
      <c r="O1072" s="384"/>
    </row>
    <row r="1073" spans="1:15" x14ac:dyDescent="0.3">
      <c r="A1073" s="384" t="b">
        <f t="shared" ca="1" si="129"/>
        <v>0</v>
      </c>
      <c r="B1073" s="384"/>
      <c r="C1073" s="400" t="str">
        <f ca="1">IF(COUNTA(O$885:O1073)=1,"",OFFSET(C1073,-COUNTA(O$885:O1073)+1,0))</f>
        <v>a1VDm000000PRbHMAW</v>
      </c>
      <c r="D1073" s="389"/>
      <c r="E1073" s="386" t="str">
        <f ca="1">IFERROR(IF(VLOOKUP(C1073,' Disaggregation - Section E '!A$313:J801,7,0)="","",VLOOKUP(C1073,' Disaggregation - Section E '!A$313:J801,7,0)*100),"")</f>
        <v/>
      </c>
      <c r="F1073" s="384"/>
      <c r="G1073" s="387" t="str">
        <f ca="1">IFERROR(IF(VLOOKUP(C1073,' Disaggregation - Section E '!A$313:J801,6,0)="","",VLOOKUP(C1073,' Disaggregation - Section E '!A$313:J801,6,0)),"")</f>
        <v/>
      </c>
      <c r="H1073" s="387" t="str">
        <f ca="1">IFERROR(IF(INDEX(' Disaggregation - Section E '!F$313:F801,MATCH(C1073,' Disaggregation - Section E '!A$313:A801,0)+1,1)&lt;&gt;0,INDEX(' Disaggregation - Section E '!F$313:F801,MATCH(C1073,' Disaggregation - Section E '!A$313:A801,0)+1,1),""),"")</f>
        <v/>
      </c>
      <c r="I1073" s="388" t="str">
        <f ca="1">IFERROR(IF(VLOOKUP(C1073,' Disaggregation - Section E '!A$313:J801,8,0)=0,"",VLOOKUP(C1073,' Disaggregation - Section E '!A$313:J801,8,0)),"")</f>
        <v/>
      </c>
      <c r="J1073" s="388" t="str">
        <f ca="1">IFERROR(IF(VLOOKUP(C1073,' Disaggregation - Section E '!A$313:J801,9,0)="","",VLOOKUP(C1073,' Disaggregation - Section E '!A$313:J801,9,0)),"")</f>
        <v/>
      </c>
      <c r="K1073" s="384" t="str">
        <f ca="1">IFERROR(VLOOKUP(C1073,' Disaggregation - Section E '!A$313:J801,3,0),"")</f>
        <v>HIV O-6⁽ᴹ⁾ Percentage of people who inject drugs reporting using sterile injecting equipment the last time they injected</v>
      </c>
      <c r="L1073" s="388" t="str">
        <f ca="1">IFERROR(IF(VLOOKUP(C1073,' Disaggregation - Section E '!A$313:J801,10,0)="","",VLOOKUP(C1073,' Disaggregation - Section E '!A$313:J801,10,0)),"")</f>
        <v/>
      </c>
      <c r="M1073" s="385" t="str">
        <f ca="1">IFERROR(IF(VLOOKUP(C1073,' Disaggregation - Section E '!A$313:O505,15,0)=0,"",VLOOKUP(C1073,' Disaggregation - Section E '!A$313:O801,15,0)),"")</f>
        <v/>
      </c>
      <c r="N1073" s="384"/>
      <c r="O1073" s="384"/>
    </row>
    <row r="1074" spans="1:15" x14ac:dyDescent="0.3">
      <c r="A1074" s="384" t="b">
        <f t="shared" ca="1" si="129"/>
        <v>0</v>
      </c>
      <c r="B1074" s="384"/>
      <c r="C1074" s="400" t="str">
        <f ca="1">IF(COUNTA(O$885:O1074)=1,"",OFFSET(C1074,-COUNTA(O$885:O1074)+1,0))</f>
        <v>a1VDm000000PRbIMAW</v>
      </c>
      <c r="D1074" s="389"/>
      <c r="E1074" s="386" t="str">
        <f ca="1">IFERROR(IF(VLOOKUP(C1074,' Disaggregation - Section E '!A$313:J802,7,0)="","",VLOOKUP(C1074,' Disaggregation - Section E '!A$313:J802,7,0)*100),"")</f>
        <v/>
      </c>
      <c r="F1074" s="384"/>
      <c r="G1074" s="387" t="str">
        <f ca="1">IFERROR(IF(VLOOKUP(C1074,' Disaggregation - Section E '!A$313:J802,6,0)="","",VLOOKUP(C1074,' Disaggregation - Section E '!A$313:J802,6,0)),"")</f>
        <v/>
      </c>
      <c r="H1074" s="387" t="str">
        <f ca="1">IFERROR(IF(INDEX(' Disaggregation - Section E '!F$313:F802,MATCH(C1074,' Disaggregation - Section E '!A$313:A802,0)+1,1)&lt;&gt;0,INDEX(' Disaggregation - Section E '!F$313:F802,MATCH(C1074,' Disaggregation - Section E '!A$313:A802,0)+1,1),""),"")</f>
        <v/>
      </c>
      <c r="I1074" s="388" t="str">
        <f ca="1">IFERROR(IF(VLOOKUP(C1074,' Disaggregation - Section E '!A$313:J802,8,0)=0,"",VLOOKUP(C1074,' Disaggregation - Section E '!A$313:J802,8,0)),"")</f>
        <v/>
      </c>
      <c r="J1074" s="388" t="str">
        <f ca="1">IFERROR(IF(VLOOKUP(C1074,' Disaggregation - Section E '!A$313:J802,9,0)="","",VLOOKUP(C1074,' Disaggregation - Section E '!A$313:J802,9,0)),"")</f>
        <v/>
      </c>
      <c r="K1074" s="384" t="str">
        <f ca="1">IFERROR(VLOOKUP(C1074,' Disaggregation - Section E '!A$313:J802,3,0),"")</f>
        <v>HIV O-6⁽ᴹ⁾ Percentage of people who inject drugs reporting using sterile injecting equipment the last time they injected</v>
      </c>
      <c r="L1074" s="388" t="str">
        <f ca="1">IFERROR(IF(VLOOKUP(C1074,' Disaggregation - Section E '!A$313:J802,10,0)="","",VLOOKUP(C1074,' Disaggregation - Section E '!A$313:J802,10,0)),"")</f>
        <v/>
      </c>
      <c r="M1074" s="385" t="str">
        <f ca="1">IFERROR(IF(VLOOKUP(C1074,' Disaggregation - Section E '!A$313:O506,15,0)=0,"",VLOOKUP(C1074,' Disaggregation - Section E '!A$313:O802,15,0)),"")</f>
        <v/>
      </c>
      <c r="N1074" s="384"/>
      <c r="O1074" s="384"/>
    </row>
    <row r="1075" spans="1:15" x14ac:dyDescent="0.3">
      <c r="A1075" s="384" t="b">
        <f t="shared" ca="1" si="129"/>
        <v>0</v>
      </c>
      <c r="B1075" s="384"/>
      <c r="C1075" s="400" t="str">
        <f ca="1">IF(COUNTA(O$885:O1075)=1,"",OFFSET(C1075,-COUNTA(O$885:O1075)+1,0))</f>
        <v>a1VDm000000PRbJMAW</v>
      </c>
      <c r="D1075" s="389"/>
      <c r="E1075" s="386" t="str">
        <f ca="1">IFERROR(IF(VLOOKUP(C1075,' Disaggregation - Section E '!A$313:J803,7,0)="","",VLOOKUP(C1075,' Disaggregation - Section E '!A$313:J803,7,0)*100),"")</f>
        <v/>
      </c>
      <c r="F1075" s="384"/>
      <c r="G1075" s="387" t="str">
        <f ca="1">IFERROR(IF(VLOOKUP(C1075,' Disaggregation - Section E '!A$313:J803,6,0)="","",VLOOKUP(C1075,' Disaggregation - Section E '!A$313:J803,6,0)),"")</f>
        <v/>
      </c>
      <c r="H1075" s="387" t="str">
        <f ca="1">IFERROR(IF(INDEX(' Disaggregation - Section E '!F$313:F803,MATCH(C1075,' Disaggregation - Section E '!A$313:A803,0)+1,1)&lt;&gt;0,INDEX(' Disaggregation - Section E '!F$313:F803,MATCH(C1075,' Disaggregation - Section E '!A$313:A803,0)+1,1),""),"")</f>
        <v/>
      </c>
      <c r="I1075" s="388" t="str">
        <f ca="1">IFERROR(IF(VLOOKUP(C1075,' Disaggregation - Section E '!A$313:J803,8,0)=0,"",VLOOKUP(C1075,' Disaggregation - Section E '!A$313:J803,8,0)),"")</f>
        <v/>
      </c>
      <c r="J1075" s="388" t="str">
        <f ca="1">IFERROR(IF(VLOOKUP(C1075,' Disaggregation - Section E '!A$313:J803,9,0)="","",VLOOKUP(C1075,' Disaggregation - Section E '!A$313:J803,9,0)),"")</f>
        <v/>
      </c>
      <c r="K1075" s="384" t="str">
        <f ca="1">IFERROR(VLOOKUP(C1075,' Disaggregation - Section E '!A$313:J803,3,0),"")</f>
        <v>HIV O-6⁽ᴹ⁾ Percentage of people who inject drugs reporting using sterile injecting equipment the last time they injected</v>
      </c>
      <c r="L1075" s="388" t="str">
        <f ca="1">IFERROR(IF(VLOOKUP(C1075,' Disaggregation - Section E '!A$313:J803,10,0)="","",VLOOKUP(C1075,' Disaggregation - Section E '!A$313:J803,10,0)),"")</f>
        <v/>
      </c>
      <c r="M1075" s="385" t="str">
        <f ca="1">IFERROR(IF(VLOOKUP(C1075,' Disaggregation - Section E '!A$313:O507,15,0)=0,"",VLOOKUP(C1075,' Disaggregation - Section E '!A$313:O803,15,0)),"")</f>
        <v/>
      </c>
      <c r="N1075" s="384"/>
      <c r="O1075" s="384"/>
    </row>
    <row r="1076" spans="1:15" x14ac:dyDescent="0.3">
      <c r="A1076" s="384" t="b">
        <f t="shared" ca="1" si="129"/>
        <v>0</v>
      </c>
      <c r="B1076" s="384"/>
      <c r="C1076" s="400" t="str">
        <f ca="1">IF(COUNTA(O$885:O1076)=1,"",OFFSET(C1076,-COUNTA(O$885:O1076)+1,0))</f>
        <v>a1VDm000000PRbKMAW</v>
      </c>
      <c r="D1076" s="389"/>
      <c r="E1076" s="386" t="str">
        <f ca="1">IFERROR(IF(VLOOKUP(C1076,' Disaggregation - Section E '!A$313:J804,7,0)="","",VLOOKUP(C1076,' Disaggregation - Section E '!A$313:J804,7,0)*100),"")</f>
        <v/>
      </c>
      <c r="F1076" s="384"/>
      <c r="G1076" s="387" t="str">
        <f ca="1">IFERROR(IF(VLOOKUP(C1076,' Disaggregation - Section E '!A$313:J804,6,0)="","",VLOOKUP(C1076,' Disaggregation - Section E '!A$313:J804,6,0)),"")</f>
        <v/>
      </c>
      <c r="H1076" s="387" t="str">
        <f ca="1">IFERROR(IF(INDEX(' Disaggregation - Section E '!F$313:F804,MATCH(C1076,' Disaggregation - Section E '!A$313:A804,0)+1,1)&lt;&gt;0,INDEX(' Disaggregation - Section E '!F$313:F804,MATCH(C1076,' Disaggregation - Section E '!A$313:A804,0)+1,1),""),"")</f>
        <v/>
      </c>
      <c r="I1076" s="388" t="str">
        <f ca="1">IFERROR(IF(VLOOKUP(C1076,' Disaggregation - Section E '!A$313:J804,8,0)=0,"",VLOOKUP(C1076,' Disaggregation - Section E '!A$313:J804,8,0)),"")</f>
        <v/>
      </c>
      <c r="J1076" s="388" t="str">
        <f ca="1">IFERROR(IF(VLOOKUP(C1076,' Disaggregation - Section E '!A$313:J804,9,0)="","",VLOOKUP(C1076,' Disaggregation - Section E '!A$313:J804,9,0)),"")</f>
        <v/>
      </c>
      <c r="K1076" s="384" t="str">
        <f ca="1">IFERROR(VLOOKUP(C1076,' Disaggregation - Section E '!A$313:J804,3,0),"")</f>
        <v>HIV O-6⁽ᴹ⁾ Percentage of people who inject drugs reporting using sterile injecting equipment the last time they injected</v>
      </c>
      <c r="L1076" s="388" t="str">
        <f ca="1">IFERROR(IF(VLOOKUP(C1076,' Disaggregation - Section E '!A$313:J804,10,0)="","",VLOOKUP(C1076,' Disaggregation - Section E '!A$313:J804,10,0)),"")</f>
        <v/>
      </c>
      <c r="M1076" s="385" t="str">
        <f ca="1">IFERROR(IF(VLOOKUP(C1076,' Disaggregation - Section E '!A$313:O508,15,0)=0,"",VLOOKUP(C1076,' Disaggregation - Section E '!A$313:O804,15,0)),"")</f>
        <v/>
      </c>
      <c r="N1076" s="384"/>
      <c r="O1076" s="384"/>
    </row>
    <row r="1077" spans="1:15" x14ac:dyDescent="0.3">
      <c r="A1077" s="384" t="b">
        <f t="shared" ca="1" si="129"/>
        <v>1</v>
      </c>
      <c r="B1077" s="384"/>
      <c r="C1077" s="400" t="str">
        <f ca="1">IF(COUNTA(O$885:O1077)=1,"",OFFSET(C1077,-COUNTA(O$885:O1077)+1,0))</f>
        <v>a1VDm000000PRbLMAW</v>
      </c>
      <c r="D1077" s="389"/>
      <c r="E1077" s="386">
        <f ca="1">IFERROR(IF(VLOOKUP(C1077,' Disaggregation - Section E '!A$313:J805,7,0)="","",VLOOKUP(C1077,' Disaggregation - Section E '!A$313:J805,7,0)*100),"")</f>
        <v>84.225264467952712</v>
      </c>
      <c r="F1077" s="384"/>
      <c r="G1077" s="387">
        <f ca="1">IFERROR(IF(VLOOKUP(C1077,' Disaggregation - Section E '!A$313:J805,6,0)="","",VLOOKUP(C1077,' Disaggregation - Section E '!A$313:J805,6,0)),"")</f>
        <v>8121</v>
      </c>
      <c r="H1077" s="387">
        <f ca="1">IFERROR(IF(INDEX(' Disaggregation - Section E '!F$313:F805,MATCH(C1077,' Disaggregation - Section E '!A$313:A805,0)+1,1)&lt;&gt;0,INDEX(' Disaggregation - Section E '!F$313:F805,MATCH(C1077,' Disaggregation - Section E '!A$313:A805,0)+1,1),""),"")</f>
        <v>9642</v>
      </c>
      <c r="I1077" s="388" t="str">
        <f ca="1">IFERROR(IF(VLOOKUP(C1077,' Disaggregation - Section E '!A$313:J805,8,0)=0,"",VLOOKUP(C1077,' Disaggregation - Section E '!A$313:J805,8,0)),"")</f>
        <v/>
      </c>
      <c r="J1077" s="388" t="str">
        <f ca="1">IFERROR(IF(VLOOKUP(C1077,' Disaggregation - Section E '!A$313:J805,9,0)="","",VLOOKUP(C1077,' Disaggregation - Section E '!A$313:J805,9,0)),"")</f>
        <v>Electronic HIV Case Tracking System and RCHV&amp;HIV report</v>
      </c>
      <c r="K1077" s="384" t="str">
        <f ca="1">IFERROR(VLOOKUP(C1077,' Disaggregation - Section E '!A$313:J805,3,0),"")</f>
        <v>HIV O-11⁽ᴹ⁾ Percentage of people living with HIV who know their HIV status at the end of the reporting period</v>
      </c>
      <c r="L1077" s="388" t="str">
        <f ca="1">IFERROR(IF(VLOOKUP(C1077,' Disaggregation - Section E '!A$313:J805,10,0)="","",VLOOKUP(C1077,' Disaggregation - Section E '!A$313:J805,10,0)),"")</f>
        <v>Numerator: Number of people living with HIV who know their HIV status	Denumerator: Number of people living with HIV
8,121 PLHIV in this age group know their HIV status at the end of the reporting period. Thus, percentage of PLHIV who know their HIV status in the reporting period was 84,23%.</v>
      </c>
      <c r="M1077" s="385" t="str">
        <f ca="1">IFERROR(IF(VLOOKUP(C1077,' Disaggregation - Section E '!A$313:O509,15,0)=0,"",VLOOKUP(C1077,' Disaggregation - Section E '!A$313:O805,15,0)),"")</f>
        <v>IDR-01103</v>
      </c>
      <c r="N1077" s="384"/>
      <c r="O1077" s="384"/>
    </row>
    <row r="1078" spans="1:15" x14ac:dyDescent="0.3">
      <c r="A1078" s="384" t="b">
        <f t="shared" ca="1" si="129"/>
        <v>1</v>
      </c>
      <c r="B1078" s="384"/>
      <c r="C1078" s="400" t="str">
        <f ca="1">IF(COUNTA(O$885:O1078)=1,"",OFFSET(C1078,-COUNTA(O$885:O1078)+1,0))</f>
        <v>a1VDm000000PRbMMAW</v>
      </c>
      <c r="D1078" s="389"/>
      <c r="E1078" s="386">
        <f ca="1">IFERROR(IF(VLOOKUP(C1078,' Disaggregation - Section E '!A$313:J806,7,0)="","",VLOOKUP(C1078,' Disaggregation - Section E '!A$313:J806,7,0)*100),"")</f>
        <v>46.616541353383454</v>
      </c>
      <c r="F1078" s="384"/>
      <c r="G1078" s="387">
        <f ca="1">IFERROR(IF(VLOOKUP(C1078,' Disaggregation - Section E '!A$313:J806,6,0)="","",VLOOKUP(C1078,' Disaggregation - Section E '!A$313:J806,6,0)),"")</f>
        <v>186</v>
      </c>
      <c r="H1078" s="387">
        <f ca="1">IFERROR(IF(INDEX(' Disaggregation - Section E '!F$313:F806,MATCH(C1078,' Disaggregation - Section E '!A$313:A806,0)+1,1)&lt;&gt;0,INDEX(' Disaggregation - Section E '!F$313:F806,MATCH(C1078,' Disaggregation - Section E '!A$313:A806,0)+1,1),""),"")</f>
        <v>399</v>
      </c>
      <c r="I1078" s="388" t="str">
        <f ca="1">IFERROR(IF(VLOOKUP(C1078,' Disaggregation - Section E '!A$313:J806,8,0)=0,"",VLOOKUP(C1078,' Disaggregation - Section E '!A$313:J806,8,0)),"")</f>
        <v/>
      </c>
      <c r="J1078" s="388" t="str">
        <f ca="1">IFERROR(IF(VLOOKUP(C1078,' Disaggregation - Section E '!A$313:J806,9,0)="","",VLOOKUP(C1078,' Disaggregation - Section E '!A$313:J806,9,0)),"")</f>
        <v>Electronic HIV Case Tracking System and RCHV&amp;HIV report</v>
      </c>
      <c r="K1078" s="384" t="str">
        <f ca="1">IFERROR(VLOOKUP(C1078,' Disaggregation - Section E '!A$313:J806,3,0),"")</f>
        <v>HIV O-11⁽ᴹ⁾ Percentage of people living with HIV who know their HIV status at the end of the reporting period</v>
      </c>
      <c r="L1078" s="388" t="str">
        <f ca="1">IFERROR(IF(VLOOKUP(C1078,' Disaggregation - Section E '!A$313:J806,10,0)="","",VLOOKUP(C1078,' Disaggregation - Section E '!A$313:J806,10,0)),"")</f>
        <v>Numerator: Number of people living with HIV who know their HIV status	Denumerator: Number of people living with HIV
186 PLHIV in this age group know their HIV status at the end of the reporting period. Thus, percentage of PLHIV who know their HIV status in the reporting period was 46,62%."</v>
      </c>
      <c r="M1078" s="385" t="str">
        <f ca="1">IFERROR(IF(VLOOKUP(C1078,' Disaggregation - Section E '!A$313:O510,15,0)=0,"",VLOOKUP(C1078,' Disaggregation - Section E '!A$313:O806,15,0)),"")</f>
        <v>IDR-01102</v>
      </c>
      <c r="N1078" s="384"/>
      <c r="O1078" s="384"/>
    </row>
    <row r="1079" spans="1:15" x14ac:dyDescent="0.3">
      <c r="A1079" s="384" t="b">
        <f t="shared" ca="1" si="129"/>
        <v>1</v>
      </c>
      <c r="B1079" s="384"/>
      <c r="C1079" s="400" t="str">
        <f ca="1">IF(COUNTA(O$885:O1079)=1,"",OFFSET(C1079,-COUNTA(O$885:O1079)+1,0))</f>
        <v>a1VDm000000PRbNMAW</v>
      </c>
      <c r="D1079" s="389"/>
      <c r="E1079" s="386">
        <f ca="1">IFERROR(IF(VLOOKUP(C1079,' Disaggregation - Section E '!A$313:J807,7,0)="","",VLOOKUP(C1079,' Disaggregation - Section E '!A$313:J807,7,0)*100),"")</f>
        <v>185.2975495915986</v>
      </c>
      <c r="F1079" s="384"/>
      <c r="G1079" s="387">
        <f ca="1">IFERROR(IF(VLOOKUP(C1079,' Disaggregation - Section E '!A$313:J807,6,0)="","",VLOOKUP(C1079,' Disaggregation - Section E '!A$313:J807,6,0)),"")</f>
        <v>4764</v>
      </c>
      <c r="H1079" s="387">
        <f ca="1">IFERROR(IF(INDEX(' Disaggregation - Section E '!F$313:F807,MATCH(C1079,' Disaggregation - Section E '!A$313:A807,0)+1,1)&lt;&gt;0,INDEX(' Disaggregation - Section E '!F$313:F807,MATCH(C1079,' Disaggregation - Section E '!A$313:A807,0)+1,1),""),"")</f>
        <v>2571</v>
      </c>
      <c r="I1079" s="388" t="str">
        <f ca="1">IFERROR(IF(VLOOKUP(C1079,' Disaggregation - Section E '!A$313:J807,8,0)=0,"",VLOOKUP(C1079,' Disaggregation - Section E '!A$313:J807,8,0)),"")</f>
        <v/>
      </c>
      <c r="J1079" s="388" t="str">
        <f ca="1">IFERROR(IF(VLOOKUP(C1079,' Disaggregation - Section E '!A$313:J807,9,0)="","",VLOOKUP(C1079,' Disaggregation - Section E '!A$313:J807,9,0)),"")</f>
        <v>Electronic HIV Case Tracking System and RCHV&amp;HIV report</v>
      </c>
      <c r="K1079" s="384" t="str">
        <f ca="1">IFERROR(VLOOKUP(C1079,' Disaggregation - Section E '!A$313:J807,3,0),"")</f>
        <v>HIV O-11⁽ᴹ⁾ Percentage of people living with HIV who know their HIV status at the end of the reporting period</v>
      </c>
      <c r="L1079" s="388" t="str">
        <f ca="1">IFERROR(IF(VLOOKUP(C1079,' Disaggregation - Section E '!A$313:J807,10,0)="","",VLOOKUP(C1079,' Disaggregation - Section E '!A$313:J807,10,0)),"")</f>
        <v>Numerator: Number of people living with HIV who know their HIV status	Denumerator: Number of people living with HIV
4764  PLHIV in this age group know their HIV status at the end of the reporting period. Thus, percentage of PLHIV who know their HIV status in the reporting period was 185%, perhaps an estimated amount in this group is not true</v>
      </c>
      <c r="M1079" s="385" t="str">
        <f ca="1">IFERROR(IF(VLOOKUP(C1079,' Disaggregation - Section E '!A$313:O511,15,0)=0,"",VLOOKUP(C1079,' Disaggregation - Section E '!A$313:O807,15,0)),"")</f>
        <v>IDR-01101</v>
      </c>
      <c r="N1079" s="384"/>
      <c r="O1079" s="384"/>
    </row>
    <row r="1080" spans="1:15" x14ac:dyDescent="0.3">
      <c r="A1080" s="384" t="b">
        <f t="shared" ca="1" si="129"/>
        <v>1</v>
      </c>
      <c r="B1080" s="384"/>
      <c r="C1080" s="400" t="str">
        <f ca="1">IF(COUNTA(O$885:O1080)=1,"",OFFSET(C1080,-COUNTA(O$885:O1080)+1,0))</f>
        <v>a1VDm000000PRbOMAW</v>
      </c>
      <c r="D1080" s="389"/>
      <c r="E1080" s="386">
        <f ca="1">IFERROR(IF(VLOOKUP(C1080,' Disaggregation - Section E '!A$313:J808,7,0)="","",VLOOKUP(C1080,' Disaggregation - Section E '!A$313:J808,7,0)*100),"")</f>
        <v>90.387722132471723</v>
      </c>
      <c r="F1080" s="384"/>
      <c r="G1080" s="387">
        <f ca="1">IFERROR(IF(VLOOKUP(C1080,' Disaggregation - Section E '!A$313:J808,6,0)="","",VLOOKUP(C1080,' Disaggregation - Section E '!A$313:J808,6,0)),"")</f>
        <v>3357</v>
      </c>
      <c r="H1080" s="387">
        <f ca="1">IFERROR(IF(INDEX(' Disaggregation - Section E '!F$313:F808,MATCH(C1080,' Disaggregation - Section E '!A$313:A808,0)+1,1)&lt;&gt;0,INDEX(' Disaggregation - Section E '!F$313:F808,MATCH(C1080,' Disaggregation - Section E '!A$313:A808,0)+1,1),""),"")</f>
        <v>3714</v>
      </c>
      <c r="I1080" s="388" t="str">
        <f ca="1">IFERROR(IF(VLOOKUP(C1080,' Disaggregation - Section E '!A$313:J808,8,0)=0,"",VLOOKUP(C1080,' Disaggregation - Section E '!A$313:J808,8,0)),"")</f>
        <v/>
      </c>
      <c r="J1080" s="388" t="str">
        <f ca="1">IFERROR(IF(VLOOKUP(C1080,' Disaggregation - Section E '!A$313:J808,9,0)="","",VLOOKUP(C1080,' Disaggregation - Section E '!A$313:J808,9,0)),"")</f>
        <v>Electronic HIV Case Tracking System and RCHV&amp;HIV report</v>
      </c>
      <c r="K1080" s="384" t="str">
        <f ca="1">IFERROR(VLOOKUP(C1080,' Disaggregation - Section E '!A$313:J808,3,0),"")</f>
        <v>HIV O-11⁽ᴹ⁾ Percentage of people living with HIV who know their HIV status at the end of the reporting period</v>
      </c>
      <c r="L1080" s="388" t="str">
        <f ca="1">IFERROR(IF(VLOOKUP(C1080,' Disaggregation - Section E '!A$313:J808,10,0)="","",VLOOKUP(C1080,' Disaggregation - Section E '!A$313:J808,10,0)),"")</f>
        <v xml:space="preserve">Numerator: Number of people living with HIV who know their HIV status	Denumerator: Number of people living with HIV
3357 PLHIV in this age group know their HIV status at the end of the reporting period. Thus, percentage of PLHIV who know their HIV status in the reporting period was 90,39%.
</v>
      </c>
      <c r="M1080" s="385" t="str">
        <f ca="1">IFERROR(IF(VLOOKUP(C1080,' Disaggregation - Section E '!A$313:O512,15,0)=0,"",VLOOKUP(C1080,' Disaggregation - Section E '!A$313:O808,15,0)),"")</f>
        <v>IDR-01100</v>
      </c>
      <c r="N1080" s="384"/>
      <c r="O1080" s="384"/>
    </row>
    <row r="1081" spans="1:15" x14ac:dyDescent="0.3">
      <c r="A1081" s="384" t="b">
        <f t="shared" ca="1" si="129"/>
        <v>0</v>
      </c>
      <c r="B1081" s="384"/>
      <c r="C1081" s="400" t="str">
        <f ca="1">IF(COUNTA(O$885:O1081)=1,"",OFFSET(C1081,-COUNTA(O$885:O1081)+1,0))</f>
        <v>a1VDm000000PRbPMAW</v>
      </c>
      <c r="D1081" s="389"/>
      <c r="E1081" s="386" t="str">
        <f ca="1">IFERROR(IF(VLOOKUP(C1081,' Disaggregation - Section E '!A$313:J809,7,0)="","",VLOOKUP(C1081,' Disaggregation - Section E '!A$313:J809,7,0)*100),"")</f>
        <v/>
      </c>
      <c r="F1081" s="384"/>
      <c r="G1081" s="387" t="str">
        <f ca="1">IFERROR(IF(VLOOKUP(C1081,' Disaggregation - Section E '!A$313:J809,6,0)="","",VLOOKUP(C1081,' Disaggregation - Section E '!A$313:J809,6,0)),"")</f>
        <v/>
      </c>
      <c r="H1081" s="387" t="str">
        <f ca="1">IFERROR(IF(INDEX(' Disaggregation - Section E '!F$313:F809,MATCH(C1081,' Disaggregation - Section E '!A$313:A809,0)+1,1)&lt;&gt;0,INDEX(' Disaggregation - Section E '!F$313:F809,MATCH(C1081,' Disaggregation - Section E '!A$313:A809,0)+1,1),""),"")</f>
        <v/>
      </c>
      <c r="I1081" s="388" t="str">
        <f ca="1">IFERROR(IF(VLOOKUP(C1081,' Disaggregation - Section E '!A$313:J809,8,0)=0,"",VLOOKUP(C1081,' Disaggregation - Section E '!A$313:J809,8,0)),"")</f>
        <v/>
      </c>
      <c r="J1081" s="388" t="str">
        <f ca="1">IFERROR(IF(VLOOKUP(C1081,' Disaggregation - Section E '!A$313:J809,9,0)="","",VLOOKUP(C1081,' Disaggregation - Section E '!A$313:J809,9,0)),"")</f>
        <v/>
      </c>
      <c r="K1081" s="384" t="str">
        <f ca="1">IFERROR(VLOOKUP(C1081,' Disaggregation - Section E '!A$313:J809,3,0),"")</f>
        <v>HIV O-11⁽ᴹ⁾ Percentage of people living with HIV who know their HIV status at the end of the reporting period</v>
      </c>
      <c r="L1081" s="388" t="str">
        <f ca="1">IFERROR(IF(VLOOKUP(C1081,' Disaggregation - Section E '!A$313:J809,10,0)="","",VLOOKUP(C1081,' Disaggregation - Section E '!A$313:J809,10,0)),"")</f>
        <v/>
      </c>
      <c r="M1081" s="385" t="str">
        <f ca="1">IFERROR(IF(VLOOKUP(C1081,' Disaggregation - Section E '!A$313:O513,15,0)=0,"",VLOOKUP(C1081,' Disaggregation - Section E '!A$313:O809,15,0)),"")</f>
        <v/>
      </c>
      <c r="N1081" s="384"/>
      <c r="O1081" s="384"/>
    </row>
    <row r="1082" spans="1:15" x14ac:dyDescent="0.3">
      <c r="A1082" s="384" t="b">
        <f t="shared" ca="1" si="129"/>
        <v>0</v>
      </c>
      <c r="B1082" s="384"/>
      <c r="C1082" s="400" t="str">
        <f ca="1">IF(COUNTA(O$885:O1082)=1,"",OFFSET(C1082,-COUNTA(O$885:O1082)+1,0))</f>
        <v>a1VDm000000PRbQMAW</v>
      </c>
      <c r="D1082" s="389"/>
      <c r="E1082" s="386" t="str">
        <f ca="1">IFERROR(IF(VLOOKUP(C1082,' Disaggregation - Section E '!A$313:J810,7,0)="","",VLOOKUP(C1082,' Disaggregation - Section E '!A$313:J810,7,0)*100),"")</f>
        <v/>
      </c>
      <c r="F1082" s="384"/>
      <c r="G1082" s="387" t="str">
        <f ca="1">IFERROR(IF(VLOOKUP(C1082,' Disaggregation - Section E '!A$313:J810,6,0)="","",VLOOKUP(C1082,' Disaggregation - Section E '!A$313:J810,6,0)),"")</f>
        <v/>
      </c>
      <c r="H1082" s="387" t="str">
        <f ca="1">IFERROR(IF(INDEX(' Disaggregation - Section E '!F$313:F810,MATCH(C1082,' Disaggregation - Section E '!A$313:A810,0)+1,1)&lt;&gt;0,INDEX(' Disaggregation - Section E '!F$313:F810,MATCH(C1082,' Disaggregation - Section E '!A$313:A810,0)+1,1),""),"")</f>
        <v/>
      </c>
      <c r="I1082" s="388" t="str">
        <f ca="1">IFERROR(IF(VLOOKUP(C1082,' Disaggregation - Section E '!A$313:J810,8,0)=0,"",VLOOKUP(C1082,' Disaggregation - Section E '!A$313:J810,8,0)),"")</f>
        <v/>
      </c>
      <c r="J1082" s="388" t="str">
        <f ca="1">IFERROR(IF(VLOOKUP(C1082,' Disaggregation - Section E '!A$313:J810,9,0)="","",VLOOKUP(C1082,' Disaggregation - Section E '!A$313:J810,9,0)),"")</f>
        <v/>
      </c>
      <c r="K1082" s="384" t="str">
        <f ca="1">IFERROR(VLOOKUP(C1082,' Disaggregation - Section E '!A$313:J810,3,0),"")</f>
        <v>HIV O-11⁽ᴹ⁾ Percentage of people living with HIV who know their HIV status at the end of the reporting period</v>
      </c>
      <c r="L1082" s="388" t="str">
        <f ca="1">IFERROR(IF(VLOOKUP(C1082,' Disaggregation - Section E '!A$313:J810,10,0)="","",VLOOKUP(C1082,' Disaggregation - Section E '!A$313:J810,10,0)),"")</f>
        <v/>
      </c>
      <c r="M1082" s="385" t="str">
        <f ca="1">IFERROR(IF(VLOOKUP(C1082,' Disaggregation - Section E '!A$313:O514,15,0)=0,"",VLOOKUP(C1082,' Disaggregation - Section E '!A$313:O810,15,0)),"")</f>
        <v/>
      </c>
      <c r="N1082" s="384"/>
      <c r="O1082" s="384"/>
    </row>
    <row r="1083" spans="1:15" x14ac:dyDescent="0.3">
      <c r="A1083" s="384" t="b">
        <f t="shared" ca="1" si="129"/>
        <v>0</v>
      </c>
      <c r="B1083" s="384"/>
      <c r="C1083" s="400" t="str">
        <f ca="1">IF(COUNTA(O$885:O1083)=1,"",OFFSET(C1083,-COUNTA(O$885:O1083)+1,0))</f>
        <v>a1VDm000000PRbRMAW</v>
      </c>
      <c r="D1083" s="389"/>
      <c r="E1083" s="386" t="str">
        <f ca="1">IFERROR(IF(VLOOKUP(C1083,' Disaggregation - Section E '!A$313:J811,7,0)="","",VLOOKUP(C1083,' Disaggregation - Section E '!A$313:J811,7,0)*100),"")</f>
        <v/>
      </c>
      <c r="F1083" s="384"/>
      <c r="G1083" s="387" t="str">
        <f ca="1">IFERROR(IF(VLOOKUP(C1083,' Disaggregation - Section E '!A$313:J811,6,0)="","",VLOOKUP(C1083,' Disaggregation - Section E '!A$313:J811,6,0)),"")</f>
        <v/>
      </c>
      <c r="H1083" s="387" t="str">
        <f ca="1">IFERROR(IF(INDEX(' Disaggregation - Section E '!F$313:F811,MATCH(C1083,' Disaggregation - Section E '!A$313:A811,0)+1,1)&lt;&gt;0,INDEX(' Disaggregation - Section E '!F$313:F811,MATCH(C1083,' Disaggregation - Section E '!A$313:A811,0)+1,1),""),"")</f>
        <v/>
      </c>
      <c r="I1083" s="388" t="str">
        <f ca="1">IFERROR(IF(VLOOKUP(C1083,' Disaggregation - Section E '!A$313:J811,8,0)=0,"",VLOOKUP(C1083,' Disaggregation - Section E '!A$313:J811,8,0)),"")</f>
        <v/>
      </c>
      <c r="J1083" s="388" t="str">
        <f ca="1">IFERROR(IF(VLOOKUP(C1083,' Disaggregation - Section E '!A$313:J811,9,0)="","",VLOOKUP(C1083,' Disaggregation - Section E '!A$313:J811,9,0)),"")</f>
        <v/>
      </c>
      <c r="K1083" s="384" t="str">
        <f ca="1">IFERROR(VLOOKUP(C1083,' Disaggregation - Section E '!A$313:J811,3,0),"")</f>
        <v>HIV O-11⁽ᴹ⁾ Percentage of people living with HIV who know their HIV status at the end of the reporting period</v>
      </c>
      <c r="L1083" s="388" t="str">
        <f ca="1">IFERROR(IF(VLOOKUP(C1083,' Disaggregation - Section E '!A$313:J811,10,0)="","",VLOOKUP(C1083,' Disaggregation - Section E '!A$313:J811,10,0)),"")</f>
        <v/>
      </c>
      <c r="M1083" s="385" t="str">
        <f ca="1">IFERROR(IF(VLOOKUP(C1083,' Disaggregation - Section E '!A$313:O515,15,0)=0,"",VLOOKUP(C1083,' Disaggregation - Section E '!A$313:O811,15,0)),"")</f>
        <v/>
      </c>
      <c r="N1083" s="384"/>
      <c r="O1083" s="384"/>
    </row>
    <row r="1084" spans="1:15" x14ac:dyDescent="0.3">
      <c r="A1084" s="384" t="b">
        <f t="shared" ca="1" si="129"/>
        <v>0</v>
      </c>
      <c r="B1084" s="384"/>
      <c r="C1084" s="400" t="str">
        <f ca="1">IF(COUNTA(O$885:O1084)=1,"",OFFSET(C1084,-COUNTA(O$885:O1084)+1,0))</f>
        <v>a1VDm000000PRbSMAW</v>
      </c>
      <c r="D1084" s="389"/>
      <c r="E1084" s="386" t="str">
        <f ca="1">IFERROR(IF(VLOOKUP(C1084,' Disaggregation - Section E '!A$313:J812,7,0)="","",VLOOKUP(C1084,' Disaggregation - Section E '!A$313:J812,7,0)*100),"")</f>
        <v/>
      </c>
      <c r="F1084" s="384"/>
      <c r="G1084" s="387" t="str">
        <f ca="1">IFERROR(IF(VLOOKUP(C1084,' Disaggregation - Section E '!A$313:J812,6,0)="","",VLOOKUP(C1084,' Disaggregation - Section E '!A$313:J812,6,0)),"")</f>
        <v/>
      </c>
      <c r="H1084" s="387" t="str">
        <f ca="1">IFERROR(IF(INDEX(' Disaggregation - Section E '!F$313:F812,MATCH(C1084,' Disaggregation - Section E '!A$313:A812,0)+1,1)&lt;&gt;0,INDEX(' Disaggregation - Section E '!F$313:F812,MATCH(C1084,' Disaggregation - Section E '!A$313:A812,0)+1,1),""),"")</f>
        <v/>
      </c>
      <c r="I1084" s="388" t="str">
        <f ca="1">IFERROR(IF(VLOOKUP(C1084,' Disaggregation - Section E '!A$313:J812,8,0)=0,"",VLOOKUP(C1084,' Disaggregation - Section E '!A$313:J812,8,0)),"")</f>
        <v/>
      </c>
      <c r="J1084" s="388" t="str">
        <f ca="1">IFERROR(IF(VLOOKUP(C1084,' Disaggregation - Section E '!A$313:J812,9,0)="","",VLOOKUP(C1084,' Disaggregation - Section E '!A$313:J812,9,0)),"")</f>
        <v/>
      </c>
      <c r="K1084" s="384" t="str">
        <f ca="1">IFERROR(VLOOKUP(C1084,' Disaggregation - Section E '!A$313:J812,3,0),"")</f>
        <v>HIV O-11⁽ᴹ⁾ Percentage of people living with HIV who know their HIV status at the end of the reporting period</v>
      </c>
      <c r="L1084" s="388" t="str">
        <f ca="1">IFERROR(IF(VLOOKUP(C1084,' Disaggregation - Section E '!A$313:J812,10,0)="","",VLOOKUP(C1084,' Disaggregation - Section E '!A$313:J812,10,0)),"")</f>
        <v/>
      </c>
      <c r="M1084" s="385" t="str">
        <f ca="1">IFERROR(IF(VLOOKUP(C1084,' Disaggregation - Section E '!A$313:O516,15,0)=0,"",VLOOKUP(C1084,' Disaggregation - Section E '!A$313:O812,15,0)),"")</f>
        <v/>
      </c>
      <c r="N1084" s="384"/>
      <c r="O1084" s="384"/>
    </row>
    <row r="1085" spans="1:15" x14ac:dyDescent="0.3">
      <c r="A1085" s="384" t="b">
        <f t="shared" ca="1" si="129"/>
        <v>0</v>
      </c>
      <c r="B1085" s="384"/>
      <c r="C1085" s="400" t="str">
        <f ca="1">IF(COUNTA(O$885:O1085)=1,"",OFFSET(C1085,-COUNTA(O$885:O1085)+1,0))</f>
        <v>a1VDm000000PRbTMAW</v>
      </c>
      <c r="D1085" s="389"/>
      <c r="E1085" s="386" t="str">
        <f ca="1">IFERROR(IF(VLOOKUP(C1085,' Disaggregation - Section E '!A$313:J813,7,0)="","",VLOOKUP(C1085,' Disaggregation - Section E '!A$313:J813,7,0)*100),"")</f>
        <v/>
      </c>
      <c r="F1085" s="384"/>
      <c r="G1085" s="387" t="str">
        <f ca="1">IFERROR(IF(VLOOKUP(C1085,' Disaggregation - Section E '!A$313:J813,6,0)="","",VLOOKUP(C1085,' Disaggregation - Section E '!A$313:J813,6,0)),"")</f>
        <v/>
      </c>
      <c r="H1085" s="387" t="str">
        <f ca="1">IFERROR(IF(INDEX(' Disaggregation - Section E '!F$313:F813,MATCH(C1085,' Disaggregation - Section E '!A$313:A813,0)+1,1)&lt;&gt;0,INDEX(' Disaggregation - Section E '!F$313:F813,MATCH(C1085,' Disaggregation - Section E '!A$313:A813,0)+1,1),""),"")</f>
        <v/>
      </c>
      <c r="I1085" s="388" t="str">
        <f ca="1">IFERROR(IF(VLOOKUP(C1085,' Disaggregation - Section E '!A$313:J813,8,0)=0,"",VLOOKUP(C1085,' Disaggregation - Section E '!A$313:J813,8,0)),"")</f>
        <v/>
      </c>
      <c r="J1085" s="388" t="str">
        <f ca="1">IFERROR(IF(VLOOKUP(C1085,' Disaggregation - Section E '!A$313:J813,9,0)="","",VLOOKUP(C1085,' Disaggregation - Section E '!A$313:J813,9,0)),"")</f>
        <v/>
      </c>
      <c r="K1085" s="384" t="str">
        <f ca="1">IFERROR(VLOOKUP(C1085,' Disaggregation - Section E '!A$313:J813,3,0),"")</f>
        <v>HIV O-11⁽ᴹ⁾ Percentage of people living with HIV who know their HIV status at the end of the reporting period</v>
      </c>
      <c r="L1085" s="388" t="str">
        <f ca="1">IFERROR(IF(VLOOKUP(C1085,' Disaggregation - Section E '!A$313:J813,10,0)="","",VLOOKUP(C1085,' Disaggregation - Section E '!A$313:J813,10,0)),"")</f>
        <v/>
      </c>
      <c r="M1085" s="385" t="str">
        <f ca="1">IFERROR(IF(VLOOKUP(C1085,' Disaggregation - Section E '!A$313:O517,15,0)=0,"",VLOOKUP(C1085,' Disaggregation - Section E '!A$313:O813,15,0)),"")</f>
        <v/>
      </c>
      <c r="N1085" s="384"/>
      <c r="O1085" s="384"/>
    </row>
    <row r="1086" spans="1:15" x14ac:dyDescent="0.3">
      <c r="A1086" s="384" t="b">
        <f t="shared" ca="1" si="129"/>
        <v>0</v>
      </c>
      <c r="B1086" s="384"/>
      <c r="C1086" s="400" t="str">
        <f ca="1">IF(COUNTA(O$885:O1086)=1,"",OFFSET(C1086,-COUNTA(O$885:O1086)+1,0))</f>
        <v>a1VDm000000PRbUMAW</v>
      </c>
      <c r="D1086" s="389"/>
      <c r="E1086" s="386" t="str">
        <f ca="1">IFERROR(IF(VLOOKUP(C1086,' Disaggregation - Section E '!A$313:J814,7,0)="","",VLOOKUP(C1086,' Disaggregation - Section E '!A$313:J814,7,0)*100),"")</f>
        <v/>
      </c>
      <c r="F1086" s="384"/>
      <c r="G1086" s="387" t="str">
        <f ca="1">IFERROR(IF(VLOOKUP(C1086,' Disaggregation - Section E '!A$313:J814,6,0)="","",VLOOKUP(C1086,' Disaggregation - Section E '!A$313:J814,6,0)),"")</f>
        <v/>
      </c>
      <c r="H1086" s="387" t="str">
        <f ca="1">IFERROR(IF(INDEX(' Disaggregation - Section E '!F$313:F814,MATCH(C1086,' Disaggregation - Section E '!A$313:A814,0)+1,1)&lt;&gt;0,INDEX(' Disaggregation - Section E '!F$313:F814,MATCH(C1086,' Disaggregation - Section E '!A$313:A814,0)+1,1),""),"")</f>
        <v/>
      </c>
      <c r="I1086" s="388" t="str">
        <f ca="1">IFERROR(IF(VLOOKUP(C1086,' Disaggregation - Section E '!A$313:J814,8,0)=0,"",VLOOKUP(C1086,' Disaggregation - Section E '!A$313:J814,8,0)),"")</f>
        <v/>
      </c>
      <c r="J1086" s="388" t="str">
        <f ca="1">IFERROR(IF(VLOOKUP(C1086,' Disaggregation - Section E '!A$313:J814,9,0)="","",VLOOKUP(C1086,' Disaggregation - Section E '!A$313:J814,9,0)),"")</f>
        <v/>
      </c>
      <c r="K1086" s="384" t="str">
        <f ca="1">IFERROR(VLOOKUP(C1086,' Disaggregation - Section E '!A$313:J814,3,0),"")</f>
        <v>HIV O-11⁽ᴹ⁾ Percentage of people living with HIV who know their HIV status at the end of the reporting period</v>
      </c>
      <c r="L1086" s="388" t="str">
        <f ca="1">IFERROR(IF(VLOOKUP(C1086,' Disaggregation - Section E '!A$313:J814,10,0)="","",VLOOKUP(C1086,' Disaggregation - Section E '!A$313:J814,10,0)),"")</f>
        <v/>
      </c>
      <c r="M1086" s="385" t="str">
        <f ca="1">IFERROR(IF(VLOOKUP(C1086,' Disaggregation - Section E '!A$313:O518,15,0)=0,"",VLOOKUP(C1086,' Disaggregation - Section E '!A$313:O814,15,0)),"")</f>
        <v/>
      </c>
      <c r="N1086" s="384"/>
      <c r="O1086" s="384"/>
    </row>
    <row r="1087" spans="1:15" x14ac:dyDescent="0.3">
      <c r="A1087" s="384" t="b">
        <f t="shared" ca="1" si="129"/>
        <v>1</v>
      </c>
      <c r="B1087" s="384"/>
      <c r="C1087" s="400" t="str">
        <f ca="1">IF(COUNTA(O$885:O1087)=1,"",OFFSET(C1087,-COUNTA(O$885:O1087)+1,0))</f>
        <v>a1VDm000000PRbVMAW</v>
      </c>
      <c r="D1087" s="389"/>
      <c r="E1087" s="386">
        <f ca="1">IFERROR(IF(VLOOKUP(C1087,' Disaggregation - Section E '!A$313:J815,7,0)="","",VLOOKUP(C1087,' Disaggregation - Section E '!A$313:J815,7,0)*100),"")</f>
        <v>96.167465111435106</v>
      </c>
      <c r="F1087" s="384"/>
      <c r="G1087" s="387">
        <f ca="1">IFERROR(IF(VLOOKUP(C1087,' Disaggregation - Section E '!A$313:J815,6,0)="","",VLOOKUP(C1087,' Disaggregation - Section E '!A$313:J815,6,0)),"")</f>
        <v>4617</v>
      </c>
      <c r="H1087" s="387">
        <f ca="1">IFERROR(IF(INDEX(' Disaggregation - Section E '!F$313:F815,MATCH(C1087,' Disaggregation - Section E '!A$313:A815,0)+1,1)&lt;&gt;0,INDEX(' Disaggregation - Section E '!F$313:F815,MATCH(C1087,' Disaggregation - Section E '!A$313:A815,0)+1,1),""),"")</f>
        <v>4801</v>
      </c>
      <c r="I1087" s="388" t="str">
        <f ca="1">IFERROR(IF(VLOOKUP(C1087,' Disaggregation - Section E '!A$313:J815,8,0)=0,"",VLOOKUP(C1087,' Disaggregation - Section E '!A$313:J815,8,0)),"")</f>
        <v/>
      </c>
      <c r="J1087" s="388" t="str">
        <f ca="1">IFERROR(IF(VLOOKUP(C1087,' Disaggregation - Section E '!A$313:J815,9,0)="","",VLOOKUP(C1087,' Disaggregation - Section E '!A$313:J815,9,0)),"")</f>
        <v>Electronic HIV Case Tracking System and RCHV&amp;HIV report</v>
      </c>
      <c r="K1087" s="384" t="str">
        <f ca="1">IFERROR(VLOOKUP(C1087,' Disaggregation - Section E '!A$313:J815,3,0),"")</f>
        <v>HIV O-12 Percentage of people living with HIV and on ART who are virologically suppressed</v>
      </c>
      <c r="L1087" s="388" t="str">
        <f ca="1">IFERROR(IF(VLOOKUP(C1087,' Disaggregation - Section E '!A$313:J815,10,0)="","",VLOOKUP(C1087,' Disaggregation - Section E '!A$313:J815,10,0)),"")</f>
        <v>This data is in line with the National M&amp;E reporting system. In accordance to the official data submitted by the Republican Center for the Control of Hemocontact viral hepatitis and HIV (RCCHVH&amp;HIV), as of 31 December 2022 number of adults and children receiving antiretroviral therapy in the reporting period with suppressed viral load was 4617. Thus, percentage of adults and children receiving antiretroviral therapy who were virally suppressed in the reporting period was 96%.</v>
      </c>
      <c r="M1087" s="385" t="str">
        <f ca="1">IFERROR(IF(VLOOKUP(C1087,' Disaggregation - Section E '!A$313:O519,15,0)=0,"",VLOOKUP(C1087,' Disaggregation - Section E '!A$313:O815,15,0)),"")</f>
        <v>IDR-01111</v>
      </c>
      <c r="N1087" s="384"/>
      <c r="O1087" s="384"/>
    </row>
    <row r="1088" spans="1:15" x14ac:dyDescent="0.3">
      <c r="A1088" s="384" t="b">
        <f t="shared" ca="1" si="129"/>
        <v>1</v>
      </c>
      <c r="B1088" s="384"/>
      <c r="C1088" s="400" t="str">
        <f ca="1">IF(COUNTA(O$885:O1088)=1,"",OFFSET(C1088,-COUNTA(O$885:O1088)+1,0))</f>
        <v>a1VDm000000PRbWMAW</v>
      </c>
      <c r="D1088" s="389"/>
      <c r="E1088" s="386">
        <f ca="1">IFERROR(IF(VLOOKUP(C1088,' Disaggregation - Section E '!A$313:J816,7,0)="","",VLOOKUP(C1088,' Disaggregation - Section E '!A$313:J816,7,0)*100),"")</f>
        <v>87.5</v>
      </c>
      <c r="F1088" s="384"/>
      <c r="G1088" s="387">
        <f ca="1">IFERROR(IF(VLOOKUP(C1088,' Disaggregation - Section E '!A$313:J816,6,0)="","",VLOOKUP(C1088,' Disaggregation - Section E '!A$313:J816,6,0)),"")</f>
        <v>133</v>
      </c>
      <c r="H1088" s="387">
        <f ca="1">IFERROR(IF(INDEX(' Disaggregation - Section E '!F$313:F816,MATCH(C1088,' Disaggregation - Section E '!A$313:A816,0)+1,1)&lt;&gt;0,INDEX(' Disaggregation - Section E '!F$313:F816,MATCH(C1088,' Disaggregation - Section E '!A$313:A816,0)+1,1),""),"")</f>
        <v>152</v>
      </c>
      <c r="I1088" s="388" t="str">
        <f ca="1">IFERROR(IF(VLOOKUP(C1088,' Disaggregation - Section E '!A$313:J816,8,0)=0,"",VLOOKUP(C1088,' Disaggregation - Section E '!A$313:J816,8,0)),"")</f>
        <v/>
      </c>
      <c r="J1088" s="388" t="str">
        <f ca="1">IFERROR(IF(VLOOKUP(C1088,' Disaggregation - Section E '!A$313:J816,9,0)="","",VLOOKUP(C1088,' Disaggregation - Section E '!A$313:J816,9,0)),"")</f>
        <v>Electronic HIV Case Tracking System and RCHV&amp;HIV report</v>
      </c>
      <c r="K1088" s="384" t="str">
        <f ca="1">IFERROR(VLOOKUP(C1088,' Disaggregation - Section E '!A$313:J816,3,0),"")</f>
        <v>HIV O-12 Percentage of people living with HIV and on ART who are virologically suppressed</v>
      </c>
      <c r="L1088" s="388" t="str">
        <f ca="1">IFERROR(IF(VLOOKUP(C1088,' Disaggregation - Section E '!A$313:J816,10,0)="","",VLOOKUP(C1088,' Disaggregation - Section E '!A$313:J816,10,0)),"")</f>
        <v>This data is in line with the National M&amp;E reporting system. In accordance to the official data submitted by the Republican Center for the Control of Hemocontact viral hepatitis and HIV (RCCHVH&amp;HIV), as of 31 December 2022 number of adults and children receiving antiretroviral therapy in the reporting period with suppressed viral load was 133. Thus, percentage of adults and children receiving antiretroviral therapy who were virally suppressed in the reporting period was 87,5%.</v>
      </c>
      <c r="M1088" s="385" t="str">
        <f ca="1">IFERROR(IF(VLOOKUP(C1088,' Disaggregation - Section E '!A$313:O520,15,0)=0,"",VLOOKUP(C1088,' Disaggregation - Section E '!A$313:O816,15,0)),"")</f>
        <v>IDR-01110</v>
      </c>
      <c r="N1088" s="384"/>
      <c r="O1088" s="384"/>
    </row>
    <row r="1089" spans="1:15" x14ac:dyDescent="0.3">
      <c r="A1089" s="384" t="b">
        <f t="shared" ca="1" si="129"/>
        <v>1</v>
      </c>
      <c r="B1089" s="384"/>
      <c r="C1089" s="400" t="str">
        <f ca="1">IF(COUNTA(O$885:O1089)=1,"",OFFSET(C1089,-COUNTA(O$885:O1089)+1,0))</f>
        <v>a1VDm000000PRbXMAW</v>
      </c>
      <c r="D1089" s="389"/>
      <c r="E1089" s="386">
        <f ca="1">IFERROR(IF(VLOOKUP(C1089,' Disaggregation - Section E '!A$313:J817,7,0)="","",VLOOKUP(C1089,' Disaggregation - Section E '!A$313:J817,7,0)*100),"")</f>
        <v>95.5859375</v>
      </c>
      <c r="F1089" s="384"/>
      <c r="G1089" s="387">
        <f ca="1">IFERROR(IF(VLOOKUP(C1089,' Disaggregation - Section E '!A$313:J817,6,0)="","",VLOOKUP(C1089,' Disaggregation - Section E '!A$313:J817,6,0)),"")</f>
        <v>2447</v>
      </c>
      <c r="H1089" s="387">
        <f ca="1">IFERROR(IF(INDEX(' Disaggregation - Section E '!F$313:F817,MATCH(C1089,' Disaggregation - Section E '!A$313:A817,0)+1,1)&lt;&gt;0,INDEX(' Disaggregation - Section E '!F$313:F817,MATCH(C1089,' Disaggregation - Section E '!A$313:A817,0)+1,1),""),"")</f>
        <v>2560</v>
      </c>
      <c r="I1089" s="388" t="str">
        <f ca="1">IFERROR(IF(VLOOKUP(C1089,' Disaggregation - Section E '!A$313:J817,8,0)=0,"",VLOOKUP(C1089,' Disaggregation - Section E '!A$313:J817,8,0)),"")</f>
        <v/>
      </c>
      <c r="J1089" s="388" t="str">
        <f ca="1">IFERROR(IF(VLOOKUP(C1089,' Disaggregation - Section E '!A$313:J817,9,0)="","",VLOOKUP(C1089,' Disaggregation - Section E '!A$313:J817,9,0)),"")</f>
        <v>Electronic HIV Case Tracking System and RCHV&amp;HIV report</v>
      </c>
      <c r="K1089" s="384" t="str">
        <f ca="1">IFERROR(VLOOKUP(C1089,' Disaggregation - Section E '!A$313:J817,3,0),"")</f>
        <v>HIV O-12 Percentage of people living with HIV and on ART who are virologically suppressed</v>
      </c>
      <c r="L1089" s="388" t="str">
        <f ca="1">IFERROR(IF(VLOOKUP(C1089,' Disaggregation - Section E '!A$313:J817,10,0)="","",VLOOKUP(C1089,' Disaggregation - Section E '!A$313:J817,10,0)),"")</f>
        <v>This data is in line with the National M&amp;E reporting system. In accordance to the official data submitted by the Republican Center for the Control of Hemocontact viral hepatitis and HIV (RCCHVH&amp;HIV), as of 31 December 2022 number of adults and children receiving antiretroviral therapy in the reporting period with suppressed viral load was 2447. Thus, percentage of adults and children receiving antiretroviral therapy who were virally suppressed in the reporting period was 95,59%.</v>
      </c>
      <c r="M1089" s="385" t="str">
        <f ca="1">IFERROR(IF(VLOOKUP(C1089,' Disaggregation - Section E '!A$313:O521,15,0)=0,"",VLOOKUP(C1089,' Disaggregation - Section E '!A$313:O817,15,0)),"")</f>
        <v>IDR-01109</v>
      </c>
      <c r="N1089" s="384"/>
      <c r="O1089" s="384"/>
    </row>
    <row r="1090" spans="1:15" x14ac:dyDescent="0.3">
      <c r="A1090" s="384" t="b">
        <f t="shared" ca="1" si="129"/>
        <v>1</v>
      </c>
      <c r="B1090" s="384"/>
      <c r="C1090" s="400" t="str">
        <f ca="1">IF(COUNTA(O$885:O1090)=1,"",OFFSET(C1090,-COUNTA(O$885:O1090)+1,0))</f>
        <v>a1VDm000000PRbYMAW</v>
      </c>
      <c r="D1090" s="389"/>
      <c r="E1090" s="386">
        <f ca="1">IFERROR(IF(VLOOKUP(C1090,' Disaggregation - Section E '!A$313:J818,7,0)="","",VLOOKUP(C1090,' Disaggregation - Section E '!A$313:J818,7,0)*100),"")</f>
        <v>96.831771530566712</v>
      </c>
      <c r="F1090" s="384"/>
      <c r="G1090" s="387">
        <f ca="1">IFERROR(IF(VLOOKUP(C1090,' Disaggregation - Section E '!A$313:J818,6,0)="","",VLOOKUP(C1090,' Disaggregation - Section E '!A$313:J818,6,0)),"")</f>
        <v>2170</v>
      </c>
      <c r="H1090" s="387">
        <f ca="1">IFERROR(IF(INDEX(' Disaggregation - Section E '!F$313:F818,MATCH(C1090,' Disaggregation - Section E '!A$313:A818,0)+1,1)&lt;&gt;0,INDEX(' Disaggregation - Section E '!F$313:F818,MATCH(C1090,' Disaggregation - Section E '!A$313:A818,0)+1,1),""),"")</f>
        <v>2241</v>
      </c>
      <c r="I1090" s="388" t="str">
        <f ca="1">IFERROR(IF(VLOOKUP(C1090,' Disaggregation - Section E '!A$313:J818,8,0)=0,"",VLOOKUP(C1090,' Disaggregation - Section E '!A$313:J818,8,0)),"")</f>
        <v/>
      </c>
      <c r="J1090" s="388" t="str">
        <f ca="1">IFERROR(IF(VLOOKUP(C1090,' Disaggregation - Section E '!A$313:J818,9,0)="","",VLOOKUP(C1090,' Disaggregation - Section E '!A$313:J818,9,0)),"")</f>
        <v>Electronic HIV Case Tracking System and RCHV&amp;HIV report</v>
      </c>
      <c r="K1090" s="384" t="str">
        <f ca="1">IFERROR(VLOOKUP(C1090,' Disaggregation - Section E '!A$313:J818,3,0),"")</f>
        <v>HIV O-12 Percentage of people living with HIV and on ART who are virologically suppressed</v>
      </c>
      <c r="L1090" s="388" t="str">
        <f ca="1">IFERROR(IF(VLOOKUP(C1090,' Disaggregation - Section E '!A$313:J818,10,0)="","",VLOOKUP(C1090,' Disaggregation - Section E '!A$313:J818,10,0)),"")</f>
        <v>This data is in line with the National M&amp;E reporting system. In accordance to the official data submitted by the Republican Center for the Control of Hemocontact viral hepatitis and HIV (RCCHVH&amp;HIV), as of 31 December 2022 number of adults and children receiving antiretroviral therapy in the reporting period with suppressed viral load was 2170. Thus, percentage of adults and children receiving antiretroviral therapy who were virally suppressed in the reporting period was 96,83%.</v>
      </c>
      <c r="M1090" s="385" t="str">
        <f ca="1">IFERROR(IF(VLOOKUP(C1090,' Disaggregation - Section E '!A$313:O522,15,0)=0,"",VLOOKUP(C1090,' Disaggregation - Section E '!A$313:O818,15,0)),"")</f>
        <v>IDR-01108</v>
      </c>
      <c r="N1090" s="384"/>
      <c r="O1090" s="384"/>
    </row>
    <row r="1091" spans="1:15" x14ac:dyDescent="0.3">
      <c r="A1091" s="384" t="b">
        <f t="shared" ca="1" si="129"/>
        <v>0</v>
      </c>
      <c r="B1091" s="384"/>
      <c r="C1091" s="400" t="str">
        <f ca="1">IF(COUNTA(O$885:O1091)=1,"",OFFSET(C1091,-COUNTA(O$885:O1091)+1,0))</f>
        <v>a1VDm000000PRbZMAW</v>
      </c>
      <c r="D1091" s="389"/>
      <c r="E1091" s="386" t="str">
        <f ca="1">IFERROR(IF(VLOOKUP(C1091,' Disaggregation - Section E '!A$313:J819,7,0)="","",VLOOKUP(C1091,' Disaggregation - Section E '!A$313:J819,7,0)*100),"")</f>
        <v/>
      </c>
      <c r="F1091" s="384"/>
      <c r="G1091" s="387" t="str">
        <f ca="1">IFERROR(IF(VLOOKUP(C1091,' Disaggregation - Section E '!A$313:J819,6,0)="","",VLOOKUP(C1091,' Disaggregation - Section E '!A$313:J819,6,0)),"")</f>
        <v/>
      </c>
      <c r="H1091" s="387" t="str">
        <f ca="1">IFERROR(IF(INDEX(' Disaggregation - Section E '!F$313:F819,MATCH(C1091,' Disaggregation - Section E '!A$313:A819,0)+1,1)&lt;&gt;0,INDEX(' Disaggregation - Section E '!F$313:F819,MATCH(C1091,' Disaggregation - Section E '!A$313:A819,0)+1,1),""),"")</f>
        <v/>
      </c>
      <c r="I1091" s="388" t="str">
        <f ca="1">IFERROR(IF(VLOOKUP(C1091,' Disaggregation - Section E '!A$313:J819,8,0)=0,"",VLOOKUP(C1091,' Disaggregation - Section E '!A$313:J819,8,0)),"")</f>
        <v/>
      </c>
      <c r="J1091" s="388" t="str">
        <f ca="1">IFERROR(IF(VLOOKUP(C1091,' Disaggregation - Section E '!A$313:J819,9,0)="","",VLOOKUP(C1091,' Disaggregation - Section E '!A$313:J819,9,0)),"")</f>
        <v/>
      </c>
      <c r="K1091" s="384" t="str">
        <f ca="1">IFERROR(VLOOKUP(C1091,' Disaggregation - Section E '!A$313:J819,3,0),"")</f>
        <v>HIV O-12 Percentage of people living with HIV and on ART who are virologically suppressed</v>
      </c>
      <c r="L1091" s="388" t="str">
        <f ca="1">IFERROR(IF(VLOOKUP(C1091,' Disaggregation - Section E '!A$313:J819,10,0)="","",VLOOKUP(C1091,' Disaggregation - Section E '!A$313:J819,10,0)),"")</f>
        <v/>
      </c>
      <c r="M1091" s="385" t="str">
        <f ca="1">IFERROR(IF(VLOOKUP(C1091,' Disaggregation - Section E '!A$313:O523,15,0)=0,"",VLOOKUP(C1091,' Disaggregation - Section E '!A$313:O819,15,0)),"")</f>
        <v/>
      </c>
      <c r="N1091" s="384"/>
      <c r="O1091" s="384"/>
    </row>
    <row r="1092" spans="1:15" x14ac:dyDescent="0.3">
      <c r="A1092" s="384" t="b">
        <f t="shared" ca="1" si="129"/>
        <v>0</v>
      </c>
      <c r="B1092" s="384"/>
      <c r="C1092" s="400" t="str">
        <f ca="1">IF(COUNTA(O$885:O1092)=1,"",OFFSET(C1092,-COUNTA(O$885:O1092)+1,0))</f>
        <v>a1VDm000000PRbaMAG</v>
      </c>
      <c r="D1092" s="389"/>
      <c r="E1092" s="386" t="str">
        <f ca="1">IFERROR(IF(VLOOKUP(C1092,' Disaggregation - Section E '!A$313:J820,7,0)="","",VLOOKUP(C1092,' Disaggregation - Section E '!A$313:J820,7,0)*100),"")</f>
        <v/>
      </c>
      <c r="F1092" s="384"/>
      <c r="G1092" s="387" t="str">
        <f ca="1">IFERROR(IF(VLOOKUP(C1092,' Disaggregation - Section E '!A$313:J820,6,0)="","",VLOOKUP(C1092,' Disaggregation - Section E '!A$313:J820,6,0)),"")</f>
        <v/>
      </c>
      <c r="H1092" s="387" t="str">
        <f ca="1">IFERROR(IF(INDEX(' Disaggregation - Section E '!F$313:F820,MATCH(C1092,' Disaggregation - Section E '!A$313:A820,0)+1,1)&lt;&gt;0,INDEX(' Disaggregation - Section E '!F$313:F820,MATCH(C1092,' Disaggregation - Section E '!A$313:A820,0)+1,1),""),"")</f>
        <v/>
      </c>
      <c r="I1092" s="388" t="str">
        <f ca="1">IFERROR(IF(VLOOKUP(C1092,' Disaggregation - Section E '!A$313:J820,8,0)=0,"",VLOOKUP(C1092,' Disaggregation - Section E '!A$313:J820,8,0)),"")</f>
        <v/>
      </c>
      <c r="J1092" s="388" t="str">
        <f ca="1">IFERROR(IF(VLOOKUP(C1092,' Disaggregation - Section E '!A$313:J820,9,0)="","",VLOOKUP(C1092,' Disaggregation - Section E '!A$313:J820,9,0)),"")</f>
        <v/>
      </c>
      <c r="K1092" s="384" t="str">
        <f ca="1">IFERROR(VLOOKUP(C1092,' Disaggregation - Section E '!A$313:J820,3,0),"")</f>
        <v>HIV O-12 Percentage of people living with HIV and on ART who are virologically suppressed</v>
      </c>
      <c r="L1092" s="388" t="str">
        <f ca="1">IFERROR(IF(VLOOKUP(C1092,' Disaggregation - Section E '!A$313:J820,10,0)="","",VLOOKUP(C1092,' Disaggregation - Section E '!A$313:J820,10,0)),"")</f>
        <v/>
      </c>
      <c r="M1092" s="385" t="str">
        <f ca="1">IFERROR(IF(VLOOKUP(C1092,' Disaggregation - Section E '!A$313:O524,15,0)=0,"",VLOOKUP(C1092,' Disaggregation - Section E '!A$313:O820,15,0)),"")</f>
        <v/>
      </c>
      <c r="N1092" s="384"/>
      <c r="O1092" s="384"/>
    </row>
    <row r="1093" spans="1:15" x14ac:dyDescent="0.3">
      <c r="A1093" s="384" t="b">
        <f t="shared" ca="1" si="129"/>
        <v>0</v>
      </c>
      <c r="B1093" s="384"/>
      <c r="C1093" s="400" t="str">
        <f ca="1">IF(COUNTA(O$885:O1093)=1,"",OFFSET(C1093,-COUNTA(O$885:O1093)+1,0))</f>
        <v>a1VDm000000PRbbMAG</v>
      </c>
      <c r="D1093" s="389"/>
      <c r="E1093" s="386" t="str">
        <f ca="1">IFERROR(IF(VLOOKUP(C1093,' Disaggregation - Section E '!A$313:J821,7,0)="","",VLOOKUP(C1093,' Disaggregation - Section E '!A$313:J821,7,0)*100),"")</f>
        <v/>
      </c>
      <c r="F1093" s="384"/>
      <c r="G1093" s="387" t="str">
        <f ca="1">IFERROR(IF(VLOOKUP(C1093,' Disaggregation - Section E '!A$313:J821,6,0)="","",VLOOKUP(C1093,' Disaggregation - Section E '!A$313:J821,6,0)),"")</f>
        <v/>
      </c>
      <c r="H1093" s="387" t="str">
        <f ca="1">IFERROR(IF(INDEX(' Disaggregation - Section E '!F$313:F821,MATCH(C1093,' Disaggregation - Section E '!A$313:A821,0)+1,1)&lt;&gt;0,INDEX(' Disaggregation - Section E '!F$313:F821,MATCH(C1093,' Disaggregation - Section E '!A$313:A821,0)+1,1),""),"")</f>
        <v/>
      </c>
      <c r="I1093" s="388" t="str">
        <f ca="1">IFERROR(IF(VLOOKUP(C1093,' Disaggregation - Section E '!A$313:J821,8,0)=0,"",VLOOKUP(C1093,' Disaggregation - Section E '!A$313:J821,8,0)),"")</f>
        <v/>
      </c>
      <c r="J1093" s="388" t="str">
        <f ca="1">IFERROR(IF(VLOOKUP(C1093,' Disaggregation - Section E '!A$313:J821,9,0)="","",VLOOKUP(C1093,' Disaggregation - Section E '!A$313:J821,9,0)),"")</f>
        <v/>
      </c>
      <c r="K1093" s="384" t="str">
        <f ca="1">IFERROR(VLOOKUP(C1093,' Disaggregation - Section E '!A$313:J821,3,0),"")</f>
        <v>HIV O-12 Percentage of people living with HIV and on ART who are virologically suppressed</v>
      </c>
      <c r="L1093" s="388" t="str">
        <f ca="1">IFERROR(IF(VLOOKUP(C1093,' Disaggregation - Section E '!A$313:J821,10,0)="","",VLOOKUP(C1093,' Disaggregation - Section E '!A$313:J821,10,0)),"")</f>
        <v/>
      </c>
      <c r="M1093" s="385" t="str">
        <f ca="1">IFERROR(IF(VLOOKUP(C1093,' Disaggregation - Section E '!A$313:O525,15,0)=0,"",VLOOKUP(C1093,' Disaggregation - Section E '!A$313:O821,15,0)),"")</f>
        <v/>
      </c>
      <c r="N1093" s="384"/>
      <c r="O1093" s="384"/>
    </row>
    <row r="1094" spans="1:15" x14ac:dyDescent="0.3">
      <c r="A1094" s="384" t="b">
        <f t="shared" ca="1" si="129"/>
        <v>0</v>
      </c>
      <c r="B1094" s="384"/>
      <c r="C1094" s="400" t="str">
        <f ca="1">IF(COUNTA(O$885:O1094)=1,"",OFFSET(C1094,-COUNTA(O$885:O1094)+1,0))</f>
        <v>a1VDm000000PRbcMAG</v>
      </c>
      <c r="D1094" s="389"/>
      <c r="E1094" s="386" t="str">
        <f ca="1">IFERROR(IF(VLOOKUP(C1094,' Disaggregation - Section E '!A$313:J822,7,0)="","",VLOOKUP(C1094,' Disaggregation - Section E '!A$313:J822,7,0)*100),"")</f>
        <v/>
      </c>
      <c r="F1094" s="384"/>
      <c r="G1094" s="387" t="str">
        <f ca="1">IFERROR(IF(VLOOKUP(C1094,' Disaggregation - Section E '!A$313:J822,6,0)="","",VLOOKUP(C1094,' Disaggregation - Section E '!A$313:J822,6,0)),"")</f>
        <v/>
      </c>
      <c r="H1094" s="387" t="str">
        <f ca="1">IFERROR(IF(INDEX(' Disaggregation - Section E '!F$313:F822,MATCH(C1094,' Disaggregation - Section E '!A$313:A822,0)+1,1)&lt;&gt;0,INDEX(' Disaggregation - Section E '!F$313:F822,MATCH(C1094,' Disaggregation - Section E '!A$313:A822,0)+1,1),""),"")</f>
        <v/>
      </c>
      <c r="I1094" s="388" t="str">
        <f ca="1">IFERROR(IF(VLOOKUP(C1094,' Disaggregation - Section E '!A$313:J822,8,0)=0,"",VLOOKUP(C1094,' Disaggregation - Section E '!A$313:J822,8,0)),"")</f>
        <v/>
      </c>
      <c r="J1094" s="388" t="str">
        <f ca="1">IFERROR(IF(VLOOKUP(C1094,' Disaggregation - Section E '!A$313:J822,9,0)="","",VLOOKUP(C1094,' Disaggregation - Section E '!A$313:J822,9,0)),"")</f>
        <v/>
      </c>
      <c r="K1094" s="384" t="str">
        <f ca="1">IFERROR(VLOOKUP(C1094,' Disaggregation - Section E '!A$313:J822,3,0),"")</f>
        <v>HIV O-12 Percentage of people living with HIV and on ART who are virologically suppressed</v>
      </c>
      <c r="L1094" s="388" t="str">
        <f ca="1">IFERROR(IF(VLOOKUP(C1094,' Disaggregation - Section E '!A$313:J822,10,0)="","",VLOOKUP(C1094,' Disaggregation - Section E '!A$313:J822,10,0)),"")</f>
        <v/>
      </c>
      <c r="M1094" s="385" t="str">
        <f ca="1">IFERROR(IF(VLOOKUP(C1094,' Disaggregation - Section E '!A$313:O526,15,0)=0,"",VLOOKUP(C1094,' Disaggregation - Section E '!A$313:O822,15,0)),"")</f>
        <v/>
      </c>
      <c r="N1094" s="384"/>
      <c r="O1094" s="384"/>
    </row>
    <row r="1095" spans="1:15" x14ac:dyDescent="0.3">
      <c r="A1095" s="384" t="b">
        <f t="shared" ca="1" si="129"/>
        <v>0</v>
      </c>
      <c r="B1095" s="384"/>
      <c r="C1095" s="400" t="str">
        <f ca="1">IF(COUNTA(O$885:O1095)=1,"",OFFSET(C1095,-COUNTA(O$885:O1095)+1,0))</f>
        <v>a1VDm000000PRbdMAG</v>
      </c>
      <c r="D1095" s="389"/>
      <c r="E1095" s="386" t="str">
        <f ca="1">IFERROR(IF(VLOOKUP(C1095,' Disaggregation - Section E '!A$313:J823,7,0)="","",VLOOKUP(C1095,' Disaggregation - Section E '!A$313:J823,7,0)*100),"")</f>
        <v/>
      </c>
      <c r="F1095" s="384"/>
      <c r="G1095" s="387" t="str">
        <f ca="1">IFERROR(IF(VLOOKUP(C1095,' Disaggregation - Section E '!A$313:J823,6,0)="","",VLOOKUP(C1095,' Disaggregation - Section E '!A$313:J823,6,0)),"")</f>
        <v/>
      </c>
      <c r="H1095" s="387" t="str">
        <f ca="1">IFERROR(IF(INDEX(' Disaggregation - Section E '!F$313:F823,MATCH(C1095,' Disaggregation - Section E '!A$313:A823,0)+1,1)&lt;&gt;0,INDEX(' Disaggregation - Section E '!F$313:F823,MATCH(C1095,' Disaggregation - Section E '!A$313:A823,0)+1,1),""),"")</f>
        <v/>
      </c>
      <c r="I1095" s="388" t="str">
        <f ca="1">IFERROR(IF(VLOOKUP(C1095,' Disaggregation - Section E '!A$313:J823,8,0)=0,"",VLOOKUP(C1095,' Disaggregation - Section E '!A$313:J823,8,0)),"")</f>
        <v/>
      </c>
      <c r="J1095" s="388" t="str">
        <f ca="1">IFERROR(IF(VLOOKUP(C1095,' Disaggregation - Section E '!A$313:J823,9,0)="","",VLOOKUP(C1095,' Disaggregation - Section E '!A$313:J823,9,0)),"")</f>
        <v/>
      </c>
      <c r="K1095" s="384" t="str">
        <f ca="1">IFERROR(VLOOKUP(C1095,' Disaggregation - Section E '!A$313:J823,3,0),"")</f>
        <v>HIV O-12 Percentage of people living with HIV and on ART who are virologically suppressed</v>
      </c>
      <c r="L1095" s="388" t="str">
        <f ca="1">IFERROR(IF(VLOOKUP(C1095,' Disaggregation - Section E '!A$313:J823,10,0)="","",VLOOKUP(C1095,' Disaggregation - Section E '!A$313:J823,10,0)),"")</f>
        <v/>
      </c>
      <c r="M1095" s="385" t="str">
        <f ca="1">IFERROR(IF(VLOOKUP(C1095,' Disaggregation - Section E '!A$313:O527,15,0)=0,"",VLOOKUP(C1095,' Disaggregation - Section E '!A$313:O823,15,0)),"")</f>
        <v/>
      </c>
      <c r="N1095" s="384"/>
      <c r="O1095" s="384"/>
    </row>
    <row r="1096" spans="1:15" x14ac:dyDescent="0.3">
      <c r="A1096" s="384" t="b">
        <f t="shared" ca="1" si="129"/>
        <v>0</v>
      </c>
      <c r="B1096" s="384"/>
      <c r="C1096" s="400" t="str">
        <f ca="1">IF(COUNTA(O$885:O1096)=1,"",OFFSET(C1096,-COUNTA(O$885:O1096)+1,0))</f>
        <v>a1VDm000000PRbeMAG</v>
      </c>
      <c r="D1096" s="389"/>
      <c r="E1096" s="386" t="str">
        <f ca="1">IFERROR(IF(VLOOKUP(C1096,' Disaggregation - Section E '!A$313:J824,7,0)="","",VLOOKUP(C1096,' Disaggregation - Section E '!A$313:J824,7,0)*100),"")</f>
        <v/>
      </c>
      <c r="F1096" s="384"/>
      <c r="G1096" s="387" t="str">
        <f ca="1">IFERROR(IF(VLOOKUP(C1096,' Disaggregation - Section E '!A$313:J824,6,0)="","",VLOOKUP(C1096,' Disaggregation - Section E '!A$313:J824,6,0)),"")</f>
        <v/>
      </c>
      <c r="H1096" s="387" t="str">
        <f ca="1">IFERROR(IF(INDEX(' Disaggregation - Section E '!F$313:F824,MATCH(C1096,' Disaggregation - Section E '!A$313:A824,0)+1,1)&lt;&gt;0,INDEX(' Disaggregation - Section E '!F$313:F824,MATCH(C1096,' Disaggregation - Section E '!A$313:A824,0)+1,1),""),"")</f>
        <v/>
      </c>
      <c r="I1096" s="388" t="str">
        <f ca="1">IFERROR(IF(VLOOKUP(C1096,' Disaggregation - Section E '!A$313:J824,8,0)=0,"",VLOOKUP(C1096,' Disaggregation - Section E '!A$313:J824,8,0)),"")</f>
        <v/>
      </c>
      <c r="J1096" s="388" t="str">
        <f ca="1">IFERROR(IF(VLOOKUP(C1096,' Disaggregation - Section E '!A$313:J824,9,0)="","",VLOOKUP(C1096,' Disaggregation - Section E '!A$313:J824,9,0)),"")</f>
        <v/>
      </c>
      <c r="K1096" s="384" t="str">
        <f ca="1">IFERROR(VLOOKUP(C1096,' Disaggregation - Section E '!A$313:J824,3,0),"")</f>
        <v>HIV O-12 Percentage of people living with HIV and on ART who are virologically suppressed</v>
      </c>
      <c r="L1096" s="388" t="str">
        <f ca="1">IFERROR(IF(VLOOKUP(C1096,' Disaggregation - Section E '!A$313:J824,10,0)="","",VLOOKUP(C1096,' Disaggregation - Section E '!A$313:J824,10,0)),"")</f>
        <v/>
      </c>
      <c r="M1096" s="385" t="str">
        <f ca="1">IFERROR(IF(VLOOKUP(C1096,' Disaggregation - Section E '!A$313:O528,15,0)=0,"",VLOOKUP(C1096,' Disaggregation - Section E '!A$313:O824,15,0)),"")</f>
        <v/>
      </c>
      <c r="N1096" s="384"/>
      <c r="O1096" s="384"/>
    </row>
    <row r="1097" spans="1:15" x14ac:dyDescent="0.3">
      <c r="A1097" s="384" t="b">
        <f t="shared" ca="1" si="129"/>
        <v>0</v>
      </c>
      <c r="B1097" s="384"/>
      <c r="C1097" s="400" t="str">
        <f ca="1">IF(COUNTA(O$885:O1097)=1,"",OFFSET(C1097,-COUNTA(O$885:O1097)+1,0))</f>
        <v>a1VDm000000PRbfMAG</v>
      </c>
      <c r="D1097" s="389"/>
      <c r="E1097" s="386" t="str">
        <f ca="1">IFERROR(IF(VLOOKUP(C1097,' Disaggregation - Section E '!A$313:J825,7,0)="","",VLOOKUP(C1097,' Disaggregation - Section E '!A$313:J825,7,0)*100),"")</f>
        <v/>
      </c>
      <c r="F1097" s="384"/>
      <c r="G1097" s="387" t="str">
        <f ca="1">IFERROR(IF(VLOOKUP(C1097,' Disaggregation - Section E '!A$313:J825,6,0)="","",VLOOKUP(C1097,' Disaggregation - Section E '!A$313:J825,6,0)),"")</f>
        <v/>
      </c>
      <c r="H1097" s="387" t="str">
        <f ca="1">IFERROR(IF(INDEX(' Disaggregation - Section E '!F$313:F825,MATCH(C1097,' Disaggregation - Section E '!A$313:A825,0)+1,1)&lt;&gt;0,INDEX(' Disaggregation - Section E '!F$313:F825,MATCH(C1097,' Disaggregation - Section E '!A$313:A825,0)+1,1),""),"")</f>
        <v/>
      </c>
      <c r="I1097" s="388" t="str">
        <f ca="1">IFERROR(IF(VLOOKUP(C1097,' Disaggregation - Section E '!A$313:J825,8,0)=0,"",VLOOKUP(C1097,' Disaggregation - Section E '!A$313:J825,8,0)),"")</f>
        <v/>
      </c>
      <c r="J1097" s="388" t="str">
        <f ca="1">IFERROR(IF(VLOOKUP(C1097,' Disaggregation - Section E '!A$313:J825,9,0)="","",VLOOKUP(C1097,' Disaggregation - Section E '!A$313:J825,9,0)),"")</f>
        <v/>
      </c>
      <c r="K1097" s="384" t="str">
        <f ca="1">IFERROR(VLOOKUP(C1097,' Disaggregation - Section E '!A$313:J825,3,0),"")</f>
        <v>HIV O-15 Percentage of people living with HIV who report experiences of HIV-related discrimination in health-care settings</v>
      </c>
      <c r="L1097" s="388" t="str">
        <f ca="1">IFERROR(IF(VLOOKUP(C1097,' Disaggregation - Section E '!A$313:J825,10,0)="","",VLOOKUP(C1097,' Disaggregation - Section E '!A$313:J825,10,0)),"")</f>
        <v/>
      </c>
      <c r="M1097" s="385" t="str">
        <f ca="1">IFERROR(IF(VLOOKUP(C1097,' Disaggregation - Section E '!A$313:O529,15,0)=0,"",VLOOKUP(C1097,' Disaggregation - Section E '!A$313:O825,15,0)),"")</f>
        <v/>
      </c>
      <c r="N1097" s="384"/>
      <c r="O1097" s="384"/>
    </row>
    <row r="1098" spans="1:15" x14ac:dyDescent="0.3">
      <c r="A1098" s="384" t="b">
        <f t="shared" ca="1" si="129"/>
        <v>0</v>
      </c>
      <c r="B1098" s="384"/>
      <c r="C1098" s="400" t="str">
        <f ca="1">IF(COUNTA(O$885:O1098)=1,"",OFFSET(C1098,-COUNTA(O$885:O1098)+1,0))</f>
        <v>a1VDm000000PRbgMAG</v>
      </c>
      <c r="D1098" s="389"/>
      <c r="E1098" s="386" t="str">
        <f ca="1">IFERROR(IF(VLOOKUP(C1098,' Disaggregation - Section E '!A$313:J826,7,0)="","",VLOOKUP(C1098,' Disaggregation - Section E '!A$313:J826,7,0)*100),"")</f>
        <v/>
      </c>
      <c r="F1098" s="384"/>
      <c r="G1098" s="387" t="str">
        <f ca="1">IFERROR(IF(VLOOKUP(C1098,' Disaggregation - Section E '!A$313:J826,6,0)="","",VLOOKUP(C1098,' Disaggregation - Section E '!A$313:J826,6,0)),"")</f>
        <v/>
      </c>
      <c r="H1098" s="387" t="str">
        <f ca="1">IFERROR(IF(INDEX(' Disaggregation - Section E '!F$313:F826,MATCH(C1098,' Disaggregation - Section E '!A$313:A826,0)+1,1)&lt;&gt;0,INDEX(' Disaggregation - Section E '!F$313:F826,MATCH(C1098,' Disaggregation - Section E '!A$313:A826,0)+1,1),""),"")</f>
        <v/>
      </c>
      <c r="I1098" s="388" t="str">
        <f ca="1">IFERROR(IF(VLOOKUP(C1098,' Disaggregation - Section E '!A$313:J826,8,0)=0,"",VLOOKUP(C1098,' Disaggregation - Section E '!A$313:J826,8,0)),"")</f>
        <v/>
      </c>
      <c r="J1098" s="388" t="str">
        <f ca="1">IFERROR(IF(VLOOKUP(C1098,' Disaggregation - Section E '!A$313:J826,9,0)="","",VLOOKUP(C1098,' Disaggregation - Section E '!A$313:J826,9,0)),"")</f>
        <v/>
      </c>
      <c r="K1098" s="384" t="str">
        <f ca="1">IFERROR(VLOOKUP(C1098,' Disaggregation - Section E '!A$313:J826,3,0),"")</f>
        <v>HIV O-15 Percentage of people living with HIV who report experiences of HIV-related discrimination in health-care settings</v>
      </c>
      <c r="L1098" s="388" t="str">
        <f ca="1">IFERROR(IF(VLOOKUP(C1098,' Disaggregation - Section E '!A$313:J826,10,0)="","",VLOOKUP(C1098,' Disaggregation - Section E '!A$313:J826,10,0)),"")</f>
        <v/>
      </c>
      <c r="M1098" s="385" t="str">
        <f ca="1">IFERROR(IF(VLOOKUP(C1098,' Disaggregation - Section E '!A$313:O530,15,0)=0,"",VLOOKUP(C1098,' Disaggregation - Section E '!A$313:O826,15,0)),"")</f>
        <v/>
      </c>
      <c r="N1098" s="384"/>
      <c r="O1098" s="384"/>
    </row>
    <row r="1099" spans="1:15" x14ac:dyDescent="0.3">
      <c r="A1099" s="384" t="b">
        <f t="shared" ca="1" si="129"/>
        <v>0</v>
      </c>
      <c r="B1099" s="384"/>
      <c r="C1099" s="400" t="str">
        <f ca="1">IF(COUNTA(O$885:O1099)=1,"",OFFSET(C1099,-COUNTA(O$885:O1099)+1,0))</f>
        <v>a1VDm000000PRbhMAG</v>
      </c>
      <c r="D1099" s="389"/>
      <c r="E1099" s="386" t="str">
        <f ca="1">IFERROR(IF(VLOOKUP(C1099,' Disaggregation - Section E '!A$313:J827,7,0)="","",VLOOKUP(C1099,' Disaggregation - Section E '!A$313:J827,7,0)*100),"")</f>
        <v/>
      </c>
      <c r="F1099" s="384"/>
      <c r="G1099" s="387" t="str">
        <f ca="1">IFERROR(IF(VLOOKUP(C1099,' Disaggregation - Section E '!A$313:J827,6,0)="","",VLOOKUP(C1099,' Disaggregation - Section E '!A$313:J827,6,0)),"")</f>
        <v/>
      </c>
      <c r="H1099" s="387" t="str">
        <f ca="1">IFERROR(IF(INDEX(' Disaggregation - Section E '!F$313:F827,MATCH(C1099,' Disaggregation - Section E '!A$313:A827,0)+1,1)&lt;&gt;0,INDEX(' Disaggregation - Section E '!F$313:F827,MATCH(C1099,' Disaggregation - Section E '!A$313:A827,0)+1,1),""),"")</f>
        <v/>
      </c>
      <c r="I1099" s="388" t="str">
        <f ca="1">IFERROR(IF(VLOOKUP(C1099,' Disaggregation - Section E '!A$313:J827,8,0)=0,"",VLOOKUP(C1099,' Disaggregation - Section E '!A$313:J827,8,0)),"")</f>
        <v/>
      </c>
      <c r="J1099" s="388" t="str">
        <f ca="1">IFERROR(IF(VLOOKUP(C1099,' Disaggregation - Section E '!A$313:J827,9,0)="","",VLOOKUP(C1099,' Disaggregation - Section E '!A$313:J827,9,0)),"")</f>
        <v/>
      </c>
      <c r="K1099" s="384" t="str">
        <f ca="1">IFERROR(VLOOKUP(C1099,' Disaggregation - Section E '!A$313:J827,3,0),"")</f>
        <v>HIV O-15 Percentage of people living with HIV who report experiences of HIV-related discrimination in health-care settings</v>
      </c>
      <c r="L1099" s="388" t="str">
        <f ca="1">IFERROR(IF(VLOOKUP(C1099,' Disaggregation - Section E '!A$313:J827,10,0)="","",VLOOKUP(C1099,' Disaggregation - Section E '!A$313:J827,10,0)),"")</f>
        <v/>
      </c>
      <c r="M1099" s="385" t="str">
        <f ca="1">IFERROR(IF(VLOOKUP(C1099,' Disaggregation - Section E '!A$313:O531,15,0)=0,"",VLOOKUP(C1099,' Disaggregation - Section E '!A$313:O827,15,0)),"")</f>
        <v/>
      </c>
      <c r="N1099" s="384"/>
      <c r="O1099" s="384"/>
    </row>
    <row r="1100" spans="1:15" x14ac:dyDescent="0.3">
      <c r="A1100" s="384" t="b">
        <f t="shared" ca="1" si="129"/>
        <v>0</v>
      </c>
      <c r="B1100" s="384"/>
      <c r="C1100" s="400" t="str">
        <f ca="1">IF(COUNTA(O$885:O1100)=1,"",OFFSET(C1100,-COUNTA(O$885:O1100)+1,0))</f>
        <v>a1VDm000000PRbiMAG</v>
      </c>
      <c r="D1100" s="389"/>
      <c r="E1100" s="386" t="str">
        <f ca="1">IFERROR(IF(VLOOKUP(C1100,' Disaggregation - Section E '!A$313:J828,7,0)="","",VLOOKUP(C1100,' Disaggregation - Section E '!A$313:J828,7,0)*100),"")</f>
        <v/>
      </c>
      <c r="F1100" s="384"/>
      <c r="G1100" s="387" t="str">
        <f ca="1">IFERROR(IF(VLOOKUP(C1100,' Disaggregation - Section E '!A$313:J828,6,0)="","",VLOOKUP(C1100,' Disaggregation - Section E '!A$313:J828,6,0)),"")</f>
        <v/>
      </c>
      <c r="H1100" s="387" t="str">
        <f ca="1">IFERROR(IF(INDEX(' Disaggregation - Section E '!F$313:F828,MATCH(C1100,' Disaggregation - Section E '!A$313:A828,0)+1,1)&lt;&gt;0,INDEX(' Disaggregation - Section E '!F$313:F828,MATCH(C1100,' Disaggregation - Section E '!A$313:A828,0)+1,1),""),"")</f>
        <v/>
      </c>
      <c r="I1100" s="388" t="str">
        <f ca="1">IFERROR(IF(VLOOKUP(C1100,' Disaggregation - Section E '!A$313:J828,8,0)=0,"",VLOOKUP(C1100,' Disaggregation - Section E '!A$313:J828,8,0)),"")</f>
        <v/>
      </c>
      <c r="J1100" s="388" t="str">
        <f ca="1">IFERROR(IF(VLOOKUP(C1100,' Disaggregation - Section E '!A$313:J828,9,0)="","",VLOOKUP(C1100,' Disaggregation - Section E '!A$313:J828,9,0)),"")</f>
        <v/>
      </c>
      <c r="K1100" s="384" t="str">
        <f ca="1">IFERROR(VLOOKUP(C1100,' Disaggregation - Section E '!A$313:J828,3,0),"")</f>
        <v>HIV O-15 Percentage of people living with HIV who report experiences of HIV-related discrimination in health-care settings</v>
      </c>
      <c r="L1100" s="388" t="str">
        <f ca="1">IFERROR(IF(VLOOKUP(C1100,' Disaggregation - Section E '!A$313:J828,10,0)="","",VLOOKUP(C1100,' Disaggregation - Section E '!A$313:J828,10,0)),"")</f>
        <v/>
      </c>
      <c r="M1100" s="385" t="str">
        <f ca="1">IFERROR(IF(VLOOKUP(C1100,' Disaggregation - Section E '!A$313:O532,15,0)=0,"",VLOOKUP(C1100,' Disaggregation - Section E '!A$313:O828,15,0)),"")</f>
        <v/>
      </c>
      <c r="N1100" s="384"/>
      <c r="O1100" s="384"/>
    </row>
    <row r="1101" spans="1:15" x14ac:dyDescent="0.3">
      <c r="A1101" s="384" t="b">
        <f t="shared" ref="A1101:A1164" ca="1" si="130">IF(M1101&lt;&gt;"",TRUE,FALSE)</f>
        <v>0</v>
      </c>
      <c r="B1101" s="384"/>
      <c r="C1101" s="400" t="str">
        <f ca="1">IF(COUNTA(O$885:O1101)=1,"",OFFSET(C1101,-COUNTA(O$885:O1101)+1,0))</f>
        <v>a1VDm000000PRbjMAG</v>
      </c>
      <c r="D1101" s="389"/>
      <c r="E1101" s="386" t="str">
        <f ca="1">IFERROR(IF(VLOOKUP(C1101,' Disaggregation - Section E '!A$313:J829,7,0)="","",VLOOKUP(C1101,' Disaggregation - Section E '!A$313:J829,7,0)*100),"")</f>
        <v/>
      </c>
      <c r="F1101" s="384"/>
      <c r="G1101" s="387" t="str">
        <f ca="1">IFERROR(IF(VLOOKUP(C1101,' Disaggregation - Section E '!A$313:J829,6,0)="","",VLOOKUP(C1101,' Disaggregation - Section E '!A$313:J829,6,0)),"")</f>
        <v/>
      </c>
      <c r="H1101" s="387" t="str">
        <f ca="1">IFERROR(IF(INDEX(' Disaggregation - Section E '!F$313:F829,MATCH(C1101,' Disaggregation - Section E '!A$313:A829,0)+1,1)&lt;&gt;0,INDEX(' Disaggregation - Section E '!F$313:F829,MATCH(C1101,' Disaggregation - Section E '!A$313:A829,0)+1,1),""),"")</f>
        <v/>
      </c>
      <c r="I1101" s="388" t="str">
        <f ca="1">IFERROR(IF(VLOOKUP(C1101,' Disaggregation - Section E '!A$313:J829,8,0)=0,"",VLOOKUP(C1101,' Disaggregation - Section E '!A$313:J829,8,0)),"")</f>
        <v/>
      </c>
      <c r="J1101" s="388" t="str">
        <f ca="1">IFERROR(IF(VLOOKUP(C1101,' Disaggregation - Section E '!A$313:J829,9,0)="","",VLOOKUP(C1101,' Disaggregation - Section E '!A$313:J829,9,0)),"")</f>
        <v/>
      </c>
      <c r="K1101" s="384" t="str">
        <f ca="1">IFERROR(VLOOKUP(C1101,' Disaggregation - Section E '!A$313:J829,3,0),"")</f>
        <v>HIV O-15 Percentage of people living with HIV who report experiences of HIV-related discrimination in health-care settings</v>
      </c>
      <c r="L1101" s="388" t="str">
        <f ca="1">IFERROR(IF(VLOOKUP(C1101,' Disaggregation - Section E '!A$313:J829,10,0)="","",VLOOKUP(C1101,' Disaggregation - Section E '!A$313:J829,10,0)),"")</f>
        <v/>
      </c>
      <c r="M1101" s="385" t="str">
        <f ca="1">IFERROR(IF(VLOOKUP(C1101,' Disaggregation - Section E '!A$313:O533,15,0)=0,"",VLOOKUP(C1101,' Disaggregation - Section E '!A$313:O829,15,0)),"")</f>
        <v/>
      </c>
      <c r="N1101" s="384"/>
      <c r="O1101" s="384"/>
    </row>
    <row r="1102" spans="1:15" x14ac:dyDescent="0.3">
      <c r="A1102" s="384" t="b">
        <f t="shared" ca="1" si="130"/>
        <v>0</v>
      </c>
      <c r="B1102" s="384"/>
      <c r="C1102" s="400" t="str">
        <f ca="1">IF(COUNTA(O$885:O1102)=1,"",OFFSET(C1102,-COUNTA(O$885:O1102)+1,0))</f>
        <v>a1VDm000000PRbkMAG</v>
      </c>
      <c r="D1102" s="389"/>
      <c r="E1102" s="386" t="str">
        <f ca="1">IFERROR(IF(VLOOKUP(C1102,' Disaggregation - Section E '!A$313:J830,7,0)="","",VLOOKUP(C1102,' Disaggregation - Section E '!A$313:J830,7,0)*100),"")</f>
        <v/>
      </c>
      <c r="F1102" s="384"/>
      <c r="G1102" s="387" t="str">
        <f ca="1">IFERROR(IF(VLOOKUP(C1102,' Disaggregation - Section E '!A$313:J830,6,0)="","",VLOOKUP(C1102,' Disaggregation - Section E '!A$313:J830,6,0)),"")</f>
        <v/>
      </c>
      <c r="H1102" s="387" t="str">
        <f ca="1">IFERROR(IF(INDEX(' Disaggregation - Section E '!F$313:F830,MATCH(C1102,' Disaggregation - Section E '!A$313:A830,0)+1,1)&lt;&gt;0,INDEX(' Disaggregation - Section E '!F$313:F830,MATCH(C1102,' Disaggregation - Section E '!A$313:A830,0)+1,1),""),"")</f>
        <v/>
      </c>
      <c r="I1102" s="388" t="str">
        <f ca="1">IFERROR(IF(VLOOKUP(C1102,' Disaggregation - Section E '!A$313:J830,8,0)=0,"",VLOOKUP(C1102,' Disaggregation - Section E '!A$313:J830,8,0)),"")</f>
        <v/>
      </c>
      <c r="J1102" s="388" t="str">
        <f ca="1">IFERROR(IF(VLOOKUP(C1102,' Disaggregation - Section E '!A$313:J830,9,0)="","",VLOOKUP(C1102,' Disaggregation - Section E '!A$313:J830,9,0)),"")</f>
        <v/>
      </c>
      <c r="K1102" s="384" t="str">
        <f ca="1">IFERROR(VLOOKUP(C1102,' Disaggregation - Section E '!A$313:J830,3,0),"")</f>
        <v>HIV O-15 Percentage of people living with HIV who report experiences of HIV-related discrimination in health-care settings</v>
      </c>
      <c r="L1102" s="388" t="str">
        <f ca="1">IFERROR(IF(VLOOKUP(C1102,' Disaggregation - Section E '!A$313:J830,10,0)="","",VLOOKUP(C1102,' Disaggregation - Section E '!A$313:J830,10,0)),"")</f>
        <v/>
      </c>
      <c r="M1102" s="385" t="str">
        <f ca="1">IFERROR(IF(VLOOKUP(C1102,' Disaggregation - Section E '!A$313:O534,15,0)=0,"",VLOOKUP(C1102,' Disaggregation - Section E '!A$313:O830,15,0)),"")</f>
        <v/>
      </c>
      <c r="N1102" s="384"/>
      <c r="O1102" s="384"/>
    </row>
    <row r="1103" spans="1:15" x14ac:dyDescent="0.3">
      <c r="A1103" s="384" t="b">
        <f t="shared" ca="1" si="130"/>
        <v>0</v>
      </c>
      <c r="B1103" s="384"/>
      <c r="C1103" s="400" t="str">
        <f ca="1">IF(COUNTA(O$885:O1103)=1,"",OFFSET(C1103,-COUNTA(O$885:O1103)+1,0))</f>
        <v>a1VDm000000PRblMAG</v>
      </c>
      <c r="D1103" s="389"/>
      <c r="E1103" s="386" t="str">
        <f ca="1">IFERROR(IF(VLOOKUP(C1103,' Disaggregation - Section E '!A$313:J831,7,0)="","",VLOOKUP(C1103,' Disaggregation - Section E '!A$313:J831,7,0)*100),"")</f>
        <v/>
      </c>
      <c r="F1103" s="384"/>
      <c r="G1103" s="387" t="str">
        <f ca="1">IFERROR(IF(VLOOKUP(C1103,' Disaggregation - Section E '!A$313:J831,6,0)="","",VLOOKUP(C1103,' Disaggregation - Section E '!A$313:J831,6,0)),"")</f>
        <v/>
      </c>
      <c r="H1103" s="387" t="str">
        <f ca="1">IFERROR(IF(INDEX(' Disaggregation - Section E '!F$313:F831,MATCH(C1103,' Disaggregation - Section E '!A$313:A831,0)+1,1)&lt;&gt;0,INDEX(' Disaggregation - Section E '!F$313:F831,MATCH(C1103,' Disaggregation - Section E '!A$313:A831,0)+1,1),""),"")</f>
        <v/>
      </c>
      <c r="I1103" s="388" t="str">
        <f ca="1">IFERROR(IF(VLOOKUP(C1103,' Disaggregation - Section E '!A$313:J831,8,0)=0,"",VLOOKUP(C1103,' Disaggregation - Section E '!A$313:J831,8,0)),"")</f>
        <v/>
      </c>
      <c r="J1103" s="388" t="str">
        <f ca="1">IFERROR(IF(VLOOKUP(C1103,' Disaggregation - Section E '!A$313:J831,9,0)="","",VLOOKUP(C1103,' Disaggregation - Section E '!A$313:J831,9,0)),"")</f>
        <v/>
      </c>
      <c r="K1103" s="384" t="str">
        <f ca="1">IFERROR(VLOOKUP(C1103,' Disaggregation - Section E '!A$313:J831,3,0),"")</f>
        <v>HIV O-15 Percentage of people living with HIV who report experiences of HIV-related discrimination in health-care settings</v>
      </c>
      <c r="L1103" s="388" t="str">
        <f ca="1">IFERROR(IF(VLOOKUP(C1103,' Disaggregation - Section E '!A$313:J831,10,0)="","",VLOOKUP(C1103,' Disaggregation - Section E '!A$313:J831,10,0)),"")</f>
        <v/>
      </c>
      <c r="M1103" s="385" t="str">
        <f ca="1">IFERROR(IF(VLOOKUP(C1103,' Disaggregation - Section E '!A$313:O535,15,0)=0,"",VLOOKUP(C1103,' Disaggregation - Section E '!A$313:O831,15,0)),"")</f>
        <v/>
      </c>
      <c r="N1103" s="384"/>
      <c r="O1103" s="384"/>
    </row>
    <row r="1104" spans="1:15" x14ac:dyDescent="0.3">
      <c r="A1104" s="384" t="b">
        <f t="shared" ca="1" si="130"/>
        <v>0</v>
      </c>
      <c r="B1104" s="384"/>
      <c r="C1104" s="400" t="str">
        <f ca="1">IF(COUNTA(O$885:O1104)=1,"",OFFSET(C1104,-COUNTA(O$885:O1104)+1,0))</f>
        <v>a1VDm000000PRbmMAG</v>
      </c>
      <c r="D1104" s="389"/>
      <c r="E1104" s="386" t="str">
        <f ca="1">IFERROR(IF(VLOOKUP(C1104,' Disaggregation - Section E '!A$313:J832,7,0)="","",VLOOKUP(C1104,' Disaggregation - Section E '!A$313:J832,7,0)*100),"")</f>
        <v/>
      </c>
      <c r="F1104" s="384"/>
      <c r="G1104" s="387" t="str">
        <f ca="1">IFERROR(IF(VLOOKUP(C1104,' Disaggregation - Section E '!A$313:J832,6,0)="","",VLOOKUP(C1104,' Disaggregation - Section E '!A$313:J832,6,0)),"")</f>
        <v/>
      </c>
      <c r="H1104" s="387" t="str">
        <f ca="1">IFERROR(IF(INDEX(' Disaggregation - Section E '!F$313:F832,MATCH(C1104,' Disaggregation - Section E '!A$313:A832,0)+1,1)&lt;&gt;0,INDEX(' Disaggregation - Section E '!F$313:F832,MATCH(C1104,' Disaggregation - Section E '!A$313:A832,0)+1,1),""),"")</f>
        <v/>
      </c>
      <c r="I1104" s="388" t="str">
        <f ca="1">IFERROR(IF(VLOOKUP(C1104,' Disaggregation - Section E '!A$313:J832,8,0)=0,"",VLOOKUP(C1104,' Disaggregation - Section E '!A$313:J832,8,0)),"")</f>
        <v/>
      </c>
      <c r="J1104" s="388" t="str">
        <f ca="1">IFERROR(IF(VLOOKUP(C1104,' Disaggregation - Section E '!A$313:J832,9,0)="","",VLOOKUP(C1104,' Disaggregation - Section E '!A$313:J832,9,0)),"")</f>
        <v/>
      </c>
      <c r="K1104" s="384" t="str">
        <f ca="1">IFERROR(VLOOKUP(C1104,' Disaggregation - Section E '!A$313:J832,3,0),"")</f>
        <v>HIV O-15 Percentage of people living with HIV who report experiences of HIV-related discrimination in health-care settings</v>
      </c>
      <c r="L1104" s="388" t="str">
        <f ca="1">IFERROR(IF(VLOOKUP(C1104,' Disaggregation - Section E '!A$313:J832,10,0)="","",VLOOKUP(C1104,' Disaggregation - Section E '!A$313:J832,10,0)),"")</f>
        <v/>
      </c>
      <c r="M1104" s="385" t="str">
        <f ca="1">IFERROR(IF(VLOOKUP(C1104,' Disaggregation - Section E '!A$313:O536,15,0)=0,"",VLOOKUP(C1104,' Disaggregation - Section E '!A$313:O832,15,0)),"")</f>
        <v/>
      </c>
      <c r="N1104" s="384"/>
      <c r="O1104" s="384"/>
    </row>
    <row r="1105" spans="1:15" x14ac:dyDescent="0.3">
      <c r="A1105" s="384" t="b">
        <f t="shared" ca="1" si="130"/>
        <v>0</v>
      </c>
      <c r="B1105" s="384"/>
      <c r="C1105" s="400" t="str">
        <f ca="1">IF(COUNTA(O$885:O1105)=1,"",OFFSET(C1105,-COUNTA(O$885:O1105)+1,0))</f>
        <v>a1VDm000000PRbnMAG</v>
      </c>
      <c r="D1105" s="389"/>
      <c r="E1105" s="386" t="str">
        <f ca="1">IFERROR(IF(VLOOKUP(C1105,' Disaggregation - Section E '!A$313:J833,7,0)="","",VLOOKUP(C1105,' Disaggregation - Section E '!A$313:J833,7,0)*100),"")</f>
        <v/>
      </c>
      <c r="F1105" s="384"/>
      <c r="G1105" s="387" t="str">
        <f ca="1">IFERROR(IF(VLOOKUP(C1105,' Disaggregation - Section E '!A$313:J833,6,0)="","",VLOOKUP(C1105,' Disaggregation - Section E '!A$313:J833,6,0)),"")</f>
        <v/>
      </c>
      <c r="H1105" s="387" t="str">
        <f ca="1">IFERROR(IF(INDEX(' Disaggregation - Section E '!F$313:F833,MATCH(C1105,' Disaggregation - Section E '!A$313:A833,0)+1,1)&lt;&gt;0,INDEX(' Disaggregation - Section E '!F$313:F833,MATCH(C1105,' Disaggregation - Section E '!A$313:A833,0)+1,1),""),"")</f>
        <v/>
      </c>
      <c r="I1105" s="388" t="str">
        <f ca="1">IFERROR(IF(VLOOKUP(C1105,' Disaggregation - Section E '!A$313:J833,8,0)=0,"",VLOOKUP(C1105,' Disaggregation - Section E '!A$313:J833,8,0)),"")</f>
        <v/>
      </c>
      <c r="J1105" s="388" t="str">
        <f ca="1">IFERROR(IF(VLOOKUP(C1105,' Disaggregation - Section E '!A$313:J833,9,0)="","",VLOOKUP(C1105,' Disaggregation - Section E '!A$313:J833,9,0)),"")</f>
        <v/>
      </c>
      <c r="K1105" s="384" t="str">
        <f ca="1">IFERROR(VLOOKUP(C1105,' Disaggregation - Section E '!A$313:J833,3,0),"")</f>
        <v>HIV O-15 Percentage of people living with HIV who report experiences of HIV-related discrimination in health-care settings</v>
      </c>
      <c r="L1105" s="388" t="str">
        <f ca="1">IFERROR(IF(VLOOKUP(C1105,' Disaggregation - Section E '!A$313:J833,10,0)="","",VLOOKUP(C1105,' Disaggregation - Section E '!A$313:J833,10,0)),"")</f>
        <v/>
      </c>
      <c r="M1105" s="385" t="str">
        <f ca="1">IFERROR(IF(VLOOKUP(C1105,' Disaggregation - Section E '!A$313:O537,15,0)=0,"",VLOOKUP(C1105,' Disaggregation - Section E '!A$313:O833,15,0)),"")</f>
        <v/>
      </c>
      <c r="N1105" s="384"/>
      <c r="O1105" s="384"/>
    </row>
    <row r="1106" spans="1:15" x14ac:dyDescent="0.3">
      <c r="A1106" s="384" t="b">
        <f t="shared" ca="1" si="130"/>
        <v>0</v>
      </c>
      <c r="B1106" s="384"/>
      <c r="C1106" s="400" t="str">
        <f ca="1">IF(COUNTA(O$885:O1106)=1,"",OFFSET(C1106,-COUNTA(O$885:O1106)+1,0))</f>
        <v>a1VDm000000PRboMAG</v>
      </c>
      <c r="D1106" s="389"/>
      <c r="E1106" s="386" t="str">
        <f ca="1">IFERROR(IF(VLOOKUP(C1106,' Disaggregation - Section E '!A$313:J834,7,0)="","",VLOOKUP(C1106,' Disaggregation - Section E '!A$313:J834,7,0)*100),"")</f>
        <v/>
      </c>
      <c r="F1106" s="384"/>
      <c r="G1106" s="387" t="str">
        <f ca="1">IFERROR(IF(VLOOKUP(C1106,' Disaggregation - Section E '!A$313:J834,6,0)="","",VLOOKUP(C1106,' Disaggregation - Section E '!A$313:J834,6,0)),"")</f>
        <v/>
      </c>
      <c r="H1106" s="387" t="str">
        <f ca="1">IFERROR(IF(INDEX(' Disaggregation - Section E '!F$313:F834,MATCH(C1106,' Disaggregation - Section E '!A$313:A834,0)+1,1)&lt;&gt;0,INDEX(' Disaggregation - Section E '!F$313:F834,MATCH(C1106,' Disaggregation - Section E '!A$313:A834,0)+1,1),""),"")</f>
        <v/>
      </c>
      <c r="I1106" s="388" t="str">
        <f ca="1">IFERROR(IF(VLOOKUP(C1106,' Disaggregation - Section E '!A$313:J834,8,0)=0,"",VLOOKUP(C1106,' Disaggregation - Section E '!A$313:J834,8,0)),"")</f>
        <v/>
      </c>
      <c r="J1106" s="388" t="str">
        <f ca="1">IFERROR(IF(VLOOKUP(C1106,' Disaggregation - Section E '!A$313:J834,9,0)="","",VLOOKUP(C1106,' Disaggregation - Section E '!A$313:J834,9,0)),"")</f>
        <v/>
      </c>
      <c r="K1106" s="384" t="str">
        <f ca="1">IFERROR(VLOOKUP(C1106,' Disaggregation - Section E '!A$313:J834,3,0),"")</f>
        <v>HIV O-15 Percentage of people living with HIV who report experiences of HIV-related discrimination in health-care settings</v>
      </c>
      <c r="L1106" s="388" t="str">
        <f ca="1">IFERROR(IF(VLOOKUP(C1106,' Disaggregation - Section E '!A$313:J834,10,0)="","",VLOOKUP(C1106,' Disaggregation - Section E '!A$313:J834,10,0)),"")</f>
        <v/>
      </c>
      <c r="M1106" s="385" t="str">
        <f ca="1">IFERROR(IF(VLOOKUP(C1106,' Disaggregation - Section E '!A$313:O538,15,0)=0,"",VLOOKUP(C1106,' Disaggregation - Section E '!A$313:O834,15,0)),"")</f>
        <v/>
      </c>
      <c r="N1106" s="384"/>
      <c r="O1106" s="384"/>
    </row>
    <row r="1107" spans="1:15" x14ac:dyDescent="0.3">
      <c r="A1107" s="384" t="b">
        <f t="shared" ca="1" si="130"/>
        <v>1</v>
      </c>
      <c r="B1107" s="384"/>
      <c r="C1107" s="400" t="str">
        <f ca="1">IF(COUNTA(O$885:O1107)=1,"",OFFSET(C1107,-COUNTA(O$885:O1107)+1,0))</f>
        <v>a1VDm000000PRbpMAG</v>
      </c>
      <c r="D1107" s="389"/>
      <c r="E1107" s="386" t="str">
        <f ca="1">IFERROR(IF(VLOOKUP(C1107,' Disaggregation - Section E '!A$313:J835,7,0)="","",VLOOKUP(C1107,' Disaggregation - Section E '!A$313:J835,7,0)*100),"")</f>
        <v/>
      </c>
      <c r="F1107" s="384"/>
      <c r="G1107" s="387" t="str">
        <f ca="1">IFERROR(IF(VLOOKUP(C1107,' Disaggregation - Section E '!A$313:J835,6,0)="","",VLOOKUP(C1107,' Disaggregation - Section E '!A$313:J835,6,0)),"")</f>
        <v/>
      </c>
      <c r="H1107" s="387" t="str">
        <f ca="1">IFERROR(IF(INDEX(' Disaggregation - Section E '!F$313:F835,MATCH(C1107,' Disaggregation - Section E '!A$313:A835,0)+1,1)&lt;&gt;0,INDEX(' Disaggregation - Section E '!F$313:F835,MATCH(C1107,' Disaggregation - Section E '!A$313:A835,0)+1,1),""),"")</f>
        <v/>
      </c>
      <c r="I1107" s="388" t="str">
        <f ca="1">IFERROR(IF(VLOOKUP(C1107,' Disaggregation - Section E '!A$313:J835,8,0)=0,"",VLOOKUP(C1107,' Disaggregation - Section E '!A$313:J835,8,0)),"")</f>
        <v/>
      </c>
      <c r="J1107" s="388" t="str">
        <f ca="1">IFERROR(IF(VLOOKUP(C1107,' Disaggregation - Section E '!A$313:J835,9,0)="","",VLOOKUP(C1107,' Disaggregation - Section E '!A$313:J835,9,0)),"")</f>
        <v/>
      </c>
      <c r="K1107" s="384" t="str">
        <f ca="1">IFERROR(VLOOKUP(C1107,' Disaggregation - Section E '!A$313:J835,3,0),"")</f>
        <v>TB O-5⁽ᴹ⁾ TB treatment coverage: Percentage of patients with new and relapse TB that were notified and treated among the estimated number of incident TB in the same year (all forms of TB - bacteriologically confirmed plus clinically diagnosed</v>
      </c>
      <c r="L1107" s="388" t="str">
        <f ca="1">IFERROR(IF(VLOOKUP(C1107,' Disaggregation - Section E '!A$313:J835,10,0)="","",VLOOKUP(C1107,' Disaggregation - Section E '!A$313:J835,10,0)),"")</f>
        <v xml:space="preserve">According to NTP, the National recording and reporting system (R&amp;R) doesn't allow to disagregate the data on cases started TB treatment in the reporting period by age and gender. Due to this, data is not available. </v>
      </c>
      <c r="M1107" s="385" t="str">
        <f ca="1">IFERROR(IF(VLOOKUP(C1107,' Disaggregation - Section E '!A$313:O539,15,0)=0,"",VLOOKUP(C1107,' Disaggregation - Section E '!A$313:O835,15,0)),"")</f>
        <v>IDR-01140</v>
      </c>
      <c r="N1107" s="384"/>
      <c r="O1107" s="384"/>
    </row>
    <row r="1108" spans="1:15" x14ac:dyDescent="0.3">
      <c r="A1108" s="384" t="b">
        <f t="shared" ca="1" si="130"/>
        <v>1</v>
      </c>
      <c r="B1108" s="384"/>
      <c r="C1108" s="400" t="str">
        <f ca="1">IF(COUNTA(O$885:O1108)=1,"",OFFSET(C1108,-COUNTA(O$885:O1108)+1,0))</f>
        <v>a1VDm000000PRbqMAG</v>
      </c>
      <c r="D1108" s="389"/>
      <c r="E1108" s="386" t="str">
        <f ca="1">IFERROR(IF(VLOOKUP(C1108,' Disaggregation - Section E '!A$313:J836,7,0)="","",VLOOKUP(C1108,' Disaggregation - Section E '!A$313:J836,7,0)*100),"")</f>
        <v/>
      </c>
      <c r="F1108" s="384"/>
      <c r="G1108" s="387" t="str">
        <f ca="1">IFERROR(IF(VLOOKUP(C1108,' Disaggregation - Section E '!A$313:J836,6,0)="","",VLOOKUP(C1108,' Disaggregation - Section E '!A$313:J836,6,0)),"")</f>
        <v/>
      </c>
      <c r="H1108" s="387" t="str">
        <f ca="1">IFERROR(IF(INDEX(' Disaggregation - Section E '!F$313:F836,MATCH(C1108,' Disaggregation - Section E '!A$313:A836,0)+1,1)&lt;&gt;0,INDEX(' Disaggregation - Section E '!F$313:F836,MATCH(C1108,' Disaggregation - Section E '!A$313:A836,0)+1,1),""),"")</f>
        <v/>
      </c>
      <c r="I1108" s="388" t="str">
        <f ca="1">IFERROR(IF(VLOOKUP(C1108,' Disaggregation - Section E '!A$313:J836,8,0)=0,"",VLOOKUP(C1108,' Disaggregation - Section E '!A$313:J836,8,0)),"")</f>
        <v/>
      </c>
      <c r="J1108" s="388" t="str">
        <f ca="1">IFERROR(IF(VLOOKUP(C1108,' Disaggregation - Section E '!A$313:J836,9,0)="","",VLOOKUP(C1108,' Disaggregation - Section E '!A$313:J836,9,0)),"")</f>
        <v/>
      </c>
      <c r="K1108" s="384" t="str">
        <f ca="1">IFERROR(VLOOKUP(C1108,' Disaggregation - Section E '!A$313:J836,3,0),"")</f>
        <v>TB O-5⁽ᴹ⁾ TB treatment coverage: Percentage of patients with new and relapse TB that were notified and treated among the estimated number of incident TB in the same year (all forms of TB - bacteriologically confirmed plus clinically diagnosed</v>
      </c>
      <c r="L1108" s="388" t="str">
        <f ca="1">IFERROR(IF(VLOOKUP(C1108,' Disaggregation - Section E '!A$313:J836,10,0)="","",VLOOKUP(C1108,' Disaggregation - Section E '!A$313:J836,10,0)),"")</f>
        <v xml:space="preserve">According to NTP, the National recording and reporting system (R&amp;R) doesn't allow to disagregate the data on cases started TB treatment in the reporting period by age and gender. Due to this, data is not available. 
</v>
      </c>
      <c r="M1108" s="385" t="str">
        <f ca="1">IFERROR(IF(VLOOKUP(C1108,' Disaggregation - Section E '!A$313:O540,15,0)=0,"",VLOOKUP(C1108,' Disaggregation - Section E '!A$313:O836,15,0)),"")</f>
        <v>IDR-01139</v>
      </c>
      <c r="N1108" s="384"/>
      <c r="O1108" s="384"/>
    </row>
    <row r="1109" spans="1:15" x14ac:dyDescent="0.3">
      <c r="A1109" s="384" t="b">
        <f t="shared" ca="1" si="130"/>
        <v>1</v>
      </c>
      <c r="B1109" s="384"/>
      <c r="C1109" s="400" t="str">
        <f ca="1">IF(COUNTA(O$885:O1109)=1,"",OFFSET(C1109,-COUNTA(O$885:O1109)+1,0))</f>
        <v>a1VDm000000PRbrMAG</v>
      </c>
      <c r="D1109" s="389"/>
      <c r="E1109" s="386" t="str">
        <f ca="1">IFERROR(IF(VLOOKUP(C1109,' Disaggregation - Section E '!A$313:J837,7,0)="","",VLOOKUP(C1109,' Disaggregation - Section E '!A$313:J837,7,0)*100),"")</f>
        <v/>
      </c>
      <c r="F1109" s="384"/>
      <c r="G1109" s="387" t="str">
        <f ca="1">IFERROR(IF(VLOOKUP(C1109,' Disaggregation - Section E '!A$313:J837,6,0)="","",VLOOKUP(C1109,' Disaggregation - Section E '!A$313:J837,6,0)),"")</f>
        <v/>
      </c>
      <c r="H1109" s="387" t="str">
        <f ca="1">IFERROR(IF(INDEX(' Disaggregation - Section E '!F$313:F837,MATCH(C1109,' Disaggregation - Section E '!A$313:A837,0)+1,1)&lt;&gt;0,INDEX(' Disaggregation - Section E '!F$313:F837,MATCH(C1109,' Disaggregation - Section E '!A$313:A837,0)+1,1),""),"")</f>
        <v/>
      </c>
      <c r="I1109" s="388" t="str">
        <f ca="1">IFERROR(IF(VLOOKUP(C1109,' Disaggregation - Section E '!A$313:J837,8,0)=0,"",VLOOKUP(C1109,' Disaggregation - Section E '!A$313:J837,8,0)),"")</f>
        <v/>
      </c>
      <c r="J1109" s="388" t="str">
        <f ca="1">IFERROR(IF(VLOOKUP(C1109,' Disaggregation - Section E '!A$313:J837,9,0)="","",VLOOKUP(C1109,' Disaggregation - Section E '!A$313:J837,9,0)),"")</f>
        <v/>
      </c>
      <c r="K1109" s="384" t="str">
        <f ca="1">IFERROR(VLOOKUP(C1109,' Disaggregation - Section E '!A$313:J837,3,0),"")</f>
        <v>TB O-5⁽ᴹ⁾ TB treatment coverage: Percentage of patients with new and relapse TB that were notified and treated among the estimated number of incident TB in the same year (all forms of TB - bacteriologically confirmed plus clinically diagnosed</v>
      </c>
      <c r="L1109" s="388" t="str">
        <f ca="1">IFERROR(IF(VLOOKUP(C1109,' Disaggregation - Section E '!A$313:J837,10,0)="","",VLOOKUP(C1109,' Disaggregation - Section E '!A$313:J837,10,0)),"")</f>
        <v xml:space="preserve">According to NTP, the National recording and reporting system (R&amp;R) doesn't allow to disagregate the data on cases started TB treatment in the reporting period by age and gender. Due to this, data is not available. 
</v>
      </c>
      <c r="M1109" s="385" t="str">
        <f ca="1">IFERROR(IF(VLOOKUP(C1109,' Disaggregation - Section E '!A$313:O541,15,0)=0,"",VLOOKUP(C1109,' Disaggregation - Section E '!A$313:O837,15,0)),"")</f>
        <v>IDR-01138</v>
      </c>
      <c r="N1109" s="384"/>
      <c r="O1109" s="384"/>
    </row>
    <row r="1110" spans="1:15" x14ac:dyDescent="0.3">
      <c r="A1110" s="384" t="b">
        <f t="shared" ca="1" si="130"/>
        <v>1</v>
      </c>
      <c r="B1110" s="384"/>
      <c r="C1110" s="400" t="str">
        <f ca="1">IF(COUNTA(O$885:O1110)=1,"",OFFSET(C1110,-COUNTA(O$885:O1110)+1,0))</f>
        <v>a1VDm000000PRbsMAG</v>
      </c>
      <c r="D1110" s="389"/>
      <c r="E1110" s="386" t="str">
        <f ca="1">IFERROR(IF(VLOOKUP(C1110,' Disaggregation - Section E '!A$313:J838,7,0)="","",VLOOKUP(C1110,' Disaggregation - Section E '!A$313:J838,7,0)*100),"")</f>
        <v/>
      </c>
      <c r="F1110" s="384"/>
      <c r="G1110" s="387" t="str">
        <f ca="1">IFERROR(IF(VLOOKUP(C1110,' Disaggregation - Section E '!A$313:J838,6,0)="","",VLOOKUP(C1110,' Disaggregation - Section E '!A$313:J838,6,0)),"")</f>
        <v/>
      </c>
      <c r="H1110" s="387" t="str">
        <f ca="1">IFERROR(IF(INDEX(' Disaggregation - Section E '!F$313:F838,MATCH(C1110,' Disaggregation - Section E '!A$313:A838,0)+1,1)&lt;&gt;0,INDEX(' Disaggregation - Section E '!F$313:F838,MATCH(C1110,' Disaggregation - Section E '!A$313:A838,0)+1,1),""),"")</f>
        <v/>
      </c>
      <c r="I1110" s="388" t="str">
        <f ca="1">IFERROR(IF(VLOOKUP(C1110,' Disaggregation - Section E '!A$313:J838,8,0)=0,"",VLOOKUP(C1110,' Disaggregation - Section E '!A$313:J838,8,0)),"")</f>
        <v/>
      </c>
      <c r="J1110" s="388" t="str">
        <f ca="1">IFERROR(IF(VLOOKUP(C1110,' Disaggregation - Section E '!A$313:J838,9,0)="","",VLOOKUP(C1110,' Disaggregation - Section E '!A$313:J838,9,0)),"")</f>
        <v/>
      </c>
      <c r="K1110" s="384" t="str">
        <f ca="1">IFERROR(VLOOKUP(C1110,' Disaggregation - Section E '!A$313:J838,3,0),"")</f>
        <v>TB O-5⁽ᴹ⁾ TB treatment coverage: Percentage of patients with new and relapse TB that were notified and treated among the estimated number of incident TB in the same year (all forms of TB - bacteriologically confirmed plus clinically diagnosed</v>
      </c>
      <c r="L1110" s="388" t="str">
        <f ca="1">IFERROR(IF(VLOOKUP(C1110,' Disaggregation - Section E '!A$313:J838,10,0)="","",VLOOKUP(C1110,' Disaggregation - Section E '!A$313:J838,10,0)),"")</f>
        <v xml:space="preserve">According to NTP, the National recording and reporting system (R&amp;R) doesn't allow to disagregate the data on cases started TB treatment in the reporting period by age and gender. Due to this, data is not available. 
</v>
      </c>
      <c r="M1110" s="385" t="str">
        <f ca="1">IFERROR(IF(VLOOKUP(C1110,' Disaggregation - Section E '!A$313:O542,15,0)=0,"",VLOOKUP(C1110,' Disaggregation - Section E '!A$313:O838,15,0)),"")</f>
        <v>IDR-01137</v>
      </c>
      <c r="N1110" s="384"/>
      <c r="O1110" s="384"/>
    </row>
    <row r="1111" spans="1:15" x14ac:dyDescent="0.3">
      <c r="A1111" s="384" t="b">
        <f t="shared" ca="1" si="130"/>
        <v>0</v>
      </c>
      <c r="B1111" s="384"/>
      <c r="C1111" s="400" t="str">
        <f ca="1">IF(COUNTA(O$885:O1111)=1,"",OFFSET(C1111,-COUNTA(O$885:O1111)+1,0))</f>
        <v>a1VDm000000PRbtMAG</v>
      </c>
      <c r="D1111" s="389"/>
      <c r="E1111" s="386" t="str">
        <f ca="1">IFERROR(IF(VLOOKUP(C1111,' Disaggregation - Section E '!A$313:J839,7,0)="","",VLOOKUP(C1111,' Disaggregation - Section E '!A$313:J839,7,0)*100),"")</f>
        <v/>
      </c>
      <c r="F1111" s="384"/>
      <c r="G1111" s="387" t="str">
        <f ca="1">IFERROR(IF(VLOOKUP(C1111,' Disaggregation - Section E '!A$313:J839,6,0)="","",VLOOKUP(C1111,' Disaggregation - Section E '!A$313:J839,6,0)),"")</f>
        <v/>
      </c>
      <c r="H1111" s="387" t="str">
        <f ca="1">IFERROR(IF(INDEX(' Disaggregation - Section E '!F$313:F839,MATCH(C1111,' Disaggregation - Section E '!A$313:A839,0)+1,1)&lt;&gt;0,INDEX(' Disaggregation - Section E '!F$313:F839,MATCH(C1111,' Disaggregation - Section E '!A$313:A839,0)+1,1),""),"")</f>
        <v/>
      </c>
      <c r="I1111" s="388" t="str">
        <f ca="1">IFERROR(IF(VLOOKUP(C1111,' Disaggregation - Section E '!A$313:J839,8,0)=0,"",VLOOKUP(C1111,' Disaggregation - Section E '!A$313:J839,8,0)),"")</f>
        <v/>
      </c>
      <c r="J1111" s="388" t="str">
        <f ca="1">IFERROR(IF(VLOOKUP(C1111,' Disaggregation - Section E '!A$313:J839,9,0)="","",VLOOKUP(C1111,' Disaggregation - Section E '!A$313:J839,9,0)),"")</f>
        <v/>
      </c>
      <c r="K1111" s="384" t="str">
        <f ca="1">IFERROR(VLOOKUP(C1111,' Disaggregation - Section E '!A$313:J839,3,0),"")</f>
        <v>TB O-5⁽ᴹ⁾ TB treatment coverage: Percentage of patients with new and relapse TB that were notified and treated among the estimated number of incident TB in the same year (all forms of TB - bacteriologically confirmed plus clinically diagnosed</v>
      </c>
      <c r="L1111" s="388" t="str">
        <f ca="1">IFERROR(IF(VLOOKUP(C1111,' Disaggregation - Section E '!A$313:J839,10,0)="","",VLOOKUP(C1111,' Disaggregation - Section E '!A$313:J839,10,0)),"")</f>
        <v/>
      </c>
      <c r="M1111" s="385" t="str">
        <f ca="1">IFERROR(IF(VLOOKUP(C1111,' Disaggregation - Section E '!A$313:O543,15,0)=0,"",VLOOKUP(C1111,' Disaggregation - Section E '!A$313:O839,15,0)),"")</f>
        <v/>
      </c>
      <c r="N1111" s="384"/>
      <c r="O1111" s="384"/>
    </row>
    <row r="1112" spans="1:15" x14ac:dyDescent="0.3">
      <c r="A1112" s="384" t="b">
        <f t="shared" ca="1" si="130"/>
        <v>0</v>
      </c>
      <c r="B1112" s="384"/>
      <c r="C1112" s="400" t="str">
        <f ca="1">IF(COUNTA(O$885:O1112)=1,"",OFFSET(C1112,-COUNTA(O$885:O1112)+1,0))</f>
        <v>a1VDm000000PRbuMAG</v>
      </c>
      <c r="D1112" s="389"/>
      <c r="E1112" s="386" t="str">
        <f ca="1">IFERROR(IF(VLOOKUP(C1112,' Disaggregation - Section E '!A$313:J840,7,0)="","",VLOOKUP(C1112,' Disaggregation - Section E '!A$313:J840,7,0)*100),"")</f>
        <v/>
      </c>
      <c r="F1112" s="384"/>
      <c r="G1112" s="387" t="str">
        <f ca="1">IFERROR(IF(VLOOKUP(C1112,' Disaggregation - Section E '!A$313:J840,6,0)="","",VLOOKUP(C1112,' Disaggregation - Section E '!A$313:J840,6,0)),"")</f>
        <v/>
      </c>
      <c r="H1112" s="387" t="str">
        <f ca="1">IFERROR(IF(INDEX(' Disaggregation - Section E '!F$313:F840,MATCH(C1112,' Disaggregation - Section E '!A$313:A840,0)+1,1)&lt;&gt;0,INDEX(' Disaggregation - Section E '!F$313:F840,MATCH(C1112,' Disaggregation - Section E '!A$313:A840,0)+1,1),""),"")</f>
        <v/>
      </c>
      <c r="I1112" s="388" t="str">
        <f ca="1">IFERROR(IF(VLOOKUP(C1112,' Disaggregation - Section E '!A$313:J840,8,0)=0,"",VLOOKUP(C1112,' Disaggregation - Section E '!A$313:J840,8,0)),"")</f>
        <v/>
      </c>
      <c r="J1112" s="388" t="str">
        <f ca="1">IFERROR(IF(VLOOKUP(C1112,' Disaggregation - Section E '!A$313:J840,9,0)="","",VLOOKUP(C1112,' Disaggregation - Section E '!A$313:J840,9,0)),"")</f>
        <v/>
      </c>
      <c r="K1112" s="384" t="str">
        <f ca="1">IFERROR(VLOOKUP(C1112,' Disaggregation - Section E '!A$313:J840,3,0),"")</f>
        <v>TB O-5⁽ᴹ⁾ TB treatment coverage: Percentage of patients with new and relapse TB that were notified and treated among the estimated number of incident TB in the same year (all forms of TB - bacteriologically confirmed plus clinically diagnosed</v>
      </c>
      <c r="L1112" s="388" t="str">
        <f ca="1">IFERROR(IF(VLOOKUP(C1112,' Disaggregation - Section E '!A$313:J840,10,0)="","",VLOOKUP(C1112,' Disaggregation - Section E '!A$313:J840,10,0)),"")</f>
        <v/>
      </c>
      <c r="M1112" s="385" t="str">
        <f ca="1">IFERROR(IF(VLOOKUP(C1112,' Disaggregation - Section E '!A$313:O544,15,0)=0,"",VLOOKUP(C1112,' Disaggregation - Section E '!A$313:O840,15,0)),"")</f>
        <v/>
      </c>
      <c r="N1112" s="384"/>
      <c r="O1112" s="384"/>
    </row>
    <row r="1113" spans="1:15" x14ac:dyDescent="0.3">
      <c r="A1113" s="384" t="b">
        <f t="shared" ca="1" si="130"/>
        <v>0</v>
      </c>
      <c r="B1113" s="384"/>
      <c r="C1113" s="400" t="str">
        <f ca="1">IF(COUNTA(O$885:O1113)=1,"",OFFSET(C1113,-COUNTA(O$885:O1113)+1,0))</f>
        <v>a1VDm000000PRbvMAG</v>
      </c>
      <c r="D1113" s="389"/>
      <c r="E1113" s="386" t="str">
        <f ca="1">IFERROR(IF(VLOOKUP(C1113,' Disaggregation - Section E '!A$313:J841,7,0)="","",VLOOKUP(C1113,' Disaggregation - Section E '!A$313:J841,7,0)*100),"")</f>
        <v/>
      </c>
      <c r="F1113" s="384"/>
      <c r="G1113" s="387" t="str">
        <f ca="1">IFERROR(IF(VLOOKUP(C1113,' Disaggregation - Section E '!A$313:J841,6,0)="","",VLOOKUP(C1113,' Disaggregation - Section E '!A$313:J841,6,0)),"")</f>
        <v/>
      </c>
      <c r="H1113" s="387" t="str">
        <f ca="1">IFERROR(IF(INDEX(' Disaggregation - Section E '!F$313:F841,MATCH(C1113,' Disaggregation - Section E '!A$313:A841,0)+1,1)&lt;&gt;0,INDEX(' Disaggregation - Section E '!F$313:F841,MATCH(C1113,' Disaggregation - Section E '!A$313:A841,0)+1,1),""),"")</f>
        <v/>
      </c>
      <c r="I1113" s="388" t="str">
        <f ca="1">IFERROR(IF(VLOOKUP(C1113,' Disaggregation - Section E '!A$313:J841,8,0)=0,"",VLOOKUP(C1113,' Disaggregation - Section E '!A$313:J841,8,0)),"")</f>
        <v/>
      </c>
      <c r="J1113" s="388" t="str">
        <f ca="1">IFERROR(IF(VLOOKUP(C1113,' Disaggregation - Section E '!A$313:J841,9,0)="","",VLOOKUP(C1113,' Disaggregation - Section E '!A$313:J841,9,0)),"")</f>
        <v/>
      </c>
      <c r="K1113" s="384" t="str">
        <f ca="1">IFERROR(VLOOKUP(C1113,' Disaggregation - Section E '!A$313:J841,3,0),"")</f>
        <v>TB O-5⁽ᴹ⁾ TB treatment coverage: Percentage of patients with new and relapse TB that were notified and treated among the estimated number of incident TB in the same year (all forms of TB - bacteriologically confirmed plus clinically diagnosed</v>
      </c>
      <c r="L1113" s="388" t="str">
        <f ca="1">IFERROR(IF(VLOOKUP(C1113,' Disaggregation - Section E '!A$313:J841,10,0)="","",VLOOKUP(C1113,' Disaggregation - Section E '!A$313:J841,10,0)),"")</f>
        <v/>
      </c>
      <c r="M1113" s="385" t="str">
        <f ca="1">IFERROR(IF(VLOOKUP(C1113,' Disaggregation - Section E '!A$313:O545,15,0)=0,"",VLOOKUP(C1113,' Disaggregation - Section E '!A$313:O841,15,0)),"")</f>
        <v/>
      </c>
      <c r="N1113" s="384"/>
      <c r="O1113" s="384"/>
    </row>
    <row r="1114" spans="1:15" x14ac:dyDescent="0.3">
      <c r="A1114" s="384" t="b">
        <f t="shared" ca="1" si="130"/>
        <v>0</v>
      </c>
      <c r="B1114" s="384"/>
      <c r="C1114" s="400" t="str">
        <f ca="1">IF(COUNTA(O$885:O1114)=1,"",OFFSET(C1114,-COUNTA(O$885:O1114)+1,0))</f>
        <v>a1VDm000000PRbwMAG</v>
      </c>
      <c r="D1114" s="389"/>
      <c r="E1114" s="386" t="str">
        <f ca="1">IFERROR(IF(VLOOKUP(C1114,' Disaggregation - Section E '!A$313:J842,7,0)="","",VLOOKUP(C1114,' Disaggregation - Section E '!A$313:J842,7,0)*100),"")</f>
        <v/>
      </c>
      <c r="F1114" s="384"/>
      <c r="G1114" s="387" t="str">
        <f ca="1">IFERROR(IF(VLOOKUP(C1114,' Disaggregation - Section E '!A$313:J842,6,0)="","",VLOOKUP(C1114,' Disaggregation - Section E '!A$313:J842,6,0)),"")</f>
        <v/>
      </c>
      <c r="H1114" s="387" t="str">
        <f ca="1">IFERROR(IF(INDEX(' Disaggregation - Section E '!F$313:F842,MATCH(C1114,' Disaggregation - Section E '!A$313:A842,0)+1,1)&lt;&gt;0,INDEX(' Disaggregation - Section E '!F$313:F842,MATCH(C1114,' Disaggregation - Section E '!A$313:A842,0)+1,1),""),"")</f>
        <v/>
      </c>
      <c r="I1114" s="388" t="str">
        <f ca="1">IFERROR(IF(VLOOKUP(C1114,' Disaggregation - Section E '!A$313:J842,8,0)=0,"",VLOOKUP(C1114,' Disaggregation - Section E '!A$313:J842,8,0)),"")</f>
        <v/>
      </c>
      <c r="J1114" s="388" t="str">
        <f ca="1">IFERROR(IF(VLOOKUP(C1114,' Disaggregation - Section E '!A$313:J842,9,0)="","",VLOOKUP(C1114,' Disaggregation - Section E '!A$313:J842,9,0)),"")</f>
        <v/>
      </c>
      <c r="K1114" s="384" t="str">
        <f ca="1">IFERROR(VLOOKUP(C1114,' Disaggregation - Section E '!A$313:J842,3,0),"")</f>
        <v>TB O-5⁽ᴹ⁾ TB treatment coverage: Percentage of patients with new and relapse TB that were notified and treated among the estimated number of incident TB in the same year (all forms of TB - bacteriologically confirmed plus clinically diagnosed</v>
      </c>
      <c r="L1114" s="388" t="str">
        <f ca="1">IFERROR(IF(VLOOKUP(C1114,' Disaggregation - Section E '!A$313:J842,10,0)="","",VLOOKUP(C1114,' Disaggregation - Section E '!A$313:J842,10,0)),"")</f>
        <v/>
      </c>
      <c r="M1114" s="385" t="str">
        <f ca="1">IFERROR(IF(VLOOKUP(C1114,' Disaggregation - Section E '!A$313:O546,15,0)=0,"",VLOOKUP(C1114,' Disaggregation - Section E '!A$313:O842,15,0)),"")</f>
        <v/>
      </c>
      <c r="N1114" s="384"/>
      <c r="O1114" s="384"/>
    </row>
    <row r="1115" spans="1:15" x14ac:dyDescent="0.3">
      <c r="A1115" s="384" t="b">
        <f t="shared" ca="1" si="130"/>
        <v>0</v>
      </c>
      <c r="B1115" s="384"/>
      <c r="C1115" s="400" t="str">
        <f ca="1">IF(COUNTA(O$885:O1115)=1,"",OFFSET(C1115,-COUNTA(O$885:O1115)+1,0))</f>
        <v>a1VDm000000PRbxMAG</v>
      </c>
      <c r="D1115" s="389"/>
      <c r="E1115" s="386" t="str">
        <f ca="1">IFERROR(IF(VLOOKUP(C1115,' Disaggregation - Section E '!A$313:J843,7,0)="","",VLOOKUP(C1115,' Disaggregation - Section E '!A$313:J843,7,0)*100),"")</f>
        <v/>
      </c>
      <c r="F1115" s="384"/>
      <c r="G1115" s="387" t="str">
        <f ca="1">IFERROR(IF(VLOOKUP(C1115,' Disaggregation - Section E '!A$313:J843,6,0)="","",VLOOKUP(C1115,' Disaggregation - Section E '!A$313:J843,6,0)),"")</f>
        <v/>
      </c>
      <c r="H1115" s="387" t="str">
        <f ca="1">IFERROR(IF(INDEX(' Disaggregation - Section E '!F$313:F843,MATCH(C1115,' Disaggregation - Section E '!A$313:A843,0)+1,1)&lt;&gt;0,INDEX(' Disaggregation - Section E '!F$313:F843,MATCH(C1115,' Disaggregation - Section E '!A$313:A843,0)+1,1),""),"")</f>
        <v/>
      </c>
      <c r="I1115" s="388" t="str">
        <f ca="1">IFERROR(IF(VLOOKUP(C1115,' Disaggregation - Section E '!A$313:J843,8,0)=0,"",VLOOKUP(C1115,' Disaggregation - Section E '!A$313:J843,8,0)),"")</f>
        <v/>
      </c>
      <c r="J1115" s="388" t="str">
        <f ca="1">IFERROR(IF(VLOOKUP(C1115,' Disaggregation - Section E '!A$313:J843,9,0)="","",VLOOKUP(C1115,' Disaggregation - Section E '!A$313:J843,9,0)),"")</f>
        <v/>
      </c>
      <c r="K1115" s="384" t="str">
        <f ca="1">IFERROR(VLOOKUP(C1115,' Disaggregation - Section E '!A$313:J843,3,0),"")</f>
        <v>TB O-5⁽ᴹ⁾ TB treatment coverage: Percentage of patients with new and relapse TB that were notified and treated among the estimated number of incident TB in the same year (all forms of TB - bacteriologically confirmed plus clinically diagnosed</v>
      </c>
      <c r="L1115" s="388" t="str">
        <f ca="1">IFERROR(IF(VLOOKUP(C1115,' Disaggregation - Section E '!A$313:J843,10,0)="","",VLOOKUP(C1115,' Disaggregation - Section E '!A$313:J843,10,0)),"")</f>
        <v/>
      </c>
      <c r="M1115" s="385" t="str">
        <f ca="1">IFERROR(IF(VLOOKUP(C1115,' Disaggregation - Section E '!A$313:O547,15,0)=0,"",VLOOKUP(C1115,' Disaggregation - Section E '!A$313:O843,15,0)),"")</f>
        <v/>
      </c>
      <c r="N1115" s="384"/>
      <c r="O1115" s="384"/>
    </row>
    <row r="1116" spans="1:15" x14ac:dyDescent="0.3">
      <c r="A1116" s="384" t="b">
        <f t="shared" ca="1" si="130"/>
        <v>0</v>
      </c>
      <c r="B1116" s="384"/>
      <c r="C1116" s="400" t="str">
        <f ca="1">IF(COUNTA(O$885:O1116)=1,"",OFFSET(C1116,-COUNTA(O$885:O1116)+1,0))</f>
        <v>a1VDm000000PRbyMAG</v>
      </c>
      <c r="D1116" s="389"/>
      <c r="E1116" s="386" t="str">
        <f ca="1">IFERROR(IF(VLOOKUP(C1116,' Disaggregation - Section E '!A$313:J844,7,0)="","",VLOOKUP(C1116,' Disaggregation - Section E '!A$313:J844,7,0)*100),"")</f>
        <v/>
      </c>
      <c r="F1116" s="384"/>
      <c r="G1116" s="387" t="str">
        <f ca="1">IFERROR(IF(VLOOKUP(C1116,' Disaggregation - Section E '!A$313:J844,6,0)="","",VLOOKUP(C1116,' Disaggregation - Section E '!A$313:J844,6,0)),"")</f>
        <v/>
      </c>
      <c r="H1116" s="387" t="str">
        <f ca="1">IFERROR(IF(INDEX(' Disaggregation - Section E '!F$313:F844,MATCH(C1116,' Disaggregation - Section E '!A$313:A844,0)+1,1)&lt;&gt;0,INDEX(' Disaggregation - Section E '!F$313:F844,MATCH(C1116,' Disaggregation - Section E '!A$313:A844,0)+1,1),""),"")</f>
        <v/>
      </c>
      <c r="I1116" s="388" t="str">
        <f ca="1">IFERROR(IF(VLOOKUP(C1116,' Disaggregation - Section E '!A$313:J844,8,0)=0,"",VLOOKUP(C1116,' Disaggregation - Section E '!A$313:J844,8,0)),"")</f>
        <v/>
      </c>
      <c r="J1116" s="388" t="str">
        <f ca="1">IFERROR(IF(VLOOKUP(C1116,' Disaggregation - Section E '!A$313:J844,9,0)="","",VLOOKUP(C1116,' Disaggregation - Section E '!A$313:J844,9,0)),"")</f>
        <v/>
      </c>
      <c r="K1116" s="384" t="str">
        <f ca="1">IFERROR(VLOOKUP(C1116,' Disaggregation - Section E '!A$313:J844,3,0),"")</f>
        <v>TB O-5⁽ᴹ⁾ TB treatment coverage: Percentage of patients with new and relapse TB that were notified and treated among the estimated number of incident TB in the same year (all forms of TB - bacteriologically confirmed plus clinically diagnosed</v>
      </c>
      <c r="L1116" s="388" t="str">
        <f ca="1">IFERROR(IF(VLOOKUP(C1116,' Disaggregation - Section E '!A$313:J844,10,0)="","",VLOOKUP(C1116,' Disaggregation - Section E '!A$313:J844,10,0)),"")</f>
        <v/>
      </c>
      <c r="M1116" s="385" t="str">
        <f ca="1">IFERROR(IF(VLOOKUP(C1116,' Disaggregation - Section E '!A$313:O548,15,0)=0,"",VLOOKUP(C1116,' Disaggregation - Section E '!A$313:O844,15,0)),"")</f>
        <v/>
      </c>
      <c r="N1116" s="384"/>
      <c r="O1116" s="384"/>
    </row>
    <row r="1117" spans="1:15" x14ac:dyDescent="0.3">
      <c r="A1117" s="384" t="b">
        <f t="shared" ca="1" si="130"/>
        <v>0</v>
      </c>
      <c r="B1117" s="384"/>
      <c r="C1117" s="400" t="str">
        <f ca="1">IF(COUNTA(O$885:O1117)=1,"",OFFSET(C1117,-COUNTA(O$885:O1117)+1,0))</f>
        <v>a1VDm000000PRbzMAG</v>
      </c>
      <c r="D1117" s="389"/>
      <c r="E1117" s="386" t="str">
        <f ca="1">IFERROR(IF(VLOOKUP(C1117,' Disaggregation - Section E '!A$313:J845,7,0)="","",VLOOKUP(C1117,' Disaggregation - Section E '!A$313:J845,7,0)*100),"")</f>
        <v/>
      </c>
      <c r="F1117" s="384"/>
      <c r="G1117" s="387" t="str">
        <f ca="1">IFERROR(IF(VLOOKUP(C1117,' Disaggregation - Section E '!A$313:J845,6,0)="","",VLOOKUP(C1117,' Disaggregation - Section E '!A$313:J845,6,0)),"")</f>
        <v/>
      </c>
      <c r="H1117" s="387" t="str">
        <f ca="1">IFERROR(IF(INDEX(' Disaggregation - Section E '!F$313:F845,MATCH(C1117,' Disaggregation - Section E '!A$313:A845,0)+1,1)&lt;&gt;0,INDEX(' Disaggregation - Section E '!F$313:F845,MATCH(C1117,' Disaggregation - Section E '!A$313:A845,0)+1,1),""),"")</f>
        <v/>
      </c>
      <c r="I1117" s="388" t="str">
        <f ca="1">IFERROR(IF(VLOOKUP(C1117,' Disaggregation - Section E '!A$313:J845,8,0)=0,"",VLOOKUP(C1117,' Disaggregation - Section E '!A$313:J845,8,0)),"")</f>
        <v/>
      </c>
      <c r="J1117" s="388" t="str">
        <f ca="1">IFERROR(IF(VLOOKUP(C1117,' Disaggregation - Section E '!A$313:J845,9,0)="","",VLOOKUP(C1117,' Disaggregation - Section E '!A$313:J845,9,0)),"")</f>
        <v/>
      </c>
      <c r="K1117" s="384" t="str">
        <f ca="1">IFERROR(VLOOKUP(C1117,' Disaggregation - Section E '!A$313:J845,3,0),"")</f>
        <v>TB O-4⁽ᴹ⁾ Treatment success rate of RR-TB and/or MDR-TB: Percentage of patients with RR and/or MDR-TB successfully treated</v>
      </c>
      <c r="L1117" s="388" t="str">
        <f ca="1">IFERROR(IF(VLOOKUP(C1117,' Disaggregation - Section E '!A$313:J845,10,0)="","",VLOOKUP(C1117,' Disaggregation - Section E '!A$313:J845,10,0)),"")</f>
        <v/>
      </c>
      <c r="M1117" s="385" t="str">
        <f ca="1">IFERROR(IF(VLOOKUP(C1117,' Disaggregation - Section E '!A$313:O549,15,0)=0,"",VLOOKUP(C1117,' Disaggregation - Section E '!A$313:O845,15,0)),"")</f>
        <v/>
      </c>
      <c r="N1117" s="384"/>
      <c r="O1117" s="384"/>
    </row>
    <row r="1118" spans="1:15" x14ac:dyDescent="0.3">
      <c r="A1118" s="384" t="b">
        <f t="shared" ca="1" si="130"/>
        <v>0</v>
      </c>
      <c r="B1118" s="384"/>
      <c r="C1118" s="400" t="str">
        <f ca="1">IF(COUNTA(O$885:O1118)=1,"",OFFSET(C1118,-COUNTA(O$885:O1118)+1,0))</f>
        <v>a1VDm000000PRc0MAG</v>
      </c>
      <c r="D1118" s="389"/>
      <c r="E1118" s="386" t="str">
        <f ca="1">IFERROR(IF(VLOOKUP(C1118,' Disaggregation - Section E '!A$313:J846,7,0)="","",VLOOKUP(C1118,' Disaggregation - Section E '!A$313:J846,7,0)*100),"")</f>
        <v/>
      </c>
      <c r="F1118" s="384"/>
      <c r="G1118" s="387" t="str">
        <f ca="1">IFERROR(IF(VLOOKUP(C1118,' Disaggregation - Section E '!A$313:J846,6,0)="","",VLOOKUP(C1118,' Disaggregation - Section E '!A$313:J846,6,0)),"")</f>
        <v/>
      </c>
      <c r="H1118" s="387" t="str">
        <f ca="1">IFERROR(IF(INDEX(' Disaggregation - Section E '!F$313:F846,MATCH(C1118,' Disaggregation - Section E '!A$313:A846,0)+1,1)&lt;&gt;0,INDEX(' Disaggregation - Section E '!F$313:F846,MATCH(C1118,' Disaggregation - Section E '!A$313:A846,0)+1,1),""),"")</f>
        <v/>
      </c>
      <c r="I1118" s="388" t="str">
        <f ca="1">IFERROR(IF(VLOOKUP(C1118,' Disaggregation - Section E '!A$313:J846,8,0)=0,"",VLOOKUP(C1118,' Disaggregation - Section E '!A$313:J846,8,0)),"")</f>
        <v/>
      </c>
      <c r="J1118" s="388" t="str">
        <f ca="1">IFERROR(IF(VLOOKUP(C1118,' Disaggregation - Section E '!A$313:J846,9,0)="","",VLOOKUP(C1118,' Disaggregation - Section E '!A$313:J846,9,0)),"")</f>
        <v/>
      </c>
      <c r="K1118" s="384" t="str">
        <f ca="1">IFERROR(VLOOKUP(C1118,' Disaggregation - Section E '!A$313:J846,3,0),"")</f>
        <v>TB O-4⁽ᴹ⁾ Treatment success rate of RR-TB and/or MDR-TB: Percentage of patients with RR and/or MDR-TB successfully treated</v>
      </c>
      <c r="L1118" s="388" t="str">
        <f ca="1">IFERROR(IF(VLOOKUP(C1118,' Disaggregation - Section E '!A$313:J846,10,0)="","",VLOOKUP(C1118,' Disaggregation - Section E '!A$313:J846,10,0)),"")</f>
        <v/>
      </c>
      <c r="M1118" s="385" t="str">
        <f ca="1">IFERROR(IF(VLOOKUP(C1118,' Disaggregation - Section E '!A$313:O550,15,0)=0,"",VLOOKUP(C1118,' Disaggregation - Section E '!A$313:O846,15,0)),"")</f>
        <v/>
      </c>
      <c r="N1118" s="384"/>
      <c r="O1118" s="384"/>
    </row>
    <row r="1119" spans="1:15" x14ac:dyDescent="0.3">
      <c r="A1119" s="384" t="b">
        <f t="shared" ca="1" si="130"/>
        <v>0</v>
      </c>
      <c r="B1119" s="384"/>
      <c r="C1119" s="400" t="str">
        <f ca="1">IF(COUNTA(O$885:O1119)=1,"",OFFSET(C1119,-COUNTA(O$885:O1119)+1,0))</f>
        <v>a1VDm000000PRc1MAG</v>
      </c>
      <c r="D1119" s="389"/>
      <c r="E1119" s="386" t="str">
        <f ca="1">IFERROR(IF(VLOOKUP(C1119,' Disaggregation - Section E '!A$313:J847,7,0)="","",VLOOKUP(C1119,' Disaggregation - Section E '!A$313:J847,7,0)*100),"")</f>
        <v/>
      </c>
      <c r="F1119" s="384"/>
      <c r="G1119" s="387" t="str">
        <f ca="1">IFERROR(IF(VLOOKUP(C1119,' Disaggregation - Section E '!A$313:J847,6,0)="","",VLOOKUP(C1119,' Disaggregation - Section E '!A$313:J847,6,0)),"")</f>
        <v/>
      </c>
      <c r="H1119" s="387" t="str">
        <f ca="1">IFERROR(IF(INDEX(' Disaggregation - Section E '!F$313:F847,MATCH(C1119,' Disaggregation - Section E '!A$313:A847,0)+1,1)&lt;&gt;0,INDEX(' Disaggregation - Section E '!F$313:F847,MATCH(C1119,' Disaggregation - Section E '!A$313:A847,0)+1,1),""),"")</f>
        <v/>
      </c>
      <c r="I1119" s="388" t="str">
        <f ca="1">IFERROR(IF(VLOOKUP(C1119,' Disaggregation - Section E '!A$313:J847,8,0)=0,"",VLOOKUP(C1119,' Disaggregation - Section E '!A$313:J847,8,0)),"")</f>
        <v/>
      </c>
      <c r="J1119" s="388" t="str">
        <f ca="1">IFERROR(IF(VLOOKUP(C1119,' Disaggregation - Section E '!A$313:J847,9,0)="","",VLOOKUP(C1119,' Disaggregation - Section E '!A$313:J847,9,0)),"")</f>
        <v/>
      </c>
      <c r="K1119" s="384" t="str">
        <f ca="1">IFERROR(VLOOKUP(C1119,' Disaggregation - Section E '!A$313:J847,3,0),"")</f>
        <v>TB O-4⁽ᴹ⁾ Treatment success rate of RR-TB and/or MDR-TB: Percentage of patients with RR and/or MDR-TB successfully treated</v>
      </c>
      <c r="L1119" s="388" t="str">
        <f ca="1">IFERROR(IF(VLOOKUP(C1119,' Disaggregation - Section E '!A$313:J847,10,0)="","",VLOOKUP(C1119,' Disaggregation - Section E '!A$313:J847,10,0)),"")</f>
        <v/>
      </c>
      <c r="M1119" s="385" t="str">
        <f ca="1">IFERROR(IF(VLOOKUP(C1119,' Disaggregation - Section E '!A$313:O551,15,0)=0,"",VLOOKUP(C1119,' Disaggregation - Section E '!A$313:O847,15,0)),"")</f>
        <v/>
      </c>
      <c r="N1119" s="384"/>
      <c r="O1119" s="384"/>
    </row>
    <row r="1120" spans="1:15" x14ac:dyDescent="0.3">
      <c r="A1120" s="384" t="b">
        <f t="shared" ca="1" si="130"/>
        <v>0</v>
      </c>
      <c r="B1120" s="384"/>
      <c r="C1120" s="400" t="str">
        <f ca="1">IF(COUNTA(O$885:O1120)=1,"",OFFSET(C1120,-COUNTA(O$885:O1120)+1,0))</f>
        <v>a1VDm000000PRc2MAG</v>
      </c>
      <c r="D1120" s="389"/>
      <c r="E1120" s="386" t="str">
        <f ca="1">IFERROR(IF(VLOOKUP(C1120,' Disaggregation - Section E '!A$313:J848,7,0)="","",VLOOKUP(C1120,' Disaggregation - Section E '!A$313:J848,7,0)*100),"")</f>
        <v/>
      </c>
      <c r="F1120" s="384"/>
      <c r="G1120" s="387" t="str">
        <f ca="1">IFERROR(IF(VLOOKUP(C1120,' Disaggregation - Section E '!A$313:J848,6,0)="","",VLOOKUP(C1120,' Disaggregation - Section E '!A$313:J848,6,0)),"")</f>
        <v/>
      </c>
      <c r="H1120" s="387" t="str">
        <f ca="1">IFERROR(IF(INDEX(' Disaggregation - Section E '!F$313:F848,MATCH(C1120,' Disaggregation - Section E '!A$313:A848,0)+1,1)&lt;&gt;0,INDEX(' Disaggregation - Section E '!F$313:F848,MATCH(C1120,' Disaggregation - Section E '!A$313:A848,0)+1,1),""),"")</f>
        <v/>
      </c>
      <c r="I1120" s="388" t="str">
        <f ca="1">IFERROR(IF(VLOOKUP(C1120,' Disaggregation - Section E '!A$313:J848,8,0)=0,"",VLOOKUP(C1120,' Disaggregation - Section E '!A$313:J848,8,0)),"")</f>
        <v/>
      </c>
      <c r="J1120" s="388" t="str">
        <f ca="1">IFERROR(IF(VLOOKUP(C1120,' Disaggregation - Section E '!A$313:J848,9,0)="","",VLOOKUP(C1120,' Disaggregation - Section E '!A$313:J848,9,0)),"")</f>
        <v/>
      </c>
      <c r="K1120" s="384" t="str">
        <f ca="1">IFERROR(VLOOKUP(C1120,' Disaggregation - Section E '!A$313:J848,3,0),"")</f>
        <v>TB O-4⁽ᴹ⁾ Treatment success rate of RR-TB and/or MDR-TB: Percentage of patients with RR and/or MDR-TB successfully treated</v>
      </c>
      <c r="L1120" s="388" t="str">
        <f ca="1">IFERROR(IF(VLOOKUP(C1120,' Disaggregation - Section E '!A$313:J848,10,0)="","",VLOOKUP(C1120,' Disaggregation - Section E '!A$313:J848,10,0)),"")</f>
        <v/>
      </c>
      <c r="M1120" s="385" t="str">
        <f ca="1">IFERROR(IF(VLOOKUP(C1120,' Disaggregation - Section E '!A$313:O552,15,0)=0,"",VLOOKUP(C1120,' Disaggregation - Section E '!A$313:O848,15,0)),"")</f>
        <v/>
      </c>
      <c r="N1120" s="384"/>
      <c r="O1120" s="384"/>
    </row>
    <row r="1121" spans="1:15" x14ac:dyDescent="0.3">
      <c r="A1121" s="384" t="b">
        <f t="shared" ca="1" si="130"/>
        <v>0</v>
      </c>
      <c r="B1121" s="384"/>
      <c r="C1121" s="400" t="str">
        <f ca="1">IF(COUNTA(O$885:O1121)=1,"",OFFSET(C1121,-COUNTA(O$885:O1121)+1,0))</f>
        <v>a1VDm000000PRc3MAG</v>
      </c>
      <c r="D1121" s="389"/>
      <c r="E1121" s="386" t="str">
        <f ca="1">IFERROR(IF(VLOOKUP(C1121,' Disaggregation - Section E '!A$313:J849,7,0)="","",VLOOKUP(C1121,' Disaggregation - Section E '!A$313:J849,7,0)*100),"")</f>
        <v/>
      </c>
      <c r="F1121" s="384"/>
      <c r="G1121" s="387" t="str">
        <f ca="1">IFERROR(IF(VLOOKUP(C1121,' Disaggregation - Section E '!A$313:J849,6,0)="","",VLOOKUP(C1121,' Disaggregation - Section E '!A$313:J849,6,0)),"")</f>
        <v/>
      </c>
      <c r="H1121" s="387" t="str">
        <f ca="1">IFERROR(IF(INDEX(' Disaggregation - Section E '!F$313:F849,MATCH(C1121,' Disaggregation - Section E '!A$313:A849,0)+1,1)&lt;&gt;0,INDEX(' Disaggregation - Section E '!F$313:F849,MATCH(C1121,' Disaggregation - Section E '!A$313:A849,0)+1,1),""),"")</f>
        <v/>
      </c>
      <c r="I1121" s="388" t="str">
        <f ca="1">IFERROR(IF(VLOOKUP(C1121,' Disaggregation - Section E '!A$313:J849,8,0)=0,"",VLOOKUP(C1121,' Disaggregation - Section E '!A$313:J849,8,0)),"")</f>
        <v/>
      </c>
      <c r="J1121" s="388" t="str">
        <f ca="1">IFERROR(IF(VLOOKUP(C1121,' Disaggregation - Section E '!A$313:J849,9,0)="","",VLOOKUP(C1121,' Disaggregation - Section E '!A$313:J849,9,0)),"")</f>
        <v/>
      </c>
      <c r="K1121" s="384" t="str">
        <f ca="1">IFERROR(VLOOKUP(C1121,' Disaggregation - Section E '!A$313:J849,3,0),"")</f>
        <v>TB O-4⁽ᴹ⁾ Treatment success rate of RR-TB and/or MDR-TB: Percentage of patients with RR and/or MDR-TB successfully treated</v>
      </c>
      <c r="L1121" s="388" t="str">
        <f ca="1">IFERROR(IF(VLOOKUP(C1121,' Disaggregation - Section E '!A$313:J849,10,0)="","",VLOOKUP(C1121,' Disaggregation - Section E '!A$313:J849,10,0)),"")</f>
        <v/>
      </c>
      <c r="M1121" s="385" t="str">
        <f ca="1">IFERROR(IF(VLOOKUP(C1121,' Disaggregation - Section E '!A$313:O553,15,0)=0,"",VLOOKUP(C1121,' Disaggregation - Section E '!A$313:O849,15,0)),"")</f>
        <v/>
      </c>
      <c r="N1121" s="384"/>
      <c r="O1121" s="384"/>
    </row>
    <row r="1122" spans="1:15" x14ac:dyDescent="0.3">
      <c r="A1122" s="384" t="b">
        <f t="shared" ca="1" si="130"/>
        <v>0</v>
      </c>
      <c r="B1122" s="384"/>
      <c r="C1122" s="400" t="str">
        <f ca="1">IF(COUNTA(O$885:O1122)=1,"",OFFSET(C1122,-COUNTA(O$885:O1122)+1,0))</f>
        <v>a1VDm000000PRc4MAG</v>
      </c>
      <c r="D1122" s="389"/>
      <c r="E1122" s="386" t="str">
        <f ca="1">IFERROR(IF(VLOOKUP(C1122,' Disaggregation - Section E '!A$313:J850,7,0)="","",VLOOKUP(C1122,' Disaggregation - Section E '!A$313:J850,7,0)*100),"")</f>
        <v/>
      </c>
      <c r="F1122" s="384"/>
      <c r="G1122" s="387" t="str">
        <f ca="1">IFERROR(IF(VLOOKUP(C1122,' Disaggregation - Section E '!A$313:J850,6,0)="","",VLOOKUP(C1122,' Disaggregation - Section E '!A$313:J850,6,0)),"")</f>
        <v/>
      </c>
      <c r="H1122" s="387" t="str">
        <f ca="1">IFERROR(IF(INDEX(' Disaggregation - Section E '!F$313:F850,MATCH(C1122,' Disaggregation - Section E '!A$313:A850,0)+1,1)&lt;&gt;0,INDEX(' Disaggregation - Section E '!F$313:F850,MATCH(C1122,' Disaggregation - Section E '!A$313:A850,0)+1,1),""),"")</f>
        <v/>
      </c>
      <c r="I1122" s="388" t="str">
        <f ca="1">IFERROR(IF(VLOOKUP(C1122,' Disaggregation - Section E '!A$313:J850,8,0)=0,"",VLOOKUP(C1122,' Disaggregation - Section E '!A$313:J850,8,0)),"")</f>
        <v/>
      </c>
      <c r="J1122" s="388" t="str">
        <f ca="1">IFERROR(IF(VLOOKUP(C1122,' Disaggregation - Section E '!A$313:J850,9,0)="","",VLOOKUP(C1122,' Disaggregation - Section E '!A$313:J850,9,0)),"")</f>
        <v/>
      </c>
      <c r="K1122" s="384" t="str">
        <f ca="1">IFERROR(VLOOKUP(C1122,' Disaggregation - Section E '!A$313:J850,3,0),"")</f>
        <v>TB O-4⁽ᴹ⁾ Treatment success rate of RR-TB and/or MDR-TB: Percentage of patients with RR and/or MDR-TB successfully treated</v>
      </c>
      <c r="L1122" s="388" t="str">
        <f ca="1">IFERROR(IF(VLOOKUP(C1122,' Disaggregation - Section E '!A$313:J850,10,0)="","",VLOOKUP(C1122,' Disaggregation - Section E '!A$313:J850,10,0)),"")</f>
        <v/>
      </c>
      <c r="M1122" s="385" t="str">
        <f ca="1">IFERROR(IF(VLOOKUP(C1122,' Disaggregation - Section E '!A$313:O554,15,0)=0,"",VLOOKUP(C1122,' Disaggregation - Section E '!A$313:O850,15,0)),"")</f>
        <v/>
      </c>
      <c r="N1122" s="384"/>
      <c r="O1122" s="384"/>
    </row>
    <row r="1123" spans="1:15" x14ac:dyDescent="0.3">
      <c r="A1123" s="384" t="b">
        <f t="shared" ca="1" si="130"/>
        <v>0</v>
      </c>
      <c r="B1123" s="384"/>
      <c r="C1123" s="400" t="str">
        <f ca="1">IF(COUNTA(O$885:O1123)=1,"",OFFSET(C1123,-COUNTA(O$885:O1123)+1,0))</f>
        <v>a1VDm000000PRc5MAG</v>
      </c>
      <c r="D1123" s="389"/>
      <c r="E1123" s="386" t="str">
        <f ca="1">IFERROR(IF(VLOOKUP(C1123,' Disaggregation - Section E '!A$313:J851,7,0)="","",VLOOKUP(C1123,' Disaggregation - Section E '!A$313:J851,7,0)*100),"")</f>
        <v/>
      </c>
      <c r="F1123" s="384"/>
      <c r="G1123" s="387" t="str">
        <f ca="1">IFERROR(IF(VLOOKUP(C1123,' Disaggregation - Section E '!A$313:J851,6,0)="","",VLOOKUP(C1123,' Disaggregation - Section E '!A$313:J851,6,0)),"")</f>
        <v/>
      </c>
      <c r="H1123" s="387" t="str">
        <f ca="1">IFERROR(IF(INDEX(' Disaggregation - Section E '!F$313:F851,MATCH(C1123,' Disaggregation - Section E '!A$313:A851,0)+1,1)&lt;&gt;0,INDEX(' Disaggregation - Section E '!F$313:F851,MATCH(C1123,' Disaggregation - Section E '!A$313:A851,0)+1,1),""),"")</f>
        <v/>
      </c>
      <c r="I1123" s="388" t="str">
        <f ca="1">IFERROR(IF(VLOOKUP(C1123,' Disaggregation - Section E '!A$313:J851,8,0)=0,"",VLOOKUP(C1123,' Disaggregation - Section E '!A$313:J851,8,0)),"")</f>
        <v/>
      </c>
      <c r="J1123" s="388" t="str">
        <f ca="1">IFERROR(IF(VLOOKUP(C1123,' Disaggregation - Section E '!A$313:J851,9,0)="","",VLOOKUP(C1123,' Disaggregation - Section E '!A$313:J851,9,0)),"")</f>
        <v/>
      </c>
      <c r="K1123" s="384" t="str">
        <f ca="1">IFERROR(VLOOKUP(C1123,' Disaggregation - Section E '!A$313:J851,3,0),"")</f>
        <v>TB O-4⁽ᴹ⁾ Treatment success rate of RR-TB and/or MDR-TB: Percentage of patients with RR and/or MDR-TB successfully treated</v>
      </c>
      <c r="L1123" s="388" t="str">
        <f ca="1">IFERROR(IF(VLOOKUP(C1123,' Disaggregation - Section E '!A$313:J851,10,0)="","",VLOOKUP(C1123,' Disaggregation - Section E '!A$313:J851,10,0)),"")</f>
        <v/>
      </c>
      <c r="M1123" s="385" t="str">
        <f ca="1">IFERROR(IF(VLOOKUP(C1123,' Disaggregation - Section E '!A$313:O555,15,0)=0,"",VLOOKUP(C1123,' Disaggregation - Section E '!A$313:O851,15,0)),"")</f>
        <v/>
      </c>
      <c r="N1123" s="384"/>
      <c r="O1123" s="384"/>
    </row>
    <row r="1124" spans="1:15" x14ac:dyDescent="0.3">
      <c r="A1124" s="384" t="b">
        <f t="shared" ca="1" si="130"/>
        <v>0</v>
      </c>
      <c r="B1124" s="384"/>
      <c r="C1124" s="400" t="str">
        <f ca="1">IF(COUNTA(O$885:O1124)=1,"",OFFSET(C1124,-COUNTA(O$885:O1124)+1,0))</f>
        <v>a1VDm000000PRc6MAG</v>
      </c>
      <c r="D1124" s="389"/>
      <c r="E1124" s="386" t="str">
        <f ca="1">IFERROR(IF(VLOOKUP(C1124,' Disaggregation - Section E '!A$313:J852,7,0)="","",VLOOKUP(C1124,' Disaggregation - Section E '!A$313:J852,7,0)*100),"")</f>
        <v/>
      </c>
      <c r="F1124" s="384"/>
      <c r="G1124" s="387" t="str">
        <f ca="1">IFERROR(IF(VLOOKUP(C1124,' Disaggregation - Section E '!A$313:J852,6,0)="","",VLOOKUP(C1124,' Disaggregation - Section E '!A$313:J852,6,0)),"")</f>
        <v/>
      </c>
      <c r="H1124" s="387" t="str">
        <f ca="1">IFERROR(IF(INDEX(' Disaggregation - Section E '!F$313:F852,MATCH(C1124,' Disaggregation - Section E '!A$313:A852,0)+1,1)&lt;&gt;0,INDEX(' Disaggregation - Section E '!F$313:F852,MATCH(C1124,' Disaggregation - Section E '!A$313:A852,0)+1,1),""),"")</f>
        <v/>
      </c>
      <c r="I1124" s="388" t="str">
        <f ca="1">IFERROR(IF(VLOOKUP(C1124,' Disaggregation - Section E '!A$313:J852,8,0)=0,"",VLOOKUP(C1124,' Disaggregation - Section E '!A$313:J852,8,0)),"")</f>
        <v/>
      </c>
      <c r="J1124" s="388" t="str">
        <f ca="1">IFERROR(IF(VLOOKUP(C1124,' Disaggregation - Section E '!A$313:J852,9,0)="","",VLOOKUP(C1124,' Disaggregation - Section E '!A$313:J852,9,0)),"")</f>
        <v/>
      </c>
      <c r="K1124" s="384" t="str">
        <f ca="1">IFERROR(VLOOKUP(C1124,' Disaggregation - Section E '!A$313:J852,3,0),"")</f>
        <v>TB O-4⁽ᴹ⁾ Treatment success rate of RR-TB and/or MDR-TB: Percentage of patients with RR and/or MDR-TB successfully treated</v>
      </c>
      <c r="L1124" s="388" t="str">
        <f ca="1">IFERROR(IF(VLOOKUP(C1124,' Disaggregation - Section E '!A$313:J852,10,0)="","",VLOOKUP(C1124,' Disaggregation - Section E '!A$313:J852,10,0)),"")</f>
        <v/>
      </c>
      <c r="M1124" s="385" t="str">
        <f ca="1">IFERROR(IF(VLOOKUP(C1124,' Disaggregation - Section E '!A$313:O556,15,0)=0,"",VLOOKUP(C1124,' Disaggregation - Section E '!A$313:O852,15,0)),"")</f>
        <v/>
      </c>
      <c r="N1124" s="384"/>
      <c r="O1124" s="384"/>
    </row>
    <row r="1125" spans="1:15" x14ac:dyDescent="0.3">
      <c r="A1125" s="384" t="b">
        <f t="shared" ca="1" si="130"/>
        <v>0</v>
      </c>
      <c r="B1125" s="384"/>
      <c r="C1125" s="400" t="str">
        <f ca="1">IF(COUNTA(O$885:O1125)=1,"",OFFSET(C1125,-COUNTA(O$885:O1125)+1,0))</f>
        <v>a1VDm000000PRc7MAG</v>
      </c>
      <c r="D1125" s="389"/>
      <c r="E1125" s="386" t="str">
        <f ca="1">IFERROR(IF(VLOOKUP(C1125,' Disaggregation - Section E '!A$313:J853,7,0)="","",VLOOKUP(C1125,' Disaggregation - Section E '!A$313:J853,7,0)*100),"")</f>
        <v/>
      </c>
      <c r="F1125" s="384"/>
      <c r="G1125" s="387" t="str">
        <f ca="1">IFERROR(IF(VLOOKUP(C1125,' Disaggregation - Section E '!A$313:J853,6,0)="","",VLOOKUP(C1125,' Disaggregation - Section E '!A$313:J853,6,0)),"")</f>
        <v/>
      </c>
      <c r="H1125" s="387" t="str">
        <f ca="1">IFERROR(IF(INDEX(' Disaggregation - Section E '!F$313:F853,MATCH(C1125,' Disaggregation - Section E '!A$313:A853,0)+1,1)&lt;&gt;0,INDEX(' Disaggregation - Section E '!F$313:F853,MATCH(C1125,' Disaggregation - Section E '!A$313:A853,0)+1,1),""),"")</f>
        <v/>
      </c>
      <c r="I1125" s="388" t="str">
        <f ca="1">IFERROR(IF(VLOOKUP(C1125,' Disaggregation - Section E '!A$313:J853,8,0)=0,"",VLOOKUP(C1125,' Disaggregation - Section E '!A$313:J853,8,0)),"")</f>
        <v/>
      </c>
      <c r="J1125" s="388" t="str">
        <f ca="1">IFERROR(IF(VLOOKUP(C1125,' Disaggregation - Section E '!A$313:J853,9,0)="","",VLOOKUP(C1125,' Disaggregation - Section E '!A$313:J853,9,0)),"")</f>
        <v/>
      </c>
      <c r="K1125" s="384" t="str">
        <f ca="1">IFERROR(VLOOKUP(C1125,' Disaggregation - Section E '!A$313:J853,3,0),"")</f>
        <v>TB O-4⁽ᴹ⁾ Treatment success rate of RR-TB and/or MDR-TB: Percentage of patients with RR and/or MDR-TB successfully treated</v>
      </c>
      <c r="L1125" s="388" t="str">
        <f ca="1">IFERROR(IF(VLOOKUP(C1125,' Disaggregation - Section E '!A$313:J853,10,0)="","",VLOOKUP(C1125,' Disaggregation - Section E '!A$313:J853,10,0)),"")</f>
        <v/>
      </c>
      <c r="M1125" s="385" t="str">
        <f ca="1">IFERROR(IF(VLOOKUP(C1125,' Disaggregation - Section E '!A$313:O557,15,0)=0,"",VLOOKUP(C1125,' Disaggregation - Section E '!A$313:O853,15,0)),"")</f>
        <v/>
      </c>
      <c r="N1125" s="384"/>
      <c r="O1125" s="384"/>
    </row>
    <row r="1126" spans="1:15" x14ac:dyDescent="0.3">
      <c r="A1126" s="384" t="b">
        <f t="shared" ca="1" si="130"/>
        <v>0</v>
      </c>
      <c r="B1126" s="384"/>
      <c r="C1126" s="400" t="str">
        <f ca="1">IF(COUNTA(O$885:O1126)=1,"",OFFSET(C1126,-COUNTA(O$885:O1126)+1,0))</f>
        <v>a1VDm000000PRc8MAG</v>
      </c>
      <c r="D1126" s="389"/>
      <c r="E1126" s="386" t="str">
        <f ca="1">IFERROR(IF(VLOOKUP(C1126,' Disaggregation - Section E '!A$313:J854,7,0)="","",VLOOKUP(C1126,' Disaggregation - Section E '!A$313:J854,7,0)*100),"")</f>
        <v/>
      </c>
      <c r="F1126" s="384"/>
      <c r="G1126" s="387" t="str">
        <f ca="1">IFERROR(IF(VLOOKUP(C1126,' Disaggregation - Section E '!A$313:J854,6,0)="","",VLOOKUP(C1126,' Disaggregation - Section E '!A$313:J854,6,0)),"")</f>
        <v/>
      </c>
      <c r="H1126" s="387" t="str">
        <f ca="1">IFERROR(IF(INDEX(' Disaggregation - Section E '!F$313:F854,MATCH(C1126,' Disaggregation - Section E '!A$313:A854,0)+1,1)&lt;&gt;0,INDEX(' Disaggregation - Section E '!F$313:F854,MATCH(C1126,' Disaggregation - Section E '!A$313:A854,0)+1,1),""),"")</f>
        <v/>
      </c>
      <c r="I1126" s="388" t="str">
        <f ca="1">IFERROR(IF(VLOOKUP(C1126,' Disaggregation - Section E '!A$313:J854,8,0)=0,"",VLOOKUP(C1126,' Disaggregation - Section E '!A$313:J854,8,0)),"")</f>
        <v/>
      </c>
      <c r="J1126" s="388" t="str">
        <f ca="1">IFERROR(IF(VLOOKUP(C1126,' Disaggregation - Section E '!A$313:J854,9,0)="","",VLOOKUP(C1126,' Disaggregation - Section E '!A$313:J854,9,0)),"")</f>
        <v/>
      </c>
      <c r="K1126" s="384" t="str">
        <f ca="1">IFERROR(VLOOKUP(C1126,' Disaggregation - Section E '!A$313:J854,3,0),"")</f>
        <v>TB O-4⁽ᴹ⁾ Treatment success rate of RR-TB and/or MDR-TB: Percentage of patients with RR and/or MDR-TB successfully treated</v>
      </c>
      <c r="L1126" s="388" t="str">
        <f ca="1">IFERROR(IF(VLOOKUP(C1126,' Disaggregation - Section E '!A$313:J854,10,0)="","",VLOOKUP(C1126,' Disaggregation - Section E '!A$313:J854,10,0)),"")</f>
        <v/>
      </c>
      <c r="M1126" s="385" t="str">
        <f ca="1">IFERROR(IF(VLOOKUP(C1126,' Disaggregation - Section E '!A$313:O558,15,0)=0,"",VLOOKUP(C1126,' Disaggregation - Section E '!A$313:O854,15,0)),"")</f>
        <v/>
      </c>
      <c r="N1126" s="384"/>
      <c r="O1126" s="384"/>
    </row>
    <row r="1127" spans="1:15" x14ac:dyDescent="0.3">
      <c r="A1127" s="384" t="b">
        <f t="shared" ca="1" si="130"/>
        <v>0</v>
      </c>
      <c r="B1127" s="384"/>
      <c r="C1127" s="400" t="str">
        <f ca="1">IF(COUNTA(O$885:O1127)=1,"",OFFSET(C1127,-COUNTA(O$885:O1127)+1,0))</f>
        <v>a1VDm000000PRc9MAG</v>
      </c>
      <c r="D1127" s="389"/>
      <c r="E1127" s="386" t="str">
        <f ca="1">IFERROR(IF(VLOOKUP(C1127,' Disaggregation - Section E '!A$313:J855,7,0)="","",VLOOKUP(C1127,' Disaggregation - Section E '!A$313:J855,7,0)*100),"")</f>
        <v/>
      </c>
      <c r="F1127" s="384"/>
      <c r="G1127" s="387" t="str">
        <f ca="1">IFERROR(IF(VLOOKUP(C1127,' Disaggregation - Section E '!A$313:J855,6,0)="","",VLOOKUP(C1127,' Disaggregation - Section E '!A$313:J855,6,0)),"")</f>
        <v/>
      </c>
      <c r="H1127" s="387" t="str">
        <f ca="1">IFERROR(IF(INDEX(' Disaggregation - Section E '!F$313:F855,MATCH(C1127,' Disaggregation - Section E '!A$313:A855,0)+1,1)&lt;&gt;0,INDEX(' Disaggregation - Section E '!F$313:F855,MATCH(C1127,' Disaggregation - Section E '!A$313:A855,0)+1,1),""),"")</f>
        <v/>
      </c>
      <c r="I1127" s="388" t="str">
        <f ca="1">IFERROR(IF(VLOOKUP(C1127,' Disaggregation - Section E '!A$313:J855,8,0)=0,"",VLOOKUP(C1127,' Disaggregation - Section E '!A$313:J855,8,0)),"")</f>
        <v/>
      </c>
      <c r="J1127" s="388" t="str">
        <f ca="1">IFERROR(IF(VLOOKUP(C1127,' Disaggregation - Section E '!A$313:J855,9,0)="","",VLOOKUP(C1127,' Disaggregation - Section E '!A$313:J855,9,0)),"")</f>
        <v/>
      </c>
      <c r="K1127" s="384" t="str">
        <f ca="1">IFERROR(VLOOKUP(C1127,' Disaggregation - Section E '!A$313:J855,3,0),"")</f>
        <v>TB O-8 Percentage of people diagnosed with TB who report stigma in health care settings that inhibited them from seeking and accessing TB services</v>
      </c>
      <c r="L1127" s="388" t="str">
        <f ca="1">IFERROR(IF(VLOOKUP(C1127,' Disaggregation - Section E '!A$313:J855,10,0)="","",VLOOKUP(C1127,' Disaggregation - Section E '!A$313:J855,10,0)),"")</f>
        <v/>
      </c>
      <c r="M1127" s="385" t="str">
        <f ca="1">IFERROR(IF(VLOOKUP(C1127,' Disaggregation - Section E '!A$313:O559,15,0)=0,"",VLOOKUP(C1127,' Disaggregation - Section E '!A$313:O855,15,0)),"")</f>
        <v/>
      </c>
      <c r="N1127" s="384"/>
      <c r="O1127" s="384"/>
    </row>
    <row r="1128" spans="1:15" x14ac:dyDescent="0.3">
      <c r="A1128" s="384" t="b">
        <f t="shared" ca="1" si="130"/>
        <v>0</v>
      </c>
      <c r="B1128" s="384"/>
      <c r="C1128" s="400" t="str">
        <f ca="1">IF(COUNTA(O$885:O1128)=1,"",OFFSET(C1128,-COUNTA(O$885:O1128)+1,0))</f>
        <v>a1VDm000000PRcAMAW</v>
      </c>
      <c r="D1128" s="389"/>
      <c r="E1128" s="386" t="str">
        <f ca="1">IFERROR(IF(VLOOKUP(C1128,' Disaggregation - Section E '!A$313:J856,7,0)="","",VLOOKUP(C1128,' Disaggregation - Section E '!A$313:J856,7,0)*100),"")</f>
        <v/>
      </c>
      <c r="F1128" s="384"/>
      <c r="G1128" s="387" t="str">
        <f ca="1">IFERROR(IF(VLOOKUP(C1128,' Disaggregation - Section E '!A$313:J856,6,0)="","",VLOOKUP(C1128,' Disaggregation - Section E '!A$313:J856,6,0)),"")</f>
        <v/>
      </c>
      <c r="H1128" s="387" t="str">
        <f ca="1">IFERROR(IF(INDEX(' Disaggregation - Section E '!F$313:F856,MATCH(C1128,' Disaggregation - Section E '!A$313:A856,0)+1,1)&lt;&gt;0,INDEX(' Disaggregation - Section E '!F$313:F856,MATCH(C1128,' Disaggregation - Section E '!A$313:A856,0)+1,1),""),"")</f>
        <v/>
      </c>
      <c r="I1128" s="388" t="str">
        <f ca="1">IFERROR(IF(VLOOKUP(C1128,' Disaggregation - Section E '!A$313:J856,8,0)=0,"",VLOOKUP(C1128,' Disaggregation - Section E '!A$313:J856,8,0)),"")</f>
        <v/>
      </c>
      <c r="J1128" s="388" t="str">
        <f ca="1">IFERROR(IF(VLOOKUP(C1128,' Disaggregation - Section E '!A$313:J856,9,0)="","",VLOOKUP(C1128,' Disaggregation - Section E '!A$313:J856,9,0)),"")</f>
        <v/>
      </c>
      <c r="K1128" s="384" t="str">
        <f ca="1">IFERROR(VLOOKUP(C1128,' Disaggregation - Section E '!A$313:J856,3,0),"")</f>
        <v>TB O-8 Percentage of people diagnosed with TB who report stigma in health care settings that inhibited them from seeking and accessing TB services</v>
      </c>
      <c r="L1128" s="388" t="str">
        <f ca="1">IFERROR(IF(VLOOKUP(C1128,' Disaggregation - Section E '!A$313:J856,10,0)="","",VLOOKUP(C1128,' Disaggregation - Section E '!A$313:J856,10,0)),"")</f>
        <v/>
      </c>
      <c r="M1128" s="385" t="str">
        <f ca="1">IFERROR(IF(VLOOKUP(C1128,' Disaggregation - Section E '!A$313:O560,15,0)=0,"",VLOOKUP(C1128,' Disaggregation - Section E '!A$313:O856,15,0)),"")</f>
        <v/>
      </c>
      <c r="N1128" s="384"/>
      <c r="O1128" s="384"/>
    </row>
    <row r="1129" spans="1:15" x14ac:dyDescent="0.3">
      <c r="A1129" s="384" t="b">
        <f t="shared" ca="1" si="130"/>
        <v>0</v>
      </c>
      <c r="B1129" s="384"/>
      <c r="C1129" s="400" t="str">
        <f ca="1">IF(COUNTA(O$885:O1129)=1,"",OFFSET(C1129,-COUNTA(O$885:O1129)+1,0))</f>
        <v>a1VDm000000PRcBMAW</v>
      </c>
      <c r="D1129" s="389"/>
      <c r="E1129" s="386" t="str">
        <f ca="1">IFERROR(IF(VLOOKUP(C1129,' Disaggregation - Section E '!A$313:J857,7,0)="","",VLOOKUP(C1129,' Disaggregation - Section E '!A$313:J857,7,0)*100),"")</f>
        <v/>
      </c>
      <c r="F1129" s="384"/>
      <c r="G1129" s="387" t="str">
        <f ca="1">IFERROR(IF(VLOOKUP(C1129,' Disaggregation - Section E '!A$313:J857,6,0)="","",VLOOKUP(C1129,' Disaggregation - Section E '!A$313:J857,6,0)),"")</f>
        <v/>
      </c>
      <c r="H1129" s="387" t="str">
        <f ca="1">IFERROR(IF(INDEX(' Disaggregation - Section E '!F$313:F857,MATCH(C1129,' Disaggregation - Section E '!A$313:A857,0)+1,1)&lt;&gt;0,INDEX(' Disaggregation - Section E '!F$313:F857,MATCH(C1129,' Disaggregation - Section E '!A$313:A857,0)+1,1),""),"")</f>
        <v/>
      </c>
      <c r="I1129" s="388" t="str">
        <f ca="1">IFERROR(IF(VLOOKUP(C1129,' Disaggregation - Section E '!A$313:J857,8,0)=0,"",VLOOKUP(C1129,' Disaggregation - Section E '!A$313:J857,8,0)),"")</f>
        <v/>
      </c>
      <c r="J1129" s="388" t="str">
        <f ca="1">IFERROR(IF(VLOOKUP(C1129,' Disaggregation - Section E '!A$313:J857,9,0)="","",VLOOKUP(C1129,' Disaggregation - Section E '!A$313:J857,9,0)),"")</f>
        <v/>
      </c>
      <c r="K1129" s="384" t="str">
        <f ca="1">IFERROR(VLOOKUP(C1129,' Disaggregation - Section E '!A$313:J857,3,0),"")</f>
        <v>TB O-8 Percentage of people diagnosed with TB who report stigma in health care settings that inhibited them from seeking and accessing TB services</v>
      </c>
      <c r="L1129" s="388" t="str">
        <f ca="1">IFERROR(IF(VLOOKUP(C1129,' Disaggregation - Section E '!A$313:J857,10,0)="","",VLOOKUP(C1129,' Disaggregation - Section E '!A$313:J857,10,0)),"")</f>
        <v/>
      </c>
      <c r="M1129" s="385" t="str">
        <f ca="1">IFERROR(IF(VLOOKUP(C1129,' Disaggregation - Section E '!A$313:O561,15,0)=0,"",VLOOKUP(C1129,' Disaggregation - Section E '!A$313:O857,15,0)),"")</f>
        <v/>
      </c>
      <c r="N1129" s="384"/>
      <c r="O1129" s="384"/>
    </row>
    <row r="1130" spans="1:15" x14ac:dyDescent="0.3">
      <c r="A1130" s="384" t="b">
        <f t="shared" ca="1" si="130"/>
        <v>0</v>
      </c>
      <c r="B1130" s="384"/>
      <c r="C1130" s="400" t="str">
        <f ca="1">IF(COUNTA(O$885:O1130)=1,"",OFFSET(C1130,-COUNTA(O$885:O1130)+1,0))</f>
        <v>a1VDm000000PRcCMAW</v>
      </c>
      <c r="D1130" s="389"/>
      <c r="E1130" s="386" t="str">
        <f ca="1">IFERROR(IF(VLOOKUP(C1130,' Disaggregation - Section E '!A$313:J858,7,0)="","",VLOOKUP(C1130,' Disaggregation - Section E '!A$313:J858,7,0)*100),"")</f>
        <v/>
      </c>
      <c r="F1130" s="384"/>
      <c r="G1130" s="387" t="str">
        <f ca="1">IFERROR(IF(VLOOKUP(C1130,' Disaggregation - Section E '!A$313:J858,6,0)="","",VLOOKUP(C1130,' Disaggregation - Section E '!A$313:J858,6,0)),"")</f>
        <v/>
      </c>
      <c r="H1130" s="387" t="str">
        <f ca="1">IFERROR(IF(INDEX(' Disaggregation - Section E '!F$313:F858,MATCH(C1130,' Disaggregation - Section E '!A$313:A858,0)+1,1)&lt;&gt;0,INDEX(' Disaggregation - Section E '!F$313:F858,MATCH(C1130,' Disaggregation - Section E '!A$313:A858,0)+1,1),""),"")</f>
        <v/>
      </c>
      <c r="I1130" s="388" t="str">
        <f ca="1">IFERROR(IF(VLOOKUP(C1130,' Disaggregation - Section E '!A$313:J858,8,0)=0,"",VLOOKUP(C1130,' Disaggregation - Section E '!A$313:J858,8,0)),"")</f>
        <v/>
      </c>
      <c r="J1130" s="388" t="str">
        <f ca="1">IFERROR(IF(VLOOKUP(C1130,' Disaggregation - Section E '!A$313:J858,9,0)="","",VLOOKUP(C1130,' Disaggregation - Section E '!A$313:J858,9,0)),"")</f>
        <v/>
      </c>
      <c r="K1130" s="384" t="str">
        <f ca="1">IFERROR(VLOOKUP(C1130,' Disaggregation - Section E '!A$313:J858,3,0),"")</f>
        <v>TB O-8 Percentage of people diagnosed with TB who report stigma in health care settings that inhibited them from seeking and accessing TB services</v>
      </c>
      <c r="L1130" s="388" t="str">
        <f ca="1">IFERROR(IF(VLOOKUP(C1130,' Disaggregation - Section E '!A$313:J858,10,0)="","",VLOOKUP(C1130,' Disaggregation - Section E '!A$313:J858,10,0)),"")</f>
        <v/>
      </c>
      <c r="M1130" s="385" t="str">
        <f ca="1">IFERROR(IF(VLOOKUP(C1130,' Disaggregation - Section E '!A$313:O562,15,0)=0,"",VLOOKUP(C1130,' Disaggregation - Section E '!A$313:O858,15,0)),"")</f>
        <v/>
      </c>
      <c r="N1130" s="384"/>
      <c r="O1130" s="384"/>
    </row>
    <row r="1131" spans="1:15" x14ac:dyDescent="0.3">
      <c r="A1131" s="384" t="b">
        <f t="shared" ca="1" si="130"/>
        <v>0</v>
      </c>
      <c r="B1131" s="384"/>
      <c r="C1131" s="400" t="str">
        <f ca="1">IF(COUNTA(O$885:O1131)=1,"",OFFSET(C1131,-COUNTA(O$885:O1131)+1,0))</f>
        <v>a1VDm000000PRcDMAW</v>
      </c>
      <c r="D1131" s="389"/>
      <c r="E1131" s="386" t="str">
        <f ca="1">IFERROR(IF(VLOOKUP(C1131,' Disaggregation - Section E '!A$313:J859,7,0)="","",VLOOKUP(C1131,' Disaggregation - Section E '!A$313:J859,7,0)*100),"")</f>
        <v/>
      </c>
      <c r="F1131" s="384"/>
      <c r="G1131" s="387" t="str">
        <f ca="1">IFERROR(IF(VLOOKUP(C1131,' Disaggregation - Section E '!A$313:J859,6,0)="","",VLOOKUP(C1131,' Disaggregation - Section E '!A$313:J859,6,0)),"")</f>
        <v/>
      </c>
      <c r="H1131" s="387" t="str">
        <f ca="1">IFERROR(IF(INDEX(' Disaggregation - Section E '!F$313:F859,MATCH(C1131,' Disaggregation - Section E '!A$313:A859,0)+1,1)&lt;&gt;0,INDEX(' Disaggregation - Section E '!F$313:F859,MATCH(C1131,' Disaggregation - Section E '!A$313:A859,0)+1,1),""),"")</f>
        <v/>
      </c>
      <c r="I1131" s="388" t="str">
        <f ca="1">IFERROR(IF(VLOOKUP(C1131,' Disaggregation - Section E '!A$313:J859,8,0)=0,"",VLOOKUP(C1131,' Disaggregation - Section E '!A$313:J859,8,0)),"")</f>
        <v/>
      </c>
      <c r="J1131" s="388" t="str">
        <f ca="1">IFERROR(IF(VLOOKUP(C1131,' Disaggregation - Section E '!A$313:J859,9,0)="","",VLOOKUP(C1131,' Disaggregation - Section E '!A$313:J859,9,0)),"")</f>
        <v/>
      </c>
      <c r="K1131" s="384" t="str">
        <f ca="1">IFERROR(VLOOKUP(C1131,' Disaggregation - Section E '!A$313:J859,3,0),"")</f>
        <v>TB O-8 Percentage of people diagnosed with TB who report stigma in health care settings that inhibited them from seeking and accessing TB services</v>
      </c>
      <c r="L1131" s="388" t="str">
        <f ca="1">IFERROR(IF(VLOOKUP(C1131,' Disaggregation - Section E '!A$313:J859,10,0)="","",VLOOKUP(C1131,' Disaggregation - Section E '!A$313:J859,10,0)),"")</f>
        <v/>
      </c>
      <c r="M1131" s="385" t="str">
        <f ca="1">IFERROR(IF(VLOOKUP(C1131,' Disaggregation - Section E '!A$313:O563,15,0)=0,"",VLOOKUP(C1131,' Disaggregation - Section E '!A$313:O859,15,0)),"")</f>
        <v/>
      </c>
      <c r="N1131" s="384"/>
      <c r="O1131" s="384"/>
    </row>
    <row r="1132" spans="1:15" x14ac:dyDescent="0.3">
      <c r="A1132" s="384" t="b">
        <f t="shared" ca="1" si="130"/>
        <v>0</v>
      </c>
      <c r="B1132" s="384"/>
      <c r="C1132" s="400" t="str">
        <f ca="1">IF(COUNTA(O$885:O1132)=1,"",OFFSET(C1132,-COUNTA(O$885:O1132)+1,0))</f>
        <v>a1VDm000000PRcEMAW</v>
      </c>
      <c r="D1132" s="389"/>
      <c r="E1132" s="386" t="str">
        <f ca="1">IFERROR(IF(VLOOKUP(C1132,' Disaggregation - Section E '!A$313:J860,7,0)="","",VLOOKUP(C1132,' Disaggregation - Section E '!A$313:J860,7,0)*100),"")</f>
        <v/>
      </c>
      <c r="F1132" s="384"/>
      <c r="G1132" s="387" t="str">
        <f ca="1">IFERROR(IF(VLOOKUP(C1132,' Disaggregation - Section E '!A$313:J860,6,0)="","",VLOOKUP(C1132,' Disaggregation - Section E '!A$313:J860,6,0)),"")</f>
        <v/>
      </c>
      <c r="H1132" s="387" t="str">
        <f ca="1">IFERROR(IF(INDEX(' Disaggregation - Section E '!F$313:F860,MATCH(C1132,' Disaggregation - Section E '!A$313:A860,0)+1,1)&lt;&gt;0,INDEX(' Disaggregation - Section E '!F$313:F860,MATCH(C1132,' Disaggregation - Section E '!A$313:A860,0)+1,1),""),"")</f>
        <v/>
      </c>
      <c r="I1132" s="388" t="str">
        <f ca="1">IFERROR(IF(VLOOKUP(C1132,' Disaggregation - Section E '!A$313:J860,8,0)=0,"",VLOOKUP(C1132,' Disaggregation - Section E '!A$313:J860,8,0)),"")</f>
        <v/>
      </c>
      <c r="J1132" s="388" t="str">
        <f ca="1">IFERROR(IF(VLOOKUP(C1132,' Disaggregation - Section E '!A$313:J860,9,0)="","",VLOOKUP(C1132,' Disaggregation - Section E '!A$313:J860,9,0)),"")</f>
        <v/>
      </c>
      <c r="K1132" s="384" t="str">
        <f ca="1">IFERROR(VLOOKUP(C1132,' Disaggregation - Section E '!A$313:J860,3,0),"")</f>
        <v>TB O-8 Percentage of people diagnosed with TB who report stigma in health care settings that inhibited them from seeking and accessing TB services</v>
      </c>
      <c r="L1132" s="388" t="str">
        <f ca="1">IFERROR(IF(VLOOKUP(C1132,' Disaggregation - Section E '!A$313:J860,10,0)="","",VLOOKUP(C1132,' Disaggregation - Section E '!A$313:J860,10,0)),"")</f>
        <v/>
      </c>
      <c r="M1132" s="385" t="str">
        <f ca="1">IFERROR(IF(VLOOKUP(C1132,' Disaggregation - Section E '!A$313:O564,15,0)=0,"",VLOOKUP(C1132,' Disaggregation - Section E '!A$313:O860,15,0)),"")</f>
        <v/>
      </c>
      <c r="N1132" s="384"/>
      <c r="O1132" s="384"/>
    </row>
    <row r="1133" spans="1:15" x14ac:dyDescent="0.3">
      <c r="A1133" s="384" t="b">
        <f t="shared" ca="1" si="130"/>
        <v>0</v>
      </c>
      <c r="B1133" s="384"/>
      <c r="C1133" s="400" t="str">
        <f ca="1">IF(COUNTA(O$885:O1133)=1,"",OFFSET(C1133,-COUNTA(O$885:O1133)+1,0))</f>
        <v>a1VDm000000PRcFMAW</v>
      </c>
      <c r="D1133" s="389"/>
      <c r="E1133" s="386" t="str">
        <f ca="1">IFERROR(IF(VLOOKUP(C1133,' Disaggregation - Section E '!A$313:J861,7,0)="","",VLOOKUP(C1133,' Disaggregation - Section E '!A$313:J861,7,0)*100),"")</f>
        <v/>
      </c>
      <c r="F1133" s="384"/>
      <c r="G1133" s="387" t="str">
        <f ca="1">IFERROR(IF(VLOOKUP(C1133,' Disaggregation - Section E '!A$313:J861,6,0)="","",VLOOKUP(C1133,' Disaggregation - Section E '!A$313:J861,6,0)),"")</f>
        <v/>
      </c>
      <c r="H1133" s="387" t="str">
        <f ca="1">IFERROR(IF(INDEX(' Disaggregation - Section E '!F$313:F861,MATCH(C1133,' Disaggregation - Section E '!A$313:A861,0)+1,1)&lt;&gt;0,INDEX(' Disaggregation - Section E '!F$313:F861,MATCH(C1133,' Disaggregation - Section E '!A$313:A861,0)+1,1),""),"")</f>
        <v/>
      </c>
      <c r="I1133" s="388" t="str">
        <f ca="1">IFERROR(IF(VLOOKUP(C1133,' Disaggregation - Section E '!A$313:J861,8,0)=0,"",VLOOKUP(C1133,' Disaggregation - Section E '!A$313:J861,8,0)),"")</f>
        <v/>
      </c>
      <c r="J1133" s="388" t="str">
        <f ca="1">IFERROR(IF(VLOOKUP(C1133,' Disaggregation - Section E '!A$313:J861,9,0)="","",VLOOKUP(C1133,' Disaggregation - Section E '!A$313:J861,9,0)),"")</f>
        <v/>
      </c>
      <c r="K1133" s="384" t="str">
        <f ca="1">IFERROR(VLOOKUP(C1133,' Disaggregation - Section E '!A$313:J861,3,0),"")</f>
        <v>TB O-8 Percentage of people diagnosed with TB who report stigma in health care settings that inhibited them from seeking and accessing TB services</v>
      </c>
      <c r="L1133" s="388" t="str">
        <f ca="1">IFERROR(IF(VLOOKUP(C1133,' Disaggregation - Section E '!A$313:J861,10,0)="","",VLOOKUP(C1133,' Disaggregation - Section E '!A$313:J861,10,0)),"")</f>
        <v/>
      </c>
      <c r="M1133" s="385" t="str">
        <f ca="1">IFERROR(IF(VLOOKUP(C1133,' Disaggregation - Section E '!A$313:O565,15,0)=0,"",VLOOKUP(C1133,' Disaggregation - Section E '!A$313:O861,15,0)),"")</f>
        <v/>
      </c>
      <c r="N1133" s="384"/>
      <c r="O1133" s="384"/>
    </row>
    <row r="1134" spans="1:15" x14ac:dyDescent="0.3">
      <c r="A1134" s="384" t="b">
        <f t="shared" ca="1" si="130"/>
        <v>0</v>
      </c>
      <c r="B1134" s="384"/>
      <c r="C1134" s="400" t="str">
        <f ca="1">IF(COUNTA(O$885:O1134)=1,"",OFFSET(C1134,-COUNTA(O$885:O1134)+1,0))</f>
        <v>a1VDm000000PRcGMAW</v>
      </c>
      <c r="D1134" s="389"/>
      <c r="E1134" s="386" t="str">
        <f ca="1">IFERROR(IF(VLOOKUP(C1134,' Disaggregation - Section E '!A$313:J862,7,0)="","",VLOOKUP(C1134,' Disaggregation - Section E '!A$313:J862,7,0)*100),"")</f>
        <v/>
      </c>
      <c r="F1134" s="384"/>
      <c r="G1134" s="387" t="str">
        <f ca="1">IFERROR(IF(VLOOKUP(C1134,' Disaggregation - Section E '!A$313:J862,6,0)="","",VLOOKUP(C1134,' Disaggregation - Section E '!A$313:J862,6,0)),"")</f>
        <v/>
      </c>
      <c r="H1134" s="387" t="str">
        <f ca="1">IFERROR(IF(INDEX(' Disaggregation - Section E '!F$313:F862,MATCH(C1134,' Disaggregation - Section E '!A$313:A862,0)+1,1)&lt;&gt;0,INDEX(' Disaggregation - Section E '!F$313:F862,MATCH(C1134,' Disaggregation - Section E '!A$313:A862,0)+1,1),""),"")</f>
        <v/>
      </c>
      <c r="I1134" s="388" t="str">
        <f ca="1">IFERROR(IF(VLOOKUP(C1134,' Disaggregation - Section E '!A$313:J862,8,0)=0,"",VLOOKUP(C1134,' Disaggregation - Section E '!A$313:J862,8,0)),"")</f>
        <v/>
      </c>
      <c r="J1134" s="388" t="str">
        <f ca="1">IFERROR(IF(VLOOKUP(C1134,' Disaggregation - Section E '!A$313:J862,9,0)="","",VLOOKUP(C1134,' Disaggregation - Section E '!A$313:J862,9,0)),"")</f>
        <v/>
      </c>
      <c r="K1134" s="384" t="str">
        <f ca="1">IFERROR(VLOOKUP(C1134,' Disaggregation - Section E '!A$313:J862,3,0),"")</f>
        <v>TB O-8 Percentage of people diagnosed with TB who report stigma in health care settings that inhibited them from seeking and accessing TB services</v>
      </c>
      <c r="L1134" s="388" t="str">
        <f ca="1">IFERROR(IF(VLOOKUP(C1134,' Disaggregation - Section E '!A$313:J862,10,0)="","",VLOOKUP(C1134,' Disaggregation - Section E '!A$313:J862,10,0)),"")</f>
        <v/>
      </c>
      <c r="M1134" s="385" t="str">
        <f ca="1">IFERROR(IF(VLOOKUP(C1134,' Disaggregation - Section E '!A$313:O566,15,0)=0,"",VLOOKUP(C1134,' Disaggregation - Section E '!A$313:O862,15,0)),"")</f>
        <v/>
      </c>
      <c r="N1134" s="384"/>
      <c r="O1134" s="384"/>
    </row>
    <row r="1135" spans="1:15" x14ac:dyDescent="0.3">
      <c r="A1135" s="384" t="b">
        <f t="shared" ca="1" si="130"/>
        <v>0</v>
      </c>
      <c r="B1135" s="384"/>
      <c r="C1135" s="400" t="str">
        <f ca="1">IF(COUNTA(O$885:O1135)=1,"",OFFSET(C1135,-COUNTA(O$885:O1135)+1,0))</f>
        <v>a1VDm000000PRcHMAW</v>
      </c>
      <c r="D1135" s="389"/>
      <c r="E1135" s="386" t="str">
        <f ca="1">IFERROR(IF(VLOOKUP(C1135,' Disaggregation - Section E '!A$313:J863,7,0)="","",VLOOKUP(C1135,' Disaggregation - Section E '!A$313:J863,7,0)*100),"")</f>
        <v/>
      </c>
      <c r="F1135" s="384"/>
      <c r="G1135" s="387" t="str">
        <f ca="1">IFERROR(IF(VLOOKUP(C1135,' Disaggregation - Section E '!A$313:J863,6,0)="","",VLOOKUP(C1135,' Disaggregation - Section E '!A$313:J863,6,0)),"")</f>
        <v/>
      </c>
      <c r="H1135" s="387" t="str">
        <f ca="1">IFERROR(IF(INDEX(' Disaggregation - Section E '!F$313:F863,MATCH(C1135,' Disaggregation - Section E '!A$313:A863,0)+1,1)&lt;&gt;0,INDEX(' Disaggregation - Section E '!F$313:F863,MATCH(C1135,' Disaggregation - Section E '!A$313:A863,0)+1,1),""),"")</f>
        <v/>
      </c>
      <c r="I1135" s="388" t="str">
        <f ca="1">IFERROR(IF(VLOOKUP(C1135,' Disaggregation - Section E '!A$313:J863,8,0)=0,"",VLOOKUP(C1135,' Disaggregation - Section E '!A$313:J863,8,0)),"")</f>
        <v/>
      </c>
      <c r="J1135" s="388" t="str">
        <f ca="1">IFERROR(IF(VLOOKUP(C1135,' Disaggregation - Section E '!A$313:J863,9,0)="","",VLOOKUP(C1135,' Disaggregation - Section E '!A$313:J863,9,0)),"")</f>
        <v/>
      </c>
      <c r="K1135" s="384" t="str">
        <f ca="1">IFERROR(VLOOKUP(C1135,' Disaggregation - Section E '!A$313:J863,3,0),"")</f>
        <v>TB O-8 Percentage of people diagnosed with TB who report stigma in health care settings that inhibited them from seeking and accessing TB services</v>
      </c>
      <c r="L1135" s="388" t="str">
        <f ca="1">IFERROR(IF(VLOOKUP(C1135,' Disaggregation - Section E '!A$313:J863,10,0)="","",VLOOKUP(C1135,' Disaggregation - Section E '!A$313:J863,10,0)),"")</f>
        <v/>
      </c>
      <c r="M1135" s="385" t="str">
        <f ca="1">IFERROR(IF(VLOOKUP(C1135,' Disaggregation - Section E '!A$313:O567,15,0)=0,"",VLOOKUP(C1135,' Disaggregation - Section E '!A$313:O863,15,0)),"")</f>
        <v/>
      </c>
      <c r="N1135" s="384"/>
      <c r="O1135" s="384"/>
    </row>
    <row r="1136" spans="1:15" x14ac:dyDescent="0.3">
      <c r="A1136" s="384" t="b">
        <f t="shared" ca="1" si="130"/>
        <v>0</v>
      </c>
      <c r="B1136" s="384"/>
      <c r="C1136" s="400" t="str">
        <f ca="1">IF(COUNTA(O$885:O1136)=1,"",OFFSET(C1136,-COUNTA(O$885:O1136)+1,0))</f>
        <v>a1VDm000000PRcIMAW</v>
      </c>
      <c r="D1136" s="389"/>
      <c r="E1136" s="386" t="str">
        <f ca="1">IFERROR(IF(VLOOKUP(C1136,' Disaggregation - Section E '!A$313:J864,7,0)="","",VLOOKUP(C1136,' Disaggregation - Section E '!A$313:J864,7,0)*100),"")</f>
        <v/>
      </c>
      <c r="F1136" s="384"/>
      <c r="G1136" s="387" t="str">
        <f ca="1">IFERROR(IF(VLOOKUP(C1136,' Disaggregation - Section E '!A$313:J864,6,0)="","",VLOOKUP(C1136,' Disaggregation - Section E '!A$313:J864,6,0)),"")</f>
        <v/>
      </c>
      <c r="H1136" s="387" t="str">
        <f ca="1">IFERROR(IF(INDEX(' Disaggregation - Section E '!F$313:F864,MATCH(C1136,' Disaggregation - Section E '!A$313:A864,0)+1,1)&lt;&gt;0,INDEX(' Disaggregation - Section E '!F$313:F864,MATCH(C1136,' Disaggregation - Section E '!A$313:A864,0)+1,1),""),"")</f>
        <v/>
      </c>
      <c r="I1136" s="388" t="str">
        <f ca="1">IFERROR(IF(VLOOKUP(C1136,' Disaggregation - Section E '!A$313:J864,8,0)=0,"",VLOOKUP(C1136,' Disaggregation - Section E '!A$313:J864,8,0)),"")</f>
        <v/>
      </c>
      <c r="J1136" s="388" t="str">
        <f ca="1">IFERROR(IF(VLOOKUP(C1136,' Disaggregation - Section E '!A$313:J864,9,0)="","",VLOOKUP(C1136,' Disaggregation - Section E '!A$313:J864,9,0)),"")</f>
        <v/>
      </c>
      <c r="K1136" s="384" t="str">
        <f ca="1">IFERROR(VLOOKUP(C1136,' Disaggregation - Section E '!A$313:J864,3,0),"")</f>
        <v>TB O-8 Percentage of people diagnosed with TB who report stigma in health care settings that inhibited them from seeking and accessing TB services</v>
      </c>
      <c r="L1136" s="388" t="str">
        <f ca="1">IFERROR(IF(VLOOKUP(C1136,' Disaggregation - Section E '!A$313:J864,10,0)="","",VLOOKUP(C1136,' Disaggregation - Section E '!A$313:J864,10,0)),"")</f>
        <v/>
      </c>
      <c r="M1136" s="385" t="str">
        <f ca="1">IFERROR(IF(VLOOKUP(C1136,' Disaggregation - Section E '!A$313:O568,15,0)=0,"",VLOOKUP(C1136,' Disaggregation - Section E '!A$313:O864,15,0)),"")</f>
        <v/>
      </c>
      <c r="N1136" s="384"/>
      <c r="O1136" s="384"/>
    </row>
    <row r="1137" spans="1:15" x14ac:dyDescent="0.3">
      <c r="A1137" s="384" t="b">
        <f t="shared" ca="1" si="130"/>
        <v>0</v>
      </c>
      <c r="B1137" s="384"/>
      <c r="C1137" s="400" t="str">
        <f ca="1">IF(COUNTA(O$885:O1137)=1,"",OFFSET(C1137,-COUNTA(O$885:O1137)+1,0))</f>
        <v>a1VDm000000PRcJMAW</v>
      </c>
      <c r="D1137" s="389"/>
      <c r="E1137" s="386" t="str">
        <f ca="1">IFERROR(IF(VLOOKUP(C1137,' Disaggregation - Section E '!A$313:J865,7,0)="","",VLOOKUP(C1137,' Disaggregation - Section E '!A$313:J865,7,0)*100),"")</f>
        <v/>
      </c>
      <c r="F1137" s="384"/>
      <c r="G1137" s="387" t="str">
        <f ca="1">IFERROR(IF(VLOOKUP(C1137,' Disaggregation - Section E '!A$313:J865,6,0)="","",VLOOKUP(C1137,' Disaggregation - Section E '!A$313:J865,6,0)),"")</f>
        <v/>
      </c>
      <c r="H1137" s="387" t="str">
        <f ca="1">IFERROR(IF(INDEX(' Disaggregation - Section E '!F$313:F865,MATCH(C1137,' Disaggregation - Section E '!A$313:A865,0)+1,1)&lt;&gt;0,INDEX(' Disaggregation - Section E '!F$313:F865,MATCH(C1137,' Disaggregation - Section E '!A$313:A865,0)+1,1),""),"")</f>
        <v/>
      </c>
      <c r="I1137" s="388" t="str">
        <f ca="1">IFERROR(IF(VLOOKUP(C1137,' Disaggregation - Section E '!A$313:J865,8,0)=0,"",VLOOKUP(C1137,' Disaggregation - Section E '!A$313:J865,8,0)),"")</f>
        <v/>
      </c>
      <c r="J1137" s="388" t="str">
        <f ca="1">IFERROR(IF(VLOOKUP(C1137,' Disaggregation - Section E '!A$313:J865,9,0)="","",VLOOKUP(C1137,' Disaggregation - Section E '!A$313:J865,9,0)),"")</f>
        <v/>
      </c>
      <c r="K1137" s="384" t="str">
        <f ca="1">IFERROR(VLOOKUP(C1137,' Disaggregation - Section E '!A$313:J865,3,0),"")</f>
        <v/>
      </c>
      <c r="L1137" s="388" t="str">
        <f ca="1">IFERROR(IF(VLOOKUP(C1137,' Disaggregation - Section E '!A$313:J865,10,0)="","",VLOOKUP(C1137,' Disaggregation - Section E '!A$313:J865,10,0)),"")</f>
        <v/>
      </c>
      <c r="M1137" s="385" t="str">
        <f ca="1">IFERROR(IF(VLOOKUP(C1137,' Disaggregation - Section E '!A$313:O569,15,0)=0,"",VLOOKUP(C1137,' Disaggregation - Section E '!A$313:O865,15,0)),"")</f>
        <v/>
      </c>
      <c r="N1137" s="384"/>
      <c r="O1137" s="384"/>
    </row>
    <row r="1138" spans="1:15" x14ac:dyDescent="0.3">
      <c r="A1138" s="384" t="b">
        <f t="shared" ca="1" si="130"/>
        <v>0</v>
      </c>
      <c r="B1138" s="384"/>
      <c r="C1138" s="400" t="str">
        <f ca="1">IF(COUNTA(O$885:O1138)=1,"",OFFSET(C1138,-COUNTA(O$885:O1138)+1,0))</f>
        <v>a1VDm000000PRcKMAW</v>
      </c>
      <c r="D1138" s="389"/>
      <c r="E1138" s="386" t="str">
        <f ca="1">IFERROR(IF(VLOOKUP(C1138,' Disaggregation - Section E '!A$313:J866,7,0)="","",VLOOKUP(C1138,' Disaggregation - Section E '!A$313:J866,7,0)*100),"")</f>
        <v/>
      </c>
      <c r="F1138" s="384"/>
      <c r="G1138" s="387" t="str">
        <f ca="1">IFERROR(IF(VLOOKUP(C1138,' Disaggregation - Section E '!A$313:J866,6,0)="","",VLOOKUP(C1138,' Disaggregation - Section E '!A$313:J866,6,0)),"")</f>
        <v/>
      </c>
      <c r="H1138" s="387" t="str">
        <f ca="1">IFERROR(IF(INDEX(' Disaggregation - Section E '!F$313:F866,MATCH(C1138,' Disaggregation - Section E '!A$313:A866,0)+1,1)&lt;&gt;0,INDEX(' Disaggregation - Section E '!F$313:F866,MATCH(C1138,' Disaggregation - Section E '!A$313:A866,0)+1,1),""),"")</f>
        <v/>
      </c>
      <c r="I1138" s="388" t="str">
        <f ca="1">IFERROR(IF(VLOOKUP(C1138,' Disaggregation - Section E '!A$313:J866,8,0)=0,"",VLOOKUP(C1138,' Disaggregation - Section E '!A$313:J866,8,0)),"")</f>
        <v/>
      </c>
      <c r="J1138" s="388" t="str">
        <f ca="1">IFERROR(IF(VLOOKUP(C1138,' Disaggregation - Section E '!A$313:J866,9,0)="","",VLOOKUP(C1138,' Disaggregation - Section E '!A$313:J866,9,0)),"")</f>
        <v/>
      </c>
      <c r="K1138" s="384" t="str">
        <f ca="1">IFERROR(VLOOKUP(C1138,' Disaggregation - Section E '!A$313:J866,3,0),"")</f>
        <v/>
      </c>
      <c r="L1138" s="388" t="str">
        <f ca="1">IFERROR(IF(VLOOKUP(C1138,' Disaggregation - Section E '!A$313:J866,10,0)="","",VLOOKUP(C1138,' Disaggregation - Section E '!A$313:J866,10,0)),"")</f>
        <v/>
      </c>
      <c r="M1138" s="385" t="str">
        <f ca="1">IFERROR(IF(VLOOKUP(C1138,' Disaggregation - Section E '!A$313:O570,15,0)=0,"",VLOOKUP(C1138,' Disaggregation - Section E '!A$313:O866,15,0)),"")</f>
        <v/>
      </c>
      <c r="N1138" s="384"/>
      <c r="O1138" s="384"/>
    </row>
    <row r="1139" spans="1:15" x14ac:dyDescent="0.3">
      <c r="A1139" s="384" t="b">
        <f t="shared" ca="1" si="130"/>
        <v>0</v>
      </c>
      <c r="B1139" s="384"/>
      <c r="C1139" s="400" t="str">
        <f ca="1">IF(COUNTA(O$885:O1139)=1,"",OFFSET(C1139,-COUNTA(O$885:O1139)+1,0))</f>
        <v>a1VDm000000PRcLMAW</v>
      </c>
      <c r="D1139" s="389"/>
      <c r="E1139" s="386" t="str">
        <f ca="1">IFERROR(IF(VLOOKUP(C1139,' Disaggregation - Section E '!A$313:J867,7,0)="","",VLOOKUP(C1139,' Disaggregation - Section E '!A$313:J867,7,0)*100),"")</f>
        <v/>
      </c>
      <c r="F1139" s="384"/>
      <c r="G1139" s="387" t="str">
        <f ca="1">IFERROR(IF(VLOOKUP(C1139,' Disaggregation - Section E '!A$313:J867,6,0)="","",VLOOKUP(C1139,' Disaggregation - Section E '!A$313:J867,6,0)),"")</f>
        <v/>
      </c>
      <c r="H1139" s="387" t="str">
        <f ca="1">IFERROR(IF(INDEX(' Disaggregation - Section E '!F$313:F867,MATCH(C1139,' Disaggregation - Section E '!A$313:A867,0)+1,1)&lt;&gt;0,INDEX(' Disaggregation - Section E '!F$313:F867,MATCH(C1139,' Disaggregation - Section E '!A$313:A867,0)+1,1),""),"")</f>
        <v/>
      </c>
      <c r="I1139" s="388" t="str">
        <f ca="1">IFERROR(IF(VLOOKUP(C1139,' Disaggregation - Section E '!A$313:J867,8,0)=0,"",VLOOKUP(C1139,' Disaggregation - Section E '!A$313:J867,8,0)),"")</f>
        <v/>
      </c>
      <c r="J1139" s="388" t="str">
        <f ca="1">IFERROR(IF(VLOOKUP(C1139,' Disaggregation - Section E '!A$313:J867,9,0)="","",VLOOKUP(C1139,' Disaggregation - Section E '!A$313:J867,9,0)),"")</f>
        <v/>
      </c>
      <c r="K1139" s="384" t="str">
        <f ca="1">IFERROR(VLOOKUP(C1139,' Disaggregation - Section E '!A$313:J867,3,0),"")</f>
        <v/>
      </c>
      <c r="L1139" s="388" t="str">
        <f ca="1">IFERROR(IF(VLOOKUP(C1139,' Disaggregation - Section E '!A$313:J867,10,0)="","",VLOOKUP(C1139,' Disaggregation - Section E '!A$313:J867,10,0)),"")</f>
        <v/>
      </c>
      <c r="M1139" s="385" t="str">
        <f ca="1">IFERROR(IF(VLOOKUP(C1139,' Disaggregation - Section E '!A$313:O571,15,0)=0,"",VLOOKUP(C1139,' Disaggregation - Section E '!A$313:O867,15,0)),"")</f>
        <v/>
      </c>
      <c r="N1139" s="384"/>
      <c r="O1139" s="384"/>
    </row>
    <row r="1140" spans="1:15" x14ac:dyDescent="0.3">
      <c r="A1140" s="384" t="b">
        <f t="shared" ca="1" si="130"/>
        <v>0</v>
      </c>
      <c r="B1140" s="384"/>
      <c r="C1140" s="400" t="str">
        <f ca="1">IF(COUNTA(O$885:O1140)=1,"",OFFSET(C1140,-COUNTA(O$885:O1140)+1,0))</f>
        <v>a1VDm000000PRcMMAW</v>
      </c>
      <c r="D1140" s="389"/>
      <c r="E1140" s="386" t="str">
        <f ca="1">IFERROR(IF(VLOOKUP(C1140,' Disaggregation - Section E '!A$313:J868,7,0)="","",VLOOKUP(C1140,' Disaggregation - Section E '!A$313:J868,7,0)*100),"")</f>
        <v/>
      </c>
      <c r="F1140" s="384"/>
      <c r="G1140" s="387" t="str">
        <f ca="1">IFERROR(IF(VLOOKUP(C1140,' Disaggregation - Section E '!A$313:J868,6,0)="","",VLOOKUP(C1140,' Disaggregation - Section E '!A$313:J868,6,0)),"")</f>
        <v/>
      </c>
      <c r="H1140" s="387" t="str">
        <f ca="1">IFERROR(IF(INDEX(' Disaggregation - Section E '!F$313:F868,MATCH(C1140,' Disaggregation - Section E '!A$313:A868,0)+1,1)&lt;&gt;0,INDEX(' Disaggregation - Section E '!F$313:F868,MATCH(C1140,' Disaggregation - Section E '!A$313:A868,0)+1,1),""),"")</f>
        <v/>
      </c>
      <c r="I1140" s="388" t="str">
        <f ca="1">IFERROR(IF(VLOOKUP(C1140,' Disaggregation - Section E '!A$313:J868,8,0)=0,"",VLOOKUP(C1140,' Disaggregation - Section E '!A$313:J868,8,0)),"")</f>
        <v/>
      </c>
      <c r="J1140" s="388" t="str">
        <f ca="1">IFERROR(IF(VLOOKUP(C1140,' Disaggregation - Section E '!A$313:J868,9,0)="","",VLOOKUP(C1140,' Disaggregation - Section E '!A$313:J868,9,0)),"")</f>
        <v/>
      </c>
      <c r="K1140" s="384" t="str">
        <f ca="1">IFERROR(VLOOKUP(C1140,' Disaggregation - Section E '!A$313:J868,3,0),"")</f>
        <v/>
      </c>
      <c r="L1140" s="388" t="str">
        <f ca="1">IFERROR(IF(VLOOKUP(C1140,' Disaggregation - Section E '!A$313:J868,10,0)="","",VLOOKUP(C1140,' Disaggregation - Section E '!A$313:J868,10,0)),"")</f>
        <v/>
      </c>
      <c r="M1140" s="385" t="str">
        <f ca="1">IFERROR(IF(VLOOKUP(C1140,' Disaggregation - Section E '!A$313:O572,15,0)=0,"",VLOOKUP(C1140,' Disaggregation - Section E '!A$313:O868,15,0)),"")</f>
        <v/>
      </c>
      <c r="N1140" s="384"/>
      <c r="O1140" s="384"/>
    </row>
    <row r="1141" spans="1:15" x14ac:dyDescent="0.3">
      <c r="A1141" s="384" t="b">
        <f t="shared" ca="1" si="130"/>
        <v>0</v>
      </c>
      <c r="B1141" s="384"/>
      <c r="C1141" s="400" t="str">
        <f ca="1">IF(COUNTA(O$885:O1141)=1,"",OFFSET(C1141,-COUNTA(O$885:O1141)+1,0))</f>
        <v>a1VDm000000PRcNMAW</v>
      </c>
      <c r="D1141" s="389"/>
      <c r="E1141" s="386" t="str">
        <f ca="1">IFERROR(IF(VLOOKUP(C1141,' Disaggregation - Section E '!A$313:J869,7,0)="","",VLOOKUP(C1141,' Disaggregation - Section E '!A$313:J869,7,0)*100),"")</f>
        <v/>
      </c>
      <c r="F1141" s="384"/>
      <c r="G1141" s="387" t="str">
        <f ca="1">IFERROR(IF(VLOOKUP(C1141,' Disaggregation - Section E '!A$313:J869,6,0)="","",VLOOKUP(C1141,' Disaggregation - Section E '!A$313:J869,6,0)),"")</f>
        <v/>
      </c>
      <c r="H1141" s="387" t="str">
        <f ca="1">IFERROR(IF(INDEX(' Disaggregation - Section E '!F$313:F869,MATCH(C1141,' Disaggregation - Section E '!A$313:A869,0)+1,1)&lt;&gt;0,INDEX(' Disaggregation - Section E '!F$313:F869,MATCH(C1141,' Disaggregation - Section E '!A$313:A869,0)+1,1),""),"")</f>
        <v/>
      </c>
      <c r="I1141" s="388" t="str">
        <f ca="1">IFERROR(IF(VLOOKUP(C1141,' Disaggregation - Section E '!A$313:J869,8,0)=0,"",VLOOKUP(C1141,' Disaggregation - Section E '!A$313:J869,8,0)),"")</f>
        <v/>
      </c>
      <c r="J1141" s="388" t="str">
        <f ca="1">IFERROR(IF(VLOOKUP(C1141,' Disaggregation - Section E '!A$313:J869,9,0)="","",VLOOKUP(C1141,' Disaggregation - Section E '!A$313:J869,9,0)),"")</f>
        <v/>
      </c>
      <c r="K1141" s="384" t="str">
        <f ca="1">IFERROR(VLOOKUP(C1141,' Disaggregation - Section E '!A$313:J869,3,0),"")</f>
        <v/>
      </c>
      <c r="L1141" s="388" t="str">
        <f ca="1">IFERROR(IF(VLOOKUP(C1141,' Disaggregation - Section E '!A$313:J869,10,0)="","",VLOOKUP(C1141,' Disaggregation - Section E '!A$313:J869,10,0)),"")</f>
        <v/>
      </c>
      <c r="M1141" s="385" t="str">
        <f ca="1">IFERROR(IF(VLOOKUP(C1141,' Disaggregation - Section E '!A$313:O573,15,0)=0,"",VLOOKUP(C1141,' Disaggregation - Section E '!A$313:O869,15,0)),"")</f>
        <v/>
      </c>
      <c r="N1141" s="384"/>
      <c r="O1141" s="384"/>
    </row>
    <row r="1142" spans="1:15" x14ac:dyDescent="0.3">
      <c r="A1142" s="384" t="b">
        <f t="shared" ca="1" si="130"/>
        <v>0</v>
      </c>
      <c r="B1142" s="384"/>
      <c r="C1142" s="400" t="str">
        <f ca="1">IF(COUNTA(O$885:O1142)=1,"",OFFSET(C1142,-COUNTA(O$885:O1142)+1,0))</f>
        <v>a1VDm000000PRcOMAW</v>
      </c>
      <c r="D1142" s="389"/>
      <c r="E1142" s="386" t="str">
        <f ca="1">IFERROR(IF(VLOOKUP(C1142,' Disaggregation - Section E '!A$313:J870,7,0)="","",VLOOKUP(C1142,' Disaggregation - Section E '!A$313:J870,7,0)*100),"")</f>
        <v/>
      </c>
      <c r="F1142" s="384"/>
      <c r="G1142" s="387" t="str">
        <f ca="1">IFERROR(IF(VLOOKUP(C1142,' Disaggregation - Section E '!A$313:J870,6,0)="","",VLOOKUP(C1142,' Disaggregation - Section E '!A$313:J870,6,0)),"")</f>
        <v/>
      </c>
      <c r="H1142" s="387" t="str">
        <f ca="1">IFERROR(IF(INDEX(' Disaggregation - Section E '!F$313:F870,MATCH(C1142,' Disaggregation - Section E '!A$313:A870,0)+1,1)&lt;&gt;0,INDEX(' Disaggregation - Section E '!F$313:F870,MATCH(C1142,' Disaggregation - Section E '!A$313:A870,0)+1,1),""),"")</f>
        <v/>
      </c>
      <c r="I1142" s="388" t="str">
        <f ca="1">IFERROR(IF(VLOOKUP(C1142,' Disaggregation - Section E '!A$313:J870,8,0)=0,"",VLOOKUP(C1142,' Disaggregation - Section E '!A$313:J870,8,0)),"")</f>
        <v/>
      </c>
      <c r="J1142" s="388" t="str">
        <f ca="1">IFERROR(IF(VLOOKUP(C1142,' Disaggregation - Section E '!A$313:J870,9,0)="","",VLOOKUP(C1142,' Disaggregation - Section E '!A$313:J870,9,0)),"")</f>
        <v/>
      </c>
      <c r="K1142" s="384" t="str">
        <f ca="1">IFERROR(VLOOKUP(C1142,' Disaggregation - Section E '!A$313:J870,3,0),"")</f>
        <v/>
      </c>
      <c r="L1142" s="388" t="str">
        <f ca="1">IFERROR(IF(VLOOKUP(C1142,' Disaggregation - Section E '!A$313:J870,10,0)="","",VLOOKUP(C1142,' Disaggregation - Section E '!A$313:J870,10,0)),"")</f>
        <v/>
      </c>
      <c r="M1142" s="385" t="str">
        <f ca="1">IFERROR(IF(VLOOKUP(C1142,' Disaggregation - Section E '!A$313:O574,15,0)=0,"",VLOOKUP(C1142,' Disaggregation - Section E '!A$313:O870,15,0)),"")</f>
        <v/>
      </c>
      <c r="N1142" s="384"/>
      <c r="O1142" s="384"/>
    </row>
    <row r="1143" spans="1:15" x14ac:dyDescent="0.3">
      <c r="A1143" s="384" t="b">
        <f t="shared" ca="1" si="130"/>
        <v>0</v>
      </c>
      <c r="B1143" s="384"/>
      <c r="C1143" s="400" t="str">
        <f ca="1">IF(COUNTA(O$885:O1143)=1,"",OFFSET(C1143,-COUNTA(O$885:O1143)+1,0))</f>
        <v>a1VDm000000PRcPMAW</v>
      </c>
      <c r="D1143" s="389"/>
      <c r="E1143" s="386" t="str">
        <f ca="1">IFERROR(IF(VLOOKUP(C1143,' Disaggregation - Section E '!A$313:J871,7,0)="","",VLOOKUP(C1143,' Disaggregation - Section E '!A$313:J871,7,0)*100),"")</f>
        <v/>
      </c>
      <c r="F1143" s="384"/>
      <c r="G1143" s="387" t="str">
        <f ca="1">IFERROR(IF(VLOOKUP(C1143,' Disaggregation - Section E '!A$313:J871,6,0)="","",VLOOKUP(C1143,' Disaggregation - Section E '!A$313:J871,6,0)),"")</f>
        <v/>
      </c>
      <c r="H1143" s="387" t="str">
        <f ca="1">IFERROR(IF(INDEX(' Disaggregation - Section E '!F$313:F871,MATCH(C1143,' Disaggregation - Section E '!A$313:A871,0)+1,1)&lt;&gt;0,INDEX(' Disaggregation - Section E '!F$313:F871,MATCH(C1143,' Disaggregation - Section E '!A$313:A871,0)+1,1),""),"")</f>
        <v/>
      </c>
      <c r="I1143" s="388" t="str">
        <f ca="1">IFERROR(IF(VLOOKUP(C1143,' Disaggregation - Section E '!A$313:J871,8,0)=0,"",VLOOKUP(C1143,' Disaggregation - Section E '!A$313:J871,8,0)),"")</f>
        <v/>
      </c>
      <c r="J1143" s="388" t="str">
        <f ca="1">IFERROR(IF(VLOOKUP(C1143,' Disaggregation - Section E '!A$313:J871,9,0)="","",VLOOKUP(C1143,' Disaggregation - Section E '!A$313:J871,9,0)),"")</f>
        <v/>
      </c>
      <c r="K1143" s="384" t="str">
        <f ca="1">IFERROR(VLOOKUP(C1143,' Disaggregation - Section E '!A$313:J871,3,0),"")</f>
        <v/>
      </c>
      <c r="L1143" s="388" t="str">
        <f ca="1">IFERROR(IF(VLOOKUP(C1143,' Disaggregation - Section E '!A$313:J871,10,0)="","",VLOOKUP(C1143,' Disaggregation - Section E '!A$313:J871,10,0)),"")</f>
        <v/>
      </c>
      <c r="M1143" s="385" t="str">
        <f ca="1">IFERROR(IF(VLOOKUP(C1143,' Disaggregation - Section E '!A$313:O575,15,0)=0,"",VLOOKUP(C1143,' Disaggregation - Section E '!A$313:O871,15,0)),"")</f>
        <v/>
      </c>
      <c r="N1143" s="384"/>
      <c r="O1143" s="384"/>
    </row>
    <row r="1144" spans="1:15" x14ac:dyDescent="0.3">
      <c r="A1144" s="384" t="b">
        <f t="shared" ca="1" si="130"/>
        <v>0</v>
      </c>
      <c r="B1144" s="384"/>
      <c r="C1144" s="400" t="str">
        <f ca="1">IF(COUNTA(O$885:O1144)=1,"",OFFSET(C1144,-COUNTA(O$885:O1144)+1,0))</f>
        <v>a1VDm000000PRcQMAW</v>
      </c>
      <c r="D1144" s="389"/>
      <c r="E1144" s="386" t="str">
        <f ca="1">IFERROR(IF(VLOOKUP(C1144,' Disaggregation - Section E '!A$313:J872,7,0)="","",VLOOKUP(C1144,' Disaggregation - Section E '!A$313:J872,7,0)*100),"")</f>
        <v/>
      </c>
      <c r="F1144" s="384"/>
      <c r="G1144" s="387" t="str">
        <f ca="1">IFERROR(IF(VLOOKUP(C1144,' Disaggregation - Section E '!A$313:J872,6,0)="","",VLOOKUP(C1144,' Disaggregation - Section E '!A$313:J872,6,0)),"")</f>
        <v/>
      </c>
      <c r="H1144" s="387" t="str">
        <f ca="1">IFERROR(IF(INDEX(' Disaggregation - Section E '!F$313:F872,MATCH(C1144,' Disaggregation - Section E '!A$313:A872,0)+1,1)&lt;&gt;0,INDEX(' Disaggregation - Section E '!F$313:F872,MATCH(C1144,' Disaggregation - Section E '!A$313:A872,0)+1,1),""),"")</f>
        <v/>
      </c>
      <c r="I1144" s="388" t="str">
        <f ca="1">IFERROR(IF(VLOOKUP(C1144,' Disaggregation - Section E '!A$313:J872,8,0)=0,"",VLOOKUP(C1144,' Disaggregation - Section E '!A$313:J872,8,0)),"")</f>
        <v/>
      </c>
      <c r="J1144" s="388" t="str">
        <f ca="1">IFERROR(IF(VLOOKUP(C1144,' Disaggregation - Section E '!A$313:J872,9,0)="","",VLOOKUP(C1144,' Disaggregation - Section E '!A$313:J872,9,0)),"")</f>
        <v/>
      </c>
      <c r="K1144" s="384" t="str">
        <f ca="1">IFERROR(VLOOKUP(C1144,' Disaggregation - Section E '!A$313:J872,3,0),"")</f>
        <v/>
      </c>
      <c r="L1144" s="388" t="str">
        <f ca="1">IFERROR(IF(VLOOKUP(C1144,' Disaggregation - Section E '!A$313:J872,10,0)="","",VLOOKUP(C1144,' Disaggregation - Section E '!A$313:J872,10,0)),"")</f>
        <v/>
      </c>
      <c r="M1144" s="385" t="str">
        <f ca="1">IFERROR(IF(VLOOKUP(C1144,' Disaggregation - Section E '!A$313:O576,15,0)=0,"",VLOOKUP(C1144,' Disaggregation - Section E '!A$313:O872,15,0)),"")</f>
        <v/>
      </c>
      <c r="N1144" s="384"/>
      <c r="O1144" s="384"/>
    </row>
    <row r="1145" spans="1:15" x14ac:dyDescent="0.3">
      <c r="A1145" s="384" t="b">
        <f t="shared" ca="1" si="130"/>
        <v>0</v>
      </c>
      <c r="B1145" s="384"/>
      <c r="C1145" s="400" t="str">
        <f ca="1">IF(COUNTA(O$885:O1145)=1,"",OFFSET(C1145,-COUNTA(O$885:O1145)+1,0))</f>
        <v>a1VDm000000PRcRMAW</v>
      </c>
      <c r="D1145" s="389"/>
      <c r="E1145" s="386" t="str">
        <f ca="1">IFERROR(IF(VLOOKUP(C1145,' Disaggregation - Section E '!A$313:J873,7,0)="","",VLOOKUP(C1145,' Disaggregation - Section E '!A$313:J873,7,0)*100),"")</f>
        <v/>
      </c>
      <c r="F1145" s="384"/>
      <c r="G1145" s="387" t="str">
        <f ca="1">IFERROR(IF(VLOOKUP(C1145,' Disaggregation - Section E '!A$313:J873,6,0)="","",VLOOKUP(C1145,' Disaggregation - Section E '!A$313:J873,6,0)),"")</f>
        <v/>
      </c>
      <c r="H1145" s="387" t="str">
        <f ca="1">IFERROR(IF(INDEX(' Disaggregation - Section E '!F$313:F873,MATCH(C1145,' Disaggregation - Section E '!A$313:A873,0)+1,1)&lt;&gt;0,INDEX(' Disaggregation - Section E '!F$313:F873,MATCH(C1145,' Disaggregation - Section E '!A$313:A873,0)+1,1),""),"")</f>
        <v/>
      </c>
      <c r="I1145" s="388" t="str">
        <f ca="1">IFERROR(IF(VLOOKUP(C1145,' Disaggregation - Section E '!A$313:J873,8,0)=0,"",VLOOKUP(C1145,' Disaggregation - Section E '!A$313:J873,8,0)),"")</f>
        <v/>
      </c>
      <c r="J1145" s="388" t="str">
        <f ca="1">IFERROR(IF(VLOOKUP(C1145,' Disaggregation - Section E '!A$313:J873,9,0)="","",VLOOKUP(C1145,' Disaggregation - Section E '!A$313:J873,9,0)),"")</f>
        <v/>
      </c>
      <c r="K1145" s="384" t="str">
        <f ca="1">IFERROR(VLOOKUP(C1145,' Disaggregation - Section E '!A$313:J873,3,0),"")</f>
        <v/>
      </c>
      <c r="L1145" s="388" t="str">
        <f ca="1">IFERROR(IF(VLOOKUP(C1145,' Disaggregation - Section E '!A$313:J873,10,0)="","",VLOOKUP(C1145,' Disaggregation - Section E '!A$313:J873,10,0)),"")</f>
        <v/>
      </c>
      <c r="M1145" s="385" t="str">
        <f ca="1">IFERROR(IF(VLOOKUP(C1145,' Disaggregation - Section E '!A$313:O577,15,0)=0,"",VLOOKUP(C1145,' Disaggregation - Section E '!A$313:O873,15,0)),"")</f>
        <v/>
      </c>
      <c r="N1145" s="384"/>
      <c r="O1145" s="384"/>
    </row>
    <row r="1146" spans="1:15" x14ac:dyDescent="0.3">
      <c r="A1146" s="384" t="b">
        <f t="shared" ca="1" si="130"/>
        <v>0</v>
      </c>
      <c r="B1146" s="384"/>
      <c r="C1146" s="400" t="str">
        <f ca="1">IF(COUNTA(O$885:O1146)=1,"",OFFSET(C1146,-COUNTA(O$885:O1146)+1,0))</f>
        <v>a1VDm000000PRcSMAW</v>
      </c>
      <c r="D1146" s="389"/>
      <c r="E1146" s="386" t="str">
        <f ca="1">IFERROR(IF(VLOOKUP(C1146,' Disaggregation - Section E '!A$313:J874,7,0)="","",VLOOKUP(C1146,' Disaggregation - Section E '!A$313:J874,7,0)*100),"")</f>
        <v/>
      </c>
      <c r="F1146" s="384"/>
      <c r="G1146" s="387" t="str">
        <f ca="1">IFERROR(IF(VLOOKUP(C1146,' Disaggregation - Section E '!A$313:J874,6,0)="","",VLOOKUP(C1146,' Disaggregation - Section E '!A$313:J874,6,0)),"")</f>
        <v/>
      </c>
      <c r="H1146" s="387" t="str">
        <f ca="1">IFERROR(IF(INDEX(' Disaggregation - Section E '!F$313:F874,MATCH(C1146,' Disaggregation - Section E '!A$313:A874,0)+1,1)&lt;&gt;0,INDEX(' Disaggregation - Section E '!F$313:F874,MATCH(C1146,' Disaggregation - Section E '!A$313:A874,0)+1,1),""),"")</f>
        <v/>
      </c>
      <c r="I1146" s="388" t="str">
        <f ca="1">IFERROR(IF(VLOOKUP(C1146,' Disaggregation - Section E '!A$313:J874,8,0)=0,"",VLOOKUP(C1146,' Disaggregation - Section E '!A$313:J874,8,0)),"")</f>
        <v/>
      </c>
      <c r="J1146" s="388" t="str">
        <f ca="1">IFERROR(IF(VLOOKUP(C1146,' Disaggregation - Section E '!A$313:J874,9,0)="","",VLOOKUP(C1146,' Disaggregation - Section E '!A$313:J874,9,0)),"")</f>
        <v/>
      </c>
      <c r="K1146" s="384" t="str">
        <f ca="1">IFERROR(VLOOKUP(C1146,' Disaggregation - Section E '!A$313:J874,3,0),"")</f>
        <v/>
      </c>
      <c r="L1146" s="388" t="str">
        <f ca="1">IFERROR(IF(VLOOKUP(C1146,' Disaggregation - Section E '!A$313:J874,10,0)="","",VLOOKUP(C1146,' Disaggregation - Section E '!A$313:J874,10,0)),"")</f>
        <v/>
      </c>
      <c r="M1146" s="385" t="str">
        <f ca="1">IFERROR(IF(VLOOKUP(C1146,' Disaggregation - Section E '!A$313:O578,15,0)=0,"",VLOOKUP(C1146,' Disaggregation - Section E '!A$313:O874,15,0)),"")</f>
        <v/>
      </c>
      <c r="N1146" s="384"/>
      <c r="O1146" s="384"/>
    </row>
    <row r="1147" spans="1:15" x14ac:dyDescent="0.3">
      <c r="A1147" s="384" t="b">
        <f t="shared" ca="1" si="130"/>
        <v>0</v>
      </c>
      <c r="B1147" s="384"/>
      <c r="C1147" s="400" t="str">
        <f ca="1">IF(COUNTA(O$885:O1147)=1,"",OFFSET(C1147,-COUNTA(O$885:O1147)+1,0))</f>
        <v>a1VDm000000PRcTMAW</v>
      </c>
      <c r="D1147" s="389"/>
      <c r="E1147" s="386" t="str">
        <f ca="1">IFERROR(IF(VLOOKUP(C1147,' Disaggregation - Section E '!A$313:J875,7,0)="","",VLOOKUP(C1147,' Disaggregation - Section E '!A$313:J875,7,0)*100),"")</f>
        <v/>
      </c>
      <c r="F1147" s="384"/>
      <c r="G1147" s="387" t="str">
        <f ca="1">IFERROR(IF(VLOOKUP(C1147,' Disaggregation - Section E '!A$313:J875,6,0)="","",VLOOKUP(C1147,' Disaggregation - Section E '!A$313:J875,6,0)),"")</f>
        <v/>
      </c>
      <c r="H1147" s="387" t="str">
        <f ca="1">IFERROR(IF(INDEX(' Disaggregation - Section E '!F$313:F875,MATCH(C1147,' Disaggregation - Section E '!A$313:A875,0)+1,1)&lt;&gt;0,INDEX(' Disaggregation - Section E '!F$313:F875,MATCH(C1147,' Disaggregation - Section E '!A$313:A875,0)+1,1),""),"")</f>
        <v/>
      </c>
      <c r="I1147" s="388" t="str">
        <f ca="1">IFERROR(IF(VLOOKUP(C1147,' Disaggregation - Section E '!A$313:J875,8,0)=0,"",VLOOKUP(C1147,' Disaggregation - Section E '!A$313:J875,8,0)),"")</f>
        <v/>
      </c>
      <c r="J1147" s="388" t="str">
        <f ca="1">IFERROR(IF(VLOOKUP(C1147,' Disaggregation - Section E '!A$313:J875,9,0)="","",VLOOKUP(C1147,' Disaggregation - Section E '!A$313:J875,9,0)),"")</f>
        <v/>
      </c>
      <c r="K1147" s="384" t="str">
        <f ca="1">IFERROR(VLOOKUP(C1147,' Disaggregation - Section E '!A$313:J875,3,0),"")</f>
        <v/>
      </c>
      <c r="L1147" s="388" t="str">
        <f ca="1">IFERROR(IF(VLOOKUP(C1147,' Disaggregation - Section E '!A$313:J875,10,0)="","",VLOOKUP(C1147,' Disaggregation - Section E '!A$313:J875,10,0)),"")</f>
        <v/>
      </c>
      <c r="M1147" s="385" t="str">
        <f ca="1">IFERROR(IF(VLOOKUP(C1147,' Disaggregation - Section E '!A$313:O579,15,0)=0,"",VLOOKUP(C1147,' Disaggregation - Section E '!A$313:O875,15,0)),"")</f>
        <v/>
      </c>
      <c r="N1147" s="384"/>
      <c r="O1147" s="384"/>
    </row>
    <row r="1148" spans="1:15" x14ac:dyDescent="0.3">
      <c r="A1148" s="384" t="b">
        <f t="shared" ca="1" si="130"/>
        <v>0</v>
      </c>
      <c r="B1148" s="384"/>
      <c r="C1148" s="400" t="str">
        <f ca="1">IF(COUNTA(O$885:O1148)=1,"",OFFSET(C1148,-COUNTA(O$885:O1148)+1,0))</f>
        <v>a1VDm000000PRcUMAW</v>
      </c>
      <c r="D1148" s="389"/>
      <c r="E1148" s="386" t="str">
        <f ca="1">IFERROR(IF(VLOOKUP(C1148,' Disaggregation - Section E '!A$313:J876,7,0)="","",VLOOKUP(C1148,' Disaggregation - Section E '!A$313:J876,7,0)*100),"")</f>
        <v/>
      </c>
      <c r="F1148" s="384"/>
      <c r="G1148" s="387" t="str">
        <f ca="1">IFERROR(IF(VLOOKUP(C1148,' Disaggregation - Section E '!A$313:J876,6,0)="","",VLOOKUP(C1148,' Disaggregation - Section E '!A$313:J876,6,0)),"")</f>
        <v/>
      </c>
      <c r="H1148" s="387" t="str">
        <f ca="1">IFERROR(IF(INDEX(' Disaggregation - Section E '!F$313:F876,MATCH(C1148,' Disaggregation - Section E '!A$313:A876,0)+1,1)&lt;&gt;0,INDEX(' Disaggregation - Section E '!F$313:F876,MATCH(C1148,' Disaggregation - Section E '!A$313:A876,0)+1,1),""),"")</f>
        <v/>
      </c>
      <c r="I1148" s="388" t="str">
        <f ca="1">IFERROR(IF(VLOOKUP(C1148,' Disaggregation - Section E '!A$313:J876,8,0)=0,"",VLOOKUP(C1148,' Disaggregation - Section E '!A$313:J876,8,0)),"")</f>
        <v/>
      </c>
      <c r="J1148" s="388" t="str">
        <f ca="1">IFERROR(IF(VLOOKUP(C1148,' Disaggregation - Section E '!A$313:J876,9,0)="","",VLOOKUP(C1148,' Disaggregation - Section E '!A$313:J876,9,0)),"")</f>
        <v/>
      </c>
      <c r="K1148" s="384" t="str">
        <f ca="1">IFERROR(VLOOKUP(C1148,' Disaggregation - Section E '!A$313:J876,3,0),"")</f>
        <v/>
      </c>
      <c r="L1148" s="388" t="str">
        <f ca="1">IFERROR(IF(VLOOKUP(C1148,' Disaggregation - Section E '!A$313:J876,10,0)="","",VLOOKUP(C1148,' Disaggregation - Section E '!A$313:J876,10,0)),"")</f>
        <v/>
      </c>
      <c r="M1148" s="385" t="str">
        <f ca="1">IFERROR(IF(VLOOKUP(C1148,' Disaggregation - Section E '!A$313:O580,15,0)=0,"",VLOOKUP(C1148,' Disaggregation - Section E '!A$313:O876,15,0)),"")</f>
        <v/>
      </c>
      <c r="N1148" s="384"/>
      <c r="O1148" s="384"/>
    </row>
    <row r="1149" spans="1:15" x14ac:dyDescent="0.3">
      <c r="A1149" s="384" t="b">
        <f t="shared" ca="1" si="130"/>
        <v>0</v>
      </c>
      <c r="B1149" s="384"/>
      <c r="C1149" s="400" t="str">
        <f ca="1">IF(COUNTA(O$885:O1149)=1,"",OFFSET(C1149,-COUNTA(O$885:O1149)+1,0))</f>
        <v>a1VDm000000PRcVMAW</v>
      </c>
      <c r="D1149" s="389"/>
      <c r="E1149" s="386" t="str">
        <f ca="1">IFERROR(IF(VLOOKUP(C1149,' Disaggregation - Section E '!A$313:J877,7,0)="","",VLOOKUP(C1149,' Disaggregation - Section E '!A$313:J877,7,0)*100),"")</f>
        <v/>
      </c>
      <c r="F1149" s="384"/>
      <c r="G1149" s="387" t="str">
        <f ca="1">IFERROR(IF(VLOOKUP(C1149,' Disaggregation - Section E '!A$313:J877,6,0)="","",VLOOKUP(C1149,' Disaggregation - Section E '!A$313:J877,6,0)),"")</f>
        <v/>
      </c>
      <c r="H1149" s="387" t="str">
        <f ca="1">IFERROR(IF(INDEX(' Disaggregation - Section E '!F$313:F877,MATCH(C1149,' Disaggregation - Section E '!A$313:A877,0)+1,1)&lt;&gt;0,INDEX(' Disaggregation - Section E '!F$313:F877,MATCH(C1149,' Disaggregation - Section E '!A$313:A877,0)+1,1),""),"")</f>
        <v/>
      </c>
      <c r="I1149" s="388" t="str">
        <f ca="1">IFERROR(IF(VLOOKUP(C1149,' Disaggregation - Section E '!A$313:J877,8,0)=0,"",VLOOKUP(C1149,' Disaggregation - Section E '!A$313:J877,8,0)),"")</f>
        <v/>
      </c>
      <c r="J1149" s="388" t="str">
        <f ca="1">IFERROR(IF(VLOOKUP(C1149,' Disaggregation - Section E '!A$313:J877,9,0)="","",VLOOKUP(C1149,' Disaggregation - Section E '!A$313:J877,9,0)),"")</f>
        <v/>
      </c>
      <c r="K1149" s="384" t="str">
        <f ca="1">IFERROR(VLOOKUP(C1149,' Disaggregation - Section E '!A$313:J877,3,0),"")</f>
        <v/>
      </c>
      <c r="L1149" s="388" t="str">
        <f ca="1">IFERROR(IF(VLOOKUP(C1149,' Disaggregation - Section E '!A$313:J877,10,0)="","",VLOOKUP(C1149,' Disaggregation - Section E '!A$313:J877,10,0)),"")</f>
        <v/>
      </c>
      <c r="M1149" s="385" t="str">
        <f ca="1">IFERROR(IF(VLOOKUP(C1149,' Disaggregation - Section E '!A$313:O581,15,0)=0,"",VLOOKUP(C1149,' Disaggregation - Section E '!A$313:O877,15,0)),"")</f>
        <v/>
      </c>
      <c r="N1149" s="384"/>
      <c r="O1149" s="384"/>
    </row>
    <row r="1150" spans="1:15" x14ac:dyDescent="0.3">
      <c r="A1150" s="384" t="b">
        <f t="shared" ca="1" si="130"/>
        <v>0</v>
      </c>
      <c r="B1150" s="384"/>
      <c r="C1150" s="400" t="str">
        <f ca="1">IF(COUNTA(O$885:O1150)=1,"",OFFSET(C1150,-COUNTA(O$885:O1150)+1,0))</f>
        <v>a1VDm000000PRcWMAW</v>
      </c>
      <c r="D1150" s="389"/>
      <c r="E1150" s="386" t="str">
        <f ca="1">IFERROR(IF(VLOOKUP(C1150,' Disaggregation - Section E '!A$313:J878,7,0)="","",VLOOKUP(C1150,' Disaggregation - Section E '!A$313:J878,7,0)*100),"")</f>
        <v/>
      </c>
      <c r="F1150" s="384"/>
      <c r="G1150" s="387" t="str">
        <f ca="1">IFERROR(IF(VLOOKUP(C1150,' Disaggregation - Section E '!A$313:J878,6,0)="","",VLOOKUP(C1150,' Disaggregation - Section E '!A$313:J878,6,0)),"")</f>
        <v/>
      </c>
      <c r="H1150" s="387" t="str">
        <f ca="1">IFERROR(IF(INDEX(' Disaggregation - Section E '!F$313:F878,MATCH(C1150,' Disaggregation - Section E '!A$313:A878,0)+1,1)&lt;&gt;0,INDEX(' Disaggregation - Section E '!F$313:F878,MATCH(C1150,' Disaggregation - Section E '!A$313:A878,0)+1,1),""),"")</f>
        <v/>
      </c>
      <c r="I1150" s="388" t="str">
        <f ca="1">IFERROR(IF(VLOOKUP(C1150,' Disaggregation - Section E '!A$313:J878,8,0)=0,"",VLOOKUP(C1150,' Disaggregation - Section E '!A$313:J878,8,0)),"")</f>
        <v/>
      </c>
      <c r="J1150" s="388" t="str">
        <f ca="1">IFERROR(IF(VLOOKUP(C1150,' Disaggregation - Section E '!A$313:J878,9,0)="","",VLOOKUP(C1150,' Disaggregation - Section E '!A$313:J878,9,0)),"")</f>
        <v/>
      </c>
      <c r="K1150" s="384" t="str">
        <f ca="1">IFERROR(VLOOKUP(C1150,' Disaggregation - Section E '!A$313:J878,3,0),"")</f>
        <v/>
      </c>
      <c r="L1150" s="388" t="str">
        <f ca="1">IFERROR(IF(VLOOKUP(C1150,' Disaggregation - Section E '!A$313:J878,10,0)="","",VLOOKUP(C1150,' Disaggregation - Section E '!A$313:J878,10,0)),"")</f>
        <v/>
      </c>
      <c r="M1150" s="385" t="str">
        <f ca="1">IFERROR(IF(VLOOKUP(C1150,' Disaggregation - Section E '!A$313:O582,15,0)=0,"",VLOOKUP(C1150,' Disaggregation - Section E '!A$313:O878,15,0)),"")</f>
        <v/>
      </c>
      <c r="N1150" s="384"/>
      <c r="O1150" s="384"/>
    </row>
    <row r="1151" spans="1:15" x14ac:dyDescent="0.3">
      <c r="A1151" s="384" t="b">
        <f t="shared" ca="1" si="130"/>
        <v>0</v>
      </c>
      <c r="B1151" s="384"/>
      <c r="C1151" s="400" t="str">
        <f ca="1">IF(COUNTA(O$885:O1151)=1,"",OFFSET(C1151,-COUNTA(O$885:O1151)+1,0))</f>
        <v>a1VDm000000PRcXMAW</v>
      </c>
      <c r="D1151" s="389"/>
      <c r="E1151" s="386" t="str">
        <f ca="1">IFERROR(IF(VLOOKUP(C1151,' Disaggregation - Section E '!A$313:J879,7,0)="","",VLOOKUP(C1151,' Disaggregation - Section E '!A$313:J879,7,0)*100),"")</f>
        <v/>
      </c>
      <c r="F1151" s="384"/>
      <c r="G1151" s="387" t="str">
        <f ca="1">IFERROR(IF(VLOOKUP(C1151,' Disaggregation - Section E '!A$313:J879,6,0)="","",VLOOKUP(C1151,' Disaggregation - Section E '!A$313:J879,6,0)),"")</f>
        <v/>
      </c>
      <c r="H1151" s="387" t="str">
        <f ca="1">IFERROR(IF(INDEX(' Disaggregation - Section E '!F$313:F879,MATCH(C1151,' Disaggregation - Section E '!A$313:A879,0)+1,1)&lt;&gt;0,INDEX(' Disaggregation - Section E '!F$313:F879,MATCH(C1151,' Disaggregation - Section E '!A$313:A879,0)+1,1),""),"")</f>
        <v/>
      </c>
      <c r="I1151" s="388" t="str">
        <f ca="1">IFERROR(IF(VLOOKUP(C1151,' Disaggregation - Section E '!A$313:J879,8,0)=0,"",VLOOKUP(C1151,' Disaggregation - Section E '!A$313:J879,8,0)),"")</f>
        <v/>
      </c>
      <c r="J1151" s="388" t="str">
        <f ca="1">IFERROR(IF(VLOOKUP(C1151,' Disaggregation - Section E '!A$313:J879,9,0)="","",VLOOKUP(C1151,' Disaggregation - Section E '!A$313:J879,9,0)),"")</f>
        <v/>
      </c>
      <c r="K1151" s="384" t="str">
        <f ca="1">IFERROR(VLOOKUP(C1151,' Disaggregation - Section E '!A$313:J879,3,0),"")</f>
        <v/>
      </c>
      <c r="L1151" s="388" t="str">
        <f ca="1">IFERROR(IF(VLOOKUP(C1151,' Disaggregation - Section E '!A$313:J879,10,0)="","",VLOOKUP(C1151,' Disaggregation - Section E '!A$313:J879,10,0)),"")</f>
        <v/>
      </c>
      <c r="M1151" s="385" t="str">
        <f ca="1">IFERROR(IF(VLOOKUP(C1151,' Disaggregation - Section E '!A$313:O583,15,0)=0,"",VLOOKUP(C1151,' Disaggregation - Section E '!A$313:O879,15,0)),"")</f>
        <v/>
      </c>
      <c r="N1151" s="384"/>
      <c r="O1151" s="384"/>
    </row>
    <row r="1152" spans="1:15" x14ac:dyDescent="0.3">
      <c r="A1152" s="384" t="b">
        <f t="shared" ca="1" si="130"/>
        <v>0</v>
      </c>
      <c r="B1152" s="384"/>
      <c r="C1152" s="400" t="str">
        <f ca="1">IF(COUNTA(O$885:O1152)=1,"",OFFSET(C1152,-COUNTA(O$885:O1152)+1,0))</f>
        <v>a1VDm000000PRcYMAW</v>
      </c>
      <c r="D1152" s="389"/>
      <c r="E1152" s="386" t="str">
        <f ca="1">IFERROR(IF(VLOOKUP(C1152,' Disaggregation - Section E '!A$313:J880,7,0)="","",VLOOKUP(C1152,' Disaggregation - Section E '!A$313:J880,7,0)*100),"")</f>
        <v/>
      </c>
      <c r="F1152" s="384"/>
      <c r="G1152" s="387" t="str">
        <f ca="1">IFERROR(IF(VLOOKUP(C1152,' Disaggregation - Section E '!A$313:J880,6,0)="","",VLOOKUP(C1152,' Disaggregation - Section E '!A$313:J880,6,0)),"")</f>
        <v/>
      </c>
      <c r="H1152" s="387" t="str">
        <f ca="1">IFERROR(IF(INDEX(' Disaggregation - Section E '!F$313:F880,MATCH(C1152,' Disaggregation - Section E '!A$313:A880,0)+1,1)&lt;&gt;0,INDEX(' Disaggregation - Section E '!F$313:F880,MATCH(C1152,' Disaggregation - Section E '!A$313:A880,0)+1,1),""),"")</f>
        <v/>
      </c>
      <c r="I1152" s="388" t="str">
        <f ca="1">IFERROR(IF(VLOOKUP(C1152,' Disaggregation - Section E '!A$313:J880,8,0)=0,"",VLOOKUP(C1152,' Disaggregation - Section E '!A$313:J880,8,0)),"")</f>
        <v/>
      </c>
      <c r="J1152" s="388" t="str">
        <f ca="1">IFERROR(IF(VLOOKUP(C1152,' Disaggregation - Section E '!A$313:J880,9,0)="","",VLOOKUP(C1152,' Disaggregation - Section E '!A$313:J880,9,0)),"")</f>
        <v/>
      </c>
      <c r="K1152" s="384" t="str">
        <f ca="1">IFERROR(VLOOKUP(C1152,' Disaggregation - Section E '!A$313:J880,3,0),"")</f>
        <v/>
      </c>
      <c r="L1152" s="388" t="str">
        <f ca="1">IFERROR(IF(VLOOKUP(C1152,' Disaggregation - Section E '!A$313:J880,10,0)="","",VLOOKUP(C1152,' Disaggregation - Section E '!A$313:J880,10,0)),"")</f>
        <v/>
      </c>
      <c r="M1152" s="385" t="str">
        <f ca="1">IFERROR(IF(VLOOKUP(C1152,' Disaggregation - Section E '!A$313:O584,15,0)=0,"",VLOOKUP(C1152,' Disaggregation - Section E '!A$313:O880,15,0)),"")</f>
        <v/>
      </c>
      <c r="N1152" s="384"/>
      <c r="O1152" s="384"/>
    </row>
    <row r="1153" spans="1:15" x14ac:dyDescent="0.3">
      <c r="A1153" s="384" t="b">
        <f t="shared" ca="1" si="130"/>
        <v>0</v>
      </c>
      <c r="B1153" s="384"/>
      <c r="C1153" s="400" t="str">
        <f ca="1">IF(COUNTA(O$885:O1153)=1,"",OFFSET(C1153,-COUNTA(O$885:O1153)+1,0))</f>
        <v>a1VDm000000PRcZMAW</v>
      </c>
      <c r="D1153" s="389"/>
      <c r="E1153" s="386" t="str">
        <f ca="1">IFERROR(IF(VLOOKUP(C1153,' Disaggregation - Section E '!A$313:J881,7,0)="","",VLOOKUP(C1153,' Disaggregation - Section E '!A$313:J881,7,0)*100),"")</f>
        <v/>
      </c>
      <c r="F1153" s="384"/>
      <c r="G1153" s="387" t="str">
        <f ca="1">IFERROR(IF(VLOOKUP(C1153,' Disaggregation - Section E '!A$313:J881,6,0)="","",VLOOKUP(C1153,' Disaggregation - Section E '!A$313:J881,6,0)),"")</f>
        <v/>
      </c>
      <c r="H1153" s="387" t="str">
        <f ca="1">IFERROR(IF(INDEX(' Disaggregation - Section E '!F$313:F881,MATCH(C1153,' Disaggregation - Section E '!A$313:A881,0)+1,1)&lt;&gt;0,INDEX(' Disaggregation - Section E '!F$313:F881,MATCH(C1153,' Disaggregation - Section E '!A$313:A881,0)+1,1),""),"")</f>
        <v/>
      </c>
      <c r="I1153" s="388" t="str">
        <f ca="1">IFERROR(IF(VLOOKUP(C1153,' Disaggregation - Section E '!A$313:J881,8,0)=0,"",VLOOKUP(C1153,' Disaggregation - Section E '!A$313:J881,8,0)),"")</f>
        <v/>
      </c>
      <c r="J1153" s="388" t="str">
        <f ca="1">IFERROR(IF(VLOOKUP(C1153,' Disaggregation - Section E '!A$313:J881,9,0)="","",VLOOKUP(C1153,' Disaggregation - Section E '!A$313:J881,9,0)),"")</f>
        <v/>
      </c>
      <c r="K1153" s="384" t="str">
        <f ca="1">IFERROR(VLOOKUP(C1153,' Disaggregation - Section E '!A$313:J881,3,0),"")</f>
        <v/>
      </c>
      <c r="L1153" s="388" t="str">
        <f ca="1">IFERROR(IF(VLOOKUP(C1153,' Disaggregation - Section E '!A$313:J881,10,0)="","",VLOOKUP(C1153,' Disaggregation - Section E '!A$313:J881,10,0)),"")</f>
        <v/>
      </c>
      <c r="M1153" s="385" t="str">
        <f ca="1">IFERROR(IF(VLOOKUP(C1153,' Disaggregation - Section E '!A$313:O585,15,0)=0,"",VLOOKUP(C1153,' Disaggregation - Section E '!A$313:O881,15,0)),"")</f>
        <v/>
      </c>
      <c r="N1153" s="384"/>
      <c r="O1153" s="384"/>
    </row>
    <row r="1154" spans="1:15" x14ac:dyDescent="0.3">
      <c r="A1154" s="384" t="b">
        <f t="shared" ca="1" si="130"/>
        <v>0</v>
      </c>
      <c r="B1154" s="384"/>
      <c r="C1154" s="400" t="str">
        <f ca="1">IF(COUNTA(O$885:O1154)=1,"",OFFSET(C1154,-COUNTA(O$885:O1154)+1,0))</f>
        <v>a1VDm000000PRcaMAG</v>
      </c>
      <c r="D1154" s="389"/>
      <c r="E1154" s="386" t="str">
        <f ca="1">IFERROR(IF(VLOOKUP(C1154,' Disaggregation - Section E '!A$313:J882,7,0)="","",VLOOKUP(C1154,' Disaggregation - Section E '!A$313:J882,7,0)*100),"")</f>
        <v/>
      </c>
      <c r="F1154" s="384"/>
      <c r="G1154" s="387" t="str">
        <f ca="1">IFERROR(IF(VLOOKUP(C1154,' Disaggregation - Section E '!A$313:J882,6,0)="","",VLOOKUP(C1154,' Disaggregation - Section E '!A$313:J882,6,0)),"")</f>
        <v/>
      </c>
      <c r="H1154" s="387" t="str">
        <f ca="1">IFERROR(IF(INDEX(' Disaggregation - Section E '!F$313:F882,MATCH(C1154,' Disaggregation - Section E '!A$313:A882,0)+1,1)&lt;&gt;0,INDEX(' Disaggregation - Section E '!F$313:F882,MATCH(C1154,' Disaggregation - Section E '!A$313:A882,0)+1,1),""),"")</f>
        <v/>
      </c>
      <c r="I1154" s="388" t="str">
        <f ca="1">IFERROR(IF(VLOOKUP(C1154,' Disaggregation - Section E '!A$313:J882,8,0)=0,"",VLOOKUP(C1154,' Disaggregation - Section E '!A$313:J882,8,0)),"")</f>
        <v/>
      </c>
      <c r="J1154" s="388" t="str">
        <f ca="1">IFERROR(IF(VLOOKUP(C1154,' Disaggregation - Section E '!A$313:J882,9,0)="","",VLOOKUP(C1154,' Disaggregation - Section E '!A$313:J882,9,0)),"")</f>
        <v/>
      </c>
      <c r="K1154" s="384" t="str">
        <f ca="1">IFERROR(VLOOKUP(C1154,' Disaggregation - Section E '!A$313:J882,3,0),"")</f>
        <v/>
      </c>
      <c r="L1154" s="388" t="str">
        <f ca="1">IFERROR(IF(VLOOKUP(C1154,' Disaggregation - Section E '!A$313:J882,10,0)="","",VLOOKUP(C1154,' Disaggregation - Section E '!A$313:J882,10,0)),"")</f>
        <v/>
      </c>
      <c r="M1154" s="385" t="str">
        <f ca="1">IFERROR(IF(VLOOKUP(C1154,' Disaggregation - Section E '!A$313:O586,15,0)=0,"",VLOOKUP(C1154,' Disaggregation - Section E '!A$313:O882,15,0)),"")</f>
        <v/>
      </c>
      <c r="N1154" s="384"/>
      <c r="O1154" s="384"/>
    </row>
    <row r="1155" spans="1:15" x14ac:dyDescent="0.3">
      <c r="A1155" s="384" t="b">
        <f t="shared" ca="1" si="130"/>
        <v>0</v>
      </c>
      <c r="B1155" s="384"/>
      <c r="C1155" s="400" t="str">
        <f ca="1">IF(COUNTA(O$885:O1155)=1,"",OFFSET(C1155,-COUNTA(O$885:O1155)+1,0))</f>
        <v>a1VDm000000PRcbMAG</v>
      </c>
      <c r="D1155" s="389"/>
      <c r="E1155" s="386" t="str">
        <f ca="1">IFERROR(IF(VLOOKUP(C1155,' Disaggregation - Section E '!A$313:J883,7,0)="","",VLOOKUP(C1155,' Disaggregation - Section E '!A$313:J883,7,0)*100),"")</f>
        <v/>
      </c>
      <c r="F1155" s="384"/>
      <c r="G1155" s="387" t="str">
        <f ca="1">IFERROR(IF(VLOOKUP(C1155,' Disaggregation - Section E '!A$313:J883,6,0)="","",VLOOKUP(C1155,' Disaggregation - Section E '!A$313:J883,6,0)),"")</f>
        <v/>
      </c>
      <c r="H1155" s="387" t="str">
        <f ca="1">IFERROR(IF(INDEX(' Disaggregation - Section E '!F$313:F883,MATCH(C1155,' Disaggregation - Section E '!A$313:A883,0)+1,1)&lt;&gt;0,INDEX(' Disaggregation - Section E '!F$313:F883,MATCH(C1155,' Disaggregation - Section E '!A$313:A883,0)+1,1),""),"")</f>
        <v/>
      </c>
      <c r="I1155" s="388" t="str">
        <f ca="1">IFERROR(IF(VLOOKUP(C1155,' Disaggregation - Section E '!A$313:J883,8,0)=0,"",VLOOKUP(C1155,' Disaggregation - Section E '!A$313:J883,8,0)),"")</f>
        <v/>
      </c>
      <c r="J1155" s="388" t="str">
        <f ca="1">IFERROR(IF(VLOOKUP(C1155,' Disaggregation - Section E '!A$313:J883,9,0)="","",VLOOKUP(C1155,' Disaggregation - Section E '!A$313:J883,9,0)),"")</f>
        <v/>
      </c>
      <c r="K1155" s="384" t="str">
        <f ca="1">IFERROR(VLOOKUP(C1155,' Disaggregation - Section E '!A$313:J883,3,0),"")</f>
        <v/>
      </c>
      <c r="L1155" s="388" t="str">
        <f ca="1">IFERROR(IF(VLOOKUP(C1155,' Disaggregation - Section E '!A$313:J883,10,0)="","",VLOOKUP(C1155,' Disaggregation - Section E '!A$313:J883,10,0)),"")</f>
        <v/>
      </c>
      <c r="M1155" s="385" t="str">
        <f ca="1">IFERROR(IF(VLOOKUP(C1155,' Disaggregation - Section E '!A$313:O587,15,0)=0,"",VLOOKUP(C1155,' Disaggregation - Section E '!A$313:O883,15,0)),"")</f>
        <v/>
      </c>
      <c r="N1155" s="384"/>
      <c r="O1155" s="384"/>
    </row>
    <row r="1156" spans="1:15" x14ac:dyDescent="0.3">
      <c r="A1156" s="384" t="b">
        <f t="shared" ca="1" si="130"/>
        <v>0</v>
      </c>
      <c r="B1156" s="384"/>
      <c r="C1156" s="400" t="str">
        <f ca="1">IF(COUNTA(O$885:O1156)=1,"",OFFSET(C1156,-COUNTA(O$885:O1156)+1,0))</f>
        <v>a1VDm000000PRccMAG</v>
      </c>
      <c r="D1156" s="389"/>
      <c r="E1156" s="386" t="str">
        <f ca="1">IFERROR(IF(VLOOKUP(C1156,' Disaggregation - Section E '!A$313:J884,7,0)="","",VLOOKUP(C1156,' Disaggregation - Section E '!A$313:J884,7,0)*100),"")</f>
        <v/>
      </c>
      <c r="F1156" s="384"/>
      <c r="G1156" s="387" t="str">
        <f ca="1">IFERROR(IF(VLOOKUP(C1156,' Disaggregation - Section E '!A$313:J884,6,0)="","",VLOOKUP(C1156,' Disaggregation - Section E '!A$313:J884,6,0)),"")</f>
        <v/>
      </c>
      <c r="H1156" s="387" t="str">
        <f ca="1">IFERROR(IF(INDEX(' Disaggregation - Section E '!F$313:F884,MATCH(C1156,' Disaggregation - Section E '!A$313:A884,0)+1,1)&lt;&gt;0,INDEX(' Disaggregation - Section E '!F$313:F884,MATCH(C1156,' Disaggregation - Section E '!A$313:A884,0)+1,1),""),"")</f>
        <v/>
      </c>
      <c r="I1156" s="388" t="str">
        <f ca="1">IFERROR(IF(VLOOKUP(C1156,' Disaggregation - Section E '!A$313:J884,8,0)=0,"",VLOOKUP(C1156,' Disaggregation - Section E '!A$313:J884,8,0)),"")</f>
        <v/>
      </c>
      <c r="J1156" s="388" t="str">
        <f ca="1">IFERROR(IF(VLOOKUP(C1156,' Disaggregation - Section E '!A$313:J884,9,0)="","",VLOOKUP(C1156,' Disaggregation - Section E '!A$313:J884,9,0)),"")</f>
        <v/>
      </c>
      <c r="K1156" s="384" t="str">
        <f ca="1">IFERROR(VLOOKUP(C1156,' Disaggregation - Section E '!A$313:J884,3,0),"")</f>
        <v/>
      </c>
      <c r="L1156" s="388" t="str">
        <f ca="1">IFERROR(IF(VLOOKUP(C1156,' Disaggregation - Section E '!A$313:J884,10,0)="","",VLOOKUP(C1156,' Disaggregation - Section E '!A$313:J884,10,0)),"")</f>
        <v/>
      </c>
      <c r="M1156" s="385" t="str">
        <f ca="1">IFERROR(IF(VLOOKUP(C1156,' Disaggregation - Section E '!A$313:O588,15,0)=0,"",VLOOKUP(C1156,' Disaggregation - Section E '!A$313:O884,15,0)),"")</f>
        <v/>
      </c>
      <c r="N1156" s="384"/>
      <c r="O1156" s="384"/>
    </row>
    <row r="1157" spans="1:15" x14ac:dyDescent="0.3">
      <c r="A1157" s="384" t="b">
        <f t="shared" ca="1" si="130"/>
        <v>0</v>
      </c>
      <c r="B1157" s="384"/>
      <c r="C1157" s="400" t="str">
        <f ca="1">IF(COUNTA(O$885:O1157)=1,"",OFFSET(C1157,-COUNTA(O$885:O1157)+1,0))</f>
        <v>a1VDm000000PRcdMAG</v>
      </c>
      <c r="D1157" s="389"/>
      <c r="E1157" s="386" t="str">
        <f ca="1">IFERROR(IF(VLOOKUP(C1157,' Disaggregation - Section E '!A$313:J885,7,0)="","",VLOOKUP(C1157,' Disaggregation - Section E '!A$313:J885,7,0)*100),"")</f>
        <v/>
      </c>
      <c r="F1157" s="384"/>
      <c r="G1157" s="387" t="str">
        <f ca="1">IFERROR(IF(VLOOKUP(C1157,' Disaggregation - Section E '!A$313:J885,6,0)="","",VLOOKUP(C1157,' Disaggregation - Section E '!A$313:J885,6,0)),"")</f>
        <v/>
      </c>
      <c r="H1157" s="387" t="str">
        <f ca="1">IFERROR(IF(INDEX(' Disaggregation - Section E '!F$313:F885,MATCH(C1157,' Disaggregation - Section E '!A$313:A885,0)+1,1)&lt;&gt;0,INDEX(' Disaggregation - Section E '!F$313:F885,MATCH(C1157,' Disaggregation - Section E '!A$313:A885,0)+1,1),""),"")</f>
        <v/>
      </c>
      <c r="I1157" s="388" t="str">
        <f ca="1">IFERROR(IF(VLOOKUP(C1157,' Disaggregation - Section E '!A$313:J885,8,0)=0,"",VLOOKUP(C1157,' Disaggregation - Section E '!A$313:J885,8,0)),"")</f>
        <v/>
      </c>
      <c r="J1157" s="388" t="str">
        <f ca="1">IFERROR(IF(VLOOKUP(C1157,' Disaggregation - Section E '!A$313:J885,9,0)="","",VLOOKUP(C1157,' Disaggregation - Section E '!A$313:J885,9,0)),"")</f>
        <v/>
      </c>
      <c r="K1157" s="384" t="str">
        <f ca="1">IFERROR(VLOOKUP(C1157,' Disaggregation - Section E '!A$313:J885,3,0),"")</f>
        <v/>
      </c>
      <c r="L1157" s="388" t="str">
        <f ca="1">IFERROR(IF(VLOOKUP(C1157,' Disaggregation - Section E '!A$313:J885,10,0)="","",VLOOKUP(C1157,' Disaggregation - Section E '!A$313:J885,10,0)),"")</f>
        <v/>
      </c>
      <c r="M1157" s="385" t="str">
        <f ca="1">IFERROR(IF(VLOOKUP(C1157,' Disaggregation - Section E '!A$313:O589,15,0)=0,"",VLOOKUP(C1157,' Disaggregation - Section E '!A$313:O885,15,0)),"")</f>
        <v/>
      </c>
      <c r="N1157" s="384"/>
      <c r="O1157" s="384"/>
    </row>
    <row r="1158" spans="1:15" x14ac:dyDescent="0.3">
      <c r="A1158" s="384" t="b">
        <f t="shared" ca="1" si="130"/>
        <v>0</v>
      </c>
      <c r="B1158" s="384"/>
      <c r="C1158" s="400" t="str">
        <f ca="1">IF(COUNTA(O$885:O1158)=1,"",OFFSET(C1158,-COUNTA(O$885:O1158)+1,0))</f>
        <v>a1VDm000000PRceMAG</v>
      </c>
      <c r="D1158" s="389"/>
      <c r="E1158" s="386" t="str">
        <f ca="1">IFERROR(IF(VLOOKUP(C1158,' Disaggregation - Section E '!A$313:J886,7,0)="","",VLOOKUP(C1158,' Disaggregation - Section E '!A$313:J886,7,0)*100),"")</f>
        <v/>
      </c>
      <c r="F1158" s="384"/>
      <c r="G1158" s="387" t="str">
        <f ca="1">IFERROR(IF(VLOOKUP(C1158,' Disaggregation - Section E '!A$313:J886,6,0)="","",VLOOKUP(C1158,' Disaggregation - Section E '!A$313:J886,6,0)),"")</f>
        <v/>
      </c>
      <c r="H1158" s="387" t="str">
        <f ca="1">IFERROR(IF(INDEX(' Disaggregation - Section E '!F$313:F886,MATCH(C1158,' Disaggregation - Section E '!A$313:A886,0)+1,1)&lt;&gt;0,INDEX(' Disaggregation - Section E '!F$313:F886,MATCH(C1158,' Disaggregation - Section E '!A$313:A886,0)+1,1),""),"")</f>
        <v/>
      </c>
      <c r="I1158" s="388" t="str">
        <f ca="1">IFERROR(IF(VLOOKUP(C1158,' Disaggregation - Section E '!A$313:J886,8,0)=0,"",VLOOKUP(C1158,' Disaggregation - Section E '!A$313:J886,8,0)),"")</f>
        <v/>
      </c>
      <c r="J1158" s="388" t="str">
        <f ca="1">IFERROR(IF(VLOOKUP(C1158,' Disaggregation - Section E '!A$313:J886,9,0)="","",VLOOKUP(C1158,' Disaggregation - Section E '!A$313:J886,9,0)),"")</f>
        <v/>
      </c>
      <c r="K1158" s="384" t="str">
        <f ca="1">IFERROR(VLOOKUP(C1158,' Disaggregation - Section E '!A$313:J886,3,0),"")</f>
        <v/>
      </c>
      <c r="L1158" s="388" t="str">
        <f ca="1">IFERROR(IF(VLOOKUP(C1158,' Disaggregation - Section E '!A$313:J886,10,0)="","",VLOOKUP(C1158,' Disaggregation - Section E '!A$313:J886,10,0)),"")</f>
        <v/>
      </c>
      <c r="M1158" s="385" t="str">
        <f ca="1">IFERROR(IF(VLOOKUP(C1158,' Disaggregation - Section E '!A$313:O590,15,0)=0,"",VLOOKUP(C1158,' Disaggregation - Section E '!A$313:O886,15,0)),"")</f>
        <v/>
      </c>
      <c r="N1158" s="384"/>
      <c r="O1158" s="384"/>
    </row>
    <row r="1159" spans="1:15" x14ac:dyDescent="0.3">
      <c r="A1159" s="384" t="b">
        <f t="shared" ca="1" si="130"/>
        <v>0</v>
      </c>
      <c r="B1159" s="384"/>
      <c r="C1159" s="400" t="str">
        <f ca="1">IF(COUNTA(O$885:O1159)=1,"",OFFSET(C1159,-COUNTA(O$885:O1159)+1,0))</f>
        <v>a1VDm000000PRcfMAG</v>
      </c>
      <c r="D1159" s="389"/>
      <c r="E1159" s="386" t="str">
        <f ca="1">IFERROR(IF(VLOOKUP(C1159,' Disaggregation - Section E '!A$313:J887,7,0)="","",VLOOKUP(C1159,' Disaggregation - Section E '!A$313:J887,7,0)*100),"")</f>
        <v/>
      </c>
      <c r="F1159" s="384"/>
      <c r="G1159" s="387" t="str">
        <f ca="1">IFERROR(IF(VLOOKUP(C1159,' Disaggregation - Section E '!A$313:J887,6,0)="","",VLOOKUP(C1159,' Disaggregation - Section E '!A$313:J887,6,0)),"")</f>
        <v/>
      </c>
      <c r="H1159" s="387" t="str">
        <f ca="1">IFERROR(IF(INDEX(' Disaggregation - Section E '!F$313:F887,MATCH(C1159,' Disaggregation - Section E '!A$313:A887,0)+1,1)&lt;&gt;0,INDEX(' Disaggregation - Section E '!F$313:F887,MATCH(C1159,' Disaggregation - Section E '!A$313:A887,0)+1,1),""),"")</f>
        <v/>
      </c>
      <c r="I1159" s="388" t="str">
        <f ca="1">IFERROR(IF(VLOOKUP(C1159,' Disaggregation - Section E '!A$313:J887,8,0)=0,"",VLOOKUP(C1159,' Disaggregation - Section E '!A$313:J887,8,0)),"")</f>
        <v/>
      </c>
      <c r="J1159" s="388" t="str">
        <f ca="1">IFERROR(IF(VLOOKUP(C1159,' Disaggregation - Section E '!A$313:J887,9,0)="","",VLOOKUP(C1159,' Disaggregation - Section E '!A$313:J887,9,0)),"")</f>
        <v/>
      </c>
      <c r="K1159" s="384" t="str">
        <f ca="1">IFERROR(VLOOKUP(C1159,' Disaggregation - Section E '!A$313:J887,3,0),"")</f>
        <v/>
      </c>
      <c r="L1159" s="388" t="str">
        <f ca="1">IFERROR(IF(VLOOKUP(C1159,' Disaggregation - Section E '!A$313:J887,10,0)="","",VLOOKUP(C1159,' Disaggregation - Section E '!A$313:J887,10,0)),"")</f>
        <v/>
      </c>
      <c r="M1159" s="385" t="str">
        <f ca="1">IFERROR(IF(VLOOKUP(C1159,' Disaggregation - Section E '!A$313:O591,15,0)=0,"",VLOOKUP(C1159,' Disaggregation - Section E '!A$313:O887,15,0)),"")</f>
        <v/>
      </c>
      <c r="N1159" s="384"/>
      <c r="O1159" s="384"/>
    </row>
    <row r="1160" spans="1:15" x14ac:dyDescent="0.3">
      <c r="A1160" s="384" t="b">
        <f t="shared" ca="1" si="130"/>
        <v>0</v>
      </c>
      <c r="B1160" s="384"/>
      <c r="C1160" s="400" t="str">
        <f ca="1">IF(COUNTA(O$885:O1160)=1,"",OFFSET(C1160,-COUNTA(O$885:O1160)+1,0))</f>
        <v>a1VDm000000PRcgMAG</v>
      </c>
      <c r="D1160" s="389"/>
      <c r="E1160" s="386" t="str">
        <f ca="1">IFERROR(IF(VLOOKUP(C1160,' Disaggregation - Section E '!A$313:J888,7,0)="","",VLOOKUP(C1160,' Disaggregation - Section E '!A$313:J888,7,0)*100),"")</f>
        <v/>
      </c>
      <c r="F1160" s="384"/>
      <c r="G1160" s="387" t="str">
        <f ca="1">IFERROR(IF(VLOOKUP(C1160,' Disaggregation - Section E '!A$313:J888,6,0)="","",VLOOKUP(C1160,' Disaggregation - Section E '!A$313:J888,6,0)),"")</f>
        <v/>
      </c>
      <c r="H1160" s="387" t="str">
        <f ca="1">IFERROR(IF(INDEX(' Disaggregation - Section E '!F$313:F888,MATCH(C1160,' Disaggregation - Section E '!A$313:A888,0)+1,1)&lt;&gt;0,INDEX(' Disaggregation - Section E '!F$313:F888,MATCH(C1160,' Disaggregation - Section E '!A$313:A888,0)+1,1),""),"")</f>
        <v/>
      </c>
      <c r="I1160" s="388" t="str">
        <f ca="1">IFERROR(IF(VLOOKUP(C1160,' Disaggregation - Section E '!A$313:J888,8,0)=0,"",VLOOKUP(C1160,' Disaggregation - Section E '!A$313:J888,8,0)),"")</f>
        <v/>
      </c>
      <c r="J1160" s="388" t="str">
        <f ca="1">IFERROR(IF(VLOOKUP(C1160,' Disaggregation - Section E '!A$313:J888,9,0)="","",VLOOKUP(C1160,' Disaggregation - Section E '!A$313:J888,9,0)),"")</f>
        <v/>
      </c>
      <c r="K1160" s="384" t="str">
        <f ca="1">IFERROR(VLOOKUP(C1160,' Disaggregation - Section E '!A$313:J888,3,0),"")</f>
        <v/>
      </c>
      <c r="L1160" s="388" t="str">
        <f ca="1">IFERROR(IF(VLOOKUP(C1160,' Disaggregation - Section E '!A$313:J888,10,0)="","",VLOOKUP(C1160,' Disaggregation - Section E '!A$313:J888,10,0)),"")</f>
        <v/>
      </c>
      <c r="M1160" s="385" t="str">
        <f ca="1">IFERROR(IF(VLOOKUP(C1160,' Disaggregation - Section E '!A$313:O592,15,0)=0,"",VLOOKUP(C1160,' Disaggregation - Section E '!A$313:O888,15,0)),"")</f>
        <v/>
      </c>
      <c r="N1160" s="384"/>
      <c r="O1160" s="384"/>
    </row>
    <row r="1161" spans="1:15" x14ac:dyDescent="0.3">
      <c r="A1161" s="384" t="b">
        <f t="shared" ca="1" si="130"/>
        <v>0</v>
      </c>
      <c r="B1161" s="384"/>
      <c r="C1161" s="400" t="str">
        <f ca="1">IF(COUNTA(O$885:O1161)=1,"",OFFSET(C1161,-COUNTA(O$885:O1161)+1,0))</f>
        <v>a1VDm000000PRchMAG</v>
      </c>
      <c r="D1161" s="389"/>
      <c r="E1161" s="386" t="str">
        <f ca="1">IFERROR(IF(VLOOKUP(C1161,' Disaggregation - Section E '!A$313:J889,7,0)="","",VLOOKUP(C1161,' Disaggregation - Section E '!A$313:J889,7,0)*100),"")</f>
        <v/>
      </c>
      <c r="F1161" s="384"/>
      <c r="G1161" s="387" t="str">
        <f ca="1">IFERROR(IF(VLOOKUP(C1161,' Disaggregation - Section E '!A$313:J889,6,0)="","",VLOOKUP(C1161,' Disaggregation - Section E '!A$313:J889,6,0)),"")</f>
        <v/>
      </c>
      <c r="H1161" s="387" t="str">
        <f ca="1">IFERROR(IF(INDEX(' Disaggregation - Section E '!F$313:F889,MATCH(C1161,' Disaggregation - Section E '!A$313:A889,0)+1,1)&lt;&gt;0,INDEX(' Disaggregation - Section E '!F$313:F889,MATCH(C1161,' Disaggregation - Section E '!A$313:A889,0)+1,1),""),"")</f>
        <v/>
      </c>
      <c r="I1161" s="388" t="str">
        <f ca="1">IFERROR(IF(VLOOKUP(C1161,' Disaggregation - Section E '!A$313:J889,8,0)=0,"",VLOOKUP(C1161,' Disaggregation - Section E '!A$313:J889,8,0)),"")</f>
        <v/>
      </c>
      <c r="J1161" s="388" t="str">
        <f ca="1">IFERROR(IF(VLOOKUP(C1161,' Disaggregation - Section E '!A$313:J889,9,0)="","",VLOOKUP(C1161,' Disaggregation - Section E '!A$313:J889,9,0)),"")</f>
        <v/>
      </c>
      <c r="K1161" s="384" t="str">
        <f ca="1">IFERROR(VLOOKUP(C1161,' Disaggregation - Section E '!A$313:J889,3,0),"")</f>
        <v/>
      </c>
      <c r="L1161" s="388" t="str">
        <f ca="1">IFERROR(IF(VLOOKUP(C1161,' Disaggregation - Section E '!A$313:J889,10,0)="","",VLOOKUP(C1161,' Disaggregation - Section E '!A$313:J889,10,0)),"")</f>
        <v/>
      </c>
      <c r="M1161" s="385" t="str">
        <f ca="1">IFERROR(IF(VLOOKUP(C1161,' Disaggregation - Section E '!A$313:O593,15,0)=0,"",VLOOKUP(C1161,' Disaggregation - Section E '!A$313:O889,15,0)),"")</f>
        <v/>
      </c>
      <c r="N1161" s="384"/>
      <c r="O1161" s="384"/>
    </row>
    <row r="1162" spans="1:15" x14ac:dyDescent="0.3">
      <c r="A1162" s="384" t="b">
        <f t="shared" ca="1" si="130"/>
        <v>0</v>
      </c>
      <c r="B1162" s="384"/>
      <c r="C1162" s="400" t="str">
        <f ca="1">IF(COUNTA(O$885:O1162)=1,"",OFFSET(C1162,-COUNTA(O$885:O1162)+1,0))</f>
        <v>a1VDm000000PRciMAG</v>
      </c>
      <c r="D1162" s="389"/>
      <c r="E1162" s="386" t="str">
        <f ca="1">IFERROR(IF(VLOOKUP(C1162,' Disaggregation - Section E '!A$313:J890,7,0)="","",VLOOKUP(C1162,' Disaggregation - Section E '!A$313:J890,7,0)*100),"")</f>
        <v/>
      </c>
      <c r="F1162" s="384"/>
      <c r="G1162" s="387" t="str">
        <f ca="1">IFERROR(IF(VLOOKUP(C1162,' Disaggregation - Section E '!A$313:J890,6,0)="","",VLOOKUP(C1162,' Disaggregation - Section E '!A$313:J890,6,0)),"")</f>
        <v/>
      </c>
      <c r="H1162" s="387" t="str">
        <f ca="1">IFERROR(IF(INDEX(' Disaggregation - Section E '!F$313:F890,MATCH(C1162,' Disaggregation - Section E '!A$313:A890,0)+1,1)&lt;&gt;0,INDEX(' Disaggregation - Section E '!F$313:F890,MATCH(C1162,' Disaggregation - Section E '!A$313:A890,0)+1,1),""),"")</f>
        <v/>
      </c>
      <c r="I1162" s="388" t="str">
        <f ca="1">IFERROR(IF(VLOOKUP(C1162,' Disaggregation - Section E '!A$313:J890,8,0)=0,"",VLOOKUP(C1162,' Disaggregation - Section E '!A$313:J890,8,0)),"")</f>
        <v/>
      </c>
      <c r="J1162" s="388" t="str">
        <f ca="1">IFERROR(IF(VLOOKUP(C1162,' Disaggregation - Section E '!A$313:J890,9,0)="","",VLOOKUP(C1162,' Disaggregation - Section E '!A$313:J890,9,0)),"")</f>
        <v/>
      </c>
      <c r="K1162" s="384" t="str">
        <f ca="1">IFERROR(VLOOKUP(C1162,' Disaggregation - Section E '!A$313:J890,3,0),"")</f>
        <v/>
      </c>
      <c r="L1162" s="388" t="str">
        <f ca="1">IFERROR(IF(VLOOKUP(C1162,' Disaggregation - Section E '!A$313:J890,10,0)="","",VLOOKUP(C1162,' Disaggregation - Section E '!A$313:J890,10,0)),"")</f>
        <v/>
      </c>
      <c r="M1162" s="385" t="str">
        <f ca="1">IFERROR(IF(VLOOKUP(C1162,' Disaggregation - Section E '!A$313:O594,15,0)=0,"",VLOOKUP(C1162,' Disaggregation - Section E '!A$313:O890,15,0)),"")</f>
        <v/>
      </c>
      <c r="N1162" s="384"/>
      <c r="O1162" s="384"/>
    </row>
    <row r="1163" spans="1:15" x14ac:dyDescent="0.3">
      <c r="A1163" s="384" t="b">
        <f t="shared" ca="1" si="130"/>
        <v>0</v>
      </c>
      <c r="B1163" s="384"/>
      <c r="C1163" s="400" t="str">
        <f ca="1">IF(COUNTA(O$885:O1163)=1,"",OFFSET(C1163,-COUNTA(O$885:O1163)+1,0))</f>
        <v>a1VDm000000PRcjMAG</v>
      </c>
      <c r="D1163" s="389"/>
      <c r="E1163" s="386" t="str">
        <f ca="1">IFERROR(IF(VLOOKUP(C1163,' Disaggregation - Section E '!A$313:J891,7,0)="","",VLOOKUP(C1163,' Disaggregation - Section E '!A$313:J891,7,0)*100),"")</f>
        <v/>
      </c>
      <c r="F1163" s="384"/>
      <c r="G1163" s="387" t="str">
        <f ca="1">IFERROR(IF(VLOOKUP(C1163,' Disaggregation - Section E '!A$313:J891,6,0)="","",VLOOKUP(C1163,' Disaggregation - Section E '!A$313:J891,6,0)),"")</f>
        <v/>
      </c>
      <c r="H1163" s="387" t="str">
        <f ca="1">IFERROR(IF(INDEX(' Disaggregation - Section E '!F$313:F891,MATCH(C1163,' Disaggregation - Section E '!A$313:A891,0)+1,1)&lt;&gt;0,INDEX(' Disaggregation - Section E '!F$313:F891,MATCH(C1163,' Disaggregation - Section E '!A$313:A891,0)+1,1),""),"")</f>
        <v/>
      </c>
      <c r="I1163" s="388" t="str">
        <f ca="1">IFERROR(IF(VLOOKUP(C1163,' Disaggregation - Section E '!A$313:J891,8,0)=0,"",VLOOKUP(C1163,' Disaggregation - Section E '!A$313:J891,8,0)),"")</f>
        <v/>
      </c>
      <c r="J1163" s="388" t="str">
        <f ca="1">IFERROR(IF(VLOOKUP(C1163,' Disaggregation - Section E '!A$313:J891,9,0)="","",VLOOKUP(C1163,' Disaggregation - Section E '!A$313:J891,9,0)),"")</f>
        <v/>
      </c>
      <c r="K1163" s="384" t="str">
        <f ca="1">IFERROR(VLOOKUP(C1163,' Disaggregation - Section E '!A$313:J891,3,0),"")</f>
        <v/>
      </c>
      <c r="L1163" s="388" t="str">
        <f ca="1">IFERROR(IF(VLOOKUP(C1163,' Disaggregation - Section E '!A$313:J891,10,0)="","",VLOOKUP(C1163,' Disaggregation - Section E '!A$313:J891,10,0)),"")</f>
        <v/>
      </c>
      <c r="M1163" s="385" t="str">
        <f ca="1">IFERROR(IF(VLOOKUP(C1163,' Disaggregation - Section E '!A$313:O595,15,0)=0,"",VLOOKUP(C1163,' Disaggregation - Section E '!A$313:O891,15,0)),"")</f>
        <v/>
      </c>
      <c r="N1163" s="384"/>
      <c r="O1163" s="384"/>
    </row>
    <row r="1164" spans="1:15" x14ac:dyDescent="0.3">
      <c r="A1164" s="384" t="b">
        <f t="shared" ca="1" si="130"/>
        <v>0</v>
      </c>
      <c r="B1164" s="384"/>
      <c r="C1164" s="400" t="str">
        <f ca="1">IF(COUNTA(O$885:O1164)=1,"",OFFSET(C1164,-COUNTA(O$885:O1164)+1,0))</f>
        <v>a1VDm000000PRckMAG</v>
      </c>
      <c r="D1164" s="389"/>
      <c r="E1164" s="386" t="str">
        <f ca="1">IFERROR(IF(VLOOKUP(C1164,' Disaggregation - Section E '!A$313:J892,7,0)="","",VLOOKUP(C1164,' Disaggregation - Section E '!A$313:J892,7,0)*100),"")</f>
        <v/>
      </c>
      <c r="F1164" s="384"/>
      <c r="G1164" s="387" t="str">
        <f ca="1">IFERROR(IF(VLOOKUP(C1164,' Disaggregation - Section E '!A$313:J892,6,0)="","",VLOOKUP(C1164,' Disaggregation - Section E '!A$313:J892,6,0)),"")</f>
        <v/>
      </c>
      <c r="H1164" s="387" t="str">
        <f ca="1">IFERROR(IF(INDEX(' Disaggregation - Section E '!F$313:F892,MATCH(C1164,' Disaggregation - Section E '!A$313:A892,0)+1,1)&lt;&gt;0,INDEX(' Disaggregation - Section E '!F$313:F892,MATCH(C1164,' Disaggregation - Section E '!A$313:A892,0)+1,1),""),"")</f>
        <v/>
      </c>
      <c r="I1164" s="388" t="str">
        <f ca="1">IFERROR(IF(VLOOKUP(C1164,' Disaggregation - Section E '!A$313:J892,8,0)=0,"",VLOOKUP(C1164,' Disaggregation - Section E '!A$313:J892,8,0)),"")</f>
        <v/>
      </c>
      <c r="J1164" s="388" t="str">
        <f ca="1">IFERROR(IF(VLOOKUP(C1164,' Disaggregation - Section E '!A$313:J892,9,0)="","",VLOOKUP(C1164,' Disaggregation - Section E '!A$313:J892,9,0)),"")</f>
        <v/>
      </c>
      <c r="K1164" s="384" t="str">
        <f ca="1">IFERROR(VLOOKUP(C1164,' Disaggregation - Section E '!A$313:J892,3,0),"")</f>
        <v/>
      </c>
      <c r="L1164" s="388" t="str">
        <f ca="1">IFERROR(IF(VLOOKUP(C1164,' Disaggregation - Section E '!A$313:J892,10,0)="","",VLOOKUP(C1164,' Disaggregation - Section E '!A$313:J892,10,0)),"")</f>
        <v/>
      </c>
      <c r="M1164" s="385" t="str">
        <f ca="1">IFERROR(IF(VLOOKUP(C1164,' Disaggregation - Section E '!A$313:O596,15,0)=0,"",VLOOKUP(C1164,' Disaggregation - Section E '!A$313:O892,15,0)),"")</f>
        <v/>
      </c>
      <c r="N1164" s="384"/>
      <c r="O1164" s="384"/>
    </row>
    <row r="1165" spans="1:15" x14ac:dyDescent="0.3">
      <c r="A1165" s="384" t="b">
        <f t="shared" ref="A1165:A1186" ca="1" si="131">IF(M1165&lt;&gt;"",TRUE,FALSE)</f>
        <v>0</v>
      </c>
      <c r="B1165" s="384"/>
      <c r="C1165" s="400" t="str">
        <f ca="1">IF(COUNTA(O$885:O1165)=1,"",OFFSET(C1165,-COUNTA(O$885:O1165)+1,0))</f>
        <v>a1VDm000000PRclMAG</v>
      </c>
      <c r="D1165" s="389"/>
      <c r="E1165" s="386" t="str">
        <f ca="1">IFERROR(IF(VLOOKUP(C1165,' Disaggregation - Section E '!A$313:J893,7,0)="","",VLOOKUP(C1165,' Disaggregation - Section E '!A$313:J893,7,0)*100),"")</f>
        <v/>
      </c>
      <c r="F1165" s="384"/>
      <c r="G1165" s="387" t="str">
        <f ca="1">IFERROR(IF(VLOOKUP(C1165,' Disaggregation - Section E '!A$313:J893,6,0)="","",VLOOKUP(C1165,' Disaggregation - Section E '!A$313:J893,6,0)),"")</f>
        <v/>
      </c>
      <c r="H1165" s="387" t="str">
        <f ca="1">IFERROR(IF(INDEX(' Disaggregation - Section E '!F$313:F893,MATCH(C1165,' Disaggregation - Section E '!A$313:A893,0)+1,1)&lt;&gt;0,INDEX(' Disaggregation - Section E '!F$313:F893,MATCH(C1165,' Disaggregation - Section E '!A$313:A893,0)+1,1),""),"")</f>
        <v/>
      </c>
      <c r="I1165" s="388" t="str">
        <f ca="1">IFERROR(IF(VLOOKUP(C1165,' Disaggregation - Section E '!A$313:J893,8,0)=0,"",VLOOKUP(C1165,' Disaggregation - Section E '!A$313:J893,8,0)),"")</f>
        <v/>
      </c>
      <c r="J1165" s="388" t="str">
        <f ca="1">IFERROR(IF(VLOOKUP(C1165,' Disaggregation - Section E '!A$313:J893,9,0)="","",VLOOKUP(C1165,' Disaggregation - Section E '!A$313:J893,9,0)),"")</f>
        <v/>
      </c>
      <c r="K1165" s="384" t="str">
        <f ca="1">IFERROR(VLOOKUP(C1165,' Disaggregation - Section E '!A$313:J893,3,0),"")</f>
        <v/>
      </c>
      <c r="L1165" s="388" t="str">
        <f ca="1">IFERROR(IF(VLOOKUP(C1165,' Disaggregation - Section E '!A$313:J893,10,0)="","",VLOOKUP(C1165,' Disaggregation - Section E '!A$313:J893,10,0)),"")</f>
        <v/>
      </c>
      <c r="M1165" s="385" t="str">
        <f ca="1">IFERROR(IF(VLOOKUP(C1165,' Disaggregation - Section E '!A$313:O597,15,0)=0,"",VLOOKUP(C1165,' Disaggregation - Section E '!A$313:O893,15,0)),"")</f>
        <v/>
      </c>
      <c r="N1165" s="384"/>
      <c r="O1165" s="384"/>
    </row>
    <row r="1166" spans="1:15" x14ac:dyDescent="0.3">
      <c r="A1166" s="384" t="b">
        <f t="shared" ca="1" si="131"/>
        <v>0</v>
      </c>
      <c r="B1166" s="384"/>
      <c r="C1166" s="400" t="str">
        <f ca="1">IF(COUNTA(O$885:O1166)=1,"",OFFSET(C1166,-COUNTA(O$885:O1166)+1,0))</f>
        <v>a1VDm000000PRcmMAG</v>
      </c>
      <c r="D1166" s="389"/>
      <c r="E1166" s="386" t="str">
        <f ca="1">IFERROR(IF(VLOOKUP(C1166,' Disaggregation - Section E '!A$313:J894,7,0)="","",VLOOKUP(C1166,' Disaggregation - Section E '!A$313:J894,7,0)*100),"")</f>
        <v/>
      </c>
      <c r="F1166" s="384"/>
      <c r="G1166" s="387" t="str">
        <f ca="1">IFERROR(IF(VLOOKUP(C1166,' Disaggregation - Section E '!A$313:J894,6,0)="","",VLOOKUP(C1166,' Disaggregation - Section E '!A$313:J894,6,0)),"")</f>
        <v/>
      </c>
      <c r="H1166" s="387" t="str">
        <f ca="1">IFERROR(IF(INDEX(' Disaggregation - Section E '!F$313:F894,MATCH(C1166,' Disaggregation - Section E '!A$313:A894,0)+1,1)&lt;&gt;0,INDEX(' Disaggregation - Section E '!F$313:F894,MATCH(C1166,' Disaggregation - Section E '!A$313:A894,0)+1,1),""),"")</f>
        <v/>
      </c>
      <c r="I1166" s="388" t="str">
        <f ca="1">IFERROR(IF(VLOOKUP(C1166,' Disaggregation - Section E '!A$313:J894,8,0)=0,"",VLOOKUP(C1166,' Disaggregation - Section E '!A$313:J894,8,0)),"")</f>
        <v/>
      </c>
      <c r="J1166" s="388" t="str">
        <f ca="1">IFERROR(IF(VLOOKUP(C1166,' Disaggregation - Section E '!A$313:J894,9,0)="","",VLOOKUP(C1166,' Disaggregation - Section E '!A$313:J894,9,0)),"")</f>
        <v/>
      </c>
      <c r="K1166" s="384" t="str">
        <f ca="1">IFERROR(VLOOKUP(C1166,' Disaggregation - Section E '!A$313:J894,3,0),"")</f>
        <v/>
      </c>
      <c r="L1166" s="388" t="str">
        <f ca="1">IFERROR(IF(VLOOKUP(C1166,' Disaggregation - Section E '!A$313:J894,10,0)="","",VLOOKUP(C1166,' Disaggregation - Section E '!A$313:J894,10,0)),"")</f>
        <v/>
      </c>
      <c r="M1166" s="385" t="str">
        <f ca="1">IFERROR(IF(VLOOKUP(C1166,' Disaggregation - Section E '!A$313:O598,15,0)=0,"",VLOOKUP(C1166,' Disaggregation - Section E '!A$313:O894,15,0)),"")</f>
        <v/>
      </c>
      <c r="N1166" s="384"/>
      <c r="O1166" s="384"/>
    </row>
    <row r="1167" spans="1:15" x14ac:dyDescent="0.3">
      <c r="A1167" s="384" t="b">
        <f t="shared" ca="1" si="131"/>
        <v>0</v>
      </c>
      <c r="B1167" s="384"/>
      <c r="C1167" s="400" t="str">
        <f ca="1">IF(COUNTA(O$885:O1167)=1,"",OFFSET(C1167,-COUNTA(O$885:O1167)+1,0))</f>
        <v>a1VDm000000PRcnMAG</v>
      </c>
      <c r="D1167" s="389"/>
      <c r="E1167" s="386" t="str">
        <f ca="1">IFERROR(IF(VLOOKUP(C1167,' Disaggregation - Section E '!A$313:J895,7,0)="","",VLOOKUP(C1167,' Disaggregation - Section E '!A$313:J895,7,0)*100),"")</f>
        <v/>
      </c>
      <c r="F1167" s="384"/>
      <c r="G1167" s="387" t="str">
        <f ca="1">IFERROR(IF(VLOOKUP(C1167,' Disaggregation - Section E '!A$313:J895,6,0)="","",VLOOKUP(C1167,' Disaggregation - Section E '!A$313:J895,6,0)),"")</f>
        <v/>
      </c>
      <c r="H1167" s="387" t="str">
        <f ca="1">IFERROR(IF(INDEX(' Disaggregation - Section E '!F$313:F895,MATCH(C1167,' Disaggregation - Section E '!A$313:A895,0)+1,1)&lt;&gt;0,INDEX(' Disaggregation - Section E '!F$313:F895,MATCH(C1167,' Disaggregation - Section E '!A$313:A895,0)+1,1),""),"")</f>
        <v/>
      </c>
      <c r="I1167" s="388" t="str">
        <f ca="1">IFERROR(IF(VLOOKUP(C1167,' Disaggregation - Section E '!A$313:J895,8,0)=0,"",VLOOKUP(C1167,' Disaggregation - Section E '!A$313:J895,8,0)),"")</f>
        <v/>
      </c>
      <c r="J1167" s="388" t="str">
        <f ca="1">IFERROR(IF(VLOOKUP(C1167,' Disaggregation - Section E '!A$313:J895,9,0)="","",VLOOKUP(C1167,' Disaggregation - Section E '!A$313:J895,9,0)),"")</f>
        <v/>
      </c>
      <c r="K1167" s="384" t="str">
        <f ca="1">IFERROR(VLOOKUP(C1167,' Disaggregation - Section E '!A$313:J895,3,0),"")</f>
        <v/>
      </c>
      <c r="L1167" s="388" t="str">
        <f ca="1">IFERROR(IF(VLOOKUP(C1167,' Disaggregation - Section E '!A$313:J895,10,0)="","",VLOOKUP(C1167,' Disaggregation - Section E '!A$313:J895,10,0)),"")</f>
        <v/>
      </c>
      <c r="M1167" s="385" t="str">
        <f ca="1">IFERROR(IF(VLOOKUP(C1167,' Disaggregation - Section E '!A$313:O599,15,0)=0,"",VLOOKUP(C1167,' Disaggregation - Section E '!A$313:O895,15,0)),"")</f>
        <v/>
      </c>
      <c r="N1167" s="384"/>
      <c r="O1167" s="384"/>
    </row>
    <row r="1168" spans="1:15" x14ac:dyDescent="0.3">
      <c r="A1168" s="384" t="b">
        <f t="shared" ca="1" si="131"/>
        <v>0</v>
      </c>
      <c r="B1168" s="384"/>
      <c r="C1168" s="400" t="str">
        <f ca="1">IF(COUNTA(O$885:O1168)=1,"",OFFSET(C1168,-COUNTA(O$885:O1168)+1,0))</f>
        <v>a1VDm000000PRcoMAG</v>
      </c>
      <c r="D1168" s="389"/>
      <c r="E1168" s="386" t="str">
        <f ca="1">IFERROR(IF(VLOOKUP(C1168,' Disaggregation - Section E '!A$313:J896,7,0)="","",VLOOKUP(C1168,' Disaggregation - Section E '!A$313:J896,7,0)*100),"")</f>
        <v/>
      </c>
      <c r="F1168" s="384"/>
      <c r="G1168" s="387" t="str">
        <f ca="1">IFERROR(IF(VLOOKUP(C1168,' Disaggregation - Section E '!A$313:J896,6,0)="","",VLOOKUP(C1168,' Disaggregation - Section E '!A$313:J896,6,0)),"")</f>
        <v/>
      </c>
      <c r="H1168" s="387" t="str">
        <f ca="1">IFERROR(IF(INDEX(' Disaggregation - Section E '!F$313:F896,MATCH(C1168,' Disaggregation - Section E '!A$313:A896,0)+1,1)&lt;&gt;0,INDEX(' Disaggregation - Section E '!F$313:F896,MATCH(C1168,' Disaggregation - Section E '!A$313:A896,0)+1,1),""),"")</f>
        <v/>
      </c>
      <c r="I1168" s="388" t="str">
        <f ca="1">IFERROR(IF(VLOOKUP(C1168,' Disaggregation - Section E '!A$313:J896,8,0)=0,"",VLOOKUP(C1168,' Disaggregation - Section E '!A$313:J896,8,0)),"")</f>
        <v/>
      </c>
      <c r="J1168" s="388" t="str">
        <f ca="1">IFERROR(IF(VLOOKUP(C1168,' Disaggregation - Section E '!A$313:J896,9,0)="","",VLOOKUP(C1168,' Disaggregation - Section E '!A$313:J896,9,0)),"")</f>
        <v/>
      </c>
      <c r="K1168" s="384" t="str">
        <f ca="1">IFERROR(VLOOKUP(C1168,' Disaggregation - Section E '!A$313:J896,3,0),"")</f>
        <v/>
      </c>
      <c r="L1168" s="388" t="str">
        <f ca="1">IFERROR(IF(VLOOKUP(C1168,' Disaggregation - Section E '!A$313:J896,10,0)="","",VLOOKUP(C1168,' Disaggregation - Section E '!A$313:J896,10,0)),"")</f>
        <v/>
      </c>
      <c r="M1168" s="385" t="str">
        <f ca="1">IFERROR(IF(VLOOKUP(C1168,' Disaggregation - Section E '!A$313:O600,15,0)=0,"",VLOOKUP(C1168,' Disaggregation - Section E '!A$313:O896,15,0)),"")</f>
        <v/>
      </c>
      <c r="N1168" s="384"/>
      <c r="O1168" s="384"/>
    </row>
    <row r="1169" spans="1:15" x14ac:dyDescent="0.3">
      <c r="A1169" s="384" t="b">
        <f t="shared" ca="1" si="131"/>
        <v>0</v>
      </c>
      <c r="B1169" s="384"/>
      <c r="C1169" s="400" t="str">
        <f ca="1">IF(COUNTA(O$885:O1169)=1,"",OFFSET(C1169,-COUNTA(O$885:O1169)+1,0))</f>
        <v>a1VDm000000PRcpMAG</v>
      </c>
      <c r="D1169" s="389"/>
      <c r="E1169" s="386" t="str">
        <f ca="1">IFERROR(IF(VLOOKUP(C1169,' Disaggregation - Section E '!A$313:J897,7,0)="","",VLOOKUP(C1169,' Disaggregation - Section E '!A$313:J897,7,0)*100),"")</f>
        <v/>
      </c>
      <c r="F1169" s="384"/>
      <c r="G1169" s="387" t="str">
        <f ca="1">IFERROR(IF(VLOOKUP(C1169,' Disaggregation - Section E '!A$313:J897,6,0)="","",VLOOKUP(C1169,' Disaggregation - Section E '!A$313:J897,6,0)),"")</f>
        <v/>
      </c>
      <c r="H1169" s="387" t="str">
        <f ca="1">IFERROR(IF(INDEX(' Disaggregation - Section E '!F$313:F897,MATCH(C1169,' Disaggregation - Section E '!A$313:A897,0)+1,1)&lt;&gt;0,INDEX(' Disaggregation - Section E '!F$313:F897,MATCH(C1169,' Disaggregation - Section E '!A$313:A897,0)+1,1),""),"")</f>
        <v/>
      </c>
      <c r="I1169" s="388" t="str">
        <f ca="1">IFERROR(IF(VLOOKUP(C1169,' Disaggregation - Section E '!A$313:J897,8,0)=0,"",VLOOKUP(C1169,' Disaggregation - Section E '!A$313:J897,8,0)),"")</f>
        <v/>
      </c>
      <c r="J1169" s="388" t="str">
        <f ca="1">IFERROR(IF(VLOOKUP(C1169,' Disaggregation - Section E '!A$313:J897,9,0)="","",VLOOKUP(C1169,' Disaggregation - Section E '!A$313:J897,9,0)),"")</f>
        <v/>
      </c>
      <c r="K1169" s="384" t="str">
        <f ca="1">IFERROR(VLOOKUP(C1169,' Disaggregation - Section E '!A$313:J897,3,0),"")</f>
        <v/>
      </c>
      <c r="L1169" s="388" t="str">
        <f ca="1">IFERROR(IF(VLOOKUP(C1169,' Disaggregation - Section E '!A$313:J897,10,0)="","",VLOOKUP(C1169,' Disaggregation - Section E '!A$313:J897,10,0)),"")</f>
        <v/>
      </c>
      <c r="M1169" s="385" t="str">
        <f ca="1">IFERROR(IF(VLOOKUP(C1169,' Disaggregation - Section E '!A$313:O601,15,0)=0,"",VLOOKUP(C1169,' Disaggregation - Section E '!A$313:O897,15,0)),"")</f>
        <v/>
      </c>
      <c r="N1169" s="384"/>
      <c r="O1169" s="384"/>
    </row>
    <row r="1170" spans="1:15" x14ac:dyDescent="0.3">
      <c r="A1170" s="384" t="b">
        <f t="shared" ca="1" si="131"/>
        <v>0</v>
      </c>
      <c r="B1170" s="384"/>
      <c r="C1170" s="400" t="str">
        <f ca="1">IF(COUNTA(O$885:O1170)=1,"",OFFSET(C1170,-COUNTA(O$885:O1170)+1,0))</f>
        <v>a1VDm000000PRcqMAG</v>
      </c>
      <c r="D1170" s="389"/>
      <c r="E1170" s="386" t="str">
        <f ca="1">IFERROR(IF(VLOOKUP(C1170,' Disaggregation - Section E '!A$313:J898,7,0)="","",VLOOKUP(C1170,' Disaggregation - Section E '!A$313:J898,7,0)*100),"")</f>
        <v/>
      </c>
      <c r="F1170" s="384"/>
      <c r="G1170" s="387" t="str">
        <f ca="1">IFERROR(IF(VLOOKUP(C1170,' Disaggregation - Section E '!A$313:J898,6,0)="","",VLOOKUP(C1170,' Disaggregation - Section E '!A$313:J898,6,0)),"")</f>
        <v/>
      </c>
      <c r="H1170" s="387" t="str">
        <f ca="1">IFERROR(IF(INDEX(' Disaggregation - Section E '!F$313:F898,MATCH(C1170,' Disaggregation - Section E '!A$313:A898,0)+1,1)&lt;&gt;0,INDEX(' Disaggregation - Section E '!F$313:F898,MATCH(C1170,' Disaggregation - Section E '!A$313:A898,0)+1,1),""),"")</f>
        <v/>
      </c>
      <c r="I1170" s="388" t="str">
        <f ca="1">IFERROR(IF(VLOOKUP(C1170,' Disaggregation - Section E '!A$313:J898,8,0)=0,"",VLOOKUP(C1170,' Disaggregation - Section E '!A$313:J898,8,0)),"")</f>
        <v/>
      </c>
      <c r="J1170" s="388" t="str">
        <f ca="1">IFERROR(IF(VLOOKUP(C1170,' Disaggregation - Section E '!A$313:J898,9,0)="","",VLOOKUP(C1170,' Disaggregation - Section E '!A$313:J898,9,0)),"")</f>
        <v/>
      </c>
      <c r="K1170" s="384" t="str">
        <f ca="1">IFERROR(VLOOKUP(C1170,' Disaggregation - Section E '!A$313:J898,3,0),"")</f>
        <v/>
      </c>
      <c r="L1170" s="388" t="str">
        <f ca="1">IFERROR(IF(VLOOKUP(C1170,' Disaggregation - Section E '!A$313:J898,10,0)="","",VLOOKUP(C1170,' Disaggregation - Section E '!A$313:J898,10,0)),"")</f>
        <v/>
      </c>
      <c r="M1170" s="385" t="str">
        <f ca="1">IFERROR(IF(VLOOKUP(C1170,' Disaggregation - Section E '!A$313:O602,15,0)=0,"",VLOOKUP(C1170,' Disaggregation - Section E '!A$313:O898,15,0)),"")</f>
        <v/>
      </c>
      <c r="N1170" s="384"/>
      <c r="O1170" s="384"/>
    </row>
    <row r="1171" spans="1:15" x14ac:dyDescent="0.3">
      <c r="A1171" s="384" t="b">
        <f t="shared" ca="1" si="131"/>
        <v>0</v>
      </c>
      <c r="B1171" s="384"/>
      <c r="C1171" s="400" t="str">
        <f ca="1">IF(COUNTA(O$885:O1171)=1,"",OFFSET(C1171,-COUNTA(O$885:O1171)+1,0))</f>
        <v>a1VDm000000PRcrMAG</v>
      </c>
      <c r="D1171" s="389"/>
      <c r="E1171" s="386" t="str">
        <f ca="1">IFERROR(IF(VLOOKUP(C1171,' Disaggregation - Section E '!A$313:J899,7,0)="","",VLOOKUP(C1171,' Disaggregation - Section E '!A$313:J899,7,0)*100),"")</f>
        <v/>
      </c>
      <c r="F1171" s="384"/>
      <c r="G1171" s="387" t="str">
        <f ca="1">IFERROR(IF(VLOOKUP(C1171,' Disaggregation - Section E '!A$313:J899,6,0)="","",VLOOKUP(C1171,' Disaggregation - Section E '!A$313:J899,6,0)),"")</f>
        <v/>
      </c>
      <c r="H1171" s="387" t="str">
        <f ca="1">IFERROR(IF(INDEX(' Disaggregation - Section E '!F$313:F899,MATCH(C1171,' Disaggregation - Section E '!A$313:A899,0)+1,1)&lt;&gt;0,INDEX(' Disaggregation - Section E '!F$313:F899,MATCH(C1171,' Disaggregation - Section E '!A$313:A899,0)+1,1),""),"")</f>
        <v/>
      </c>
      <c r="I1171" s="388" t="str">
        <f ca="1">IFERROR(IF(VLOOKUP(C1171,' Disaggregation - Section E '!A$313:J899,8,0)=0,"",VLOOKUP(C1171,' Disaggregation - Section E '!A$313:J899,8,0)),"")</f>
        <v/>
      </c>
      <c r="J1171" s="388" t="str">
        <f ca="1">IFERROR(IF(VLOOKUP(C1171,' Disaggregation - Section E '!A$313:J899,9,0)="","",VLOOKUP(C1171,' Disaggregation - Section E '!A$313:J899,9,0)),"")</f>
        <v/>
      </c>
      <c r="K1171" s="384" t="str">
        <f ca="1">IFERROR(VLOOKUP(C1171,' Disaggregation - Section E '!A$313:J899,3,0),"")</f>
        <v/>
      </c>
      <c r="L1171" s="388" t="str">
        <f ca="1">IFERROR(IF(VLOOKUP(C1171,' Disaggregation - Section E '!A$313:J899,10,0)="","",VLOOKUP(C1171,' Disaggregation - Section E '!A$313:J899,10,0)),"")</f>
        <v/>
      </c>
      <c r="M1171" s="385" t="str">
        <f ca="1">IFERROR(IF(VLOOKUP(C1171,' Disaggregation - Section E '!A$313:O603,15,0)=0,"",VLOOKUP(C1171,' Disaggregation - Section E '!A$313:O899,15,0)),"")</f>
        <v/>
      </c>
      <c r="N1171" s="384"/>
      <c r="O1171" s="384"/>
    </row>
    <row r="1172" spans="1:15" x14ac:dyDescent="0.3">
      <c r="A1172" s="384" t="b">
        <f t="shared" ca="1" si="131"/>
        <v>0</v>
      </c>
      <c r="B1172" s="384"/>
      <c r="C1172" s="400" t="str">
        <f ca="1">IF(COUNTA(O$885:O1172)=1,"",OFFSET(C1172,-COUNTA(O$885:O1172)+1,0))</f>
        <v>a1VDm000000PRcsMAG</v>
      </c>
      <c r="D1172" s="389"/>
      <c r="E1172" s="386" t="str">
        <f ca="1">IFERROR(IF(VLOOKUP(C1172,' Disaggregation - Section E '!A$313:J900,7,0)="","",VLOOKUP(C1172,' Disaggregation - Section E '!A$313:J900,7,0)*100),"")</f>
        <v/>
      </c>
      <c r="F1172" s="384"/>
      <c r="G1172" s="387" t="str">
        <f ca="1">IFERROR(IF(VLOOKUP(C1172,' Disaggregation - Section E '!A$313:J900,6,0)="","",VLOOKUP(C1172,' Disaggregation - Section E '!A$313:J900,6,0)),"")</f>
        <v/>
      </c>
      <c r="H1172" s="387" t="str">
        <f ca="1">IFERROR(IF(INDEX(' Disaggregation - Section E '!F$313:F900,MATCH(C1172,' Disaggregation - Section E '!A$313:A900,0)+1,1)&lt;&gt;0,INDEX(' Disaggregation - Section E '!F$313:F900,MATCH(C1172,' Disaggregation - Section E '!A$313:A900,0)+1,1),""),"")</f>
        <v/>
      </c>
      <c r="I1172" s="388" t="str">
        <f ca="1">IFERROR(IF(VLOOKUP(C1172,' Disaggregation - Section E '!A$313:J900,8,0)=0,"",VLOOKUP(C1172,' Disaggregation - Section E '!A$313:J900,8,0)),"")</f>
        <v/>
      </c>
      <c r="J1172" s="388" t="str">
        <f ca="1">IFERROR(IF(VLOOKUP(C1172,' Disaggregation - Section E '!A$313:J900,9,0)="","",VLOOKUP(C1172,' Disaggregation - Section E '!A$313:J900,9,0)),"")</f>
        <v/>
      </c>
      <c r="K1172" s="384" t="str">
        <f ca="1">IFERROR(VLOOKUP(C1172,' Disaggregation - Section E '!A$313:J900,3,0),"")</f>
        <v/>
      </c>
      <c r="L1172" s="388" t="str">
        <f ca="1">IFERROR(IF(VLOOKUP(C1172,' Disaggregation - Section E '!A$313:J900,10,0)="","",VLOOKUP(C1172,' Disaggregation - Section E '!A$313:J900,10,0)),"")</f>
        <v/>
      </c>
      <c r="M1172" s="385" t="str">
        <f ca="1">IFERROR(IF(VLOOKUP(C1172,' Disaggregation - Section E '!A$313:O604,15,0)=0,"",VLOOKUP(C1172,' Disaggregation - Section E '!A$313:O900,15,0)),"")</f>
        <v/>
      </c>
      <c r="N1172" s="384"/>
      <c r="O1172" s="384"/>
    </row>
    <row r="1173" spans="1:15" x14ac:dyDescent="0.3">
      <c r="A1173" s="384" t="b">
        <f t="shared" ca="1" si="131"/>
        <v>0</v>
      </c>
      <c r="B1173" s="384"/>
      <c r="C1173" s="400" t="str">
        <f ca="1">IF(COUNTA(O$885:O1173)=1,"",OFFSET(C1173,-COUNTA(O$885:O1173)+1,0))</f>
        <v>a1VDm000000PRctMAG</v>
      </c>
      <c r="D1173" s="389"/>
      <c r="E1173" s="386" t="str">
        <f ca="1">IFERROR(IF(VLOOKUP(C1173,' Disaggregation - Section E '!A$313:J901,7,0)="","",VLOOKUP(C1173,' Disaggregation - Section E '!A$313:J901,7,0)*100),"")</f>
        <v/>
      </c>
      <c r="F1173" s="384"/>
      <c r="G1173" s="387" t="str">
        <f ca="1">IFERROR(IF(VLOOKUP(C1173,' Disaggregation - Section E '!A$313:J901,6,0)="","",VLOOKUP(C1173,' Disaggregation - Section E '!A$313:J901,6,0)),"")</f>
        <v/>
      </c>
      <c r="H1173" s="387" t="str">
        <f ca="1">IFERROR(IF(INDEX(' Disaggregation - Section E '!F$313:F901,MATCH(C1173,' Disaggregation - Section E '!A$313:A901,0)+1,1)&lt;&gt;0,INDEX(' Disaggregation - Section E '!F$313:F901,MATCH(C1173,' Disaggregation - Section E '!A$313:A901,0)+1,1),""),"")</f>
        <v/>
      </c>
      <c r="I1173" s="388" t="str">
        <f ca="1">IFERROR(IF(VLOOKUP(C1173,' Disaggregation - Section E '!A$313:J901,8,0)=0,"",VLOOKUP(C1173,' Disaggregation - Section E '!A$313:J901,8,0)),"")</f>
        <v/>
      </c>
      <c r="J1173" s="388" t="str">
        <f ca="1">IFERROR(IF(VLOOKUP(C1173,' Disaggregation - Section E '!A$313:J901,9,0)="","",VLOOKUP(C1173,' Disaggregation - Section E '!A$313:J901,9,0)),"")</f>
        <v/>
      </c>
      <c r="K1173" s="384" t="str">
        <f ca="1">IFERROR(VLOOKUP(C1173,' Disaggregation - Section E '!A$313:J901,3,0),"")</f>
        <v/>
      </c>
      <c r="L1173" s="388" t="str">
        <f ca="1">IFERROR(IF(VLOOKUP(C1173,' Disaggregation - Section E '!A$313:J901,10,0)="","",VLOOKUP(C1173,' Disaggregation - Section E '!A$313:J901,10,0)),"")</f>
        <v/>
      </c>
      <c r="M1173" s="385" t="str">
        <f ca="1">IFERROR(IF(VLOOKUP(C1173,' Disaggregation - Section E '!A$313:O605,15,0)=0,"",VLOOKUP(C1173,' Disaggregation - Section E '!A$313:O901,15,0)),"")</f>
        <v/>
      </c>
      <c r="N1173" s="384"/>
      <c r="O1173" s="384"/>
    </row>
    <row r="1174" spans="1:15" x14ac:dyDescent="0.3">
      <c r="A1174" s="384" t="b">
        <f t="shared" ca="1" si="131"/>
        <v>0</v>
      </c>
      <c r="B1174" s="384"/>
      <c r="C1174" s="400" t="str">
        <f ca="1">IF(COUNTA(O$885:O1174)=1,"",OFFSET(C1174,-COUNTA(O$885:O1174)+1,0))</f>
        <v>a1VDm000000PRcuMAG</v>
      </c>
      <c r="D1174" s="389"/>
      <c r="E1174" s="386" t="str">
        <f ca="1">IFERROR(IF(VLOOKUP(C1174,' Disaggregation - Section E '!A$313:J902,7,0)="","",VLOOKUP(C1174,' Disaggregation - Section E '!A$313:J902,7,0)*100),"")</f>
        <v/>
      </c>
      <c r="F1174" s="384"/>
      <c r="G1174" s="387" t="str">
        <f ca="1">IFERROR(IF(VLOOKUP(C1174,' Disaggregation - Section E '!A$313:J902,6,0)="","",VLOOKUP(C1174,' Disaggregation - Section E '!A$313:J902,6,0)),"")</f>
        <v/>
      </c>
      <c r="H1174" s="387" t="str">
        <f ca="1">IFERROR(IF(INDEX(' Disaggregation - Section E '!F$313:F902,MATCH(C1174,' Disaggregation - Section E '!A$313:A902,0)+1,1)&lt;&gt;0,INDEX(' Disaggregation - Section E '!F$313:F902,MATCH(C1174,' Disaggregation - Section E '!A$313:A902,0)+1,1),""),"")</f>
        <v/>
      </c>
      <c r="I1174" s="388" t="str">
        <f ca="1">IFERROR(IF(VLOOKUP(C1174,' Disaggregation - Section E '!A$313:J902,8,0)=0,"",VLOOKUP(C1174,' Disaggregation - Section E '!A$313:J902,8,0)),"")</f>
        <v/>
      </c>
      <c r="J1174" s="388" t="str">
        <f ca="1">IFERROR(IF(VLOOKUP(C1174,' Disaggregation - Section E '!A$313:J902,9,0)="","",VLOOKUP(C1174,' Disaggregation - Section E '!A$313:J902,9,0)),"")</f>
        <v/>
      </c>
      <c r="K1174" s="384" t="str">
        <f ca="1">IFERROR(VLOOKUP(C1174,' Disaggregation - Section E '!A$313:J902,3,0),"")</f>
        <v/>
      </c>
      <c r="L1174" s="388" t="str">
        <f ca="1">IFERROR(IF(VLOOKUP(C1174,' Disaggregation - Section E '!A$313:J902,10,0)="","",VLOOKUP(C1174,' Disaggregation - Section E '!A$313:J902,10,0)),"")</f>
        <v/>
      </c>
      <c r="M1174" s="385" t="str">
        <f ca="1">IFERROR(IF(VLOOKUP(C1174,' Disaggregation - Section E '!A$313:O606,15,0)=0,"",VLOOKUP(C1174,' Disaggregation - Section E '!A$313:O902,15,0)),"")</f>
        <v/>
      </c>
      <c r="N1174" s="384"/>
      <c r="O1174" s="384"/>
    </row>
    <row r="1175" spans="1:15" x14ac:dyDescent="0.3">
      <c r="A1175" s="384" t="b">
        <f t="shared" ca="1" si="131"/>
        <v>0</v>
      </c>
      <c r="B1175" s="384"/>
      <c r="C1175" s="400" t="str">
        <f ca="1">IF(COUNTA(O$885:O1175)=1,"",OFFSET(C1175,-COUNTA(O$885:O1175)+1,0))</f>
        <v>a1VDm000000PRcvMAG</v>
      </c>
      <c r="D1175" s="389"/>
      <c r="E1175" s="386" t="str">
        <f ca="1">IFERROR(IF(VLOOKUP(C1175,' Disaggregation - Section E '!A$313:J903,7,0)="","",VLOOKUP(C1175,' Disaggregation - Section E '!A$313:J903,7,0)*100),"")</f>
        <v/>
      </c>
      <c r="F1175" s="384"/>
      <c r="G1175" s="387" t="str">
        <f ca="1">IFERROR(IF(VLOOKUP(C1175,' Disaggregation - Section E '!A$313:J903,6,0)="","",VLOOKUP(C1175,' Disaggregation - Section E '!A$313:J903,6,0)),"")</f>
        <v/>
      </c>
      <c r="H1175" s="387" t="str">
        <f ca="1">IFERROR(IF(INDEX(' Disaggregation - Section E '!F$313:F903,MATCH(C1175,' Disaggregation - Section E '!A$313:A903,0)+1,1)&lt;&gt;0,INDEX(' Disaggregation - Section E '!F$313:F903,MATCH(C1175,' Disaggregation - Section E '!A$313:A903,0)+1,1),""),"")</f>
        <v/>
      </c>
      <c r="I1175" s="388" t="str">
        <f ca="1">IFERROR(IF(VLOOKUP(C1175,' Disaggregation - Section E '!A$313:J903,8,0)=0,"",VLOOKUP(C1175,' Disaggregation - Section E '!A$313:J903,8,0)),"")</f>
        <v/>
      </c>
      <c r="J1175" s="388" t="str">
        <f ca="1">IFERROR(IF(VLOOKUP(C1175,' Disaggregation - Section E '!A$313:J903,9,0)="","",VLOOKUP(C1175,' Disaggregation - Section E '!A$313:J903,9,0)),"")</f>
        <v/>
      </c>
      <c r="K1175" s="384" t="str">
        <f ca="1">IFERROR(VLOOKUP(C1175,' Disaggregation - Section E '!A$313:J903,3,0),"")</f>
        <v/>
      </c>
      <c r="L1175" s="388" t="str">
        <f ca="1">IFERROR(IF(VLOOKUP(C1175,' Disaggregation - Section E '!A$313:J903,10,0)="","",VLOOKUP(C1175,' Disaggregation - Section E '!A$313:J903,10,0)),"")</f>
        <v/>
      </c>
      <c r="M1175" s="385" t="str">
        <f ca="1">IFERROR(IF(VLOOKUP(C1175,' Disaggregation - Section E '!A$313:O607,15,0)=0,"",VLOOKUP(C1175,' Disaggregation - Section E '!A$313:O903,15,0)),"")</f>
        <v/>
      </c>
      <c r="N1175" s="384"/>
      <c r="O1175" s="384"/>
    </row>
    <row r="1176" spans="1:15" x14ac:dyDescent="0.3">
      <c r="A1176" s="384" t="b">
        <f t="shared" ca="1" si="131"/>
        <v>0</v>
      </c>
      <c r="B1176" s="384"/>
      <c r="C1176" s="400" t="str">
        <f ca="1">IF(COUNTA(O$885:O1176)=1,"",OFFSET(C1176,-COUNTA(O$885:O1176)+1,0))</f>
        <v>a1VDm000000PRcwMAG</v>
      </c>
      <c r="D1176" s="389"/>
      <c r="E1176" s="386" t="str">
        <f ca="1">IFERROR(IF(VLOOKUP(C1176,' Disaggregation - Section E '!A$313:J904,7,0)="","",VLOOKUP(C1176,' Disaggregation - Section E '!A$313:J904,7,0)*100),"")</f>
        <v/>
      </c>
      <c r="F1176" s="384"/>
      <c r="G1176" s="387" t="str">
        <f ca="1">IFERROR(IF(VLOOKUP(C1176,' Disaggregation - Section E '!A$313:J904,6,0)="","",VLOOKUP(C1176,' Disaggregation - Section E '!A$313:J904,6,0)),"")</f>
        <v/>
      </c>
      <c r="H1176" s="387" t="str">
        <f ca="1">IFERROR(IF(INDEX(' Disaggregation - Section E '!F$313:F904,MATCH(C1176,' Disaggregation - Section E '!A$313:A904,0)+1,1)&lt;&gt;0,INDEX(' Disaggregation - Section E '!F$313:F904,MATCH(C1176,' Disaggregation - Section E '!A$313:A904,0)+1,1),""),"")</f>
        <v/>
      </c>
      <c r="I1176" s="388" t="str">
        <f ca="1">IFERROR(IF(VLOOKUP(C1176,' Disaggregation - Section E '!A$313:J904,8,0)=0,"",VLOOKUP(C1176,' Disaggregation - Section E '!A$313:J904,8,0)),"")</f>
        <v/>
      </c>
      <c r="J1176" s="388" t="str">
        <f ca="1">IFERROR(IF(VLOOKUP(C1176,' Disaggregation - Section E '!A$313:J904,9,0)="","",VLOOKUP(C1176,' Disaggregation - Section E '!A$313:J904,9,0)),"")</f>
        <v/>
      </c>
      <c r="K1176" s="384" t="str">
        <f ca="1">IFERROR(VLOOKUP(C1176,' Disaggregation - Section E '!A$313:J904,3,0),"")</f>
        <v/>
      </c>
      <c r="L1176" s="388" t="str">
        <f ca="1">IFERROR(IF(VLOOKUP(C1176,' Disaggregation - Section E '!A$313:J904,10,0)="","",VLOOKUP(C1176,' Disaggregation - Section E '!A$313:J904,10,0)),"")</f>
        <v/>
      </c>
      <c r="M1176" s="385" t="str">
        <f ca="1">IFERROR(IF(VLOOKUP(C1176,' Disaggregation - Section E '!A$313:O608,15,0)=0,"",VLOOKUP(C1176,' Disaggregation - Section E '!A$313:O904,15,0)),"")</f>
        <v/>
      </c>
      <c r="N1176" s="384"/>
      <c r="O1176" s="384"/>
    </row>
    <row r="1177" spans="1:15" x14ac:dyDescent="0.3">
      <c r="A1177" s="384" t="b">
        <f t="shared" ca="1" si="131"/>
        <v>0</v>
      </c>
      <c r="B1177" s="384"/>
      <c r="C1177" s="400" t="str">
        <f ca="1">IF(COUNTA(O$885:O1177)=1,"",OFFSET(C1177,-COUNTA(O$885:O1177)+1,0))</f>
        <v>a1VDm000000PRcxMAG</v>
      </c>
      <c r="D1177" s="389"/>
      <c r="E1177" s="386" t="str">
        <f ca="1">IFERROR(IF(VLOOKUP(C1177,' Disaggregation - Section E '!A$313:J905,7,0)="","",VLOOKUP(C1177,' Disaggregation - Section E '!A$313:J905,7,0)*100),"")</f>
        <v/>
      </c>
      <c r="F1177" s="384"/>
      <c r="G1177" s="387" t="str">
        <f ca="1">IFERROR(IF(VLOOKUP(C1177,' Disaggregation - Section E '!A$313:J905,6,0)="","",VLOOKUP(C1177,' Disaggregation - Section E '!A$313:J905,6,0)),"")</f>
        <v/>
      </c>
      <c r="H1177" s="387" t="str">
        <f ca="1">IFERROR(IF(INDEX(' Disaggregation - Section E '!F$313:F905,MATCH(C1177,' Disaggregation - Section E '!A$313:A905,0)+1,1)&lt;&gt;0,INDEX(' Disaggregation - Section E '!F$313:F905,MATCH(C1177,' Disaggregation - Section E '!A$313:A905,0)+1,1),""),"")</f>
        <v/>
      </c>
      <c r="I1177" s="388" t="str">
        <f ca="1">IFERROR(IF(VLOOKUP(C1177,' Disaggregation - Section E '!A$313:J905,8,0)=0,"",VLOOKUP(C1177,' Disaggregation - Section E '!A$313:J905,8,0)),"")</f>
        <v/>
      </c>
      <c r="J1177" s="388" t="str">
        <f ca="1">IFERROR(IF(VLOOKUP(C1177,' Disaggregation - Section E '!A$313:J905,9,0)="","",VLOOKUP(C1177,' Disaggregation - Section E '!A$313:J905,9,0)),"")</f>
        <v/>
      </c>
      <c r="K1177" s="384" t="str">
        <f ca="1">IFERROR(VLOOKUP(C1177,' Disaggregation - Section E '!A$313:J905,3,0),"")</f>
        <v/>
      </c>
      <c r="L1177" s="388" t="str">
        <f ca="1">IFERROR(IF(VLOOKUP(C1177,' Disaggregation - Section E '!A$313:J905,10,0)="","",VLOOKUP(C1177,' Disaggregation - Section E '!A$313:J905,10,0)),"")</f>
        <v/>
      </c>
      <c r="M1177" s="385" t="str">
        <f ca="1">IFERROR(IF(VLOOKUP(C1177,' Disaggregation - Section E '!A$313:O609,15,0)=0,"",VLOOKUP(C1177,' Disaggregation - Section E '!A$313:O905,15,0)),"")</f>
        <v/>
      </c>
      <c r="N1177" s="384"/>
      <c r="O1177" s="384"/>
    </row>
    <row r="1178" spans="1:15" x14ac:dyDescent="0.3">
      <c r="A1178" s="384" t="b">
        <f t="shared" ca="1" si="131"/>
        <v>0</v>
      </c>
      <c r="B1178" s="384"/>
      <c r="C1178" s="400" t="str">
        <f ca="1">IF(COUNTA(O$885:O1178)=1,"",OFFSET(C1178,-COUNTA(O$885:O1178)+1,0))</f>
        <v>a1VDm000000PRcyMAG</v>
      </c>
      <c r="D1178" s="389"/>
      <c r="E1178" s="386" t="str">
        <f ca="1">IFERROR(IF(VLOOKUP(C1178,' Disaggregation - Section E '!A$313:J906,7,0)="","",VLOOKUP(C1178,' Disaggregation - Section E '!A$313:J906,7,0)*100),"")</f>
        <v/>
      </c>
      <c r="F1178" s="384"/>
      <c r="G1178" s="387" t="str">
        <f ca="1">IFERROR(IF(VLOOKUP(C1178,' Disaggregation - Section E '!A$313:J906,6,0)="","",VLOOKUP(C1178,' Disaggregation - Section E '!A$313:J906,6,0)),"")</f>
        <v/>
      </c>
      <c r="H1178" s="387" t="str">
        <f ca="1">IFERROR(IF(INDEX(' Disaggregation - Section E '!F$313:F906,MATCH(C1178,' Disaggregation - Section E '!A$313:A906,0)+1,1)&lt;&gt;0,INDEX(' Disaggregation - Section E '!F$313:F906,MATCH(C1178,' Disaggregation - Section E '!A$313:A906,0)+1,1),""),"")</f>
        <v/>
      </c>
      <c r="I1178" s="388" t="str">
        <f ca="1">IFERROR(IF(VLOOKUP(C1178,' Disaggregation - Section E '!A$313:J906,8,0)=0,"",VLOOKUP(C1178,' Disaggregation - Section E '!A$313:J906,8,0)),"")</f>
        <v/>
      </c>
      <c r="J1178" s="388" t="str">
        <f ca="1">IFERROR(IF(VLOOKUP(C1178,' Disaggregation - Section E '!A$313:J906,9,0)="","",VLOOKUP(C1178,' Disaggregation - Section E '!A$313:J906,9,0)),"")</f>
        <v/>
      </c>
      <c r="K1178" s="384" t="str">
        <f ca="1">IFERROR(VLOOKUP(C1178,' Disaggregation - Section E '!A$313:J906,3,0),"")</f>
        <v/>
      </c>
      <c r="L1178" s="388" t="str">
        <f ca="1">IFERROR(IF(VLOOKUP(C1178,' Disaggregation - Section E '!A$313:J906,10,0)="","",VLOOKUP(C1178,' Disaggregation - Section E '!A$313:J906,10,0)),"")</f>
        <v/>
      </c>
      <c r="M1178" s="385" t="str">
        <f ca="1">IFERROR(IF(VLOOKUP(C1178,' Disaggregation - Section E '!A$313:O610,15,0)=0,"",VLOOKUP(C1178,' Disaggregation - Section E '!A$313:O906,15,0)),"")</f>
        <v/>
      </c>
      <c r="N1178" s="384"/>
      <c r="O1178" s="384"/>
    </row>
    <row r="1179" spans="1:15" x14ac:dyDescent="0.3">
      <c r="A1179" s="384" t="b">
        <f t="shared" ca="1" si="131"/>
        <v>0</v>
      </c>
      <c r="B1179" s="384"/>
      <c r="C1179" s="400" t="str">
        <f ca="1">IF(COUNTA(O$885:O1179)=1,"",OFFSET(C1179,-COUNTA(O$885:O1179)+1,0))</f>
        <v>a1VDm000000PRczMAG</v>
      </c>
      <c r="D1179" s="389"/>
      <c r="E1179" s="386" t="str">
        <f ca="1">IFERROR(IF(VLOOKUP(C1179,' Disaggregation - Section E '!A$313:J907,7,0)="","",VLOOKUP(C1179,' Disaggregation - Section E '!A$313:J907,7,0)*100),"")</f>
        <v/>
      </c>
      <c r="F1179" s="384"/>
      <c r="G1179" s="387" t="str">
        <f ca="1">IFERROR(IF(VLOOKUP(C1179,' Disaggregation - Section E '!A$313:J907,6,0)="","",VLOOKUP(C1179,' Disaggregation - Section E '!A$313:J907,6,0)),"")</f>
        <v/>
      </c>
      <c r="H1179" s="387" t="str">
        <f ca="1">IFERROR(IF(INDEX(' Disaggregation - Section E '!F$313:F907,MATCH(C1179,' Disaggregation - Section E '!A$313:A907,0)+1,1)&lt;&gt;0,INDEX(' Disaggregation - Section E '!F$313:F907,MATCH(C1179,' Disaggregation - Section E '!A$313:A907,0)+1,1),""),"")</f>
        <v/>
      </c>
      <c r="I1179" s="388" t="str">
        <f ca="1">IFERROR(IF(VLOOKUP(C1179,' Disaggregation - Section E '!A$313:J907,8,0)=0,"",VLOOKUP(C1179,' Disaggregation - Section E '!A$313:J907,8,0)),"")</f>
        <v/>
      </c>
      <c r="J1179" s="388" t="str">
        <f ca="1">IFERROR(IF(VLOOKUP(C1179,' Disaggregation - Section E '!A$313:J907,9,0)="","",VLOOKUP(C1179,' Disaggregation - Section E '!A$313:J907,9,0)),"")</f>
        <v/>
      </c>
      <c r="K1179" s="384" t="str">
        <f ca="1">IFERROR(VLOOKUP(C1179,' Disaggregation - Section E '!A$313:J907,3,0),"")</f>
        <v/>
      </c>
      <c r="L1179" s="388" t="str">
        <f ca="1">IFERROR(IF(VLOOKUP(C1179,' Disaggregation - Section E '!A$313:J907,10,0)="","",VLOOKUP(C1179,' Disaggregation - Section E '!A$313:J907,10,0)),"")</f>
        <v/>
      </c>
      <c r="M1179" s="385" t="str">
        <f ca="1">IFERROR(IF(VLOOKUP(C1179,' Disaggregation - Section E '!A$313:O611,15,0)=0,"",VLOOKUP(C1179,' Disaggregation - Section E '!A$313:O907,15,0)),"")</f>
        <v/>
      </c>
      <c r="N1179" s="384"/>
      <c r="O1179" s="384"/>
    </row>
    <row r="1180" spans="1:15" x14ac:dyDescent="0.3">
      <c r="A1180" s="384" t="b">
        <f t="shared" ca="1" si="131"/>
        <v>0</v>
      </c>
      <c r="B1180" s="384"/>
      <c r="C1180" s="400" t="str">
        <f ca="1">IF(COUNTA(O$885:O1180)=1,"",OFFSET(C1180,-COUNTA(O$885:O1180)+1,0))</f>
        <v>a1VDm000000PRd0MAG</v>
      </c>
      <c r="D1180" s="389"/>
      <c r="E1180" s="386" t="str">
        <f ca="1">IFERROR(IF(VLOOKUP(C1180,' Disaggregation - Section E '!A$313:J908,7,0)="","",VLOOKUP(C1180,' Disaggregation - Section E '!A$313:J908,7,0)*100),"")</f>
        <v/>
      </c>
      <c r="F1180" s="384"/>
      <c r="G1180" s="387" t="str">
        <f ca="1">IFERROR(IF(VLOOKUP(C1180,' Disaggregation - Section E '!A$313:J908,6,0)="","",VLOOKUP(C1180,' Disaggregation - Section E '!A$313:J908,6,0)),"")</f>
        <v/>
      </c>
      <c r="H1180" s="387" t="str">
        <f ca="1">IFERROR(IF(INDEX(' Disaggregation - Section E '!F$313:F908,MATCH(C1180,' Disaggregation - Section E '!A$313:A908,0)+1,1)&lt;&gt;0,INDEX(' Disaggregation - Section E '!F$313:F908,MATCH(C1180,' Disaggregation - Section E '!A$313:A908,0)+1,1),""),"")</f>
        <v/>
      </c>
      <c r="I1180" s="388" t="str">
        <f ca="1">IFERROR(IF(VLOOKUP(C1180,' Disaggregation - Section E '!A$313:J908,8,0)=0,"",VLOOKUP(C1180,' Disaggregation - Section E '!A$313:J908,8,0)),"")</f>
        <v/>
      </c>
      <c r="J1180" s="388" t="str">
        <f ca="1">IFERROR(IF(VLOOKUP(C1180,' Disaggregation - Section E '!A$313:J908,9,0)="","",VLOOKUP(C1180,' Disaggregation - Section E '!A$313:J908,9,0)),"")</f>
        <v/>
      </c>
      <c r="K1180" s="384" t="str">
        <f ca="1">IFERROR(VLOOKUP(C1180,' Disaggregation - Section E '!A$313:J908,3,0),"")</f>
        <v/>
      </c>
      <c r="L1180" s="388" t="str">
        <f ca="1">IFERROR(IF(VLOOKUP(C1180,' Disaggregation - Section E '!A$313:J908,10,0)="","",VLOOKUP(C1180,' Disaggregation - Section E '!A$313:J908,10,0)),"")</f>
        <v/>
      </c>
      <c r="M1180" s="385" t="str">
        <f ca="1">IFERROR(IF(VLOOKUP(C1180,' Disaggregation - Section E '!A$313:O612,15,0)=0,"",VLOOKUP(C1180,' Disaggregation - Section E '!A$313:O908,15,0)),"")</f>
        <v/>
      </c>
      <c r="N1180" s="384"/>
      <c r="O1180" s="384"/>
    </row>
    <row r="1181" spans="1:15" x14ac:dyDescent="0.3">
      <c r="A1181" s="384" t="b">
        <f t="shared" ca="1" si="131"/>
        <v>0</v>
      </c>
      <c r="B1181" s="384"/>
      <c r="C1181" s="400" t="str">
        <f ca="1">IF(COUNTA(O$885:O1181)=1,"",OFFSET(C1181,-COUNTA(O$885:O1181)+1,0))</f>
        <v>a1VDm000000PRd1MAG</v>
      </c>
      <c r="D1181" s="389"/>
      <c r="E1181" s="386" t="str">
        <f ca="1">IFERROR(IF(VLOOKUP(C1181,' Disaggregation - Section E '!A$313:J909,7,0)="","",VLOOKUP(C1181,' Disaggregation - Section E '!A$313:J909,7,0)*100),"")</f>
        <v/>
      </c>
      <c r="F1181" s="384"/>
      <c r="G1181" s="387" t="str">
        <f ca="1">IFERROR(IF(VLOOKUP(C1181,' Disaggregation - Section E '!A$313:J909,6,0)="","",VLOOKUP(C1181,' Disaggregation - Section E '!A$313:J909,6,0)),"")</f>
        <v/>
      </c>
      <c r="H1181" s="387" t="str">
        <f ca="1">IFERROR(IF(INDEX(' Disaggregation - Section E '!F$313:F909,MATCH(C1181,' Disaggregation - Section E '!A$313:A909,0)+1,1)&lt;&gt;0,INDEX(' Disaggregation - Section E '!F$313:F909,MATCH(C1181,' Disaggregation - Section E '!A$313:A909,0)+1,1),""),"")</f>
        <v/>
      </c>
      <c r="I1181" s="388" t="str">
        <f ca="1">IFERROR(IF(VLOOKUP(C1181,' Disaggregation - Section E '!A$313:J909,8,0)=0,"",VLOOKUP(C1181,' Disaggregation - Section E '!A$313:J909,8,0)),"")</f>
        <v/>
      </c>
      <c r="J1181" s="388" t="str">
        <f ca="1">IFERROR(IF(VLOOKUP(C1181,' Disaggregation - Section E '!A$313:J909,9,0)="","",VLOOKUP(C1181,' Disaggregation - Section E '!A$313:J909,9,0)),"")</f>
        <v/>
      </c>
      <c r="K1181" s="384" t="str">
        <f ca="1">IFERROR(VLOOKUP(C1181,' Disaggregation - Section E '!A$313:J909,3,0),"")</f>
        <v/>
      </c>
      <c r="L1181" s="388" t="str">
        <f ca="1">IFERROR(IF(VLOOKUP(C1181,' Disaggregation - Section E '!A$313:J909,10,0)="","",VLOOKUP(C1181,' Disaggregation - Section E '!A$313:J909,10,0)),"")</f>
        <v/>
      </c>
      <c r="M1181" s="385" t="str">
        <f ca="1">IFERROR(IF(VLOOKUP(C1181,' Disaggregation - Section E '!A$313:O613,15,0)=0,"",VLOOKUP(C1181,' Disaggregation - Section E '!A$313:O909,15,0)),"")</f>
        <v/>
      </c>
      <c r="N1181" s="384"/>
      <c r="O1181" s="384"/>
    </row>
    <row r="1182" spans="1:15" x14ac:dyDescent="0.3">
      <c r="A1182" s="384" t="b">
        <f t="shared" ca="1" si="131"/>
        <v>0</v>
      </c>
      <c r="B1182" s="384"/>
      <c r="C1182" s="400" t="str">
        <f ca="1">IF(COUNTA(O$885:O1182)=1,"",OFFSET(C1182,-COUNTA(O$885:O1182)+1,0))</f>
        <v>a1VDm000000PRd2MAG</v>
      </c>
      <c r="D1182" s="389"/>
      <c r="E1182" s="386" t="str">
        <f ca="1">IFERROR(IF(VLOOKUP(C1182,' Disaggregation - Section E '!A$313:J910,7,0)="","",VLOOKUP(C1182,' Disaggregation - Section E '!A$313:J910,7,0)*100),"")</f>
        <v/>
      </c>
      <c r="F1182" s="384"/>
      <c r="G1182" s="387" t="str">
        <f ca="1">IFERROR(IF(VLOOKUP(C1182,' Disaggregation - Section E '!A$313:J910,6,0)="","",VLOOKUP(C1182,' Disaggregation - Section E '!A$313:J910,6,0)),"")</f>
        <v/>
      </c>
      <c r="H1182" s="387" t="str">
        <f ca="1">IFERROR(IF(INDEX(' Disaggregation - Section E '!F$313:F910,MATCH(C1182,' Disaggregation - Section E '!A$313:A910,0)+1,1)&lt;&gt;0,INDEX(' Disaggregation - Section E '!F$313:F910,MATCH(C1182,' Disaggregation - Section E '!A$313:A910,0)+1,1),""),"")</f>
        <v/>
      </c>
      <c r="I1182" s="388" t="str">
        <f ca="1">IFERROR(IF(VLOOKUP(C1182,' Disaggregation - Section E '!A$313:J910,8,0)=0,"",VLOOKUP(C1182,' Disaggregation - Section E '!A$313:J910,8,0)),"")</f>
        <v/>
      </c>
      <c r="J1182" s="388" t="str">
        <f ca="1">IFERROR(IF(VLOOKUP(C1182,' Disaggregation - Section E '!A$313:J910,9,0)="","",VLOOKUP(C1182,' Disaggregation - Section E '!A$313:J910,9,0)),"")</f>
        <v/>
      </c>
      <c r="K1182" s="384" t="str">
        <f ca="1">IFERROR(VLOOKUP(C1182,' Disaggregation - Section E '!A$313:J910,3,0),"")</f>
        <v/>
      </c>
      <c r="L1182" s="388" t="str">
        <f ca="1">IFERROR(IF(VLOOKUP(C1182,' Disaggregation - Section E '!A$313:J910,10,0)="","",VLOOKUP(C1182,' Disaggregation - Section E '!A$313:J910,10,0)),"")</f>
        <v/>
      </c>
      <c r="M1182" s="385" t="str">
        <f ca="1">IFERROR(IF(VLOOKUP(C1182,' Disaggregation - Section E '!A$313:O614,15,0)=0,"",VLOOKUP(C1182,' Disaggregation - Section E '!A$313:O910,15,0)),"")</f>
        <v/>
      </c>
      <c r="N1182" s="384"/>
      <c r="O1182" s="384"/>
    </row>
    <row r="1183" spans="1:15" x14ac:dyDescent="0.3">
      <c r="A1183" s="384" t="b">
        <f t="shared" ca="1" si="131"/>
        <v>0</v>
      </c>
      <c r="B1183" s="384"/>
      <c r="C1183" s="400" t="str">
        <f ca="1">IF(COUNTA(O$885:O1183)=1,"",OFFSET(C1183,-COUNTA(O$885:O1183)+1,0))</f>
        <v>a1VDm000000PRd3MAG</v>
      </c>
      <c r="D1183" s="389"/>
      <c r="E1183" s="386" t="str">
        <f ca="1">IFERROR(IF(VLOOKUP(C1183,' Disaggregation - Section E '!A$313:J911,7,0)="","",VLOOKUP(C1183,' Disaggregation - Section E '!A$313:J911,7,0)*100),"")</f>
        <v/>
      </c>
      <c r="F1183" s="384"/>
      <c r="G1183" s="387" t="str">
        <f ca="1">IFERROR(IF(VLOOKUP(C1183,' Disaggregation - Section E '!A$313:J911,6,0)="","",VLOOKUP(C1183,' Disaggregation - Section E '!A$313:J911,6,0)),"")</f>
        <v/>
      </c>
      <c r="H1183" s="387" t="str">
        <f ca="1">IFERROR(IF(INDEX(' Disaggregation - Section E '!F$313:F911,MATCH(C1183,' Disaggregation - Section E '!A$313:A911,0)+1,1)&lt;&gt;0,INDEX(' Disaggregation - Section E '!F$313:F911,MATCH(C1183,' Disaggregation - Section E '!A$313:A911,0)+1,1),""),"")</f>
        <v/>
      </c>
      <c r="I1183" s="388" t="str">
        <f ca="1">IFERROR(IF(VLOOKUP(C1183,' Disaggregation - Section E '!A$313:J911,8,0)=0,"",VLOOKUP(C1183,' Disaggregation - Section E '!A$313:J911,8,0)),"")</f>
        <v/>
      </c>
      <c r="J1183" s="388" t="str">
        <f ca="1">IFERROR(IF(VLOOKUP(C1183,' Disaggregation - Section E '!A$313:J911,9,0)="","",VLOOKUP(C1183,' Disaggregation - Section E '!A$313:J911,9,0)),"")</f>
        <v/>
      </c>
      <c r="K1183" s="384" t="str">
        <f ca="1">IFERROR(VLOOKUP(C1183,' Disaggregation - Section E '!A$313:J911,3,0),"")</f>
        <v/>
      </c>
      <c r="L1183" s="388" t="str">
        <f ca="1">IFERROR(IF(VLOOKUP(C1183,' Disaggregation - Section E '!A$313:J911,10,0)="","",VLOOKUP(C1183,' Disaggregation - Section E '!A$313:J911,10,0)),"")</f>
        <v/>
      </c>
      <c r="M1183" s="385" t="str">
        <f ca="1">IFERROR(IF(VLOOKUP(C1183,' Disaggregation - Section E '!A$313:O615,15,0)=0,"",VLOOKUP(C1183,' Disaggregation - Section E '!A$313:O911,15,0)),"")</f>
        <v/>
      </c>
      <c r="N1183" s="384"/>
      <c r="O1183" s="384"/>
    </row>
    <row r="1184" spans="1:15" x14ac:dyDescent="0.3">
      <c r="A1184" s="384" t="b">
        <f t="shared" ca="1" si="131"/>
        <v>0</v>
      </c>
      <c r="B1184" s="384"/>
      <c r="C1184" s="400" t="str">
        <f ca="1">IF(COUNTA(O$885:O1184)=1,"",OFFSET(C1184,-COUNTA(O$885:O1184)+1,0))</f>
        <v>a1VDm000000PRd4MAG</v>
      </c>
      <c r="D1184" s="389"/>
      <c r="E1184" s="386" t="str">
        <f ca="1">IFERROR(IF(VLOOKUP(C1184,' Disaggregation - Section E '!A$313:J912,7,0)="","",VLOOKUP(C1184,' Disaggregation - Section E '!A$313:J912,7,0)*100),"")</f>
        <v/>
      </c>
      <c r="F1184" s="384"/>
      <c r="G1184" s="387" t="str">
        <f ca="1">IFERROR(IF(VLOOKUP(C1184,' Disaggregation - Section E '!A$313:J912,6,0)="","",VLOOKUP(C1184,' Disaggregation - Section E '!A$313:J912,6,0)),"")</f>
        <v/>
      </c>
      <c r="H1184" s="387" t="str">
        <f ca="1">IFERROR(IF(INDEX(' Disaggregation - Section E '!F$313:F912,MATCH(C1184,' Disaggregation - Section E '!A$313:A912,0)+1,1)&lt;&gt;0,INDEX(' Disaggregation - Section E '!F$313:F912,MATCH(C1184,' Disaggregation - Section E '!A$313:A912,0)+1,1),""),"")</f>
        <v/>
      </c>
      <c r="I1184" s="388" t="str">
        <f ca="1">IFERROR(IF(VLOOKUP(C1184,' Disaggregation - Section E '!A$313:J912,8,0)=0,"",VLOOKUP(C1184,' Disaggregation - Section E '!A$313:J912,8,0)),"")</f>
        <v/>
      </c>
      <c r="J1184" s="388" t="str">
        <f ca="1">IFERROR(IF(VLOOKUP(C1184,' Disaggregation - Section E '!A$313:J912,9,0)="","",VLOOKUP(C1184,' Disaggregation - Section E '!A$313:J912,9,0)),"")</f>
        <v/>
      </c>
      <c r="K1184" s="384" t="str">
        <f ca="1">IFERROR(VLOOKUP(C1184,' Disaggregation - Section E '!A$313:J912,3,0),"")</f>
        <v/>
      </c>
      <c r="L1184" s="388" t="str">
        <f ca="1">IFERROR(IF(VLOOKUP(C1184,' Disaggregation - Section E '!A$313:J912,10,0)="","",VLOOKUP(C1184,' Disaggregation - Section E '!A$313:J912,10,0)),"")</f>
        <v/>
      </c>
      <c r="M1184" s="385" t="str">
        <f ca="1">IFERROR(IF(VLOOKUP(C1184,' Disaggregation - Section E '!A$313:O616,15,0)=0,"",VLOOKUP(C1184,' Disaggregation - Section E '!A$313:O912,15,0)),"")</f>
        <v/>
      </c>
      <c r="N1184" s="384"/>
      <c r="O1184" s="384"/>
    </row>
    <row r="1185" spans="1:15" x14ac:dyDescent="0.3">
      <c r="A1185" s="384" t="b">
        <f t="shared" ca="1" si="131"/>
        <v>0</v>
      </c>
      <c r="B1185" s="384"/>
      <c r="C1185" s="400" t="str">
        <f ca="1">IF(COUNTA(O$885:O1185)=1,"",OFFSET(C1185,-COUNTA(O$885:O1185)+1,0))</f>
        <v>a1VDm000000PRd5MAG</v>
      </c>
      <c r="D1185" s="389"/>
      <c r="E1185" s="386" t="str">
        <f ca="1">IFERROR(IF(VLOOKUP(C1185,' Disaggregation - Section E '!A$313:J913,7,0)="","",VLOOKUP(C1185,' Disaggregation - Section E '!A$313:J913,7,0)*100),"")</f>
        <v/>
      </c>
      <c r="F1185" s="384"/>
      <c r="G1185" s="387" t="str">
        <f ca="1">IFERROR(IF(VLOOKUP(C1185,' Disaggregation - Section E '!A$313:J913,6,0)="","",VLOOKUP(C1185,' Disaggregation - Section E '!A$313:J913,6,0)),"")</f>
        <v/>
      </c>
      <c r="H1185" s="387" t="str">
        <f ca="1">IFERROR(IF(INDEX(' Disaggregation - Section E '!F$313:F913,MATCH(C1185,' Disaggregation - Section E '!A$313:A913,0)+1,1)&lt;&gt;0,INDEX(' Disaggregation - Section E '!F$313:F913,MATCH(C1185,' Disaggregation - Section E '!A$313:A913,0)+1,1),""),"")</f>
        <v/>
      </c>
      <c r="I1185" s="388" t="str">
        <f ca="1">IFERROR(IF(VLOOKUP(C1185,' Disaggregation - Section E '!A$313:J913,8,0)=0,"",VLOOKUP(C1185,' Disaggregation - Section E '!A$313:J913,8,0)),"")</f>
        <v/>
      </c>
      <c r="J1185" s="388" t="str">
        <f ca="1">IFERROR(IF(VLOOKUP(C1185,' Disaggregation - Section E '!A$313:J913,9,0)="","",VLOOKUP(C1185,' Disaggregation - Section E '!A$313:J913,9,0)),"")</f>
        <v/>
      </c>
      <c r="K1185" s="384" t="str">
        <f ca="1">IFERROR(VLOOKUP(C1185,' Disaggregation - Section E '!A$313:J913,3,0),"")</f>
        <v/>
      </c>
      <c r="L1185" s="388" t="str">
        <f ca="1">IFERROR(IF(VLOOKUP(C1185,' Disaggregation - Section E '!A$313:J913,10,0)="","",VLOOKUP(C1185,' Disaggregation - Section E '!A$313:J913,10,0)),"")</f>
        <v/>
      </c>
      <c r="M1185" s="385" t="str">
        <f ca="1">IFERROR(IF(VLOOKUP(C1185,' Disaggregation - Section E '!A$313:O617,15,0)=0,"",VLOOKUP(C1185,' Disaggregation - Section E '!A$313:O913,15,0)),"")</f>
        <v/>
      </c>
      <c r="N1185" s="384"/>
      <c r="O1185" s="384"/>
    </row>
    <row r="1186" spans="1:15" x14ac:dyDescent="0.3">
      <c r="A1186" s="384" t="b">
        <f t="shared" ca="1" si="131"/>
        <v>0</v>
      </c>
      <c r="B1186" s="384"/>
      <c r="C1186" s="400" t="str">
        <f ca="1">IF(COUNTA(O$885:O1186)=1,"",OFFSET(C1186,-COUNTA(O$885:O1186)+1,0))</f>
        <v>a1VDm000000PRd6MAG</v>
      </c>
      <c r="D1186" s="389"/>
      <c r="E1186" s="386" t="str">
        <f ca="1">IFERROR(IF(VLOOKUP(C1186,' Disaggregation - Section E '!A$313:J914,7,0)="","",VLOOKUP(C1186,' Disaggregation - Section E '!A$313:J914,7,0)*100),"")</f>
        <v/>
      </c>
      <c r="F1186" s="384"/>
      <c r="G1186" s="387" t="str">
        <f ca="1">IFERROR(IF(VLOOKUP(C1186,' Disaggregation - Section E '!A$313:J914,6,0)="","",VLOOKUP(C1186,' Disaggregation - Section E '!A$313:J914,6,0)),"")</f>
        <v/>
      </c>
      <c r="H1186" s="387" t="str">
        <f ca="1">IFERROR(IF(INDEX(' Disaggregation - Section E '!F$313:F914,MATCH(C1186,' Disaggregation - Section E '!A$313:A914,0)+1,1)&lt;&gt;0,INDEX(' Disaggregation - Section E '!F$313:F914,MATCH(C1186,' Disaggregation - Section E '!A$313:A914,0)+1,1),""),"")</f>
        <v/>
      </c>
      <c r="I1186" s="388" t="str">
        <f ca="1">IFERROR(IF(VLOOKUP(C1186,' Disaggregation - Section E '!A$313:J914,8,0)=0,"",VLOOKUP(C1186,' Disaggregation - Section E '!A$313:J914,8,0)),"")</f>
        <v/>
      </c>
      <c r="J1186" s="388" t="str">
        <f ca="1">IFERROR(IF(VLOOKUP(C1186,' Disaggregation - Section E '!A$313:J914,9,0)="","",VLOOKUP(C1186,' Disaggregation - Section E '!A$313:J914,9,0)),"")</f>
        <v/>
      </c>
      <c r="K1186" s="384" t="str">
        <f ca="1">IFERROR(VLOOKUP(C1186,' Disaggregation - Section E '!A$313:J914,3,0),"")</f>
        <v/>
      </c>
      <c r="L1186" s="388" t="str">
        <f ca="1">IFERROR(IF(VLOOKUP(C1186,' Disaggregation - Section E '!A$313:J914,10,0)="","",VLOOKUP(C1186,' Disaggregation - Section E '!A$313:J914,10,0)),"")</f>
        <v/>
      </c>
      <c r="M1186" s="385" t="str">
        <f ca="1">IFERROR(IF(VLOOKUP(C1186,' Disaggregation - Section E '!A$313:O618,15,0)=0,"",VLOOKUP(C1186,' Disaggregation - Section E '!A$313:O914,15,0)),"")</f>
        <v/>
      </c>
      <c r="N1186" s="384"/>
      <c r="O1186" s="384"/>
    </row>
    <row r="1188" spans="1:15" x14ac:dyDescent="0.3">
      <c r="A1188" s="382" t="s">
        <v>2213</v>
      </c>
    </row>
    <row r="1189" spans="1:15" x14ac:dyDescent="0.3">
      <c r="A1189" s="384" t="s">
        <v>325</v>
      </c>
      <c r="B1189" s="384"/>
      <c r="C1189" s="384" t="s">
        <v>318</v>
      </c>
      <c r="D1189" s="384" t="s">
        <v>737</v>
      </c>
      <c r="E1189" s="384" t="s">
        <v>105</v>
      </c>
      <c r="F1189" s="384" t="s">
        <v>2217</v>
      </c>
      <c r="G1189" s="384" t="s">
        <v>2296</v>
      </c>
      <c r="H1189" s="384" t="s">
        <v>2295</v>
      </c>
      <c r="I1189" s="384" t="s">
        <v>741</v>
      </c>
      <c r="J1189" s="384" t="s">
        <v>199</v>
      </c>
      <c r="K1189" s="384" t="s">
        <v>2816</v>
      </c>
      <c r="L1189" s="384" t="s">
        <v>176</v>
      </c>
      <c r="M1189" s="384" t="s">
        <v>2817</v>
      </c>
      <c r="N1189" s="384"/>
      <c r="O1189" s="384" t="s">
        <v>2969</v>
      </c>
    </row>
    <row r="1190" spans="1:15" hidden="1" x14ac:dyDescent="0.3">
      <c r="A1190" s="384" t="b">
        <f ca="1">IF(M1190&lt;&gt;"",TRUE,FALSE)</f>
        <v>0</v>
      </c>
      <c r="B1190" s="384"/>
      <c r="C1190" s="397" t="str">
        <f ca="1">IF(COUNTA(O$1189:O1190)=1,"",OFFSET(B1190,-COUNTA(O$1189:O1190)+1,1))</f>
        <v/>
      </c>
      <c r="D1190" s="389"/>
      <c r="E1190" s="386" t="str">
        <f ca="1">IFERROR(IF(VLOOKUP(C1190,' Disaggregation - Section E '!A$7:J308,7,0)="","",VLOOKUP(C1190,' Disaggregation - Section E '!A$7:J12,7,0)*100),"")</f>
        <v/>
      </c>
      <c r="F1190" s="388" t="str">
        <f ca="1">IFERROR(IF(VLOOKUP(C1190,' Disaggregation - Section E '!A$7:J308,5,0)=0,"",VLOOKUP(C1190,' Disaggregation - Section E '!A$7:J308,5,0)),"")</f>
        <v/>
      </c>
      <c r="G1190" s="387" t="str">
        <f ca="1">IFERROR(IF(VLOOKUP(C1190,' Disaggregation - Section E '!A$7:J308,6,0)="","",VLOOKUP(C1190,' Disaggregation - Section E '!A$7:J308,6,0)),"")</f>
        <v/>
      </c>
      <c r="H1190" s="387" t="str">
        <f ca="1">IFERROR(IF(INDEX(' Disaggregation - Section E '!F$7:F308,MATCH(C1190,' Disaggregation - Section E '!A$7:A308,0)+1,1)&lt;&gt;0,INDEX(' Disaggregation - Section E '!F$7:F308,MATCH(C1190,' Disaggregation - Section E '!A$7:A308,0)+1,1),""),"")</f>
        <v/>
      </c>
      <c r="I1190" s="388" t="str">
        <f ca="1">IFERROR(IF(VLOOKUP(C1190,' Disaggregation - Section E '!A$7:J308,8,0)=0,"",VLOOKUP(C1190,' Disaggregation - Section E '!A$7:J308,8,0)),"")</f>
        <v/>
      </c>
      <c r="J1190" s="388" t="str">
        <f ca="1">IFERROR(IF(VLOOKUP(C1190,' Disaggregation - Section E '!A$7:J308,9,0)="","",VLOOKUP(C1190,' Disaggregation - Section E '!A$7:J308,9,0)),"")</f>
        <v/>
      </c>
      <c r="K1190" s="384" t="str">
        <f ca="1">IFERROR(VLOOKUP(C1190,' Disaggregation - Section E '!A$7:J308,3,0),"")</f>
        <v/>
      </c>
      <c r="L1190" s="388" t="str">
        <f ca="1">IFERROR(IF(VLOOKUP(C1190,' Disaggregation - Section E '!A$7:J308,10,0)="","",VLOOKUP(C1190,' Disaggregation - Section E '!A$7:J308,10,0)),"")</f>
        <v/>
      </c>
      <c r="M1190" s="384" t="str">
        <f ca="1">IFERROR(IF(VLOOKUP(C1190,' Disaggregation - Section E '!A$7:O308,15,0)=0,"",VLOOKUP(C1190,' Disaggregation - Section E '!A$7:O308,15,0)),"")</f>
        <v/>
      </c>
      <c r="N1190" s="384"/>
      <c r="O1190" s="384"/>
    </row>
    <row r="1191" spans="1:15" x14ac:dyDescent="0.3">
      <c r="A1191" s="384" t="b">
        <v>0</v>
      </c>
      <c r="B1191" s="384"/>
      <c r="C1191" s="397" t="s">
        <v>2970</v>
      </c>
      <c r="D1191" s="389">
        <v>1</v>
      </c>
      <c r="E1191" s="386"/>
      <c r="F1191" s="388"/>
      <c r="G1191" s="387"/>
      <c r="H1191" s="387"/>
      <c r="I1191" s="388"/>
      <c r="J1191" s="388"/>
      <c r="K1191" s="384" t="str">
        <f ca="1">IFERROR(VLOOKUP(C1191,' Disaggregation - Section E '!A$7:J309,3,0),"")</f>
        <v>HIV I-4 Number of AIDS-related deaths per 100,000 population</v>
      </c>
      <c r="L1191" s="388"/>
      <c r="M1191" s="384"/>
      <c r="N1191" s="384"/>
      <c r="O1191" s="384" t="s">
        <v>2324</v>
      </c>
    </row>
    <row r="1192" spans="1:15" x14ac:dyDescent="0.3">
      <c r="A1192" s="384" t="b">
        <v>0</v>
      </c>
      <c r="B1192" s="384"/>
      <c r="C1192" s="397" t="s">
        <v>2971</v>
      </c>
      <c r="D1192" s="389">
        <v>1</v>
      </c>
      <c r="E1192" s="386"/>
      <c r="F1192" s="388"/>
      <c r="G1192" s="387"/>
      <c r="H1192" s="387"/>
      <c r="I1192" s="388"/>
      <c r="J1192" s="388"/>
      <c r="K1192" s="384" t="str">
        <f ca="1">IFERROR(VLOOKUP(C1192,' Disaggregation - Section E '!A$7:J310,3,0),"")</f>
        <v>HIV I-4 Number of AIDS-related deaths per 100,000 population</v>
      </c>
      <c r="L1192" s="388"/>
      <c r="M1192" s="384"/>
      <c r="N1192" s="384"/>
      <c r="O1192" s="384" t="s">
        <v>2324</v>
      </c>
    </row>
    <row r="1193" spans="1:15" x14ac:dyDescent="0.3">
      <c r="A1193" s="384" t="b">
        <v>0</v>
      </c>
      <c r="B1193" s="384"/>
      <c r="C1193" s="397" t="s">
        <v>2972</v>
      </c>
      <c r="D1193" s="389">
        <v>1</v>
      </c>
      <c r="E1193" s="386"/>
      <c r="F1193" s="388"/>
      <c r="G1193" s="387"/>
      <c r="H1193" s="387"/>
      <c r="I1193" s="388"/>
      <c r="J1193" s="388"/>
      <c r="K1193" s="384" t="str">
        <f ca="1">IFERROR(VLOOKUP(C1193,' Disaggregation - Section E '!A$7:J311,3,0),"")</f>
        <v>HIV I-4 Number of AIDS-related deaths per 100,000 population</v>
      </c>
      <c r="L1193" s="388"/>
      <c r="M1193" s="384"/>
      <c r="N1193" s="384"/>
      <c r="O1193" s="384" t="s">
        <v>2324</v>
      </c>
    </row>
    <row r="1194" spans="1:15" x14ac:dyDescent="0.3">
      <c r="A1194" s="384" t="b">
        <v>0</v>
      </c>
      <c r="B1194" s="384"/>
      <c r="C1194" s="397" t="s">
        <v>2973</v>
      </c>
      <c r="D1194" s="389">
        <v>1</v>
      </c>
      <c r="E1194" s="386"/>
      <c r="F1194" s="388"/>
      <c r="G1194" s="387"/>
      <c r="H1194" s="387"/>
      <c r="I1194" s="388"/>
      <c r="J1194" s="388"/>
      <c r="K1194" s="384" t="str">
        <f ca="1">IFERROR(VLOOKUP(C1194,' Disaggregation - Section E '!A$7:J312,3,0),"")</f>
        <v>HIV I-4 Number of AIDS-related deaths per 100,000 population</v>
      </c>
      <c r="L1194" s="388"/>
      <c r="M1194" s="384"/>
      <c r="N1194" s="384"/>
      <c r="O1194" s="384" t="s">
        <v>2324</v>
      </c>
    </row>
    <row r="1195" spans="1:15" x14ac:dyDescent="0.3">
      <c r="A1195" s="384" t="b">
        <v>0</v>
      </c>
      <c r="B1195" s="384"/>
      <c r="C1195" s="397" t="s">
        <v>2974</v>
      </c>
      <c r="D1195" s="389">
        <v>1</v>
      </c>
      <c r="E1195" s="386"/>
      <c r="F1195" s="388"/>
      <c r="G1195" s="387"/>
      <c r="H1195" s="387"/>
      <c r="I1195" s="388"/>
      <c r="J1195" s="388"/>
      <c r="K1195" s="384" t="str">
        <f ca="1">IFERROR(VLOOKUP(C1195,' Disaggregation - Section E '!A$7:J313,3,0),"")</f>
        <v>HIV I-4 Number of AIDS-related deaths per 100,000 population</v>
      </c>
      <c r="L1195" s="388"/>
      <c r="M1195" s="384"/>
      <c r="N1195" s="384"/>
      <c r="O1195" s="384" t="s">
        <v>2324</v>
      </c>
    </row>
    <row r="1196" spans="1:15" x14ac:dyDescent="0.3">
      <c r="A1196" s="384" t="b">
        <v>0</v>
      </c>
      <c r="B1196" s="384"/>
      <c r="C1196" s="397" t="s">
        <v>2975</v>
      </c>
      <c r="D1196" s="389">
        <v>1</v>
      </c>
      <c r="E1196" s="386"/>
      <c r="F1196" s="388"/>
      <c r="G1196" s="387"/>
      <c r="H1196" s="387"/>
      <c r="I1196" s="388"/>
      <c r="J1196" s="388"/>
      <c r="K1196" s="384" t="str">
        <f ca="1">IFERROR(VLOOKUP(C1196,' Disaggregation - Section E '!A$7:J314,3,0),"")</f>
        <v>HIV I-4 Number of AIDS-related deaths per 100,000 population</v>
      </c>
      <c r="L1196" s="388"/>
      <c r="M1196" s="384"/>
      <c r="N1196" s="384"/>
      <c r="O1196" s="384" t="s">
        <v>2324</v>
      </c>
    </row>
    <row r="1197" spans="1:15" x14ac:dyDescent="0.3">
      <c r="A1197" s="384" t="b">
        <v>0</v>
      </c>
      <c r="B1197" s="384"/>
      <c r="C1197" s="397" t="s">
        <v>2976</v>
      </c>
      <c r="D1197" s="389">
        <v>1</v>
      </c>
      <c r="E1197" s="386"/>
      <c r="F1197" s="388"/>
      <c r="G1197" s="387"/>
      <c r="H1197" s="387"/>
      <c r="I1197" s="388"/>
      <c r="J1197" s="388"/>
      <c r="K1197" s="384" t="str">
        <f ca="1">IFERROR(VLOOKUP(C1197,' Disaggregation - Section E '!A$7:J315,3,0),"")</f>
        <v>HIV I-4 Number of AIDS-related deaths per 100,000 population</v>
      </c>
      <c r="L1197" s="388"/>
      <c r="M1197" s="384"/>
      <c r="N1197" s="384"/>
      <c r="O1197" s="384" t="s">
        <v>2324</v>
      </c>
    </row>
    <row r="1198" spans="1:15" x14ac:dyDescent="0.3">
      <c r="A1198" s="384" t="b">
        <v>0</v>
      </c>
      <c r="B1198" s="384"/>
      <c r="C1198" s="397" t="s">
        <v>2977</v>
      </c>
      <c r="D1198" s="389">
        <v>1</v>
      </c>
      <c r="E1198" s="386"/>
      <c r="F1198" s="388"/>
      <c r="G1198" s="387"/>
      <c r="H1198" s="387"/>
      <c r="I1198" s="388"/>
      <c r="J1198" s="388"/>
      <c r="K1198" s="384" t="str">
        <f ca="1">IFERROR(VLOOKUP(C1198,' Disaggregation - Section E '!A$7:J316,3,0),"")</f>
        <v>HIV I-4 Number of AIDS-related deaths per 100,000 population</v>
      </c>
      <c r="L1198" s="388"/>
      <c r="M1198" s="384"/>
      <c r="N1198" s="384"/>
      <c r="O1198" s="384" t="s">
        <v>2324</v>
      </c>
    </row>
    <row r="1199" spans="1:15" x14ac:dyDescent="0.3">
      <c r="A1199" s="384" t="b">
        <v>0</v>
      </c>
      <c r="B1199" s="384"/>
      <c r="C1199" s="397" t="s">
        <v>2978</v>
      </c>
      <c r="D1199" s="389">
        <v>1</v>
      </c>
      <c r="E1199" s="386"/>
      <c r="F1199" s="388"/>
      <c r="G1199" s="387"/>
      <c r="H1199" s="387"/>
      <c r="I1199" s="388"/>
      <c r="J1199" s="388"/>
      <c r="K1199" s="384" t="str">
        <f ca="1">IFERROR(VLOOKUP(C1199,' Disaggregation - Section E '!A$7:J317,3,0),"")</f>
        <v>HIV I-4 Number of AIDS-related deaths per 100,000 population</v>
      </c>
      <c r="L1199" s="388"/>
      <c r="M1199" s="384"/>
      <c r="N1199" s="384"/>
      <c r="O1199" s="384" t="s">
        <v>2324</v>
      </c>
    </row>
    <row r="1200" spans="1:15" x14ac:dyDescent="0.3">
      <c r="A1200" s="384" t="b">
        <v>0</v>
      </c>
      <c r="B1200" s="384"/>
      <c r="C1200" s="397" t="s">
        <v>2979</v>
      </c>
      <c r="D1200" s="389">
        <v>1</v>
      </c>
      <c r="E1200" s="386"/>
      <c r="F1200" s="388"/>
      <c r="G1200" s="387"/>
      <c r="H1200" s="387"/>
      <c r="I1200" s="388"/>
      <c r="J1200" s="388"/>
      <c r="K1200" s="384" t="str">
        <f ca="1">IFERROR(VLOOKUP(C1200,' Disaggregation - Section E '!A$7:J318,3,0),"")</f>
        <v>HIV I-4 Number of AIDS-related deaths per 100,000 population</v>
      </c>
      <c r="L1200" s="388"/>
      <c r="M1200" s="384"/>
      <c r="N1200" s="384"/>
      <c r="O1200" s="384" t="s">
        <v>2324</v>
      </c>
    </row>
    <row r="1201" spans="1:15" x14ac:dyDescent="0.3">
      <c r="A1201" s="384" t="b">
        <v>0</v>
      </c>
      <c r="B1201" s="384"/>
      <c r="C1201" s="397" t="s">
        <v>2980</v>
      </c>
      <c r="D1201" s="389">
        <v>2</v>
      </c>
      <c r="E1201" s="386"/>
      <c r="F1201" s="388"/>
      <c r="G1201" s="387"/>
      <c r="H1201" s="387"/>
      <c r="I1201" s="388"/>
      <c r="J1201" s="388"/>
      <c r="K1201" s="384" t="str">
        <f ca="1">IFERROR(VLOOKUP(C1201,' Disaggregation - Section E '!A$7:J319,3,0),"")</f>
        <v>HIV I-9a⁽ᴹ⁾ Percentage of men who have sex with men who are living with HIV</v>
      </c>
      <c r="L1201" s="388"/>
      <c r="M1201" s="384"/>
      <c r="N1201" s="384"/>
      <c r="O1201" s="384" t="s">
        <v>2331</v>
      </c>
    </row>
    <row r="1202" spans="1:15" x14ac:dyDescent="0.3">
      <c r="A1202" s="384" t="b">
        <v>0</v>
      </c>
      <c r="B1202" s="384"/>
      <c r="C1202" s="397" t="s">
        <v>2981</v>
      </c>
      <c r="D1202" s="389">
        <v>2</v>
      </c>
      <c r="E1202" s="386"/>
      <c r="F1202" s="388"/>
      <c r="G1202" s="387"/>
      <c r="H1202" s="387"/>
      <c r="I1202" s="388"/>
      <c r="J1202" s="388"/>
      <c r="K1202" s="384" t="str">
        <f ca="1">IFERROR(VLOOKUP(C1202,' Disaggregation - Section E '!A$7:J320,3,0),"")</f>
        <v>HIV I-9a⁽ᴹ⁾ Percentage of men who have sex with men who are living with HIV</v>
      </c>
      <c r="L1202" s="388"/>
      <c r="M1202" s="384"/>
      <c r="N1202" s="384"/>
      <c r="O1202" s="384" t="s">
        <v>2331</v>
      </c>
    </row>
    <row r="1203" spans="1:15" x14ac:dyDescent="0.3">
      <c r="A1203" s="384" t="b">
        <v>0</v>
      </c>
      <c r="B1203" s="384"/>
      <c r="C1203" s="397" t="s">
        <v>2982</v>
      </c>
      <c r="D1203" s="389">
        <v>2</v>
      </c>
      <c r="E1203" s="386"/>
      <c r="F1203" s="388"/>
      <c r="G1203" s="387"/>
      <c r="H1203" s="387"/>
      <c r="I1203" s="388"/>
      <c r="J1203" s="388"/>
      <c r="K1203" s="384" t="str">
        <f ca="1">IFERROR(VLOOKUP(C1203,' Disaggregation - Section E '!A$7:J321,3,0),"")</f>
        <v>HIV I-9a⁽ᴹ⁾ Percentage of men who have sex with men who are living with HIV</v>
      </c>
      <c r="L1203" s="388"/>
      <c r="M1203" s="384"/>
      <c r="N1203" s="384"/>
      <c r="O1203" s="384" t="s">
        <v>2331</v>
      </c>
    </row>
    <row r="1204" spans="1:15" x14ac:dyDescent="0.3">
      <c r="A1204" s="384" t="b">
        <v>0</v>
      </c>
      <c r="B1204" s="384"/>
      <c r="C1204" s="397" t="s">
        <v>2983</v>
      </c>
      <c r="D1204" s="389">
        <v>2</v>
      </c>
      <c r="E1204" s="386"/>
      <c r="F1204" s="388"/>
      <c r="G1204" s="387"/>
      <c r="H1204" s="387"/>
      <c r="I1204" s="388"/>
      <c r="J1204" s="388"/>
      <c r="K1204" s="384" t="str">
        <f ca="1">IFERROR(VLOOKUP(C1204,' Disaggregation - Section E '!A$7:J322,3,0),"")</f>
        <v>HIV I-9a⁽ᴹ⁾ Percentage of men who have sex with men who are living with HIV</v>
      </c>
      <c r="L1204" s="388"/>
      <c r="M1204" s="384"/>
      <c r="N1204" s="384"/>
      <c r="O1204" s="384" t="s">
        <v>2331</v>
      </c>
    </row>
    <row r="1205" spans="1:15" x14ac:dyDescent="0.3">
      <c r="A1205" s="384" t="b">
        <v>0</v>
      </c>
      <c r="B1205" s="384"/>
      <c r="C1205" s="397" t="s">
        <v>2984</v>
      </c>
      <c r="D1205" s="389">
        <v>2</v>
      </c>
      <c r="E1205" s="386"/>
      <c r="F1205" s="388"/>
      <c r="G1205" s="387"/>
      <c r="H1205" s="387"/>
      <c r="I1205" s="388"/>
      <c r="J1205" s="388"/>
      <c r="K1205" s="384" t="str">
        <f ca="1">IFERROR(VLOOKUP(C1205,' Disaggregation - Section E '!A$7:J323,3,0),"")</f>
        <v>HIV I-9a⁽ᴹ⁾ Percentage of men who have sex with men who are living with HIV</v>
      </c>
      <c r="L1205" s="388"/>
      <c r="M1205" s="384"/>
      <c r="N1205" s="384"/>
      <c r="O1205" s="384" t="s">
        <v>2331</v>
      </c>
    </row>
    <row r="1206" spans="1:15" x14ac:dyDescent="0.3">
      <c r="A1206" s="384" t="b">
        <v>0</v>
      </c>
      <c r="B1206" s="384"/>
      <c r="C1206" s="397" t="s">
        <v>2985</v>
      </c>
      <c r="D1206" s="389">
        <v>2</v>
      </c>
      <c r="E1206" s="386"/>
      <c r="F1206" s="388"/>
      <c r="G1206" s="387"/>
      <c r="H1206" s="387"/>
      <c r="I1206" s="388"/>
      <c r="J1206" s="388"/>
      <c r="K1206" s="384" t="str">
        <f ca="1">IFERROR(VLOOKUP(C1206,' Disaggregation - Section E '!A$7:J324,3,0),"")</f>
        <v>HIV I-9a⁽ᴹ⁾ Percentage of men who have sex with men who are living with HIV</v>
      </c>
      <c r="L1206" s="388"/>
      <c r="M1206" s="384"/>
      <c r="N1206" s="384"/>
      <c r="O1206" s="384" t="s">
        <v>2331</v>
      </c>
    </row>
    <row r="1207" spans="1:15" x14ac:dyDescent="0.3">
      <c r="A1207" s="384" t="b">
        <v>0</v>
      </c>
      <c r="B1207" s="384"/>
      <c r="C1207" s="397" t="s">
        <v>2986</v>
      </c>
      <c r="D1207" s="389">
        <v>2</v>
      </c>
      <c r="E1207" s="386"/>
      <c r="F1207" s="388"/>
      <c r="G1207" s="387"/>
      <c r="H1207" s="387"/>
      <c r="I1207" s="388"/>
      <c r="J1207" s="388"/>
      <c r="K1207" s="384" t="str">
        <f ca="1">IFERROR(VLOOKUP(C1207,' Disaggregation - Section E '!A$7:J325,3,0),"")</f>
        <v>HIV I-9a⁽ᴹ⁾ Percentage of men who have sex with men who are living with HIV</v>
      </c>
      <c r="L1207" s="388"/>
      <c r="M1207" s="384"/>
      <c r="N1207" s="384"/>
      <c r="O1207" s="384" t="s">
        <v>2331</v>
      </c>
    </row>
    <row r="1208" spans="1:15" x14ac:dyDescent="0.3">
      <c r="A1208" s="384" t="b">
        <v>0</v>
      </c>
      <c r="B1208" s="384"/>
      <c r="C1208" s="397" t="s">
        <v>2987</v>
      </c>
      <c r="D1208" s="389">
        <v>2</v>
      </c>
      <c r="E1208" s="386"/>
      <c r="F1208" s="388"/>
      <c r="G1208" s="387"/>
      <c r="H1208" s="387"/>
      <c r="I1208" s="388"/>
      <c r="J1208" s="388"/>
      <c r="K1208" s="384" t="str">
        <f ca="1">IFERROR(VLOOKUP(C1208,' Disaggregation - Section E '!A$7:J326,3,0),"")</f>
        <v>HIV I-9a⁽ᴹ⁾ Percentage of men who have sex with men who are living with HIV</v>
      </c>
      <c r="L1208" s="388"/>
      <c r="M1208" s="384"/>
      <c r="N1208" s="384"/>
      <c r="O1208" s="384" t="s">
        <v>2331</v>
      </c>
    </row>
    <row r="1209" spans="1:15" x14ac:dyDescent="0.3">
      <c r="A1209" s="384" t="b">
        <v>0</v>
      </c>
      <c r="B1209" s="384"/>
      <c r="C1209" s="397" t="s">
        <v>2988</v>
      </c>
      <c r="D1209" s="389">
        <v>2</v>
      </c>
      <c r="E1209" s="386"/>
      <c r="F1209" s="388"/>
      <c r="G1209" s="387"/>
      <c r="H1209" s="387"/>
      <c r="I1209" s="388"/>
      <c r="J1209" s="388"/>
      <c r="K1209" s="384" t="str">
        <f ca="1">IFERROR(VLOOKUP(C1209,' Disaggregation - Section E '!A$7:J327,3,0),"")</f>
        <v>HIV I-9a⁽ᴹ⁾ Percentage of men who have sex with men who are living with HIV</v>
      </c>
      <c r="L1209" s="388"/>
      <c r="M1209" s="384"/>
      <c r="N1209" s="384"/>
      <c r="O1209" s="384" t="s">
        <v>2331</v>
      </c>
    </row>
    <row r="1210" spans="1:15" x14ac:dyDescent="0.3">
      <c r="A1210" s="384" t="b">
        <v>0</v>
      </c>
      <c r="B1210" s="384"/>
      <c r="C1210" s="397" t="s">
        <v>2989</v>
      </c>
      <c r="D1210" s="389">
        <v>2</v>
      </c>
      <c r="E1210" s="386"/>
      <c r="F1210" s="388"/>
      <c r="G1210" s="387"/>
      <c r="H1210" s="387"/>
      <c r="I1210" s="388"/>
      <c r="J1210" s="388"/>
      <c r="K1210" s="384" t="str">
        <f ca="1">IFERROR(VLOOKUP(C1210,' Disaggregation - Section E '!A$7:J328,3,0),"")</f>
        <v>HIV I-9a⁽ᴹ⁾ Percentage of men who have sex with men who are living with HIV</v>
      </c>
      <c r="L1210" s="388"/>
      <c r="M1210" s="384"/>
      <c r="N1210" s="384"/>
      <c r="O1210" s="384" t="s">
        <v>2331</v>
      </c>
    </row>
    <row r="1211" spans="1:15" x14ac:dyDescent="0.3">
      <c r="A1211" s="384" t="b">
        <v>0</v>
      </c>
      <c r="B1211" s="384"/>
      <c r="C1211" s="397" t="s">
        <v>2990</v>
      </c>
      <c r="D1211" s="389">
        <v>3</v>
      </c>
      <c r="E1211" s="386"/>
      <c r="F1211" s="388"/>
      <c r="G1211" s="387"/>
      <c r="H1211" s="387"/>
      <c r="I1211" s="388"/>
      <c r="J1211" s="388"/>
      <c r="K1211" s="384" t="str">
        <f ca="1">IFERROR(VLOOKUP(C1211,' Disaggregation - Section E '!A$7:J329,3,0),"")</f>
        <v>HIV I-10⁽ᴹ⁾ Percentage of sex workers who are living with HIV</v>
      </c>
      <c r="L1211" s="388"/>
      <c r="M1211" s="384"/>
      <c r="N1211" s="384"/>
      <c r="O1211" s="384" t="s">
        <v>2338</v>
      </c>
    </row>
    <row r="1212" spans="1:15" x14ac:dyDescent="0.3">
      <c r="A1212" s="384" t="b">
        <v>0</v>
      </c>
      <c r="B1212" s="384"/>
      <c r="C1212" s="397" t="s">
        <v>2991</v>
      </c>
      <c r="D1212" s="389">
        <v>3</v>
      </c>
      <c r="E1212" s="386"/>
      <c r="F1212" s="388"/>
      <c r="G1212" s="387"/>
      <c r="H1212" s="387"/>
      <c r="I1212" s="388"/>
      <c r="J1212" s="388"/>
      <c r="K1212" s="384" t="str">
        <f ca="1">IFERROR(VLOOKUP(C1212,' Disaggregation - Section E '!A$7:J330,3,0),"")</f>
        <v>HIV I-10⁽ᴹ⁾ Percentage of sex workers who are living with HIV</v>
      </c>
      <c r="L1212" s="388"/>
      <c r="M1212" s="384"/>
      <c r="N1212" s="384"/>
      <c r="O1212" s="384" t="s">
        <v>2338</v>
      </c>
    </row>
    <row r="1213" spans="1:15" x14ac:dyDescent="0.3">
      <c r="A1213" s="384" t="b">
        <v>0</v>
      </c>
      <c r="B1213" s="384"/>
      <c r="C1213" s="397" t="s">
        <v>2992</v>
      </c>
      <c r="D1213" s="389">
        <v>3</v>
      </c>
      <c r="E1213" s="386"/>
      <c r="F1213" s="388"/>
      <c r="G1213" s="387"/>
      <c r="H1213" s="387"/>
      <c r="I1213" s="388"/>
      <c r="J1213" s="388"/>
      <c r="K1213" s="384" t="str">
        <f ca="1">IFERROR(VLOOKUP(C1213,' Disaggregation - Section E '!A$7:J331,3,0),"")</f>
        <v>HIV I-10⁽ᴹ⁾ Percentage of sex workers who are living with HIV</v>
      </c>
      <c r="L1213" s="388"/>
      <c r="M1213" s="384"/>
      <c r="N1213" s="384"/>
      <c r="O1213" s="384" t="s">
        <v>2338</v>
      </c>
    </row>
    <row r="1214" spans="1:15" x14ac:dyDescent="0.3">
      <c r="A1214" s="384" t="b">
        <v>0</v>
      </c>
      <c r="B1214" s="384"/>
      <c r="C1214" s="397" t="s">
        <v>2993</v>
      </c>
      <c r="D1214" s="389">
        <v>3</v>
      </c>
      <c r="E1214" s="386"/>
      <c r="F1214" s="388"/>
      <c r="G1214" s="387"/>
      <c r="H1214" s="387"/>
      <c r="I1214" s="388"/>
      <c r="J1214" s="388"/>
      <c r="K1214" s="384" t="str">
        <f ca="1">IFERROR(VLOOKUP(C1214,' Disaggregation - Section E '!A$7:J332,3,0),"")</f>
        <v>HIV I-10⁽ᴹ⁾ Percentage of sex workers who are living with HIV</v>
      </c>
      <c r="L1214" s="388"/>
      <c r="M1214" s="384"/>
      <c r="N1214" s="384"/>
      <c r="O1214" s="384" t="s">
        <v>2338</v>
      </c>
    </row>
    <row r="1215" spans="1:15" x14ac:dyDescent="0.3">
      <c r="A1215" s="384" t="b">
        <v>0</v>
      </c>
      <c r="B1215" s="384"/>
      <c r="C1215" s="397" t="s">
        <v>2994</v>
      </c>
      <c r="D1215" s="389">
        <v>3</v>
      </c>
      <c r="E1215" s="386"/>
      <c r="F1215" s="388"/>
      <c r="G1215" s="387"/>
      <c r="H1215" s="387"/>
      <c r="I1215" s="388"/>
      <c r="J1215" s="388"/>
      <c r="K1215" s="384" t="str">
        <f ca="1">IFERROR(VLOOKUP(C1215,' Disaggregation - Section E '!A$7:J333,3,0),"")</f>
        <v>HIV I-10⁽ᴹ⁾ Percentage of sex workers who are living with HIV</v>
      </c>
      <c r="L1215" s="388"/>
      <c r="M1215" s="384"/>
      <c r="N1215" s="384"/>
      <c r="O1215" s="384" t="s">
        <v>2338</v>
      </c>
    </row>
    <row r="1216" spans="1:15" x14ac:dyDescent="0.3">
      <c r="A1216" s="384" t="b">
        <v>0</v>
      </c>
      <c r="B1216" s="384"/>
      <c r="C1216" s="397" t="s">
        <v>2995</v>
      </c>
      <c r="D1216" s="389">
        <v>3</v>
      </c>
      <c r="E1216" s="386"/>
      <c r="F1216" s="388"/>
      <c r="G1216" s="387"/>
      <c r="H1216" s="387"/>
      <c r="I1216" s="388"/>
      <c r="J1216" s="388"/>
      <c r="K1216" s="384" t="str">
        <f ca="1">IFERROR(VLOOKUP(C1216,' Disaggregation - Section E '!A$7:J334,3,0),"")</f>
        <v>HIV I-10⁽ᴹ⁾ Percentage of sex workers who are living with HIV</v>
      </c>
      <c r="L1216" s="388"/>
      <c r="M1216" s="384"/>
      <c r="N1216" s="384"/>
      <c r="O1216" s="384" t="s">
        <v>2338</v>
      </c>
    </row>
    <row r="1217" spans="1:15" x14ac:dyDescent="0.3">
      <c r="A1217" s="384" t="b">
        <v>0</v>
      </c>
      <c r="B1217" s="384"/>
      <c r="C1217" s="397" t="s">
        <v>2996</v>
      </c>
      <c r="D1217" s="389">
        <v>3</v>
      </c>
      <c r="E1217" s="386"/>
      <c r="F1217" s="388"/>
      <c r="G1217" s="387"/>
      <c r="H1217" s="387"/>
      <c r="I1217" s="388"/>
      <c r="J1217" s="388"/>
      <c r="K1217" s="384" t="str">
        <f ca="1">IFERROR(VLOOKUP(C1217,' Disaggregation - Section E '!A$7:J335,3,0),"")</f>
        <v>HIV I-10⁽ᴹ⁾ Percentage of sex workers who are living with HIV</v>
      </c>
      <c r="L1217" s="388"/>
      <c r="M1217" s="384"/>
      <c r="N1217" s="384"/>
      <c r="O1217" s="384" t="s">
        <v>2338</v>
      </c>
    </row>
    <row r="1218" spans="1:15" x14ac:dyDescent="0.3">
      <c r="A1218" s="384" t="b">
        <v>0</v>
      </c>
      <c r="B1218" s="384"/>
      <c r="C1218" s="397" t="s">
        <v>2997</v>
      </c>
      <c r="D1218" s="389">
        <v>3</v>
      </c>
      <c r="E1218" s="386"/>
      <c r="F1218" s="388"/>
      <c r="G1218" s="387"/>
      <c r="H1218" s="387"/>
      <c r="I1218" s="388"/>
      <c r="J1218" s="388"/>
      <c r="K1218" s="384" t="str">
        <f ca="1">IFERROR(VLOOKUP(C1218,' Disaggregation - Section E '!A$7:J336,3,0),"")</f>
        <v>HIV I-10⁽ᴹ⁾ Percentage of sex workers who are living with HIV</v>
      </c>
      <c r="L1218" s="388"/>
      <c r="M1218" s="384"/>
      <c r="N1218" s="384"/>
      <c r="O1218" s="384" t="s">
        <v>2338</v>
      </c>
    </row>
    <row r="1219" spans="1:15" x14ac:dyDescent="0.3">
      <c r="A1219" s="384" t="b">
        <v>0</v>
      </c>
      <c r="B1219" s="384"/>
      <c r="C1219" s="397" t="s">
        <v>2998</v>
      </c>
      <c r="D1219" s="389">
        <v>3</v>
      </c>
      <c r="E1219" s="386"/>
      <c r="F1219" s="388"/>
      <c r="G1219" s="387"/>
      <c r="H1219" s="387"/>
      <c r="I1219" s="388"/>
      <c r="J1219" s="388"/>
      <c r="K1219" s="384" t="str">
        <f ca="1">IFERROR(VLOOKUP(C1219,' Disaggregation - Section E '!A$7:J337,3,0),"")</f>
        <v>HIV I-10⁽ᴹ⁾ Percentage of sex workers who are living with HIV</v>
      </c>
      <c r="L1219" s="388"/>
      <c r="M1219" s="384"/>
      <c r="N1219" s="384"/>
      <c r="O1219" s="384" t="s">
        <v>2338</v>
      </c>
    </row>
    <row r="1220" spans="1:15" x14ac:dyDescent="0.3">
      <c r="A1220" s="384" t="b">
        <v>0</v>
      </c>
      <c r="B1220" s="384"/>
      <c r="C1220" s="397" t="s">
        <v>2999</v>
      </c>
      <c r="D1220" s="389">
        <v>3</v>
      </c>
      <c r="E1220" s="386"/>
      <c r="F1220" s="388"/>
      <c r="G1220" s="387"/>
      <c r="H1220" s="387"/>
      <c r="I1220" s="388"/>
      <c r="J1220" s="388"/>
      <c r="K1220" s="384" t="str">
        <f ca="1">IFERROR(VLOOKUP(C1220,' Disaggregation - Section E '!A$7:J338,3,0),"")</f>
        <v>HIV I-10⁽ᴹ⁾ Percentage of sex workers who are living with HIV</v>
      </c>
      <c r="L1220" s="388"/>
      <c r="M1220" s="384"/>
      <c r="N1220" s="384"/>
      <c r="O1220" s="384" t="s">
        <v>2338</v>
      </c>
    </row>
    <row r="1221" spans="1:15" x14ac:dyDescent="0.3">
      <c r="A1221" s="384" t="b">
        <v>0</v>
      </c>
      <c r="B1221" s="384"/>
      <c r="C1221" s="397" t="s">
        <v>3000</v>
      </c>
      <c r="D1221" s="389">
        <v>4</v>
      </c>
      <c r="E1221" s="386"/>
      <c r="F1221" s="388"/>
      <c r="G1221" s="387"/>
      <c r="H1221" s="387"/>
      <c r="I1221" s="388"/>
      <c r="J1221" s="388"/>
      <c r="K1221" s="384" t="str">
        <f ca="1">IFERROR(VLOOKUP(C1221,' Disaggregation - Section E '!A$7:J339,3,0),"")</f>
        <v>HIV I-9b⁽ᴹ⁾ Percentage of transgender people who are living with HIV</v>
      </c>
      <c r="L1221" s="388"/>
      <c r="M1221" s="384"/>
      <c r="N1221" s="384"/>
      <c r="O1221" s="384" t="s">
        <v>2345</v>
      </c>
    </row>
    <row r="1222" spans="1:15" x14ac:dyDescent="0.3">
      <c r="A1222" s="384" t="b">
        <v>0</v>
      </c>
      <c r="B1222" s="384"/>
      <c r="C1222" s="397" t="s">
        <v>3001</v>
      </c>
      <c r="D1222" s="389">
        <v>4</v>
      </c>
      <c r="E1222" s="386"/>
      <c r="F1222" s="388"/>
      <c r="G1222" s="387"/>
      <c r="H1222" s="387"/>
      <c r="I1222" s="388"/>
      <c r="J1222" s="388"/>
      <c r="K1222" s="384" t="str">
        <f ca="1">IFERROR(VLOOKUP(C1222,' Disaggregation - Section E '!A$7:J340,3,0),"")</f>
        <v>HIV I-9b⁽ᴹ⁾ Percentage of transgender people who are living with HIV</v>
      </c>
      <c r="L1222" s="388"/>
      <c r="M1222" s="384"/>
      <c r="N1222" s="384"/>
      <c r="O1222" s="384" t="s">
        <v>2345</v>
      </c>
    </row>
    <row r="1223" spans="1:15" x14ac:dyDescent="0.3">
      <c r="A1223" s="384" t="b">
        <v>0</v>
      </c>
      <c r="B1223" s="384"/>
      <c r="C1223" s="397" t="s">
        <v>3002</v>
      </c>
      <c r="D1223" s="389">
        <v>4</v>
      </c>
      <c r="E1223" s="386"/>
      <c r="F1223" s="388"/>
      <c r="G1223" s="387"/>
      <c r="H1223" s="387"/>
      <c r="I1223" s="388"/>
      <c r="J1223" s="388"/>
      <c r="K1223" s="384" t="str">
        <f ca="1">IFERROR(VLOOKUP(C1223,' Disaggregation - Section E '!A$7:J341,3,0),"")</f>
        <v>HIV I-9b⁽ᴹ⁾ Percentage of transgender people who are living with HIV</v>
      </c>
      <c r="L1223" s="388"/>
      <c r="M1223" s="384"/>
      <c r="N1223" s="384"/>
      <c r="O1223" s="384" t="s">
        <v>2345</v>
      </c>
    </row>
    <row r="1224" spans="1:15" x14ac:dyDescent="0.3">
      <c r="A1224" s="384" t="b">
        <v>0</v>
      </c>
      <c r="B1224" s="384"/>
      <c r="C1224" s="397" t="s">
        <v>3003</v>
      </c>
      <c r="D1224" s="389">
        <v>4</v>
      </c>
      <c r="E1224" s="386"/>
      <c r="F1224" s="388"/>
      <c r="G1224" s="387"/>
      <c r="H1224" s="387"/>
      <c r="I1224" s="388"/>
      <c r="J1224" s="388"/>
      <c r="K1224" s="384" t="str">
        <f ca="1">IFERROR(VLOOKUP(C1224,' Disaggregation - Section E '!A$7:J342,3,0),"")</f>
        <v>HIV I-9b⁽ᴹ⁾ Percentage of transgender people who are living with HIV</v>
      </c>
      <c r="L1224" s="388"/>
      <c r="M1224" s="384"/>
      <c r="N1224" s="384"/>
      <c r="O1224" s="384" t="s">
        <v>2345</v>
      </c>
    </row>
    <row r="1225" spans="1:15" x14ac:dyDescent="0.3">
      <c r="A1225" s="384" t="b">
        <v>0</v>
      </c>
      <c r="B1225" s="384"/>
      <c r="C1225" s="397" t="s">
        <v>3004</v>
      </c>
      <c r="D1225" s="389">
        <v>4</v>
      </c>
      <c r="E1225" s="386"/>
      <c r="F1225" s="388"/>
      <c r="G1225" s="387"/>
      <c r="H1225" s="387"/>
      <c r="I1225" s="388"/>
      <c r="J1225" s="388"/>
      <c r="K1225" s="384" t="str">
        <f ca="1">IFERROR(VLOOKUP(C1225,' Disaggregation - Section E '!A$7:J343,3,0),"")</f>
        <v>HIV I-9b⁽ᴹ⁾ Percentage of transgender people who are living with HIV</v>
      </c>
      <c r="L1225" s="388"/>
      <c r="M1225" s="384"/>
      <c r="N1225" s="384"/>
      <c r="O1225" s="384" t="s">
        <v>2345</v>
      </c>
    </row>
    <row r="1226" spans="1:15" x14ac:dyDescent="0.3">
      <c r="A1226" s="384" t="b">
        <v>0</v>
      </c>
      <c r="B1226" s="384"/>
      <c r="C1226" s="397" t="s">
        <v>3005</v>
      </c>
      <c r="D1226" s="389">
        <v>4</v>
      </c>
      <c r="E1226" s="386"/>
      <c r="F1226" s="388"/>
      <c r="G1226" s="387"/>
      <c r="H1226" s="387"/>
      <c r="I1226" s="388"/>
      <c r="J1226" s="388"/>
      <c r="K1226" s="384" t="str">
        <f ca="1">IFERROR(VLOOKUP(C1226,' Disaggregation - Section E '!A$7:J344,3,0),"")</f>
        <v>HIV I-9b⁽ᴹ⁾ Percentage of transgender people who are living with HIV</v>
      </c>
      <c r="L1226" s="388"/>
      <c r="M1226" s="384"/>
      <c r="N1226" s="384"/>
      <c r="O1226" s="384" t="s">
        <v>2345</v>
      </c>
    </row>
    <row r="1227" spans="1:15" x14ac:dyDescent="0.3">
      <c r="A1227" s="384" t="b">
        <v>0</v>
      </c>
      <c r="B1227" s="384"/>
      <c r="C1227" s="397" t="s">
        <v>3006</v>
      </c>
      <c r="D1227" s="389">
        <v>4</v>
      </c>
      <c r="E1227" s="386"/>
      <c r="F1227" s="388"/>
      <c r="G1227" s="387"/>
      <c r="H1227" s="387"/>
      <c r="I1227" s="388"/>
      <c r="J1227" s="388"/>
      <c r="K1227" s="384" t="str">
        <f ca="1">IFERROR(VLOOKUP(C1227,' Disaggregation - Section E '!A$7:J345,3,0),"")</f>
        <v>HIV I-9b⁽ᴹ⁾ Percentage of transgender people who are living with HIV</v>
      </c>
      <c r="L1227" s="388"/>
      <c r="M1227" s="384"/>
      <c r="N1227" s="384"/>
      <c r="O1227" s="384" t="s">
        <v>2345</v>
      </c>
    </row>
    <row r="1228" spans="1:15" x14ac:dyDescent="0.3">
      <c r="A1228" s="384" t="b">
        <v>0</v>
      </c>
      <c r="B1228" s="384"/>
      <c r="C1228" s="397" t="s">
        <v>3007</v>
      </c>
      <c r="D1228" s="389">
        <v>4</v>
      </c>
      <c r="E1228" s="386"/>
      <c r="F1228" s="388"/>
      <c r="G1228" s="387"/>
      <c r="H1228" s="387"/>
      <c r="I1228" s="388"/>
      <c r="J1228" s="388"/>
      <c r="K1228" s="384" t="str">
        <f ca="1">IFERROR(VLOOKUP(C1228,' Disaggregation - Section E '!A$7:J346,3,0),"")</f>
        <v>HIV I-9b⁽ᴹ⁾ Percentage of transgender people who are living with HIV</v>
      </c>
      <c r="L1228" s="388"/>
      <c r="M1228" s="384"/>
      <c r="N1228" s="384"/>
      <c r="O1228" s="384" t="s">
        <v>2345</v>
      </c>
    </row>
    <row r="1229" spans="1:15" x14ac:dyDescent="0.3">
      <c r="A1229" s="384" t="b">
        <v>0</v>
      </c>
      <c r="B1229" s="384"/>
      <c r="C1229" s="397" t="s">
        <v>3008</v>
      </c>
      <c r="D1229" s="389">
        <v>4</v>
      </c>
      <c r="E1229" s="386"/>
      <c r="F1229" s="388"/>
      <c r="G1229" s="387"/>
      <c r="H1229" s="387"/>
      <c r="I1229" s="388"/>
      <c r="J1229" s="388"/>
      <c r="K1229" s="384" t="str">
        <f ca="1">IFERROR(VLOOKUP(C1229,' Disaggregation - Section E '!A$7:J347,3,0),"")</f>
        <v>HIV I-9b⁽ᴹ⁾ Percentage of transgender people who are living with HIV</v>
      </c>
      <c r="L1229" s="388"/>
      <c r="M1229" s="384"/>
      <c r="N1229" s="384"/>
      <c r="O1229" s="384" t="s">
        <v>2345</v>
      </c>
    </row>
    <row r="1230" spans="1:15" x14ac:dyDescent="0.3">
      <c r="A1230" s="384" t="b">
        <v>0</v>
      </c>
      <c r="B1230" s="384"/>
      <c r="C1230" s="397" t="s">
        <v>3009</v>
      </c>
      <c r="D1230" s="389">
        <v>4</v>
      </c>
      <c r="E1230" s="386"/>
      <c r="F1230" s="388"/>
      <c r="G1230" s="387"/>
      <c r="H1230" s="387"/>
      <c r="I1230" s="388"/>
      <c r="J1230" s="388"/>
      <c r="K1230" s="384" t="str">
        <f ca="1">IFERROR(VLOOKUP(C1230,' Disaggregation - Section E '!A$7:J348,3,0),"")</f>
        <v>HIV I-9b⁽ᴹ⁾ Percentage of transgender people who are living with HIV</v>
      </c>
      <c r="L1230" s="388"/>
      <c r="M1230" s="384"/>
      <c r="N1230" s="384"/>
      <c r="O1230" s="384" t="s">
        <v>2345</v>
      </c>
    </row>
    <row r="1231" spans="1:15" x14ac:dyDescent="0.3">
      <c r="A1231" s="384" t="b">
        <v>0</v>
      </c>
      <c r="B1231" s="384"/>
      <c r="C1231" s="397" t="s">
        <v>3010</v>
      </c>
      <c r="D1231" s="389">
        <v>5</v>
      </c>
      <c r="E1231" s="386"/>
      <c r="F1231" s="388"/>
      <c r="G1231" s="387"/>
      <c r="H1231" s="387"/>
      <c r="I1231" s="388"/>
      <c r="J1231" s="388"/>
      <c r="K1231" s="384" t="str">
        <f ca="1">IFERROR(VLOOKUP(C1231,' Disaggregation - Section E '!A$7:J349,3,0),"")</f>
        <v>HIV I-11⁽ᴹ⁾ Percentage of people who inject drugs who are living with HIV</v>
      </c>
      <c r="L1231" s="388"/>
      <c r="M1231" s="384"/>
      <c r="N1231" s="384"/>
      <c r="O1231" s="384" t="s">
        <v>2352</v>
      </c>
    </row>
    <row r="1232" spans="1:15" x14ac:dyDescent="0.3">
      <c r="A1232" s="384" t="b">
        <v>0</v>
      </c>
      <c r="B1232" s="384"/>
      <c r="C1232" s="397" t="s">
        <v>3011</v>
      </c>
      <c r="D1232" s="389">
        <v>5</v>
      </c>
      <c r="E1232" s="386"/>
      <c r="F1232" s="388"/>
      <c r="G1232" s="387"/>
      <c r="H1232" s="387"/>
      <c r="I1232" s="388"/>
      <c r="J1232" s="388"/>
      <c r="K1232" s="384" t="str">
        <f ca="1">IFERROR(VLOOKUP(C1232,' Disaggregation - Section E '!A$7:J350,3,0),"")</f>
        <v>HIV I-11⁽ᴹ⁾ Percentage of people who inject drugs who are living with HIV</v>
      </c>
      <c r="L1232" s="388"/>
      <c r="M1232" s="384"/>
      <c r="N1232" s="384"/>
      <c r="O1232" s="384" t="s">
        <v>2352</v>
      </c>
    </row>
    <row r="1233" spans="1:15" x14ac:dyDescent="0.3">
      <c r="A1233" s="384" t="b">
        <v>0</v>
      </c>
      <c r="B1233" s="384"/>
      <c r="C1233" s="397" t="s">
        <v>3012</v>
      </c>
      <c r="D1233" s="389">
        <v>5</v>
      </c>
      <c r="E1233" s="386"/>
      <c r="F1233" s="388"/>
      <c r="G1233" s="387"/>
      <c r="H1233" s="387"/>
      <c r="I1233" s="388"/>
      <c r="J1233" s="388"/>
      <c r="K1233" s="384" t="str">
        <f ca="1">IFERROR(VLOOKUP(C1233,' Disaggregation - Section E '!A$7:J351,3,0),"")</f>
        <v>HIV I-11⁽ᴹ⁾ Percentage of people who inject drugs who are living with HIV</v>
      </c>
      <c r="L1233" s="388"/>
      <c r="M1233" s="384"/>
      <c r="N1233" s="384"/>
      <c r="O1233" s="384" t="s">
        <v>2352</v>
      </c>
    </row>
    <row r="1234" spans="1:15" x14ac:dyDescent="0.3">
      <c r="A1234" s="384" t="b">
        <v>0</v>
      </c>
      <c r="B1234" s="384"/>
      <c r="C1234" s="397" t="s">
        <v>3013</v>
      </c>
      <c r="D1234" s="389">
        <v>5</v>
      </c>
      <c r="E1234" s="386"/>
      <c r="F1234" s="388"/>
      <c r="G1234" s="387"/>
      <c r="H1234" s="387"/>
      <c r="I1234" s="388"/>
      <c r="J1234" s="388"/>
      <c r="K1234" s="384" t="str">
        <f ca="1">IFERROR(VLOOKUP(C1234,' Disaggregation - Section E '!A$7:J352,3,0),"")</f>
        <v>HIV I-11⁽ᴹ⁾ Percentage of people who inject drugs who are living with HIV</v>
      </c>
      <c r="L1234" s="388"/>
      <c r="M1234" s="384"/>
      <c r="N1234" s="384"/>
      <c r="O1234" s="384" t="s">
        <v>2352</v>
      </c>
    </row>
    <row r="1235" spans="1:15" x14ac:dyDescent="0.3">
      <c r="A1235" s="384" t="b">
        <v>0</v>
      </c>
      <c r="B1235" s="384"/>
      <c r="C1235" s="397" t="s">
        <v>3014</v>
      </c>
      <c r="D1235" s="389">
        <v>5</v>
      </c>
      <c r="E1235" s="386"/>
      <c r="F1235" s="388"/>
      <c r="G1235" s="387"/>
      <c r="H1235" s="387"/>
      <c r="I1235" s="388"/>
      <c r="J1235" s="388"/>
      <c r="K1235" s="384" t="str">
        <f ca="1">IFERROR(VLOOKUP(C1235,' Disaggregation - Section E '!A$7:J353,3,0),"")</f>
        <v>HIV I-11⁽ᴹ⁾ Percentage of people who inject drugs who are living with HIV</v>
      </c>
      <c r="L1235" s="388"/>
      <c r="M1235" s="384"/>
      <c r="N1235" s="384"/>
      <c r="O1235" s="384" t="s">
        <v>2352</v>
      </c>
    </row>
    <row r="1236" spans="1:15" x14ac:dyDescent="0.3">
      <c r="A1236" s="384" t="b">
        <v>0</v>
      </c>
      <c r="B1236" s="384"/>
      <c r="C1236" s="397" t="s">
        <v>3015</v>
      </c>
      <c r="D1236" s="389">
        <v>5</v>
      </c>
      <c r="E1236" s="386"/>
      <c r="F1236" s="388"/>
      <c r="G1236" s="387"/>
      <c r="H1236" s="387"/>
      <c r="I1236" s="388"/>
      <c r="J1236" s="388"/>
      <c r="K1236" s="384" t="str">
        <f ca="1">IFERROR(VLOOKUP(C1236,' Disaggregation - Section E '!A$7:J354,3,0),"")</f>
        <v>HIV I-11⁽ᴹ⁾ Percentage of people who inject drugs who are living with HIV</v>
      </c>
      <c r="L1236" s="388"/>
      <c r="M1236" s="384"/>
      <c r="N1236" s="384"/>
      <c r="O1236" s="384" t="s">
        <v>2352</v>
      </c>
    </row>
    <row r="1237" spans="1:15" x14ac:dyDescent="0.3">
      <c r="A1237" s="384" t="b">
        <v>0</v>
      </c>
      <c r="B1237" s="384"/>
      <c r="C1237" s="397" t="s">
        <v>3016</v>
      </c>
      <c r="D1237" s="389">
        <v>5</v>
      </c>
      <c r="E1237" s="386"/>
      <c r="F1237" s="388"/>
      <c r="G1237" s="387"/>
      <c r="H1237" s="387"/>
      <c r="I1237" s="388"/>
      <c r="J1237" s="388"/>
      <c r="K1237" s="384" t="str">
        <f ca="1">IFERROR(VLOOKUP(C1237,' Disaggregation - Section E '!A$7:J355,3,0),"")</f>
        <v>HIV I-11⁽ᴹ⁾ Percentage of people who inject drugs who are living with HIV</v>
      </c>
      <c r="L1237" s="388"/>
      <c r="M1237" s="384"/>
      <c r="N1237" s="384"/>
      <c r="O1237" s="384" t="s">
        <v>2352</v>
      </c>
    </row>
    <row r="1238" spans="1:15" x14ac:dyDescent="0.3">
      <c r="A1238" s="384" t="b">
        <v>0</v>
      </c>
      <c r="B1238" s="384"/>
      <c r="C1238" s="397" t="s">
        <v>3017</v>
      </c>
      <c r="D1238" s="389">
        <v>5</v>
      </c>
      <c r="E1238" s="386"/>
      <c r="F1238" s="388"/>
      <c r="G1238" s="387"/>
      <c r="H1238" s="387"/>
      <c r="I1238" s="388"/>
      <c r="J1238" s="388"/>
      <c r="K1238" s="384" t="str">
        <f ca="1">IFERROR(VLOOKUP(C1238,' Disaggregation - Section E '!A$7:J356,3,0),"")</f>
        <v>HIV I-11⁽ᴹ⁾ Percentage of people who inject drugs who are living with HIV</v>
      </c>
      <c r="L1238" s="388"/>
      <c r="M1238" s="384"/>
      <c r="N1238" s="384"/>
      <c r="O1238" s="384" t="s">
        <v>2352</v>
      </c>
    </row>
    <row r="1239" spans="1:15" x14ac:dyDescent="0.3">
      <c r="A1239" s="384" t="b">
        <v>0</v>
      </c>
      <c r="B1239" s="384"/>
      <c r="C1239" s="397" t="s">
        <v>3018</v>
      </c>
      <c r="D1239" s="389">
        <v>5</v>
      </c>
      <c r="E1239" s="386"/>
      <c r="F1239" s="388"/>
      <c r="G1239" s="387"/>
      <c r="H1239" s="387"/>
      <c r="I1239" s="388"/>
      <c r="J1239" s="388"/>
      <c r="K1239" s="384" t="str">
        <f ca="1">IFERROR(VLOOKUP(C1239,' Disaggregation - Section E '!A$7:J357,3,0),"")</f>
        <v>HIV I-11⁽ᴹ⁾ Percentage of people who inject drugs who are living with HIV</v>
      </c>
      <c r="L1239" s="388"/>
      <c r="M1239" s="384"/>
      <c r="N1239" s="384"/>
      <c r="O1239" s="384" t="s">
        <v>2352</v>
      </c>
    </row>
    <row r="1240" spans="1:15" x14ac:dyDescent="0.3">
      <c r="A1240" s="384" t="b">
        <v>0</v>
      </c>
      <c r="B1240" s="384"/>
      <c r="C1240" s="397" t="s">
        <v>3019</v>
      </c>
      <c r="D1240" s="389">
        <v>5</v>
      </c>
      <c r="E1240" s="386"/>
      <c r="F1240" s="388"/>
      <c r="G1240" s="387"/>
      <c r="H1240" s="387"/>
      <c r="I1240" s="388"/>
      <c r="J1240" s="388"/>
      <c r="K1240" s="384" t="str">
        <f ca="1">IFERROR(VLOOKUP(C1240,' Disaggregation - Section E '!A$7:J358,3,0),"")</f>
        <v>HIV I-11⁽ᴹ⁾ Percentage of people who inject drugs who are living with HIV</v>
      </c>
      <c r="L1240" s="388"/>
      <c r="M1240" s="384"/>
      <c r="N1240" s="384"/>
      <c r="O1240" s="384" t="s">
        <v>2352</v>
      </c>
    </row>
    <row r="1241" spans="1:15" x14ac:dyDescent="0.3">
      <c r="A1241" s="384" t="b">
        <v>0</v>
      </c>
      <c r="B1241" s="384"/>
      <c r="C1241" s="397" t="s">
        <v>3020</v>
      </c>
      <c r="D1241" s="389">
        <v>6</v>
      </c>
      <c r="E1241" s="386"/>
      <c r="F1241" s="388"/>
      <c r="G1241" s="387"/>
      <c r="H1241" s="387"/>
      <c r="I1241" s="388"/>
      <c r="J1241" s="388"/>
      <c r="K1241" s="384" t="str">
        <f ca="1">IFERROR(VLOOKUP(C1241,' Disaggregation - Section E '!A$7:J359,3,0),"")</f>
        <v/>
      </c>
      <c r="L1241" s="388"/>
      <c r="M1241" s="384"/>
      <c r="N1241" s="384"/>
      <c r="O1241" s="384" t="s">
        <v>2359</v>
      </c>
    </row>
    <row r="1242" spans="1:15" x14ac:dyDescent="0.3">
      <c r="A1242" s="384" t="b">
        <v>0</v>
      </c>
      <c r="B1242" s="384"/>
      <c r="C1242" s="397" t="s">
        <v>3021</v>
      </c>
      <c r="D1242" s="389">
        <v>6</v>
      </c>
      <c r="E1242" s="386"/>
      <c r="F1242" s="388"/>
      <c r="G1242" s="387"/>
      <c r="H1242" s="387"/>
      <c r="I1242" s="388"/>
      <c r="J1242" s="388"/>
      <c r="K1242" s="384" t="str">
        <f ca="1">IFERROR(VLOOKUP(C1242,' Disaggregation - Section E '!A$7:J360,3,0),"")</f>
        <v/>
      </c>
      <c r="L1242" s="388"/>
      <c r="M1242" s="384"/>
      <c r="N1242" s="384"/>
      <c r="O1242" s="384" t="s">
        <v>2359</v>
      </c>
    </row>
    <row r="1243" spans="1:15" x14ac:dyDescent="0.3">
      <c r="A1243" s="384" t="b">
        <v>0</v>
      </c>
      <c r="B1243" s="384"/>
      <c r="C1243" s="397" t="s">
        <v>3022</v>
      </c>
      <c r="D1243" s="389">
        <v>6</v>
      </c>
      <c r="E1243" s="386"/>
      <c r="F1243" s="388"/>
      <c r="G1243" s="387"/>
      <c r="H1243" s="387"/>
      <c r="I1243" s="388"/>
      <c r="J1243" s="388"/>
      <c r="K1243" s="384" t="str">
        <f ca="1">IFERROR(VLOOKUP(C1243,' Disaggregation - Section E '!A$7:J361,3,0),"")</f>
        <v/>
      </c>
      <c r="L1243" s="388"/>
      <c r="M1243" s="384"/>
      <c r="N1243" s="384"/>
      <c r="O1243" s="384" t="s">
        <v>2359</v>
      </c>
    </row>
    <row r="1244" spans="1:15" x14ac:dyDescent="0.3">
      <c r="A1244" s="384" t="b">
        <v>0</v>
      </c>
      <c r="B1244" s="384"/>
      <c r="C1244" s="397" t="s">
        <v>3023</v>
      </c>
      <c r="D1244" s="389">
        <v>6</v>
      </c>
      <c r="E1244" s="386"/>
      <c r="F1244" s="388"/>
      <c r="G1244" s="387"/>
      <c r="H1244" s="387"/>
      <c r="I1244" s="388"/>
      <c r="J1244" s="388"/>
      <c r="K1244" s="384" t="str">
        <f ca="1">IFERROR(VLOOKUP(C1244,' Disaggregation - Section E '!A$7:J362,3,0),"")</f>
        <v/>
      </c>
      <c r="L1244" s="388"/>
      <c r="M1244" s="384"/>
      <c r="N1244" s="384"/>
      <c r="O1244" s="384" t="s">
        <v>2359</v>
      </c>
    </row>
    <row r="1245" spans="1:15" x14ac:dyDescent="0.3">
      <c r="A1245" s="384" t="b">
        <v>0</v>
      </c>
      <c r="B1245" s="384"/>
      <c r="C1245" s="397" t="s">
        <v>3024</v>
      </c>
      <c r="D1245" s="389">
        <v>6</v>
      </c>
      <c r="E1245" s="386"/>
      <c r="F1245" s="388"/>
      <c r="G1245" s="387"/>
      <c r="H1245" s="387"/>
      <c r="I1245" s="388"/>
      <c r="J1245" s="388"/>
      <c r="K1245" s="384" t="str">
        <f ca="1">IFERROR(VLOOKUP(C1245,' Disaggregation - Section E '!A$7:J363,3,0),"")</f>
        <v/>
      </c>
      <c r="L1245" s="388"/>
      <c r="M1245" s="384"/>
      <c r="N1245" s="384"/>
      <c r="O1245" s="384" t="s">
        <v>2359</v>
      </c>
    </row>
    <row r="1246" spans="1:15" x14ac:dyDescent="0.3">
      <c r="A1246" s="384" t="b">
        <v>0</v>
      </c>
      <c r="B1246" s="384"/>
      <c r="C1246" s="397" t="s">
        <v>3025</v>
      </c>
      <c r="D1246" s="389">
        <v>6</v>
      </c>
      <c r="E1246" s="386"/>
      <c r="F1246" s="388"/>
      <c r="G1246" s="387"/>
      <c r="H1246" s="387"/>
      <c r="I1246" s="388"/>
      <c r="J1246" s="388"/>
      <c r="K1246" s="384" t="str">
        <f ca="1">IFERROR(VLOOKUP(C1246,' Disaggregation - Section E '!A$7:J364,3,0),"")</f>
        <v/>
      </c>
      <c r="L1246" s="388"/>
      <c r="M1246" s="384"/>
      <c r="N1246" s="384"/>
      <c r="O1246" s="384" t="s">
        <v>2359</v>
      </c>
    </row>
    <row r="1247" spans="1:15" x14ac:dyDescent="0.3">
      <c r="A1247" s="384" t="b">
        <v>0</v>
      </c>
      <c r="B1247" s="384"/>
      <c r="C1247" s="397" t="s">
        <v>3026</v>
      </c>
      <c r="D1247" s="389">
        <v>6</v>
      </c>
      <c r="E1247" s="386"/>
      <c r="F1247" s="388"/>
      <c r="G1247" s="387"/>
      <c r="H1247" s="387"/>
      <c r="I1247" s="388"/>
      <c r="J1247" s="388"/>
      <c r="K1247" s="384" t="str">
        <f ca="1">IFERROR(VLOOKUP(C1247,' Disaggregation - Section E '!A$7:J365,3,0),"")</f>
        <v/>
      </c>
      <c r="L1247" s="388"/>
      <c r="M1247" s="384"/>
      <c r="N1247" s="384"/>
      <c r="O1247" s="384" t="s">
        <v>2359</v>
      </c>
    </row>
    <row r="1248" spans="1:15" x14ac:dyDescent="0.3">
      <c r="A1248" s="384" t="b">
        <v>0</v>
      </c>
      <c r="B1248" s="384"/>
      <c r="C1248" s="397" t="s">
        <v>3027</v>
      </c>
      <c r="D1248" s="389">
        <v>6</v>
      </c>
      <c r="E1248" s="386"/>
      <c r="F1248" s="388"/>
      <c r="G1248" s="387"/>
      <c r="H1248" s="387"/>
      <c r="I1248" s="388"/>
      <c r="J1248" s="388"/>
      <c r="K1248" s="384" t="str">
        <f ca="1">IFERROR(VLOOKUP(C1248,' Disaggregation - Section E '!A$7:J366,3,0),"")</f>
        <v/>
      </c>
      <c r="L1248" s="388"/>
      <c r="M1248" s="384"/>
      <c r="N1248" s="384"/>
      <c r="O1248" s="384" t="s">
        <v>2359</v>
      </c>
    </row>
    <row r="1249" spans="1:15" x14ac:dyDescent="0.3">
      <c r="A1249" s="384" t="b">
        <v>0</v>
      </c>
      <c r="B1249" s="384"/>
      <c r="C1249" s="397" t="s">
        <v>3028</v>
      </c>
      <c r="D1249" s="389">
        <v>6</v>
      </c>
      <c r="E1249" s="386"/>
      <c r="F1249" s="388"/>
      <c r="G1249" s="387"/>
      <c r="H1249" s="387"/>
      <c r="I1249" s="388"/>
      <c r="J1249" s="388"/>
      <c r="K1249" s="384" t="str">
        <f ca="1">IFERROR(VLOOKUP(C1249,' Disaggregation - Section E '!A$7:J367,3,0),"")</f>
        <v/>
      </c>
      <c r="L1249" s="388"/>
      <c r="M1249" s="384"/>
      <c r="N1249" s="384"/>
      <c r="O1249" s="384" t="s">
        <v>2359</v>
      </c>
    </row>
    <row r="1250" spans="1:15" x14ac:dyDescent="0.3">
      <c r="A1250" s="384" t="b">
        <v>0</v>
      </c>
      <c r="B1250" s="384"/>
      <c r="C1250" s="397" t="s">
        <v>3029</v>
      </c>
      <c r="D1250" s="389">
        <v>6</v>
      </c>
      <c r="E1250" s="386"/>
      <c r="F1250" s="388"/>
      <c r="G1250" s="387"/>
      <c r="H1250" s="387"/>
      <c r="I1250" s="388"/>
      <c r="J1250" s="388"/>
      <c r="K1250" s="384" t="str">
        <f ca="1">IFERROR(VLOOKUP(C1250,' Disaggregation - Section E '!A$7:J368,3,0),"")</f>
        <v/>
      </c>
      <c r="L1250" s="388"/>
      <c r="M1250" s="384"/>
      <c r="N1250" s="384"/>
      <c r="O1250" s="384" t="s">
        <v>2359</v>
      </c>
    </row>
    <row r="1251" spans="1:15" x14ac:dyDescent="0.3">
      <c r="A1251" s="384" t="b">
        <v>0</v>
      </c>
      <c r="B1251" s="384"/>
      <c r="C1251" s="397" t="s">
        <v>3030</v>
      </c>
      <c r="D1251" s="389">
        <v>7</v>
      </c>
      <c r="E1251" s="386"/>
      <c r="F1251" s="388"/>
      <c r="G1251" s="387"/>
      <c r="H1251" s="387"/>
      <c r="I1251" s="388"/>
      <c r="J1251" s="388"/>
      <c r="K1251" s="384" t="str">
        <f ca="1">IFERROR(VLOOKUP(C1251,' Disaggregation - Section E '!A$7:J369,3,0),"")</f>
        <v/>
      </c>
      <c r="L1251" s="388"/>
      <c r="M1251" s="384"/>
      <c r="N1251" s="384"/>
      <c r="O1251" s="384" t="s">
        <v>2366</v>
      </c>
    </row>
    <row r="1252" spans="1:15" x14ac:dyDescent="0.3">
      <c r="A1252" s="384" t="b">
        <v>0</v>
      </c>
      <c r="B1252" s="384"/>
      <c r="C1252" s="397" t="s">
        <v>3031</v>
      </c>
      <c r="D1252" s="389">
        <v>7</v>
      </c>
      <c r="E1252" s="386"/>
      <c r="F1252" s="388"/>
      <c r="G1252" s="387"/>
      <c r="H1252" s="387"/>
      <c r="I1252" s="388"/>
      <c r="J1252" s="388"/>
      <c r="K1252" s="384" t="str">
        <f ca="1">IFERROR(VLOOKUP(C1252,' Disaggregation - Section E '!A$7:J370,3,0),"")</f>
        <v/>
      </c>
      <c r="L1252" s="388"/>
      <c r="M1252" s="384"/>
      <c r="N1252" s="384"/>
      <c r="O1252" s="384" t="s">
        <v>2366</v>
      </c>
    </row>
    <row r="1253" spans="1:15" x14ac:dyDescent="0.3">
      <c r="A1253" s="384" t="b">
        <v>0</v>
      </c>
      <c r="B1253" s="384"/>
      <c r="C1253" s="397" t="s">
        <v>3032</v>
      </c>
      <c r="D1253" s="389">
        <v>7</v>
      </c>
      <c r="E1253" s="386"/>
      <c r="F1253" s="388"/>
      <c r="G1253" s="387"/>
      <c r="H1253" s="387"/>
      <c r="I1253" s="388"/>
      <c r="J1253" s="388"/>
      <c r="K1253" s="384" t="str">
        <f ca="1">IFERROR(VLOOKUP(C1253,' Disaggregation - Section E '!A$7:J371,3,0),"")</f>
        <v/>
      </c>
      <c r="L1253" s="388"/>
      <c r="M1253" s="384"/>
      <c r="N1253" s="384"/>
      <c r="O1253" s="384" t="s">
        <v>2366</v>
      </c>
    </row>
    <row r="1254" spans="1:15" x14ac:dyDescent="0.3">
      <c r="A1254" s="384" t="b">
        <v>0</v>
      </c>
      <c r="B1254" s="384"/>
      <c r="C1254" s="397" t="s">
        <v>3033</v>
      </c>
      <c r="D1254" s="389">
        <v>7</v>
      </c>
      <c r="E1254" s="386"/>
      <c r="F1254" s="388"/>
      <c r="G1254" s="387"/>
      <c r="H1254" s="387"/>
      <c r="I1254" s="388"/>
      <c r="J1254" s="388"/>
      <c r="K1254" s="384" t="str">
        <f ca="1">IFERROR(VLOOKUP(C1254,' Disaggregation - Section E '!A$7:J372,3,0),"")</f>
        <v/>
      </c>
      <c r="L1254" s="388"/>
      <c r="M1254" s="384"/>
      <c r="N1254" s="384"/>
      <c r="O1254" s="384" t="s">
        <v>2366</v>
      </c>
    </row>
    <row r="1255" spans="1:15" x14ac:dyDescent="0.3">
      <c r="A1255" s="384" t="b">
        <v>0</v>
      </c>
      <c r="B1255" s="384"/>
      <c r="C1255" s="397" t="s">
        <v>3034</v>
      </c>
      <c r="D1255" s="389">
        <v>7</v>
      </c>
      <c r="E1255" s="386"/>
      <c r="F1255" s="388"/>
      <c r="G1255" s="387"/>
      <c r="H1255" s="387"/>
      <c r="I1255" s="388"/>
      <c r="J1255" s="388"/>
      <c r="K1255" s="384" t="str">
        <f ca="1">IFERROR(VLOOKUP(C1255,' Disaggregation - Section E '!A$7:J373,3,0),"")</f>
        <v/>
      </c>
      <c r="L1255" s="388"/>
      <c r="M1255" s="384"/>
      <c r="N1255" s="384"/>
      <c r="O1255" s="384" t="s">
        <v>2366</v>
      </c>
    </row>
    <row r="1256" spans="1:15" x14ac:dyDescent="0.3">
      <c r="A1256" s="384" t="b">
        <v>0</v>
      </c>
      <c r="B1256" s="384"/>
      <c r="C1256" s="397" t="s">
        <v>3035</v>
      </c>
      <c r="D1256" s="389">
        <v>7</v>
      </c>
      <c r="E1256" s="386"/>
      <c r="F1256" s="388"/>
      <c r="G1256" s="387"/>
      <c r="H1256" s="387"/>
      <c r="I1256" s="388"/>
      <c r="J1256" s="388"/>
      <c r="K1256" s="384" t="str">
        <f ca="1">IFERROR(VLOOKUP(C1256,' Disaggregation - Section E '!A$7:J374,3,0),"")</f>
        <v/>
      </c>
      <c r="L1256" s="388"/>
      <c r="M1256" s="384"/>
      <c r="N1256" s="384"/>
      <c r="O1256" s="384" t="s">
        <v>2366</v>
      </c>
    </row>
    <row r="1257" spans="1:15" x14ac:dyDescent="0.3">
      <c r="A1257" s="384" t="b">
        <v>0</v>
      </c>
      <c r="B1257" s="384"/>
      <c r="C1257" s="397" t="s">
        <v>3036</v>
      </c>
      <c r="D1257" s="389">
        <v>7</v>
      </c>
      <c r="E1257" s="386"/>
      <c r="F1257" s="388"/>
      <c r="G1257" s="387"/>
      <c r="H1257" s="387"/>
      <c r="I1257" s="388"/>
      <c r="J1257" s="388"/>
      <c r="K1257" s="384" t="str">
        <f ca="1">IFERROR(VLOOKUP(C1257,' Disaggregation - Section E '!A$7:J375,3,0),"")</f>
        <v/>
      </c>
      <c r="L1257" s="388"/>
      <c r="M1257" s="384"/>
      <c r="N1257" s="384"/>
      <c r="O1257" s="384" t="s">
        <v>2366</v>
      </c>
    </row>
    <row r="1258" spans="1:15" x14ac:dyDescent="0.3">
      <c r="A1258" s="384" t="b">
        <v>0</v>
      </c>
      <c r="B1258" s="384"/>
      <c r="C1258" s="397" t="s">
        <v>3037</v>
      </c>
      <c r="D1258" s="389">
        <v>7</v>
      </c>
      <c r="E1258" s="386"/>
      <c r="F1258" s="388"/>
      <c r="G1258" s="387"/>
      <c r="H1258" s="387"/>
      <c r="I1258" s="388"/>
      <c r="J1258" s="388"/>
      <c r="K1258" s="384" t="str">
        <f ca="1">IFERROR(VLOOKUP(C1258,' Disaggregation - Section E '!A$7:J376,3,0),"")</f>
        <v/>
      </c>
      <c r="L1258" s="388"/>
      <c r="M1258" s="384"/>
      <c r="N1258" s="384"/>
      <c r="O1258" s="384" t="s">
        <v>2366</v>
      </c>
    </row>
    <row r="1259" spans="1:15" x14ac:dyDescent="0.3">
      <c r="A1259" s="384" t="b">
        <v>0</v>
      </c>
      <c r="B1259" s="384"/>
      <c r="C1259" s="397" t="s">
        <v>3038</v>
      </c>
      <c r="D1259" s="389">
        <v>7</v>
      </c>
      <c r="E1259" s="386"/>
      <c r="F1259" s="388"/>
      <c r="G1259" s="387"/>
      <c r="H1259" s="387"/>
      <c r="I1259" s="388"/>
      <c r="J1259" s="388"/>
      <c r="K1259" s="384" t="str">
        <f ca="1">IFERROR(VLOOKUP(C1259,' Disaggregation - Section E '!A$7:J377,3,0),"")</f>
        <v/>
      </c>
      <c r="L1259" s="388"/>
      <c r="M1259" s="384"/>
      <c r="N1259" s="384"/>
      <c r="O1259" s="384" t="s">
        <v>2366</v>
      </c>
    </row>
    <row r="1260" spans="1:15" x14ac:dyDescent="0.3">
      <c r="A1260" s="384" t="b">
        <v>0</v>
      </c>
      <c r="B1260" s="384"/>
      <c r="C1260" s="397" t="s">
        <v>3039</v>
      </c>
      <c r="D1260" s="389">
        <v>7</v>
      </c>
      <c r="E1260" s="386"/>
      <c r="F1260" s="388"/>
      <c r="G1260" s="387"/>
      <c r="H1260" s="387"/>
      <c r="I1260" s="388"/>
      <c r="J1260" s="388"/>
      <c r="K1260" s="384" t="str">
        <f ca="1">IFERROR(VLOOKUP(C1260,' Disaggregation - Section E '!A$7:J378,3,0),"")</f>
        <v/>
      </c>
      <c r="L1260" s="388"/>
      <c r="M1260" s="384"/>
      <c r="N1260" s="384"/>
      <c r="O1260" s="384" t="s">
        <v>2366</v>
      </c>
    </row>
    <row r="1261" spans="1:15" x14ac:dyDescent="0.3">
      <c r="A1261" s="384" t="b">
        <v>0</v>
      </c>
      <c r="B1261" s="384"/>
      <c r="C1261" s="397" t="s">
        <v>3040</v>
      </c>
      <c r="D1261" s="389">
        <v>8</v>
      </c>
      <c r="E1261" s="386"/>
      <c r="F1261" s="388"/>
      <c r="G1261" s="387"/>
      <c r="H1261" s="387"/>
      <c r="I1261" s="388"/>
      <c r="J1261" s="388"/>
      <c r="K1261" s="384" t="str">
        <f ca="1">IFERROR(VLOOKUP(C1261,' Disaggregation - Section E '!A$7:J379,3,0),"")</f>
        <v/>
      </c>
      <c r="L1261" s="388"/>
      <c r="M1261" s="384"/>
      <c r="N1261" s="384"/>
      <c r="O1261" s="384" t="s">
        <v>2373</v>
      </c>
    </row>
    <row r="1262" spans="1:15" x14ac:dyDescent="0.3">
      <c r="A1262" s="384" t="b">
        <v>0</v>
      </c>
      <c r="B1262" s="384"/>
      <c r="C1262" s="397" t="s">
        <v>3041</v>
      </c>
      <c r="D1262" s="389">
        <v>8</v>
      </c>
      <c r="E1262" s="386"/>
      <c r="F1262" s="388"/>
      <c r="G1262" s="387"/>
      <c r="H1262" s="387"/>
      <c r="I1262" s="388"/>
      <c r="J1262" s="388"/>
      <c r="K1262" s="384" t="str">
        <f ca="1">IFERROR(VLOOKUP(C1262,' Disaggregation - Section E '!A$7:J380,3,0),"")</f>
        <v/>
      </c>
      <c r="L1262" s="388"/>
      <c r="M1262" s="384"/>
      <c r="N1262" s="384"/>
      <c r="O1262" s="384" t="s">
        <v>2373</v>
      </c>
    </row>
    <row r="1263" spans="1:15" x14ac:dyDescent="0.3">
      <c r="A1263" s="384" t="b">
        <v>0</v>
      </c>
      <c r="B1263" s="384"/>
      <c r="C1263" s="397" t="s">
        <v>3042</v>
      </c>
      <c r="D1263" s="389">
        <v>8</v>
      </c>
      <c r="E1263" s="386"/>
      <c r="F1263" s="388"/>
      <c r="G1263" s="387"/>
      <c r="H1263" s="387"/>
      <c r="I1263" s="388"/>
      <c r="J1263" s="388"/>
      <c r="K1263" s="384" t="str">
        <f ca="1">IFERROR(VLOOKUP(C1263,' Disaggregation - Section E '!A$7:J381,3,0),"")</f>
        <v/>
      </c>
      <c r="L1263" s="388"/>
      <c r="M1263" s="384"/>
      <c r="N1263" s="384"/>
      <c r="O1263" s="384" t="s">
        <v>2373</v>
      </c>
    </row>
    <row r="1264" spans="1:15" x14ac:dyDescent="0.3">
      <c r="A1264" s="384" t="b">
        <v>0</v>
      </c>
      <c r="B1264" s="384"/>
      <c r="C1264" s="397" t="s">
        <v>3043</v>
      </c>
      <c r="D1264" s="389">
        <v>8</v>
      </c>
      <c r="E1264" s="386"/>
      <c r="F1264" s="388"/>
      <c r="G1264" s="387"/>
      <c r="H1264" s="387"/>
      <c r="I1264" s="388"/>
      <c r="J1264" s="388"/>
      <c r="K1264" s="384" t="str">
        <f ca="1">IFERROR(VLOOKUP(C1264,' Disaggregation - Section E '!A$7:J382,3,0),"")</f>
        <v/>
      </c>
      <c r="L1264" s="388"/>
      <c r="M1264" s="384"/>
      <c r="N1264" s="384"/>
      <c r="O1264" s="384" t="s">
        <v>2373</v>
      </c>
    </row>
    <row r="1265" spans="1:15" x14ac:dyDescent="0.3">
      <c r="A1265" s="384" t="b">
        <v>0</v>
      </c>
      <c r="B1265" s="384"/>
      <c r="C1265" s="397" t="s">
        <v>3044</v>
      </c>
      <c r="D1265" s="389">
        <v>8</v>
      </c>
      <c r="E1265" s="386"/>
      <c r="F1265" s="388"/>
      <c r="G1265" s="387"/>
      <c r="H1265" s="387"/>
      <c r="I1265" s="388"/>
      <c r="J1265" s="388"/>
      <c r="K1265" s="384" t="str">
        <f ca="1">IFERROR(VLOOKUP(C1265,' Disaggregation - Section E '!A$7:J383,3,0),"")</f>
        <v/>
      </c>
      <c r="L1265" s="388"/>
      <c r="M1265" s="384"/>
      <c r="N1265" s="384"/>
      <c r="O1265" s="384" t="s">
        <v>2373</v>
      </c>
    </row>
    <row r="1266" spans="1:15" x14ac:dyDescent="0.3">
      <c r="A1266" s="384" t="b">
        <v>0</v>
      </c>
      <c r="B1266" s="384"/>
      <c r="C1266" s="397" t="s">
        <v>3045</v>
      </c>
      <c r="D1266" s="389">
        <v>8</v>
      </c>
      <c r="E1266" s="386"/>
      <c r="F1266" s="388"/>
      <c r="G1266" s="387"/>
      <c r="H1266" s="387"/>
      <c r="I1266" s="388"/>
      <c r="J1266" s="388"/>
      <c r="K1266" s="384" t="str">
        <f ca="1">IFERROR(VLOOKUP(C1266,' Disaggregation - Section E '!A$7:J384,3,0),"")</f>
        <v/>
      </c>
      <c r="L1266" s="388"/>
      <c r="M1266" s="384"/>
      <c r="N1266" s="384"/>
      <c r="O1266" s="384" t="s">
        <v>2373</v>
      </c>
    </row>
    <row r="1267" spans="1:15" x14ac:dyDescent="0.3">
      <c r="A1267" s="384" t="b">
        <v>0</v>
      </c>
      <c r="B1267" s="384"/>
      <c r="C1267" s="397" t="s">
        <v>3046</v>
      </c>
      <c r="D1267" s="389">
        <v>8</v>
      </c>
      <c r="E1267" s="386"/>
      <c r="F1267" s="388"/>
      <c r="G1267" s="387"/>
      <c r="H1267" s="387"/>
      <c r="I1267" s="388"/>
      <c r="J1267" s="388"/>
      <c r="K1267" s="384" t="str">
        <f ca="1">IFERROR(VLOOKUP(C1267,' Disaggregation - Section E '!A$7:J385,3,0),"")</f>
        <v/>
      </c>
      <c r="L1267" s="388"/>
      <c r="M1267" s="384"/>
      <c r="N1267" s="384"/>
      <c r="O1267" s="384" t="s">
        <v>2373</v>
      </c>
    </row>
    <row r="1268" spans="1:15" x14ac:dyDescent="0.3">
      <c r="A1268" s="384" t="b">
        <v>0</v>
      </c>
      <c r="B1268" s="384"/>
      <c r="C1268" s="397" t="s">
        <v>3047</v>
      </c>
      <c r="D1268" s="389">
        <v>8</v>
      </c>
      <c r="E1268" s="386"/>
      <c r="F1268" s="388"/>
      <c r="G1268" s="387"/>
      <c r="H1268" s="387"/>
      <c r="I1268" s="388"/>
      <c r="J1268" s="388"/>
      <c r="K1268" s="384" t="str">
        <f ca="1">IFERROR(VLOOKUP(C1268,' Disaggregation - Section E '!A$7:J386,3,0),"")</f>
        <v/>
      </c>
      <c r="L1268" s="388"/>
      <c r="M1268" s="384"/>
      <c r="N1268" s="384"/>
      <c r="O1268" s="384" t="s">
        <v>2373</v>
      </c>
    </row>
    <row r="1269" spans="1:15" x14ac:dyDescent="0.3">
      <c r="A1269" s="384" t="b">
        <v>0</v>
      </c>
      <c r="B1269" s="384"/>
      <c r="C1269" s="397" t="s">
        <v>3048</v>
      </c>
      <c r="D1269" s="389">
        <v>8</v>
      </c>
      <c r="E1269" s="386"/>
      <c r="F1269" s="388"/>
      <c r="G1269" s="387"/>
      <c r="H1269" s="387"/>
      <c r="I1269" s="388"/>
      <c r="J1269" s="388"/>
      <c r="K1269" s="384" t="str">
        <f ca="1">IFERROR(VLOOKUP(C1269,' Disaggregation - Section E '!A$7:J387,3,0),"")</f>
        <v/>
      </c>
      <c r="L1269" s="388"/>
      <c r="M1269" s="384"/>
      <c r="N1269" s="384"/>
      <c r="O1269" s="384" t="s">
        <v>2373</v>
      </c>
    </row>
    <row r="1270" spans="1:15" x14ac:dyDescent="0.3">
      <c r="A1270" s="384" t="b">
        <v>0</v>
      </c>
      <c r="B1270" s="384"/>
      <c r="C1270" s="397" t="s">
        <v>3049</v>
      </c>
      <c r="D1270" s="389">
        <v>8</v>
      </c>
      <c r="E1270" s="386"/>
      <c r="F1270" s="388"/>
      <c r="G1270" s="387"/>
      <c r="H1270" s="387"/>
      <c r="I1270" s="388"/>
      <c r="J1270" s="388"/>
      <c r="K1270" s="384" t="str">
        <f ca="1">IFERROR(VLOOKUP(C1270,' Disaggregation - Section E '!A$7:J388,3,0),"")</f>
        <v/>
      </c>
      <c r="L1270" s="388"/>
      <c r="M1270" s="384"/>
      <c r="N1270" s="384"/>
      <c r="O1270" s="384" t="s">
        <v>2373</v>
      </c>
    </row>
    <row r="1271" spans="1:15" x14ac:dyDescent="0.3">
      <c r="A1271" s="384" t="b">
        <v>0</v>
      </c>
      <c r="B1271" s="384"/>
      <c r="C1271" s="397" t="s">
        <v>3050</v>
      </c>
      <c r="D1271" s="389">
        <v>9</v>
      </c>
      <c r="E1271" s="386"/>
      <c r="F1271" s="388"/>
      <c r="G1271" s="387"/>
      <c r="H1271" s="387"/>
      <c r="I1271" s="388"/>
      <c r="J1271" s="388"/>
      <c r="K1271" s="384" t="str">
        <f ca="1">IFERROR(VLOOKUP(C1271,' Disaggregation - Section E '!A$7:J389,3,0),"")</f>
        <v/>
      </c>
      <c r="L1271" s="388"/>
      <c r="M1271" s="384"/>
      <c r="N1271" s="384"/>
      <c r="O1271" s="384" t="s">
        <v>2380</v>
      </c>
    </row>
    <row r="1272" spans="1:15" x14ac:dyDescent="0.3">
      <c r="A1272" s="384" t="b">
        <v>0</v>
      </c>
      <c r="B1272" s="384"/>
      <c r="C1272" s="397" t="s">
        <v>3051</v>
      </c>
      <c r="D1272" s="389">
        <v>9</v>
      </c>
      <c r="E1272" s="386"/>
      <c r="F1272" s="388"/>
      <c r="G1272" s="387"/>
      <c r="H1272" s="387"/>
      <c r="I1272" s="388"/>
      <c r="J1272" s="388"/>
      <c r="K1272" s="384" t="str">
        <f ca="1">IFERROR(VLOOKUP(C1272,' Disaggregation - Section E '!A$7:J390,3,0),"")</f>
        <v/>
      </c>
      <c r="L1272" s="388"/>
      <c r="M1272" s="384"/>
      <c r="N1272" s="384"/>
      <c r="O1272" s="384" t="s">
        <v>2380</v>
      </c>
    </row>
    <row r="1273" spans="1:15" x14ac:dyDescent="0.3">
      <c r="A1273" s="384" t="b">
        <v>0</v>
      </c>
      <c r="B1273" s="384"/>
      <c r="C1273" s="397" t="s">
        <v>3052</v>
      </c>
      <c r="D1273" s="389">
        <v>9</v>
      </c>
      <c r="E1273" s="386"/>
      <c r="F1273" s="388"/>
      <c r="G1273" s="387"/>
      <c r="H1273" s="387"/>
      <c r="I1273" s="388"/>
      <c r="J1273" s="388"/>
      <c r="K1273" s="384" t="str">
        <f ca="1">IFERROR(VLOOKUP(C1273,' Disaggregation - Section E '!A$7:J391,3,0),"")</f>
        <v/>
      </c>
      <c r="L1273" s="388"/>
      <c r="M1273" s="384"/>
      <c r="N1273" s="384"/>
      <c r="O1273" s="384" t="s">
        <v>2380</v>
      </c>
    </row>
    <row r="1274" spans="1:15" x14ac:dyDescent="0.3">
      <c r="A1274" s="384" t="b">
        <v>0</v>
      </c>
      <c r="B1274" s="384"/>
      <c r="C1274" s="397" t="s">
        <v>3053</v>
      </c>
      <c r="D1274" s="389">
        <v>9</v>
      </c>
      <c r="E1274" s="386"/>
      <c r="F1274" s="388"/>
      <c r="G1274" s="387"/>
      <c r="H1274" s="387"/>
      <c r="I1274" s="388"/>
      <c r="J1274" s="388"/>
      <c r="K1274" s="384" t="str">
        <f ca="1">IFERROR(VLOOKUP(C1274,' Disaggregation - Section E '!A$7:J392,3,0),"")</f>
        <v/>
      </c>
      <c r="L1274" s="388"/>
      <c r="M1274" s="384"/>
      <c r="N1274" s="384"/>
      <c r="O1274" s="384" t="s">
        <v>2380</v>
      </c>
    </row>
    <row r="1275" spans="1:15" x14ac:dyDescent="0.3">
      <c r="A1275" s="384" t="b">
        <v>0</v>
      </c>
      <c r="B1275" s="384"/>
      <c r="C1275" s="397" t="s">
        <v>3054</v>
      </c>
      <c r="D1275" s="389">
        <v>9</v>
      </c>
      <c r="E1275" s="386"/>
      <c r="F1275" s="388"/>
      <c r="G1275" s="387"/>
      <c r="H1275" s="387"/>
      <c r="I1275" s="388"/>
      <c r="J1275" s="388"/>
      <c r="K1275" s="384" t="str">
        <f ca="1">IFERROR(VLOOKUP(C1275,' Disaggregation - Section E '!A$7:J393,3,0),"")</f>
        <v/>
      </c>
      <c r="L1275" s="388"/>
      <c r="M1275" s="384"/>
      <c r="N1275" s="384"/>
      <c r="O1275" s="384" t="s">
        <v>2380</v>
      </c>
    </row>
    <row r="1276" spans="1:15" x14ac:dyDescent="0.3">
      <c r="A1276" s="384" t="b">
        <v>0</v>
      </c>
      <c r="B1276" s="384"/>
      <c r="C1276" s="397" t="s">
        <v>3055</v>
      </c>
      <c r="D1276" s="389">
        <v>9</v>
      </c>
      <c r="E1276" s="386"/>
      <c r="F1276" s="388"/>
      <c r="G1276" s="387"/>
      <c r="H1276" s="387"/>
      <c r="I1276" s="388"/>
      <c r="J1276" s="388"/>
      <c r="K1276" s="384" t="str">
        <f ca="1">IFERROR(VLOOKUP(C1276,' Disaggregation - Section E '!A$7:J394,3,0),"")</f>
        <v/>
      </c>
      <c r="L1276" s="388"/>
      <c r="M1276" s="384"/>
      <c r="N1276" s="384"/>
      <c r="O1276" s="384" t="s">
        <v>2380</v>
      </c>
    </row>
    <row r="1277" spans="1:15" x14ac:dyDescent="0.3">
      <c r="A1277" s="384" t="b">
        <v>0</v>
      </c>
      <c r="B1277" s="384"/>
      <c r="C1277" s="397" t="s">
        <v>3056</v>
      </c>
      <c r="D1277" s="389">
        <v>9</v>
      </c>
      <c r="E1277" s="386"/>
      <c r="F1277" s="388"/>
      <c r="G1277" s="387"/>
      <c r="H1277" s="387"/>
      <c r="I1277" s="388"/>
      <c r="J1277" s="388"/>
      <c r="K1277" s="384" t="str">
        <f ca="1">IFERROR(VLOOKUP(C1277,' Disaggregation - Section E '!A$7:J395,3,0),"")</f>
        <v/>
      </c>
      <c r="L1277" s="388"/>
      <c r="M1277" s="384"/>
      <c r="N1277" s="384"/>
      <c r="O1277" s="384" t="s">
        <v>2380</v>
      </c>
    </row>
    <row r="1278" spans="1:15" x14ac:dyDescent="0.3">
      <c r="A1278" s="384" t="b">
        <v>0</v>
      </c>
      <c r="B1278" s="384"/>
      <c r="C1278" s="397" t="s">
        <v>3057</v>
      </c>
      <c r="D1278" s="389">
        <v>9</v>
      </c>
      <c r="E1278" s="386"/>
      <c r="F1278" s="388"/>
      <c r="G1278" s="387"/>
      <c r="H1278" s="387"/>
      <c r="I1278" s="388"/>
      <c r="J1278" s="388"/>
      <c r="K1278" s="384" t="str">
        <f ca="1">IFERROR(VLOOKUP(C1278,' Disaggregation - Section E '!A$7:J396,3,0),"")</f>
        <v/>
      </c>
      <c r="L1278" s="388"/>
      <c r="M1278" s="384"/>
      <c r="N1278" s="384"/>
      <c r="O1278" s="384" t="s">
        <v>2380</v>
      </c>
    </row>
    <row r="1279" spans="1:15" x14ac:dyDescent="0.3">
      <c r="A1279" s="384" t="b">
        <v>0</v>
      </c>
      <c r="B1279" s="384"/>
      <c r="C1279" s="397" t="s">
        <v>3058</v>
      </c>
      <c r="D1279" s="389">
        <v>9</v>
      </c>
      <c r="E1279" s="386"/>
      <c r="F1279" s="388"/>
      <c r="G1279" s="387"/>
      <c r="H1279" s="387"/>
      <c r="I1279" s="388"/>
      <c r="J1279" s="388"/>
      <c r="K1279" s="384" t="str">
        <f ca="1">IFERROR(VLOOKUP(C1279,' Disaggregation - Section E '!A$7:J397,3,0),"")</f>
        <v/>
      </c>
      <c r="L1279" s="388"/>
      <c r="M1279" s="384"/>
      <c r="N1279" s="384"/>
      <c r="O1279" s="384" t="s">
        <v>2380</v>
      </c>
    </row>
    <row r="1280" spans="1:15" x14ac:dyDescent="0.3">
      <c r="A1280" s="384" t="b">
        <v>0</v>
      </c>
      <c r="B1280" s="384"/>
      <c r="C1280" s="397" t="s">
        <v>3059</v>
      </c>
      <c r="D1280" s="389">
        <v>9</v>
      </c>
      <c r="E1280" s="386"/>
      <c r="F1280" s="388"/>
      <c r="G1280" s="387"/>
      <c r="H1280" s="387"/>
      <c r="I1280" s="388"/>
      <c r="J1280" s="388"/>
      <c r="K1280" s="384" t="str">
        <f ca="1">IFERROR(VLOOKUP(C1280,' Disaggregation - Section E '!A$7:J398,3,0),"")</f>
        <v/>
      </c>
      <c r="L1280" s="388"/>
      <c r="M1280" s="384"/>
      <c r="N1280" s="384"/>
      <c r="O1280" s="384" t="s">
        <v>2380</v>
      </c>
    </row>
    <row r="1281" spans="1:15" x14ac:dyDescent="0.3">
      <c r="A1281" s="384" t="b">
        <v>0</v>
      </c>
      <c r="B1281" s="384"/>
      <c r="C1281" s="397" t="s">
        <v>3060</v>
      </c>
      <c r="D1281" s="389">
        <v>10</v>
      </c>
      <c r="E1281" s="386"/>
      <c r="F1281" s="388"/>
      <c r="G1281" s="387"/>
      <c r="H1281" s="387"/>
      <c r="I1281" s="388"/>
      <c r="J1281" s="388"/>
      <c r="K1281" s="384" t="str">
        <f ca="1">IFERROR(VLOOKUP(C1281,' Disaggregation - Section E '!A$7:J399,3,0),"")</f>
        <v/>
      </c>
      <c r="L1281" s="388"/>
      <c r="M1281" s="384"/>
      <c r="N1281" s="384"/>
      <c r="O1281" s="384" t="s">
        <v>2387</v>
      </c>
    </row>
    <row r="1282" spans="1:15" x14ac:dyDescent="0.3">
      <c r="A1282" s="384" t="b">
        <v>0</v>
      </c>
      <c r="B1282" s="384"/>
      <c r="C1282" s="397" t="s">
        <v>3061</v>
      </c>
      <c r="D1282" s="389">
        <v>10</v>
      </c>
      <c r="E1282" s="386"/>
      <c r="F1282" s="388"/>
      <c r="G1282" s="387"/>
      <c r="H1282" s="387"/>
      <c r="I1282" s="388"/>
      <c r="J1282" s="388"/>
      <c r="K1282" s="384" t="str">
        <f ca="1">IFERROR(VLOOKUP(C1282,' Disaggregation - Section E '!A$7:J400,3,0),"")</f>
        <v/>
      </c>
      <c r="L1282" s="388"/>
      <c r="M1282" s="384"/>
      <c r="N1282" s="384"/>
      <c r="O1282" s="384" t="s">
        <v>2387</v>
      </c>
    </row>
    <row r="1283" spans="1:15" x14ac:dyDescent="0.3">
      <c r="A1283" s="384" t="b">
        <v>0</v>
      </c>
      <c r="B1283" s="384"/>
      <c r="C1283" s="397" t="s">
        <v>3062</v>
      </c>
      <c r="D1283" s="389">
        <v>10</v>
      </c>
      <c r="E1283" s="386"/>
      <c r="F1283" s="388"/>
      <c r="G1283" s="387"/>
      <c r="H1283" s="387"/>
      <c r="I1283" s="388"/>
      <c r="J1283" s="388"/>
      <c r="K1283" s="384" t="str">
        <f ca="1">IFERROR(VLOOKUP(C1283,' Disaggregation - Section E '!A$7:J401,3,0),"")</f>
        <v/>
      </c>
      <c r="L1283" s="388"/>
      <c r="M1283" s="384"/>
      <c r="N1283" s="384"/>
      <c r="O1283" s="384" t="s">
        <v>2387</v>
      </c>
    </row>
    <row r="1284" spans="1:15" x14ac:dyDescent="0.3">
      <c r="A1284" s="384" t="b">
        <v>0</v>
      </c>
      <c r="B1284" s="384"/>
      <c r="C1284" s="397" t="s">
        <v>3063</v>
      </c>
      <c r="D1284" s="389">
        <v>10</v>
      </c>
      <c r="E1284" s="386"/>
      <c r="F1284" s="388"/>
      <c r="G1284" s="387"/>
      <c r="H1284" s="387"/>
      <c r="I1284" s="388"/>
      <c r="J1284" s="388"/>
      <c r="K1284" s="384" t="str">
        <f ca="1">IFERROR(VLOOKUP(C1284,' Disaggregation - Section E '!A$7:J402,3,0),"")</f>
        <v/>
      </c>
      <c r="L1284" s="388"/>
      <c r="M1284" s="384"/>
      <c r="N1284" s="384"/>
      <c r="O1284" s="384" t="s">
        <v>2387</v>
      </c>
    </row>
    <row r="1285" spans="1:15" x14ac:dyDescent="0.3">
      <c r="A1285" s="384" t="b">
        <v>0</v>
      </c>
      <c r="B1285" s="384"/>
      <c r="C1285" s="397" t="s">
        <v>3064</v>
      </c>
      <c r="D1285" s="389">
        <v>10</v>
      </c>
      <c r="E1285" s="386"/>
      <c r="F1285" s="388"/>
      <c r="G1285" s="387"/>
      <c r="H1285" s="387"/>
      <c r="I1285" s="388"/>
      <c r="J1285" s="388"/>
      <c r="K1285" s="384" t="str">
        <f ca="1">IFERROR(VLOOKUP(C1285,' Disaggregation - Section E '!A$7:J403,3,0),"")</f>
        <v/>
      </c>
      <c r="L1285" s="388"/>
      <c r="M1285" s="384"/>
      <c r="N1285" s="384"/>
      <c r="O1285" s="384" t="s">
        <v>2387</v>
      </c>
    </row>
    <row r="1286" spans="1:15" x14ac:dyDescent="0.3">
      <c r="A1286" s="384" t="b">
        <v>0</v>
      </c>
      <c r="B1286" s="384"/>
      <c r="C1286" s="397" t="s">
        <v>3065</v>
      </c>
      <c r="D1286" s="389">
        <v>10</v>
      </c>
      <c r="E1286" s="386"/>
      <c r="F1286" s="388"/>
      <c r="G1286" s="387"/>
      <c r="H1286" s="387"/>
      <c r="I1286" s="388"/>
      <c r="J1286" s="388"/>
      <c r="K1286" s="384" t="str">
        <f ca="1">IFERROR(VLOOKUP(C1286,' Disaggregation - Section E '!A$7:J404,3,0),"")</f>
        <v/>
      </c>
      <c r="L1286" s="388"/>
      <c r="M1286" s="384"/>
      <c r="N1286" s="384"/>
      <c r="O1286" s="384" t="s">
        <v>2387</v>
      </c>
    </row>
    <row r="1287" spans="1:15" x14ac:dyDescent="0.3">
      <c r="A1287" s="384" t="b">
        <v>0</v>
      </c>
      <c r="B1287" s="384"/>
      <c r="C1287" s="397" t="s">
        <v>3066</v>
      </c>
      <c r="D1287" s="389">
        <v>10</v>
      </c>
      <c r="E1287" s="386"/>
      <c r="F1287" s="388"/>
      <c r="G1287" s="387"/>
      <c r="H1287" s="387"/>
      <c r="I1287" s="388"/>
      <c r="J1287" s="388"/>
      <c r="K1287" s="384" t="str">
        <f ca="1">IFERROR(VLOOKUP(C1287,' Disaggregation - Section E '!A$7:J405,3,0),"")</f>
        <v/>
      </c>
      <c r="L1287" s="388"/>
      <c r="M1287" s="384"/>
      <c r="N1287" s="384"/>
      <c r="O1287" s="384" t="s">
        <v>2387</v>
      </c>
    </row>
    <row r="1288" spans="1:15" x14ac:dyDescent="0.3">
      <c r="A1288" s="384" t="b">
        <v>0</v>
      </c>
      <c r="B1288" s="384"/>
      <c r="C1288" s="397" t="s">
        <v>3067</v>
      </c>
      <c r="D1288" s="389">
        <v>10</v>
      </c>
      <c r="E1288" s="386"/>
      <c r="F1288" s="388"/>
      <c r="G1288" s="387"/>
      <c r="H1288" s="387"/>
      <c r="I1288" s="388"/>
      <c r="J1288" s="388"/>
      <c r="K1288" s="384" t="str">
        <f ca="1">IFERROR(VLOOKUP(C1288,' Disaggregation - Section E '!A$7:J406,3,0),"")</f>
        <v/>
      </c>
      <c r="L1288" s="388"/>
      <c r="M1288" s="384"/>
      <c r="N1288" s="384"/>
      <c r="O1288" s="384" t="s">
        <v>2387</v>
      </c>
    </row>
    <row r="1289" spans="1:15" x14ac:dyDescent="0.3">
      <c r="A1289" s="384" t="b">
        <v>0</v>
      </c>
      <c r="B1289" s="384"/>
      <c r="C1289" s="397" t="s">
        <v>3068</v>
      </c>
      <c r="D1289" s="389">
        <v>10</v>
      </c>
      <c r="E1289" s="386"/>
      <c r="F1289" s="388"/>
      <c r="G1289" s="387"/>
      <c r="H1289" s="387"/>
      <c r="I1289" s="388"/>
      <c r="J1289" s="388"/>
      <c r="K1289" s="384" t="str">
        <f ca="1">IFERROR(VLOOKUP(C1289,' Disaggregation - Section E '!A$7:J407,3,0),"")</f>
        <v/>
      </c>
      <c r="L1289" s="388"/>
      <c r="M1289" s="384"/>
      <c r="N1289" s="384"/>
      <c r="O1289" s="384" t="s">
        <v>2387</v>
      </c>
    </row>
    <row r="1290" spans="1:15" x14ac:dyDescent="0.3">
      <c r="A1290" s="384" t="b">
        <v>0</v>
      </c>
      <c r="B1290" s="384"/>
      <c r="C1290" s="397" t="s">
        <v>3069</v>
      </c>
      <c r="D1290" s="389">
        <v>10</v>
      </c>
      <c r="E1290" s="386"/>
      <c r="F1290" s="388"/>
      <c r="G1290" s="387"/>
      <c r="H1290" s="387"/>
      <c r="I1290" s="388"/>
      <c r="J1290" s="388"/>
      <c r="K1290" s="384" t="str">
        <f ca="1">IFERROR(VLOOKUP(C1290,' Disaggregation - Section E '!A$7:J408,3,0),"")</f>
        <v/>
      </c>
      <c r="L1290" s="388"/>
      <c r="M1290" s="384"/>
      <c r="N1290" s="384"/>
      <c r="O1290" s="384" t="s">
        <v>2387</v>
      </c>
    </row>
    <row r="1291" spans="1:15" x14ac:dyDescent="0.3">
      <c r="A1291" s="384" t="b">
        <v>0</v>
      </c>
      <c r="B1291" s="384"/>
      <c r="C1291" s="397" t="s">
        <v>3070</v>
      </c>
      <c r="D1291" s="389">
        <v>11</v>
      </c>
      <c r="E1291" s="386"/>
      <c r="F1291" s="388"/>
      <c r="G1291" s="387"/>
      <c r="H1291" s="387"/>
      <c r="I1291" s="388"/>
      <c r="J1291" s="388"/>
      <c r="K1291" s="384" t="str">
        <f ca="1">IFERROR(VLOOKUP(C1291,' Disaggregation - Section E '!A$7:J409,3,0),"")</f>
        <v/>
      </c>
      <c r="L1291" s="388"/>
      <c r="M1291" s="384"/>
      <c r="N1291" s="384"/>
      <c r="O1291" s="384" t="s">
        <v>2394</v>
      </c>
    </row>
    <row r="1292" spans="1:15" x14ac:dyDescent="0.3">
      <c r="A1292" s="384" t="b">
        <v>0</v>
      </c>
      <c r="B1292" s="384"/>
      <c r="C1292" s="397" t="s">
        <v>3071</v>
      </c>
      <c r="D1292" s="389">
        <v>11</v>
      </c>
      <c r="E1292" s="386"/>
      <c r="F1292" s="388"/>
      <c r="G1292" s="387"/>
      <c r="H1292" s="387"/>
      <c r="I1292" s="388"/>
      <c r="J1292" s="388"/>
      <c r="K1292" s="384" t="str">
        <f ca="1">IFERROR(VLOOKUP(C1292,' Disaggregation - Section E '!A$7:J410,3,0),"")</f>
        <v/>
      </c>
      <c r="L1292" s="388"/>
      <c r="M1292" s="384"/>
      <c r="N1292" s="384"/>
      <c r="O1292" s="384" t="s">
        <v>2394</v>
      </c>
    </row>
    <row r="1293" spans="1:15" x14ac:dyDescent="0.3">
      <c r="A1293" s="384" t="b">
        <v>0</v>
      </c>
      <c r="B1293" s="384"/>
      <c r="C1293" s="397" t="s">
        <v>3072</v>
      </c>
      <c r="D1293" s="389">
        <v>11</v>
      </c>
      <c r="E1293" s="386"/>
      <c r="F1293" s="388"/>
      <c r="G1293" s="387"/>
      <c r="H1293" s="387"/>
      <c r="I1293" s="388"/>
      <c r="J1293" s="388"/>
      <c r="K1293" s="384" t="str">
        <f ca="1">IFERROR(VLOOKUP(C1293,' Disaggregation - Section E '!A$7:J411,3,0),"")</f>
        <v/>
      </c>
      <c r="L1293" s="388"/>
      <c r="M1293" s="384"/>
      <c r="N1293" s="384"/>
      <c r="O1293" s="384" t="s">
        <v>2394</v>
      </c>
    </row>
    <row r="1294" spans="1:15" x14ac:dyDescent="0.3">
      <c r="A1294" s="384" t="b">
        <v>0</v>
      </c>
      <c r="B1294" s="384"/>
      <c r="C1294" s="397" t="s">
        <v>3073</v>
      </c>
      <c r="D1294" s="389">
        <v>11</v>
      </c>
      <c r="E1294" s="386"/>
      <c r="F1294" s="388"/>
      <c r="G1294" s="387"/>
      <c r="H1294" s="387"/>
      <c r="I1294" s="388"/>
      <c r="J1294" s="388"/>
      <c r="K1294" s="384" t="str">
        <f ca="1">IFERROR(VLOOKUP(C1294,' Disaggregation - Section E '!A$7:J412,3,0),"")</f>
        <v/>
      </c>
      <c r="L1294" s="388"/>
      <c r="M1294" s="384"/>
      <c r="N1294" s="384"/>
      <c r="O1294" s="384" t="s">
        <v>2394</v>
      </c>
    </row>
    <row r="1295" spans="1:15" x14ac:dyDescent="0.3">
      <c r="A1295" s="384" t="b">
        <v>0</v>
      </c>
      <c r="B1295" s="384"/>
      <c r="C1295" s="397" t="s">
        <v>3074</v>
      </c>
      <c r="D1295" s="389">
        <v>11</v>
      </c>
      <c r="E1295" s="386"/>
      <c r="F1295" s="388"/>
      <c r="G1295" s="387"/>
      <c r="H1295" s="387"/>
      <c r="I1295" s="388"/>
      <c r="J1295" s="388"/>
      <c r="K1295" s="384" t="str">
        <f ca="1">IFERROR(VLOOKUP(C1295,' Disaggregation - Section E '!A$7:J413,3,0),"")</f>
        <v/>
      </c>
      <c r="L1295" s="388"/>
      <c r="M1295" s="384"/>
      <c r="N1295" s="384"/>
      <c r="O1295" s="384" t="s">
        <v>2394</v>
      </c>
    </row>
    <row r="1296" spans="1:15" x14ac:dyDescent="0.3">
      <c r="A1296" s="384" t="b">
        <v>0</v>
      </c>
      <c r="B1296" s="384"/>
      <c r="C1296" s="397" t="s">
        <v>3075</v>
      </c>
      <c r="D1296" s="389">
        <v>11</v>
      </c>
      <c r="E1296" s="386"/>
      <c r="F1296" s="388"/>
      <c r="G1296" s="387"/>
      <c r="H1296" s="387"/>
      <c r="I1296" s="388"/>
      <c r="J1296" s="388"/>
      <c r="K1296" s="384" t="str">
        <f ca="1">IFERROR(VLOOKUP(C1296,' Disaggregation - Section E '!A$7:J414,3,0),"")</f>
        <v/>
      </c>
      <c r="L1296" s="388"/>
      <c r="M1296" s="384"/>
      <c r="N1296" s="384"/>
      <c r="O1296" s="384" t="s">
        <v>2394</v>
      </c>
    </row>
    <row r="1297" spans="1:15" x14ac:dyDescent="0.3">
      <c r="A1297" s="384" t="b">
        <v>0</v>
      </c>
      <c r="B1297" s="384"/>
      <c r="C1297" s="397" t="s">
        <v>3076</v>
      </c>
      <c r="D1297" s="389">
        <v>11</v>
      </c>
      <c r="E1297" s="386"/>
      <c r="F1297" s="388"/>
      <c r="G1297" s="387"/>
      <c r="H1297" s="387"/>
      <c r="I1297" s="388"/>
      <c r="J1297" s="388"/>
      <c r="K1297" s="384" t="str">
        <f ca="1">IFERROR(VLOOKUP(C1297,' Disaggregation - Section E '!A$7:J415,3,0),"")</f>
        <v/>
      </c>
      <c r="L1297" s="388"/>
      <c r="M1297" s="384"/>
      <c r="N1297" s="384"/>
      <c r="O1297" s="384" t="s">
        <v>2394</v>
      </c>
    </row>
    <row r="1298" spans="1:15" x14ac:dyDescent="0.3">
      <c r="A1298" s="384" t="b">
        <v>0</v>
      </c>
      <c r="B1298" s="384"/>
      <c r="C1298" s="397" t="s">
        <v>3077</v>
      </c>
      <c r="D1298" s="389">
        <v>11</v>
      </c>
      <c r="E1298" s="386"/>
      <c r="F1298" s="388"/>
      <c r="G1298" s="387"/>
      <c r="H1298" s="387"/>
      <c r="I1298" s="388"/>
      <c r="J1298" s="388"/>
      <c r="K1298" s="384" t="str">
        <f ca="1">IFERROR(VLOOKUP(C1298,' Disaggregation - Section E '!A$7:J416,3,0),"")</f>
        <v/>
      </c>
      <c r="L1298" s="388"/>
      <c r="M1298" s="384"/>
      <c r="N1298" s="384"/>
      <c r="O1298" s="384" t="s">
        <v>2394</v>
      </c>
    </row>
    <row r="1299" spans="1:15" x14ac:dyDescent="0.3">
      <c r="A1299" s="384" t="b">
        <v>0</v>
      </c>
      <c r="B1299" s="384"/>
      <c r="C1299" s="397" t="s">
        <v>3078</v>
      </c>
      <c r="D1299" s="389">
        <v>11</v>
      </c>
      <c r="E1299" s="386"/>
      <c r="F1299" s="388"/>
      <c r="G1299" s="387"/>
      <c r="H1299" s="387"/>
      <c r="I1299" s="388"/>
      <c r="J1299" s="388"/>
      <c r="K1299" s="384" t="str">
        <f ca="1">IFERROR(VLOOKUP(C1299,' Disaggregation - Section E '!A$7:J417,3,0),"")</f>
        <v/>
      </c>
      <c r="L1299" s="388"/>
      <c r="M1299" s="384"/>
      <c r="N1299" s="384"/>
      <c r="O1299" s="384" t="s">
        <v>2394</v>
      </c>
    </row>
    <row r="1300" spans="1:15" x14ac:dyDescent="0.3">
      <c r="A1300" s="384" t="b">
        <v>0</v>
      </c>
      <c r="B1300" s="384"/>
      <c r="C1300" s="397" t="s">
        <v>3079</v>
      </c>
      <c r="D1300" s="389">
        <v>11</v>
      </c>
      <c r="E1300" s="386"/>
      <c r="F1300" s="388"/>
      <c r="G1300" s="387"/>
      <c r="H1300" s="387"/>
      <c r="I1300" s="388"/>
      <c r="J1300" s="388"/>
      <c r="K1300" s="384" t="str">
        <f ca="1">IFERROR(VLOOKUP(C1300,' Disaggregation - Section E '!A$7:J418,3,0),"")</f>
        <v/>
      </c>
      <c r="L1300" s="388"/>
      <c r="M1300" s="384"/>
      <c r="N1300" s="384"/>
      <c r="O1300" s="384" t="s">
        <v>2394</v>
      </c>
    </row>
    <row r="1301" spans="1:15" x14ac:dyDescent="0.3">
      <c r="A1301" s="384" t="b">
        <v>0</v>
      </c>
      <c r="B1301" s="384"/>
      <c r="C1301" s="397" t="s">
        <v>3080</v>
      </c>
      <c r="D1301" s="389">
        <v>12</v>
      </c>
      <c r="E1301" s="386"/>
      <c r="F1301" s="388"/>
      <c r="G1301" s="387"/>
      <c r="H1301" s="387"/>
      <c r="I1301" s="388"/>
      <c r="J1301" s="388"/>
      <c r="K1301" s="384" t="str">
        <f ca="1">IFERROR(VLOOKUP(C1301,' Disaggregation - Section E '!A$7:J419,3,0),"")</f>
        <v/>
      </c>
      <c r="L1301" s="388"/>
      <c r="M1301" s="384"/>
      <c r="N1301" s="384"/>
      <c r="O1301" s="384" t="s">
        <v>2401</v>
      </c>
    </row>
    <row r="1302" spans="1:15" x14ac:dyDescent="0.3">
      <c r="A1302" s="384" t="b">
        <v>0</v>
      </c>
      <c r="B1302" s="384"/>
      <c r="C1302" s="397" t="s">
        <v>3081</v>
      </c>
      <c r="D1302" s="389">
        <v>12</v>
      </c>
      <c r="E1302" s="386"/>
      <c r="F1302" s="388"/>
      <c r="G1302" s="387"/>
      <c r="H1302" s="387"/>
      <c r="I1302" s="388"/>
      <c r="J1302" s="388"/>
      <c r="K1302" s="384" t="str">
        <f ca="1">IFERROR(VLOOKUP(C1302,' Disaggregation - Section E '!A$7:J420,3,0),"")</f>
        <v/>
      </c>
      <c r="L1302" s="388"/>
      <c r="M1302" s="384"/>
      <c r="N1302" s="384"/>
      <c r="O1302" s="384" t="s">
        <v>2401</v>
      </c>
    </row>
    <row r="1303" spans="1:15" x14ac:dyDescent="0.3">
      <c r="A1303" s="384" t="b">
        <v>0</v>
      </c>
      <c r="B1303" s="384"/>
      <c r="C1303" s="397" t="s">
        <v>3082</v>
      </c>
      <c r="D1303" s="389">
        <v>12</v>
      </c>
      <c r="E1303" s="386"/>
      <c r="F1303" s="388"/>
      <c r="G1303" s="387"/>
      <c r="H1303" s="387"/>
      <c r="I1303" s="388"/>
      <c r="J1303" s="388"/>
      <c r="K1303" s="384" t="str">
        <f ca="1">IFERROR(VLOOKUP(C1303,' Disaggregation - Section E '!A$7:J421,3,0),"")</f>
        <v/>
      </c>
      <c r="L1303" s="388"/>
      <c r="M1303" s="384"/>
      <c r="N1303" s="384"/>
      <c r="O1303" s="384" t="s">
        <v>2401</v>
      </c>
    </row>
    <row r="1304" spans="1:15" x14ac:dyDescent="0.3">
      <c r="A1304" s="384" t="b">
        <v>0</v>
      </c>
      <c r="B1304" s="384"/>
      <c r="C1304" s="397" t="s">
        <v>3083</v>
      </c>
      <c r="D1304" s="389">
        <v>12</v>
      </c>
      <c r="E1304" s="386"/>
      <c r="F1304" s="388"/>
      <c r="G1304" s="387"/>
      <c r="H1304" s="387"/>
      <c r="I1304" s="388"/>
      <c r="J1304" s="388"/>
      <c r="K1304" s="384" t="str">
        <f ca="1">IFERROR(VLOOKUP(C1304,' Disaggregation - Section E '!A$7:J422,3,0),"")</f>
        <v/>
      </c>
      <c r="L1304" s="388"/>
      <c r="M1304" s="384"/>
      <c r="N1304" s="384"/>
      <c r="O1304" s="384" t="s">
        <v>2401</v>
      </c>
    </row>
    <row r="1305" spans="1:15" x14ac:dyDescent="0.3">
      <c r="A1305" s="384" t="b">
        <v>0</v>
      </c>
      <c r="B1305" s="384"/>
      <c r="C1305" s="397" t="s">
        <v>3084</v>
      </c>
      <c r="D1305" s="389">
        <v>12</v>
      </c>
      <c r="E1305" s="386"/>
      <c r="F1305" s="388"/>
      <c r="G1305" s="387"/>
      <c r="H1305" s="387"/>
      <c r="I1305" s="388"/>
      <c r="J1305" s="388"/>
      <c r="K1305" s="384" t="str">
        <f ca="1">IFERROR(VLOOKUP(C1305,' Disaggregation - Section E '!A$7:J423,3,0),"")</f>
        <v/>
      </c>
      <c r="L1305" s="388"/>
      <c r="M1305" s="384"/>
      <c r="N1305" s="384"/>
      <c r="O1305" s="384" t="s">
        <v>2401</v>
      </c>
    </row>
    <row r="1306" spans="1:15" x14ac:dyDescent="0.3">
      <c r="A1306" s="384" t="b">
        <v>0</v>
      </c>
      <c r="B1306" s="384"/>
      <c r="C1306" s="397" t="s">
        <v>3085</v>
      </c>
      <c r="D1306" s="389">
        <v>12</v>
      </c>
      <c r="E1306" s="386"/>
      <c r="F1306" s="388"/>
      <c r="G1306" s="387"/>
      <c r="H1306" s="387"/>
      <c r="I1306" s="388"/>
      <c r="J1306" s="388"/>
      <c r="K1306" s="384" t="str">
        <f ca="1">IFERROR(VLOOKUP(C1306,' Disaggregation - Section E '!A$7:J424,3,0),"")</f>
        <v/>
      </c>
      <c r="L1306" s="388"/>
      <c r="M1306" s="384"/>
      <c r="N1306" s="384"/>
      <c r="O1306" s="384" t="s">
        <v>2401</v>
      </c>
    </row>
    <row r="1307" spans="1:15" x14ac:dyDescent="0.3">
      <c r="A1307" s="384" t="b">
        <v>0</v>
      </c>
      <c r="B1307" s="384"/>
      <c r="C1307" s="397" t="s">
        <v>3086</v>
      </c>
      <c r="D1307" s="389">
        <v>12</v>
      </c>
      <c r="E1307" s="386"/>
      <c r="F1307" s="388"/>
      <c r="G1307" s="387"/>
      <c r="H1307" s="387"/>
      <c r="I1307" s="388"/>
      <c r="J1307" s="388"/>
      <c r="K1307" s="384" t="str">
        <f ca="1">IFERROR(VLOOKUP(C1307,' Disaggregation - Section E '!A$7:J425,3,0),"")</f>
        <v/>
      </c>
      <c r="L1307" s="388"/>
      <c r="M1307" s="384"/>
      <c r="N1307" s="384"/>
      <c r="O1307" s="384" t="s">
        <v>2401</v>
      </c>
    </row>
    <row r="1308" spans="1:15" x14ac:dyDescent="0.3">
      <c r="A1308" s="384" t="b">
        <v>0</v>
      </c>
      <c r="B1308" s="384"/>
      <c r="C1308" s="397" t="s">
        <v>3087</v>
      </c>
      <c r="D1308" s="389">
        <v>12</v>
      </c>
      <c r="E1308" s="386"/>
      <c r="F1308" s="388"/>
      <c r="G1308" s="387"/>
      <c r="H1308" s="387"/>
      <c r="I1308" s="388"/>
      <c r="J1308" s="388"/>
      <c r="K1308" s="384" t="str">
        <f ca="1">IFERROR(VLOOKUP(C1308,' Disaggregation - Section E '!A$7:J426,3,0),"")</f>
        <v/>
      </c>
      <c r="L1308" s="388"/>
      <c r="M1308" s="384"/>
      <c r="N1308" s="384"/>
      <c r="O1308" s="384" t="s">
        <v>2401</v>
      </c>
    </row>
    <row r="1309" spans="1:15" x14ac:dyDescent="0.3">
      <c r="A1309" s="384" t="b">
        <v>0</v>
      </c>
      <c r="B1309" s="384"/>
      <c r="C1309" s="397" t="s">
        <v>3088</v>
      </c>
      <c r="D1309" s="389">
        <v>12</v>
      </c>
      <c r="E1309" s="386"/>
      <c r="F1309" s="388"/>
      <c r="G1309" s="387"/>
      <c r="H1309" s="387"/>
      <c r="I1309" s="388"/>
      <c r="J1309" s="388"/>
      <c r="K1309" s="384" t="str">
        <f ca="1">IFERROR(VLOOKUP(C1309,' Disaggregation - Section E '!A$7:J427,3,0),"")</f>
        <v/>
      </c>
      <c r="L1309" s="388"/>
      <c r="M1309" s="384"/>
      <c r="N1309" s="384"/>
      <c r="O1309" s="384" t="s">
        <v>2401</v>
      </c>
    </row>
    <row r="1310" spans="1:15" x14ac:dyDescent="0.3">
      <c r="A1310" s="384" t="b">
        <v>0</v>
      </c>
      <c r="B1310" s="384"/>
      <c r="C1310" s="397" t="s">
        <v>3089</v>
      </c>
      <c r="D1310" s="389">
        <v>12</v>
      </c>
      <c r="E1310" s="386"/>
      <c r="F1310" s="388"/>
      <c r="G1310" s="387"/>
      <c r="H1310" s="387"/>
      <c r="I1310" s="388"/>
      <c r="J1310" s="388"/>
      <c r="K1310" s="384" t="str">
        <f ca="1">IFERROR(VLOOKUP(C1310,' Disaggregation - Section E '!A$7:J428,3,0),"")</f>
        <v/>
      </c>
      <c r="L1310" s="388"/>
      <c r="M1310" s="384"/>
      <c r="N1310" s="384"/>
      <c r="O1310" s="384" t="s">
        <v>2401</v>
      </c>
    </row>
    <row r="1311" spans="1:15" x14ac:dyDescent="0.3">
      <c r="A1311" s="384" t="b">
        <v>0</v>
      </c>
      <c r="B1311" s="384"/>
      <c r="C1311" s="397" t="s">
        <v>3090</v>
      </c>
      <c r="D1311" s="389">
        <v>13</v>
      </c>
      <c r="E1311" s="386"/>
      <c r="F1311" s="388"/>
      <c r="G1311" s="387"/>
      <c r="H1311" s="387"/>
      <c r="I1311" s="388"/>
      <c r="J1311" s="388"/>
      <c r="K1311" s="384" t="str">
        <f ca="1">IFERROR(VLOOKUP(C1311,' Disaggregation - Section E '!A$7:J429,3,0),"")</f>
        <v/>
      </c>
      <c r="L1311" s="388"/>
      <c r="M1311" s="384"/>
      <c r="N1311" s="384"/>
      <c r="O1311" s="384" t="s">
        <v>2408</v>
      </c>
    </row>
    <row r="1312" spans="1:15" x14ac:dyDescent="0.3">
      <c r="A1312" s="384" t="b">
        <v>0</v>
      </c>
      <c r="B1312" s="384"/>
      <c r="C1312" s="397" t="s">
        <v>3091</v>
      </c>
      <c r="D1312" s="389">
        <v>13</v>
      </c>
      <c r="E1312" s="386"/>
      <c r="F1312" s="388"/>
      <c r="G1312" s="387"/>
      <c r="H1312" s="387"/>
      <c r="I1312" s="388"/>
      <c r="J1312" s="388"/>
      <c r="K1312" s="384" t="str">
        <f ca="1">IFERROR(VLOOKUP(C1312,' Disaggregation - Section E '!A$7:J430,3,0),"")</f>
        <v/>
      </c>
      <c r="L1312" s="388"/>
      <c r="M1312" s="384"/>
      <c r="N1312" s="384"/>
      <c r="O1312" s="384" t="s">
        <v>2408</v>
      </c>
    </row>
    <row r="1313" spans="1:15" x14ac:dyDescent="0.3">
      <c r="A1313" s="384" t="b">
        <v>0</v>
      </c>
      <c r="B1313" s="384"/>
      <c r="C1313" s="397" t="s">
        <v>3092</v>
      </c>
      <c r="D1313" s="389">
        <v>13</v>
      </c>
      <c r="E1313" s="386"/>
      <c r="F1313" s="388"/>
      <c r="G1313" s="387"/>
      <c r="H1313" s="387"/>
      <c r="I1313" s="388"/>
      <c r="J1313" s="388"/>
      <c r="K1313" s="384" t="str">
        <f ca="1">IFERROR(VLOOKUP(C1313,' Disaggregation - Section E '!A$7:J431,3,0),"")</f>
        <v/>
      </c>
      <c r="L1313" s="388"/>
      <c r="M1313" s="384"/>
      <c r="N1313" s="384"/>
      <c r="O1313" s="384" t="s">
        <v>2408</v>
      </c>
    </row>
    <row r="1314" spans="1:15" x14ac:dyDescent="0.3">
      <c r="A1314" s="384" t="b">
        <v>0</v>
      </c>
      <c r="B1314" s="384"/>
      <c r="C1314" s="397" t="s">
        <v>3093</v>
      </c>
      <c r="D1314" s="389">
        <v>13</v>
      </c>
      <c r="E1314" s="386"/>
      <c r="F1314" s="388"/>
      <c r="G1314" s="387"/>
      <c r="H1314" s="387"/>
      <c r="I1314" s="388"/>
      <c r="J1314" s="388"/>
      <c r="K1314" s="384" t="str">
        <f ca="1">IFERROR(VLOOKUP(C1314,' Disaggregation - Section E '!A$7:J432,3,0),"")</f>
        <v/>
      </c>
      <c r="L1314" s="388"/>
      <c r="M1314" s="384"/>
      <c r="N1314" s="384"/>
      <c r="O1314" s="384" t="s">
        <v>2408</v>
      </c>
    </row>
    <row r="1315" spans="1:15" x14ac:dyDescent="0.3">
      <c r="A1315" s="384" t="b">
        <v>0</v>
      </c>
      <c r="B1315" s="384"/>
      <c r="C1315" s="397" t="s">
        <v>3094</v>
      </c>
      <c r="D1315" s="389">
        <v>13</v>
      </c>
      <c r="E1315" s="386"/>
      <c r="F1315" s="388"/>
      <c r="G1315" s="387"/>
      <c r="H1315" s="387"/>
      <c r="I1315" s="388"/>
      <c r="J1315" s="388"/>
      <c r="K1315" s="384" t="str">
        <f ca="1">IFERROR(VLOOKUP(C1315,' Disaggregation - Section E '!A$7:J433,3,0),"")</f>
        <v/>
      </c>
      <c r="L1315" s="388"/>
      <c r="M1315" s="384"/>
      <c r="N1315" s="384"/>
      <c r="O1315" s="384" t="s">
        <v>2408</v>
      </c>
    </row>
    <row r="1316" spans="1:15" x14ac:dyDescent="0.3">
      <c r="A1316" s="384" t="b">
        <v>0</v>
      </c>
      <c r="B1316" s="384"/>
      <c r="C1316" s="397" t="s">
        <v>3095</v>
      </c>
      <c r="D1316" s="389">
        <v>13</v>
      </c>
      <c r="E1316" s="386"/>
      <c r="F1316" s="388"/>
      <c r="G1316" s="387"/>
      <c r="H1316" s="387"/>
      <c r="I1316" s="388"/>
      <c r="J1316" s="388"/>
      <c r="K1316" s="384" t="str">
        <f ca="1">IFERROR(VLOOKUP(C1316,' Disaggregation - Section E '!A$7:J434,3,0),"")</f>
        <v/>
      </c>
      <c r="L1316" s="388"/>
      <c r="M1316" s="384"/>
      <c r="N1316" s="384"/>
      <c r="O1316" s="384" t="s">
        <v>2408</v>
      </c>
    </row>
    <row r="1317" spans="1:15" x14ac:dyDescent="0.3">
      <c r="A1317" s="384" t="b">
        <v>0</v>
      </c>
      <c r="B1317" s="384"/>
      <c r="C1317" s="397" t="s">
        <v>3096</v>
      </c>
      <c r="D1317" s="389">
        <v>13</v>
      </c>
      <c r="E1317" s="386"/>
      <c r="F1317" s="388"/>
      <c r="G1317" s="387"/>
      <c r="H1317" s="387"/>
      <c r="I1317" s="388"/>
      <c r="J1317" s="388"/>
      <c r="K1317" s="384" t="str">
        <f ca="1">IFERROR(VLOOKUP(C1317,' Disaggregation - Section E '!A$7:J435,3,0),"")</f>
        <v/>
      </c>
      <c r="L1317" s="388"/>
      <c r="M1317" s="384"/>
      <c r="N1317" s="384"/>
      <c r="O1317" s="384" t="s">
        <v>2408</v>
      </c>
    </row>
    <row r="1318" spans="1:15" x14ac:dyDescent="0.3">
      <c r="A1318" s="384" t="b">
        <v>0</v>
      </c>
      <c r="B1318" s="384"/>
      <c r="C1318" s="397" t="s">
        <v>3097</v>
      </c>
      <c r="D1318" s="389">
        <v>13</v>
      </c>
      <c r="E1318" s="386"/>
      <c r="F1318" s="388"/>
      <c r="G1318" s="387"/>
      <c r="H1318" s="387"/>
      <c r="I1318" s="388"/>
      <c r="J1318" s="388"/>
      <c r="K1318" s="384" t="str">
        <f ca="1">IFERROR(VLOOKUP(C1318,' Disaggregation - Section E '!A$7:J436,3,0),"")</f>
        <v/>
      </c>
      <c r="L1318" s="388"/>
      <c r="M1318" s="384"/>
      <c r="N1318" s="384"/>
      <c r="O1318" s="384" t="s">
        <v>2408</v>
      </c>
    </row>
    <row r="1319" spans="1:15" x14ac:dyDescent="0.3">
      <c r="A1319" s="384" t="b">
        <v>0</v>
      </c>
      <c r="B1319" s="384"/>
      <c r="C1319" s="397" t="s">
        <v>3098</v>
      </c>
      <c r="D1319" s="389">
        <v>13</v>
      </c>
      <c r="E1319" s="386"/>
      <c r="F1319" s="388"/>
      <c r="G1319" s="387"/>
      <c r="H1319" s="387"/>
      <c r="I1319" s="388"/>
      <c r="J1319" s="388"/>
      <c r="K1319" s="384" t="str">
        <f ca="1">IFERROR(VLOOKUP(C1319,' Disaggregation - Section E '!A$7:J437,3,0),"")</f>
        <v/>
      </c>
      <c r="L1319" s="388"/>
      <c r="M1319" s="384"/>
      <c r="N1319" s="384"/>
      <c r="O1319" s="384" t="s">
        <v>2408</v>
      </c>
    </row>
    <row r="1320" spans="1:15" x14ac:dyDescent="0.3">
      <c r="A1320" s="384" t="b">
        <v>0</v>
      </c>
      <c r="B1320" s="384"/>
      <c r="C1320" s="397" t="s">
        <v>3099</v>
      </c>
      <c r="D1320" s="389">
        <v>13</v>
      </c>
      <c r="E1320" s="386"/>
      <c r="F1320" s="388"/>
      <c r="G1320" s="387"/>
      <c r="H1320" s="387"/>
      <c r="I1320" s="388"/>
      <c r="J1320" s="388"/>
      <c r="K1320" s="384" t="str">
        <f ca="1">IFERROR(VLOOKUP(C1320,' Disaggregation - Section E '!A$7:J438,3,0),"")</f>
        <v/>
      </c>
      <c r="L1320" s="388"/>
      <c r="M1320" s="384"/>
      <c r="N1320" s="384"/>
      <c r="O1320" s="384" t="s">
        <v>2408</v>
      </c>
    </row>
    <row r="1321" spans="1:15" x14ac:dyDescent="0.3">
      <c r="A1321" s="384" t="b">
        <v>0</v>
      </c>
      <c r="B1321" s="384"/>
      <c r="C1321" s="397" t="s">
        <v>3100</v>
      </c>
      <c r="D1321" s="389">
        <v>14</v>
      </c>
      <c r="E1321" s="386"/>
      <c r="F1321" s="388"/>
      <c r="G1321" s="387"/>
      <c r="H1321" s="387"/>
      <c r="I1321" s="388"/>
      <c r="J1321" s="388"/>
      <c r="K1321" s="384" t="str">
        <f ca="1">IFERROR(VLOOKUP(C1321,' Disaggregation - Section E '!A$7:J439,3,0),"")</f>
        <v/>
      </c>
      <c r="L1321" s="388"/>
      <c r="M1321" s="384"/>
      <c r="N1321" s="384"/>
      <c r="O1321" s="384" t="s">
        <v>2415</v>
      </c>
    </row>
    <row r="1322" spans="1:15" x14ac:dyDescent="0.3">
      <c r="A1322" s="384" t="b">
        <v>0</v>
      </c>
      <c r="B1322" s="384"/>
      <c r="C1322" s="397" t="s">
        <v>3101</v>
      </c>
      <c r="D1322" s="389">
        <v>14</v>
      </c>
      <c r="E1322" s="386"/>
      <c r="F1322" s="388"/>
      <c r="G1322" s="387"/>
      <c r="H1322" s="387"/>
      <c r="I1322" s="388"/>
      <c r="J1322" s="388"/>
      <c r="K1322" s="384" t="str">
        <f ca="1">IFERROR(VLOOKUP(C1322,' Disaggregation - Section E '!A$7:J440,3,0),"")</f>
        <v/>
      </c>
      <c r="L1322" s="388"/>
      <c r="M1322" s="384"/>
      <c r="N1322" s="384"/>
      <c r="O1322" s="384" t="s">
        <v>2415</v>
      </c>
    </row>
    <row r="1323" spans="1:15" x14ac:dyDescent="0.3">
      <c r="A1323" s="384" t="b">
        <v>0</v>
      </c>
      <c r="B1323" s="384"/>
      <c r="C1323" s="397" t="s">
        <v>3102</v>
      </c>
      <c r="D1323" s="389">
        <v>14</v>
      </c>
      <c r="E1323" s="386"/>
      <c r="F1323" s="388"/>
      <c r="G1323" s="387"/>
      <c r="H1323" s="387"/>
      <c r="I1323" s="388"/>
      <c r="J1323" s="388"/>
      <c r="K1323" s="384" t="str">
        <f ca="1">IFERROR(VLOOKUP(C1323,' Disaggregation - Section E '!A$7:J441,3,0),"")</f>
        <v/>
      </c>
      <c r="L1323" s="388"/>
      <c r="M1323" s="384"/>
      <c r="N1323" s="384"/>
      <c r="O1323" s="384" t="s">
        <v>2415</v>
      </c>
    </row>
    <row r="1324" spans="1:15" x14ac:dyDescent="0.3">
      <c r="A1324" s="384" t="b">
        <v>0</v>
      </c>
      <c r="B1324" s="384"/>
      <c r="C1324" s="397" t="s">
        <v>3103</v>
      </c>
      <c r="D1324" s="389">
        <v>14</v>
      </c>
      <c r="E1324" s="386"/>
      <c r="F1324" s="388"/>
      <c r="G1324" s="387"/>
      <c r="H1324" s="387"/>
      <c r="I1324" s="388"/>
      <c r="J1324" s="388"/>
      <c r="K1324" s="384" t="str">
        <f ca="1">IFERROR(VLOOKUP(C1324,' Disaggregation - Section E '!A$7:J442,3,0),"")</f>
        <v/>
      </c>
      <c r="L1324" s="388"/>
      <c r="M1324" s="384"/>
      <c r="N1324" s="384"/>
      <c r="O1324" s="384" t="s">
        <v>2415</v>
      </c>
    </row>
    <row r="1325" spans="1:15" x14ac:dyDescent="0.3">
      <c r="A1325" s="384" t="b">
        <v>0</v>
      </c>
      <c r="B1325" s="384"/>
      <c r="C1325" s="397" t="s">
        <v>3104</v>
      </c>
      <c r="D1325" s="389">
        <v>14</v>
      </c>
      <c r="E1325" s="386"/>
      <c r="F1325" s="388"/>
      <c r="G1325" s="387"/>
      <c r="H1325" s="387"/>
      <c r="I1325" s="388"/>
      <c r="J1325" s="388"/>
      <c r="K1325" s="384" t="str">
        <f ca="1">IFERROR(VLOOKUP(C1325,' Disaggregation - Section E '!A$7:J443,3,0),"")</f>
        <v/>
      </c>
      <c r="L1325" s="388"/>
      <c r="M1325" s="384"/>
      <c r="N1325" s="384"/>
      <c r="O1325" s="384" t="s">
        <v>2415</v>
      </c>
    </row>
    <row r="1326" spans="1:15" x14ac:dyDescent="0.3">
      <c r="A1326" s="384" t="b">
        <v>0</v>
      </c>
      <c r="B1326" s="384"/>
      <c r="C1326" s="397" t="s">
        <v>3105</v>
      </c>
      <c r="D1326" s="389">
        <v>14</v>
      </c>
      <c r="E1326" s="386"/>
      <c r="F1326" s="388"/>
      <c r="G1326" s="387"/>
      <c r="H1326" s="387"/>
      <c r="I1326" s="388"/>
      <c r="J1326" s="388"/>
      <c r="K1326" s="384" t="str">
        <f ca="1">IFERROR(VLOOKUP(C1326,' Disaggregation - Section E '!A$7:J444,3,0),"")</f>
        <v/>
      </c>
      <c r="L1326" s="388"/>
      <c r="M1326" s="384"/>
      <c r="N1326" s="384"/>
      <c r="O1326" s="384" t="s">
        <v>2415</v>
      </c>
    </row>
    <row r="1327" spans="1:15" x14ac:dyDescent="0.3">
      <c r="A1327" s="384" t="b">
        <v>0</v>
      </c>
      <c r="B1327" s="384"/>
      <c r="C1327" s="397" t="s">
        <v>3106</v>
      </c>
      <c r="D1327" s="389">
        <v>14</v>
      </c>
      <c r="E1327" s="386"/>
      <c r="F1327" s="388"/>
      <c r="G1327" s="387"/>
      <c r="H1327" s="387"/>
      <c r="I1327" s="388"/>
      <c r="J1327" s="388"/>
      <c r="K1327" s="384" t="str">
        <f ca="1">IFERROR(VLOOKUP(C1327,' Disaggregation - Section E '!A$7:J445,3,0),"")</f>
        <v/>
      </c>
      <c r="L1327" s="388"/>
      <c r="M1327" s="384"/>
      <c r="N1327" s="384"/>
      <c r="O1327" s="384" t="s">
        <v>2415</v>
      </c>
    </row>
    <row r="1328" spans="1:15" x14ac:dyDescent="0.3">
      <c r="A1328" s="384" t="b">
        <v>0</v>
      </c>
      <c r="B1328" s="384"/>
      <c r="C1328" s="397" t="s">
        <v>3107</v>
      </c>
      <c r="D1328" s="389">
        <v>14</v>
      </c>
      <c r="E1328" s="386"/>
      <c r="F1328" s="388"/>
      <c r="G1328" s="387"/>
      <c r="H1328" s="387"/>
      <c r="I1328" s="388"/>
      <c r="J1328" s="388"/>
      <c r="K1328" s="384" t="str">
        <f ca="1">IFERROR(VLOOKUP(C1328,' Disaggregation - Section E '!A$7:J446,3,0),"")</f>
        <v/>
      </c>
      <c r="L1328" s="388"/>
      <c r="M1328" s="384"/>
      <c r="N1328" s="384"/>
      <c r="O1328" s="384" t="s">
        <v>2415</v>
      </c>
    </row>
    <row r="1329" spans="1:15" x14ac:dyDescent="0.3">
      <c r="A1329" s="384" t="b">
        <v>0</v>
      </c>
      <c r="B1329" s="384"/>
      <c r="C1329" s="397" t="s">
        <v>3108</v>
      </c>
      <c r="D1329" s="389">
        <v>14</v>
      </c>
      <c r="E1329" s="386"/>
      <c r="F1329" s="388"/>
      <c r="G1329" s="387"/>
      <c r="H1329" s="387"/>
      <c r="I1329" s="388"/>
      <c r="J1329" s="388"/>
      <c r="K1329" s="384" t="str">
        <f ca="1">IFERROR(VLOOKUP(C1329,' Disaggregation - Section E '!A$7:J447,3,0),"")</f>
        <v/>
      </c>
      <c r="L1329" s="388"/>
      <c r="M1329" s="384"/>
      <c r="N1329" s="384"/>
      <c r="O1329" s="384" t="s">
        <v>2415</v>
      </c>
    </row>
    <row r="1330" spans="1:15" x14ac:dyDescent="0.3">
      <c r="A1330" s="384" t="b">
        <v>0</v>
      </c>
      <c r="B1330" s="384"/>
      <c r="C1330" s="397" t="s">
        <v>3109</v>
      </c>
      <c r="D1330" s="389">
        <v>14</v>
      </c>
      <c r="E1330" s="386"/>
      <c r="F1330" s="388"/>
      <c r="G1330" s="387"/>
      <c r="H1330" s="387"/>
      <c r="I1330" s="388"/>
      <c r="J1330" s="388"/>
      <c r="K1330" s="384" t="str">
        <f ca="1">IFERROR(VLOOKUP(C1330,' Disaggregation - Section E '!A$7:J448,3,0),"")</f>
        <v/>
      </c>
      <c r="L1330" s="388"/>
      <c r="M1330" s="384"/>
      <c r="N1330" s="384"/>
      <c r="O1330" s="384" t="s">
        <v>2415</v>
      </c>
    </row>
    <row r="1331" spans="1:15" x14ac:dyDescent="0.3">
      <c r="A1331" s="384" t="b">
        <v>0</v>
      </c>
      <c r="B1331" s="384"/>
      <c r="C1331" s="397" t="s">
        <v>3110</v>
      </c>
      <c r="D1331" s="389">
        <v>15</v>
      </c>
      <c r="E1331" s="386"/>
      <c r="F1331" s="388"/>
      <c r="G1331" s="387"/>
      <c r="H1331" s="387"/>
      <c r="I1331" s="388"/>
      <c r="J1331" s="388"/>
      <c r="K1331" s="384" t="str">
        <f ca="1">IFERROR(VLOOKUP(C1331,' Disaggregation - Section E '!A$7:J449,3,0),"")</f>
        <v/>
      </c>
      <c r="L1331" s="388"/>
      <c r="M1331" s="384"/>
      <c r="N1331" s="384"/>
      <c r="O1331" s="384" t="s">
        <v>2422</v>
      </c>
    </row>
    <row r="1332" spans="1:15" x14ac:dyDescent="0.3">
      <c r="A1332" s="384" t="b">
        <v>0</v>
      </c>
      <c r="B1332" s="384"/>
      <c r="C1332" s="397" t="s">
        <v>3111</v>
      </c>
      <c r="D1332" s="389">
        <v>15</v>
      </c>
      <c r="E1332" s="386"/>
      <c r="F1332" s="388"/>
      <c r="G1332" s="387"/>
      <c r="H1332" s="387"/>
      <c r="I1332" s="388"/>
      <c r="J1332" s="388"/>
      <c r="K1332" s="384" t="str">
        <f ca="1">IFERROR(VLOOKUP(C1332,' Disaggregation - Section E '!A$7:J450,3,0),"")</f>
        <v/>
      </c>
      <c r="L1332" s="388"/>
      <c r="M1332" s="384"/>
      <c r="N1332" s="384"/>
      <c r="O1332" s="384" t="s">
        <v>2422</v>
      </c>
    </row>
    <row r="1333" spans="1:15" x14ac:dyDescent="0.3">
      <c r="A1333" s="384" t="b">
        <v>0</v>
      </c>
      <c r="B1333" s="384"/>
      <c r="C1333" s="397" t="s">
        <v>3112</v>
      </c>
      <c r="D1333" s="389">
        <v>15</v>
      </c>
      <c r="E1333" s="386"/>
      <c r="F1333" s="388"/>
      <c r="G1333" s="387"/>
      <c r="H1333" s="387"/>
      <c r="I1333" s="388"/>
      <c r="J1333" s="388"/>
      <c r="K1333" s="384" t="str">
        <f ca="1">IFERROR(VLOOKUP(C1333,' Disaggregation - Section E '!A$7:J451,3,0),"")</f>
        <v/>
      </c>
      <c r="L1333" s="388"/>
      <c r="M1333" s="384"/>
      <c r="N1333" s="384"/>
      <c r="O1333" s="384" t="s">
        <v>2422</v>
      </c>
    </row>
    <row r="1334" spans="1:15" x14ac:dyDescent="0.3">
      <c r="A1334" s="384" t="b">
        <v>0</v>
      </c>
      <c r="B1334" s="384"/>
      <c r="C1334" s="397" t="s">
        <v>3113</v>
      </c>
      <c r="D1334" s="389">
        <v>15</v>
      </c>
      <c r="E1334" s="386"/>
      <c r="F1334" s="388"/>
      <c r="G1334" s="387"/>
      <c r="H1334" s="387"/>
      <c r="I1334" s="388"/>
      <c r="J1334" s="388"/>
      <c r="K1334" s="384" t="str">
        <f ca="1">IFERROR(VLOOKUP(C1334,' Disaggregation - Section E '!A$7:J452,3,0),"")</f>
        <v/>
      </c>
      <c r="L1334" s="388"/>
      <c r="M1334" s="384"/>
      <c r="N1334" s="384"/>
      <c r="O1334" s="384" t="s">
        <v>2422</v>
      </c>
    </row>
    <row r="1335" spans="1:15" x14ac:dyDescent="0.3">
      <c r="A1335" s="384" t="b">
        <v>0</v>
      </c>
      <c r="B1335" s="384"/>
      <c r="C1335" s="397" t="s">
        <v>3114</v>
      </c>
      <c r="D1335" s="389">
        <v>15</v>
      </c>
      <c r="E1335" s="386"/>
      <c r="F1335" s="388"/>
      <c r="G1335" s="387"/>
      <c r="H1335" s="387"/>
      <c r="I1335" s="388"/>
      <c r="J1335" s="388"/>
      <c r="K1335" s="384" t="str">
        <f ca="1">IFERROR(VLOOKUP(C1335,' Disaggregation - Section E '!A$7:J453,3,0),"")</f>
        <v/>
      </c>
      <c r="L1335" s="388"/>
      <c r="M1335" s="384"/>
      <c r="N1335" s="384"/>
      <c r="O1335" s="384" t="s">
        <v>2422</v>
      </c>
    </row>
    <row r="1336" spans="1:15" x14ac:dyDescent="0.3">
      <c r="A1336" s="384" t="b">
        <v>0</v>
      </c>
      <c r="B1336" s="384"/>
      <c r="C1336" s="397" t="s">
        <v>3115</v>
      </c>
      <c r="D1336" s="389">
        <v>15</v>
      </c>
      <c r="E1336" s="386"/>
      <c r="F1336" s="388"/>
      <c r="G1336" s="387"/>
      <c r="H1336" s="387"/>
      <c r="I1336" s="388"/>
      <c r="J1336" s="388"/>
      <c r="K1336" s="384" t="str">
        <f ca="1">IFERROR(VLOOKUP(C1336,' Disaggregation - Section E '!A$7:J454,3,0),"")</f>
        <v/>
      </c>
      <c r="L1336" s="388"/>
      <c r="M1336" s="384"/>
      <c r="N1336" s="384"/>
      <c r="O1336" s="384" t="s">
        <v>2422</v>
      </c>
    </row>
    <row r="1337" spans="1:15" x14ac:dyDescent="0.3">
      <c r="A1337" s="384" t="b">
        <v>0</v>
      </c>
      <c r="B1337" s="384"/>
      <c r="C1337" s="397" t="s">
        <v>3116</v>
      </c>
      <c r="D1337" s="389">
        <v>15</v>
      </c>
      <c r="E1337" s="386"/>
      <c r="F1337" s="388"/>
      <c r="G1337" s="387"/>
      <c r="H1337" s="387"/>
      <c r="I1337" s="388"/>
      <c r="J1337" s="388"/>
      <c r="K1337" s="384" t="str">
        <f ca="1">IFERROR(VLOOKUP(C1337,' Disaggregation - Section E '!A$7:J455,3,0),"")</f>
        <v/>
      </c>
      <c r="L1337" s="388"/>
      <c r="M1337" s="384"/>
      <c r="N1337" s="384"/>
      <c r="O1337" s="384" t="s">
        <v>2422</v>
      </c>
    </row>
    <row r="1338" spans="1:15" x14ac:dyDescent="0.3">
      <c r="A1338" s="384" t="b">
        <v>0</v>
      </c>
      <c r="B1338" s="384"/>
      <c r="C1338" s="397" t="s">
        <v>3117</v>
      </c>
      <c r="D1338" s="389">
        <v>15</v>
      </c>
      <c r="E1338" s="386"/>
      <c r="F1338" s="388"/>
      <c r="G1338" s="387"/>
      <c r="H1338" s="387"/>
      <c r="I1338" s="388"/>
      <c r="J1338" s="388"/>
      <c r="K1338" s="384" t="str">
        <f ca="1">IFERROR(VLOOKUP(C1338,' Disaggregation - Section E '!A$7:J456,3,0),"")</f>
        <v/>
      </c>
      <c r="L1338" s="388"/>
      <c r="M1338" s="384"/>
      <c r="N1338" s="384"/>
      <c r="O1338" s="384" t="s">
        <v>2422</v>
      </c>
    </row>
    <row r="1339" spans="1:15" x14ac:dyDescent="0.3">
      <c r="A1339" s="384" t="b">
        <v>0</v>
      </c>
      <c r="B1339" s="384"/>
      <c r="C1339" s="397" t="s">
        <v>3118</v>
      </c>
      <c r="D1339" s="389">
        <v>15</v>
      </c>
      <c r="E1339" s="386"/>
      <c r="F1339" s="388"/>
      <c r="G1339" s="387"/>
      <c r="H1339" s="387"/>
      <c r="I1339" s="388"/>
      <c r="J1339" s="388"/>
      <c r="K1339" s="384" t="str">
        <f ca="1">IFERROR(VLOOKUP(C1339,' Disaggregation - Section E '!A$7:J457,3,0),"")</f>
        <v/>
      </c>
      <c r="L1339" s="388"/>
      <c r="M1339" s="384"/>
      <c r="N1339" s="384"/>
      <c r="O1339" s="384" t="s">
        <v>2422</v>
      </c>
    </row>
    <row r="1340" spans="1:15" x14ac:dyDescent="0.3">
      <c r="A1340" s="384" t="b">
        <v>0</v>
      </c>
      <c r="B1340" s="384"/>
      <c r="C1340" s="397" t="s">
        <v>3119</v>
      </c>
      <c r="D1340" s="389">
        <v>15</v>
      </c>
      <c r="E1340" s="386"/>
      <c r="F1340" s="388"/>
      <c r="G1340" s="387"/>
      <c r="H1340" s="387"/>
      <c r="I1340" s="388"/>
      <c r="J1340" s="388"/>
      <c r="K1340" s="384" t="str">
        <f ca="1">IFERROR(VLOOKUP(C1340,' Disaggregation - Section E '!A$7:J458,3,0),"")</f>
        <v/>
      </c>
      <c r="L1340" s="388"/>
      <c r="M1340" s="384"/>
      <c r="N1340" s="384"/>
      <c r="O1340" s="384" t="s">
        <v>2422</v>
      </c>
    </row>
    <row r="1341" spans="1:15" x14ac:dyDescent="0.3">
      <c r="A1341" s="384" t="b">
        <f t="shared" ref="A1341:A1404" ca="1" si="132">IF(M1341&lt;&gt;"",TRUE,FALSE)</f>
        <v>1</v>
      </c>
      <c r="B1341" s="384"/>
      <c r="C1341" s="400" t="str">
        <f ca="1">IF(COUNTA(O$1189:O1341)=1,"",OFFSET(B1341,-COUNTA(O$1189:O1341)+1,1))</f>
        <v>a1GDm000000XmkmMAC</v>
      </c>
      <c r="D1341" s="389"/>
      <c r="E1341" s="386" t="str">
        <f ca="1">IFERROR(IF(VLOOKUP(C1341,' Disaggregation - Section E '!A$7:J459,7,0)="","",VLOOKUP(C1341,' Disaggregation - Section E '!A$7:J163,7,0)*100),"")</f>
        <v/>
      </c>
      <c r="F1341" s="388" t="str">
        <f ca="1">IFERROR(IF(VLOOKUP(C1341,' Disaggregation - Section E '!A$7:J459,5,0)=0,"",VLOOKUP(C1341,' Disaggregation - Section E '!A$7:J459,5,0)),"")</f>
        <v>15+</v>
      </c>
      <c r="G1341" s="387">
        <f ca="1">IFERROR(IF(VLOOKUP(C1341,' Disaggregation - Section E '!A$7:J459,6,0)="","",VLOOKUP(C1341,' Disaggregation - Section E '!A$7:J459,6,0)),"")</f>
        <v>38</v>
      </c>
      <c r="H1341" s="387" t="str">
        <f ca="1">IFERROR(IF(INDEX(' Disaggregation - Section E '!F$7:F459,MATCH(C1341,' Disaggregation - Section E '!A$7:A459,0)+1,1)&lt;&gt;0,INDEX(' Disaggregation - Section E '!F$7:F459,MATCH(C1341,' Disaggregation - Section E '!A$7:A459,0)+1,1),""),"")</f>
        <v/>
      </c>
      <c r="I1341" s="388">
        <f ca="1">IFERROR(IF(VLOOKUP(C1341,' Disaggregation - Section E '!A$7:J459,8,0)=0,"",VLOOKUP(C1341,' Disaggregation - Section E '!A$7:J459,8,0)),"")</f>
        <v>2021</v>
      </c>
      <c r="J1341" s="388" t="str">
        <f ca="1">IFERROR(IF(VLOOKUP(C1341,' Disaggregation - Section E '!A$7:J459,9,0)="","",VLOOKUP(C1341,' Disaggregation - Section E '!A$7:J459,9,0)),"")</f>
        <v>Electronic HIV Case Tracking System and RCHV&amp;HIV report</v>
      </c>
      <c r="K1341" s="384" t="str">
        <f ca="1">IFERROR(VLOOKUP(C1341,' Disaggregation - Section E '!A$7:J459,3,0),"")</f>
        <v>HIV I-4 Number of AIDS-related deaths per 100,000 population</v>
      </c>
      <c r="L1341" s="388" t="str">
        <f ca="1">IFERROR(IF(VLOOKUP(C1341,' Disaggregation - Section E '!A$7:J459,10,0)="","",VLOOKUP(C1341,' Disaggregation - Section E '!A$7:J459,10,0)),"")</f>
        <v>AIDS deaths for 2021 are presented as the baseline (40). The largest number of deaths among men, in the age category of 15 years and older.</v>
      </c>
      <c r="M1341" s="384" t="str">
        <f ca="1">IFERROR(IF(VLOOKUP(C1341,' Disaggregation - Section E '!A$7:O459,15,0)=0,"",VLOOKUP(C1341,' Disaggregation - Section E '!A$7:O459,15,0)),"")</f>
        <v>IDR-01046</v>
      </c>
      <c r="N1341" s="384"/>
      <c r="O1341" s="384"/>
    </row>
    <row r="1342" spans="1:15" x14ac:dyDescent="0.3">
      <c r="A1342" s="384" t="b">
        <f t="shared" ca="1" si="132"/>
        <v>1</v>
      </c>
      <c r="B1342" s="384"/>
      <c r="C1342" s="400" t="str">
        <f ca="1">IF(COUNTA(O$1189:O1342)=1,"",OFFSET(B1342,-COUNTA(O$1189:O1342)+1,1))</f>
        <v>a1GDm000000XmknMAC</v>
      </c>
      <c r="D1342" s="389"/>
      <c r="E1342" s="386" t="str">
        <f ca="1">IFERROR(IF(VLOOKUP(C1342,' Disaggregation - Section E '!A$7:J460,7,0)="","",VLOOKUP(C1342,' Disaggregation - Section E '!A$7:J164,7,0)*100),"")</f>
        <v/>
      </c>
      <c r="F1342" s="388" t="str">
        <f ca="1">IFERROR(IF(VLOOKUP(C1342,' Disaggregation - Section E '!A$7:J460,5,0)=0,"",VLOOKUP(C1342,' Disaggregation - Section E '!A$7:J460,5,0)),"")</f>
        <v>Male 20-24</v>
      </c>
      <c r="G1342" s="387">
        <f ca="1">IFERROR(IF(VLOOKUP(C1342,' Disaggregation - Section E '!A$7:J460,6,0)="","",VLOOKUP(C1342,' Disaggregation - Section E '!A$7:J460,6,0)),"")</f>
        <v>0</v>
      </c>
      <c r="H1342" s="387" t="str">
        <f ca="1">IFERROR(IF(INDEX(' Disaggregation - Section E '!F$7:F460,MATCH(C1342,' Disaggregation - Section E '!A$7:A460,0)+1,1)&lt;&gt;0,INDEX(' Disaggregation - Section E '!F$7:F460,MATCH(C1342,' Disaggregation - Section E '!A$7:A460,0)+1,1),""),"")</f>
        <v/>
      </c>
      <c r="I1342" s="388">
        <f ca="1">IFERROR(IF(VLOOKUP(C1342,' Disaggregation - Section E '!A$7:J460,8,0)=0,"",VLOOKUP(C1342,' Disaggregation - Section E '!A$7:J460,8,0)),"")</f>
        <v>2021</v>
      </c>
      <c r="J1342" s="388" t="str">
        <f ca="1">IFERROR(IF(VLOOKUP(C1342,' Disaggregation - Section E '!A$7:J460,9,0)="","",VLOOKUP(C1342,' Disaggregation - Section E '!A$7:J460,9,0)),"")</f>
        <v>Electronic HIV Case Tracking System and RCHV&amp;HIV report</v>
      </c>
      <c r="K1342" s="384" t="str">
        <f ca="1">IFERROR(VLOOKUP(C1342,' Disaggregation - Section E '!A$7:J460,3,0),"")</f>
        <v>HIV I-4 Number of AIDS-related deaths per 100,000 population</v>
      </c>
      <c r="L1342" s="388" t="str">
        <f ca="1">IFERROR(IF(VLOOKUP(C1342,' Disaggregation - Section E '!A$7:J460,10,0)="","",VLOOKUP(C1342,' Disaggregation - Section E '!A$7:J460,10,0)),"")</f>
        <v>AIDS deaths for 2021 are presented as the baseline (40). The largest number of deaths among men, in the age category of 15 years and older.</v>
      </c>
      <c r="M1342" s="384" t="str">
        <f ca="1">IFERROR(IF(VLOOKUP(C1342,' Disaggregation - Section E '!A$7:O460,15,0)=0,"",VLOOKUP(C1342,' Disaggregation - Section E '!A$7:O460,15,0)),"")</f>
        <v>IDR-01045</v>
      </c>
      <c r="N1342" s="384"/>
      <c r="O1342" s="384"/>
    </row>
    <row r="1343" spans="1:15" x14ac:dyDescent="0.3">
      <c r="A1343" s="384" t="b">
        <f t="shared" ca="1" si="132"/>
        <v>1</v>
      </c>
      <c r="B1343" s="384"/>
      <c r="C1343" s="400" t="str">
        <f ca="1">IF(COUNTA(O$1189:O1343)=1,"",OFFSET(B1343,-COUNTA(O$1189:O1343)+1,1))</f>
        <v>a1GDm000000XmkoMAC</v>
      </c>
      <c r="D1343" s="389"/>
      <c r="E1343" s="386" t="str">
        <f ca="1">IFERROR(IF(VLOOKUP(C1343,' Disaggregation - Section E '!A$7:J461,7,0)="","",VLOOKUP(C1343,' Disaggregation - Section E '!A$7:J165,7,0)*100),"")</f>
        <v/>
      </c>
      <c r="F1343" s="388" t="str">
        <f ca="1">IFERROR(IF(VLOOKUP(C1343,' Disaggregation - Section E '!A$7:J461,5,0)=0,"",VLOOKUP(C1343,' Disaggregation - Section E '!A$7:J461,5,0)),"")</f>
        <v>Male 15-19</v>
      </c>
      <c r="G1343" s="387">
        <f ca="1">IFERROR(IF(VLOOKUP(C1343,' Disaggregation - Section E '!A$7:J461,6,0)="","",VLOOKUP(C1343,' Disaggregation - Section E '!A$7:J461,6,0)),"")</f>
        <v>1</v>
      </c>
      <c r="H1343" s="387" t="str">
        <f ca="1">IFERROR(IF(INDEX(' Disaggregation - Section E '!F$7:F461,MATCH(C1343,' Disaggregation - Section E '!A$7:A461,0)+1,1)&lt;&gt;0,INDEX(' Disaggregation - Section E '!F$7:F461,MATCH(C1343,' Disaggregation - Section E '!A$7:A461,0)+1,1),""),"")</f>
        <v/>
      </c>
      <c r="I1343" s="388">
        <f ca="1">IFERROR(IF(VLOOKUP(C1343,' Disaggregation - Section E '!A$7:J461,8,0)=0,"",VLOOKUP(C1343,' Disaggregation - Section E '!A$7:J461,8,0)),"")</f>
        <v>2021</v>
      </c>
      <c r="J1343" s="388" t="str">
        <f ca="1">IFERROR(IF(VLOOKUP(C1343,' Disaggregation - Section E '!A$7:J461,9,0)="","",VLOOKUP(C1343,' Disaggregation - Section E '!A$7:J461,9,0)),"")</f>
        <v>Electronic HIV Case Tracking System and RCHV&amp;HIV report</v>
      </c>
      <c r="K1343" s="384" t="str">
        <f ca="1">IFERROR(VLOOKUP(C1343,' Disaggregation - Section E '!A$7:J461,3,0),"")</f>
        <v>HIV I-4 Number of AIDS-related deaths per 100,000 population</v>
      </c>
      <c r="L1343" s="388" t="str">
        <f ca="1">IFERROR(IF(VLOOKUP(C1343,' Disaggregation - Section E '!A$7:J461,10,0)="","",VLOOKUP(C1343,' Disaggregation - Section E '!A$7:J461,10,0)),"")</f>
        <v>AIDS deaths for 2021 are presented as the baseline (40). The largest number of deaths among men, in the age category of 15 years and older.</v>
      </c>
      <c r="M1343" s="384" t="str">
        <f ca="1">IFERROR(IF(VLOOKUP(C1343,' Disaggregation - Section E '!A$7:O461,15,0)=0,"",VLOOKUP(C1343,' Disaggregation - Section E '!A$7:O461,15,0)),"")</f>
        <v>IDR-01044</v>
      </c>
      <c r="N1343" s="384"/>
      <c r="O1343" s="384"/>
    </row>
    <row r="1344" spans="1:15" x14ac:dyDescent="0.3">
      <c r="A1344" s="384" t="b">
        <f t="shared" ca="1" si="132"/>
        <v>1</v>
      </c>
      <c r="B1344" s="384"/>
      <c r="C1344" s="400" t="str">
        <f ca="1">IF(COUNTA(O$1189:O1344)=1,"",OFFSET(B1344,-COUNTA(O$1189:O1344)+1,1))</f>
        <v>a1GDm000000XmkpMAC</v>
      </c>
      <c r="D1344" s="389"/>
      <c r="E1344" s="386" t="str">
        <f ca="1">IFERROR(IF(VLOOKUP(C1344,' Disaggregation - Section E '!A$7:J462,7,0)="","",VLOOKUP(C1344,' Disaggregation - Section E '!A$7:J166,7,0)*100),"")</f>
        <v/>
      </c>
      <c r="F1344" s="388" t="str">
        <f ca="1">IFERROR(IF(VLOOKUP(C1344,' Disaggregation - Section E '!A$7:J462,5,0)=0,"",VLOOKUP(C1344,' Disaggregation - Section E '!A$7:J462,5,0)),"")</f>
        <v>Male</v>
      </c>
      <c r="G1344" s="387">
        <f ca="1">IFERROR(IF(VLOOKUP(C1344,' Disaggregation - Section E '!A$7:J462,6,0)="","",VLOOKUP(C1344,' Disaggregation - Section E '!A$7:J462,6,0)),"")</f>
        <v>28</v>
      </c>
      <c r="H1344" s="387" t="str">
        <f ca="1">IFERROR(IF(INDEX(' Disaggregation - Section E '!F$7:F462,MATCH(C1344,' Disaggregation - Section E '!A$7:A462,0)+1,1)&lt;&gt;0,INDEX(' Disaggregation - Section E '!F$7:F462,MATCH(C1344,' Disaggregation - Section E '!A$7:A462,0)+1,1),""),"")</f>
        <v/>
      </c>
      <c r="I1344" s="388">
        <f ca="1">IFERROR(IF(VLOOKUP(C1344,' Disaggregation - Section E '!A$7:J462,8,0)=0,"",VLOOKUP(C1344,' Disaggregation - Section E '!A$7:J462,8,0)),"")</f>
        <v>2021</v>
      </c>
      <c r="J1344" s="388" t="str">
        <f ca="1">IFERROR(IF(VLOOKUP(C1344,' Disaggregation - Section E '!A$7:J462,9,0)="","",VLOOKUP(C1344,' Disaggregation - Section E '!A$7:J462,9,0)),"")</f>
        <v>Electronic HIV Case Tracking System and RCHV&amp;HIV report</v>
      </c>
      <c r="K1344" s="384" t="str">
        <f ca="1">IFERROR(VLOOKUP(C1344,' Disaggregation - Section E '!A$7:J462,3,0),"")</f>
        <v>HIV I-4 Number of AIDS-related deaths per 100,000 population</v>
      </c>
      <c r="L1344" s="388" t="str">
        <f ca="1">IFERROR(IF(VLOOKUP(C1344,' Disaggregation - Section E '!A$7:J462,10,0)="","",VLOOKUP(C1344,' Disaggregation - Section E '!A$7:J462,10,0)),"")</f>
        <v>AIDS deaths for 2021 are presented as the baseline (40). The largest number of deaths among men, in the age category of 15 years and older.</v>
      </c>
      <c r="M1344" s="384" t="str">
        <f ca="1">IFERROR(IF(VLOOKUP(C1344,' Disaggregation - Section E '!A$7:O462,15,0)=0,"",VLOOKUP(C1344,' Disaggregation - Section E '!A$7:O462,15,0)),"")</f>
        <v>IDR-01043</v>
      </c>
      <c r="N1344" s="384"/>
      <c r="O1344" s="384"/>
    </row>
    <row r="1345" spans="1:15" x14ac:dyDescent="0.3">
      <c r="A1345" s="384" t="b">
        <f t="shared" ca="1" si="132"/>
        <v>1</v>
      </c>
      <c r="B1345" s="384"/>
      <c r="C1345" s="400" t="str">
        <f ca="1">IF(COUNTA(O$1189:O1345)=1,"",OFFSET(B1345,-COUNTA(O$1189:O1345)+1,1))</f>
        <v>a1GDm000000XmkqMAC</v>
      </c>
      <c r="D1345" s="389"/>
      <c r="E1345" s="386" t="str">
        <f ca="1">IFERROR(IF(VLOOKUP(C1345,' Disaggregation - Section E '!A$7:J463,7,0)="","",VLOOKUP(C1345,' Disaggregation - Section E '!A$7:J167,7,0)*100),"")</f>
        <v/>
      </c>
      <c r="F1345" s="388" t="str">
        <f ca="1">IFERROR(IF(VLOOKUP(C1345,' Disaggregation - Section E '!A$7:J463,5,0)=0,"",VLOOKUP(C1345,' Disaggregation - Section E '!A$7:J463,5,0)),"")</f>
        <v>5-14</v>
      </c>
      <c r="G1345" s="387">
        <f ca="1">IFERROR(IF(VLOOKUP(C1345,' Disaggregation - Section E '!A$7:J463,6,0)="","",VLOOKUP(C1345,' Disaggregation - Section E '!A$7:J463,6,0)),"")</f>
        <v>0</v>
      </c>
      <c r="H1345" s="387" t="str">
        <f ca="1">IFERROR(IF(INDEX(' Disaggregation - Section E '!F$7:F463,MATCH(C1345,' Disaggregation - Section E '!A$7:A463,0)+1,1)&lt;&gt;0,INDEX(' Disaggregation - Section E '!F$7:F463,MATCH(C1345,' Disaggregation - Section E '!A$7:A463,0)+1,1),""),"")</f>
        <v/>
      </c>
      <c r="I1345" s="388">
        <f ca="1">IFERROR(IF(VLOOKUP(C1345,' Disaggregation - Section E '!A$7:J463,8,0)=0,"",VLOOKUP(C1345,' Disaggregation - Section E '!A$7:J463,8,0)),"")</f>
        <v>2021</v>
      </c>
      <c r="J1345" s="388" t="str">
        <f ca="1">IFERROR(IF(VLOOKUP(C1345,' Disaggregation - Section E '!A$7:J463,9,0)="","",VLOOKUP(C1345,' Disaggregation - Section E '!A$7:J463,9,0)),"")</f>
        <v>Electronic HIV Case Tracking System and RCHV&amp;HIV report</v>
      </c>
      <c r="K1345" s="384" t="str">
        <f ca="1">IFERROR(VLOOKUP(C1345,' Disaggregation - Section E '!A$7:J463,3,0),"")</f>
        <v>HIV I-4 Number of AIDS-related deaths per 100,000 population</v>
      </c>
      <c r="L1345" s="388" t="str">
        <f ca="1">IFERROR(IF(VLOOKUP(C1345,' Disaggregation - Section E '!A$7:J463,10,0)="","",VLOOKUP(C1345,' Disaggregation - Section E '!A$7:J463,10,0)),"")</f>
        <v>AIDS deaths for 2021 are presented as the baseline (40). The largest number of deaths among men, in the age category of 15 years and older.</v>
      </c>
      <c r="M1345" s="384" t="str">
        <f ca="1">IFERROR(IF(VLOOKUP(C1345,' Disaggregation - Section E '!A$7:O463,15,0)=0,"",VLOOKUP(C1345,' Disaggregation - Section E '!A$7:O463,15,0)),"")</f>
        <v>IDR-01042</v>
      </c>
      <c r="N1345" s="384"/>
      <c r="O1345" s="384"/>
    </row>
    <row r="1346" spans="1:15" x14ac:dyDescent="0.3">
      <c r="A1346" s="384" t="b">
        <f t="shared" ca="1" si="132"/>
        <v>1</v>
      </c>
      <c r="B1346" s="384"/>
      <c r="C1346" s="400" t="str">
        <f ca="1">IF(COUNTA(O$1189:O1346)=1,"",OFFSET(B1346,-COUNTA(O$1189:O1346)+1,1))</f>
        <v>a1GDm000000XmkrMAC</v>
      </c>
      <c r="D1346" s="389"/>
      <c r="E1346" s="386" t="str">
        <f ca="1">IFERROR(IF(VLOOKUP(C1346,' Disaggregation - Section E '!A$7:J464,7,0)="","",VLOOKUP(C1346,' Disaggregation - Section E '!A$7:J168,7,0)*100),"")</f>
        <v/>
      </c>
      <c r="F1346" s="388" t="str">
        <f ca="1">IFERROR(IF(VLOOKUP(C1346,' Disaggregation - Section E '!A$7:J464,5,0)=0,"",VLOOKUP(C1346,' Disaggregation - Section E '!A$7:J464,5,0)),"")</f>
        <v>Female 20-24</v>
      </c>
      <c r="G1346" s="387">
        <f ca="1">IFERROR(IF(VLOOKUP(C1346,' Disaggregation - Section E '!A$7:J464,6,0)="","",VLOOKUP(C1346,' Disaggregation - Section E '!A$7:J464,6,0)),"")</f>
        <v>0</v>
      </c>
      <c r="H1346" s="387" t="str">
        <f ca="1">IFERROR(IF(INDEX(' Disaggregation - Section E '!F$7:F464,MATCH(C1346,' Disaggregation - Section E '!A$7:A464,0)+1,1)&lt;&gt;0,INDEX(' Disaggregation - Section E '!F$7:F464,MATCH(C1346,' Disaggregation - Section E '!A$7:A464,0)+1,1),""),"")</f>
        <v/>
      </c>
      <c r="I1346" s="388">
        <f ca="1">IFERROR(IF(VLOOKUP(C1346,' Disaggregation - Section E '!A$7:J464,8,0)=0,"",VLOOKUP(C1346,' Disaggregation - Section E '!A$7:J464,8,0)),"")</f>
        <v>2021</v>
      </c>
      <c r="J1346" s="388" t="str">
        <f ca="1">IFERROR(IF(VLOOKUP(C1346,' Disaggregation - Section E '!A$7:J464,9,0)="","",VLOOKUP(C1346,' Disaggregation - Section E '!A$7:J464,9,0)),"")</f>
        <v>Electronic HIV Case Tracking System and RCHV&amp;HIV report</v>
      </c>
      <c r="K1346" s="384" t="str">
        <f ca="1">IFERROR(VLOOKUP(C1346,' Disaggregation - Section E '!A$7:J464,3,0),"")</f>
        <v>HIV I-4 Number of AIDS-related deaths per 100,000 population</v>
      </c>
      <c r="L1346" s="388" t="str">
        <f ca="1">IFERROR(IF(VLOOKUP(C1346,' Disaggregation - Section E '!A$7:J464,10,0)="","",VLOOKUP(C1346,' Disaggregation - Section E '!A$7:J464,10,0)),"")</f>
        <v>AIDS deaths for 2021 are presented as the baseline (40). The largest number of deaths among men, in the age category of 15 years and older.</v>
      </c>
      <c r="M1346" s="384" t="str">
        <f ca="1">IFERROR(IF(VLOOKUP(C1346,' Disaggregation - Section E '!A$7:O464,15,0)=0,"",VLOOKUP(C1346,' Disaggregation - Section E '!A$7:O464,15,0)),"")</f>
        <v>IDR-01041</v>
      </c>
      <c r="N1346" s="384"/>
      <c r="O1346" s="384"/>
    </row>
    <row r="1347" spans="1:15" x14ac:dyDescent="0.3">
      <c r="A1347" s="384" t="b">
        <f t="shared" ca="1" si="132"/>
        <v>1</v>
      </c>
      <c r="B1347" s="384"/>
      <c r="C1347" s="400" t="str">
        <f ca="1">IF(COUNTA(O$1189:O1347)=1,"",OFFSET(B1347,-COUNTA(O$1189:O1347)+1,1))</f>
        <v>a1GDm000000XmksMAC</v>
      </c>
      <c r="D1347" s="389"/>
      <c r="E1347" s="386" t="str">
        <f ca="1">IFERROR(IF(VLOOKUP(C1347,' Disaggregation - Section E '!A$7:J465,7,0)="","",VLOOKUP(C1347,' Disaggregation - Section E '!A$7:J169,7,0)*100),"")</f>
        <v/>
      </c>
      <c r="F1347" s="388" t="str">
        <f ca="1">IFERROR(IF(VLOOKUP(C1347,' Disaggregation - Section E '!A$7:J465,5,0)=0,"",VLOOKUP(C1347,' Disaggregation - Section E '!A$7:J465,5,0)),"")</f>
        <v>Female 15-19</v>
      </c>
      <c r="G1347" s="387">
        <f ca="1">IFERROR(IF(VLOOKUP(C1347,' Disaggregation - Section E '!A$7:J465,6,0)="","",VLOOKUP(C1347,' Disaggregation - Section E '!A$7:J465,6,0)),"")</f>
        <v>1</v>
      </c>
      <c r="H1347" s="387" t="str">
        <f ca="1">IFERROR(IF(INDEX(' Disaggregation - Section E '!F$7:F465,MATCH(C1347,' Disaggregation - Section E '!A$7:A465,0)+1,1)&lt;&gt;0,INDEX(' Disaggregation - Section E '!F$7:F465,MATCH(C1347,' Disaggregation - Section E '!A$7:A465,0)+1,1),""),"")</f>
        <v/>
      </c>
      <c r="I1347" s="388">
        <f ca="1">IFERROR(IF(VLOOKUP(C1347,' Disaggregation - Section E '!A$7:J465,8,0)=0,"",VLOOKUP(C1347,' Disaggregation - Section E '!A$7:J465,8,0)),"")</f>
        <v>2021</v>
      </c>
      <c r="J1347" s="388" t="str">
        <f ca="1">IFERROR(IF(VLOOKUP(C1347,' Disaggregation - Section E '!A$7:J465,9,0)="","",VLOOKUP(C1347,' Disaggregation - Section E '!A$7:J465,9,0)),"")</f>
        <v>Electronic HIV Case Tracking System and RCHV&amp;HIV report</v>
      </c>
      <c r="K1347" s="384" t="str">
        <f ca="1">IFERROR(VLOOKUP(C1347,' Disaggregation - Section E '!A$7:J465,3,0),"")</f>
        <v>HIV I-4 Number of AIDS-related deaths per 100,000 population</v>
      </c>
      <c r="L1347" s="388" t="str">
        <f ca="1">IFERROR(IF(VLOOKUP(C1347,' Disaggregation - Section E '!A$7:J465,10,0)="","",VLOOKUP(C1347,' Disaggregation - Section E '!A$7:J465,10,0)),"")</f>
        <v>AIDS deaths for 2021 are presented as the baseline (40). The largest number of deaths among men, in the age category of 15 years and older.</v>
      </c>
      <c r="M1347" s="384" t="str">
        <f ca="1">IFERROR(IF(VLOOKUP(C1347,' Disaggregation - Section E '!A$7:O465,15,0)=0,"",VLOOKUP(C1347,' Disaggregation - Section E '!A$7:O465,15,0)),"")</f>
        <v>IDR-01040</v>
      </c>
      <c r="N1347" s="384"/>
      <c r="O1347" s="384"/>
    </row>
    <row r="1348" spans="1:15" x14ac:dyDescent="0.3">
      <c r="A1348" s="384" t="b">
        <f t="shared" ca="1" si="132"/>
        <v>1</v>
      </c>
      <c r="B1348" s="384"/>
      <c r="C1348" s="400" t="str">
        <f ca="1">IF(COUNTA(O$1189:O1348)=1,"",OFFSET(B1348,-COUNTA(O$1189:O1348)+1,1))</f>
        <v>a1GDm000000XmktMAC</v>
      </c>
      <c r="D1348" s="389"/>
      <c r="E1348" s="386" t="str">
        <f ca="1">IFERROR(IF(VLOOKUP(C1348,' Disaggregation - Section E '!A$7:J466,7,0)="","",VLOOKUP(C1348,' Disaggregation - Section E '!A$7:J170,7,0)*100),"")</f>
        <v/>
      </c>
      <c r="F1348" s="388" t="str">
        <f ca="1">IFERROR(IF(VLOOKUP(C1348,' Disaggregation - Section E '!A$7:J466,5,0)=0,"",VLOOKUP(C1348,' Disaggregation - Section E '!A$7:J466,5,0)),"")</f>
        <v>&lt;5</v>
      </c>
      <c r="G1348" s="387">
        <f ca="1">IFERROR(IF(VLOOKUP(C1348,' Disaggregation - Section E '!A$7:J466,6,0)="","",VLOOKUP(C1348,' Disaggregation - Section E '!A$7:J466,6,0)),"")</f>
        <v>2</v>
      </c>
      <c r="H1348" s="387" t="str">
        <f ca="1">IFERROR(IF(INDEX(' Disaggregation - Section E '!F$7:F466,MATCH(C1348,' Disaggregation - Section E '!A$7:A466,0)+1,1)&lt;&gt;0,INDEX(' Disaggregation - Section E '!F$7:F466,MATCH(C1348,' Disaggregation - Section E '!A$7:A466,0)+1,1),""),"")</f>
        <v/>
      </c>
      <c r="I1348" s="388">
        <f ca="1">IFERROR(IF(VLOOKUP(C1348,' Disaggregation - Section E '!A$7:J466,8,0)=0,"",VLOOKUP(C1348,' Disaggregation - Section E '!A$7:J466,8,0)),"")</f>
        <v>2021</v>
      </c>
      <c r="J1348" s="388" t="str">
        <f ca="1">IFERROR(IF(VLOOKUP(C1348,' Disaggregation - Section E '!A$7:J466,9,0)="","",VLOOKUP(C1348,' Disaggregation - Section E '!A$7:J466,9,0)),"")</f>
        <v>Electronic HIV Case Tracking System and RCHV&amp;HIV report</v>
      </c>
      <c r="K1348" s="384" t="str">
        <f ca="1">IFERROR(VLOOKUP(C1348,' Disaggregation - Section E '!A$7:J466,3,0),"")</f>
        <v>HIV I-4 Number of AIDS-related deaths per 100,000 population</v>
      </c>
      <c r="L1348" s="388" t="str">
        <f ca="1">IFERROR(IF(VLOOKUP(C1348,' Disaggregation - Section E '!A$7:J466,10,0)="","",VLOOKUP(C1348,' Disaggregation - Section E '!A$7:J466,10,0)),"")</f>
        <v>AIDS deaths for 2021 are presented as the baseline (40). The largest number of deaths among men, in the age category of 15 years and older.</v>
      </c>
      <c r="M1348" s="384" t="str">
        <f ca="1">IFERROR(IF(VLOOKUP(C1348,' Disaggregation - Section E '!A$7:O466,15,0)=0,"",VLOOKUP(C1348,' Disaggregation - Section E '!A$7:O466,15,0)),"")</f>
        <v>IDR-01039</v>
      </c>
      <c r="N1348" s="384"/>
      <c r="O1348" s="384"/>
    </row>
    <row r="1349" spans="1:15" x14ac:dyDescent="0.3">
      <c r="A1349" s="384" t="b">
        <f t="shared" ca="1" si="132"/>
        <v>1</v>
      </c>
      <c r="B1349" s="384"/>
      <c r="C1349" s="400" t="str">
        <f ca="1">IF(COUNTA(O$1189:O1349)=1,"",OFFSET(B1349,-COUNTA(O$1189:O1349)+1,1))</f>
        <v>a1GDm000000XmkuMAC</v>
      </c>
      <c r="D1349" s="389"/>
      <c r="E1349" s="386" t="str">
        <f ca="1">IFERROR(IF(VLOOKUP(C1349,' Disaggregation - Section E '!A$7:J467,7,0)="","",VLOOKUP(C1349,' Disaggregation - Section E '!A$7:J171,7,0)*100),"")</f>
        <v/>
      </c>
      <c r="F1349" s="388" t="str">
        <f ca="1">IFERROR(IF(VLOOKUP(C1349,' Disaggregation - Section E '!A$7:J467,5,0)=0,"",VLOOKUP(C1349,' Disaggregation - Section E '!A$7:J467,5,0)),"")</f>
        <v>Female</v>
      </c>
      <c r="G1349" s="387">
        <f ca="1">IFERROR(IF(VLOOKUP(C1349,' Disaggregation - Section E '!A$7:J467,6,0)="","",VLOOKUP(C1349,' Disaggregation - Section E '!A$7:J467,6,0)),"")</f>
        <v>12</v>
      </c>
      <c r="H1349" s="387" t="str">
        <f ca="1">IFERROR(IF(INDEX(' Disaggregation - Section E '!F$7:F467,MATCH(C1349,' Disaggregation - Section E '!A$7:A467,0)+1,1)&lt;&gt;0,INDEX(' Disaggregation - Section E '!F$7:F467,MATCH(C1349,' Disaggregation - Section E '!A$7:A467,0)+1,1),""),"")</f>
        <v/>
      </c>
      <c r="I1349" s="388">
        <f ca="1">IFERROR(IF(VLOOKUP(C1349,' Disaggregation - Section E '!A$7:J467,8,0)=0,"",VLOOKUP(C1349,' Disaggregation - Section E '!A$7:J467,8,0)),"")</f>
        <v>2021</v>
      </c>
      <c r="J1349" s="388" t="str">
        <f ca="1">IFERROR(IF(VLOOKUP(C1349,' Disaggregation - Section E '!A$7:J467,9,0)="","",VLOOKUP(C1349,' Disaggregation - Section E '!A$7:J467,9,0)),"")</f>
        <v>Electronic HIV Case Tracking System and RCHV&amp;HIV report</v>
      </c>
      <c r="K1349" s="384" t="str">
        <f ca="1">IFERROR(VLOOKUP(C1349,' Disaggregation - Section E '!A$7:J467,3,0),"")</f>
        <v>HIV I-4 Number of AIDS-related deaths per 100,000 population</v>
      </c>
      <c r="L1349" s="388" t="str">
        <f ca="1">IFERROR(IF(VLOOKUP(C1349,' Disaggregation - Section E '!A$7:J467,10,0)="","",VLOOKUP(C1349,' Disaggregation - Section E '!A$7:J467,10,0)),"")</f>
        <v>AIDS deaths for 2021 are presented as the baseline (40). The largest number of deaths among men, in the age category of 15 years and older.</v>
      </c>
      <c r="M1349" s="384" t="str">
        <f ca="1">IFERROR(IF(VLOOKUP(C1349,' Disaggregation - Section E '!A$7:O467,15,0)=0,"",VLOOKUP(C1349,' Disaggregation - Section E '!A$7:O467,15,0)),"")</f>
        <v>IDR-01038</v>
      </c>
      <c r="N1349" s="384"/>
      <c r="O1349" s="384"/>
    </row>
    <row r="1350" spans="1:15" x14ac:dyDescent="0.3">
      <c r="A1350" s="384" t="b">
        <f t="shared" ca="1" si="132"/>
        <v>0</v>
      </c>
      <c r="B1350" s="384"/>
      <c r="C1350" s="400" t="str">
        <f ca="1">IF(COUNTA(O$1189:O1350)=1,"",OFFSET(B1350,-COUNTA(O$1189:O1350)+1,1))</f>
        <v>a1GDm000000XmkvMAC</v>
      </c>
      <c r="D1350" s="389"/>
      <c r="E1350" s="386" t="str">
        <f ca="1">IFERROR(IF(VLOOKUP(C1350,' Disaggregation - Section E '!A$7:J468,7,0)="","",VLOOKUP(C1350,' Disaggregation - Section E '!A$7:J172,7,0)*100),"")</f>
        <v/>
      </c>
      <c r="F1350" s="388" t="str">
        <f ca="1">IFERROR(IF(VLOOKUP(C1350,' Disaggregation - Section E '!A$7:J468,5,0)=0,"",VLOOKUP(C1350,' Disaggregation - Section E '!A$7:J468,5,0)),"")</f>
        <v/>
      </c>
      <c r="G1350" s="387" t="str">
        <f ca="1">IFERROR(IF(VLOOKUP(C1350,' Disaggregation - Section E '!A$7:J468,6,0)="","",VLOOKUP(C1350,' Disaggregation - Section E '!A$7:J468,6,0)),"")</f>
        <v/>
      </c>
      <c r="H1350" s="387" t="str">
        <f ca="1">IFERROR(IF(INDEX(' Disaggregation - Section E '!F$7:F468,MATCH(C1350,' Disaggregation - Section E '!A$7:A468,0)+1,1)&lt;&gt;0,INDEX(' Disaggregation - Section E '!F$7:F468,MATCH(C1350,' Disaggregation - Section E '!A$7:A468,0)+1,1),""),"")</f>
        <v/>
      </c>
      <c r="I1350" s="388" t="str">
        <f ca="1">IFERROR(IF(VLOOKUP(C1350,' Disaggregation - Section E '!A$7:J468,8,0)=0,"",VLOOKUP(C1350,' Disaggregation - Section E '!A$7:J468,8,0)),"")</f>
        <v/>
      </c>
      <c r="J1350" s="388" t="str">
        <f ca="1">IFERROR(IF(VLOOKUP(C1350,' Disaggregation - Section E '!A$7:J468,9,0)="","",VLOOKUP(C1350,' Disaggregation - Section E '!A$7:J468,9,0)),"")</f>
        <v/>
      </c>
      <c r="K1350" s="384" t="str">
        <f ca="1">IFERROR(VLOOKUP(C1350,' Disaggregation - Section E '!A$7:J468,3,0),"")</f>
        <v>HIV I-4 Number of AIDS-related deaths per 100,000 population</v>
      </c>
      <c r="L1350" s="388" t="str">
        <f ca="1">IFERROR(IF(VLOOKUP(C1350,' Disaggregation - Section E '!A$7:J468,10,0)="","",VLOOKUP(C1350,' Disaggregation - Section E '!A$7:J468,10,0)),"")</f>
        <v/>
      </c>
      <c r="M1350" s="384" t="str">
        <f ca="1">IFERROR(IF(VLOOKUP(C1350,' Disaggregation - Section E '!A$7:O468,15,0)=0,"",VLOOKUP(C1350,' Disaggregation - Section E '!A$7:O468,15,0)),"")</f>
        <v/>
      </c>
      <c r="N1350" s="384"/>
      <c r="O1350" s="384"/>
    </row>
    <row r="1351" spans="1:15" x14ac:dyDescent="0.3">
      <c r="A1351" s="384" t="b">
        <f t="shared" ca="1" si="132"/>
        <v>1</v>
      </c>
      <c r="B1351" s="384"/>
      <c r="C1351" s="400" t="str">
        <f ca="1">IF(COUNTA(O$1189:O1351)=1,"",OFFSET(B1351,-COUNTA(O$1189:O1351)+1,1))</f>
        <v>a1GDm000000XmkwMAC</v>
      </c>
      <c r="D1351" s="389"/>
      <c r="E1351" s="386">
        <f ca="1">IFERROR(IF(VLOOKUP(C1351,' Disaggregation - Section E '!A$7:J469,7,0)="","",VLOOKUP(C1351,' Disaggregation - Section E '!A$7:J173,7,0)*100),"")</f>
        <v>23.015873015873016</v>
      </c>
      <c r="F1351" s="388" t="str">
        <f ca="1">IFERROR(IF(VLOOKUP(C1351,' Disaggregation - Section E '!A$7:J469,5,0)=0,"",VLOOKUP(C1351,' Disaggregation - Section E '!A$7:J469,5,0)),"")</f>
        <v>25+</v>
      </c>
      <c r="G1351" s="387">
        <f ca="1">IFERROR(IF(VLOOKUP(C1351,' Disaggregation - Section E '!A$7:J469,6,0)="","",VLOOKUP(C1351,' Disaggregation - Section E '!A$7:J469,6,0)),"")</f>
        <v>29</v>
      </c>
      <c r="H1351" s="387">
        <f ca="1">IFERROR(IF(INDEX(' Disaggregation - Section E '!F$7:F469,MATCH(C1351,' Disaggregation - Section E '!A$7:A469,0)+1,1)&lt;&gt;0,INDEX(' Disaggregation - Section E '!F$7:F469,MATCH(C1351,' Disaggregation - Section E '!A$7:A469,0)+1,1),""),"")</f>
        <v>126</v>
      </c>
      <c r="I1351" s="388">
        <f ca="1">IFERROR(IF(VLOOKUP(C1351,' Disaggregation - Section E '!A$7:J469,8,0)=0,"",VLOOKUP(C1351,' Disaggregation - Section E '!A$7:J469,8,0)),"")</f>
        <v>2021</v>
      </c>
      <c r="J1351" s="388" t="str">
        <f ca="1">IFERROR(IF(VLOOKUP(C1351,' Disaggregation - Section E '!A$7:J469,9,0)="","",VLOOKUP(C1351,' Disaggregation - Section E '!A$7:J469,9,0)),"")</f>
        <v>IBBS</v>
      </c>
      <c r="K1351" s="384" t="str">
        <f ca="1">IFERROR(VLOOKUP(C1351,' Disaggregation - Section E '!A$7:J469,3,0),"")</f>
        <v>HIV I-9a⁽ᴹ⁾ Percentage of men who have sex with men who are living with HIV</v>
      </c>
      <c r="L1351" s="388" t="str">
        <f ca="1">IFERROR(IF(VLOOKUP(C1351,' Disaggregation - Section E '!A$7:J469,10,0)="","",VLOOKUP(C1351,' Disaggregation - Section E '!A$7:J469,10,0)),"")</f>
        <v xml:space="preserve">As a baseline, the results of the 2021 IBBS are presented, weighted data only for the site of Bishkek, taking into account the size of the social network of respondents. So HIV prevalence among Bishkek MSM was 10.3%. RCHV&amp;HIV report "Biobehavioral study on HIV among people who inject drugs and men who have sex with men in the Kyrgyz Republic, 2021". Numerator: Number of MSM who tested positive for HIV in this age group Denominator: Number of MSM tested for HIV in this age group
</v>
      </c>
      <c r="M1351" s="384" t="str">
        <f ca="1">IFERROR(IF(VLOOKUP(C1351,' Disaggregation - Section E '!A$7:O469,15,0)=0,"",VLOOKUP(C1351,' Disaggregation - Section E '!A$7:O469,15,0)),"")</f>
        <v>IDR-01048</v>
      </c>
      <c r="N1351" s="384"/>
      <c r="O1351" s="384"/>
    </row>
    <row r="1352" spans="1:15" x14ac:dyDescent="0.3">
      <c r="A1352" s="384" t="b">
        <f t="shared" ca="1" si="132"/>
        <v>1</v>
      </c>
      <c r="B1352" s="384"/>
      <c r="C1352" s="400" t="str">
        <f ca="1">IF(COUNTA(O$1189:O1352)=1,"",OFFSET(B1352,-COUNTA(O$1189:O1352)+1,1))</f>
        <v>a1GDm000000XmkxMAC</v>
      </c>
      <c r="D1352" s="389"/>
      <c r="E1352" s="386">
        <f ca="1">IFERROR(IF(VLOOKUP(C1352,' Disaggregation - Section E '!A$7:J470,7,0)="","",VLOOKUP(C1352,' Disaggregation - Section E '!A$7:J174,7,0)*100),"")</f>
        <v>4.1666666666666661</v>
      </c>
      <c r="F1352" s="388" t="str">
        <f ca="1">IFERROR(IF(VLOOKUP(C1352,' Disaggregation - Section E '!A$7:J470,5,0)=0,"",VLOOKUP(C1352,' Disaggregation - Section E '!A$7:J470,5,0)),"")</f>
        <v>&lt;25</v>
      </c>
      <c r="G1352" s="387">
        <f ca="1">IFERROR(IF(VLOOKUP(C1352,' Disaggregation - Section E '!A$7:J470,6,0)="","",VLOOKUP(C1352,' Disaggregation - Section E '!A$7:J470,6,0)),"")</f>
        <v>5</v>
      </c>
      <c r="H1352" s="387">
        <f ca="1">IFERROR(IF(INDEX(' Disaggregation - Section E '!F$7:F470,MATCH(C1352,' Disaggregation - Section E '!A$7:A470,0)+1,1)&lt;&gt;0,INDEX(' Disaggregation - Section E '!F$7:F470,MATCH(C1352,' Disaggregation - Section E '!A$7:A470,0)+1,1),""),"")</f>
        <v>120</v>
      </c>
      <c r="I1352" s="388">
        <f ca="1">IFERROR(IF(VLOOKUP(C1352,' Disaggregation - Section E '!A$7:J470,8,0)=0,"",VLOOKUP(C1352,' Disaggregation - Section E '!A$7:J470,8,0)),"")</f>
        <v>2021</v>
      </c>
      <c r="J1352" s="388" t="str">
        <f ca="1">IFERROR(IF(VLOOKUP(C1352,' Disaggregation - Section E '!A$7:J470,9,0)="","",VLOOKUP(C1352,' Disaggregation - Section E '!A$7:J470,9,0)),"")</f>
        <v>IBBS</v>
      </c>
      <c r="K1352" s="384" t="str">
        <f ca="1">IFERROR(VLOOKUP(C1352,' Disaggregation - Section E '!A$7:J470,3,0),"")</f>
        <v>HIV I-9a⁽ᴹ⁾ Percentage of men who have sex with men who are living with HIV</v>
      </c>
      <c r="L1352" s="388" t="str">
        <f ca="1">IFERROR(IF(VLOOKUP(C1352,' Disaggregation - Section E '!A$7:J470,10,0)="","",VLOOKUP(C1352,' Disaggregation - Section E '!A$7:J470,10,0)),"")</f>
        <v xml:space="preserve">As a baseline, the results of the 2021 IBBS are presented, weighted data only for the site of Bishkek, taking into account the size of the social network of respondents. So HIV prevalence among Bishkek MSM was 10.3%. RCHV&amp;HIV report "Biobehavioral study on HIV among people who inject drugs and men who have sex with men in the Kyrgyz Republic, 2021". Numerator: Number of MSM who tested positive for HIV in this age group Denominator: Number of MSM tested for HIV in this age group
</v>
      </c>
      <c r="M1352" s="384" t="str">
        <f ca="1">IFERROR(IF(VLOOKUP(C1352,' Disaggregation - Section E '!A$7:O470,15,0)=0,"",VLOOKUP(C1352,' Disaggregation - Section E '!A$7:O470,15,0)),"")</f>
        <v>IDR-01047</v>
      </c>
      <c r="N1352" s="384"/>
      <c r="O1352" s="384"/>
    </row>
    <row r="1353" spans="1:15" x14ac:dyDescent="0.3">
      <c r="A1353" s="384" t="b">
        <f t="shared" ca="1" si="132"/>
        <v>0</v>
      </c>
      <c r="B1353" s="384"/>
      <c r="C1353" s="400" t="str">
        <f ca="1">IF(COUNTA(O$1189:O1353)=1,"",OFFSET(B1353,-COUNTA(O$1189:O1353)+1,1))</f>
        <v>a1GDm000000XmkyMAC</v>
      </c>
      <c r="D1353" s="389"/>
      <c r="E1353" s="386" t="str">
        <f ca="1">IFERROR(IF(VLOOKUP(C1353,' Disaggregation - Section E '!A$7:J471,7,0)="","",VLOOKUP(C1353,' Disaggregation - Section E '!A$7:J175,7,0)*100),"")</f>
        <v/>
      </c>
      <c r="F1353" s="388" t="str">
        <f ca="1">IFERROR(IF(VLOOKUP(C1353,' Disaggregation - Section E '!A$7:J471,5,0)=0,"",VLOOKUP(C1353,' Disaggregation - Section E '!A$7:J471,5,0)),"")</f>
        <v/>
      </c>
      <c r="G1353" s="387" t="str">
        <f ca="1">IFERROR(IF(VLOOKUP(C1353,' Disaggregation - Section E '!A$7:J471,6,0)="","",VLOOKUP(C1353,' Disaggregation - Section E '!A$7:J471,6,0)),"")</f>
        <v/>
      </c>
      <c r="H1353" s="387" t="str">
        <f ca="1">IFERROR(IF(INDEX(' Disaggregation - Section E '!F$7:F471,MATCH(C1353,' Disaggregation - Section E '!A$7:A471,0)+1,1)&lt;&gt;0,INDEX(' Disaggregation - Section E '!F$7:F471,MATCH(C1353,' Disaggregation - Section E '!A$7:A471,0)+1,1),""),"")</f>
        <v/>
      </c>
      <c r="I1353" s="388" t="str">
        <f ca="1">IFERROR(IF(VLOOKUP(C1353,' Disaggregation - Section E '!A$7:J471,8,0)=0,"",VLOOKUP(C1353,' Disaggregation - Section E '!A$7:J471,8,0)),"")</f>
        <v/>
      </c>
      <c r="J1353" s="388" t="str">
        <f ca="1">IFERROR(IF(VLOOKUP(C1353,' Disaggregation - Section E '!A$7:J471,9,0)="","",VLOOKUP(C1353,' Disaggregation - Section E '!A$7:J471,9,0)),"")</f>
        <v/>
      </c>
      <c r="K1353" s="384" t="str">
        <f ca="1">IFERROR(VLOOKUP(C1353,' Disaggregation - Section E '!A$7:J471,3,0),"")</f>
        <v>HIV I-9a⁽ᴹ⁾ Percentage of men who have sex with men who are living with HIV</v>
      </c>
      <c r="L1353" s="388" t="str">
        <f ca="1">IFERROR(IF(VLOOKUP(C1353,' Disaggregation - Section E '!A$7:J471,10,0)="","",VLOOKUP(C1353,' Disaggregation - Section E '!A$7:J471,10,0)),"")</f>
        <v/>
      </c>
      <c r="M1353" s="384" t="str">
        <f ca="1">IFERROR(IF(VLOOKUP(C1353,' Disaggregation - Section E '!A$7:O471,15,0)=0,"",VLOOKUP(C1353,' Disaggregation - Section E '!A$7:O471,15,0)),"")</f>
        <v/>
      </c>
      <c r="N1353" s="384"/>
      <c r="O1353" s="384"/>
    </row>
    <row r="1354" spans="1:15" x14ac:dyDescent="0.3">
      <c r="A1354" s="384" t="b">
        <f t="shared" ca="1" si="132"/>
        <v>0</v>
      </c>
      <c r="B1354" s="384"/>
      <c r="C1354" s="400" t="str">
        <f ca="1">IF(COUNTA(O$1189:O1354)=1,"",OFFSET(B1354,-COUNTA(O$1189:O1354)+1,1))</f>
        <v>a1GDm000000XmkzMAC</v>
      </c>
      <c r="D1354" s="389"/>
      <c r="E1354" s="386" t="str">
        <f ca="1">IFERROR(IF(VLOOKUP(C1354,' Disaggregation - Section E '!A$7:J472,7,0)="","",VLOOKUP(C1354,' Disaggregation - Section E '!A$7:J176,7,0)*100),"")</f>
        <v/>
      </c>
      <c r="F1354" s="388" t="str">
        <f ca="1">IFERROR(IF(VLOOKUP(C1354,' Disaggregation - Section E '!A$7:J472,5,0)=0,"",VLOOKUP(C1354,' Disaggregation - Section E '!A$7:J472,5,0)),"")</f>
        <v/>
      </c>
      <c r="G1354" s="387" t="str">
        <f ca="1">IFERROR(IF(VLOOKUP(C1354,' Disaggregation - Section E '!A$7:J472,6,0)="","",VLOOKUP(C1354,' Disaggregation - Section E '!A$7:J472,6,0)),"")</f>
        <v/>
      </c>
      <c r="H1354" s="387" t="str">
        <f ca="1">IFERROR(IF(INDEX(' Disaggregation - Section E '!F$7:F472,MATCH(C1354,' Disaggregation - Section E '!A$7:A472,0)+1,1)&lt;&gt;0,INDEX(' Disaggregation - Section E '!F$7:F472,MATCH(C1354,' Disaggregation - Section E '!A$7:A472,0)+1,1),""),"")</f>
        <v/>
      </c>
      <c r="I1354" s="388" t="str">
        <f ca="1">IFERROR(IF(VLOOKUP(C1354,' Disaggregation - Section E '!A$7:J472,8,0)=0,"",VLOOKUP(C1354,' Disaggregation - Section E '!A$7:J472,8,0)),"")</f>
        <v/>
      </c>
      <c r="J1354" s="388" t="str">
        <f ca="1">IFERROR(IF(VLOOKUP(C1354,' Disaggregation - Section E '!A$7:J472,9,0)="","",VLOOKUP(C1354,' Disaggregation - Section E '!A$7:J472,9,0)),"")</f>
        <v/>
      </c>
      <c r="K1354" s="384" t="str">
        <f ca="1">IFERROR(VLOOKUP(C1354,' Disaggregation - Section E '!A$7:J472,3,0),"")</f>
        <v>HIV I-9a⁽ᴹ⁾ Percentage of men who have sex with men who are living with HIV</v>
      </c>
      <c r="L1354" s="388" t="str">
        <f ca="1">IFERROR(IF(VLOOKUP(C1354,' Disaggregation - Section E '!A$7:J472,10,0)="","",VLOOKUP(C1354,' Disaggregation - Section E '!A$7:J472,10,0)),"")</f>
        <v/>
      </c>
      <c r="M1354" s="384" t="str">
        <f ca="1">IFERROR(IF(VLOOKUP(C1354,' Disaggregation - Section E '!A$7:O472,15,0)=0,"",VLOOKUP(C1354,' Disaggregation - Section E '!A$7:O472,15,0)),"")</f>
        <v/>
      </c>
      <c r="N1354" s="384"/>
      <c r="O1354" s="384"/>
    </row>
    <row r="1355" spans="1:15" x14ac:dyDescent="0.3">
      <c r="A1355" s="384" t="b">
        <f t="shared" ca="1" si="132"/>
        <v>0</v>
      </c>
      <c r="B1355" s="384"/>
      <c r="C1355" s="400" t="str">
        <f ca="1">IF(COUNTA(O$1189:O1355)=1,"",OFFSET(B1355,-COUNTA(O$1189:O1355)+1,1))</f>
        <v>a1GDm000000Xml0MAC</v>
      </c>
      <c r="D1355" s="389"/>
      <c r="E1355" s="386" t="str">
        <f ca="1">IFERROR(IF(VLOOKUP(C1355,' Disaggregation - Section E '!A$7:J473,7,0)="","",VLOOKUP(C1355,' Disaggregation - Section E '!A$7:J177,7,0)*100),"")</f>
        <v/>
      </c>
      <c r="F1355" s="388" t="str">
        <f ca="1">IFERROR(IF(VLOOKUP(C1355,' Disaggregation - Section E '!A$7:J473,5,0)=0,"",VLOOKUP(C1355,' Disaggregation - Section E '!A$7:J473,5,0)),"")</f>
        <v/>
      </c>
      <c r="G1355" s="387" t="str">
        <f ca="1">IFERROR(IF(VLOOKUP(C1355,' Disaggregation - Section E '!A$7:J473,6,0)="","",VLOOKUP(C1355,' Disaggregation - Section E '!A$7:J473,6,0)),"")</f>
        <v/>
      </c>
      <c r="H1355" s="387" t="str">
        <f ca="1">IFERROR(IF(INDEX(' Disaggregation - Section E '!F$7:F473,MATCH(C1355,' Disaggregation - Section E '!A$7:A473,0)+1,1)&lt;&gt;0,INDEX(' Disaggregation - Section E '!F$7:F473,MATCH(C1355,' Disaggregation - Section E '!A$7:A473,0)+1,1),""),"")</f>
        <v/>
      </c>
      <c r="I1355" s="388" t="str">
        <f ca="1">IFERROR(IF(VLOOKUP(C1355,' Disaggregation - Section E '!A$7:J473,8,0)=0,"",VLOOKUP(C1355,' Disaggregation - Section E '!A$7:J473,8,0)),"")</f>
        <v/>
      </c>
      <c r="J1355" s="388" t="str">
        <f ca="1">IFERROR(IF(VLOOKUP(C1355,' Disaggregation - Section E '!A$7:J473,9,0)="","",VLOOKUP(C1355,' Disaggregation - Section E '!A$7:J473,9,0)),"")</f>
        <v/>
      </c>
      <c r="K1355" s="384" t="str">
        <f ca="1">IFERROR(VLOOKUP(C1355,' Disaggregation - Section E '!A$7:J473,3,0),"")</f>
        <v>HIV I-9a⁽ᴹ⁾ Percentage of men who have sex with men who are living with HIV</v>
      </c>
      <c r="L1355" s="388" t="str">
        <f ca="1">IFERROR(IF(VLOOKUP(C1355,' Disaggregation - Section E '!A$7:J473,10,0)="","",VLOOKUP(C1355,' Disaggregation - Section E '!A$7:J473,10,0)),"")</f>
        <v/>
      </c>
      <c r="M1355" s="384" t="str">
        <f ca="1">IFERROR(IF(VLOOKUP(C1355,' Disaggregation - Section E '!A$7:O473,15,0)=0,"",VLOOKUP(C1355,' Disaggregation - Section E '!A$7:O473,15,0)),"")</f>
        <v/>
      </c>
      <c r="N1355" s="384"/>
      <c r="O1355" s="384"/>
    </row>
    <row r="1356" spans="1:15" x14ac:dyDescent="0.3">
      <c r="A1356" s="384" t="b">
        <f t="shared" ca="1" si="132"/>
        <v>0</v>
      </c>
      <c r="B1356" s="384"/>
      <c r="C1356" s="400" t="str">
        <f ca="1">IF(COUNTA(O$1189:O1356)=1,"",OFFSET(B1356,-COUNTA(O$1189:O1356)+1,1))</f>
        <v>a1GDm000000Xml1MAC</v>
      </c>
      <c r="D1356" s="389"/>
      <c r="E1356" s="386" t="str">
        <f ca="1">IFERROR(IF(VLOOKUP(C1356,' Disaggregation - Section E '!A$7:J474,7,0)="","",VLOOKUP(C1356,' Disaggregation - Section E '!A$7:J178,7,0)*100),"")</f>
        <v/>
      </c>
      <c r="F1356" s="388" t="str">
        <f ca="1">IFERROR(IF(VLOOKUP(C1356,' Disaggregation - Section E '!A$7:J474,5,0)=0,"",VLOOKUP(C1356,' Disaggregation - Section E '!A$7:J474,5,0)),"")</f>
        <v/>
      </c>
      <c r="G1356" s="387" t="str">
        <f ca="1">IFERROR(IF(VLOOKUP(C1356,' Disaggregation - Section E '!A$7:J474,6,0)="","",VLOOKUP(C1356,' Disaggregation - Section E '!A$7:J474,6,0)),"")</f>
        <v/>
      </c>
      <c r="H1356" s="387" t="str">
        <f ca="1">IFERROR(IF(INDEX(' Disaggregation - Section E '!F$7:F474,MATCH(C1356,' Disaggregation - Section E '!A$7:A474,0)+1,1)&lt;&gt;0,INDEX(' Disaggregation - Section E '!F$7:F474,MATCH(C1356,' Disaggregation - Section E '!A$7:A474,0)+1,1),""),"")</f>
        <v/>
      </c>
      <c r="I1356" s="388" t="str">
        <f ca="1">IFERROR(IF(VLOOKUP(C1356,' Disaggregation - Section E '!A$7:J474,8,0)=0,"",VLOOKUP(C1356,' Disaggregation - Section E '!A$7:J474,8,0)),"")</f>
        <v/>
      </c>
      <c r="J1356" s="388" t="str">
        <f ca="1">IFERROR(IF(VLOOKUP(C1356,' Disaggregation - Section E '!A$7:J474,9,0)="","",VLOOKUP(C1356,' Disaggregation - Section E '!A$7:J474,9,0)),"")</f>
        <v/>
      </c>
      <c r="K1356" s="384" t="str">
        <f ca="1">IFERROR(VLOOKUP(C1356,' Disaggregation - Section E '!A$7:J474,3,0),"")</f>
        <v>HIV I-9a⁽ᴹ⁾ Percentage of men who have sex with men who are living with HIV</v>
      </c>
      <c r="L1356" s="388" t="str">
        <f ca="1">IFERROR(IF(VLOOKUP(C1356,' Disaggregation - Section E '!A$7:J474,10,0)="","",VLOOKUP(C1356,' Disaggregation - Section E '!A$7:J474,10,0)),"")</f>
        <v/>
      </c>
      <c r="M1356" s="384" t="str">
        <f ca="1">IFERROR(IF(VLOOKUP(C1356,' Disaggregation - Section E '!A$7:O474,15,0)=0,"",VLOOKUP(C1356,' Disaggregation - Section E '!A$7:O474,15,0)),"")</f>
        <v/>
      </c>
      <c r="N1356" s="384"/>
      <c r="O1356" s="384"/>
    </row>
    <row r="1357" spans="1:15" x14ac:dyDescent="0.3">
      <c r="A1357" s="384" t="b">
        <f t="shared" ca="1" si="132"/>
        <v>0</v>
      </c>
      <c r="B1357" s="384"/>
      <c r="C1357" s="400" t="str">
        <f ca="1">IF(COUNTA(O$1189:O1357)=1,"",OFFSET(B1357,-COUNTA(O$1189:O1357)+1,1))</f>
        <v>a1GDm000000Xml2MAC</v>
      </c>
      <c r="D1357" s="389"/>
      <c r="E1357" s="386" t="str">
        <f ca="1">IFERROR(IF(VLOOKUP(C1357,' Disaggregation - Section E '!A$7:J475,7,0)="","",VLOOKUP(C1357,' Disaggregation - Section E '!A$7:J179,7,0)*100),"")</f>
        <v/>
      </c>
      <c r="F1357" s="388" t="str">
        <f ca="1">IFERROR(IF(VLOOKUP(C1357,' Disaggregation - Section E '!A$7:J475,5,0)=0,"",VLOOKUP(C1357,' Disaggregation - Section E '!A$7:J475,5,0)),"")</f>
        <v/>
      </c>
      <c r="G1357" s="387" t="str">
        <f ca="1">IFERROR(IF(VLOOKUP(C1357,' Disaggregation - Section E '!A$7:J475,6,0)="","",VLOOKUP(C1357,' Disaggregation - Section E '!A$7:J475,6,0)),"")</f>
        <v/>
      </c>
      <c r="H1357" s="387" t="str">
        <f ca="1">IFERROR(IF(INDEX(' Disaggregation - Section E '!F$7:F475,MATCH(C1357,' Disaggregation - Section E '!A$7:A475,0)+1,1)&lt;&gt;0,INDEX(' Disaggregation - Section E '!F$7:F475,MATCH(C1357,' Disaggregation - Section E '!A$7:A475,0)+1,1),""),"")</f>
        <v/>
      </c>
      <c r="I1357" s="388" t="str">
        <f ca="1">IFERROR(IF(VLOOKUP(C1357,' Disaggregation - Section E '!A$7:J475,8,0)=0,"",VLOOKUP(C1357,' Disaggregation - Section E '!A$7:J475,8,0)),"")</f>
        <v/>
      </c>
      <c r="J1357" s="388" t="str">
        <f ca="1">IFERROR(IF(VLOOKUP(C1357,' Disaggregation - Section E '!A$7:J475,9,0)="","",VLOOKUP(C1357,' Disaggregation - Section E '!A$7:J475,9,0)),"")</f>
        <v/>
      </c>
      <c r="K1357" s="384" t="str">
        <f ca="1">IFERROR(VLOOKUP(C1357,' Disaggregation - Section E '!A$7:J475,3,0),"")</f>
        <v>HIV I-9a⁽ᴹ⁾ Percentage of men who have sex with men who are living with HIV</v>
      </c>
      <c r="L1357" s="388" t="str">
        <f ca="1">IFERROR(IF(VLOOKUP(C1357,' Disaggregation - Section E '!A$7:J475,10,0)="","",VLOOKUP(C1357,' Disaggregation - Section E '!A$7:J475,10,0)),"")</f>
        <v/>
      </c>
      <c r="M1357" s="384" t="str">
        <f ca="1">IFERROR(IF(VLOOKUP(C1357,' Disaggregation - Section E '!A$7:O475,15,0)=0,"",VLOOKUP(C1357,' Disaggregation - Section E '!A$7:O475,15,0)),"")</f>
        <v/>
      </c>
      <c r="N1357" s="384"/>
      <c r="O1357" s="384"/>
    </row>
    <row r="1358" spans="1:15" x14ac:dyDescent="0.3">
      <c r="A1358" s="384" t="b">
        <f t="shared" ca="1" si="132"/>
        <v>0</v>
      </c>
      <c r="B1358" s="384"/>
      <c r="C1358" s="400" t="str">
        <f ca="1">IF(COUNTA(O$1189:O1358)=1,"",OFFSET(B1358,-COUNTA(O$1189:O1358)+1,1))</f>
        <v>a1GDm000000Xml3MAC</v>
      </c>
      <c r="D1358" s="389"/>
      <c r="E1358" s="386" t="str">
        <f ca="1">IFERROR(IF(VLOOKUP(C1358,' Disaggregation - Section E '!A$7:J476,7,0)="","",VLOOKUP(C1358,' Disaggregation - Section E '!A$7:J180,7,0)*100),"")</f>
        <v/>
      </c>
      <c r="F1358" s="388" t="str">
        <f ca="1">IFERROR(IF(VLOOKUP(C1358,' Disaggregation - Section E '!A$7:J476,5,0)=0,"",VLOOKUP(C1358,' Disaggregation - Section E '!A$7:J476,5,0)),"")</f>
        <v/>
      </c>
      <c r="G1358" s="387" t="str">
        <f ca="1">IFERROR(IF(VLOOKUP(C1358,' Disaggregation - Section E '!A$7:J476,6,0)="","",VLOOKUP(C1358,' Disaggregation - Section E '!A$7:J476,6,0)),"")</f>
        <v/>
      </c>
      <c r="H1358" s="387" t="str">
        <f ca="1">IFERROR(IF(INDEX(' Disaggregation - Section E '!F$7:F476,MATCH(C1358,' Disaggregation - Section E '!A$7:A476,0)+1,1)&lt;&gt;0,INDEX(' Disaggregation - Section E '!F$7:F476,MATCH(C1358,' Disaggregation - Section E '!A$7:A476,0)+1,1),""),"")</f>
        <v/>
      </c>
      <c r="I1358" s="388" t="str">
        <f ca="1">IFERROR(IF(VLOOKUP(C1358,' Disaggregation - Section E '!A$7:J476,8,0)=0,"",VLOOKUP(C1358,' Disaggregation - Section E '!A$7:J476,8,0)),"")</f>
        <v/>
      </c>
      <c r="J1358" s="388" t="str">
        <f ca="1">IFERROR(IF(VLOOKUP(C1358,' Disaggregation - Section E '!A$7:J476,9,0)="","",VLOOKUP(C1358,' Disaggregation - Section E '!A$7:J476,9,0)),"")</f>
        <v/>
      </c>
      <c r="K1358" s="384" t="str">
        <f ca="1">IFERROR(VLOOKUP(C1358,' Disaggregation - Section E '!A$7:J476,3,0),"")</f>
        <v>HIV I-9a⁽ᴹ⁾ Percentage of men who have sex with men who are living with HIV</v>
      </c>
      <c r="L1358" s="388" t="str">
        <f ca="1">IFERROR(IF(VLOOKUP(C1358,' Disaggregation - Section E '!A$7:J476,10,0)="","",VLOOKUP(C1358,' Disaggregation - Section E '!A$7:J476,10,0)),"")</f>
        <v/>
      </c>
      <c r="M1358" s="384" t="str">
        <f ca="1">IFERROR(IF(VLOOKUP(C1358,' Disaggregation - Section E '!A$7:O476,15,0)=0,"",VLOOKUP(C1358,' Disaggregation - Section E '!A$7:O476,15,0)),"")</f>
        <v/>
      </c>
      <c r="N1358" s="384"/>
      <c r="O1358" s="384"/>
    </row>
    <row r="1359" spans="1:15" x14ac:dyDescent="0.3">
      <c r="A1359" s="384" t="b">
        <f t="shared" ca="1" si="132"/>
        <v>0</v>
      </c>
      <c r="B1359" s="384"/>
      <c r="C1359" s="400" t="str">
        <f ca="1">IF(COUNTA(O$1189:O1359)=1,"",OFFSET(B1359,-COUNTA(O$1189:O1359)+1,1))</f>
        <v>a1GDm000000Xml4MAC</v>
      </c>
      <c r="D1359" s="389"/>
      <c r="E1359" s="386" t="str">
        <f ca="1">IFERROR(IF(VLOOKUP(C1359,' Disaggregation - Section E '!A$7:J477,7,0)="","",VLOOKUP(C1359,' Disaggregation - Section E '!A$7:J181,7,0)*100),"")</f>
        <v/>
      </c>
      <c r="F1359" s="388" t="str">
        <f ca="1">IFERROR(IF(VLOOKUP(C1359,' Disaggregation - Section E '!A$7:J477,5,0)=0,"",VLOOKUP(C1359,' Disaggregation - Section E '!A$7:J477,5,0)),"")</f>
        <v/>
      </c>
      <c r="G1359" s="387" t="str">
        <f ca="1">IFERROR(IF(VLOOKUP(C1359,' Disaggregation - Section E '!A$7:J477,6,0)="","",VLOOKUP(C1359,' Disaggregation - Section E '!A$7:J477,6,0)),"")</f>
        <v/>
      </c>
      <c r="H1359" s="387" t="str">
        <f ca="1">IFERROR(IF(INDEX(' Disaggregation - Section E '!F$7:F477,MATCH(C1359,' Disaggregation - Section E '!A$7:A477,0)+1,1)&lt;&gt;0,INDEX(' Disaggregation - Section E '!F$7:F477,MATCH(C1359,' Disaggregation - Section E '!A$7:A477,0)+1,1),""),"")</f>
        <v/>
      </c>
      <c r="I1359" s="388" t="str">
        <f ca="1">IFERROR(IF(VLOOKUP(C1359,' Disaggregation - Section E '!A$7:J477,8,0)=0,"",VLOOKUP(C1359,' Disaggregation - Section E '!A$7:J477,8,0)),"")</f>
        <v/>
      </c>
      <c r="J1359" s="388" t="str">
        <f ca="1">IFERROR(IF(VLOOKUP(C1359,' Disaggregation - Section E '!A$7:J477,9,0)="","",VLOOKUP(C1359,' Disaggregation - Section E '!A$7:J477,9,0)),"")</f>
        <v/>
      </c>
      <c r="K1359" s="384" t="str">
        <f ca="1">IFERROR(VLOOKUP(C1359,' Disaggregation - Section E '!A$7:J477,3,0),"")</f>
        <v>HIV I-9a⁽ᴹ⁾ Percentage of men who have sex with men who are living with HIV</v>
      </c>
      <c r="L1359" s="388" t="str">
        <f ca="1">IFERROR(IF(VLOOKUP(C1359,' Disaggregation - Section E '!A$7:J477,10,0)="","",VLOOKUP(C1359,' Disaggregation - Section E '!A$7:J477,10,0)),"")</f>
        <v/>
      </c>
      <c r="M1359" s="384" t="str">
        <f ca="1">IFERROR(IF(VLOOKUP(C1359,' Disaggregation - Section E '!A$7:O477,15,0)=0,"",VLOOKUP(C1359,' Disaggregation - Section E '!A$7:O477,15,0)),"")</f>
        <v/>
      </c>
      <c r="N1359" s="384"/>
      <c r="O1359" s="384"/>
    </row>
    <row r="1360" spans="1:15" x14ac:dyDescent="0.3">
      <c r="A1360" s="384" t="b">
        <f t="shared" ca="1" si="132"/>
        <v>0</v>
      </c>
      <c r="B1360" s="384"/>
      <c r="C1360" s="400" t="str">
        <f ca="1">IF(COUNTA(O$1189:O1360)=1,"",OFFSET(B1360,-COUNTA(O$1189:O1360)+1,1))</f>
        <v>a1GDm000000Xml5MAC</v>
      </c>
      <c r="D1360" s="389"/>
      <c r="E1360" s="386" t="str">
        <f ca="1">IFERROR(IF(VLOOKUP(C1360,' Disaggregation - Section E '!A$7:J478,7,0)="","",VLOOKUP(C1360,' Disaggregation - Section E '!A$7:J182,7,0)*100),"")</f>
        <v/>
      </c>
      <c r="F1360" s="388" t="str">
        <f ca="1">IFERROR(IF(VLOOKUP(C1360,' Disaggregation - Section E '!A$7:J478,5,0)=0,"",VLOOKUP(C1360,' Disaggregation - Section E '!A$7:J478,5,0)),"")</f>
        <v/>
      </c>
      <c r="G1360" s="387" t="str">
        <f ca="1">IFERROR(IF(VLOOKUP(C1360,' Disaggregation - Section E '!A$7:J478,6,0)="","",VLOOKUP(C1360,' Disaggregation - Section E '!A$7:J478,6,0)),"")</f>
        <v/>
      </c>
      <c r="H1360" s="387" t="str">
        <f ca="1">IFERROR(IF(INDEX(' Disaggregation - Section E '!F$7:F478,MATCH(C1360,' Disaggregation - Section E '!A$7:A478,0)+1,1)&lt;&gt;0,INDEX(' Disaggregation - Section E '!F$7:F478,MATCH(C1360,' Disaggregation - Section E '!A$7:A478,0)+1,1),""),"")</f>
        <v/>
      </c>
      <c r="I1360" s="388" t="str">
        <f ca="1">IFERROR(IF(VLOOKUP(C1360,' Disaggregation - Section E '!A$7:J478,8,0)=0,"",VLOOKUP(C1360,' Disaggregation - Section E '!A$7:J478,8,0)),"")</f>
        <v/>
      </c>
      <c r="J1360" s="388" t="str">
        <f ca="1">IFERROR(IF(VLOOKUP(C1360,' Disaggregation - Section E '!A$7:J478,9,0)="","",VLOOKUP(C1360,' Disaggregation - Section E '!A$7:J478,9,0)),"")</f>
        <v/>
      </c>
      <c r="K1360" s="384" t="str">
        <f ca="1">IFERROR(VLOOKUP(C1360,' Disaggregation - Section E '!A$7:J478,3,0),"")</f>
        <v>HIV I-9a⁽ᴹ⁾ Percentage of men who have sex with men who are living with HIV</v>
      </c>
      <c r="L1360" s="388" t="str">
        <f ca="1">IFERROR(IF(VLOOKUP(C1360,' Disaggregation - Section E '!A$7:J478,10,0)="","",VLOOKUP(C1360,' Disaggregation - Section E '!A$7:J478,10,0)),"")</f>
        <v/>
      </c>
      <c r="M1360" s="384" t="str">
        <f ca="1">IFERROR(IF(VLOOKUP(C1360,' Disaggregation - Section E '!A$7:O478,15,0)=0,"",VLOOKUP(C1360,' Disaggregation - Section E '!A$7:O478,15,0)),"")</f>
        <v/>
      </c>
      <c r="N1360" s="384"/>
      <c r="O1360" s="384"/>
    </row>
    <row r="1361" spans="1:15" x14ac:dyDescent="0.3">
      <c r="A1361" s="384" t="b">
        <f t="shared" ca="1" si="132"/>
        <v>1</v>
      </c>
      <c r="B1361" s="384"/>
      <c r="C1361" s="400" t="str">
        <f ca="1">IF(COUNTA(O$1189:O1361)=1,"",OFFSET(B1361,-COUNTA(O$1189:O1361)+1,1))</f>
        <v>a1GDm000000Xml6MAC</v>
      </c>
      <c r="D1361" s="389"/>
      <c r="E1361" s="386">
        <f ca="1">IFERROR(IF(VLOOKUP(C1361,' Disaggregation - Section E '!A$7:J479,7,0)="","",VLOOKUP(C1361,' Disaggregation - Section E '!A$7:J183,7,0)*100),"")</f>
        <v>2.9177718832891246</v>
      </c>
      <c r="F1361" s="388" t="str">
        <f ca="1">IFERROR(IF(VLOOKUP(C1361,' Disaggregation - Section E '!A$7:J479,5,0)=0,"",VLOOKUP(C1361,' Disaggregation - Section E '!A$7:J479,5,0)),"")</f>
        <v>25+</v>
      </c>
      <c r="G1361" s="387">
        <f ca="1">IFERROR(IF(VLOOKUP(C1361,' Disaggregation - Section E '!A$7:J479,6,0)="","",VLOOKUP(C1361,' Disaggregation - Section E '!A$7:J479,6,0)),"")</f>
        <v>11</v>
      </c>
      <c r="H1361" s="387">
        <f ca="1">IFERROR(IF(INDEX(' Disaggregation - Section E '!F$7:F479,MATCH(C1361,' Disaggregation - Section E '!A$7:A479,0)+1,1)&lt;&gt;0,INDEX(' Disaggregation - Section E '!F$7:F479,MATCH(C1361,' Disaggregation - Section E '!A$7:A479,0)+1,1),""),"")</f>
        <v>377</v>
      </c>
      <c r="I1361" s="388">
        <f ca="1">IFERROR(IF(VLOOKUP(C1361,' Disaggregation - Section E '!A$7:J479,8,0)=0,"",VLOOKUP(C1361,' Disaggregation - Section E '!A$7:J479,8,0)),"")</f>
        <v>2022</v>
      </c>
      <c r="J1361" s="388" t="str">
        <f ca="1">IFERROR(IF(VLOOKUP(C1361,' Disaggregation - Section E '!A$7:J479,9,0)="","",VLOOKUP(C1361,' Disaggregation - Section E '!A$7:J479,9,0)),"")</f>
        <v>IBBS</v>
      </c>
      <c r="K1361" s="384" t="str">
        <f ca="1">IFERROR(VLOOKUP(C1361,' Disaggregation - Section E '!A$7:J479,3,0),"")</f>
        <v>HIV I-10⁽ᴹ⁾ Percentage of sex workers who are living with HIV</v>
      </c>
      <c r="L1361" s="388" t="str">
        <f ca="1">IFERROR(IF(VLOOKUP(C1361,' Disaggregation - Section E '!A$7:J479,10,0)="","",VLOOKUP(C1361,' Disaggregation - Section E '!A$7:J479,10,0)),"")</f>
        <v>As a baseline, the results of the 2022 IBBS are presented; the next IBBS among SW is planned in 2026. The data are preliminary, no final report has been submitted. Numerator: Number of SW who test positive for HIV in this age group Denominator: Number of SW tested for HIV in this age group</v>
      </c>
      <c r="M1361" s="384" t="str">
        <f ca="1">IFERROR(IF(VLOOKUP(C1361,' Disaggregation - Section E '!A$7:O479,15,0)=0,"",VLOOKUP(C1361,' Disaggregation - Section E '!A$7:O479,15,0)),"")</f>
        <v>IDR-01055</v>
      </c>
      <c r="N1361" s="384"/>
      <c r="O1361" s="384"/>
    </row>
    <row r="1362" spans="1:15" x14ac:dyDescent="0.3">
      <c r="A1362" s="384" t="b">
        <f t="shared" ca="1" si="132"/>
        <v>1</v>
      </c>
      <c r="B1362" s="384"/>
      <c r="C1362" s="400" t="str">
        <f ca="1">IF(COUNTA(O$1189:O1362)=1,"",OFFSET(B1362,-COUNTA(O$1189:O1362)+1,1))</f>
        <v>a1GDm000000Xml7MAC</v>
      </c>
      <c r="D1362" s="389"/>
      <c r="E1362" s="386">
        <f ca="1">IFERROR(IF(VLOOKUP(C1362,' Disaggregation - Section E '!A$7:J480,7,0)="","",VLOOKUP(C1362,' Disaggregation - Section E '!A$7:J184,7,0)*100),"")</f>
        <v>1.3262599469496021</v>
      </c>
      <c r="F1362" s="388" t="str">
        <f ca="1">IFERROR(IF(VLOOKUP(C1362,' Disaggregation - Section E '!A$7:J480,5,0)=0,"",VLOOKUP(C1362,' Disaggregation - Section E '!A$7:J480,5,0)),"")</f>
        <v>&lt;25</v>
      </c>
      <c r="G1362" s="387">
        <f ca="1">IFERROR(IF(VLOOKUP(C1362,' Disaggregation - Section E '!A$7:J480,6,0)="","",VLOOKUP(C1362,' Disaggregation - Section E '!A$7:J480,6,0)),"")</f>
        <v>5</v>
      </c>
      <c r="H1362" s="387">
        <f ca="1">IFERROR(IF(INDEX(' Disaggregation - Section E '!F$7:F480,MATCH(C1362,' Disaggregation - Section E '!A$7:A480,0)+1,1)&lt;&gt;0,INDEX(' Disaggregation - Section E '!F$7:F480,MATCH(C1362,' Disaggregation - Section E '!A$7:A480,0)+1,1),""),"")</f>
        <v>377</v>
      </c>
      <c r="I1362" s="388">
        <f ca="1">IFERROR(IF(VLOOKUP(C1362,' Disaggregation - Section E '!A$7:J480,8,0)=0,"",VLOOKUP(C1362,' Disaggregation - Section E '!A$7:J480,8,0)),"")</f>
        <v>2022</v>
      </c>
      <c r="J1362" s="388" t="str">
        <f ca="1">IFERROR(IF(VLOOKUP(C1362,' Disaggregation - Section E '!A$7:J480,9,0)="","",VLOOKUP(C1362,' Disaggregation - Section E '!A$7:J480,9,0)),"")</f>
        <v>IBBS</v>
      </c>
      <c r="K1362" s="384" t="str">
        <f ca="1">IFERROR(VLOOKUP(C1362,' Disaggregation - Section E '!A$7:J480,3,0),"")</f>
        <v>HIV I-10⁽ᴹ⁾ Percentage of sex workers who are living with HIV</v>
      </c>
      <c r="L1362" s="388" t="str">
        <f ca="1">IFERROR(IF(VLOOKUP(C1362,' Disaggregation - Section E '!A$7:J480,10,0)="","",VLOOKUP(C1362,' Disaggregation - Section E '!A$7:J480,10,0)),"")</f>
        <v>As a baseline, the results of the 2022 IBBS are presented; the next IBBS among SW is planned in 2026. The data are preliminary, no final report has been submitted. Numerator: Number of SW who test positive for HIV in this age group Denominator: Number of SW tested for HIV in this age group</v>
      </c>
      <c r="M1362" s="384" t="str">
        <f ca="1">IFERROR(IF(VLOOKUP(C1362,' Disaggregation - Section E '!A$7:O480,15,0)=0,"",VLOOKUP(C1362,' Disaggregation - Section E '!A$7:O480,15,0)),"")</f>
        <v>IDR-01054</v>
      </c>
      <c r="N1362" s="384"/>
      <c r="O1362" s="384"/>
    </row>
    <row r="1363" spans="1:15" x14ac:dyDescent="0.3">
      <c r="A1363" s="384" t="b">
        <f t="shared" ca="1" si="132"/>
        <v>1</v>
      </c>
      <c r="B1363" s="384"/>
      <c r="C1363" s="400" t="str">
        <f ca="1">IF(COUNTA(O$1189:O1363)=1,"",OFFSET(B1363,-COUNTA(O$1189:O1363)+1,1))</f>
        <v>a1GDm000000Xml8MAC</v>
      </c>
      <c r="D1363" s="389"/>
      <c r="E1363" s="386">
        <f ca="1">IFERROR(IF(VLOOKUP(C1363,' Disaggregation - Section E '!A$7:J481,7,0)="","",VLOOKUP(C1363,' Disaggregation - Section E '!A$7:J185,7,0)*100),"")</f>
        <v>0</v>
      </c>
      <c r="F1363" s="388" t="str">
        <f ca="1">IFERROR(IF(VLOOKUP(C1363,' Disaggregation - Section E '!A$7:J481,5,0)=0,"",VLOOKUP(C1363,' Disaggregation - Section E '!A$7:J481,5,0)),"")</f>
        <v>Transgender</v>
      </c>
      <c r="G1363" s="387">
        <f ca="1">IFERROR(IF(VLOOKUP(C1363,' Disaggregation - Section E '!A$7:J481,6,0)="","",VLOOKUP(C1363,' Disaggregation - Section E '!A$7:J481,6,0)),"")</f>
        <v>0</v>
      </c>
      <c r="H1363" s="387">
        <f ca="1">IFERROR(IF(INDEX(' Disaggregation - Section E '!F$7:F481,MATCH(C1363,' Disaggregation - Section E '!A$7:A481,0)+1,1)&lt;&gt;0,INDEX(' Disaggregation - Section E '!F$7:F481,MATCH(C1363,' Disaggregation - Section E '!A$7:A481,0)+1,1),""),"")</f>
        <v>474</v>
      </c>
      <c r="I1363" s="388">
        <f ca="1">IFERROR(IF(VLOOKUP(C1363,' Disaggregation - Section E '!A$7:J481,8,0)=0,"",VLOOKUP(C1363,' Disaggregation - Section E '!A$7:J481,8,0)),"")</f>
        <v>2022</v>
      </c>
      <c r="J1363" s="388" t="str">
        <f ca="1">IFERROR(IF(VLOOKUP(C1363,' Disaggregation - Section E '!A$7:J481,9,0)="","",VLOOKUP(C1363,' Disaggregation - Section E '!A$7:J481,9,0)),"")</f>
        <v>IBBS</v>
      </c>
      <c r="K1363" s="384" t="str">
        <f ca="1">IFERROR(VLOOKUP(C1363,' Disaggregation - Section E '!A$7:J481,3,0),"")</f>
        <v>HIV I-10⁽ᴹ⁾ Percentage of sex workers who are living with HIV</v>
      </c>
      <c r="L1363" s="388" t="str">
        <f ca="1">IFERROR(IF(VLOOKUP(C1363,' Disaggregation - Section E '!A$7:J481,10,0)="","",VLOOKUP(C1363,' Disaggregation - Section E '!A$7:J481,10,0)),"")</f>
        <v>As a baseline, the results of the 2022 IBBS are presented; the next IBBS among SW is planned in 2026. The data are preliminary, no final report has been submitted. Numerator: Number of SW who test positive for HIV in this age group Denominator: Number of SW tested for HIV in this age group</v>
      </c>
      <c r="M1363" s="384" t="str">
        <f ca="1">IFERROR(IF(VLOOKUP(C1363,' Disaggregation - Section E '!A$7:O481,15,0)=0,"",VLOOKUP(C1363,' Disaggregation - Section E '!A$7:O481,15,0)),"")</f>
        <v>IDR-01053</v>
      </c>
      <c r="N1363" s="384"/>
      <c r="O1363" s="384"/>
    </row>
    <row r="1364" spans="1:15" x14ac:dyDescent="0.3">
      <c r="A1364" s="384" t="b">
        <f t="shared" ca="1" si="132"/>
        <v>1</v>
      </c>
      <c r="B1364" s="384"/>
      <c r="C1364" s="400" t="str">
        <f ca="1">IF(COUNTA(O$1189:O1364)=1,"",OFFSET(B1364,-COUNTA(O$1189:O1364)+1,1))</f>
        <v>a1GDm000000Xml9MAC</v>
      </c>
      <c r="D1364" s="389"/>
      <c r="E1364" s="386">
        <f ca="1">IFERROR(IF(VLOOKUP(C1364,' Disaggregation - Section E '!A$7:J482,7,0)="","",VLOOKUP(C1364,' Disaggregation - Section E '!A$7:J186,7,0)*100),"")</f>
        <v>0</v>
      </c>
      <c r="F1364" s="388" t="str">
        <f ca="1">IFERROR(IF(VLOOKUP(C1364,' Disaggregation - Section E '!A$7:J482,5,0)=0,"",VLOOKUP(C1364,' Disaggregation - Section E '!A$7:J482,5,0)),"")</f>
        <v>Male</v>
      </c>
      <c r="G1364" s="387">
        <f ca="1">IFERROR(IF(VLOOKUP(C1364,' Disaggregation - Section E '!A$7:J482,6,0)="","",VLOOKUP(C1364,' Disaggregation - Section E '!A$7:J482,6,0)),"")</f>
        <v>0</v>
      </c>
      <c r="H1364" s="387">
        <f ca="1">IFERROR(IF(INDEX(' Disaggregation - Section E '!F$7:F482,MATCH(C1364,' Disaggregation - Section E '!A$7:A482,0)+1,1)&lt;&gt;0,INDEX(' Disaggregation - Section E '!F$7:F482,MATCH(C1364,' Disaggregation - Section E '!A$7:A482,0)+1,1),""),"")</f>
        <v>474</v>
      </c>
      <c r="I1364" s="388">
        <f ca="1">IFERROR(IF(VLOOKUP(C1364,' Disaggregation - Section E '!A$7:J482,8,0)=0,"",VLOOKUP(C1364,' Disaggregation - Section E '!A$7:J482,8,0)),"")</f>
        <v>2022</v>
      </c>
      <c r="J1364" s="388" t="str">
        <f ca="1">IFERROR(IF(VLOOKUP(C1364,' Disaggregation - Section E '!A$7:J482,9,0)="","",VLOOKUP(C1364,' Disaggregation - Section E '!A$7:J482,9,0)),"")</f>
        <v>IBBS</v>
      </c>
      <c r="K1364" s="384" t="str">
        <f ca="1">IFERROR(VLOOKUP(C1364,' Disaggregation - Section E '!A$7:J482,3,0),"")</f>
        <v>HIV I-10⁽ᴹ⁾ Percentage of sex workers who are living with HIV</v>
      </c>
      <c r="L1364" s="388" t="str">
        <f ca="1">IFERROR(IF(VLOOKUP(C1364,' Disaggregation - Section E '!A$7:J482,10,0)="","",VLOOKUP(C1364,' Disaggregation - Section E '!A$7:J482,10,0)),"")</f>
        <v>As a baseline, the results of the 2022 IBBS are presented; the next IBBS among SW is planned in 2026. The data are preliminary, no final report has been submitted. Numerator: Number of SW who test positive for HIV in this age group Denominator: Number of SW tested for HIV in this age group</v>
      </c>
      <c r="M1364" s="384" t="str">
        <f ca="1">IFERROR(IF(VLOOKUP(C1364,' Disaggregation - Section E '!A$7:O482,15,0)=0,"",VLOOKUP(C1364,' Disaggregation - Section E '!A$7:O482,15,0)),"")</f>
        <v>IDR-01052</v>
      </c>
      <c r="N1364" s="384"/>
      <c r="O1364" s="384"/>
    </row>
    <row r="1365" spans="1:15" x14ac:dyDescent="0.3">
      <c r="A1365" s="384" t="b">
        <f t="shared" ca="1" si="132"/>
        <v>1</v>
      </c>
      <c r="B1365" s="384"/>
      <c r="C1365" s="400" t="str">
        <f ca="1">IF(COUNTA(O$1189:O1365)=1,"",OFFSET(B1365,-COUNTA(O$1189:O1365)+1,1))</f>
        <v>a1GDm000000XmlAMAS</v>
      </c>
      <c r="D1365" s="389"/>
      <c r="E1365" s="386">
        <f ca="1">IFERROR(IF(VLOOKUP(C1365,' Disaggregation - Section E '!A$7:J483,7,0)="","",VLOOKUP(C1365,' Disaggregation - Section E '!A$7:J187,7,0)*100),"")</f>
        <v>3.3755274261603372</v>
      </c>
      <c r="F1365" s="388" t="str">
        <f ca="1">IFERROR(IF(VLOOKUP(C1365,' Disaggregation - Section E '!A$7:J483,5,0)=0,"",VLOOKUP(C1365,' Disaggregation - Section E '!A$7:J483,5,0)),"")</f>
        <v>Female</v>
      </c>
      <c r="G1365" s="387">
        <f ca="1">IFERROR(IF(VLOOKUP(C1365,' Disaggregation - Section E '!A$7:J483,6,0)="","",VLOOKUP(C1365,' Disaggregation - Section E '!A$7:J483,6,0)),"")</f>
        <v>16</v>
      </c>
      <c r="H1365" s="387">
        <f ca="1">IFERROR(IF(INDEX(' Disaggregation - Section E '!F$7:F483,MATCH(C1365,' Disaggregation - Section E '!A$7:A483,0)+1,1)&lt;&gt;0,INDEX(' Disaggregation - Section E '!F$7:F483,MATCH(C1365,' Disaggregation - Section E '!A$7:A483,0)+1,1),""),"")</f>
        <v>474</v>
      </c>
      <c r="I1365" s="388">
        <f ca="1">IFERROR(IF(VLOOKUP(C1365,' Disaggregation - Section E '!A$7:J483,8,0)=0,"",VLOOKUP(C1365,' Disaggregation - Section E '!A$7:J483,8,0)),"")</f>
        <v>2022</v>
      </c>
      <c r="J1365" s="388" t="str">
        <f ca="1">IFERROR(IF(VLOOKUP(C1365,' Disaggregation - Section E '!A$7:J483,9,0)="","",VLOOKUP(C1365,' Disaggregation - Section E '!A$7:J483,9,0)),"")</f>
        <v>IBBS</v>
      </c>
      <c r="K1365" s="384" t="str">
        <f ca="1">IFERROR(VLOOKUP(C1365,' Disaggregation - Section E '!A$7:J483,3,0),"")</f>
        <v>HIV I-10⁽ᴹ⁾ Percentage of sex workers who are living with HIV</v>
      </c>
      <c r="L1365" s="388" t="str">
        <f ca="1">IFERROR(IF(VLOOKUP(C1365,' Disaggregation - Section E '!A$7:J483,10,0)="","",VLOOKUP(C1365,' Disaggregation - Section E '!A$7:J483,10,0)),"")</f>
        <v>As a baseline, the results of the 2022 IBBS are presented; the next IBBS among SW is planned in 2026. The data are preliminary, no final report has been submitted. Numerator: Number of SW who test positive for HIV in this age group Denominator: Number of SW tested for HIV in this age group</v>
      </c>
      <c r="M1365" s="384" t="str">
        <f ca="1">IFERROR(IF(VLOOKUP(C1365,' Disaggregation - Section E '!A$7:O483,15,0)=0,"",VLOOKUP(C1365,' Disaggregation - Section E '!A$7:O483,15,0)),"")</f>
        <v>IDR-01051</v>
      </c>
      <c r="N1365" s="384"/>
      <c r="O1365" s="384"/>
    </row>
    <row r="1366" spans="1:15" x14ac:dyDescent="0.3">
      <c r="A1366" s="384" t="b">
        <f t="shared" ca="1" si="132"/>
        <v>0</v>
      </c>
      <c r="B1366" s="384"/>
      <c r="C1366" s="400" t="str">
        <f ca="1">IF(COUNTA(O$1189:O1366)=1,"",OFFSET(B1366,-COUNTA(O$1189:O1366)+1,1))</f>
        <v>a1GDm000000XmlBMAS</v>
      </c>
      <c r="D1366" s="389"/>
      <c r="E1366" s="386" t="str">
        <f ca="1">IFERROR(IF(VLOOKUP(C1366,' Disaggregation - Section E '!A$7:J484,7,0)="","",VLOOKUP(C1366,' Disaggregation - Section E '!A$7:J188,7,0)*100),"")</f>
        <v/>
      </c>
      <c r="F1366" s="388" t="str">
        <f ca="1">IFERROR(IF(VLOOKUP(C1366,' Disaggregation - Section E '!A$7:J484,5,0)=0,"",VLOOKUP(C1366,' Disaggregation - Section E '!A$7:J484,5,0)),"")</f>
        <v/>
      </c>
      <c r="G1366" s="387" t="str">
        <f ca="1">IFERROR(IF(VLOOKUP(C1366,' Disaggregation - Section E '!A$7:J484,6,0)="","",VLOOKUP(C1366,' Disaggregation - Section E '!A$7:J484,6,0)),"")</f>
        <v/>
      </c>
      <c r="H1366" s="387" t="str">
        <f ca="1">IFERROR(IF(INDEX(' Disaggregation - Section E '!F$7:F484,MATCH(C1366,' Disaggregation - Section E '!A$7:A484,0)+1,1)&lt;&gt;0,INDEX(' Disaggregation - Section E '!F$7:F484,MATCH(C1366,' Disaggregation - Section E '!A$7:A484,0)+1,1),""),"")</f>
        <v/>
      </c>
      <c r="I1366" s="388" t="str">
        <f ca="1">IFERROR(IF(VLOOKUP(C1366,' Disaggregation - Section E '!A$7:J484,8,0)=0,"",VLOOKUP(C1366,' Disaggregation - Section E '!A$7:J484,8,0)),"")</f>
        <v/>
      </c>
      <c r="J1366" s="388" t="str">
        <f ca="1">IFERROR(IF(VLOOKUP(C1366,' Disaggregation - Section E '!A$7:J484,9,0)="","",VLOOKUP(C1366,' Disaggregation - Section E '!A$7:J484,9,0)),"")</f>
        <v/>
      </c>
      <c r="K1366" s="384" t="str">
        <f ca="1">IFERROR(VLOOKUP(C1366,' Disaggregation - Section E '!A$7:J484,3,0),"")</f>
        <v>HIV I-10⁽ᴹ⁾ Percentage of sex workers who are living with HIV</v>
      </c>
      <c r="L1366" s="388" t="str">
        <f ca="1">IFERROR(IF(VLOOKUP(C1366,' Disaggregation - Section E '!A$7:J484,10,0)="","",VLOOKUP(C1366,' Disaggregation - Section E '!A$7:J484,10,0)),"")</f>
        <v/>
      </c>
      <c r="M1366" s="384" t="str">
        <f ca="1">IFERROR(IF(VLOOKUP(C1366,' Disaggregation - Section E '!A$7:O484,15,0)=0,"",VLOOKUP(C1366,' Disaggregation - Section E '!A$7:O484,15,0)),"")</f>
        <v/>
      </c>
      <c r="N1366" s="384"/>
      <c r="O1366" s="384"/>
    </row>
    <row r="1367" spans="1:15" x14ac:dyDescent="0.3">
      <c r="A1367" s="384" t="b">
        <f t="shared" ca="1" si="132"/>
        <v>0</v>
      </c>
      <c r="B1367" s="384"/>
      <c r="C1367" s="400" t="str">
        <f ca="1">IF(COUNTA(O$1189:O1367)=1,"",OFFSET(B1367,-COUNTA(O$1189:O1367)+1,1))</f>
        <v>a1GDm000000XmlCMAS</v>
      </c>
      <c r="D1367" s="389"/>
      <c r="E1367" s="386" t="str">
        <f ca="1">IFERROR(IF(VLOOKUP(C1367,' Disaggregation - Section E '!A$7:J485,7,0)="","",VLOOKUP(C1367,' Disaggregation - Section E '!A$7:J189,7,0)*100),"")</f>
        <v/>
      </c>
      <c r="F1367" s="388" t="str">
        <f ca="1">IFERROR(IF(VLOOKUP(C1367,' Disaggregation - Section E '!A$7:J485,5,0)=0,"",VLOOKUP(C1367,' Disaggregation - Section E '!A$7:J485,5,0)),"")</f>
        <v/>
      </c>
      <c r="G1367" s="387" t="str">
        <f ca="1">IFERROR(IF(VLOOKUP(C1367,' Disaggregation - Section E '!A$7:J485,6,0)="","",VLOOKUP(C1367,' Disaggregation - Section E '!A$7:J485,6,0)),"")</f>
        <v/>
      </c>
      <c r="H1367" s="387" t="str">
        <f ca="1">IFERROR(IF(INDEX(' Disaggregation - Section E '!F$7:F485,MATCH(C1367,' Disaggregation - Section E '!A$7:A485,0)+1,1)&lt;&gt;0,INDEX(' Disaggregation - Section E '!F$7:F485,MATCH(C1367,' Disaggregation - Section E '!A$7:A485,0)+1,1),""),"")</f>
        <v/>
      </c>
      <c r="I1367" s="388" t="str">
        <f ca="1">IFERROR(IF(VLOOKUP(C1367,' Disaggregation - Section E '!A$7:J485,8,0)=0,"",VLOOKUP(C1367,' Disaggregation - Section E '!A$7:J485,8,0)),"")</f>
        <v/>
      </c>
      <c r="J1367" s="388" t="str">
        <f ca="1">IFERROR(IF(VLOOKUP(C1367,' Disaggregation - Section E '!A$7:J485,9,0)="","",VLOOKUP(C1367,' Disaggregation - Section E '!A$7:J485,9,0)),"")</f>
        <v/>
      </c>
      <c r="K1367" s="384" t="str">
        <f ca="1">IFERROR(VLOOKUP(C1367,' Disaggregation - Section E '!A$7:J485,3,0),"")</f>
        <v>HIV I-10⁽ᴹ⁾ Percentage of sex workers who are living with HIV</v>
      </c>
      <c r="L1367" s="388" t="str">
        <f ca="1">IFERROR(IF(VLOOKUP(C1367,' Disaggregation - Section E '!A$7:J485,10,0)="","",VLOOKUP(C1367,' Disaggregation - Section E '!A$7:J485,10,0)),"")</f>
        <v/>
      </c>
      <c r="M1367" s="384" t="str">
        <f ca="1">IFERROR(IF(VLOOKUP(C1367,' Disaggregation - Section E '!A$7:O485,15,0)=0,"",VLOOKUP(C1367,' Disaggregation - Section E '!A$7:O485,15,0)),"")</f>
        <v/>
      </c>
      <c r="N1367" s="384"/>
      <c r="O1367" s="384"/>
    </row>
    <row r="1368" spans="1:15" x14ac:dyDescent="0.3">
      <c r="A1368" s="384" t="b">
        <f t="shared" ca="1" si="132"/>
        <v>0</v>
      </c>
      <c r="B1368" s="384"/>
      <c r="C1368" s="400" t="str">
        <f ca="1">IF(COUNTA(O$1189:O1368)=1,"",OFFSET(B1368,-COUNTA(O$1189:O1368)+1,1))</f>
        <v>a1GDm000000XmlDMAS</v>
      </c>
      <c r="D1368" s="389"/>
      <c r="E1368" s="386" t="str">
        <f ca="1">IFERROR(IF(VLOOKUP(C1368,' Disaggregation - Section E '!A$7:J486,7,0)="","",VLOOKUP(C1368,' Disaggregation - Section E '!A$7:J190,7,0)*100),"")</f>
        <v/>
      </c>
      <c r="F1368" s="388" t="str">
        <f ca="1">IFERROR(IF(VLOOKUP(C1368,' Disaggregation - Section E '!A$7:J486,5,0)=0,"",VLOOKUP(C1368,' Disaggregation - Section E '!A$7:J486,5,0)),"")</f>
        <v/>
      </c>
      <c r="G1368" s="387" t="str">
        <f ca="1">IFERROR(IF(VLOOKUP(C1368,' Disaggregation - Section E '!A$7:J486,6,0)="","",VLOOKUP(C1368,' Disaggregation - Section E '!A$7:J486,6,0)),"")</f>
        <v/>
      </c>
      <c r="H1368" s="387" t="str">
        <f ca="1">IFERROR(IF(INDEX(' Disaggregation - Section E '!F$7:F486,MATCH(C1368,' Disaggregation - Section E '!A$7:A486,0)+1,1)&lt;&gt;0,INDEX(' Disaggregation - Section E '!F$7:F486,MATCH(C1368,' Disaggregation - Section E '!A$7:A486,0)+1,1),""),"")</f>
        <v/>
      </c>
      <c r="I1368" s="388" t="str">
        <f ca="1">IFERROR(IF(VLOOKUP(C1368,' Disaggregation - Section E '!A$7:J486,8,0)=0,"",VLOOKUP(C1368,' Disaggregation - Section E '!A$7:J486,8,0)),"")</f>
        <v/>
      </c>
      <c r="J1368" s="388" t="str">
        <f ca="1">IFERROR(IF(VLOOKUP(C1368,' Disaggregation - Section E '!A$7:J486,9,0)="","",VLOOKUP(C1368,' Disaggregation - Section E '!A$7:J486,9,0)),"")</f>
        <v/>
      </c>
      <c r="K1368" s="384" t="str">
        <f ca="1">IFERROR(VLOOKUP(C1368,' Disaggregation - Section E '!A$7:J486,3,0),"")</f>
        <v>HIV I-10⁽ᴹ⁾ Percentage of sex workers who are living with HIV</v>
      </c>
      <c r="L1368" s="388" t="str">
        <f ca="1">IFERROR(IF(VLOOKUP(C1368,' Disaggregation - Section E '!A$7:J486,10,0)="","",VLOOKUP(C1368,' Disaggregation - Section E '!A$7:J486,10,0)),"")</f>
        <v/>
      </c>
      <c r="M1368" s="384" t="str">
        <f ca="1">IFERROR(IF(VLOOKUP(C1368,' Disaggregation - Section E '!A$7:O486,15,0)=0,"",VLOOKUP(C1368,' Disaggregation - Section E '!A$7:O486,15,0)),"")</f>
        <v/>
      </c>
      <c r="N1368" s="384"/>
      <c r="O1368" s="384"/>
    </row>
    <row r="1369" spans="1:15" x14ac:dyDescent="0.3">
      <c r="A1369" s="384" t="b">
        <f t="shared" ca="1" si="132"/>
        <v>0</v>
      </c>
      <c r="B1369" s="384"/>
      <c r="C1369" s="400" t="str">
        <f ca="1">IF(COUNTA(O$1189:O1369)=1,"",OFFSET(B1369,-COUNTA(O$1189:O1369)+1,1))</f>
        <v>a1GDm000000XmlEMAS</v>
      </c>
      <c r="D1369" s="389"/>
      <c r="E1369" s="386" t="str">
        <f ca="1">IFERROR(IF(VLOOKUP(C1369,' Disaggregation - Section E '!A$7:J487,7,0)="","",VLOOKUP(C1369,' Disaggregation - Section E '!A$7:J191,7,0)*100),"")</f>
        <v/>
      </c>
      <c r="F1369" s="388" t="str">
        <f ca="1">IFERROR(IF(VLOOKUP(C1369,' Disaggregation - Section E '!A$7:J487,5,0)=0,"",VLOOKUP(C1369,' Disaggregation - Section E '!A$7:J487,5,0)),"")</f>
        <v/>
      </c>
      <c r="G1369" s="387" t="str">
        <f ca="1">IFERROR(IF(VLOOKUP(C1369,' Disaggregation - Section E '!A$7:J487,6,0)="","",VLOOKUP(C1369,' Disaggregation - Section E '!A$7:J487,6,0)),"")</f>
        <v/>
      </c>
      <c r="H1369" s="387" t="str">
        <f ca="1">IFERROR(IF(INDEX(' Disaggregation - Section E '!F$7:F487,MATCH(C1369,' Disaggregation - Section E '!A$7:A487,0)+1,1)&lt;&gt;0,INDEX(' Disaggregation - Section E '!F$7:F487,MATCH(C1369,' Disaggregation - Section E '!A$7:A487,0)+1,1),""),"")</f>
        <v/>
      </c>
      <c r="I1369" s="388" t="str">
        <f ca="1">IFERROR(IF(VLOOKUP(C1369,' Disaggregation - Section E '!A$7:J487,8,0)=0,"",VLOOKUP(C1369,' Disaggregation - Section E '!A$7:J487,8,0)),"")</f>
        <v/>
      </c>
      <c r="J1369" s="388" t="str">
        <f ca="1">IFERROR(IF(VLOOKUP(C1369,' Disaggregation - Section E '!A$7:J487,9,0)="","",VLOOKUP(C1369,' Disaggregation - Section E '!A$7:J487,9,0)),"")</f>
        <v/>
      </c>
      <c r="K1369" s="384" t="str">
        <f ca="1">IFERROR(VLOOKUP(C1369,' Disaggregation - Section E '!A$7:J487,3,0),"")</f>
        <v>HIV I-10⁽ᴹ⁾ Percentage of sex workers who are living with HIV</v>
      </c>
      <c r="L1369" s="388" t="str">
        <f ca="1">IFERROR(IF(VLOOKUP(C1369,' Disaggregation - Section E '!A$7:J487,10,0)="","",VLOOKUP(C1369,' Disaggregation - Section E '!A$7:J487,10,0)),"")</f>
        <v/>
      </c>
      <c r="M1369" s="384" t="str">
        <f ca="1">IFERROR(IF(VLOOKUP(C1369,' Disaggregation - Section E '!A$7:O487,15,0)=0,"",VLOOKUP(C1369,' Disaggregation - Section E '!A$7:O487,15,0)),"")</f>
        <v/>
      </c>
      <c r="N1369" s="384"/>
      <c r="O1369" s="384"/>
    </row>
    <row r="1370" spans="1:15" x14ac:dyDescent="0.3">
      <c r="A1370" s="384" t="b">
        <f t="shared" ca="1" si="132"/>
        <v>0</v>
      </c>
      <c r="B1370" s="384"/>
      <c r="C1370" s="400" t="str">
        <f ca="1">IF(COUNTA(O$1189:O1370)=1,"",OFFSET(B1370,-COUNTA(O$1189:O1370)+1,1))</f>
        <v>a1GDm000000XmlFMAS</v>
      </c>
      <c r="D1370" s="389"/>
      <c r="E1370" s="386" t="str">
        <f ca="1">IFERROR(IF(VLOOKUP(C1370,' Disaggregation - Section E '!A$7:J488,7,0)="","",VLOOKUP(C1370,' Disaggregation - Section E '!A$7:J192,7,0)*100),"")</f>
        <v/>
      </c>
      <c r="F1370" s="388" t="str">
        <f ca="1">IFERROR(IF(VLOOKUP(C1370,' Disaggregation - Section E '!A$7:J488,5,0)=0,"",VLOOKUP(C1370,' Disaggregation - Section E '!A$7:J488,5,0)),"")</f>
        <v/>
      </c>
      <c r="G1370" s="387" t="str">
        <f ca="1">IFERROR(IF(VLOOKUP(C1370,' Disaggregation - Section E '!A$7:J488,6,0)="","",VLOOKUP(C1370,' Disaggregation - Section E '!A$7:J488,6,0)),"")</f>
        <v/>
      </c>
      <c r="H1370" s="387" t="str">
        <f ca="1">IFERROR(IF(INDEX(' Disaggregation - Section E '!F$7:F488,MATCH(C1370,' Disaggregation - Section E '!A$7:A488,0)+1,1)&lt;&gt;0,INDEX(' Disaggregation - Section E '!F$7:F488,MATCH(C1370,' Disaggregation - Section E '!A$7:A488,0)+1,1),""),"")</f>
        <v/>
      </c>
      <c r="I1370" s="388" t="str">
        <f ca="1">IFERROR(IF(VLOOKUP(C1370,' Disaggregation - Section E '!A$7:J488,8,0)=0,"",VLOOKUP(C1370,' Disaggregation - Section E '!A$7:J488,8,0)),"")</f>
        <v/>
      </c>
      <c r="J1370" s="388" t="str">
        <f ca="1">IFERROR(IF(VLOOKUP(C1370,' Disaggregation - Section E '!A$7:J488,9,0)="","",VLOOKUP(C1370,' Disaggregation - Section E '!A$7:J488,9,0)),"")</f>
        <v/>
      </c>
      <c r="K1370" s="384" t="str">
        <f ca="1">IFERROR(VLOOKUP(C1370,' Disaggregation - Section E '!A$7:J488,3,0),"")</f>
        <v>HIV I-10⁽ᴹ⁾ Percentage of sex workers who are living with HIV</v>
      </c>
      <c r="L1370" s="388" t="str">
        <f ca="1">IFERROR(IF(VLOOKUP(C1370,' Disaggregation - Section E '!A$7:J488,10,0)="","",VLOOKUP(C1370,' Disaggregation - Section E '!A$7:J488,10,0)),"")</f>
        <v/>
      </c>
      <c r="M1370" s="384" t="str">
        <f ca="1">IFERROR(IF(VLOOKUP(C1370,' Disaggregation - Section E '!A$7:O488,15,0)=0,"",VLOOKUP(C1370,' Disaggregation - Section E '!A$7:O488,15,0)),"")</f>
        <v/>
      </c>
      <c r="N1370" s="384"/>
      <c r="O1370" s="384"/>
    </row>
    <row r="1371" spans="1:15" x14ac:dyDescent="0.3">
      <c r="A1371" s="384" t="b">
        <f t="shared" ca="1" si="132"/>
        <v>1</v>
      </c>
      <c r="B1371" s="384"/>
      <c r="C1371" s="400" t="str">
        <f ca="1">IF(COUNTA(O$1189:O1371)=1,"",OFFSET(B1371,-COUNTA(O$1189:O1371)+1,1))</f>
        <v>a1GDm000000XmlGMAS</v>
      </c>
      <c r="D1371" s="389"/>
      <c r="E1371" s="386">
        <f ca="1">IFERROR(IF(VLOOKUP(C1371,' Disaggregation - Section E '!A$7:J489,7,0)="","",VLOOKUP(C1371,' Disaggregation - Section E '!A$7:J193,7,0)*100),"")</f>
        <v>33.333333333333329</v>
      </c>
      <c r="F1371" s="388" t="str">
        <f ca="1">IFERROR(IF(VLOOKUP(C1371,' Disaggregation - Section E '!A$7:J489,5,0)=0,"",VLOOKUP(C1371,' Disaggregation - Section E '!A$7:J489,5,0)),"")</f>
        <v>25+</v>
      </c>
      <c r="G1371" s="387">
        <f ca="1">IFERROR(IF(VLOOKUP(C1371,' Disaggregation - Section E '!A$7:J489,6,0)="","",VLOOKUP(C1371,' Disaggregation - Section E '!A$7:J489,6,0)),"")</f>
        <v>11</v>
      </c>
      <c r="H1371" s="387">
        <f ca="1">IFERROR(IF(INDEX(' Disaggregation - Section E '!F$7:F489,MATCH(C1371,' Disaggregation - Section E '!A$7:A489,0)+1,1)&lt;&gt;0,INDEX(' Disaggregation - Section E '!F$7:F489,MATCH(C1371,' Disaggregation - Section E '!A$7:A489,0)+1,1),""),"")</f>
        <v>33</v>
      </c>
      <c r="I1371" s="388">
        <f ca="1">IFERROR(IF(VLOOKUP(C1371,' Disaggregation - Section E '!A$7:J489,8,0)=0,"",VLOOKUP(C1371,' Disaggregation - Section E '!A$7:J489,8,0)),"")</f>
        <v>2022</v>
      </c>
      <c r="J1371" s="388" t="str">
        <f ca="1">IFERROR(IF(VLOOKUP(C1371,' Disaggregation - Section E '!A$7:J489,9,0)="","",VLOOKUP(C1371,' Disaggregation - Section E '!A$7:J489,9,0)),"")</f>
        <v>IBBS</v>
      </c>
      <c r="K1371" s="384" t="str">
        <f ca="1">IFERROR(VLOOKUP(C1371,' Disaggregation - Section E '!A$7:J489,3,0),"")</f>
        <v>HIV I-9b⁽ᴹ⁾ Percentage of transgender people who are living with HIV</v>
      </c>
      <c r="L1371" s="388" t="str">
        <f ca="1">IFERROR(IF(VLOOKUP(C1371,' Disaggregation - Section E '!A$7:J489,10,0)="","",VLOOKUP(C1371,' Disaggregation - Section E '!A$7:J489,10,0)),"")</f>
        <v>As a baseline, the results of the 2022 IBBS are presented; the next IBBS among TG people is planned in 2026. The data are preliminary, no final report has been submitted. Numerator: Number of TG people who test positive for HIV in this age group Denominator: Number of TG people tested for HIV in this age group</v>
      </c>
      <c r="M1371" s="384" t="str">
        <f ca="1">IFERROR(IF(VLOOKUP(C1371,' Disaggregation - Section E '!A$7:O489,15,0)=0,"",VLOOKUP(C1371,' Disaggregation - Section E '!A$7:O489,15,0)),"")</f>
        <v>IDR-01050</v>
      </c>
      <c r="N1371" s="384"/>
      <c r="O1371" s="384"/>
    </row>
    <row r="1372" spans="1:15" x14ac:dyDescent="0.3">
      <c r="A1372" s="384" t="b">
        <f t="shared" ca="1" si="132"/>
        <v>1</v>
      </c>
      <c r="B1372" s="384"/>
      <c r="C1372" s="400" t="str">
        <f ca="1">IF(COUNTA(O$1189:O1372)=1,"",OFFSET(B1372,-COUNTA(O$1189:O1372)+1,1))</f>
        <v>a1GDm000000XmlHMAS</v>
      </c>
      <c r="D1372" s="389"/>
      <c r="E1372" s="386">
        <f ca="1">IFERROR(IF(VLOOKUP(C1372,' Disaggregation - Section E '!A$7:J490,7,0)="","",VLOOKUP(C1372,' Disaggregation - Section E '!A$7:J194,7,0)*100),"")</f>
        <v>0</v>
      </c>
      <c r="F1372" s="388" t="str">
        <f ca="1">IFERROR(IF(VLOOKUP(C1372,' Disaggregation - Section E '!A$7:J490,5,0)=0,"",VLOOKUP(C1372,' Disaggregation - Section E '!A$7:J490,5,0)),"")</f>
        <v>&lt;25</v>
      </c>
      <c r="G1372" s="387">
        <f ca="1">IFERROR(IF(VLOOKUP(C1372,' Disaggregation - Section E '!A$7:J490,6,0)="","",VLOOKUP(C1372,' Disaggregation - Section E '!A$7:J490,6,0)),"")</f>
        <v>0</v>
      </c>
      <c r="H1372" s="387">
        <f ca="1">IFERROR(IF(INDEX(' Disaggregation - Section E '!F$7:F490,MATCH(C1372,' Disaggregation - Section E '!A$7:A490,0)+1,1)&lt;&gt;0,INDEX(' Disaggregation - Section E '!F$7:F490,MATCH(C1372,' Disaggregation - Section E '!A$7:A490,0)+1,1),""),"")</f>
        <v>25</v>
      </c>
      <c r="I1372" s="388">
        <f ca="1">IFERROR(IF(VLOOKUP(C1372,' Disaggregation - Section E '!A$7:J490,8,0)=0,"",VLOOKUP(C1372,' Disaggregation - Section E '!A$7:J490,8,0)),"")</f>
        <v>2022</v>
      </c>
      <c r="J1372" s="388" t="str">
        <f ca="1">IFERROR(IF(VLOOKUP(C1372,' Disaggregation - Section E '!A$7:J490,9,0)="","",VLOOKUP(C1372,' Disaggregation - Section E '!A$7:J490,9,0)),"")</f>
        <v>IBBS</v>
      </c>
      <c r="K1372" s="384" t="str">
        <f ca="1">IFERROR(VLOOKUP(C1372,' Disaggregation - Section E '!A$7:J490,3,0),"")</f>
        <v>HIV I-9b⁽ᴹ⁾ Percentage of transgender people who are living with HIV</v>
      </c>
      <c r="L1372" s="388" t="str">
        <f ca="1">IFERROR(IF(VLOOKUP(C1372,' Disaggregation - Section E '!A$7:J490,10,0)="","",VLOOKUP(C1372,' Disaggregation - Section E '!A$7:J490,10,0)),"")</f>
        <v>As a baseline, the results of the 2022 IBBS are presented; the next IBBS among TG people is planned in 2026. The data are preliminary, no final report has been submitted. Numerator: Number of TG people who test positive for HIV in this age group Denominator: Number of TG people tested for HIV in this age group</v>
      </c>
      <c r="M1372" s="384" t="str">
        <f ca="1">IFERROR(IF(VLOOKUP(C1372,' Disaggregation - Section E '!A$7:O490,15,0)=0,"",VLOOKUP(C1372,' Disaggregation - Section E '!A$7:O490,15,0)),"")</f>
        <v>IDR-01049</v>
      </c>
      <c r="N1372" s="384"/>
      <c r="O1372" s="384"/>
    </row>
    <row r="1373" spans="1:15" x14ac:dyDescent="0.3">
      <c r="A1373" s="384" t="b">
        <f t="shared" ca="1" si="132"/>
        <v>0</v>
      </c>
      <c r="B1373" s="384"/>
      <c r="C1373" s="400" t="str">
        <f ca="1">IF(COUNTA(O$1189:O1373)=1,"",OFFSET(B1373,-COUNTA(O$1189:O1373)+1,1))</f>
        <v>a1GDm000000XmlIMAS</v>
      </c>
      <c r="D1373" s="389"/>
      <c r="E1373" s="386" t="str">
        <f ca="1">IFERROR(IF(VLOOKUP(C1373,' Disaggregation - Section E '!A$7:J491,7,0)="","",VLOOKUP(C1373,' Disaggregation - Section E '!A$7:J195,7,0)*100),"")</f>
        <v/>
      </c>
      <c r="F1373" s="388" t="str">
        <f ca="1">IFERROR(IF(VLOOKUP(C1373,' Disaggregation - Section E '!A$7:J491,5,0)=0,"",VLOOKUP(C1373,' Disaggregation - Section E '!A$7:J491,5,0)),"")</f>
        <v/>
      </c>
      <c r="G1373" s="387" t="str">
        <f ca="1">IFERROR(IF(VLOOKUP(C1373,' Disaggregation - Section E '!A$7:J491,6,0)="","",VLOOKUP(C1373,' Disaggregation - Section E '!A$7:J491,6,0)),"")</f>
        <v/>
      </c>
      <c r="H1373" s="387" t="str">
        <f ca="1">IFERROR(IF(INDEX(' Disaggregation - Section E '!F$7:F491,MATCH(C1373,' Disaggregation - Section E '!A$7:A491,0)+1,1)&lt;&gt;0,INDEX(' Disaggregation - Section E '!F$7:F491,MATCH(C1373,' Disaggregation - Section E '!A$7:A491,0)+1,1),""),"")</f>
        <v/>
      </c>
      <c r="I1373" s="388" t="str">
        <f ca="1">IFERROR(IF(VLOOKUP(C1373,' Disaggregation - Section E '!A$7:J491,8,0)=0,"",VLOOKUP(C1373,' Disaggregation - Section E '!A$7:J491,8,0)),"")</f>
        <v/>
      </c>
      <c r="J1373" s="388" t="str">
        <f ca="1">IFERROR(IF(VLOOKUP(C1373,' Disaggregation - Section E '!A$7:J491,9,0)="","",VLOOKUP(C1373,' Disaggregation - Section E '!A$7:J491,9,0)),"")</f>
        <v/>
      </c>
      <c r="K1373" s="384" t="str">
        <f ca="1">IFERROR(VLOOKUP(C1373,' Disaggregation - Section E '!A$7:J491,3,0),"")</f>
        <v>HIV I-9b⁽ᴹ⁾ Percentage of transgender people who are living with HIV</v>
      </c>
      <c r="L1373" s="388" t="str">
        <f ca="1">IFERROR(IF(VLOOKUP(C1373,' Disaggregation - Section E '!A$7:J491,10,0)="","",VLOOKUP(C1373,' Disaggregation - Section E '!A$7:J491,10,0)),"")</f>
        <v/>
      </c>
      <c r="M1373" s="384" t="str">
        <f ca="1">IFERROR(IF(VLOOKUP(C1373,' Disaggregation - Section E '!A$7:O491,15,0)=0,"",VLOOKUP(C1373,' Disaggregation - Section E '!A$7:O491,15,0)),"")</f>
        <v/>
      </c>
      <c r="N1373" s="384"/>
      <c r="O1373" s="384"/>
    </row>
    <row r="1374" spans="1:15" x14ac:dyDescent="0.3">
      <c r="A1374" s="384" t="b">
        <f t="shared" ca="1" si="132"/>
        <v>0</v>
      </c>
      <c r="B1374" s="384"/>
      <c r="C1374" s="400" t="str">
        <f ca="1">IF(COUNTA(O$1189:O1374)=1,"",OFFSET(B1374,-COUNTA(O$1189:O1374)+1,1))</f>
        <v>a1GDm000000XmlJMAS</v>
      </c>
      <c r="D1374" s="389"/>
      <c r="E1374" s="386" t="str">
        <f ca="1">IFERROR(IF(VLOOKUP(C1374,' Disaggregation - Section E '!A$7:J492,7,0)="","",VLOOKUP(C1374,' Disaggregation - Section E '!A$7:J196,7,0)*100),"")</f>
        <v/>
      </c>
      <c r="F1374" s="388" t="str">
        <f ca="1">IFERROR(IF(VLOOKUP(C1374,' Disaggregation - Section E '!A$7:J492,5,0)=0,"",VLOOKUP(C1374,' Disaggregation - Section E '!A$7:J492,5,0)),"")</f>
        <v/>
      </c>
      <c r="G1374" s="387" t="str">
        <f ca="1">IFERROR(IF(VLOOKUP(C1374,' Disaggregation - Section E '!A$7:J492,6,0)="","",VLOOKUP(C1374,' Disaggregation - Section E '!A$7:J492,6,0)),"")</f>
        <v/>
      </c>
      <c r="H1374" s="387" t="str">
        <f ca="1">IFERROR(IF(INDEX(' Disaggregation - Section E '!F$7:F492,MATCH(C1374,' Disaggregation - Section E '!A$7:A492,0)+1,1)&lt;&gt;0,INDEX(' Disaggregation - Section E '!F$7:F492,MATCH(C1374,' Disaggregation - Section E '!A$7:A492,0)+1,1),""),"")</f>
        <v/>
      </c>
      <c r="I1374" s="388" t="str">
        <f ca="1">IFERROR(IF(VLOOKUP(C1374,' Disaggregation - Section E '!A$7:J492,8,0)=0,"",VLOOKUP(C1374,' Disaggregation - Section E '!A$7:J492,8,0)),"")</f>
        <v/>
      </c>
      <c r="J1374" s="388" t="str">
        <f ca="1">IFERROR(IF(VLOOKUP(C1374,' Disaggregation - Section E '!A$7:J492,9,0)="","",VLOOKUP(C1374,' Disaggregation - Section E '!A$7:J492,9,0)),"")</f>
        <v/>
      </c>
      <c r="K1374" s="384" t="str">
        <f ca="1">IFERROR(VLOOKUP(C1374,' Disaggregation - Section E '!A$7:J492,3,0),"")</f>
        <v>HIV I-9b⁽ᴹ⁾ Percentage of transgender people who are living with HIV</v>
      </c>
      <c r="L1374" s="388" t="str">
        <f ca="1">IFERROR(IF(VLOOKUP(C1374,' Disaggregation - Section E '!A$7:J492,10,0)="","",VLOOKUP(C1374,' Disaggregation - Section E '!A$7:J492,10,0)),"")</f>
        <v/>
      </c>
      <c r="M1374" s="384" t="str">
        <f ca="1">IFERROR(IF(VLOOKUP(C1374,' Disaggregation - Section E '!A$7:O492,15,0)=0,"",VLOOKUP(C1374,' Disaggregation - Section E '!A$7:O492,15,0)),"")</f>
        <v/>
      </c>
      <c r="N1374" s="384"/>
      <c r="O1374" s="384"/>
    </row>
    <row r="1375" spans="1:15" x14ac:dyDescent="0.3">
      <c r="A1375" s="384" t="b">
        <f t="shared" ca="1" si="132"/>
        <v>0</v>
      </c>
      <c r="B1375" s="384"/>
      <c r="C1375" s="400" t="str">
        <f ca="1">IF(COUNTA(O$1189:O1375)=1,"",OFFSET(B1375,-COUNTA(O$1189:O1375)+1,1))</f>
        <v>a1GDm000000XmlKMAS</v>
      </c>
      <c r="D1375" s="389"/>
      <c r="E1375" s="386" t="str">
        <f ca="1">IFERROR(IF(VLOOKUP(C1375,' Disaggregation - Section E '!A$7:J493,7,0)="","",VLOOKUP(C1375,' Disaggregation - Section E '!A$7:J197,7,0)*100),"")</f>
        <v/>
      </c>
      <c r="F1375" s="388" t="str">
        <f ca="1">IFERROR(IF(VLOOKUP(C1375,' Disaggregation - Section E '!A$7:J493,5,0)=0,"",VLOOKUP(C1375,' Disaggregation - Section E '!A$7:J493,5,0)),"")</f>
        <v/>
      </c>
      <c r="G1375" s="387" t="str">
        <f ca="1">IFERROR(IF(VLOOKUP(C1375,' Disaggregation - Section E '!A$7:J493,6,0)="","",VLOOKUP(C1375,' Disaggregation - Section E '!A$7:J493,6,0)),"")</f>
        <v/>
      </c>
      <c r="H1375" s="387" t="str">
        <f ca="1">IFERROR(IF(INDEX(' Disaggregation - Section E '!F$7:F493,MATCH(C1375,' Disaggregation - Section E '!A$7:A493,0)+1,1)&lt;&gt;0,INDEX(' Disaggregation - Section E '!F$7:F493,MATCH(C1375,' Disaggregation - Section E '!A$7:A493,0)+1,1),""),"")</f>
        <v/>
      </c>
      <c r="I1375" s="388" t="str">
        <f ca="1">IFERROR(IF(VLOOKUP(C1375,' Disaggregation - Section E '!A$7:J493,8,0)=0,"",VLOOKUP(C1375,' Disaggregation - Section E '!A$7:J493,8,0)),"")</f>
        <v/>
      </c>
      <c r="J1375" s="388" t="str">
        <f ca="1">IFERROR(IF(VLOOKUP(C1375,' Disaggregation - Section E '!A$7:J493,9,0)="","",VLOOKUP(C1375,' Disaggregation - Section E '!A$7:J493,9,0)),"")</f>
        <v/>
      </c>
      <c r="K1375" s="384" t="str">
        <f ca="1">IFERROR(VLOOKUP(C1375,' Disaggregation - Section E '!A$7:J493,3,0),"")</f>
        <v>HIV I-9b⁽ᴹ⁾ Percentage of transgender people who are living with HIV</v>
      </c>
      <c r="L1375" s="388" t="str">
        <f ca="1">IFERROR(IF(VLOOKUP(C1375,' Disaggregation - Section E '!A$7:J493,10,0)="","",VLOOKUP(C1375,' Disaggregation - Section E '!A$7:J493,10,0)),"")</f>
        <v/>
      </c>
      <c r="M1375" s="384" t="str">
        <f ca="1">IFERROR(IF(VLOOKUP(C1375,' Disaggregation - Section E '!A$7:O493,15,0)=0,"",VLOOKUP(C1375,' Disaggregation - Section E '!A$7:O493,15,0)),"")</f>
        <v/>
      </c>
      <c r="N1375" s="384"/>
      <c r="O1375" s="384"/>
    </row>
    <row r="1376" spans="1:15" x14ac:dyDescent="0.3">
      <c r="A1376" s="384" t="b">
        <f t="shared" ca="1" si="132"/>
        <v>0</v>
      </c>
      <c r="B1376" s="384"/>
      <c r="C1376" s="400" t="str">
        <f ca="1">IF(COUNTA(O$1189:O1376)=1,"",OFFSET(B1376,-COUNTA(O$1189:O1376)+1,1))</f>
        <v>a1GDm000000XmlLMAS</v>
      </c>
      <c r="D1376" s="389"/>
      <c r="E1376" s="386" t="str">
        <f ca="1">IFERROR(IF(VLOOKUP(C1376,' Disaggregation - Section E '!A$7:J494,7,0)="","",VLOOKUP(C1376,' Disaggregation - Section E '!A$7:J198,7,0)*100),"")</f>
        <v/>
      </c>
      <c r="F1376" s="388" t="str">
        <f ca="1">IFERROR(IF(VLOOKUP(C1376,' Disaggregation - Section E '!A$7:J494,5,0)=0,"",VLOOKUP(C1376,' Disaggregation - Section E '!A$7:J494,5,0)),"")</f>
        <v/>
      </c>
      <c r="G1376" s="387" t="str">
        <f ca="1">IFERROR(IF(VLOOKUP(C1376,' Disaggregation - Section E '!A$7:J494,6,0)="","",VLOOKUP(C1376,' Disaggregation - Section E '!A$7:J494,6,0)),"")</f>
        <v/>
      </c>
      <c r="H1376" s="387" t="str">
        <f ca="1">IFERROR(IF(INDEX(' Disaggregation - Section E '!F$7:F494,MATCH(C1376,' Disaggregation - Section E '!A$7:A494,0)+1,1)&lt;&gt;0,INDEX(' Disaggregation - Section E '!F$7:F494,MATCH(C1376,' Disaggregation - Section E '!A$7:A494,0)+1,1),""),"")</f>
        <v/>
      </c>
      <c r="I1376" s="388" t="str">
        <f ca="1">IFERROR(IF(VLOOKUP(C1376,' Disaggregation - Section E '!A$7:J494,8,0)=0,"",VLOOKUP(C1376,' Disaggregation - Section E '!A$7:J494,8,0)),"")</f>
        <v/>
      </c>
      <c r="J1376" s="388" t="str">
        <f ca="1">IFERROR(IF(VLOOKUP(C1376,' Disaggregation - Section E '!A$7:J494,9,0)="","",VLOOKUP(C1376,' Disaggregation - Section E '!A$7:J494,9,0)),"")</f>
        <v/>
      </c>
      <c r="K1376" s="384" t="str">
        <f ca="1">IFERROR(VLOOKUP(C1376,' Disaggregation - Section E '!A$7:J494,3,0),"")</f>
        <v>HIV I-9b⁽ᴹ⁾ Percentage of transgender people who are living with HIV</v>
      </c>
      <c r="L1376" s="388" t="str">
        <f ca="1">IFERROR(IF(VLOOKUP(C1376,' Disaggregation - Section E '!A$7:J494,10,0)="","",VLOOKUP(C1376,' Disaggregation - Section E '!A$7:J494,10,0)),"")</f>
        <v/>
      </c>
      <c r="M1376" s="384" t="str">
        <f ca="1">IFERROR(IF(VLOOKUP(C1376,' Disaggregation - Section E '!A$7:O494,15,0)=0,"",VLOOKUP(C1376,' Disaggregation - Section E '!A$7:O494,15,0)),"")</f>
        <v/>
      </c>
      <c r="N1376" s="384"/>
      <c r="O1376" s="384"/>
    </row>
    <row r="1377" spans="1:15" x14ac:dyDescent="0.3">
      <c r="A1377" s="384" t="b">
        <f t="shared" ca="1" si="132"/>
        <v>0</v>
      </c>
      <c r="B1377" s="384"/>
      <c r="C1377" s="400" t="str">
        <f ca="1">IF(COUNTA(O$1189:O1377)=1,"",OFFSET(B1377,-COUNTA(O$1189:O1377)+1,1))</f>
        <v>a1GDm000000XmlMMAS</v>
      </c>
      <c r="D1377" s="389"/>
      <c r="E1377" s="386" t="str">
        <f ca="1">IFERROR(IF(VLOOKUP(C1377,' Disaggregation - Section E '!A$7:J495,7,0)="","",VLOOKUP(C1377,' Disaggregation - Section E '!A$7:J199,7,0)*100),"")</f>
        <v/>
      </c>
      <c r="F1377" s="388" t="str">
        <f ca="1">IFERROR(IF(VLOOKUP(C1377,' Disaggregation - Section E '!A$7:J495,5,0)=0,"",VLOOKUP(C1377,' Disaggregation - Section E '!A$7:J495,5,0)),"")</f>
        <v/>
      </c>
      <c r="G1377" s="387" t="str">
        <f ca="1">IFERROR(IF(VLOOKUP(C1377,' Disaggregation - Section E '!A$7:J495,6,0)="","",VLOOKUP(C1377,' Disaggregation - Section E '!A$7:J495,6,0)),"")</f>
        <v/>
      </c>
      <c r="H1377" s="387" t="str">
        <f ca="1">IFERROR(IF(INDEX(' Disaggregation - Section E '!F$7:F495,MATCH(C1377,' Disaggregation - Section E '!A$7:A495,0)+1,1)&lt;&gt;0,INDEX(' Disaggregation - Section E '!F$7:F495,MATCH(C1377,' Disaggregation - Section E '!A$7:A495,0)+1,1),""),"")</f>
        <v/>
      </c>
      <c r="I1377" s="388" t="str">
        <f ca="1">IFERROR(IF(VLOOKUP(C1377,' Disaggregation - Section E '!A$7:J495,8,0)=0,"",VLOOKUP(C1377,' Disaggregation - Section E '!A$7:J495,8,0)),"")</f>
        <v/>
      </c>
      <c r="J1377" s="388" t="str">
        <f ca="1">IFERROR(IF(VLOOKUP(C1377,' Disaggregation - Section E '!A$7:J495,9,0)="","",VLOOKUP(C1377,' Disaggregation - Section E '!A$7:J495,9,0)),"")</f>
        <v/>
      </c>
      <c r="K1377" s="384" t="str">
        <f ca="1">IFERROR(VLOOKUP(C1377,' Disaggregation - Section E '!A$7:J495,3,0),"")</f>
        <v>HIV I-9b⁽ᴹ⁾ Percentage of transgender people who are living with HIV</v>
      </c>
      <c r="L1377" s="388" t="str">
        <f ca="1">IFERROR(IF(VLOOKUP(C1377,' Disaggregation - Section E '!A$7:J495,10,0)="","",VLOOKUP(C1377,' Disaggregation - Section E '!A$7:J495,10,0)),"")</f>
        <v/>
      </c>
      <c r="M1377" s="384" t="str">
        <f ca="1">IFERROR(IF(VLOOKUP(C1377,' Disaggregation - Section E '!A$7:O495,15,0)=0,"",VLOOKUP(C1377,' Disaggregation - Section E '!A$7:O495,15,0)),"")</f>
        <v/>
      </c>
      <c r="N1377" s="384"/>
      <c r="O1377" s="384"/>
    </row>
    <row r="1378" spans="1:15" x14ac:dyDescent="0.3">
      <c r="A1378" s="384" t="b">
        <f t="shared" ca="1" si="132"/>
        <v>0</v>
      </c>
      <c r="B1378" s="384"/>
      <c r="C1378" s="400" t="str">
        <f ca="1">IF(COUNTA(O$1189:O1378)=1,"",OFFSET(B1378,-COUNTA(O$1189:O1378)+1,1))</f>
        <v>a1GDm000000XmlNMAS</v>
      </c>
      <c r="D1378" s="389"/>
      <c r="E1378" s="386" t="str">
        <f ca="1">IFERROR(IF(VLOOKUP(C1378,' Disaggregation - Section E '!A$7:J496,7,0)="","",VLOOKUP(C1378,' Disaggregation - Section E '!A$7:J200,7,0)*100),"")</f>
        <v/>
      </c>
      <c r="F1378" s="388" t="str">
        <f ca="1">IFERROR(IF(VLOOKUP(C1378,' Disaggregation - Section E '!A$7:J496,5,0)=0,"",VLOOKUP(C1378,' Disaggregation - Section E '!A$7:J496,5,0)),"")</f>
        <v/>
      </c>
      <c r="G1378" s="387" t="str">
        <f ca="1">IFERROR(IF(VLOOKUP(C1378,' Disaggregation - Section E '!A$7:J496,6,0)="","",VLOOKUP(C1378,' Disaggregation - Section E '!A$7:J496,6,0)),"")</f>
        <v/>
      </c>
      <c r="H1378" s="387" t="str">
        <f ca="1">IFERROR(IF(INDEX(' Disaggregation - Section E '!F$7:F496,MATCH(C1378,' Disaggregation - Section E '!A$7:A496,0)+1,1)&lt;&gt;0,INDEX(' Disaggregation - Section E '!F$7:F496,MATCH(C1378,' Disaggregation - Section E '!A$7:A496,0)+1,1),""),"")</f>
        <v/>
      </c>
      <c r="I1378" s="388" t="str">
        <f ca="1">IFERROR(IF(VLOOKUP(C1378,' Disaggregation - Section E '!A$7:J496,8,0)=0,"",VLOOKUP(C1378,' Disaggregation - Section E '!A$7:J496,8,0)),"")</f>
        <v/>
      </c>
      <c r="J1378" s="388" t="str">
        <f ca="1">IFERROR(IF(VLOOKUP(C1378,' Disaggregation - Section E '!A$7:J496,9,0)="","",VLOOKUP(C1378,' Disaggregation - Section E '!A$7:J496,9,0)),"")</f>
        <v/>
      </c>
      <c r="K1378" s="384" t="str">
        <f ca="1">IFERROR(VLOOKUP(C1378,' Disaggregation - Section E '!A$7:J496,3,0),"")</f>
        <v>HIV I-9b⁽ᴹ⁾ Percentage of transgender people who are living with HIV</v>
      </c>
      <c r="L1378" s="388" t="str">
        <f ca="1">IFERROR(IF(VLOOKUP(C1378,' Disaggregation - Section E '!A$7:J496,10,0)="","",VLOOKUP(C1378,' Disaggregation - Section E '!A$7:J496,10,0)),"")</f>
        <v/>
      </c>
      <c r="M1378" s="384" t="str">
        <f ca="1">IFERROR(IF(VLOOKUP(C1378,' Disaggregation - Section E '!A$7:O496,15,0)=0,"",VLOOKUP(C1378,' Disaggregation - Section E '!A$7:O496,15,0)),"")</f>
        <v/>
      </c>
      <c r="N1378" s="384"/>
      <c r="O1378" s="384"/>
    </row>
    <row r="1379" spans="1:15" x14ac:dyDescent="0.3">
      <c r="A1379" s="384" t="b">
        <f t="shared" ca="1" si="132"/>
        <v>0</v>
      </c>
      <c r="B1379" s="384"/>
      <c r="C1379" s="400" t="str">
        <f ca="1">IF(COUNTA(O$1189:O1379)=1,"",OFFSET(B1379,-COUNTA(O$1189:O1379)+1,1))</f>
        <v>a1GDm000000XmlOMAS</v>
      </c>
      <c r="D1379" s="389"/>
      <c r="E1379" s="386" t="str">
        <f ca="1">IFERROR(IF(VLOOKUP(C1379,' Disaggregation - Section E '!A$7:J497,7,0)="","",VLOOKUP(C1379,' Disaggregation - Section E '!A$7:J201,7,0)*100),"")</f>
        <v/>
      </c>
      <c r="F1379" s="388" t="str">
        <f ca="1">IFERROR(IF(VLOOKUP(C1379,' Disaggregation - Section E '!A$7:J497,5,0)=0,"",VLOOKUP(C1379,' Disaggregation - Section E '!A$7:J497,5,0)),"")</f>
        <v/>
      </c>
      <c r="G1379" s="387" t="str">
        <f ca="1">IFERROR(IF(VLOOKUP(C1379,' Disaggregation - Section E '!A$7:J497,6,0)="","",VLOOKUP(C1379,' Disaggregation - Section E '!A$7:J497,6,0)),"")</f>
        <v/>
      </c>
      <c r="H1379" s="387" t="str">
        <f ca="1">IFERROR(IF(INDEX(' Disaggregation - Section E '!F$7:F497,MATCH(C1379,' Disaggregation - Section E '!A$7:A497,0)+1,1)&lt;&gt;0,INDEX(' Disaggregation - Section E '!F$7:F497,MATCH(C1379,' Disaggregation - Section E '!A$7:A497,0)+1,1),""),"")</f>
        <v/>
      </c>
      <c r="I1379" s="388" t="str">
        <f ca="1">IFERROR(IF(VLOOKUP(C1379,' Disaggregation - Section E '!A$7:J497,8,0)=0,"",VLOOKUP(C1379,' Disaggregation - Section E '!A$7:J497,8,0)),"")</f>
        <v/>
      </c>
      <c r="J1379" s="388" t="str">
        <f ca="1">IFERROR(IF(VLOOKUP(C1379,' Disaggregation - Section E '!A$7:J497,9,0)="","",VLOOKUP(C1379,' Disaggregation - Section E '!A$7:J497,9,0)),"")</f>
        <v/>
      </c>
      <c r="K1379" s="384" t="str">
        <f ca="1">IFERROR(VLOOKUP(C1379,' Disaggregation - Section E '!A$7:J497,3,0),"")</f>
        <v>HIV I-9b⁽ᴹ⁾ Percentage of transgender people who are living with HIV</v>
      </c>
      <c r="L1379" s="388" t="str">
        <f ca="1">IFERROR(IF(VLOOKUP(C1379,' Disaggregation - Section E '!A$7:J497,10,0)="","",VLOOKUP(C1379,' Disaggregation - Section E '!A$7:J497,10,0)),"")</f>
        <v/>
      </c>
      <c r="M1379" s="384" t="str">
        <f ca="1">IFERROR(IF(VLOOKUP(C1379,' Disaggregation - Section E '!A$7:O497,15,0)=0,"",VLOOKUP(C1379,' Disaggregation - Section E '!A$7:O497,15,0)),"")</f>
        <v/>
      </c>
      <c r="N1379" s="384"/>
      <c r="O1379" s="384"/>
    </row>
    <row r="1380" spans="1:15" x14ac:dyDescent="0.3">
      <c r="A1380" s="384" t="b">
        <f t="shared" ca="1" si="132"/>
        <v>0</v>
      </c>
      <c r="B1380" s="384"/>
      <c r="C1380" s="400" t="str">
        <f ca="1">IF(COUNTA(O$1189:O1380)=1,"",OFFSET(B1380,-COUNTA(O$1189:O1380)+1,1))</f>
        <v>a1GDm000000XmlPMAS</v>
      </c>
      <c r="D1380" s="389"/>
      <c r="E1380" s="386" t="str">
        <f ca="1">IFERROR(IF(VLOOKUP(C1380,' Disaggregation - Section E '!A$7:J498,7,0)="","",VLOOKUP(C1380,' Disaggregation - Section E '!A$7:J202,7,0)*100),"")</f>
        <v/>
      </c>
      <c r="F1380" s="388" t="str">
        <f ca="1">IFERROR(IF(VLOOKUP(C1380,' Disaggregation - Section E '!A$7:J498,5,0)=0,"",VLOOKUP(C1380,' Disaggregation - Section E '!A$7:J498,5,0)),"")</f>
        <v/>
      </c>
      <c r="G1380" s="387" t="str">
        <f ca="1">IFERROR(IF(VLOOKUP(C1380,' Disaggregation - Section E '!A$7:J498,6,0)="","",VLOOKUP(C1380,' Disaggregation - Section E '!A$7:J498,6,0)),"")</f>
        <v/>
      </c>
      <c r="H1380" s="387" t="str">
        <f ca="1">IFERROR(IF(INDEX(' Disaggregation - Section E '!F$7:F498,MATCH(C1380,' Disaggregation - Section E '!A$7:A498,0)+1,1)&lt;&gt;0,INDEX(' Disaggregation - Section E '!F$7:F498,MATCH(C1380,' Disaggregation - Section E '!A$7:A498,0)+1,1),""),"")</f>
        <v/>
      </c>
      <c r="I1380" s="388" t="str">
        <f ca="1">IFERROR(IF(VLOOKUP(C1380,' Disaggregation - Section E '!A$7:J498,8,0)=0,"",VLOOKUP(C1380,' Disaggregation - Section E '!A$7:J498,8,0)),"")</f>
        <v/>
      </c>
      <c r="J1380" s="388" t="str">
        <f ca="1">IFERROR(IF(VLOOKUP(C1380,' Disaggregation - Section E '!A$7:J498,9,0)="","",VLOOKUP(C1380,' Disaggregation - Section E '!A$7:J498,9,0)),"")</f>
        <v/>
      </c>
      <c r="K1380" s="384" t="str">
        <f ca="1">IFERROR(VLOOKUP(C1380,' Disaggregation - Section E '!A$7:J498,3,0),"")</f>
        <v>HIV I-9b⁽ᴹ⁾ Percentage of transgender people who are living with HIV</v>
      </c>
      <c r="L1380" s="388" t="str">
        <f ca="1">IFERROR(IF(VLOOKUP(C1380,' Disaggregation - Section E '!A$7:J498,10,0)="","",VLOOKUP(C1380,' Disaggregation - Section E '!A$7:J498,10,0)),"")</f>
        <v/>
      </c>
      <c r="M1380" s="384" t="str">
        <f ca="1">IFERROR(IF(VLOOKUP(C1380,' Disaggregation - Section E '!A$7:O498,15,0)=0,"",VLOOKUP(C1380,' Disaggregation - Section E '!A$7:O498,15,0)),"")</f>
        <v/>
      </c>
      <c r="N1380" s="384"/>
      <c r="O1380" s="384"/>
    </row>
    <row r="1381" spans="1:15" x14ac:dyDescent="0.3">
      <c r="A1381" s="384" t="b">
        <f t="shared" ca="1" si="132"/>
        <v>1</v>
      </c>
      <c r="B1381" s="384"/>
      <c r="C1381" s="400" t="str">
        <f ca="1">IF(COUNTA(O$1189:O1381)=1,"",OFFSET(B1381,-COUNTA(O$1189:O1381)+1,1))</f>
        <v>a1GDm000000XmlQMAS</v>
      </c>
      <c r="D1381" s="389"/>
      <c r="E1381" s="386">
        <f ca="1">IFERROR(IF(VLOOKUP(C1381,' Disaggregation - Section E '!A$7:J499,7,0)="","",VLOOKUP(C1381,' Disaggregation - Section E '!A$7:J203,7,0)*100),"")</f>
        <v>18.912797281993203</v>
      </c>
      <c r="F1381" s="388" t="str">
        <f ca="1">IFERROR(IF(VLOOKUP(C1381,' Disaggregation - Section E '!A$7:J499,5,0)=0,"",VLOOKUP(C1381,' Disaggregation - Section E '!A$7:J499,5,0)),"")</f>
        <v>25+</v>
      </c>
      <c r="G1381" s="387">
        <f ca="1">IFERROR(IF(VLOOKUP(C1381,' Disaggregation - Section E '!A$7:J499,6,0)="","",VLOOKUP(C1381,' Disaggregation - Section E '!A$7:J499,6,0)),"")</f>
        <v>167</v>
      </c>
      <c r="H1381" s="387">
        <f ca="1">IFERROR(IF(INDEX(' Disaggregation - Section E '!F$7:F499,MATCH(C1381,' Disaggregation - Section E '!A$7:A499,0)+1,1)&lt;&gt;0,INDEX(' Disaggregation - Section E '!F$7:F499,MATCH(C1381,' Disaggregation - Section E '!A$7:A499,0)+1,1),""),"")</f>
        <v>883</v>
      </c>
      <c r="I1381" s="388">
        <f ca="1">IFERROR(IF(VLOOKUP(C1381,' Disaggregation - Section E '!A$7:J499,8,0)=0,"",VLOOKUP(C1381,' Disaggregation - Section E '!A$7:J499,8,0)),"")</f>
        <v>2021</v>
      </c>
      <c r="J1381" s="388" t="str">
        <f ca="1">IFERROR(IF(VLOOKUP(C1381,' Disaggregation - Section E '!A$7:J499,9,0)="","",VLOOKUP(C1381,' Disaggregation - Section E '!A$7:J499,9,0)),"")</f>
        <v>IBBS</v>
      </c>
      <c r="K1381" s="384" t="str">
        <f ca="1">IFERROR(VLOOKUP(C1381,' Disaggregation - Section E '!A$7:J499,3,0),"")</f>
        <v>HIV I-11⁽ᴹ⁾ Percentage of people who inject drugs who are living with HIV</v>
      </c>
      <c r="L1381" s="388" t="str">
        <f ca="1">IFERROR(IF(VLOOKUP(C1381,' Disaggregation - Section E '!A$7:J499,10,0)="","",VLOOKUP(C1381,' Disaggregation - Section E '!A$7:J499,10,0)),"")</f>
        <v>As a baseline, the results of the 2021 IBBS are presented; the next IBBS among PWID is planned in 2024. Numerator: Number of PWID who test positive for HIV in this age group Denominator: Number of PWID tested for HIV in this age group</v>
      </c>
      <c r="M1381" s="384" t="str">
        <f ca="1">IFERROR(IF(VLOOKUP(C1381,' Disaggregation - Section E '!A$7:O499,15,0)=0,"",VLOOKUP(C1381,' Disaggregation - Section E '!A$7:O499,15,0)),"")</f>
        <v>IDR-01060</v>
      </c>
      <c r="N1381" s="384"/>
      <c r="O1381" s="384"/>
    </row>
    <row r="1382" spans="1:15" x14ac:dyDescent="0.3">
      <c r="A1382" s="384" t="b">
        <f t="shared" ca="1" si="132"/>
        <v>1</v>
      </c>
      <c r="B1382" s="384"/>
      <c r="C1382" s="400" t="str">
        <f ca="1">IF(COUNTA(O$1189:O1382)=1,"",OFFSET(B1382,-COUNTA(O$1189:O1382)+1,1))</f>
        <v>a1GDm000000XmlRMAS</v>
      </c>
      <c r="D1382" s="389"/>
      <c r="E1382" s="386">
        <f ca="1">IFERROR(IF(VLOOKUP(C1382,' Disaggregation - Section E '!A$7:J500,7,0)="","",VLOOKUP(C1382,' Disaggregation - Section E '!A$7:J204,7,0)*100),"")</f>
        <v>0</v>
      </c>
      <c r="F1382" s="388" t="str">
        <f ca="1">IFERROR(IF(VLOOKUP(C1382,' Disaggregation - Section E '!A$7:J500,5,0)=0,"",VLOOKUP(C1382,' Disaggregation - Section E '!A$7:J500,5,0)),"")</f>
        <v>&lt;25</v>
      </c>
      <c r="G1382" s="387">
        <f ca="1">IFERROR(IF(VLOOKUP(C1382,' Disaggregation - Section E '!A$7:J500,6,0)="","",VLOOKUP(C1382,' Disaggregation - Section E '!A$7:J500,6,0)),"")</f>
        <v>0</v>
      </c>
      <c r="H1382" s="387">
        <f ca="1">IFERROR(IF(INDEX(' Disaggregation - Section E '!F$7:F500,MATCH(C1382,' Disaggregation - Section E '!A$7:A500,0)+1,1)&lt;&gt;0,INDEX(' Disaggregation - Section E '!F$7:F500,MATCH(C1382,' Disaggregation - Section E '!A$7:A500,0)+1,1),""),"")</f>
        <v>46</v>
      </c>
      <c r="I1382" s="388">
        <f ca="1">IFERROR(IF(VLOOKUP(C1382,' Disaggregation - Section E '!A$7:J500,8,0)=0,"",VLOOKUP(C1382,' Disaggregation - Section E '!A$7:J500,8,0)),"")</f>
        <v>2021</v>
      </c>
      <c r="J1382" s="388" t="str">
        <f ca="1">IFERROR(IF(VLOOKUP(C1382,' Disaggregation - Section E '!A$7:J500,9,0)="","",VLOOKUP(C1382,' Disaggregation - Section E '!A$7:J500,9,0)),"")</f>
        <v>IBBS</v>
      </c>
      <c r="K1382" s="384" t="str">
        <f ca="1">IFERROR(VLOOKUP(C1382,' Disaggregation - Section E '!A$7:J500,3,0),"")</f>
        <v>HIV I-11⁽ᴹ⁾ Percentage of people who inject drugs who are living with HIV</v>
      </c>
      <c r="L1382" s="388" t="str">
        <f ca="1">IFERROR(IF(VLOOKUP(C1382,' Disaggregation - Section E '!A$7:J500,10,0)="","",VLOOKUP(C1382,' Disaggregation - Section E '!A$7:J500,10,0)),"")</f>
        <v>As a baseline, the results of the 2021 IBBS are presented; the next IBBS among PWID is planned in 2024. Numerator: Number of PWID who test positive for HIV in this age group Denominator: Number of PWID tested for HIV in this age group</v>
      </c>
      <c r="M1382" s="384" t="str">
        <f ca="1">IFERROR(IF(VLOOKUP(C1382,' Disaggregation - Section E '!A$7:O500,15,0)=0,"",VLOOKUP(C1382,' Disaggregation - Section E '!A$7:O500,15,0)),"")</f>
        <v>IDR-01059</v>
      </c>
      <c r="N1382" s="384"/>
      <c r="O1382" s="384"/>
    </row>
    <row r="1383" spans="1:15" x14ac:dyDescent="0.3">
      <c r="A1383" s="384" t="b">
        <f t="shared" ca="1" si="132"/>
        <v>1</v>
      </c>
      <c r="B1383" s="384"/>
      <c r="C1383" s="400" t="str">
        <f ca="1">IF(COUNTA(O$1189:O1383)=1,"",OFFSET(B1383,-COUNTA(O$1189:O1383)+1,1))</f>
        <v>a1GDm000000XmlSMAS</v>
      </c>
      <c r="D1383" s="389"/>
      <c r="E1383" s="386">
        <f ca="1">IFERROR(IF(VLOOKUP(C1383,' Disaggregation - Section E '!A$7:J501,7,0)="","",VLOOKUP(C1383,' Disaggregation - Section E '!A$7:J205,7,0)*100),"")</f>
        <v>0</v>
      </c>
      <c r="F1383" s="388" t="str">
        <f ca="1">IFERROR(IF(VLOOKUP(C1383,' Disaggregation - Section E '!A$7:J501,5,0)=0,"",VLOOKUP(C1383,' Disaggregation - Section E '!A$7:J501,5,0)),"")</f>
        <v>Transgender</v>
      </c>
      <c r="G1383" s="387">
        <f ca="1">IFERROR(IF(VLOOKUP(C1383,' Disaggregation - Section E '!A$7:J501,6,0)="","",VLOOKUP(C1383,' Disaggregation - Section E '!A$7:J501,6,0)),"")</f>
        <v>0</v>
      </c>
      <c r="H1383" s="387" t="str">
        <f ca="1">IFERROR(IF(INDEX(' Disaggregation - Section E '!F$7:F501,MATCH(C1383,' Disaggregation - Section E '!A$7:A501,0)+1,1)&lt;&gt;0,INDEX(' Disaggregation - Section E '!F$7:F501,MATCH(C1383,' Disaggregation - Section E '!A$7:A501,0)+1,1),""),"")</f>
        <v/>
      </c>
      <c r="I1383" s="388">
        <f ca="1">IFERROR(IF(VLOOKUP(C1383,' Disaggregation - Section E '!A$7:J501,8,0)=0,"",VLOOKUP(C1383,' Disaggregation - Section E '!A$7:J501,8,0)),"")</f>
        <v>2021</v>
      </c>
      <c r="J1383" s="388" t="str">
        <f ca="1">IFERROR(IF(VLOOKUP(C1383,' Disaggregation - Section E '!A$7:J501,9,0)="","",VLOOKUP(C1383,' Disaggregation - Section E '!A$7:J501,9,0)),"")</f>
        <v>IBBS</v>
      </c>
      <c r="K1383" s="384" t="str">
        <f ca="1">IFERROR(VLOOKUP(C1383,' Disaggregation - Section E '!A$7:J501,3,0),"")</f>
        <v>HIV I-11⁽ᴹ⁾ Percentage of people who inject drugs who are living with HIV</v>
      </c>
      <c r="L1383" s="388" t="str">
        <f ca="1">IFERROR(IF(VLOOKUP(C1383,' Disaggregation - Section E '!A$7:J501,10,0)="","",VLOOKUP(C1383,' Disaggregation - Section E '!A$7:J501,10,0)),"")</f>
        <v>As a baseline, the results of the 2021 IBBS are presented; the next IBBS among PWID is planned in 2024. Numerator: Number of PWID who test positive for HIV in this age group Denominator: Number of PWID tested for HIV in this age group</v>
      </c>
      <c r="M1383" s="384" t="str">
        <f ca="1">IFERROR(IF(VLOOKUP(C1383,' Disaggregation - Section E '!A$7:O501,15,0)=0,"",VLOOKUP(C1383,' Disaggregation - Section E '!A$7:O501,15,0)),"")</f>
        <v>IDR-01058</v>
      </c>
      <c r="N1383" s="384"/>
      <c r="O1383" s="384"/>
    </row>
    <row r="1384" spans="1:15" x14ac:dyDescent="0.3">
      <c r="A1384" s="384" t="b">
        <f t="shared" ca="1" si="132"/>
        <v>1</v>
      </c>
      <c r="B1384" s="384"/>
      <c r="C1384" s="400" t="str">
        <f ca="1">IF(COUNTA(O$1189:O1384)=1,"",OFFSET(B1384,-COUNTA(O$1189:O1384)+1,1))</f>
        <v>a1GDm000000XmlTMAS</v>
      </c>
      <c r="D1384" s="389"/>
      <c r="E1384" s="386">
        <f ca="1">IFERROR(IF(VLOOKUP(C1384,' Disaggregation - Section E '!A$7:J502,7,0)="","",VLOOKUP(C1384,' Disaggregation - Section E '!A$7:J206,7,0)*100),"")</f>
        <v>17.625458996328032</v>
      </c>
      <c r="F1384" s="388" t="str">
        <f ca="1">IFERROR(IF(VLOOKUP(C1384,' Disaggregation - Section E '!A$7:J502,5,0)=0,"",VLOOKUP(C1384,' Disaggregation - Section E '!A$7:J502,5,0)),"")</f>
        <v>Male</v>
      </c>
      <c r="G1384" s="387">
        <f ca="1">IFERROR(IF(VLOOKUP(C1384,' Disaggregation - Section E '!A$7:J502,6,0)="","",VLOOKUP(C1384,' Disaggregation - Section E '!A$7:J502,6,0)),"")</f>
        <v>144</v>
      </c>
      <c r="H1384" s="387">
        <f ca="1">IFERROR(IF(INDEX(' Disaggregation - Section E '!F$7:F502,MATCH(C1384,' Disaggregation - Section E '!A$7:A502,0)+1,1)&lt;&gt;0,INDEX(' Disaggregation - Section E '!F$7:F502,MATCH(C1384,' Disaggregation - Section E '!A$7:A502,0)+1,1),""),"")</f>
        <v>817</v>
      </c>
      <c r="I1384" s="388">
        <f ca="1">IFERROR(IF(VLOOKUP(C1384,' Disaggregation - Section E '!A$7:J502,8,0)=0,"",VLOOKUP(C1384,' Disaggregation - Section E '!A$7:J502,8,0)),"")</f>
        <v>2021</v>
      </c>
      <c r="J1384" s="388" t="str">
        <f ca="1">IFERROR(IF(VLOOKUP(C1384,' Disaggregation - Section E '!A$7:J502,9,0)="","",VLOOKUP(C1384,' Disaggregation - Section E '!A$7:J502,9,0)),"")</f>
        <v>IBBS</v>
      </c>
      <c r="K1384" s="384" t="str">
        <f ca="1">IFERROR(VLOOKUP(C1384,' Disaggregation - Section E '!A$7:J502,3,0),"")</f>
        <v>HIV I-11⁽ᴹ⁾ Percentage of people who inject drugs who are living with HIV</v>
      </c>
      <c r="L1384" s="388" t="str">
        <f ca="1">IFERROR(IF(VLOOKUP(C1384,' Disaggregation - Section E '!A$7:J502,10,0)="","",VLOOKUP(C1384,' Disaggregation - Section E '!A$7:J502,10,0)),"")</f>
        <v>As a baseline, the results of the 2021 IBBS are presented; the next IBBS among PWID is planned in 2024. Numerator: Number of PWID who test positive for HIV in this age group Denominator: Number of PWID tested for HIV in this age group</v>
      </c>
      <c r="M1384" s="384" t="str">
        <f ca="1">IFERROR(IF(VLOOKUP(C1384,' Disaggregation - Section E '!A$7:O502,15,0)=0,"",VLOOKUP(C1384,' Disaggregation - Section E '!A$7:O502,15,0)),"")</f>
        <v>IDR-01057</v>
      </c>
      <c r="N1384" s="384"/>
      <c r="O1384" s="384"/>
    </row>
    <row r="1385" spans="1:15" x14ac:dyDescent="0.3">
      <c r="A1385" s="384" t="b">
        <f t="shared" ca="1" si="132"/>
        <v>1</v>
      </c>
      <c r="B1385" s="384"/>
      <c r="C1385" s="400" t="str">
        <f ca="1">IF(COUNTA(O$1189:O1385)=1,"",OFFSET(B1385,-COUNTA(O$1189:O1385)+1,1))</f>
        <v>a1GDm000000XmlUMAS</v>
      </c>
      <c r="D1385" s="389"/>
      <c r="E1385" s="386">
        <f ca="1">IFERROR(IF(VLOOKUP(C1385,' Disaggregation - Section E '!A$7:J503,7,0)="","",VLOOKUP(C1385,' Disaggregation - Section E '!A$7:J207,7,0)*100),"")</f>
        <v>20.5607476635514</v>
      </c>
      <c r="F1385" s="388" t="str">
        <f ca="1">IFERROR(IF(VLOOKUP(C1385,' Disaggregation - Section E '!A$7:J503,5,0)=0,"",VLOOKUP(C1385,' Disaggregation - Section E '!A$7:J503,5,0)),"")</f>
        <v>Female</v>
      </c>
      <c r="G1385" s="387">
        <f ca="1">IFERROR(IF(VLOOKUP(C1385,' Disaggregation - Section E '!A$7:J503,6,0)="","",VLOOKUP(C1385,' Disaggregation - Section E '!A$7:J503,6,0)),"")</f>
        <v>22</v>
      </c>
      <c r="H1385" s="387">
        <f ca="1">IFERROR(IF(INDEX(' Disaggregation - Section E '!F$7:F503,MATCH(C1385,' Disaggregation - Section E '!A$7:A503,0)+1,1)&lt;&gt;0,INDEX(' Disaggregation - Section E '!F$7:F503,MATCH(C1385,' Disaggregation - Section E '!A$7:A503,0)+1,1),""),"")</f>
        <v>107</v>
      </c>
      <c r="I1385" s="388">
        <f ca="1">IFERROR(IF(VLOOKUP(C1385,' Disaggregation - Section E '!A$7:J503,8,0)=0,"",VLOOKUP(C1385,' Disaggregation - Section E '!A$7:J503,8,0)),"")</f>
        <v>2021</v>
      </c>
      <c r="J1385" s="388" t="str">
        <f ca="1">IFERROR(IF(VLOOKUP(C1385,' Disaggregation - Section E '!A$7:J503,9,0)="","",VLOOKUP(C1385,' Disaggregation - Section E '!A$7:J503,9,0)),"")</f>
        <v>IBBS</v>
      </c>
      <c r="K1385" s="384" t="str">
        <f ca="1">IFERROR(VLOOKUP(C1385,' Disaggregation - Section E '!A$7:J503,3,0),"")</f>
        <v>HIV I-11⁽ᴹ⁾ Percentage of people who inject drugs who are living with HIV</v>
      </c>
      <c r="L1385" s="388" t="str">
        <f ca="1">IFERROR(IF(VLOOKUP(C1385,' Disaggregation - Section E '!A$7:J503,10,0)="","",VLOOKUP(C1385,' Disaggregation - Section E '!A$7:J503,10,0)),"")</f>
        <v>As a baseline, the results of the 2021 IBBS are presented; the next IBBS among PWID is planned in 2024. Numerator: Number of PWID who test positive for HIV in this age group Denominator: Number of PWID tested for HIV in this age group</v>
      </c>
      <c r="M1385" s="384" t="str">
        <f ca="1">IFERROR(IF(VLOOKUP(C1385,' Disaggregation - Section E '!A$7:O503,15,0)=0,"",VLOOKUP(C1385,' Disaggregation - Section E '!A$7:O503,15,0)),"")</f>
        <v>IDR-01056</v>
      </c>
      <c r="N1385" s="384"/>
      <c r="O1385" s="384"/>
    </row>
    <row r="1386" spans="1:15" x14ac:dyDescent="0.3">
      <c r="A1386" s="384" t="b">
        <f t="shared" ca="1" si="132"/>
        <v>0</v>
      </c>
      <c r="B1386" s="384"/>
      <c r="C1386" s="400" t="str">
        <f ca="1">IF(COUNTA(O$1189:O1386)=1,"",OFFSET(B1386,-COUNTA(O$1189:O1386)+1,1))</f>
        <v>a1GDm000000XmlVMAS</v>
      </c>
      <c r="D1386" s="389"/>
      <c r="E1386" s="386" t="str">
        <f ca="1">IFERROR(IF(VLOOKUP(C1386,' Disaggregation - Section E '!A$7:J504,7,0)="","",VLOOKUP(C1386,' Disaggregation - Section E '!A$7:J208,7,0)*100),"")</f>
        <v/>
      </c>
      <c r="F1386" s="388" t="str">
        <f ca="1">IFERROR(IF(VLOOKUP(C1386,' Disaggregation - Section E '!A$7:J504,5,0)=0,"",VLOOKUP(C1386,' Disaggregation - Section E '!A$7:J504,5,0)),"")</f>
        <v/>
      </c>
      <c r="G1386" s="387" t="str">
        <f ca="1">IFERROR(IF(VLOOKUP(C1386,' Disaggregation - Section E '!A$7:J504,6,0)="","",VLOOKUP(C1386,' Disaggregation - Section E '!A$7:J504,6,0)),"")</f>
        <v/>
      </c>
      <c r="H1386" s="387" t="str">
        <f ca="1">IFERROR(IF(INDEX(' Disaggregation - Section E '!F$7:F504,MATCH(C1386,' Disaggregation - Section E '!A$7:A504,0)+1,1)&lt;&gt;0,INDEX(' Disaggregation - Section E '!F$7:F504,MATCH(C1386,' Disaggregation - Section E '!A$7:A504,0)+1,1),""),"")</f>
        <v/>
      </c>
      <c r="I1386" s="388" t="str">
        <f ca="1">IFERROR(IF(VLOOKUP(C1386,' Disaggregation - Section E '!A$7:J504,8,0)=0,"",VLOOKUP(C1386,' Disaggregation - Section E '!A$7:J504,8,0)),"")</f>
        <v/>
      </c>
      <c r="J1386" s="388" t="str">
        <f ca="1">IFERROR(IF(VLOOKUP(C1386,' Disaggregation - Section E '!A$7:J504,9,0)="","",VLOOKUP(C1386,' Disaggregation - Section E '!A$7:J504,9,0)),"")</f>
        <v/>
      </c>
      <c r="K1386" s="384" t="str">
        <f ca="1">IFERROR(VLOOKUP(C1386,' Disaggregation - Section E '!A$7:J504,3,0),"")</f>
        <v>HIV I-11⁽ᴹ⁾ Percentage of people who inject drugs who are living with HIV</v>
      </c>
      <c r="L1386" s="388" t="str">
        <f ca="1">IFERROR(IF(VLOOKUP(C1386,' Disaggregation - Section E '!A$7:J504,10,0)="","",VLOOKUP(C1386,' Disaggregation - Section E '!A$7:J504,10,0)),"")</f>
        <v/>
      </c>
      <c r="M1386" s="384" t="str">
        <f ca="1">IFERROR(IF(VLOOKUP(C1386,' Disaggregation - Section E '!A$7:O504,15,0)=0,"",VLOOKUP(C1386,' Disaggregation - Section E '!A$7:O504,15,0)),"")</f>
        <v/>
      </c>
      <c r="N1386" s="384"/>
      <c r="O1386" s="384"/>
    </row>
    <row r="1387" spans="1:15" x14ac:dyDescent="0.3">
      <c r="A1387" s="384" t="b">
        <f t="shared" ca="1" si="132"/>
        <v>0</v>
      </c>
      <c r="B1387" s="384"/>
      <c r="C1387" s="400" t="str">
        <f ca="1">IF(COUNTA(O$1189:O1387)=1,"",OFFSET(B1387,-COUNTA(O$1189:O1387)+1,1))</f>
        <v>a1GDm000000XmlWMAS</v>
      </c>
      <c r="D1387" s="389"/>
      <c r="E1387" s="386" t="str">
        <f ca="1">IFERROR(IF(VLOOKUP(C1387,' Disaggregation - Section E '!A$7:J505,7,0)="","",VLOOKUP(C1387,' Disaggregation - Section E '!A$7:J209,7,0)*100),"")</f>
        <v/>
      </c>
      <c r="F1387" s="388" t="str">
        <f ca="1">IFERROR(IF(VLOOKUP(C1387,' Disaggregation - Section E '!A$7:J505,5,0)=0,"",VLOOKUP(C1387,' Disaggregation - Section E '!A$7:J505,5,0)),"")</f>
        <v/>
      </c>
      <c r="G1387" s="387" t="str">
        <f ca="1">IFERROR(IF(VLOOKUP(C1387,' Disaggregation - Section E '!A$7:J505,6,0)="","",VLOOKUP(C1387,' Disaggregation - Section E '!A$7:J505,6,0)),"")</f>
        <v/>
      </c>
      <c r="H1387" s="387" t="str">
        <f ca="1">IFERROR(IF(INDEX(' Disaggregation - Section E '!F$7:F505,MATCH(C1387,' Disaggregation - Section E '!A$7:A505,0)+1,1)&lt;&gt;0,INDEX(' Disaggregation - Section E '!F$7:F505,MATCH(C1387,' Disaggregation - Section E '!A$7:A505,0)+1,1),""),"")</f>
        <v/>
      </c>
      <c r="I1387" s="388" t="str">
        <f ca="1">IFERROR(IF(VLOOKUP(C1387,' Disaggregation - Section E '!A$7:J505,8,0)=0,"",VLOOKUP(C1387,' Disaggregation - Section E '!A$7:J505,8,0)),"")</f>
        <v/>
      </c>
      <c r="J1387" s="388" t="str">
        <f ca="1">IFERROR(IF(VLOOKUP(C1387,' Disaggregation - Section E '!A$7:J505,9,0)="","",VLOOKUP(C1387,' Disaggregation - Section E '!A$7:J505,9,0)),"")</f>
        <v/>
      </c>
      <c r="K1387" s="384" t="str">
        <f ca="1">IFERROR(VLOOKUP(C1387,' Disaggregation - Section E '!A$7:J505,3,0),"")</f>
        <v>HIV I-11⁽ᴹ⁾ Percentage of people who inject drugs who are living with HIV</v>
      </c>
      <c r="L1387" s="388" t="str">
        <f ca="1">IFERROR(IF(VLOOKUP(C1387,' Disaggregation - Section E '!A$7:J505,10,0)="","",VLOOKUP(C1387,' Disaggregation - Section E '!A$7:J505,10,0)),"")</f>
        <v/>
      </c>
      <c r="M1387" s="384" t="str">
        <f ca="1">IFERROR(IF(VLOOKUP(C1387,' Disaggregation - Section E '!A$7:O505,15,0)=0,"",VLOOKUP(C1387,' Disaggregation - Section E '!A$7:O505,15,0)),"")</f>
        <v/>
      </c>
      <c r="N1387" s="384"/>
      <c r="O1387" s="384"/>
    </row>
    <row r="1388" spans="1:15" x14ac:dyDescent="0.3">
      <c r="A1388" s="384" t="b">
        <f t="shared" ca="1" si="132"/>
        <v>0</v>
      </c>
      <c r="B1388" s="384"/>
      <c r="C1388" s="400" t="str">
        <f ca="1">IF(COUNTA(O$1189:O1388)=1,"",OFFSET(B1388,-COUNTA(O$1189:O1388)+1,1))</f>
        <v>a1GDm000000XmlXMAS</v>
      </c>
      <c r="D1388" s="389"/>
      <c r="E1388" s="386" t="str">
        <f ca="1">IFERROR(IF(VLOOKUP(C1388,' Disaggregation - Section E '!A$7:J506,7,0)="","",VLOOKUP(C1388,' Disaggregation - Section E '!A$7:J210,7,0)*100),"")</f>
        <v/>
      </c>
      <c r="F1388" s="388" t="str">
        <f ca="1">IFERROR(IF(VLOOKUP(C1388,' Disaggregation - Section E '!A$7:J506,5,0)=0,"",VLOOKUP(C1388,' Disaggregation - Section E '!A$7:J506,5,0)),"")</f>
        <v/>
      </c>
      <c r="G1388" s="387" t="str">
        <f ca="1">IFERROR(IF(VLOOKUP(C1388,' Disaggregation - Section E '!A$7:J506,6,0)="","",VLOOKUP(C1388,' Disaggregation - Section E '!A$7:J506,6,0)),"")</f>
        <v/>
      </c>
      <c r="H1388" s="387" t="str">
        <f ca="1">IFERROR(IF(INDEX(' Disaggregation - Section E '!F$7:F506,MATCH(C1388,' Disaggregation - Section E '!A$7:A506,0)+1,1)&lt;&gt;0,INDEX(' Disaggregation - Section E '!F$7:F506,MATCH(C1388,' Disaggregation - Section E '!A$7:A506,0)+1,1),""),"")</f>
        <v/>
      </c>
      <c r="I1388" s="388" t="str">
        <f ca="1">IFERROR(IF(VLOOKUP(C1388,' Disaggregation - Section E '!A$7:J506,8,0)=0,"",VLOOKUP(C1388,' Disaggregation - Section E '!A$7:J506,8,0)),"")</f>
        <v/>
      </c>
      <c r="J1388" s="388" t="str">
        <f ca="1">IFERROR(IF(VLOOKUP(C1388,' Disaggregation - Section E '!A$7:J506,9,0)="","",VLOOKUP(C1388,' Disaggregation - Section E '!A$7:J506,9,0)),"")</f>
        <v/>
      </c>
      <c r="K1388" s="384" t="str">
        <f ca="1">IFERROR(VLOOKUP(C1388,' Disaggregation - Section E '!A$7:J506,3,0),"")</f>
        <v>HIV I-11⁽ᴹ⁾ Percentage of people who inject drugs who are living with HIV</v>
      </c>
      <c r="L1388" s="388" t="str">
        <f ca="1">IFERROR(IF(VLOOKUP(C1388,' Disaggregation - Section E '!A$7:J506,10,0)="","",VLOOKUP(C1388,' Disaggregation - Section E '!A$7:J506,10,0)),"")</f>
        <v/>
      </c>
      <c r="M1388" s="384" t="str">
        <f ca="1">IFERROR(IF(VLOOKUP(C1388,' Disaggregation - Section E '!A$7:O506,15,0)=0,"",VLOOKUP(C1388,' Disaggregation - Section E '!A$7:O506,15,0)),"")</f>
        <v/>
      </c>
      <c r="N1388" s="384"/>
      <c r="O1388" s="384"/>
    </row>
    <row r="1389" spans="1:15" x14ac:dyDescent="0.3">
      <c r="A1389" s="384" t="b">
        <f t="shared" ca="1" si="132"/>
        <v>0</v>
      </c>
      <c r="B1389" s="384"/>
      <c r="C1389" s="400" t="str">
        <f ca="1">IF(COUNTA(O$1189:O1389)=1,"",OFFSET(B1389,-COUNTA(O$1189:O1389)+1,1))</f>
        <v>a1GDm000000XmlYMAS</v>
      </c>
      <c r="D1389" s="389"/>
      <c r="E1389" s="386" t="str">
        <f ca="1">IFERROR(IF(VLOOKUP(C1389,' Disaggregation - Section E '!A$7:J507,7,0)="","",VLOOKUP(C1389,' Disaggregation - Section E '!A$7:J211,7,0)*100),"")</f>
        <v/>
      </c>
      <c r="F1389" s="388" t="str">
        <f ca="1">IFERROR(IF(VLOOKUP(C1389,' Disaggregation - Section E '!A$7:J507,5,0)=0,"",VLOOKUP(C1389,' Disaggregation - Section E '!A$7:J507,5,0)),"")</f>
        <v/>
      </c>
      <c r="G1389" s="387" t="str">
        <f ca="1">IFERROR(IF(VLOOKUP(C1389,' Disaggregation - Section E '!A$7:J507,6,0)="","",VLOOKUP(C1389,' Disaggregation - Section E '!A$7:J507,6,0)),"")</f>
        <v/>
      </c>
      <c r="H1389" s="387" t="str">
        <f ca="1">IFERROR(IF(INDEX(' Disaggregation - Section E '!F$7:F507,MATCH(C1389,' Disaggregation - Section E '!A$7:A507,0)+1,1)&lt;&gt;0,INDEX(' Disaggregation - Section E '!F$7:F507,MATCH(C1389,' Disaggregation - Section E '!A$7:A507,0)+1,1),""),"")</f>
        <v/>
      </c>
      <c r="I1389" s="388" t="str">
        <f ca="1">IFERROR(IF(VLOOKUP(C1389,' Disaggregation - Section E '!A$7:J507,8,0)=0,"",VLOOKUP(C1389,' Disaggregation - Section E '!A$7:J507,8,0)),"")</f>
        <v/>
      </c>
      <c r="J1389" s="388" t="str">
        <f ca="1">IFERROR(IF(VLOOKUP(C1389,' Disaggregation - Section E '!A$7:J507,9,0)="","",VLOOKUP(C1389,' Disaggregation - Section E '!A$7:J507,9,0)),"")</f>
        <v/>
      </c>
      <c r="K1389" s="384" t="str">
        <f ca="1">IFERROR(VLOOKUP(C1389,' Disaggregation - Section E '!A$7:J507,3,0),"")</f>
        <v>HIV I-11⁽ᴹ⁾ Percentage of people who inject drugs who are living with HIV</v>
      </c>
      <c r="L1389" s="388" t="str">
        <f ca="1">IFERROR(IF(VLOOKUP(C1389,' Disaggregation - Section E '!A$7:J507,10,0)="","",VLOOKUP(C1389,' Disaggregation - Section E '!A$7:J507,10,0)),"")</f>
        <v/>
      </c>
      <c r="M1389" s="384" t="str">
        <f ca="1">IFERROR(IF(VLOOKUP(C1389,' Disaggregation - Section E '!A$7:O507,15,0)=0,"",VLOOKUP(C1389,' Disaggregation - Section E '!A$7:O507,15,0)),"")</f>
        <v/>
      </c>
      <c r="N1389" s="384"/>
      <c r="O1389" s="384"/>
    </row>
    <row r="1390" spans="1:15" x14ac:dyDescent="0.3">
      <c r="A1390" s="384" t="b">
        <f t="shared" ca="1" si="132"/>
        <v>0</v>
      </c>
      <c r="B1390" s="384"/>
      <c r="C1390" s="400" t="str">
        <f ca="1">IF(COUNTA(O$1189:O1390)=1,"",OFFSET(B1390,-COUNTA(O$1189:O1390)+1,1))</f>
        <v>a1GDm000000XmlZMAS</v>
      </c>
      <c r="D1390" s="389"/>
      <c r="E1390" s="386" t="str">
        <f ca="1">IFERROR(IF(VLOOKUP(C1390,' Disaggregation - Section E '!A$7:J508,7,0)="","",VLOOKUP(C1390,' Disaggregation - Section E '!A$7:J212,7,0)*100),"")</f>
        <v/>
      </c>
      <c r="F1390" s="388" t="str">
        <f ca="1">IFERROR(IF(VLOOKUP(C1390,' Disaggregation - Section E '!A$7:J508,5,0)=0,"",VLOOKUP(C1390,' Disaggregation - Section E '!A$7:J508,5,0)),"")</f>
        <v/>
      </c>
      <c r="G1390" s="387" t="str">
        <f ca="1">IFERROR(IF(VLOOKUP(C1390,' Disaggregation - Section E '!A$7:J508,6,0)="","",VLOOKUP(C1390,' Disaggregation - Section E '!A$7:J508,6,0)),"")</f>
        <v/>
      </c>
      <c r="H1390" s="387" t="str">
        <f ca="1">IFERROR(IF(INDEX(' Disaggregation - Section E '!F$7:F508,MATCH(C1390,' Disaggregation - Section E '!A$7:A508,0)+1,1)&lt;&gt;0,INDEX(' Disaggregation - Section E '!F$7:F508,MATCH(C1390,' Disaggregation - Section E '!A$7:A508,0)+1,1),""),"")</f>
        <v/>
      </c>
      <c r="I1390" s="388" t="str">
        <f ca="1">IFERROR(IF(VLOOKUP(C1390,' Disaggregation - Section E '!A$7:J508,8,0)=0,"",VLOOKUP(C1390,' Disaggregation - Section E '!A$7:J508,8,0)),"")</f>
        <v/>
      </c>
      <c r="J1390" s="388" t="str">
        <f ca="1">IFERROR(IF(VLOOKUP(C1390,' Disaggregation - Section E '!A$7:J508,9,0)="","",VLOOKUP(C1390,' Disaggregation - Section E '!A$7:J508,9,0)),"")</f>
        <v/>
      </c>
      <c r="K1390" s="384" t="str">
        <f ca="1">IFERROR(VLOOKUP(C1390,' Disaggregation - Section E '!A$7:J508,3,0),"")</f>
        <v>HIV I-11⁽ᴹ⁾ Percentage of people who inject drugs who are living with HIV</v>
      </c>
      <c r="L1390" s="388" t="str">
        <f ca="1">IFERROR(IF(VLOOKUP(C1390,' Disaggregation - Section E '!A$7:J508,10,0)="","",VLOOKUP(C1390,' Disaggregation - Section E '!A$7:J508,10,0)),"")</f>
        <v/>
      </c>
      <c r="M1390" s="384" t="str">
        <f ca="1">IFERROR(IF(VLOOKUP(C1390,' Disaggregation - Section E '!A$7:O508,15,0)=0,"",VLOOKUP(C1390,' Disaggregation - Section E '!A$7:O508,15,0)),"")</f>
        <v/>
      </c>
      <c r="N1390" s="384"/>
      <c r="O1390" s="384"/>
    </row>
    <row r="1391" spans="1:15" x14ac:dyDescent="0.3">
      <c r="A1391" s="384" t="b">
        <f t="shared" ca="1" si="132"/>
        <v>0</v>
      </c>
      <c r="B1391" s="384"/>
      <c r="C1391" s="400" t="str">
        <f ca="1">IF(COUNTA(O$1189:O1391)=1,"",OFFSET(B1391,-COUNTA(O$1189:O1391)+1,1))</f>
        <v>a1GDm000000XmlaMAC</v>
      </c>
      <c r="D1391" s="389"/>
      <c r="E1391" s="386" t="str">
        <f ca="1">IFERROR(IF(VLOOKUP(C1391,' Disaggregation - Section E '!A$7:J509,7,0)="","",VLOOKUP(C1391,' Disaggregation - Section E '!A$7:J213,7,0)*100),"")</f>
        <v/>
      </c>
      <c r="F1391" s="388" t="str">
        <f ca="1">IFERROR(IF(VLOOKUP(C1391,' Disaggregation - Section E '!A$7:J509,5,0)=0,"",VLOOKUP(C1391,' Disaggregation - Section E '!A$7:J509,5,0)),"")</f>
        <v/>
      </c>
      <c r="G1391" s="387" t="str">
        <f ca="1">IFERROR(IF(VLOOKUP(C1391,' Disaggregation - Section E '!A$7:J509,6,0)="","",VLOOKUP(C1391,' Disaggregation - Section E '!A$7:J509,6,0)),"")</f>
        <v/>
      </c>
      <c r="H1391" s="387" t="str">
        <f ca="1">IFERROR(IF(INDEX(' Disaggregation - Section E '!F$7:F509,MATCH(C1391,' Disaggregation - Section E '!A$7:A509,0)+1,1)&lt;&gt;0,INDEX(' Disaggregation - Section E '!F$7:F509,MATCH(C1391,' Disaggregation - Section E '!A$7:A509,0)+1,1),""),"")</f>
        <v/>
      </c>
      <c r="I1391" s="388" t="str">
        <f ca="1">IFERROR(IF(VLOOKUP(C1391,' Disaggregation - Section E '!A$7:J509,8,0)=0,"",VLOOKUP(C1391,' Disaggregation - Section E '!A$7:J509,8,0)),"")</f>
        <v/>
      </c>
      <c r="J1391" s="388" t="str">
        <f ca="1">IFERROR(IF(VLOOKUP(C1391,' Disaggregation - Section E '!A$7:J509,9,0)="","",VLOOKUP(C1391,' Disaggregation - Section E '!A$7:J509,9,0)),"")</f>
        <v/>
      </c>
      <c r="K1391" s="384" t="str">
        <f ca="1">IFERROR(VLOOKUP(C1391,' Disaggregation - Section E '!A$7:J509,3,0),"")</f>
        <v/>
      </c>
      <c r="L1391" s="388" t="str">
        <f ca="1">IFERROR(IF(VLOOKUP(C1391,' Disaggregation - Section E '!A$7:J509,10,0)="","",VLOOKUP(C1391,' Disaggregation - Section E '!A$7:J509,10,0)),"")</f>
        <v/>
      </c>
      <c r="M1391" s="384" t="str">
        <f ca="1">IFERROR(IF(VLOOKUP(C1391,' Disaggregation - Section E '!A$7:O509,15,0)=0,"",VLOOKUP(C1391,' Disaggregation - Section E '!A$7:O509,15,0)),"")</f>
        <v/>
      </c>
      <c r="N1391" s="384"/>
      <c r="O1391" s="384"/>
    </row>
    <row r="1392" spans="1:15" x14ac:dyDescent="0.3">
      <c r="A1392" s="384" t="b">
        <f t="shared" ca="1" si="132"/>
        <v>0</v>
      </c>
      <c r="B1392" s="384"/>
      <c r="C1392" s="400" t="str">
        <f ca="1">IF(COUNTA(O$1189:O1392)=1,"",OFFSET(B1392,-COUNTA(O$1189:O1392)+1,1))</f>
        <v>a1GDm000000XmlbMAC</v>
      </c>
      <c r="D1392" s="389"/>
      <c r="E1392" s="386" t="str">
        <f ca="1">IFERROR(IF(VLOOKUP(C1392,' Disaggregation - Section E '!A$7:J510,7,0)="","",VLOOKUP(C1392,' Disaggregation - Section E '!A$7:J214,7,0)*100),"")</f>
        <v/>
      </c>
      <c r="F1392" s="388" t="str">
        <f ca="1">IFERROR(IF(VLOOKUP(C1392,' Disaggregation - Section E '!A$7:J510,5,0)=0,"",VLOOKUP(C1392,' Disaggregation - Section E '!A$7:J510,5,0)),"")</f>
        <v/>
      </c>
      <c r="G1392" s="387" t="str">
        <f ca="1">IFERROR(IF(VLOOKUP(C1392,' Disaggregation - Section E '!A$7:J510,6,0)="","",VLOOKUP(C1392,' Disaggregation - Section E '!A$7:J510,6,0)),"")</f>
        <v/>
      </c>
      <c r="H1392" s="387" t="str">
        <f ca="1">IFERROR(IF(INDEX(' Disaggregation - Section E '!F$7:F510,MATCH(C1392,' Disaggregation - Section E '!A$7:A510,0)+1,1)&lt;&gt;0,INDEX(' Disaggregation - Section E '!F$7:F510,MATCH(C1392,' Disaggregation - Section E '!A$7:A510,0)+1,1),""),"")</f>
        <v/>
      </c>
      <c r="I1392" s="388" t="str">
        <f ca="1">IFERROR(IF(VLOOKUP(C1392,' Disaggregation - Section E '!A$7:J510,8,0)=0,"",VLOOKUP(C1392,' Disaggregation - Section E '!A$7:J510,8,0)),"")</f>
        <v/>
      </c>
      <c r="J1392" s="388" t="str">
        <f ca="1">IFERROR(IF(VLOOKUP(C1392,' Disaggregation - Section E '!A$7:J510,9,0)="","",VLOOKUP(C1392,' Disaggregation - Section E '!A$7:J510,9,0)),"")</f>
        <v/>
      </c>
      <c r="K1392" s="384" t="str">
        <f ca="1">IFERROR(VLOOKUP(C1392,' Disaggregation - Section E '!A$7:J510,3,0),"")</f>
        <v/>
      </c>
      <c r="L1392" s="388" t="str">
        <f ca="1">IFERROR(IF(VLOOKUP(C1392,' Disaggregation - Section E '!A$7:J510,10,0)="","",VLOOKUP(C1392,' Disaggregation - Section E '!A$7:J510,10,0)),"")</f>
        <v/>
      </c>
      <c r="M1392" s="384" t="str">
        <f ca="1">IFERROR(IF(VLOOKUP(C1392,' Disaggregation - Section E '!A$7:O510,15,0)=0,"",VLOOKUP(C1392,' Disaggregation - Section E '!A$7:O510,15,0)),"")</f>
        <v/>
      </c>
      <c r="N1392" s="384"/>
      <c r="O1392" s="384"/>
    </row>
    <row r="1393" spans="1:15" x14ac:dyDescent="0.3">
      <c r="A1393" s="384" t="b">
        <f t="shared" ca="1" si="132"/>
        <v>0</v>
      </c>
      <c r="B1393" s="384"/>
      <c r="C1393" s="400" t="str">
        <f ca="1">IF(COUNTA(O$1189:O1393)=1,"",OFFSET(B1393,-COUNTA(O$1189:O1393)+1,1))</f>
        <v>a1GDm000000XmlcMAC</v>
      </c>
      <c r="D1393" s="389"/>
      <c r="E1393" s="386" t="str">
        <f ca="1">IFERROR(IF(VLOOKUP(C1393,' Disaggregation - Section E '!A$7:J511,7,0)="","",VLOOKUP(C1393,' Disaggregation - Section E '!A$7:J215,7,0)*100),"")</f>
        <v/>
      </c>
      <c r="F1393" s="388" t="str">
        <f ca="1">IFERROR(IF(VLOOKUP(C1393,' Disaggregation - Section E '!A$7:J511,5,0)=0,"",VLOOKUP(C1393,' Disaggregation - Section E '!A$7:J511,5,0)),"")</f>
        <v/>
      </c>
      <c r="G1393" s="387" t="str">
        <f ca="1">IFERROR(IF(VLOOKUP(C1393,' Disaggregation - Section E '!A$7:J511,6,0)="","",VLOOKUP(C1393,' Disaggregation - Section E '!A$7:J511,6,0)),"")</f>
        <v/>
      </c>
      <c r="H1393" s="387" t="str">
        <f ca="1">IFERROR(IF(INDEX(' Disaggregation - Section E '!F$7:F511,MATCH(C1393,' Disaggregation - Section E '!A$7:A511,0)+1,1)&lt;&gt;0,INDEX(' Disaggregation - Section E '!F$7:F511,MATCH(C1393,' Disaggregation - Section E '!A$7:A511,0)+1,1),""),"")</f>
        <v/>
      </c>
      <c r="I1393" s="388" t="str">
        <f ca="1">IFERROR(IF(VLOOKUP(C1393,' Disaggregation - Section E '!A$7:J511,8,0)=0,"",VLOOKUP(C1393,' Disaggregation - Section E '!A$7:J511,8,0)),"")</f>
        <v/>
      </c>
      <c r="J1393" s="388" t="str">
        <f ca="1">IFERROR(IF(VLOOKUP(C1393,' Disaggregation - Section E '!A$7:J511,9,0)="","",VLOOKUP(C1393,' Disaggregation - Section E '!A$7:J511,9,0)),"")</f>
        <v/>
      </c>
      <c r="K1393" s="384" t="str">
        <f ca="1">IFERROR(VLOOKUP(C1393,' Disaggregation - Section E '!A$7:J511,3,0),"")</f>
        <v/>
      </c>
      <c r="L1393" s="388" t="str">
        <f ca="1">IFERROR(IF(VLOOKUP(C1393,' Disaggregation - Section E '!A$7:J511,10,0)="","",VLOOKUP(C1393,' Disaggregation - Section E '!A$7:J511,10,0)),"")</f>
        <v/>
      </c>
      <c r="M1393" s="384" t="str">
        <f ca="1">IFERROR(IF(VLOOKUP(C1393,' Disaggregation - Section E '!A$7:O511,15,0)=0,"",VLOOKUP(C1393,' Disaggregation - Section E '!A$7:O511,15,0)),"")</f>
        <v/>
      </c>
      <c r="N1393" s="384"/>
      <c r="O1393" s="384"/>
    </row>
    <row r="1394" spans="1:15" x14ac:dyDescent="0.3">
      <c r="A1394" s="384" t="b">
        <f t="shared" ca="1" si="132"/>
        <v>0</v>
      </c>
      <c r="B1394" s="384"/>
      <c r="C1394" s="400" t="str">
        <f ca="1">IF(COUNTA(O$1189:O1394)=1,"",OFFSET(B1394,-COUNTA(O$1189:O1394)+1,1))</f>
        <v>a1GDm000000XmldMAC</v>
      </c>
      <c r="D1394" s="389"/>
      <c r="E1394" s="386" t="str">
        <f ca="1">IFERROR(IF(VLOOKUP(C1394,' Disaggregation - Section E '!A$7:J512,7,0)="","",VLOOKUP(C1394,' Disaggregation - Section E '!A$7:J216,7,0)*100),"")</f>
        <v/>
      </c>
      <c r="F1394" s="388" t="str">
        <f ca="1">IFERROR(IF(VLOOKUP(C1394,' Disaggregation - Section E '!A$7:J512,5,0)=0,"",VLOOKUP(C1394,' Disaggregation - Section E '!A$7:J512,5,0)),"")</f>
        <v/>
      </c>
      <c r="G1394" s="387" t="str">
        <f ca="1">IFERROR(IF(VLOOKUP(C1394,' Disaggregation - Section E '!A$7:J512,6,0)="","",VLOOKUP(C1394,' Disaggregation - Section E '!A$7:J512,6,0)),"")</f>
        <v/>
      </c>
      <c r="H1394" s="387" t="str">
        <f ca="1">IFERROR(IF(INDEX(' Disaggregation - Section E '!F$7:F512,MATCH(C1394,' Disaggregation - Section E '!A$7:A512,0)+1,1)&lt;&gt;0,INDEX(' Disaggregation - Section E '!F$7:F512,MATCH(C1394,' Disaggregation - Section E '!A$7:A512,0)+1,1),""),"")</f>
        <v/>
      </c>
      <c r="I1394" s="388" t="str">
        <f ca="1">IFERROR(IF(VLOOKUP(C1394,' Disaggregation - Section E '!A$7:J512,8,0)=0,"",VLOOKUP(C1394,' Disaggregation - Section E '!A$7:J512,8,0)),"")</f>
        <v/>
      </c>
      <c r="J1394" s="388" t="str">
        <f ca="1">IFERROR(IF(VLOOKUP(C1394,' Disaggregation - Section E '!A$7:J512,9,0)="","",VLOOKUP(C1394,' Disaggregation - Section E '!A$7:J512,9,0)),"")</f>
        <v/>
      </c>
      <c r="K1394" s="384" t="str">
        <f ca="1">IFERROR(VLOOKUP(C1394,' Disaggregation - Section E '!A$7:J512,3,0),"")</f>
        <v/>
      </c>
      <c r="L1394" s="388" t="str">
        <f ca="1">IFERROR(IF(VLOOKUP(C1394,' Disaggregation - Section E '!A$7:J512,10,0)="","",VLOOKUP(C1394,' Disaggregation - Section E '!A$7:J512,10,0)),"")</f>
        <v/>
      </c>
      <c r="M1394" s="384" t="str">
        <f ca="1">IFERROR(IF(VLOOKUP(C1394,' Disaggregation - Section E '!A$7:O512,15,0)=0,"",VLOOKUP(C1394,' Disaggregation - Section E '!A$7:O512,15,0)),"")</f>
        <v/>
      </c>
      <c r="N1394" s="384"/>
      <c r="O1394" s="384"/>
    </row>
    <row r="1395" spans="1:15" x14ac:dyDescent="0.3">
      <c r="A1395" s="384" t="b">
        <f t="shared" ca="1" si="132"/>
        <v>0</v>
      </c>
      <c r="B1395" s="384"/>
      <c r="C1395" s="400" t="str">
        <f ca="1">IF(COUNTA(O$1189:O1395)=1,"",OFFSET(B1395,-COUNTA(O$1189:O1395)+1,1))</f>
        <v>a1GDm000000XmleMAC</v>
      </c>
      <c r="D1395" s="389"/>
      <c r="E1395" s="386" t="str">
        <f ca="1">IFERROR(IF(VLOOKUP(C1395,' Disaggregation - Section E '!A$7:J513,7,0)="","",VLOOKUP(C1395,' Disaggregation - Section E '!A$7:J217,7,0)*100),"")</f>
        <v/>
      </c>
      <c r="F1395" s="388" t="str">
        <f ca="1">IFERROR(IF(VLOOKUP(C1395,' Disaggregation - Section E '!A$7:J513,5,0)=0,"",VLOOKUP(C1395,' Disaggregation - Section E '!A$7:J513,5,0)),"")</f>
        <v/>
      </c>
      <c r="G1395" s="387" t="str">
        <f ca="1">IFERROR(IF(VLOOKUP(C1395,' Disaggregation - Section E '!A$7:J513,6,0)="","",VLOOKUP(C1395,' Disaggregation - Section E '!A$7:J513,6,0)),"")</f>
        <v/>
      </c>
      <c r="H1395" s="387" t="str">
        <f ca="1">IFERROR(IF(INDEX(' Disaggregation - Section E '!F$7:F513,MATCH(C1395,' Disaggregation - Section E '!A$7:A513,0)+1,1)&lt;&gt;0,INDEX(' Disaggregation - Section E '!F$7:F513,MATCH(C1395,' Disaggregation - Section E '!A$7:A513,0)+1,1),""),"")</f>
        <v/>
      </c>
      <c r="I1395" s="388" t="str">
        <f ca="1">IFERROR(IF(VLOOKUP(C1395,' Disaggregation - Section E '!A$7:J513,8,0)=0,"",VLOOKUP(C1395,' Disaggregation - Section E '!A$7:J513,8,0)),"")</f>
        <v/>
      </c>
      <c r="J1395" s="388" t="str">
        <f ca="1">IFERROR(IF(VLOOKUP(C1395,' Disaggregation - Section E '!A$7:J513,9,0)="","",VLOOKUP(C1395,' Disaggregation - Section E '!A$7:J513,9,0)),"")</f>
        <v/>
      </c>
      <c r="K1395" s="384" t="str">
        <f ca="1">IFERROR(VLOOKUP(C1395,' Disaggregation - Section E '!A$7:J513,3,0),"")</f>
        <v/>
      </c>
      <c r="L1395" s="388" t="str">
        <f ca="1">IFERROR(IF(VLOOKUP(C1395,' Disaggregation - Section E '!A$7:J513,10,0)="","",VLOOKUP(C1395,' Disaggregation - Section E '!A$7:J513,10,0)),"")</f>
        <v/>
      </c>
      <c r="M1395" s="384" t="str">
        <f ca="1">IFERROR(IF(VLOOKUP(C1395,' Disaggregation - Section E '!A$7:O513,15,0)=0,"",VLOOKUP(C1395,' Disaggregation - Section E '!A$7:O513,15,0)),"")</f>
        <v/>
      </c>
      <c r="N1395" s="384"/>
      <c r="O1395" s="384"/>
    </row>
    <row r="1396" spans="1:15" x14ac:dyDescent="0.3">
      <c r="A1396" s="384" t="b">
        <f t="shared" ca="1" si="132"/>
        <v>0</v>
      </c>
      <c r="B1396" s="384"/>
      <c r="C1396" s="400" t="str">
        <f ca="1">IF(COUNTA(O$1189:O1396)=1,"",OFFSET(B1396,-COUNTA(O$1189:O1396)+1,1))</f>
        <v>a1GDm000000XmlfMAC</v>
      </c>
      <c r="D1396" s="389"/>
      <c r="E1396" s="386" t="str">
        <f ca="1">IFERROR(IF(VLOOKUP(C1396,' Disaggregation - Section E '!A$7:J514,7,0)="","",VLOOKUP(C1396,' Disaggregation - Section E '!A$7:J218,7,0)*100),"")</f>
        <v/>
      </c>
      <c r="F1396" s="388" t="str">
        <f ca="1">IFERROR(IF(VLOOKUP(C1396,' Disaggregation - Section E '!A$7:J514,5,0)=0,"",VLOOKUP(C1396,' Disaggregation - Section E '!A$7:J514,5,0)),"")</f>
        <v/>
      </c>
      <c r="G1396" s="387" t="str">
        <f ca="1">IFERROR(IF(VLOOKUP(C1396,' Disaggregation - Section E '!A$7:J514,6,0)="","",VLOOKUP(C1396,' Disaggregation - Section E '!A$7:J514,6,0)),"")</f>
        <v/>
      </c>
      <c r="H1396" s="387" t="str">
        <f ca="1">IFERROR(IF(INDEX(' Disaggregation - Section E '!F$7:F514,MATCH(C1396,' Disaggregation - Section E '!A$7:A514,0)+1,1)&lt;&gt;0,INDEX(' Disaggregation - Section E '!F$7:F514,MATCH(C1396,' Disaggregation - Section E '!A$7:A514,0)+1,1),""),"")</f>
        <v/>
      </c>
      <c r="I1396" s="388" t="str">
        <f ca="1">IFERROR(IF(VLOOKUP(C1396,' Disaggregation - Section E '!A$7:J514,8,0)=0,"",VLOOKUP(C1396,' Disaggregation - Section E '!A$7:J514,8,0)),"")</f>
        <v/>
      </c>
      <c r="J1396" s="388" t="str">
        <f ca="1">IFERROR(IF(VLOOKUP(C1396,' Disaggregation - Section E '!A$7:J514,9,0)="","",VLOOKUP(C1396,' Disaggregation - Section E '!A$7:J514,9,0)),"")</f>
        <v/>
      </c>
      <c r="K1396" s="384" t="str">
        <f ca="1">IFERROR(VLOOKUP(C1396,' Disaggregation - Section E '!A$7:J514,3,0),"")</f>
        <v/>
      </c>
      <c r="L1396" s="388" t="str">
        <f ca="1">IFERROR(IF(VLOOKUP(C1396,' Disaggregation - Section E '!A$7:J514,10,0)="","",VLOOKUP(C1396,' Disaggregation - Section E '!A$7:J514,10,0)),"")</f>
        <v/>
      </c>
      <c r="M1396" s="384" t="str">
        <f ca="1">IFERROR(IF(VLOOKUP(C1396,' Disaggregation - Section E '!A$7:O514,15,0)=0,"",VLOOKUP(C1396,' Disaggregation - Section E '!A$7:O514,15,0)),"")</f>
        <v/>
      </c>
      <c r="N1396" s="384"/>
      <c r="O1396" s="384"/>
    </row>
    <row r="1397" spans="1:15" x14ac:dyDescent="0.3">
      <c r="A1397" s="384" t="b">
        <f t="shared" ca="1" si="132"/>
        <v>0</v>
      </c>
      <c r="B1397" s="384"/>
      <c r="C1397" s="400" t="str">
        <f ca="1">IF(COUNTA(O$1189:O1397)=1,"",OFFSET(B1397,-COUNTA(O$1189:O1397)+1,1))</f>
        <v>a1GDm000000XmlgMAC</v>
      </c>
      <c r="D1397" s="389"/>
      <c r="E1397" s="386" t="str">
        <f ca="1">IFERROR(IF(VLOOKUP(C1397,' Disaggregation - Section E '!A$7:J515,7,0)="","",VLOOKUP(C1397,' Disaggregation - Section E '!A$7:J219,7,0)*100),"")</f>
        <v/>
      </c>
      <c r="F1397" s="388" t="str">
        <f ca="1">IFERROR(IF(VLOOKUP(C1397,' Disaggregation - Section E '!A$7:J515,5,0)=0,"",VLOOKUP(C1397,' Disaggregation - Section E '!A$7:J515,5,0)),"")</f>
        <v/>
      </c>
      <c r="G1397" s="387" t="str">
        <f ca="1">IFERROR(IF(VLOOKUP(C1397,' Disaggregation - Section E '!A$7:J515,6,0)="","",VLOOKUP(C1397,' Disaggregation - Section E '!A$7:J515,6,0)),"")</f>
        <v/>
      </c>
      <c r="H1397" s="387" t="str">
        <f ca="1">IFERROR(IF(INDEX(' Disaggregation - Section E '!F$7:F515,MATCH(C1397,' Disaggregation - Section E '!A$7:A515,0)+1,1)&lt;&gt;0,INDEX(' Disaggregation - Section E '!F$7:F515,MATCH(C1397,' Disaggregation - Section E '!A$7:A515,0)+1,1),""),"")</f>
        <v/>
      </c>
      <c r="I1397" s="388" t="str">
        <f ca="1">IFERROR(IF(VLOOKUP(C1397,' Disaggregation - Section E '!A$7:J515,8,0)=0,"",VLOOKUP(C1397,' Disaggregation - Section E '!A$7:J515,8,0)),"")</f>
        <v/>
      </c>
      <c r="J1397" s="388" t="str">
        <f ca="1">IFERROR(IF(VLOOKUP(C1397,' Disaggregation - Section E '!A$7:J515,9,0)="","",VLOOKUP(C1397,' Disaggregation - Section E '!A$7:J515,9,0)),"")</f>
        <v/>
      </c>
      <c r="K1397" s="384" t="str">
        <f ca="1">IFERROR(VLOOKUP(C1397,' Disaggregation - Section E '!A$7:J515,3,0),"")</f>
        <v/>
      </c>
      <c r="L1397" s="388" t="str">
        <f ca="1">IFERROR(IF(VLOOKUP(C1397,' Disaggregation - Section E '!A$7:J515,10,0)="","",VLOOKUP(C1397,' Disaggregation - Section E '!A$7:J515,10,0)),"")</f>
        <v/>
      </c>
      <c r="M1397" s="384" t="str">
        <f ca="1">IFERROR(IF(VLOOKUP(C1397,' Disaggregation - Section E '!A$7:O515,15,0)=0,"",VLOOKUP(C1397,' Disaggregation - Section E '!A$7:O515,15,0)),"")</f>
        <v/>
      </c>
      <c r="N1397" s="384"/>
      <c r="O1397" s="384"/>
    </row>
    <row r="1398" spans="1:15" x14ac:dyDescent="0.3">
      <c r="A1398" s="384" t="b">
        <f t="shared" ca="1" si="132"/>
        <v>0</v>
      </c>
      <c r="B1398" s="384"/>
      <c r="C1398" s="400" t="str">
        <f ca="1">IF(COUNTA(O$1189:O1398)=1,"",OFFSET(B1398,-COUNTA(O$1189:O1398)+1,1))</f>
        <v>a1GDm000000XmlhMAC</v>
      </c>
      <c r="D1398" s="389"/>
      <c r="E1398" s="386" t="str">
        <f ca="1">IFERROR(IF(VLOOKUP(C1398,' Disaggregation - Section E '!A$7:J516,7,0)="","",VLOOKUP(C1398,' Disaggregation - Section E '!A$7:J220,7,0)*100),"")</f>
        <v/>
      </c>
      <c r="F1398" s="388" t="str">
        <f ca="1">IFERROR(IF(VLOOKUP(C1398,' Disaggregation - Section E '!A$7:J516,5,0)=0,"",VLOOKUP(C1398,' Disaggregation - Section E '!A$7:J516,5,0)),"")</f>
        <v/>
      </c>
      <c r="G1398" s="387" t="str">
        <f ca="1">IFERROR(IF(VLOOKUP(C1398,' Disaggregation - Section E '!A$7:J516,6,0)="","",VLOOKUP(C1398,' Disaggregation - Section E '!A$7:J516,6,0)),"")</f>
        <v/>
      </c>
      <c r="H1398" s="387" t="str">
        <f ca="1">IFERROR(IF(INDEX(' Disaggregation - Section E '!F$7:F516,MATCH(C1398,' Disaggregation - Section E '!A$7:A516,0)+1,1)&lt;&gt;0,INDEX(' Disaggregation - Section E '!F$7:F516,MATCH(C1398,' Disaggregation - Section E '!A$7:A516,0)+1,1),""),"")</f>
        <v/>
      </c>
      <c r="I1398" s="388" t="str">
        <f ca="1">IFERROR(IF(VLOOKUP(C1398,' Disaggregation - Section E '!A$7:J516,8,0)=0,"",VLOOKUP(C1398,' Disaggregation - Section E '!A$7:J516,8,0)),"")</f>
        <v/>
      </c>
      <c r="J1398" s="388" t="str">
        <f ca="1">IFERROR(IF(VLOOKUP(C1398,' Disaggregation - Section E '!A$7:J516,9,0)="","",VLOOKUP(C1398,' Disaggregation - Section E '!A$7:J516,9,0)),"")</f>
        <v/>
      </c>
      <c r="K1398" s="384" t="str">
        <f ca="1">IFERROR(VLOOKUP(C1398,' Disaggregation - Section E '!A$7:J516,3,0),"")</f>
        <v/>
      </c>
      <c r="L1398" s="388" t="str">
        <f ca="1">IFERROR(IF(VLOOKUP(C1398,' Disaggregation - Section E '!A$7:J516,10,0)="","",VLOOKUP(C1398,' Disaggregation - Section E '!A$7:J516,10,0)),"")</f>
        <v/>
      </c>
      <c r="M1398" s="384" t="str">
        <f ca="1">IFERROR(IF(VLOOKUP(C1398,' Disaggregation - Section E '!A$7:O516,15,0)=0,"",VLOOKUP(C1398,' Disaggregation - Section E '!A$7:O516,15,0)),"")</f>
        <v/>
      </c>
      <c r="N1398" s="384"/>
      <c r="O1398" s="384"/>
    </row>
    <row r="1399" spans="1:15" x14ac:dyDescent="0.3">
      <c r="A1399" s="384" t="b">
        <f t="shared" ca="1" si="132"/>
        <v>0</v>
      </c>
      <c r="B1399" s="384"/>
      <c r="C1399" s="400" t="str">
        <f ca="1">IF(COUNTA(O$1189:O1399)=1,"",OFFSET(B1399,-COUNTA(O$1189:O1399)+1,1))</f>
        <v>a1GDm000000XmliMAC</v>
      </c>
      <c r="D1399" s="389"/>
      <c r="E1399" s="386" t="str">
        <f ca="1">IFERROR(IF(VLOOKUP(C1399,' Disaggregation - Section E '!A$7:J517,7,0)="","",VLOOKUP(C1399,' Disaggregation - Section E '!A$7:J221,7,0)*100),"")</f>
        <v/>
      </c>
      <c r="F1399" s="388" t="str">
        <f ca="1">IFERROR(IF(VLOOKUP(C1399,' Disaggregation - Section E '!A$7:J517,5,0)=0,"",VLOOKUP(C1399,' Disaggregation - Section E '!A$7:J517,5,0)),"")</f>
        <v/>
      </c>
      <c r="G1399" s="387" t="str">
        <f ca="1">IFERROR(IF(VLOOKUP(C1399,' Disaggregation - Section E '!A$7:J517,6,0)="","",VLOOKUP(C1399,' Disaggregation - Section E '!A$7:J517,6,0)),"")</f>
        <v/>
      </c>
      <c r="H1399" s="387" t="str">
        <f ca="1">IFERROR(IF(INDEX(' Disaggregation - Section E '!F$7:F517,MATCH(C1399,' Disaggregation - Section E '!A$7:A517,0)+1,1)&lt;&gt;0,INDEX(' Disaggregation - Section E '!F$7:F517,MATCH(C1399,' Disaggregation - Section E '!A$7:A517,0)+1,1),""),"")</f>
        <v/>
      </c>
      <c r="I1399" s="388" t="str">
        <f ca="1">IFERROR(IF(VLOOKUP(C1399,' Disaggregation - Section E '!A$7:J517,8,0)=0,"",VLOOKUP(C1399,' Disaggregation - Section E '!A$7:J517,8,0)),"")</f>
        <v/>
      </c>
      <c r="J1399" s="388" t="str">
        <f ca="1">IFERROR(IF(VLOOKUP(C1399,' Disaggregation - Section E '!A$7:J517,9,0)="","",VLOOKUP(C1399,' Disaggregation - Section E '!A$7:J517,9,0)),"")</f>
        <v/>
      </c>
      <c r="K1399" s="384" t="str">
        <f ca="1">IFERROR(VLOOKUP(C1399,' Disaggregation - Section E '!A$7:J517,3,0),"")</f>
        <v/>
      </c>
      <c r="L1399" s="388" t="str">
        <f ca="1">IFERROR(IF(VLOOKUP(C1399,' Disaggregation - Section E '!A$7:J517,10,0)="","",VLOOKUP(C1399,' Disaggregation - Section E '!A$7:J517,10,0)),"")</f>
        <v/>
      </c>
      <c r="M1399" s="384" t="str">
        <f ca="1">IFERROR(IF(VLOOKUP(C1399,' Disaggregation - Section E '!A$7:O517,15,0)=0,"",VLOOKUP(C1399,' Disaggregation - Section E '!A$7:O517,15,0)),"")</f>
        <v/>
      </c>
      <c r="N1399" s="384"/>
      <c r="O1399" s="384"/>
    </row>
    <row r="1400" spans="1:15" x14ac:dyDescent="0.3">
      <c r="A1400" s="384" t="b">
        <f t="shared" ca="1" si="132"/>
        <v>0</v>
      </c>
      <c r="B1400" s="384"/>
      <c r="C1400" s="400" t="str">
        <f ca="1">IF(COUNTA(O$1189:O1400)=1,"",OFFSET(B1400,-COUNTA(O$1189:O1400)+1,1))</f>
        <v>a1GDm000000XmljMAC</v>
      </c>
      <c r="D1400" s="389"/>
      <c r="E1400" s="386" t="str">
        <f ca="1">IFERROR(IF(VLOOKUP(C1400,' Disaggregation - Section E '!A$7:J518,7,0)="","",VLOOKUP(C1400,' Disaggregation - Section E '!A$7:J222,7,0)*100),"")</f>
        <v/>
      </c>
      <c r="F1400" s="388" t="str">
        <f ca="1">IFERROR(IF(VLOOKUP(C1400,' Disaggregation - Section E '!A$7:J518,5,0)=0,"",VLOOKUP(C1400,' Disaggregation - Section E '!A$7:J518,5,0)),"")</f>
        <v/>
      </c>
      <c r="G1400" s="387" t="str">
        <f ca="1">IFERROR(IF(VLOOKUP(C1400,' Disaggregation - Section E '!A$7:J518,6,0)="","",VLOOKUP(C1400,' Disaggregation - Section E '!A$7:J518,6,0)),"")</f>
        <v/>
      </c>
      <c r="H1400" s="387" t="str">
        <f ca="1">IFERROR(IF(INDEX(' Disaggregation - Section E '!F$7:F518,MATCH(C1400,' Disaggregation - Section E '!A$7:A518,0)+1,1)&lt;&gt;0,INDEX(' Disaggregation - Section E '!F$7:F518,MATCH(C1400,' Disaggregation - Section E '!A$7:A518,0)+1,1),""),"")</f>
        <v/>
      </c>
      <c r="I1400" s="388" t="str">
        <f ca="1">IFERROR(IF(VLOOKUP(C1400,' Disaggregation - Section E '!A$7:J518,8,0)=0,"",VLOOKUP(C1400,' Disaggregation - Section E '!A$7:J518,8,0)),"")</f>
        <v/>
      </c>
      <c r="J1400" s="388" t="str">
        <f ca="1">IFERROR(IF(VLOOKUP(C1400,' Disaggregation - Section E '!A$7:J518,9,0)="","",VLOOKUP(C1400,' Disaggregation - Section E '!A$7:J518,9,0)),"")</f>
        <v/>
      </c>
      <c r="K1400" s="384" t="str">
        <f ca="1">IFERROR(VLOOKUP(C1400,' Disaggregation - Section E '!A$7:J518,3,0),"")</f>
        <v/>
      </c>
      <c r="L1400" s="388" t="str">
        <f ca="1">IFERROR(IF(VLOOKUP(C1400,' Disaggregation - Section E '!A$7:J518,10,0)="","",VLOOKUP(C1400,' Disaggregation - Section E '!A$7:J518,10,0)),"")</f>
        <v/>
      </c>
      <c r="M1400" s="384" t="str">
        <f ca="1">IFERROR(IF(VLOOKUP(C1400,' Disaggregation - Section E '!A$7:O518,15,0)=0,"",VLOOKUP(C1400,' Disaggregation - Section E '!A$7:O518,15,0)),"")</f>
        <v/>
      </c>
      <c r="N1400" s="384"/>
      <c r="O1400" s="384"/>
    </row>
    <row r="1401" spans="1:15" x14ac:dyDescent="0.3">
      <c r="A1401" s="384" t="b">
        <f t="shared" ca="1" si="132"/>
        <v>0</v>
      </c>
      <c r="B1401" s="384"/>
      <c r="C1401" s="400" t="str">
        <f ca="1">IF(COUNTA(O$1189:O1401)=1,"",OFFSET(B1401,-COUNTA(O$1189:O1401)+1,1))</f>
        <v>a1GDm000000XmlkMAC</v>
      </c>
      <c r="D1401" s="389"/>
      <c r="E1401" s="386" t="str">
        <f ca="1">IFERROR(IF(VLOOKUP(C1401,' Disaggregation - Section E '!A$7:J519,7,0)="","",VLOOKUP(C1401,' Disaggregation - Section E '!A$7:J223,7,0)*100),"")</f>
        <v/>
      </c>
      <c r="F1401" s="388" t="str">
        <f ca="1">IFERROR(IF(VLOOKUP(C1401,' Disaggregation - Section E '!A$7:J519,5,0)=0,"",VLOOKUP(C1401,' Disaggregation - Section E '!A$7:J519,5,0)),"")</f>
        <v/>
      </c>
      <c r="G1401" s="387" t="str">
        <f ca="1">IFERROR(IF(VLOOKUP(C1401,' Disaggregation - Section E '!A$7:J519,6,0)="","",VLOOKUP(C1401,' Disaggregation - Section E '!A$7:J519,6,0)),"")</f>
        <v/>
      </c>
      <c r="H1401" s="387" t="str">
        <f ca="1">IFERROR(IF(INDEX(' Disaggregation - Section E '!F$7:F519,MATCH(C1401,' Disaggregation - Section E '!A$7:A519,0)+1,1)&lt;&gt;0,INDEX(' Disaggregation - Section E '!F$7:F519,MATCH(C1401,' Disaggregation - Section E '!A$7:A519,0)+1,1),""),"")</f>
        <v/>
      </c>
      <c r="I1401" s="388" t="str">
        <f ca="1">IFERROR(IF(VLOOKUP(C1401,' Disaggregation - Section E '!A$7:J519,8,0)=0,"",VLOOKUP(C1401,' Disaggregation - Section E '!A$7:J519,8,0)),"")</f>
        <v/>
      </c>
      <c r="J1401" s="388" t="str">
        <f ca="1">IFERROR(IF(VLOOKUP(C1401,' Disaggregation - Section E '!A$7:J519,9,0)="","",VLOOKUP(C1401,' Disaggregation - Section E '!A$7:J519,9,0)),"")</f>
        <v/>
      </c>
      <c r="K1401" s="384" t="str">
        <f ca="1">IFERROR(VLOOKUP(C1401,' Disaggregation - Section E '!A$7:J519,3,0),"")</f>
        <v/>
      </c>
      <c r="L1401" s="388" t="str">
        <f ca="1">IFERROR(IF(VLOOKUP(C1401,' Disaggregation - Section E '!A$7:J519,10,0)="","",VLOOKUP(C1401,' Disaggregation - Section E '!A$7:J519,10,0)),"")</f>
        <v/>
      </c>
      <c r="M1401" s="384" t="str">
        <f ca="1">IFERROR(IF(VLOOKUP(C1401,' Disaggregation - Section E '!A$7:O519,15,0)=0,"",VLOOKUP(C1401,' Disaggregation - Section E '!A$7:O519,15,0)),"")</f>
        <v/>
      </c>
      <c r="N1401" s="384"/>
      <c r="O1401" s="384"/>
    </row>
    <row r="1402" spans="1:15" x14ac:dyDescent="0.3">
      <c r="A1402" s="384" t="b">
        <f t="shared" ca="1" si="132"/>
        <v>0</v>
      </c>
      <c r="B1402" s="384"/>
      <c r="C1402" s="400" t="str">
        <f ca="1">IF(COUNTA(O$1189:O1402)=1,"",OFFSET(B1402,-COUNTA(O$1189:O1402)+1,1))</f>
        <v>a1GDm000000XmllMAC</v>
      </c>
      <c r="D1402" s="389"/>
      <c r="E1402" s="386" t="str">
        <f ca="1">IFERROR(IF(VLOOKUP(C1402,' Disaggregation - Section E '!A$7:J520,7,0)="","",VLOOKUP(C1402,' Disaggregation - Section E '!A$7:J224,7,0)*100),"")</f>
        <v/>
      </c>
      <c r="F1402" s="388" t="str">
        <f ca="1">IFERROR(IF(VLOOKUP(C1402,' Disaggregation - Section E '!A$7:J520,5,0)=0,"",VLOOKUP(C1402,' Disaggregation - Section E '!A$7:J520,5,0)),"")</f>
        <v/>
      </c>
      <c r="G1402" s="387" t="str">
        <f ca="1">IFERROR(IF(VLOOKUP(C1402,' Disaggregation - Section E '!A$7:J520,6,0)="","",VLOOKUP(C1402,' Disaggregation - Section E '!A$7:J520,6,0)),"")</f>
        <v/>
      </c>
      <c r="H1402" s="387" t="str">
        <f ca="1">IFERROR(IF(INDEX(' Disaggregation - Section E '!F$7:F520,MATCH(C1402,' Disaggregation - Section E '!A$7:A520,0)+1,1)&lt;&gt;0,INDEX(' Disaggregation - Section E '!F$7:F520,MATCH(C1402,' Disaggregation - Section E '!A$7:A520,0)+1,1),""),"")</f>
        <v/>
      </c>
      <c r="I1402" s="388" t="str">
        <f ca="1">IFERROR(IF(VLOOKUP(C1402,' Disaggregation - Section E '!A$7:J520,8,0)=0,"",VLOOKUP(C1402,' Disaggregation - Section E '!A$7:J520,8,0)),"")</f>
        <v/>
      </c>
      <c r="J1402" s="388" t="str">
        <f ca="1">IFERROR(IF(VLOOKUP(C1402,' Disaggregation - Section E '!A$7:J520,9,0)="","",VLOOKUP(C1402,' Disaggregation - Section E '!A$7:J520,9,0)),"")</f>
        <v/>
      </c>
      <c r="K1402" s="384" t="str">
        <f ca="1">IFERROR(VLOOKUP(C1402,' Disaggregation - Section E '!A$7:J520,3,0),"")</f>
        <v/>
      </c>
      <c r="L1402" s="388" t="str">
        <f ca="1">IFERROR(IF(VLOOKUP(C1402,' Disaggregation - Section E '!A$7:J520,10,0)="","",VLOOKUP(C1402,' Disaggregation - Section E '!A$7:J520,10,0)),"")</f>
        <v/>
      </c>
      <c r="M1402" s="384" t="str">
        <f ca="1">IFERROR(IF(VLOOKUP(C1402,' Disaggregation - Section E '!A$7:O520,15,0)=0,"",VLOOKUP(C1402,' Disaggregation - Section E '!A$7:O520,15,0)),"")</f>
        <v/>
      </c>
      <c r="N1402" s="384"/>
      <c r="O1402" s="384"/>
    </row>
    <row r="1403" spans="1:15" x14ac:dyDescent="0.3">
      <c r="A1403" s="384" t="b">
        <f t="shared" ca="1" si="132"/>
        <v>0</v>
      </c>
      <c r="B1403" s="384"/>
      <c r="C1403" s="400" t="str">
        <f ca="1">IF(COUNTA(O$1189:O1403)=1,"",OFFSET(B1403,-COUNTA(O$1189:O1403)+1,1))</f>
        <v>a1GDm000000XmlmMAC</v>
      </c>
      <c r="D1403" s="389"/>
      <c r="E1403" s="386" t="str">
        <f ca="1">IFERROR(IF(VLOOKUP(C1403,' Disaggregation - Section E '!A$7:J521,7,0)="","",VLOOKUP(C1403,' Disaggregation - Section E '!A$7:J225,7,0)*100),"")</f>
        <v/>
      </c>
      <c r="F1403" s="388" t="str">
        <f ca="1">IFERROR(IF(VLOOKUP(C1403,' Disaggregation - Section E '!A$7:J521,5,0)=0,"",VLOOKUP(C1403,' Disaggregation - Section E '!A$7:J521,5,0)),"")</f>
        <v/>
      </c>
      <c r="G1403" s="387" t="str">
        <f ca="1">IFERROR(IF(VLOOKUP(C1403,' Disaggregation - Section E '!A$7:J521,6,0)="","",VLOOKUP(C1403,' Disaggregation - Section E '!A$7:J521,6,0)),"")</f>
        <v/>
      </c>
      <c r="H1403" s="387" t="str">
        <f ca="1">IFERROR(IF(INDEX(' Disaggregation - Section E '!F$7:F521,MATCH(C1403,' Disaggregation - Section E '!A$7:A521,0)+1,1)&lt;&gt;0,INDEX(' Disaggregation - Section E '!F$7:F521,MATCH(C1403,' Disaggregation - Section E '!A$7:A521,0)+1,1),""),"")</f>
        <v/>
      </c>
      <c r="I1403" s="388" t="str">
        <f ca="1">IFERROR(IF(VLOOKUP(C1403,' Disaggregation - Section E '!A$7:J521,8,0)=0,"",VLOOKUP(C1403,' Disaggregation - Section E '!A$7:J521,8,0)),"")</f>
        <v/>
      </c>
      <c r="J1403" s="388" t="str">
        <f ca="1">IFERROR(IF(VLOOKUP(C1403,' Disaggregation - Section E '!A$7:J521,9,0)="","",VLOOKUP(C1403,' Disaggregation - Section E '!A$7:J521,9,0)),"")</f>
        <v/>
      </c>
      <c r="K1403" s="384" t="str">
        <f ca="1">IFERROR(VLOOKUP(C1403,' Disaggregation - Section E '!A$7:J521,3,0),"")</f>
        <v/>
      </c>
      <c r="L1403" s="388" t="str">
        <f ca="1">IFERROR(IF(VLOOKUP(C1403,' Disaggregation - Section E '!A$7:J521,10,0)="","",VLOOKUP(C1403,' Disaggregation - Section E '!A$7:J521,10,0)),"")</f>
        <v/>
      </c>
      <c r="M1403" s="384" t="str">
        <f ca="1">IFERROR(IF(VLOOKUP(C1403,' Disaggregation - Section E '!A$7:O521,15,0)=0,"",VLOOKUP(C1403,' Disaggregation - Section E '!A$7:O521,15,0)),"")</f>
        <v/>
      </c>
      <c r="N1403" s="384"/>
      <c r="O1403" s="384"/>
    </row>
    <row r="1404" spans="1:15" x14ac:dyDescent="0.3">
      <c r="A1404" s="384" t="b">
        <f t="shared" ca="1" si="132"/>
        <v>0</v>
      </c>
      <c r="B1404" s="384"/>
      <c r="C1404" s="400" t="str">
        <f ca="1">IF(COUNTA(O$1189:O1404)=1,"",OFFSET(B1404,-COUNTA(O$1189:O1404)+1,1))</f>
        <v>a1GDm000000XmlnMAC</v>
      </c>
      <c r="D1404" s="389"/>
      <c r="E1404" s="386" t="str">
        <f ca="1">IFERROR(IF(VLOOKUP(C1404,' Disaggregation - Section E '!A$7:J522,7,0)="","",VLOOKUP(C1404,' Disaggregation - Section E '!A$7:J226,7,0)*100),"")</f>
        <v/>
      </c>
      <c r="F1404" s="388" t="str">
        <f ca="1">IFERROR(IF(VLOOKUP(C1404,' Disaggregation - Section E '!A$7:J522,5,0)=0,"",VLOOKUP(C1404,' Disaggregation - Section E '!A$7:J522,5,0)),"")</f>
        <v/>
      </c>
      <c r="G1404" s="387" t="str">
        <f ca="1">IFERROR(IF(VLOOKUP(C1404,' Disaggregation - Section E '!A$7:J522,6,0)="","",VLOOKUP(C1404,' Disaggregation - Section E '!A$7:J522,6,0)),"")</f>
        <v/>
      </c>
      <c r="H1404" s="387" t="str">
        <f ca="1">IFERROR(IF(INDEX(' Disaggregation - Section E '!F$7:F522,MATCH(C1404,' Disaggregation - Section E '!A$7:A522,0)+1,1)&lt;&gt;0,INDEX(' Disaggregation - Section E '!F$7:F522,MATCH(C1404,' Disaggregation - Section E '!A$7:A522,0)+1,1),""),"")</f>
        <v/>
      </c>
      <c r="I1404" s="388" t="str">
        <f ca="1">IFERROR(IF(VLOOKUP(C1404,' Disaggregation - Section E '!A$7:J522,8,0)=0,"",VLOOKUP(C1404,' Disaggregation - Section E '!A$7:J522,8,0)),"")</f>
        <v/>
      </c>
      <c r="J1404" s="388" t="str">
        <f ca="1">IFERROR(IF(VLOOKUP(C1404,' Disaggregation - Section E '!A$7:J522,9,0)="","",VLOOKUP(C1404,' Disaggregation - Section E '!A$7:J522,9,0)),"")</f>
        <v/>
      </c>
      <c r="K1404" s="384" t="str">
        <f ca="1">IFERROR(VLOOKUP(C1404,' Disaggregation - Section E '!A$7:J522,3,0),"")</f>
        <v/>
      </c>
      <c r="L1404" s="388" t="str">
        <f ca="1">IFERROR(IF(VLOOKUP(C1404,' Disaggregation - Section E '!A$7:J522,10,0)="","",VLOOKUP(C1404,' Disaggregation - Section E '!A$7:J522,10,0)),"")</f>
        <v/>
      </c>
      <c r="M1404" s="384" t="str">
        <f ca="1">IFERROR(IF(VLOOKUP(C1404,' Disaggregation - Section E '!A$7:O522,15,0)=0,"",VLOOKUP(C1404,' Disaggregation - Section E '!A$7:O522,15,0)),"")</f>
        <v/>
      </c>
      <c r="N1404" s="384"/>
      <c r="O1404" s="384"/>
    </row>
    <row r="1405" spans="1:15" x14ac:dyDescent="0.3">
      <c r="A1405" s="384" t="b">
        <f t="shared" ref="A1405:A1468" ca="1" si="133">IF(M1405&lt;&gt;"",TRUE,FALSE)</f>
        <v>0</v>
      </c>
      <c r="B1405" s="384"/>
      <c r="C1405" s="400" t="str">
        <f ca="1">IF(COUNTA(O$1189:O1405)=1,"",OFFSET(B1405,-COUNTA(O$1189:O1405)+1,1))</f>
        <v>a1GDm000000XmloMAC</v>
      </c>
      <c r="D1405" s="389"/>
      <c r="E1405" s="386" t="str">
        <f ca="1">IFERROR(IF(VLOOKUP(C1405,' Disaggregation - Section E '!A$7:J523,7,0)="","",VLOOKUP(C1405,' Disaggregation - Section E '!A$7:J227,7,0)*100),"")</f>
        <v/>
      </c>
      <c r="F1405" s="388" t="str">
        <f ca="1">IFERROR(IF(VLOOKUP(C1405,' Disaggregation - Section E '!A$7:J523,5,0)=0,"",VLOOKUP(C1405,' Disaggregation - Section E '!A$7:J523,5,0)),"")</f>
        <v/>
      </c>
      <c r="G1405" s="387" t="str">
        <f ca="1">IFERROR(IF(VLOOKUP(C1405,' Disaggregation - Section E '!A$7:J523,6,0)="","",VLOOKUP(C1405,' Disaggregation - Section E '!A$7:J523,6,0)),"")</f>
        <v/>
      </c>
      <c r="H1405" s="387" t="str">
        <f ca="1">IFERROR(IF(INDEX(' Disaggregation - Section E '!F$7:F523,MATCH(C1405,' Disaggregation - Section E '!A$7:A523,0)+1,1)&lt;&gt;0,INDEX(' Disaggregation - Section E '!F$7:F523,MATCH(C1405,' Disaggregation - Section E '!A$7:A523,0)+1,1),""),"")</f>
        <v/>
      </c>
      <c r="I1405" s="388" t="str">
        <f ca="1">IFERROR(IF(VLOOKUP(C1405,' Disaggregation - Section E '!A$7:J523,8,0)=0,"",VLOOKUP(C1405,' Disaggregation - Section E '!A$7:J523,8,0)),"")</f>
        <v/>
      </c>
      <c r="J1405" s="388" t="str">
        <f ca="1">IFERROR(IF(VLOOKUP(C1405,' Disaggregation - Section E '!A$7:J523,9,0)="","",VLOOKUP(C1405,' Disaggregation - Section E '!A$7:J523,9,0)),"")</f>
        <v/>
      </c>
      <c r="K1405" s="384" t="str">
        <f ca="1">IFERROR(VLOOKUP(C1405,' Disaggregation - Section E '!A$7:J523,3,0),"")</f>
        <v/>
      </c>
      <c r="L1405" s="388" t="str">
        <f ca="1">IFERROR(IF(VLOOKUP(C1405,' Disaggregation - Section E '!A$7:J523,10,0)="","",VLOOKUP(C1405,' Disaggregation - Section E '!A$7:J523,10,0)),"")</f>
        <v/>
      </c>
      <c r="M1405" s="384" t="str">
        <f ca="1">IFERROR(IF(VLOOKUP(C1405,' Disaggregation - Section E '!A$7:O523,15,0)=0,"",VLOOKUP(C1405,' Disaggregation - Section E '!A$7:O523,15,0)),"")</f>
        <v/>
      </c>
      <c r="N1405" s="384"/>
      <c r="O1405" s="384"/>
    </row>
    <row r="1406" spans="1:15" x14ac:dyDescent="0.3">
      <c r="A1406" s="384" t="b">
        <f t="shared" ca="1" si="133"/>
        <v>0</v>
      </c>
      <c r="B1406" s="384"/>
      <c r="C1406" s="400" t="str">
        <f ca="1">IF(COUNTA(O$1189:O1406)=1,"",OFFSET(B1406,-COUNTA(O$1189:O1406)+1,1))</f>
        <v>a1GDm000000XmlpMAC</v>
      </c>
      <c r="D1406" s="389"/>
      <c r="E1406" s="386" t="str">
        <f ca="1">IFERROR(IF(VLOOKUP(C1406,' Disaggregation - Section E '!A$7:J524,7,0)="","",VLOOKUP(C1406,' Disaggregation - Section E '!A$7:J228,7,0)*100),"")</f>
        <v/>
      </c>
      <c r="F1406" s="388" t="str">
        <f ca="1">IFERROR(IF(VLOOKUP(C1406,' Disaggregation - Section E '!A$7:J524,5,0)=0,"",VLOOKUP(C1406,' Disaggregation - Section E '!A$7:J524,5,0)),"")</f>
        <v/>
      </c>
      <c r="G1406" s="387" t="str">
        <f ca="1">IFERROR(IF(VLOOKUP(C1406,' Disaggregation - Section E '!A$7:J524,6,0)="","",VLOOKUP(C1406,' Disaggregation - Section E '!A$7:J524,6,0)),"")</f>
        <v/>
      </c>
      <c r="H1406" s="387" t="str">
        <f ca="1">IFERROR(IF(INDEX(' Disaggregation - Section E '!F$7:F524,MATCH(C1406,' Disaggregation - Section E '!A$7:A524,0)+1,1)&lt;&gt;0,INDEX(' Disaggregation - Section E '!F$7:F524,MATCH(C1406,' Disaggregation - Section E '!A$7:A524,0)+1,1),""),"")</f>
        <v/>
      </c>
      <c r="I1406" s="388" t="str">
        <f ca="1">IFERROR(IF(VLOOKUP(C1406,' Disaggregation - Section E '!A$7:J524,8,0)=0,"",VLOOKUP(C1406,' Disaggregation - Section E '!A$7:J524,8,0)),"")</f>
        <v/>
      </c>
      <c r="J1406" s="388" t="str">
        <f ca="1">IFERROR(IF(VLOOKUP(C1406,' Disaggregation - Section E '!A$7:J524,9,0)="","",VLOOKUP(C1406,' Disaggregation - Section E '!A$7:J524,9,0)),"")</f>
        <v/>
      </c>
      <c r="K1406" s="384" t="str">
        <f ca="1">IFERROR(VLOOKUP(C1406,' Disaggregation - Section E '!A$7:J524,3,0),"")</f>
        <v/>
      </c>
      <c r="L1406" s="388" t="str">
        <f ca="1">IFERROR(IF(VLOOKUP(C1406,' Disaggregation - Section E '!A$7:J524,10,0)="","",VLOOKUP(C1406,' Disaggregation - Section E '!A$7:J524,10,0)),"")</f>
        <v/>
      </c>
      <c r="M1406" s="384" t="str">
        <f ca="1">IFERROR(IF(VLOOKUP(C1406,' Disaggregation - Section E '!A$7:O524,15,0)=0,"",VLOOKUP(C1406,' Disaggregation - Section E '!A$7:O524,15,0)),"")</f>
        <v/>
      </c>
      <c r="N1406" s="384"/>
      <c r="O1406" s="384"/>
    </row>
    <row r="1407" spans="1:15" x14ac:dyDescent="0.3">
      <c r="A1407" s="384" t="b">
        <f t="shared" ca="1" si="133"/>
        <v>0</v>
      </c>
      <c r="B1407" s="384"/>
      <c r="C1407" s="400" t="str">
        <f ca="1">IF(COUNTA(O$1189:O1407)=1,"",OFFSET(B1407,-COUNTA(O$1189:O1407)+1,1))</f>
        <v>a1GDm000000XmlqMAC</v>
      </c>
      <c r="D1407" s="389"/>
      <c r="E1407" s="386" t="str">
        <f ca="1">IFERROR(IF(VLOOKUP(C1407,' Disaggregation - Section E '!A$7:J525,7,0)="","",VLOOKUP(C1407,' Disaggregation - Section E '!A$7:J229,7,0)*100),"")</f>
        <v/>
      </c>
      <c r="F1407" s="388" t="str">
        <f ca="1">IFERROR(IF(VLOOKUP(C1407,' Disaggregation - Section E '!A$7:J525,5,0)=0,"",VLOOKUP(C1407,' Disaggregation - Section E '!A$7:J525,5,0)),"")</f>
        <v/>
      </c>
      <c r="G1407" s="387" t="str">
        <f ca="1">IFERROR(IF(VLOOKUP(C1407,' Disaggregation - Section E '!A$7:J525,6,0)="","",VLOOKUP(C1407,' Disaggregation - Section E '!A$7:J525,6,0)),"")</f>
        <v/>
      </c>
      <c r="H1407" s="387" t="str">
        <f ca="1">IFERROR(IF(INDEX(' Disaggregation - Section E '!F$7:F525,MATCH(C1407,' Disaggregation - Section E '!A$7:A525,0)+1,1)&lt;&gt;0,INDEX(' Disaggregation - Section E '!F$7:F525,MATCH(C1407,' Disaggregation - Section E '!A$7:A525,0)+1,1),""),"")</f>
        <v/>
      </c>
      <c r="I1407" s="388" t="str">
        <f ca="1">IFERROR(IF(VLOOKUP(C1407,' Disaggregation - Section E '!A$7:J525,8,0)=0,"",VLOOKUP(C1407,' Disaggregation - Section E '!A$7:J525,8,0)),"")</f>
        <v/>
      </c>
      <c r="J1407" s="388" t="str">
        <f ca="1">IFERROR(IF(VLOOKUP(C1407,' Disaggregation - Section E '!A$7:J525,9,0)="","",VLOOKUP(C1407,' Disaggregation - Section E '!A$7:J525,9,0)),"")</f>
        <v/>
      </c>
      <c r="K1407" s="384" t="str">
        <f ca="1">IFERROR(VLOOKUP(C1407,' Disaggregation - Section E '!A$7:J525,3,0),"")</f>
        <v/>
      </c>
      <c r="L1407" s="388" t="str">
        <f ca="1">IFERROR(IF(VLOOKUP(C1407,' Disaggregation - Section E '!A$7:J525,10,0)="","",VLOOKUP(C1407,' Disaggregation - Section E '!A$7:J525,10,0)),"")</f>
        <v/>
      </c>
      <c r="M1407" s="384" t="str">
        <f ca="1">IFERROR(IF(VLOOKUP(C1407,' Disaggregation - Section E '!A$7:O525,15,0)=0,"",VLOOKUP(C1407,' Disaggregation - Section E '!A$7:O525,15,0)),"")</f>
        <v/>
      </c>
      <c r="N1407" s="384"/>
      <c r="O1407" s="384"/>
    </row>
    <row r="1408" spans="1:15" x14ac:dyDescent="0.3">
      <c r="A1408" s="384" t="b">
        <f t="shared" ca="1" si="133"/>
        <v>0</v>
      </c>
      <c r="B1408" s="384"/>
      <c r="C1408" s="400" t="str">
        <f ca="1">IF(COUNTA(O$1189:O1408)=1,"",OFFSET(B1408,-COUNTA(O$1189:O1408)+1,1))</f>
        <v>a1GDm000000XmlrMAC</v>
      </c>
      <c r="D1408" s="389"/>
      <c r="E1408" s="386" t="str">
        <f ca="1">IFERROR(IF(VLOOKUP(C1408,' Disaggregation - Section E '!A$7:J526,7,0)="","",VLOOKUP(C1408,' Disaggregation - Section E '!A$7:J230,7,0)*100),"")</f>
        <v/>
      </c>
      <c r="F1408" s="388" t="str">
        <f ca="1">IFERROR(IF(VLOOKUP(C1408,' Disaggregation - Section E '!A$7:J526,5,0)=0,"",VLOOKUP(C1408,' Disaggregation - Section E '!A$7:J526,5,0)),"")</f>
        <v/>
      </c>
      <c r="G1408" s="387" t="str">
        <f ca="1">IFERROR(IF(VLOOKUP(C1408,' Disaggregation - Section E '!A$7:J526,6,0)="","",VLOOKUP(C1408,' Disaggregation - Section E '!A$7:J526,6,0)),"")</f>
        <v/>
      </c>
      <c r="H1408" s="387" t="str">
        <f ca="1">IFERROR(IF(INDEX(' Disaggregation - Section E '!F$7:F526,MATCH(C1408,' Disaggregation - Section E '!A$7:A526,0)+1,1)&lt;&gt;0,INDEX(' Disaggregation - Section E '!F$7:F526,MATCH(C1408,' Disaggregation - Section E '!A$7:A526,0)+1,1),""),"")</f>
        <v/>
      </c>
      <c r="I1408" s="388" t="str">
        <f ca="1">IFERROR(IF(VLOOKUP(C1408,' Disaggregation - Section E '!A$7:J526,8,0)=0,"",VLOOKUP(C1408,' Disaggregation - Section E '!A$7:J526,8,0)),"")</f>
        <v/>
      </c>
      <c r="J1408" s="388" t="str">
        <f ca="1">IFERROR(IF(VLOOKUP(C1408,' Disaggregation - Section E '!A$7:J526,9,0)="","",VLOOKUP(C1408,' Disaggregation - Section E '!A$7:J526,9,0)),"")</f>
        <v/>
      </c>
      <c r="K1408" s="384" t="str">
        <f ca="1">IFERROR(VLOOKUP(C1408,' Disaggregation - Section E '!A$7:J526,3,0),"")</f>
        <v/>
      </c>
      <c r="L1408" s="388" t="str">
        <f ca="1">IFERROR(IF(VLOOKUP(C1408,' Disaggregation - Section E '!A$7:J526,10,0)="","",VLOOKUP(C1408,' Disaggregation - Section E '!A$7:J526,10,0)),"")</f>
        <v/>
      </c>
      <c r="M1408" s="384" t="str">
        <f ca="1">IFERROR(IF(VLOOKUP(C1408,' Disaggregation - Section E '!A$7:O526,15,0)=0,"",VLOOKUP(C1408,' Disaggregation - Section E '!A$7:O526,15,0)),"")</f>
        <v/>
      </c>
      <c r="N1408" s="384"/>
      <c r="O1408" s="384"/>
    </row>
    <row r="1409" spans="1:15" x14ac:dyDescent="0.3">
      <c r="A1409" s="384" t="b">
        <f t="shared" ca="1" si="133"/>
        <v>0</v>
      </c>
      <c r="B1409" s="384"/>
      <c r="C1409" s="400" t="str">
        <f ca="1">IF(COUNTA(O$1189:O1409)=1,"",OFFSET(B1409,-COUNTA(O$1189:O1409)+1,1))</f>
        <v>a1GDm000000XmlsMAC</v>
      </c>
      <c r="D1409" s="389"/>
      <c r="E1409" s="386" t="str">
        <f ca="1">IFERROR(IF(VLOOKUP(C1409,' Disaggregation - Section E '!A$7:J527,7,0)="","",VLOOKUP(C1409,' Disaggregation - Section E '!A$7:J231,7,0)*100),"")</f>
        <v/>
      </c>
      <c r="F1409" s="388" t="str">
        <f ca="1">IFERROR(IF(VLOOKUP(C1409,' Disaggregation - Section E '!A$7:J527,5,0)=0,"",VLOOKUP(C1409,' Disaggregation - Section E '!A$7:J527,5,0)),"")</f>
        <v/>
      </c>
      <c r="G1409" s="387" t="str">
        <f ca="1">IFERROR(IF(VLOOKUP(C1409,' Disaggregation - Section E '!A$7:J527,6,0)="","",VLOOKUP(C1409,' Disaggregation - Section E '!A$7:J527,6,0)),"")</f>
        <v/>
      </c>
      <c r="H1409" s="387" t="str">
        <f ca="1">IFERROR(IF(INDEX(' Disaggregation - Section E '!F$7:F527,MATCH(C1409,' Disaggregation - Section E '!A$7:A527,0)+1,1)&lt;&gt;0,INDEX(' Disaggregation - Section E '!F$7:F527,MATCH(C1409,' Disaggregation - Section E '!A$7:A527,0)+1,1),""),"")</f>
        <v/>
      </c>
      <c r="I1409" s="388" t="str">
        <f ca="1">IFERROR(IF(VLOOKUP(C1409,' Disaggregation - Section E '!A$7:J527,8,0)=0,"",VLOOKUP(C1409,' Disaggregation - Section E '!A$7:J527,8,0)),"")</f>
        <v/>
      </c>
      <c r="J1409" s="388" t="str">
        <f ca="1">IFERROR(IF(VLOOKUP(C1409,' Disaggregation - Section E '!A$7:J527,9,0)="","",VLOOKUP(C1409,' Disaggregation - Section E '!A$7:J527,9,0)),"")</f>
        <v/>
      </c>
      <c r="K1409" s="384" t="str">
        <f ca="1">IFERROR(VLOOKUP(C1409,' Disaggregation - Section E '!A$7:J527,3,0),"")</f>
        <v/>
      </c>
      <c r="L1409" s="388" t="str">
        <f ca="1">IFERROR(IF(VLOOKUP(C1409,' Disaggregation - Section E '!A$7:J527,10,0)="","",VLOOKUP(C1409,' Disaggregation - Section E '!A$7:J527,10,0)),"")</f>
        <v/>
      </c>
      <c r="M1409" s="384" t="str">
        <f ca="1">IFERROR(IF(VLOOKUP(C1409,' Disaggregation - Section E '!A$7:O527,15,0)=0,"",VLOOKUP(C1409,' Disaggregation - Section E '!A$7:O527,15,0)),"")</f>
        <v/>
      </c>
      <c r="N1409" s="384"/>
      <c r="O1409" s="384"/>
    </row>
    <row r="1410" spans="1:15" x14ac:dyDescent="0.3">
      <c r="A1410" s="384" t="b">
        <f t="shared" ca="1" si="133"/>
        <v>0</v>
      </c>
      <c r="B1410" s="384"/>
      <c r="C1410" s="400" t="str">
        <f ca="1">IF(COUNTA(O$1189:O1410)=1,"",OFFSET(B1410,-COUNTA(O$1189:O1410)+1,1))</f>
        <v>a1GDm000000XmltMAC</v>
      </c>
      <c r="D1410" s="389"/>
      <c r="E1410" s="386" t="str">
        <f ca="1">IFERROR(IF(VLOOKUP(C1410,' Disaggregation - Section E '!A$7:J528,7,0)="","",VLOOKUP(C1410,' Disaggregation - Section E '!A$7:J232,7,0)*100),"")</f>
        <v/>
      </c>
      <c r="F1410" s="388" t="str">
        <f ca="1">IFERROR(IF(VLOOKUP(C1410,' Disaggregation - Section E '!A$7:J528,5,0)=0,"",VLOOKUP(C1410,' Disaggregation - Section E '!A$7:J528,5,0)),"")</f>
        <v/>
      </c>
      <c r="G1410" s="387" t="str">
        <f ca="1">IFERROR(IF(VLOOKUP(C1410,' Disaggregation - Section E '!A$7:J528,6,0)="","",VLOOKUP(C1410,' Disaggregation - Section E '!A$7:J528,6,0)),"")</f>
        <v/>
      </c>
      <c r="H1410" s="387" t="str">
        <f ca="1">IFERROR(IF(INDEX(' Disaggregation - Section E '!F$7:F528,MATCH(C1410,' Disaggregation - Section E '!A$7:A528,0)+1,1)&lt;&gt;0,INDEX(' Disaggregation - Section E '!F$7:F528,MATCH(C1410,' Disaggregation - Section E '!A$7:A528,0)+1,1),""),"")</f>
        <v/>
      </c>
      <c r="I1410" s="388" t="str">
        <f ca="1">IFERROR(IF(VLOOKUP(C1410,' Disaggregation - Section E '!A$7:J528,8,0)=0,"",VLOOKUP(C1410,' Disaggregation - Section E '!A$7:J528,8,0)),"")</f>
        <v/>
      </c>
      <c r="J1410" s="388" t="str">
        <f ca="1">IFERROR(IF(VLOOKUP(C1410,' Disaggregation - Section E '!A$7:J528,9,0)="","",VLOOKUP(C1410,' Disaggregation - Section E '!A$7:J528,9,0)),"")</f>
        <v/>
      </c>
      <c r="K1410" s="384" t="str">
        <f ca="1">IFERROR(VLOOKUP(C1410,' Disaggregation - Section E '!A$7:J528,3,0),"")</f>
        <v/>
      </c>
      <c r="L1410" s="388" t="str">
        <f ca="1">IFERROR(IF(VLOOKUP(C1410,' Disaggregation - Section E '!A$7:J528,10,0)="","",VLOOKUP(C1410,' Disaggregation - Section E '!A$7:J528,10,0)),"")</f>
        <v/>
      </c>
      <c r="M1410" s="384" t="str">
        <f ca="1">IFERROR(IF(VLOOKUP(C1410,' Disaggregation - Section E '!A$7:O528,15,0)=0,"",VLOOKUP(C1410,' Disaggregation - Section E '!A$7:O528,15,0)),"")</f>
        <v/>
      </c>
      <c r="N1410" s="384"/>
      <c r="O1410" s="384"/>
    </row>
    <row r="1411" spans="1:15" x14ac:dyDescent="0.3">
      <c r="A1411" s="384" t="b">
        <f t="shared" ca="1" si="133"/>
        <v>0</v>
      </c>
      <c r="B1411" s="384"/>
      <c r="C1411" s="400" t="str">
        <f ca="1">IF(COUNTA(O$1189:O1411)=1,"",OFFSET(B1411,-COUNTA(O$1189:O1411)+1,1))</f>
        <v>a1GDm000000XmluMAC</v>
      </c>
      <c r="D1411" s="389"/>
      <c r="E1411" s="386" t="str">
        <f ca="1">IFERROR(IF(VLOOKUP(C1411,' Disaggregation - Section E '!A$7:J529,7,0)="","",VLOOKUP(C1411,' Disaggregation - Section E '!A$7:J233,7,0)*100),"")</f>
        <v/>
      </c>
      <c r="F1411" s="388" t="str">
        <f ca="1">IFERROR(IF(VLOOKUP(C1411,' Disaggregation - Section E '!A$7:J529,5,0)=0,"",VLOOKUP(C1411,' Disaggregation - Section E '!A$7:J529,5,0)),"")</f>
        <v/>
      </c>
      <c r="G1411" s="387" t="str">
        <f ca="1">IFERROR(IF(VLOOKUP(C1411,' Disaggregation - Section E '!A$7:J529,6,0)="","",VLOOKUP(C1411,' Disaggregation - Section E '!A$7:J529,6,0)),"")</f>
        <v/>
      </c>
      <c r="H1411" s="387" t="str">
        <f ca="1">IFERROR(IF(INDEX(' Disaggregation - Section E '!F$7:F529,MATCH(C1411,' Disaggregation - Section E '!A$7:A529,0)+1,1)&lt;&gt;0,INDEX(' Disaggregation - Section E '!F$7:F529,MATCH(C1411,' Disaggregation - Section E '!A$7:A529,0)+1,1),""),"")</f>
        <v/>
      </c>
      <c r="I1411" s="388" t="str">
        <f ca="1">IFERROR(IF(VLOOKUP(C1411,' Disaggregation - Section E '!A$7:J529,8,0)=0,"",VLOOKUP(C1411,' Disaggregation - Section E '!A$7:J529,8,0)),"")</f>
        <v/>
      </c>
      <c r="J1411" s="388" t="str">
        <f ca="1">IFERROR(IF(VLOOKUP(C1411,' Disaggregation - Section E '!A$7:J529,9,0)="","",VLOOKUP(C1411,' Disaggregation - Section E '!A$7:J529,9,0)),"")</f>
        <v/>
      </c>
      <c r="K1411" s="384" t="str">
        <f ca="1">IFERROR(VLOOKUP(C1411,' Disaggregation - Section E '!A$7:J529,3,0),"")</f>
        <v/>
      </c>
      <c r="L1411" s="388" t="str">
        <f ca="1">IFERROR(IF(VLOOKUP(C1411,' Disaggregation - Section E '!A$7:J529,10,0)="","",VLOOKUP(C1411,' Disaggregation - Section E '!A$7:J529,10,0)),"")</f>
        <v/>
      </c>
      <c r="M1411" s="384" t="str">
        <f ca="1">IFERROR(IF(VLOOKUP(C1411,' Disaggregation - Section E '!A$7:O529,15,0)=0,"",VLOOKUP(C1411,' Disaggregation - Section E '!A$7:O529,15,0)),"")</f>
        <v/>
      </c>
      <c r="N1411" s="384"/>
      <c r="O1411" s="384"/>
    </row>
    <row r="1412" spans="1:15" x14ac:dyDescent="0.3">
      <c r="A1412" s="384" t="b">
        <f t="shared" ca="1" si="133"/>
        <v>0</v>
      </c>
      <c r="B1412" s="384"/>
      <c r="C1412" s="400" t="str">
        <f ca="1">IF(COUNTA(O$1189:O1412)=1,"",OFFSET(B1412,-COUNTA(O$1189:O1412)+1,1))</f>
        <v>a1GDm000000XmlvMAC</v>
      </c>
      <c r="D1412" s="389"/>
      <c r="E1412" s="386" t="str">
        <f ca="1">IFERROR(IF(VLOOKUP(C1412,' Disaggregation - Section E '!A$7:J530,7,0)="","",VLOOKUP(C1412,' Disaggregation - Section E '!A$7:J234,7,0)*100),"")</f>
        <v/>
      </c>
      <c r="F1412" s="388" t="str">
        <f ca="1">IFERROR(IF(VLOOKUP(C1412,' Disaggregation - Section E '!A$7:J530,5,0)=0,"",VLOOKUP(C1412,' Disaggregation - Section E '!A$7:J530,5,0)),"")</f>
        <v/>
      </c>
      <c r="G1412" s="387" t="str">
        <f ca="1">IFERROR(IF(VLOOKUP(C1412,' Disaggregation - Section E '!A$7:J530,6,0)="","",VLOOKUP(C1412,' Disaggregation - Section E '!A$7:J530,6,0)),"")</f>
        <v/>
      </c>
      <c r="H1412" s="387" t="str">
        <f ca="1">IFERROR(IF(INDEX(' Disaggregation - Section E '!F$7:F530,MATCH(C1412,' Disaggregation - Section E '!A$7:A530,0)+1,1)&lt;&gt;0,INDEX(' Disaggregation - Section E '!F$7:F530,MATCH(C1412,' Disaggregation - Section E '!A$7:A530,0)+1,1),""),"")</f>
        <v/>
      </c>
      <c r="I1412" s="388" t="str">
        <f ca="1">IFERROR(IF(VLOOKUP(C1412,' Disaggregation - Section E '!A$7:J530,8,0)=0,"",VLOOKUP(C1412,' Disaggregation - Section E '!A$7:J530,8,0)),"")</f>
        <v/>
      </c>
      <c r="J1412" s="388" t="str">
        <f ca="1">IFERROR(IF(VLOOKUP(C1412,' Disaggregation - Section E '!A$7:J530,9,0)="","",VLOOKUP(C1412,' Disaggregation - Section E '!A$7:J530,9,0)),"")</f>
        <v/>
      </c>
      <c r="K1412" s="384" t="str">
        <f ca="1">IFERROR(VLOOKUP(C1412,' Disaggregation - Section E '!A$7:J530,3,0),"")</f>
        <v/>
      </c>
      <c r="L1412" s="388" t="str">
        <f ca="1">IFERROR(IF(VLOOKUP(C1412,' Disaggregation - Section E '!A$7:J530,10,0)="","",VLOOKUP(C1412,' Disaggregation - Section E '!A$7:J530,10,0)),"")</f>
        <v/>
      </c>
      <c r="M1412" s="384" t="str">
        <f ca="1">IFERROR(IF(VLOOKUP(C1412,' Disaggregation - Section E '!A$7:O530,15,0)=0,"",VLOOKUP(C1412,' Disaggregation - Section E '!A$7:O530,15,0)),"")</f>
        <v/>
      </c>
      <c r="N1412" s="384"/>
      <c r="O1412" s="384"/>
    </row>
    <row r="1413" spans="1:15" x14ac:dyDescent="0.3">
      <c r="A1413" s="384" t="b">
        <f t="shared" ca="1" si="133"/>
        <v>0</v>
      </c>
      <c r="B1413" s="384"/>
      <c r="C1413" s="400" t="str">
        <f ca="1">IF(COUNTA(O$1189:O1413)=1,"",OFFSET(B1413,-COUNTA(O$1189:O1413)+1,1))</f>
        <v>a1GDm000000XmlwMAC</v>
      </c>
      <c r="D1413" s="389"/>
      <c r="E1413" s="386" t="str">
        <f ca="1">IFERROR(IF(VLOOKUP(C1413,' Disaggregation - Section E '!A$7:J531,7,0)="","",VLOOKUP(C1413,' Disaggregation - Section E '!A$7:J235,7,0)*100),"")</f>
        <v/>
      </c>
      <c r="F1413" s="388" t="str">
        <f ca="1">IFERROR(IF(VLOOKUP(C1413,' Disaggregation - Section E '!A$7:J531,5,0)=0,"",VLOOKUP(C1413,' Disaggregation - Section E '!A$7:J531,5,0)),"")</f>
        <v/>
      </c>
      <c r="G1413" s="387" t="str">
        <f ca="1">IFERROR(IF(VLOOKUP(C1413,' Disaggregation - Section E '!A$7:J531,6,0)="","",VLOOKUP(C1413,' Disaggregation - Section E '!A$7:J531,6,0)),"")</f>
        <v/>
      </c>
      <c r="H1413" s="387" t="str">
        <f ca="1">IFERROR(IF(INDEX(' Disaggregation - Section E '!F$7:F531,MATCH(C1413,' Disaggregation - Section E '!A$7:A531,0)+1,1)&lt;&gt;0,INDEX(' Disaggregation - Section E '!F$7:F531,MATCH(C1413,' Disaggregation - Section E '!A$7:A531,0)+1,1),""),"")</f>
        <v/>
      </c>
      <c r="I1413" s="388" t="str">
        <f ca="1">IFERROR(IF(VLOOKUP(C1413,' Disaggregation - Section E '!A$7:J531,8,0)=0,"",VLOOKUP(C1413,' Disaggregation - Section E '!A$7:J531,8,0)),"")</f>
        <v/>
      </c>
      <c r="J1413" s="388" t="str">
        <f ca="1">IFERROR(IF(VLOOKUP(C1413,' Disaggregation - Section E '!A$7:J531,9,0)="","",VLOOKUP(C1413,' Disaggregation - Section E '!A$7:J531,9,0)),"")</f>
        <v/>
      </c>
      <c r="K1413" s="384" t="str">
        <f ca="1">IFERROR(VLOOKUP(C1413,' Disaggregation - Section E '!A$7:J531,3,0),"")</f>
        <v/>
      </c>
      <c r="L1413" s="388" t="str">
        <f ca="1">IFERROR(IF(VLOOKUP(C1413,' Disaggregation - Section E '!A$7:J531,10,0)="","",VLOOKUP(C1413,' Disaggregation - Section E '!A$7:J531,10,0)),"")</f>
        <v/>
      </c>
      <c r="M1413" s="384" t="str">
        <f ca="1">IFERROR(IF(VLOOKUP(C1413,' Disaggregation - Section E '!A$7:O531,15,0)=0,"",VLOOKUP(C1413,' Disaggregation - Section E '!A$7:O531,15,0)),"")</f>
        <v/>
      </c>
      <c r="N1413" s="384"/>
      <c r="O1413" s="384"/>
    </row>
    <row r="1414" spans="1:15" x14ac:dyDescent="0.3">
      <c r="A1414" s="384" t="b">
        <f t="shared" ca="1" si="133"/>
        <v>0</v>
      </c>
      <c r="B1414" s="384"/>
      <c r="C1414" s="400" t="str">
        <f ca="1">IF(COUNTA(O$1189:O1414)=1,"",OFFSET(B1414,-COUNTA(O$1189:O1414)+1,1))</f>
        <v>a1GDm000000XmlxMAC</v>
      </c>
      <c r="D1414" s="389"/>
      <c r="E1414" s="386" t="str">
        <f ca="1">IFERROR(IF(VLOOKUP(C1414,' Disaggregation - Section E '!A$7:J532,7,0)="","",VLOOKUP(C1414,' Disaggregation - Section E '!A$7:J236,7,0)*100),"")</f>
        <v/>
      </c>
      <c r="F1414" s="388" t="str">
        <f ca="1">IFERROR(IF(VLOOKUP(C1414,' Disaggregation - Section E '!A$7:J532,5,0)=0,"",VLOOKUP(C1414,' Disaggregation - Section E '!A$7:J532,5,0)),"")</f>
        <v/>
      </c>
      <c r="G1414" s="387" t="str">
        <f ca="1">IFERROR(IF(VLOOKUP(C1414,' Disaggregation - Section E '!A$7:J532,6,0)="","",VLOOKUP(C1414,' Disaggregation - Section E '!A$7:J532,6,0)),"")</f>
        <v/>
      </c>
      <c r="H1414" s="387" t="str">
        <f ca="1">IFERROR(IF(INDEX(' Disaggregation - Section E '!F$7:F532,MATCH(C1414,' Disaggregation - Section E '!A$7:A532,0)+1,1)&lt;&gt;0,INDEX(' Disaggregation - Section E '!F$7:F532,MATCH(C1414,' Disaggregation - Section E '!A$7:A532,0)+1,1),""),"")</f>
        <v/>
      </c>
      <c r="I1414" s="388" t="str">
        <f ca="1">IFERROR(IF(VLOOKUP(C1414,' Disaggregation - Section E '!A$7:J532,8,0)=0,"",VLOOKUP(C1414,' Disaggregation - Section E '!A$7:J532,8,0)),"")</f>
        <v/>
      </c>
      <c r="J1414" s="388" t="str">
        <f ca="1">IFERROR(IF(VLOOKUP(C1414,' Disaggregation - Section E '!A$7:J532,9,0)="","",VLOOKUP(C1414,' Disaggregation - Section E '!A$7:J532,9,0)),"")</f>
        <v/>
      </c>
      <c r="K1414" s="384" t="str">
        <f ca="1">IFERROR(VLOOKUP(C1414,' Disaggregation - Section E '!A$7:J532,3,0),"")</f>
        <v/>
      </c>
      <c r="L1414" s="388" t="str">
        <f ca="1">IFERROR(IF(VLOOKUP(C1414,' Disaggregation - Section E '!A$7:J532,10,0)="","",VLOOKUP(C1414,' Disaggregation - Section E '!A$7:J532,10,0)),"")</f>
        <v/>
      </c>
      <c r="M1414" s="384" t="str">
        <f ca="1">IFERROR(IF(VLOOKUP(C1414,' Disaggregation - Section E '!A$7:O532,15,0)=0,"",VLOOKUP(C1414,' Disaggregation - Section E '!A$7:O532,15,0)),"")</f>
        <v/>
      </c>
      <c r="N1414" s="384"/>
      <c r="O1414" s="384"/>
    </row>
    <row r="1415" spans="1:15" x14ac:dyDescent="0.3">
      <c r="A1415" s="384" t="b">
        <f t="shared" ca="1" si="133"/>
        <v>0</v>
      </c>
      <c r="B1415" s="384"/>
      <c r="C1415" s="400" t="str">
        <f ca="1">IF(COUNTA(O$1189:O1415)=1,"",OFFSET(B1415,-COUNTA(O$1189:O1415)+1,1))</f>
        <v>a1GDm000000XmlyMAC</v>
      </c>
      <c r="D1415" s="389"/>
      <c r="E1415" s="386" t="str">
        <f ca="1">IFERROR(IF(VLOOKUP(C1415,' Disaggregation - Section E '!A$7:J533,7,0)="","",VLOOKUP(C1415,' Disaggregation - Section E '!A$7:J237,7,0)*100),"")</f>
        <v/>
      </c>
      <c r="F1415" s="388" t="str">
        <f ca="1">IFERROR(IF(VLOOKUP(C1415,' Disaggregation - Section E '!A$7:J533,5,0)=0,"",VLOOKUP(C1415,' Disaggregation - Section E '!A$7:J533,5,0)),"")</f>
        <v/>
      </c>
      <c r="G1415" s="387" t="str">
        <f ca="1">IFERROR(IF(VLOOKUP(C1415,' Disaggregation - Section E '!A$7:J533,6,0)="","",VLOOKUP(C1415,' Disaggregation - Section E '!A$7:J533,6,0)),"")</f>
        <v/>
      </c>
      <c r="H1415" s="387" t="str">
        <f ca="1">IFERROR(IF(INDEX(' Disaggregation - Section E '!F$7:F533,MATCH(C1415,' Disaggregation - Section E '!A$7:A533,0)+1,1)&lt;&gt;0,INDEX(' Disaggregation - Section E '!F$7:F533,MATCH(C1415,' Disaggregation - Section E '!A$7:A533,0)+1,1),""),"")</f>
        <v/>
      </c>
      <c r="I1415" s="388" t="str">
        <f ca="1">IFERROR(IF(VLOOKUP(C1415,' Disaggregation - Section E '!A$7:J533,8,0)=0,"",VLOOKUP(C1415,' Disaggregation - Section E '!A$7:J533,8,0)),"")</f>
        <v/>
      </c>
      <c r="J1415" s="388" t="str">
        <f ca="1">IFERROR(IF(VLOOKUP(C1415,' Disaggregation - Section E '!A$7:J533,9,0)="","",VLOOKUP(C1415,' Disaggregation - Section E '!A$7:J533,9,0)),"")</f>
        <v/>
      </c>
      <c r="K1415" s="384" t="str">
        <f ca="1">IFERROR(VLOOKUP(C1415,' Disaggregation - Section E '!A$7:J533,3,0),"")</f>
        <v/>
      </c>
      <c r="L1415" s="388" t="str">
        <f ca="1">IFERROR(IF(VLOOKUP(C1415,' Disaggregation - Section E '!A$7:J533,10,0)="","",VLOOKUP(C1415,' Disaggregation - Section E '!A$7:J533,10,0)),"")</f>
        <v/>
      </c>
      <c r="M1415" s="384" t="str">
        <f ca="1">IFERROR(IF(VLOOKUP(C1415,' Disaggregation - Section E '!A$7:O533,15,0)=0,"",VLOOKUP(C1415,' Disaggregation - Section E '!A$7:O533,15,0)),"")</f>
        <v/>
      </c>
      <c r="N1415" s="384"/>
      <c r="O1415" s="384"/>
    </row>
    <row r="1416" spans="1:15" x14ac:dyDescent="0.3">
      <c r="A1416" s="384" t="b">
        <f t="shared" ca="1" si="133"/>
        <v>0</v>
      </c>
      <c r="B1416" s="384"/>
      <c r="C1416" s="400" t="str">
        <f ca="1">IF(COUNTA(O$1189:O1416)=1,"",OFFSET(B1416,-COUNTA(O$1189:O1416)+1,1))</f>
        <v>a1GDm000000XmlzMAC</v>
      </c>
      <c r="D1416" s="389"/>
      <c r="E1416" s="386" t="str">
        <f ca="1">IFERROR(IF(VLOOKUP(C1416,' Disaggregation - Section E '!A$7:J534,7,0)="","",VLOOKUP(C1416,' Disaggregation - Section E '!A$7:J238,7,0)*100),"")</f>
        <v/>
      </c>
      <c r="F1416" s="388" t="str">
        <f ca="1">IFERROR(IF(VLOOKUP(C1416,' Disaggregation - Section E '!A$7:J534,5,0)=0,"",VLOOKUP(C1416,' Disaggregation - Section E '!A$7:J534,5,0)),"")</f>
        <v/>
      </c>
      <c r="G1416" s="387" t="str">
        <f ca="1">IFERROR(IF(VLOOKUP(C1416,' Disaggregation - Section E '!A$7:J534,6,0)="","",VLOOKUP(C1416,' Disaggregation - Section E '!A$7:J534,6,0)),"")</f>
        <v/>
      </c>
      <c r="H1416" s="387" t="str">
        <f ca="1">IFERROR(IF(INDEX(' Disaggregation - Section E '!F$7:F534,MATCH(C1416,' Disaggregation - Section E '!A$7:A534,0)+1,1)&lt;&gt;0,INDEX(' Disaggregation - Section E '!F$7:F534,MATCH(C1416,' Disaggregation - Section E '!A$7:A534,0)+1,1),""),"")</f>
        <v/>
      </c>
      <c r="I1416" s="388" t="str">
        <f ca="1">IFERROR(IF(VLOOKUP(C1416,' Disaggregation - Section E '!A$7:J534,8,0)=0,"",VLOOKUP(C1416,' Disaggregation - Section E '!A$7:J534,8,0)),"")</f>
        <v/>
      </c>
      <c r="J1416" s="388" t="str">
        <f ca="1">IFERROR(IF(VLOOKUP(C1416,' Disaggregation - Section E '!A$7:J534,9,0)="","",VLOOKUP(C1416,' Disaggregation - Section E '!A$7:J534,9,0)),"")</f>
        <v/>
      </c>
      <c r="K1416" s="384" t="str">
        <f ca="1">IFERROR(VLOOKUP(C1416,' Disaggregation - Section E '!A$7:J534,3,0),"")</f>
        <v/>
      </c>
      <c r="L1416" s="388" t="str">
        <f ca="1">IFERROR(IF(VLOOKUP(C1416,' Disaggregation - Section E '!A$7:J534,10,0)="","",VLOOKUP(C1416,' Disaggregation - Section E '!A$7:J534,10,0)),"")</f>
        <v/>
      </c>
      <c r="M1416" s="384" t="str">
        <f ca="1">IFERROR(IF(VLOOKUP(C1416,' Disaggregation - Section E '!A$7:O534,15,0)=0,"",VLOOKUP(C1416,' Disaggregation - Section E '!A$7:O534,15,0)),"")</f>
        <v/>
      </c>
      <c r="N1416" s="384"/>
      <c r="O1416" s="384"/>
    </row>
    <row r="1417" spans="1:15" x14ac:dyDescent="0.3">
      <c r="A1417" s="384" t="b">
        <f t="shared" ca="1" si="133"/>
        <v>0</v>
      </c>
      <c r="B1417" s="384"/>
      <c r="C1417" s="400" t="str">
        <f ca="1">IF(COUNTA(O$1189:O1417)=1,"",OFFSET(B1417,-COUNTA(O$1189:O1417)+1,1))</f>
        <v>a1GDm000000Xmm0MAC</v>
      </c>
      <c r="D1417" s="389"/>
      <c r="E1417" s="386" t="str">
        <f ca="1">IFERROR(IF(VLOOKUP(C1417,' Disaggregation - Section E '!A$7:J535,7,0)="","",VLOOKUP(C1417,' Disaggregation - Section E '!A$7:J239,7,0)*100),"")</f>
        <v/>
      </c>
      <c r="F1417" s="388" t="str">
        <f ca="1">IFERROR(IF(VLOOKUP(C1417,' Disaggregation - Section E '!A$7:J535,5,0)=0,"",VLOOKUP(C1417,' Disaggregation - Section E '!A$7:J535,5,0)),"")</f>
        <v/>
      </c>
      <c r="G1417" s="387" t="str">
        <f ca="1">IFERROR(IF(VLOOKUP(C1417,' Disaggregation - Section E '!A$7:J535,6,0)="","",VLOOKUP(C1417,' Disaggregation - Section E '!A$7:J535,6,0)),"")</f>
        <v/>
      </c>
      <c r="H1417" s="387" t="str">
        <f ca="1">IFERROR(IF(INDEX(' Disaggregation - Section E '!F$7:F535,MATCH(C1417,' Disaggregation - Section E '!A$7:A535,0)+1,1)&lt;&gt;0,INDEX(' Disaggregation - Section E '!F$7:F535,MATCH(C1417,' Disaggregation - Section E '!A$7:A535,0)+1,1),""),"")</f>
        <v/>
      </c>
      <c r="I1417" s="388" t="str">
        <f ca="1">IFERROR(IF(VLOOKUP(C1417,' Disaggregation - Section E '!A$7:J535,8,0)=0,"",VLOOKUP(C1417,' Disaggregation - Section E '!A$7:J535,8,0)),"")</f>
        <v/>
      </c>
      <c r="J1417" s="388" t="str">
        <f ca="1">IFERROR(IF(VLOOKUP(C1417,' Disaggregation - Section E '!A$7:J535,9,0)="","",VLOOKUP(C1417,' Disaggregation - Section E '!A$7:J535,9,0)),"")</f>
        <v/>
      </c>
      <c r="K1417" s="384" t="str">
        <f ca="1">IFERROR(VLOOKUP(C1417,' Disaggregation - Section E '!A$7:J535,3,0),"")</f>
        <v/>
      </c>
      <c r="L1417" s="388" t="str">
        <f ca="1">IFERROR(IF(VLOOKUP(C1417,' Disaggregation - Section E '!A$7:J535,10,0)="","",VLOOKUP(C1417,' Disaggregation - Section E '!A$7:J535,10,0)),"")</f>
        <v/>
      </c>
      <c r="M1417" s="384" t="str">
        <f ca="1">IFERROR(IF(VLOOKUP(C1417,' Disaggregation - Section E '!A$7:O535,15,0)=0,"",VLOOKUP(C1417,' Disaggregation - Section E '!A$7:O535,15,0)),"")</f>
        <v/>
      </c>
      <c r="N1417" s="384"/>
      <c r="O1417" s="384"/>
    </row>
    <row r="1418" spans="1:15" x14ac:dyDescent="0.3">
      <c r="A1418" s="384" t="b">
        <f t="shared" ca="1" si="133"/>
        <v>0</v>
      </c>
      <c r="B1418" s="384"/>
      <c r="C1418" s="400" t="str">
        <f ca="1">IF(COUNTA(O$1189:O1418)=1,"",OFFSET(B1418,-COUNTA(O$1189:O1418)+1,1))</f>
        <v>a1GDm000000Xmm1MAC</v>
      </c>
      <c r="D1418" s="389"/>
      <c r="E1418" s="386" t="str">
        <f ca="1">IFERROR(IF(VLOOKUP(C1418,' Disaggregation - Section E '!A$7:J536,7,0)="","",VLOOKUP(C1418,' Disaggregation - Section E '!A$7:J240,7,0)*100),"")</f>
        <v/>
      </c>
      <c r="F1418" s="388" t="str">
        <f ca="1">IFERROR(IF(VLOOKUP(C1418,' Disaggregation - Section E '!A$7:J536,5,0)=0,"",VLOOKUP(C1418,' Disaggregation - Section E '!A$7:J536,5,0)),"")</f>
        <v/>
      </c>
      <c r="G1418" s="387" t="str">
        <f ca="1">IFERROR(IF(VLOOKUP(C1418,' Disaggregation - Section E '!A$7:J536,6,0)="","",VLOOKUP(C1418,' Disaggregation - Section E '!A$7:J536,6,0)),"")</f>
        <v/>
      </c>
      <c r="H1418" s="387" t="str">
        <f ca="1">IFERROR(IF(INDEX(' Disaggregation - Section E '!F$7:F536,MATCH(C1418,' Disaggregation - Section E '!A$7:A536,0)+1,1)&lt;&gt;0,INDEX(' Disaggregation - Section E '!F$7:F536,MATCH(C1418,' Disaggregation - Section E '!A$7:A536,0)+1,1),""),"")</f>
        <v/>
      </c>
      <c r="I1418" s="388" t="str">
        <f ca="1">IFERROR(IF(VLOOKUP(C1418,' Disaggregation - Section E '!A$7:J536,8,0)=0,"",VLOOKUP(C1418,' Disaggregation - Section E '!A$7:J536,8,0)),"")</f>
        <v/>
      </c>
      <c r="J1418" s="388" t="str">
        <f ca="1">IFERROR(IF(VLOOKUP(C1418,' Disaggregation - Section E '!A$7:J536,9,0)="","",VLOOKUP(C1418,' Disaggregation - Section E '!A$7:J536,9,0)),"")</f>
        <v/>
      </c>
      <c r="K1418" s="384" t="str">
        <f ca="1">IFERROR(VLOOKUP(C1418,' Disaggregation - Section E '!A$7:J536,3,0),"")</f>
        <v/>
      </c>
      <c r="L1418" s="388" t="str">
        <f ca="1">IFERROR(IF(VLOOKUP(C1418,' Disaggregation - Section E '!A$7:J536,10,0)="","",VLOOKUP(C1418,' Disaggregation - Section E '!A$7:J536,10,0)),"")</f>
        <v/>
      </c>
      <c r="M1418" s="384" t="str">
        <f ca="1">IFERROR(IF(VLOOKUP(C1418,' Disaggregation - Section E '!A$7:O536,15,0)=0,"",VLOOKUP(C1418,' Disaggregation - Section E '!A$7:O536,15,0)),"")</f>
        <v/>
      </c>
      <c r="N1418" s="384"/>
      <c r="O1418" s="384"/>
    </row>
    <row r="1419" spans="1:15" x14ac:dyDescent="0.3">
      <c r="A1419" s="384" t="b">
        <f t="shared" ca="1" si="133"/>
        <v>0</v>
      </c>
      <c r="B1419" s="384"/>
      <c r="C1419" s="400" t="str">
        <f ca="1">IF(COUNTA(O$1189:O1419)=1,"",OFFSET(B1419,-COUNTA(O$1189:O1419)+1,1))</f>
        <v>a1GDm000000Xmm2MAC</v>
      </c>
      <c r="D1419" s="389"/>
      <c r="E1419" s="386" t="str">
        <f ca="1">IFERROR(IF(VLOOKUP(C1419,' Disaggregation - Section E '!A$7:J537,7,0)="","",VLOOKUP(C1419,' Disaggregation - Section E '!A$7:J241,7,0)*100),"")</f>
        <v/>
      </c>
      <c r="F1419" s="388" t="str">
        <f ca="1">IFERROR(IF(VLOOKUP(C1419,' Disaggregation - Section E '!A$7:J537,5,0)=0,"",VLOOKUP(C1419,' Disaggregation - Section E '!A$7:J537,5,0)),"")</f>
        <v/>
      </c>
      <c r="G1419" s="387" t="str">
        <f ca="1">IFERROR(IF(VLOOKUP(C1419,' Disaggregation - Section E '!A$7:J537,6,0)="","",VLOOKUP(C1419,' Disaggregation - Section E '!A$7:J537,6,0)),"")</f>
        <v/>
      </c>
      <c r="H1419" s="387" t="str">
        <f ca="1">IFERROR(IF(INDEX(' Disaggregation - Section E '!F$7:F537,MATCH(C1419,' Disaggregation - Section E '!A$7:A537,0)+1,1)&lt;&gt;0,INDEX(' Disaggregation - Section E '!F$7:F537,MATCH(C1419,' Disaggregation - Section E '!A$7:A537,0)+1,1),""),"")</f>
        <v/>
      </c>
      <c r="I1419" s="388" t="str">
        <f ca="1">IFERROR(IF(VLOOKUP(C1419,' Disaggregation - Section E '!A$7:J537,8,0)=0,"",VLOOKUP(C1419,' Disaggregation - Section E '!A$7:J537,8,0)),"")</f>
        <v/>
      </c>
      <c r="J1419" s="388" t="str">
        <f ca="1">IFERROR(IF(VLOOKUP(C1419,' Disaggregation - Section E '!A$7:J537,9,0)="","",VLOOKUP(C1419,' Disaggregation - Section E '!A$7:J537,9,0)),"")</f>
        <v/>
      </c>
      <c r="K1419" s="384" t="str">
        <f ca="1">IFERROR(VLOOKUP(C1419,' Disaggregation - Section E '!A$7:J537,3,0),"")</f>
        <v/>
      </c>
      <c r="L1419" s="388" t="str">
        <f ca="1">IFERROR(IF(VLOOKUP(C1419,' Disaggregation - Section E '!A$7:J537,10,0)="","",VLOOKUP(C1419,' Disaggregation - Section E '!A$7:J537,10,0)),"")</f>
        <v/>
      </c>
      <c r="M1419" s="384" t="str">
        <f ca="1">IFERROR(IF(VLOOKUP(C1419,' Disaggregation - Section E '!A$7:O537,15,0)=0,"",VLOOKUP(C1419,' Disaggregation - Section E '!A$7:O537,15,0)),"")</f>
        <v/>
      </c>
      <c r="N1419" s="384"/>
      <c r="O1419" s="384"/>
    </row>
    <row r="1420" spans="1:15" x14ac:dyDescent="0.3">
      <c r="A1420" s="384" t="b">
        <f t="shared" ca="1" si="133"/>
        <v>0</v>
      </c>
      <c r="B1420" s="384"/>
      <c r="C1420" s="400" t="str">
        <f ca="1">IF(COUNTA(O$1189:O1420)=1,"",OFFSET(B1420,-COUNTA(O$1189:O1420)+1,1))</f>
        <v>a1GDm000000Xmm3MAC</v>
      </c>
      <c r="D1420" s="389"/>
      <c r="E1420" s="386" t="str">
        <f ca="1">IFERROR(IF(VLOOKUP(C1420,' Disaggregation - Section E '!A$7:J538,7,0)="","",VLOOKUP(C1420,' Disaggregation - Section E '!A$7:J242,7,0)*100),"")</f>
        <v/>
      </c>
      <c r="F1420" s="388" t="str">
        <f ca="1">IFERROR(IF(VLOOKUP(C1420,' Disaggregation - Section E '!A$7:J538,5,0)=0,"",VLOOKUP(C1420,' Disaggregation - Section E '!A$7:J538,5,0)),"")</f>
        <v/>
      </c>
      <c r="G1420" s="387" t="str">
        <f ca="1">IFERROR(IF(VLOOKUP(C1420,' Disaggregation - Section E '!A$7:J538,6,0)="","",VLOOKUP(C1420,' Disaggregation - Section E '!A$7:J538,6,0)),"")</f>
        <v/>
      </c>
      <c r="H1420" s="387" t="str">
        <f ca="1">IFERROR(IF(INDEX(' Disaggregation - Section E '!F$7:F538,MATCH(C1420,' Disaggregation - Section E '!A$7:A538,0)+1,1)&lt;&gt;0,INDEX(' Disaggregation - Section E '!F$7:F538,MATCH(C1420,' Disaggregation - Section E '!A$7:A538,0)+1,1),""),"")</f>
        <v/>
      </c>
      <c r="I1420" s="388" t="str">
        <f ca="1">IFERROR(IF(VLOOKUP(C1420,' Disaggregation - Section E '!A$7:J538,8,0)=0,"",VLOOKUP(C1420,' Disaggregation - Section E '!A$7:J538,8,0)),"")</f>
        <v/>
      </c>
      <c r="J1420" s="388" t="str">
        <f ca="1">IFERROR(IF(VLOOKUP(C1420,' Disaggregation - Section E '!A$7:J538,9,0)="","",VLOOKUP(C1420,' Disaggregation - Section E '!A$7:J538,9,0)),"")</f>
        <v/>
      </c>
      <c r="K1420" s="384" t="str">
        <f ca="1">IFERROR(VLOOKUP(C1420,' Disaggregation - Section E '!A$7:J538,3,0),"")</f>
        <v/>
      </c>
      <c r="L1420" s="388" t="str">
        <f ca="1">IFERROR(IF(VLOOKUP(C1420,' Disaggregation - Section E '!A$7:J538,10,0)="","",VLOOKUP(C1420,' Disaggregation - Section E '!A$7:J538,10,0)),"")</f>
        <v/>
      </c>
      <c r="M1420" s="384" t="str">
        <f ca="1">IFERROR(IF(VLOOKUP(C1420,' Disaggregation - Section E '!A$7:O538,15,0)=0,"",VLOOKUP(C1420,' Disaggregation - Section E '!A$7:O538,15,0)),"")</f>
        <v/>
      </c>
      <c r="N1420" s="384"/>
      <c r="O1420" s="384"/>
    </row>
    <row r="1421" spans="1:15" x14ac:dyDescent="0.3">
      <c r="A1421" s="384" t="b">
        <f t="shared" ca="1" si="133"/>
        <v>0</v>
      </c>
      <c r="B1421" s="384"/>
      <c r="C1421" s="400" t="str">
        <f ca="1">IF(COUNTA(O$1189:O1421)=1,"",OFFSET(B1421,-COUNTA(O$1189:O1421)+1,1))</f>
        <v>a1GDm000000Xmm4MAC</v>
      </c>
      <c r="D1421" s="389"/>
      <c r="E1421" s="386" t="str">
        <f ca="1">IFERROR(IF(VLOOKUP(C1421,' Disaggregation - Section E '!A$7:J539,7,0)="","",VLOOKUP(C1421,' Disaggregation - Section E '!A$7:J243,7,0)*100),"")</f>
        <v/>
      </c>
      <c r="F1421" s="388" t="str">
        <f ca="1">IFERROR(IF(VLOOKUP(C1421,' Disaggregation - Section E '!A$7:J539,5,0)=0,"",VLOOKUP(C1421,' Disaggregation - Section E '!A$7:J539,5,0)),"")</f>
        <v/>
      </c>
      <c r="G1421" s="387" t="str">
        <f ca="1">IFERROR(IF(VLOOKUP(C1421,' Disaggregation - Section E '!A$7:J539,6,0)="","",VLOOKUP(C1421,' Disaggregation - Section E '!A$7:J539,6,0)),"")</f>
        <v/>
      </c>
      <c r="H1421" s="387" t="str">
        <f ca="1">IFERROR(IF(INDEX(' Disaggregation - Section E '!F$7:F539,MATCH(C1421,' Disaggregation - Section E '!A$7:A539,0)+1,1)&lt;&gt;0,INDEX(' Disaggregation - Section E '!F$7:F539,MATCH(C1421,' Disaggregation - Section E '!A$7:A539,0)+1,1),""),"")</f>
        <v/>
      </c>
      <c r="I1421" s="388" t="str">
        <f ca="1">IFERROR(IF(VLOOKUP(C1421,' Disaggregation - Section E '!A$7:J539,8,0)=0,"",VLOOKUP(C1421,' Disaggregation - Section E '!A$7:J539,8,0)),"")</f>
        <v/>
      </c>
      <c r="J1421" s="388" t="str">
        <f ca="1">IFERROR(IF(VLOOKUP(C1421,' Disaggregation - Section E '!A$7:J539,9,0)="","",VLOOKUP(C1421,' Disaggregation - Section E '!A$7:J539,9,0)),"")</f>
        <v/>
      </c>
      <c r="K1421" s="384" t="str">
        <f ca="1">IFERROR(VLOOKUP(C1421,' Disaggregation - Section E '!A$7:J539,3,0),"")</f>
        <v/>
      </c>
      <c r="L1421" s="388" t="str">
        <f ca="1">IFERROR(IF(VLOOKUP(C1421,' Disaggregation - Section E '!A$7:J539,10,0)="","",VLOOKUP(C1421,' Disaggregation - Section E '!A$7:J539,10,0)),"")</f>
        <v/>
      </c>
      <c r="M1421" s="384" t="str">
        <f ca="1">IFERROR(IF(VLOOKUP(C1421,' Disaggregation - Section E '!A$7:O539,15,0)=0,"",VLOOKUP(C1421,' Disaggregation - Section E '!A$7:O539,15,0)),"")</f>
        <v/>
      </c>
      <c r="N1421" s="384"/>
      <c r="O1421" s="384"/>
    </row>
    <row r="1422" spans="1:15" x14ac:dyDescent="0.3">
      <c r="A1422" s="384" t="b">
        <f t="shared" ca="1" si="133"/>
        <v>0</v>
      </c>
      <c r="B1422" s="384"/>
      <c r="C1422" s="400" t="str">
        <f ca="1">IF(COUNTA(O$1189:O1422)=1,"",OFFSET(B1422,-COUNTA(O$1189:O1422)+1,1))</f>
        <v>a1GDm000000Xmm5MAC</v>
      </c>
      <c r="D1422" s="389"/>
      <c r="E1422" s="386" t="str">
        <f ca="1">IFERROR(IF(VLOOKUP(C1422,' Disaggregation - Section E '!A$7:J540,7,0)="","",VLOOKUP(C1422,' Disaggregation - Section E '!A$7:J244,7,0)*100),"")</f>
        <v/>
      </c>
      <c r="F1422" s="388" t="str">
        <f ca="1">IFERROR(IF(VLOOKUP(C1422,' Disaggregation - Section E '!A$7:J540,5,0)=0,"",VLOOKUP(C1422,' Disaggregation - Section E '!A$7:J540,5,0)),"")</f>
        <v/>
      </c>
      <c r="G1422" s="387" t="str">
        <f ca="1">IFERROR(IF(VLOOKUP(C1422,' Disaggregation - Section E '!A$7:J540,6,0)="","",VLOOKUP(C1422,' Disaggregation - Section E '!A$7:J540,6,0)),"")</f>
        <v/>
      </c>
      <c r="H1422" s="387" t="str">
        <f ca="1">IFERROR(IF(INDEX(' Disaggregation - Section E '!F$7:F540,MATCH(C1422,' Disaggregation - Section E '!A$7:A540,0)+1,1)&lt;&gt;0,INDEX(' Disaggregation - Section E '!F$7:F540,MATCH(C1422,' Disaggregation - Section E '!A$7:A540,0)+1,1),""),"")</f>
        <v/>
      </c>
      <c r="I1422" s="388" t="str">
        <f ca="1">IFERROR(IF(VLOOKUP(C1422,' Disaggregation - Section E '!A$7:J540,8,0)=0,"",VLOOKUP(C1422,' Disaggregation - Section E '!A$7:J540,8,0)),"")</f>
        <v/>
      </c>
      <c r="J1422" s="388" t="str">
        <f ca="1">IFERROR(IF(VLOOKUP(C1422,' Disaggregation - Section E '!A$7:J540,9,0)="","",VLOOKUP(C1422,' Disaggregation - Section E '!A$7:J540,9,0)),"")</f>
        <v/>
      </c>
      <c r="K1422" s="384" t="str">
        <f ca="1">IFERROR(VLOOKUP(C1422,' Disaggregation - Section E '!A$7:J540,3,0),"")</f>
        <v/>
      </c>
      <c r="L1422" s="388" t="str">
        <f ca="1">IFERROR(IF(VLOOKUP(C1422,' Disaggregation - Section E '!A$7:J540,10,0)="","",VLOOKUP(C1422,' Disaggregation - Section E '!A$7:J540,10,0)),"")</f>
        <v/>
      </c>
      <c r="M1422" s="384" t="str">
        <f ca="1">IFERROR(IF(VLOOKUP(C1422,' Disaggregation - Section E '!A$7:O540,15,0)=0,"",VLOOKUP(C1422,' Disaggregation - Section E '!A$7:O540,15,0)),"")</f>
        <v/>
      </c>
      <c r="N1422" s="384"/>
      <c r="O1422" s="384"/>
    </row>
    <row r="1423" spans="1:15" x14ac:dyDescent="0.3">
      <c r="A1423" s="384" t="b">
        <f t="shared" ca="1" si="133"/>
        <v>0</v>
      </c>
      <c r="B1423" s="384"/>
      <c r="C1423" s="400" t="str">
        <f ca="1">IF(COUNTA(O$1189:O1423)=1,"",OFFSET(B1423,-COUNTA(O$1189:O1423)+1,1))</f>
        <v>a1GDm000000Xmm6MAC</v>
      </c>
      <c r="D1423" s="389"/>
      <c r="E1423" s="386" t="str">
        <f ca="1">IFERROR(IF(VLOOKUP(C1423,' Disaggregation - Section E '!A$7:J541,7,0)="","",VLOOKUP(C1423,' Disaggregation - Section E '!A$7:J245,7,0)*100),"")</f>
        <v/>
      </c>
      <c r="F1423" s="388" t="str">
        <f ca="1">IFERROR(IF(VLOOKUP(C1423,' Disaggregation - Section E '!A$7:J541,5,0)=0,"",VLOOKUP(C1423,' Disaggregation - Section E '!A$7:J541,5,0)),"")</f>
        <v/>
      </c>
      <c r="G1423" s="387" t="str">
        <f ca="1">IFERROR(IF(VLOOKUP(C1423,' Disaggregation - Section E '!A$7:J541,6,0)="","",VLOOKUP(C1423,' Disaggregation - Section E '!A$7:J541,6,0)),"")</f>
        <v/>
      </c>
      <c r="H1423" s="387" t="str">
        <f ca="1">IFERROR(IF(INDEX(' Disaggregation - Section E '!F$7:F541,MATCH(C1423,' Disaggregation - Section E '!A$7:A541,0)+1,1)&lt;&gt;0,INDEX(' Disaggregation - Section E '!F$7:F541,MATCH(C1423,' Disaggregation - Section E '!A$7:A541,0)+1,1),""),"")</f>
        <v/>
      </c>
      <c r="I1423" s="388" t="str">
        <f ca="1">IFERROR(IF(VLOOKUP(C1423,' Disaggregation - Section E '!A$7:J541,8,0)=0,"",VLOOKUP(C1423,' Disaggregation - Section E '!A$7:J541,8,0)),"")</f>
        <v/>
      </c>
      <c r="J1423" s="388" t="str">
        <f ca="1">IFERROR(IF(VLOOKUP(C1423,' Disaggregation - Section E '!A$7:J541,9,0)="","",VLOOKUP(C1423,' Disaggregation - Section E '!A$7:J541,9,0)),"")</f>
        <v/>
      </c>
      <c r="K1423" s="384" t="str">
        <f ca="1">IFERROR(VLOOKUP(C1423,' Disaggregation - Section E '!A$7:J541,3,0),"")</f>
        <v/>
      </c>
      <c r="L1423" s="388" t="str">
        <f ca="1">IFERROR(IF(VLOOKUP(C1423,' Disaggregation - Section E '!A$7:J541,10,0)="","",VLOOKUP(C1423,' Disaggregation - Section E '!A$7:J541,10,0)),"")</f>
        <v/>
      </c>
      <c r="M1423" s="384" t="str">
        <f ca="1">IFERROR(IF(VLOOKUP(C1423,' Disaggregation - Section E '!A$7:O541,15,0)=0,"",VLOOKUP(C1423,' Disaggregation - Section E '!A$7:O541,15,0)),"")</f>
        <v/>
      </c>
      <c r="N1423" s="384"/>
      <c r="O1423" s="384"/>
    </row>
    <row r="1424" spans="1:15" x14ac:dyDescent="0.3">
      <c r="A1424" s="384" t="b">
        <f t="shared" ca="1" si="133"/>
        <v>0</v>
      </c>
      <c r="B1424" s="384"/>
      <c r="C1424" s="400" t="str">
        <f ca="1">IF(COUNTA(O$1189:O1424)=1,"",OFFSET(B1424,-COUNTA(O$1189:O1424)+1,1))</f>
        <v>a1GDm000000Xmm7MAC</v>
      </c>
      <c r="D1424" s="389"/>
      <c r="E1424" s="386" t="str">
        <f ca="1">IFERROR(IF(VLOOKUP(C1424,' Disaggregation - Section E '!A$7:J542,7,0)="","",VLOOKUP(C1424,' Disaggregation - Section E '!A$7:J246,7,0)*100),"")</f>
        <v/>
      </c>
      <c r="F1424" s="388" t="str">
        <f ca="1">IFERROR(IF(VLOOKUP(C1424,' Disaggregation - Section E '!A$7:J542,5,0)=0,"",VLOOKUP(C1424,' Disaggregation - Section E '!A$7:J542,5,0)),"")</f>
        <v/>
      </c>
      <c r="G1424" s="387" t="str">
        <f ca="1">IFERROR(IF(VLOOKUP(C1424,' Disaggregation - Section E '!A$7:J542,6,0)="","",VLOOKUP(C1424,' Disaggregation - Section E '!A$7:J542,6,0)),"")</f>
        <v/>
      </c>
      <c r="H1424" s="387" t="str">
        <f ca="1">IFERROR(IF(INDEX(' Disaggregation - Section E '!F$7:F542,MATCH(C1424,' Disaggregation - Section E '!A$7:A542,0)+1,1)&lt;&gt;0,INDEX(' Disaggregation - Section E '!F$7:F542,MATCH(C1424,' Disaggregation - Section E '!A$7:A542,0)+1,1),""),"")</f>
        <v/>
      </c>
      <c r="I1424" s="388" t="str">
        <f ca="1">IFERROR(IF(VLOOKUP(C1424,' Disaggregation - Section E '!A$7:J542,8,0)=0,"",VLOOKUP(C1424,' Disaggregation - Section E '!A$7:J542,8,0)),"")</f>
        <v/>
      </c>
      <c r="J1424" s="388" t="str">
        <f ca="1">IFERROR(IF(VLOOKUP(C1424,' Disaggregation - Section E '!A$7:J542,9,0)="","",VLOOKUP(C1424,' Disaggregation - Section E '!A$7:J542,9,0)),"")</f>
        <v/>
      </c>
      <c r="K1424" s="384" t="str">
        <f ca="1">IFERROR(VLOOKUP(C1424,' Disaggregation - Section E '!A$7:J542,3,0),"")</f>
        <v/>
      </c>
      <c r="L1424" s="388" t="str">
        <f ca="1">IFERROR(IF(VLOOKUP(C1424,' Disaggregation - Section E '!A$7:J542,10,0)="","",VLOOKUP(C1424,' Disaggregation - Section E '!A$7:J542,10,0)),"")</f>
        <v/>
      </c>
      <c r="M1424" s="384" t="str">
        <f ca="1">IFERROR(IF(VLOOKUP(C1424,' Disaggregation - Section E '!A$7:O542,15,0)=0,"",VLOOKUP(C1424,' Disaggregation - Section E '!A$7:O542,15,0)),"")</f>
        <v/>
      </c>
      <c r="N1424" s="384"/>
      <c r="O1424" s="384"/>
    </row>
    <row r="1425" spans="1:15" x14ac:dyDescent="0.3">
      <c r="A1425" s="384" t="b">
        <f t="shared" ca="1" si="133"/>
        <v>0</v>
      </c>
      <c r="B1425" s="384"/>
      <c r="C1425" s="400" t="str">
        <f ca="1">IF(COUNTA(O$1189:O1425)=1,"",OFFSET(B1425,-COUNTA(O$1189:O1425)+1,1))</f>
        <v>a1GDm000000Xmm8MAC</v>
      </c>
      <c r="D1425" s="389"/>
      <c r="E1425" s="386" t="str">
        <f ca="1">IFERROR(IF(VLOOKUP(C1425,' Disaggregation - Section E '!A$7:J543,7,0)="","",VLOOKUP(C1425,' Disaggregation - Section E '!A$7:J247,7,0)*100),"")</f>
        <v/>
      </c>
      <c r="F1425" s="388" t="str">
        <f ca="1">IFERROR(IF(VLOOKUP(C1425,' Disaggregation - Section E '!A$7:J543,5,0)=0,"",VLOOKUP(C1425,' Disaggregation - Section E '!A$7:J543,5,0)),"")</f>
        <v/>
      </c>
      <c r="G1425" s="387" t="str">
        <f ca="1">IFERROR(IF(VLOOKUP(C1425,' Disaggregation - Section E '!A$7:J543,6,0)="","",VLOOKUP(C1425,' Disaggregation - Section E '!A$7:J543,6,0)),"")</f>
        <v/>
      </c>
      <c r="H1425" s="387" t="str">
        <f ca="1">IFERROR(IF(INDEX(' Disaggregation - Section E '!F$7:F543,MATCH(C1425,' Disaggregation - Section E '!A$7:A543,0)+1,1)&lt;&gt;0,INDEX(' Disaggregation - Section E '!F$7:F543,MATCH(C1425,' Disaggregation - Section E '!A$7:A543,0)+1,1),""),"")</f>
        <v/>
      </c>
      <c r="I1425" s="388" t="str">
        <f ca="1">IFERROR(IF(VLOOKUP(C1425,' Disaggregation - Section E '!A$7:J543,8,0)=0,"",VLOOKUP(C1425,' Disaggregation - Section E '!A$7:J543,8,0)),"")</f>
        <v/>
      </c>
      <c r="J1425" s="388" t="str">
        <f ca="1">IFERROR(IF(VLOOKUP(C1425,' Disaggregation - Section E '!A$7:J543,9,0)="","",VLOOKUP(C1425,' Disaggregation - Section E '!A$7:J543,9,0)),"")</f>
        <v/>
      </c>
      <c r="K1425" s="384" t="str">
        <f ca="1">IFERROR(VLOOKUP(C1425,' Disaggregation - Section E '!A$7:J543,3,0),"")</f>
        <v/>
      </c>
      <c r="L1425" s="388" t="str">
        <f ca="1">IFERROR(IF(VLOOKUP(C1425,' Disaggregation - Section E '!A$7:J543,10,0)="","",VLOOKUP(C1425,' Disaggregation - Section E '!A$7:J543,10,0)),"")</f>
        <v/>
      </c>
      <c r="M1425" s="384" t="str">
        <f ca="1">IFERROR(IF(VLOOKUP(C1425,' Disaggregation - Section E '!A$7:O543,15,0)=0,"",VLOOKUP(C1425,' Disaggregation - Section E '!A$7:O543,15,0)),"")</f>
        <v/>
      </c>
      <c r="N1425" s="384"/>
      <c r="O1425" s="384"/>
    </row>
    <row r="1426" spans="1:15" x14ac:dyDescent="0.3">
      <c r="A1426" s="384" t="b">
        <f t="shared" ca="1" si="133"/>
        <v>0</v>
      </c>
      <c r="B1426" s="384"/>
      <c r="C1426" s="400" t="str">
        <f ca="1">IF(COUNTA(O$1189:O1426)=1,"",OFFSET(B1426,-COUNTA(O$1189:O1426)+1,1))</f>
        <v>a1GDm000000Xmm9MAC</v>
      </c>
      <c r="D1426" s="389"/>
      <c r="E1426" s="386" t="str">
        <f ca="1">IFERROR(IF(VLOOKUP(C1426,' Disaggregation - Section E '!A$7:J544,7,0)="","",VLOOKUP(C1426,' Disaggregation - Section E '!A$7:J248,7,0)*100),"")</f>
        <v/>
      </c>
      <c r="F1426" s="388" t="str">
        <f ca="1">IFERROR(IF(VLOOKUP(C1426,' Disaggregation - Section E '!A$7:J544,5,0)=0,"",VLOOKUP(C1426,' Disaggregation - Section E '!A$7:J544,5,0)),"")</f>
        <v/>
      </c>
      <c r="G1426" s="387" t="str">
        <f ca="1">IFERROR(IF(VLOOKUP(C1426,' Disaggregation - Section E '!A$7:J544,6,0)="","",VLOOKUP(C1426,' Disaggregation - Section E '!A$7:J544,6,0)),"")</f>
        <v/>
      </c>
      <c r="H1426" s="387" t="str">
        <f ca="1">IFERROR(IF(INDEX(' Disaggregation - Section E '!F$7:F544,MATCH(C1426,' Disaggregation - Section E '!A$7:A544,0)+1,1)&lt;&gt;0,INDEX(' Disaggregation - Section E '!F$7:F544,MATCH(C1426,' Disaggregation - Section E '!A$7:A544,0)+1,1),""),"")</f>
        <v/>
      </c>
      <c r="I1426" s="388" t="str">
        <f ca="1">IFERROR(IF(VLOOKUP(C1426,' Disaggregation - Section E '!A$7:J544,8,0)=0,"",VLOOKUP(C1426,' Disaggregation - Section E '!A$7:J544,8,0)),"")</f>
        <v/>
      </c>
      <c r="J1426" s="388" t="str">
        <f ca="1">IFERROR(IF(VLOOKUP(C1426,' Disaggregation - Section E '!A$7:J544,9,0)="","",VLOOKUP(C1426,' Disaggregation - Section E '!A$7:J544,9,0)),"")</f>
        <v/>
      </c>
      <c r="K1426" s="384" t="str">
        <f ca="1">IFERROR(VLOOKUP(C1426,' Disaggregation - Section E '!A$7:J544,3,0),"")</f>
        <v/>
      </c>
      <c r="L1426" s="388" t="str">
        <f ca="1">IFERROR(IF(VLOOKUP(C1426,' Disaggregation - Section E '!A$7:J544,10,0)="","",VLOOKUP(C1426,' Disaggregation - Section E '!A$7:J544,10,0)),"")</f>
        <v/>
      </c>
      <c r="M1426" s="384" t="str">
        <f ca="1">IFERROR(IF(VLOOKUP(C1426,' Disaggregation - Section E '!A$7:O544,15,0)=0,"",VLOOKUP(C1426,' Disaggregation - Section E '!A$7:O544,15,0)),"")</f>
        <v/>
      </c>
      <c r="N1426" s="384"/>
      <c r="O1426" s="384"/>
    </row>
    <row r="1427" spans="1:15" x14ac:dyDescent="0.3">
      <c r="A1427" s="384" t="b">
        <f t="shared" ca="1" si="133"/>
        <v>0</v>
      </c>
      <c r="B1427" s="384"/>
      <c r="C1427" s="400" t="str">
        <f ca="1">IF(COUNTA(O$1189:O1427)=1,"",OFFSET(B1427,-COUNTA(O$1189:O1427)+1,1))</f>
        <v>a1GDm000000XmmAMAS</v>
      </c>
      <c r="D1427" s="389"/>
      <c r="E1427" s="386" t="str">
        <f ca="1">IFERROR(IF(VLOOKUP(C1427,' Disaggregation - Section E '!A$7:J545,7,0)="","",VLOOKUP(C1427,' Disaggregation - Section E '!A$7:J249,7,0)*100),"")</f>
        <v/>
      </c>
      <c r="F1427" s="388" t="str">
        <f ca="1">IFERROR(IF(VLOOKUP(C1427,' Disaggregation - Section E '!A$7:J545,5,0)=0,"",VLOOKUP(C1427,' Disaggregation - Section E '!A$7:J545,5,0)),"")</f>
        <v/>
      </c>
      <c r="G1427" s="387" t="str">
        <f ca="1">IFERROR(IF(VLOOKUP(C1427,' Disaggregation - Section E '!A$7:J545,6,0)="","",VLOOKUP(C1427,' Disaggregation - Section E '!A$7:J545,6,0)),"")</f>
        <v/>
      </c>
      <c r="H1427" s="387" t="str">
        <f ca="1">IFERROR(IF(INDEX(' Disaggregation - Section E '!F$7:F545,MATCH(C1427,' Disaggregation - Section E '!A$7:A545,0)+1,1)&lt;&gt;0,INDEX(' Disaggregation - Section E '!F$7:F545,MATCH(C1427,' Disaggregation - Section E '!A$7:A545,0)+1,1),""),"")</f>
        <v/>
      </c>
      <c r="I1427" s="388" t="str">
        <f ca="1">IFERROR(IF(VLOOKUP(C1427,' Disaggregation - Section E '!A$7:J545,8,0)=0,"",VLOOKUP(C1427,' Disaggregation - Section E '!A$7:J545,8,0)),"")</f>
        <v/>
      </c>
      <c r="J1427" s="388" t="str">
        <f ca="1">IFERROR(IF(VLOOKUP(C1427,' Disaggregation - Section E '!A$7:J545,9,0)="","",VLOOKUP(C1427,' Disaggregation - Section E '!A$7:J545,9,0)),"")</f>
        <v/>
      </c>
      <c r="K1427" s="384" t="str">
        <f ca="1">IFERROR(VLOOKUP(C1427,' Disaggregation - Section E '!A$7:J545,3,0),"")</f>
        <v/>
      </c>
      <c r="L1427" s="388" t="str">
        <f ca="1">IFERROR(IF(VLOOKUP(C1427,' Disaggregation - Section E '!A$7:J545,10,0)="","",VLOOKUP(C1427,' Disaggregation - Section E '!A$7:J545,10,0)),"")</f>
        <v/>
      </c>
      <c r="M1427" s="384" t="str">
        <f ca="1">IFERROR(IF(VLOOKUP(C1427,' Disaggregation - Section E '!A$7:O545,15,0)=0,"",VLOOKUP(C1427,' Disaggregation - Section E '!A$7:O545,15,0)),"")</f>
        <v/>
      </c>
      <c r="N1427" s="384"/>
      <c r="O1427" s="384"/>
    </row>
    <row r="1428" spans="1:15" x14ac:dyDescent="0.3">
      <c r="A1428" s="384" t="b">
        <f t="shared" ca="1" si="133"/>
        <v>0</v>
      </c>
      <c r="B1428" s="384"/>
      <c r="C1428" s="400" t="str">
        <f ca="1">IF(COUNTA(O$1189:O1428)=1,"",OFFSET(B1428,-COUNTA(O$1189:O1428)+1,1))</f>
        <v>a1GDm000000XmmBMAS</v>
      </c>
      <c r="D1428" s="389"/>
      <c r="E1428" s="386" t="str">
        <f ca="1">IFERROR(IF(VLOOKUP(C1428,' Disaggregation - Section E '!A$7:J546,7,0)="","",VLOOKUP(C1428,' Disaggregation - Section E '!A$7:J250,7,0)*100),"")</f>
        <v/>
      </c>
      <c r="F1428" s="388" t="str">
        <f ca="1">IFERROR(IF(VLOOKUP(C1428,' Disaggregation - Section E '!A$7:J546,5,0)=0,"",VLOOKUP(C1428,' Disaggregation - Section E '!A$7:J546,5,0)),"")</f>
        <v/>
      </c>
      <c r="G1428" s="387" t="str">
        <f ca="1">IFERROR(IF(VLOOKUP(C1428,' Disaggregation - Section E '!A$7:J546,6,0)="","",VLOOKUP(C1428,' Disaggregation - Section E '!A$7:J546,6,0)),"")</f>
        <v/>
      </c>
      <c r="H1428" s="387" t="str">
        <f ca="1">IFERROR(IF(INDEX(' Disaggregation - Section E '!F$7:F546,MATCH(C1428,' Disaggregation - Section E '!A$7:A546,0)+1,1)&lt;&gt;0,INDEX(' Disaggregation - Section E '!F$7:F546,MATCH(C1428,' Disaggregation - Section E '!A$7:A546,0)+1,1),""),"")</f>
        <v/>
      </c>
      <c r="I1428" s="388" t="str">
        <f ca="1">IFERROR(IF(VLOOKUP(C1428,' Disaggregation - Section E '!A$7:J546,8,0)=0,"",VLOOKUP(C1428,' Disaggregation - Section E '!A$7:J546,8,0)),"")</f>
        <v/>
      </c>
      <c r="J1428" s="388" t="str">
        <f ca="1">IFERROR(IF(VLOOKUP(C1428,' Disaggregation - Section E '!A$7:J546,9,0)="","",VLOOKUP(C1428,' Disaggregation - Section E '!A$7:J546,9,0)),"")</f>
        <v/>
      </c>
      <c r="K1428" s="384" t="str">
        <f ca="1">IFERROR(VLOOKUP(C1428,' Disaggregation - Section E '!A$7:J546,3,0),"")</f>
        <v/>
      </c>
      <c r="L1428" s="388" t="str">
        <f ca="1">IFERROR(IF(VLOOKUP(C1428,' Disaggregation - Section E '!A$7:J546,10,0)="","",VLOOKUP(C1428,' Disaggregation - Section E '!A$7:J546,10,0)),"")</f>
        <v/>
      </c>
      <c r="M1428" s="384" t="str">
        <f ca="1">IFERROR(IF(VLOOKUP(C1428,' Disaggregation - Section E '!A$7:O546,15,0)=0,"",VLOOKUP(C1428,' Disaggregation - Section E '!A$7:O546,15,0)),"")</f>
        <v/>
      </c>
      <c r="N1428" s="384"/>
      <c r="O1428" s="384"/>
    </row>
    <row r="1429" spans="1:15" x14ac:dyDescent="0.3">
      <c r="A1429" s="384" t="b">
        <f t="shared" ca="1" si="133"/>
        <v>0</v>
      </c>
      <c r="B1429" s="384"/>
      <c r="C1429" s="400" t="str">
        <f ca="1">IF(COUNTA(O$1189:O1429)=1,"",OFFSET(B1429,-COUNTA(O$1189:O1429)+1,1))</f>
        <v>a1GDm000000XmmCMAS</v>
      </c>
      <c r="D1429" s="389"/>
      <c r="E1429" s="386" t="str">
        <f ca="1">IFERROR(IF(VLOOKUP(C1429,' Disaggregation - Section E '!A$7:J547,7,0)="","",VLOOKUP(C1429,' Disaggregation - Section E '!A$7:J251,7,0)*100),"")</f>
        <v/>
      </c>
      <c r="F1429" s="388" t="str">
        <f ca="1">IFERROR(IF(VLOOKUP(C1429,' Disaggregation - Section E '!A$7:J547,5,0)=0,"",VLOOKUP(C1429,' Disaggregation - Section E '!A$7:J547,5,0)),"")</f>
        <v/>
      </c>
      <c r="G1429" s="387" t="str">
        <f ca="1">IFERROR(IF(VLOOKUP(C1429,' Disaggregation - Section E '!A$7:J547,6,0)="","",VLOOKUP(C1429,' Disaggregation - Section E '!A$7:J547,6,0)),"")</f>
        <v/>
      </c>
      <c r="H1429" s="387" t="str">
        <f ca="1">IFERROR(IF(INDEX(' Disaggregation - Section E '!F$7:F547,MATCH(C1429,' Disaggregation - Section E '!A$7:A547,0)+1,1)&lt;&gt;0,INDEX(' Disaggregation - Section E '!F$7:F547,MATCH(C1429,' Disaggregation - Section E '!A$7:A547,0)+1,1),""),"")</f>
        <v/>
      </c>
      <c r="I1429" s="388" t="str">
        <f ca="1">IFERROR(IF(VLOOKUP(C1429,' Disaggregation - Section E '!A$7:J547,8,0)=0,"",VLOOKUP(C1429,' Disaggregation - Section E '!A$7:J547,8,0)),"")</f>
        <v/>
      </c>
      <c r="J1429" s="388" t="str">
        <f ca="1">IFERROR(IF(VLOOKUP(C1429,' Disaggregation - Section E '!A$7:J547,9,0)="","",VLOOKUP(C1429,' Disaggregation - Section E '!A$7:J547,9,0)),"")</f>
        <v/>
      </c>
      <c r="K1429" s="384" t="str">
        <f ca="1">IFERROR(VLOOKUP(C1429,' Disaggregation - Section E '!A$7:J547,3,0),"")</f>
        <v/>
      </c>
      <c r="L1429" s="388" t="str">
        <f ca="1">IFERROR(IF(VLOOKUP(C1429,' Disaggregation - Section E '!A$7:J547,10,0)="","",VLOOKUP(C1429,' Disaggregation - Section E '!A$7:J547,10,0)),"")</f>
        <v/>
      </c>
      <c r="M1429" s="384" t="str">
        <f ca="1">IFERROR(IF(VLOOKUP(C1429,' Disaggregation - Section E '!A$7:O547,15,0)=0,"",VLOOKUP(C1429,' Disaggregation - Section E '!A$7:O547,15,0)),"")</f>
        <v/>
      </c>
      <c r="N1429" s="384"/>
      <c r="O1429" s="384"/>
    </row>
    <row r="1430" spans="1:15" x14ac:dyDescent="0.3">
      <c r="A1430" s="384" t="b">
        <f t="shared" ca="1" si="133"/>
        <v>0</v>
      </c>
      <c r="B1430" s="384"/>
      <c r="C1430" s="400" t="str">
        <f ca="1">IF(COUNTA(O$1189:O1430)=1,"",OFFSET(B1430,-COUNTA(O$1189:O1430)+1,1))</f>
        <v>a1GDm000000XmmDMAS</v>
      </c>
      <c r="D1430" s="389"/>
      <c r="E1430" s="386" t="str">
        <f ca="1">IFERROR(IF(VLOOKUP(C1430,' Disaggregation - Section E '!A$7:J548,7,0)="","",VLOOKUP(C1430,' Disaggregation - Section E '!A$7:J252,7,0)*100),"")</f>
        <v/>
      </c>
      <c r="F1430" s="388" t="str">
        <f ca="1">IFERROR(IF(VLOOKUP(C1430,' Disaggregation - Section E '!A$7:J548,5,0)=0,"",VLOOKUP(C1430,' Disaggregation - Section E '!A$7:J548,5,0)),"")</f>
        <v/>
      </c>
      <c r="G1430" s="387" t="str">
        <f ca="1">IFERROR(IF(VLOOKUP(C1430,' Disaggregation - Section E '!A$7:J548,6,0)="","",VLOOKUP(C1430,' Disaggregation - Section E '!A$7:J548,6,0)),"")</f>
        <v/>
      </c>
      <c r="H1430" s="387" t="str">
        <f ca="1">IFERROR(IF(INDEX(' Disaggregation - Section E '!F$7:F548,MATCH(C1430,' Disaggregation - Section E '!A$7:A548,0)+1,1)&lt;&gt;0,INDEX(' Disaggregation - Section E '!F$7:F548,MATCH(C1430,' Disaggregation - Section E '!A$7:A548,0)+1,1),""),"")</f>
        <v/>
      </c>
      <c r="I1430" s="388" t="str">
        <f ca="1">IFERROR(IF(VLOOKUP(C1430,' Disaggregation - Section E '!A$7:J548,8,0)=0,"",VLOOKUP(C1430,' Disaggregation - Section E '!A$7:J548,8,0)),"")</f>
        <v/>
      </c>
      <c r="J1430" s="388" t="str">
        <f ca="1">IFERROR(IF(VLOOKUP(C1430,' Disaggregation - Section E '!A$7:J548,9,0)="","",VLOOKUP(C1430,' Disaggregation - Section E '!A$7:J548,9,0)),"")</f>
        <v/>
      </c>
      <c r="K1430" s="384" t="str">
        <f ca="1">IFERROR(VLOOKUP(C1430,' Disaggregation - Section E '!A$7:J548,3,0),"")</f>
        <v/>
      </c>
      <c r="L1430" s="388" t="str">
        <f ca="1">IFERROR(IF(VLOOKUP(C1430,' Disaggregation - Section E '!A$7:J548,10,0)="","",VLOOKUP(C1430,' Disaggregation - Section E '!A$7:J548,10,0)),"")</f>
        <v/>
      </c>
      <c r="M1430" s="384" t="str">
        <f ca="1">IFERROR(IF(VLOOKUP(C1430,' Disaggregation - Section E '!A$7:O548,15,0)=0,"",VLOOKUP(C1430,' Disaggregation - Section E '!A$7:O548,15,0)),"")</f>
        <v/>
      </c>
      <c r="N1430" s="384"/>
      <c r="O1430" s="384"/>
    </row>
    <row r="1431" spans="1:15" x14ac:dyDescent="0.3">
      <c r="A1431" s="384" t="b">
        <f t="shared" ca="1" si="133"/>
        <v>0</v>
      </c>
      <c r="B1431" s="384"/>
      <c r="C1431" s="400" t="str">
        <f ca="1">IF(COUNTA(O$1189:O1431)=1,"",OFFSET(B1431,-COUNTA(O$1189:O1431)+1,1))</f>
        <v>a1GDm000000XmmEMAS</v>
      </c>
      <c r="D1431" s="389"/>
      <c r="E1431" s="386" t="str">
        <f ca="1">IFERROR(IF(VLOOKUP(C1431,' Disaggregation - Section E '!A$7:J549,7,0)="","",VLOOKUP(C1431,' Disaggregation - Section E '!A$7:J253,7,0)*100),"")</f>
        <v/>
      </c>
      <c r="F1431" s="388" t="str">
        <f ca="1">IFERROR(IF(VLOOKUP(C1431,' Disaggregation - Section E '!A$7:J549,5,0)=0,"",VLOOKUP(C1431,' Disaggregation - Section E '!A$7:J549,5,0)),"")</f>
        <v/>
      </c>
      <c r="G1431" s="387" t="str">
        <f ca="1">IFERROR(IF(VLOOKUP(C1431,' Disaggregation - Section E '!A$7:J549,6,0)="","",VLOOKUP(C1431,' Disaggregation - Section E '!A$7:J549,6,0)),"")</f>
        <v/>
      </c>
      <c r="H1431" s="387" t="str">
        <f ca="1">IFERROR(IF(INDEX(' Disaggregation - Section E '!F$7:F549,MATCH(C1431,' Disaggregation - Section E '!A$7:A549,0)+1,1)&lt;&gt;0,INDEX(' Disaggregation - Section E '!F$7:F549,MATCH(C1431,' Disaggregation - Section E '!A$7:A549,0)+1,1),""),"")</f>
        <v/>
      </c>
      <c r="I1431" s="388" t="str">
        <f ca="1">IFERROR(IF(VLOOKUP(C1431,' Disaggregation - Section E '!A$7:J549,8,0)=0,"",VLOOKUP(C1431,' Disaggregation - Section E '!A$7:J549,8,0)),"")</f>
        <v/>
      </c>
      <c r="J1431" s="388" t="str">
        <f ca="1">IFERROR(IF(VLOOKUP(C1431,' Disaggregation - Section E '!A$7:J549,9,0)="","",VLOOKUP(C1431,' Disaggregation - Section E '!A$7:J549,9,0)),"")</f>
        <v/>
      </c>
      <c r="K1431" s="384" t="str">
        <f ca="1">IFERROR(VLOOKUP(C1431,' Disaggregation - Section E '!A$7:J549,3,0),"")</f>
        <v/>
      </c>
      <c r="L1431" s="388" t="str">
        <f ca="1">IFERROR(IF(VLOOKUP(C1431,' Disaggregation - Section E '!A$7:J549,10,0)="","",VLOOKUP(C1431,' Disaggregation - Section E '!A$7:J549,10,0)),"")</f>
        <v/>
      </c>
      <c r="M1431" s="384" t="str">
        <f ca="1">IFERROR(IF(VLOOKUP(C1431,' Disaggregation - Section E '!A$7:O549,15,0)=0,"",VLOOKUP(C1431,' Disaggregation - Section E '!A$7:O549,15,0)),"")</f>
        <v/>
      </c>
      <c r="N1431" s="384"/>
      <c r="O1431" s="384"/>
    </row>
    <row r="1432" spans="1:15" x14ac:dyDescent="0.3">
      <c r="A1432" s="384" t="b">
        <f t="shared" ca="1" si="133"/>
        <v>0</v>
      </c>
      <c r="B1432" s="384"/>
      <c r="C1432" s="400" t="str">
        <f ca="1">IF(COUNTA(O$1189:O1432)=1,"",OFFSET(B1432,-COUNTA(O$1189:O1432)+1,1))</f>
        <v>a1GDm000000XmmFMAS</v>
      </c>
      <c r="D1432" s="389"/>
      <c r="E1432" s="386" t="str">
        <f ca="1">IFERROR(IF(VLOOKUP(C1432,' Disaggregation - Section E '!A$7:J550,7,0)="","",VLOOKUP(C1432,' Disaggregation - Section E '!A$7:J254,7,0)*100),"")</f>
        <v/>
      </c>
      <c r="F1432" s="388" t="str">
        <f ca="1">IFERROR(IF(VLOOKUP(C1432,' Disaggregation - Section E '!A$7:J550,5,0)=0,"",VLOOKUP(C1432,' Disaggregation - Section E '!A$7:J550,5,0)),"")</f>
        <v/>
      </c>
      <c r="G1432" s="387" t="str">
        <f ca="1">IFERROR(IF(VLOOKUP(C1432,' Disaggregation - Section E '!A$7:J550,6,0)="","",VLOOKUP(C1432,' Disaggregation - Section E '!A$7:J550,6,0)),"")</f>
        <v/>
      </c>
      <c r="H1432" s="387" t="str">
        <f ca="1">IFERROR(IF(INDEX(' Disaggregation - Section E '!F$7:F550,MATCH(C1432,' Disaggregation - Section E '!A$7:A550,0)+1,1)&lt;&gt;0,INDEX(' Disaggregation - Section E '!F$7:F550,MATCH(C1432,' Disaggregation - Section E '!A$7:A550,0)+1,1),""),"")</f>
        <v/>
      </c>
      <c r="I1432" s="388" t="str">
        <f ca="1">IFERROR(IF(VLOOKUP(C1432,' Disaggregation - Section E '!A$7:J550,8,0)=0,"",VLOOKUP(C1432,' Disaggregation - Section E '!A$7:J550,8,0)),"")</f>
        <v/>
      </c>
      <c r="J1432" s="388" t="str">
        <f ca="1">IFERROR(IF(VLOOKUP(C1432,' Disaggregation - Section E '!A$7:J550,9,0)="","",VLOOKUP(C1432,' Disaggregation - Section E '!A$7:J550,9,0)),"")</f>
        <v/>
      </c>
      <c r="K1432" s="384" t="str">
        <f ca="1">IFERROR(VLOOKUP(C1432,' Disaggregation - Section E '!A$7:J550,3,0),"")</f>
        <v/>
      </c>
      <c r="L1432" s="388" t="str">
        <f ca="1">IFERROR(IF(VLOOKUP(C1432,' Disaggregation - Section E '!A$7:J550,10,0)="","",VLOOKUP(C1432,' Disaggregation - Section E '!A$7:J550,10,0)),"")</f>
        <v/>
      </c>
      <c r="M1432" s="384" t="str">
        <f ca="1">IFERROR(IF(VLOOKUP(C1432,' Disaggregation - Section E '!A$7:O550,15,0)=0,"",VLOOKUP(C1432,' Disaggregation - Section E '!A$7:O550,15,0)),"")</f>
        <v/>
      </c>
      <c r="N1432" s="384"/>
      <c r="O1432" s="384"/>
    </row>
    <row r="1433" spans="1:15" x14ac:dyDescent="0.3">
      <c r="A1433" s="384" t="b">
        <f t="shared" ca="1" si="133"/>
        <v>0</v>
      </c>
      <c r="B1433" s="384"/>
      <c r="C1433" s="400" t="str">
        <f ca="1">IF(COUNTA(O$1189:O1433)=1,"",OFFSET(B1433,-COUNTA(O$1189:O1433)+1,1))</f>
        <v>a1GDm000000XmmGMAS</v>
      </c>
      <c r="D1433" s="389"/>
      <c r="E1433" s="386" t="str">
        <f ca="1">IFERROR(IF(VLOOKUP(C1433,' Disaggregation - Section E '!A$7:J551,7,0)="","",VLOOKUP(C1433,' Disaggregation - Section E '!A$7:J255,7,0)*100),"")</f>
        <v/>
      </c>
      <c r="F1433" s="388" t="str">
        <f ca="1">IFERROR(IF(VLOOKUP(C1433,' Disaggregation - Section E '!A$7:J551,5,0)=0,"",VLOOKUP(C1433,' Disaggregation - Section E '!A$7:J551,5,0)),"")</f>
        <v/>
      </c>
      <c r="G1433" s="387" t="str">
        <f ca="1">IFERROR(IF(VLOOKUP(C1433,' Disaggregation - Section E '!A$7:J551,6,0)="","",VLOOKUP(C1433,' Disaggregation - Section E '!A$7:J551,6,0)),"")</f>
        <v/>
      </c>
      <c r="H1433" s="387" t="str">
        <f ca="1">IFERROR(IF(INDEX(' Disaggregation - Section E '!F$7:F551,MATCH(C1433,' Disaggregation - Section E '!A$7:A551,0)+1,1)&lt;&gt;0,INDEX(' Disaggregation - Section E '!F$7:F551,MATCH(C1433,' Disaggregation - Section E '!A$7:A551,0)+1,1),""),"")</f>
        <v/>
      </c>
      <c r="I1433" s="388" t="str">
        <f ca="1">IFERROR(IF(VLOOKUP(C1433,' Disaggregation - Section E '!A$7:J551,8,0)=0,"",VLOOKUP(C1433,' Disaggregation - Section E '!A$7:J551,8,0)),"")</f>
        <v/>
      </c>
      <c r="J1433" s="388" t="str">
        <f ca="1">IFERROR(IF(VLOOKUP(C1433,' Disaggregation - Section E '!A$7:J551,9,0)="","",VLOOKUP(C1433,' Disaggregation - Section E '!A$7:J551,9,0)),"")</f>
        <v/>
      </c>
      <c r="K1433" s="384" t="str">
        <f ca="1">IFERROR(VLOOKUP(C1433,' Disaggregation - Section E '!A$7:J551,3,0),"")</f>
        <v/>
      </c>
      <c r="L1433" s="388" t="str">
        <f ca="1">IFERROR(IF(VLOOKUP(C1433,' Disaggregation - Section E '!A$7:J551,10,0)="","",VLOOKUP(C1433,' Disaggregation - Section E '!A$7:J551,10,0)),"")</f>
        <v/>
      </c>
      <c r="M1433" s="384" t="str">
        <f ca="1">IFERROR(IF(VLOOKUP(C1433,' Disaggregation - Section E '!A$7:O551,15,0)=0,"",VLOOKUP(C1433,' Disaggregation - Section E '!A$7:O551,15,0)),"")</f>
        <v/>
      </c>
      <c r="N1433" s="384"/>
      <c r="O1433" s="384"/>
    </row>
    <row r="1434" spans="1:15" x14ac:dyDescent="0.3">
      <c r="A1434" s="384" t="b">
        <f t="shared" ca="1" si="133"/>
        <v>0</v>
      </c>
      <c r="B1434" s="384"/>
      <c r="C1434" s="400" t="str">
        <f ca="1">IF(COUNTA(O$1189:O1434)=1,"",OFFSET(B1434,-COUNTA(O$1189:O1434)+1,1))</f>
        <v>a1GDm000000XmmHMAS</v>
      </c>
      <c r="D1434" s="389"/>
      <c r="E1434" s="386" t="str">
        <f ca="1">IFERROR(IF(VLOOKUP(C1434,' Disaggregation - Section E '!A$7:J552,7,0)="","",VLOOKUP(C1434,' Disaggregation - Section E '!A$7:J256,7,0)*100),"")</f>
        <v/>
      </c>
      <c r="F1434" s="388" t="str">
        <f ca="1">IFERROR(IF(VLOOKUP(C1434,' Disaggregation - Section E '!A$7:J552,5,0)=0,"",VLOOKUP(C1434,' Disaggregation - Section E '!A$7:J552,5,0)),"")</f>
        <v/>
      </c>
      <c r="G1434" s="387" t="str">
        <f ca="1">IFERROR(IF(VLOOKUP(C1434,' Disaggregation - Section E '!A$7:J552,6,0)="","",VLOOKUP(C1434,' Disaggregation - Section E '!A$7:J552,6,0)),"")</f>
        <v/>
      </c>
      <c r="H1434" s="387" t="str">
        <f ca="1">IFERROR(IF(INDEX(' Disaggregation - Section E '!F$7:F552,MATCH(C1434,' Disaggregation - Section E '!A$7:A552,0)+1,1)&lt;&gt;0,INDEX(' Disaggregation - Section E '!F$7:F552,MATCH(C1434,' Disaggregation - Section E '!A$7:A552,0)+1,1),""),"")</f>
        <v/>
      </c>
      <c r="I1434" s="388" t="str">
        <f ca="1">IFERROR(IF(VLOOKUP(C1434,' Disaggregation - Section E '!A$7:J552,8,0)=0,"",VLOOKUP(C1434,' Disaggregation - Section E '!A$7:J552,8,0)),"")</f>
        <v/>
      </c>
      <c r="J1434" s="388" t="str">
        <f ca="1">IFERROR(IF(VLOOKUP(C1434,' Disaggregation - Section E '!A$7:J552,9,0)="","",VLOOKUP(C1434,' Disaggregation - Section E '!A$7:J552,9,0)),"")</f>
        <v/>
      </c>
      <c r="K1434" s="384" t="str">
        <f ca="1">IFERROR(VLOOKUP(C1434,' Disaggregation - Section E '!A$7:J552,3,0),"")</f>
        <v/>
      </c>
      <c r="L1434" s="388" t="str">
        <f ca="1">IFERROR(IF(VLOOKUP(C1434,' Disaggregation - Section E '!A$7:J552,10,0)="","",VLOOKUP(C1434,' Disaggregation - Section E '!A$7:J552,10,0)),"")</f>
        <v/>
      </c>
      <c r="M1434" s="384" t="str">
        <f ca="1">IFERROR(IF(VLOOKUP(C1434,' Disaggregation - Section E '!A$7:O552,15,0)=0,"",VLOOKUP(C1434,' Disaggregation - Section E '!A$7:O552,15,0)),"")</f>
        <v/>
      </c>
      <c r="N1434" s="384"/>
      <c r="O1434" s="384"/>
    </row>
    <row r="1435" spans="1:15" x14ac:dyDescent="0.3">
      <c r="A1435" s="384" t="b">
        <f t="shared" ca="1" si="133"/>
        <v>0</v>
      </c>
      <c r="B1435" s="384"/>
      <c r="C1435" s="400" t="str">
        <f ca="1">IF(COUNTA(O$1189:O1435)=1,"",OFFSET(B1435,-COUNTA(O$1189:O1435)+1,1))</f>
        <v>a1GDm000000XmmIMAS</v>
      </c>
      <c r="D1435" s="389"/>
      <c r="E1435" s="386" t="str">
        <f ca="1">IFERROR(IF(VLOOKUP(C1435,' Disaggregation - Section E '!A$7:J553,7,0)="","",VLOOKUP(C1435,' Disaggregation - Section E '!A$7:J257,7,0)*100),"")</f>
        <v/>
      </c>
      <c r="F1435" s="388" t="str">
        <f ca="1">IFERROR(IF(VLOOKUP(C1435,' Disaggregation - Section E '!A$7:J553,5,0)=0,"",VLOOKUP(C1435,' Disaggregation - Section E '!A$7:J553,5,0)),"")</f>
        <v/>
      </c>
      <c r="G1435" s="387" t="str">
        <f ca="1">IFERROR(IF(VLOOKUP(C1435,' Disaggregation - Section E '!A$7:J553,6,0)="","",VLOOKUP(C1435,' Disaggregation - Section E '!A$7:J553,6,0)),"")</f>
        <v/>
      </c>
      <c r="H1435" s="387" t="str">
        <f ca="1">IFERROR(IF(INDEX(' Disaggregation - Section E '!F$7:F553,MATCH(C1435,' Disaggregation - Section E '!A$7:A553,0)+1,1)&lt;&gt;0,INDEX(' Disaggregation - Section E '!F$7:F553,MATCH(C1435,' Disaggregation - Section E '!A$7:A553,0)+1,1),""),"")</f>
        <v/>
      </c>
      <c r="I1435" s="388" t="str">
        <f ca="1">IFERROR(IF(VLOOKUP(C1435,' Disaggregation - Section E '!A$7:J553,8,0)=0,"",VLOOKUP(C1435,' Disaggregation - Section E '!A$7:J553,8,0)),"")</f>
        <v/>
      </c>
      <c r="J1435" s="388" t="str">
        <f ca="1">IFERROR(IF(VLOOKUP(C1435,' Disaggregation - Section E '!A$7:J553,9,0)="","",VLOOKUP(C1435,' Disaggregation - Section E '!A$7:J553,9,0)),"")</f>
        <v/>
      </c>
      <c r="K1435" s="384" t="str">
        <f ca="1">IFERROR(VLOOKUP(C1435,' Disaggregation - Section E '!A$7:J553,3,0),"")</f>
        <v/>
      </c>
      <c r="L1435" s="388" t="str">
        <f ca="1">IFERROR(IF(VLOOKUP(C1435,' Disaggregation - Section E '!A$7:J553,10,0)="","",VLOOKUP(C1435,' Disaggregation - Section E '!A$7:J553,10,0)),"")</f>
        <v/>
      </c>
      <c r="M1435" s="384" t="str">
        <f ca="1">IFERROR(IF(VLOOKUP(C1435,' Disaggregation - Section E '!A$7:O553,15,0)=0,"",VLOOKUP(C1435,' Disaggregation - Section E '!A$7:O553,15,0)),"")</f>
        <v/>
      </c>
      <c r="N1435" s="384"/>
      <c r="O1435" s="384"/>
    </row>
    <row r="1436" spans="1:15" x14ac:dyDescent="0.3">
      <c r="A1436" s="384" t="b">
        <f t="shared" ca="1" si="133"/>
        <v>0</v>
      </c>
      <c r="B1436" s="384"/>
      <c r="C1436" s="400" t="str">
        <f ca="1">IF(COUNTA(O$1189:O1436)=1,"",OFFSET(B1436,-COUNTA(O$1189:O1436)+1,1))</f>
        <v>a1GDm000000XmmJMAS</v>
      </c>
      <c r="D1436" s="389"/>
      <c r="E1436" s="386" t="str">
        <f ca="1">IFERROR(IF(VLOOKUP(C1436,' Disaggregation - Section E '!A$7:J554,7,0)="","",VLOOKUP(C1436,' Disaggregation - Section E '!A$7:J258,7,0)*100),"")</f>
        <v/>
      </c>
      <c r="F1436" s="388" t="str">
        <f ca="1">IFERROR(IF(VLOOKUP(C1436,' Disaggregation - Section E '!A$7:J554,5,0)=0,"",VLOOKUP(C1436,' Disaggregation - Section E '!A$7:J554,5,0)),"")</f>
        <v/>
      </c>
      <c r="G1436" s="387" t="str">
        <f ca="1">IFERROR(IF(VLOOKUP(C1436,' Disaggregation - Section E '!A$7:J554,6,0)="","",VLOOKUP(C1436,' Disaggregation - Section E '!A$7:J554,6,0)),"")</f>
        <v/>
      </c>
      <c r="H1436" s="387" t="str">
        <f ca="1">IFERROR(IF(INDEX(' Disaggregation - Section E '!F$7:F554,MATCH(C1436,' Disaggregation - Section E '!A$7:A554,0)+1,1)&lt;&gt;0,INDEX(' Disaggregation - Section E '!F$7:F554,MATCH(C1436,' Disaggregation - Section E '!A$7:A554,0)+1,1),""),"")</f>
        <v/>
      </c>
      <c r="I1436" s="388" t="str">
        <f ca="1">IFERROR(IF(VLOOKUP(C1436,' Disaggregation - Section E '!A$7:J554,8,0)=0,"",VLOOKUP(C1436,' Disaggregation - Section E '!A$7:J554,8,0)),"")</f>
        <v/>
      </c>
      <c r="J1436" s="388" t="str">
        <f ca="1">IFERROR(IF(VLOOKUP(C1436,' Disaggregation - Section E '!A$7:J554,9,0)="","",VLOOKUP(C1436,' Disaggregation - Section E '!A$7:J554,9,0)),"")</f>
        <v/>
      </c>
      <c r="K1436" s="384" t="str">
        <f ca="1">IFERROR(VLOOKUP(C1436,' Disaggregation - Section E '!A$7:J554,3,0),"")</f>
        <v/>
      </c>
      <c r="L1436" s="388" t="str">
        <f ca="1">IFERROR(IF(VLOOKUP(C1436,' Disaggregation - Section E '!A$7:J554,10,0)="","",VLOOKUP(C1436,' Disaggregation - Section E '!A$7:J554,10,0)),"")</f>
        <v/>
      </c>
      <c r="M1436" s="384" t="str">
        <f ca="1">IFERROR(IF(VLOOKUP(C1436,' Disaggregation - Section E '!A$7:O554,15,0)=0,"",VLOOKUP(C1436,' Disaggregation - Section E '!A$7:O554,15,0)),"")</f>
        <v/>
      </c>
      <c r="N1436" s="384"/>
      <c r="O1436" s="384"/>
    </row>
    <row r="1437" spans="1:15" x14ac:dyDescent="0.3">
      <c r="A1437" s="384" t="b">
        <f t="shared" ca="1" si="133"/>
        <v>0</v>
      </c>
      <c r="B1437" s="384"/>
      <c r="C1437" s="400" t="str">
        <f ca="1">IF(COUNTA(O$1189:O1437)=1,"",OFFSET(B1437,-COUNTA(O$1189:O1437)+1,1))</f>
        <v>a1GDm000000XmmKMAS</v>
      </c>
      <c r="D1437" s="389"/>
      <c r="E1437" s="386" t="str">
        <f ca="1">IFERROR(IF(VLOOKUP(C1437,' Disaggregation - Section E '!A$7:J555,7,0)="","",VLOOKUP(C1437,' Disaggregation - Section E '!A$7:J259,7,0)*100),"")</f>
        <v/>
      </c>
      <c r="F1437" s="388" t="str">
        <f ca="1">IFERROR(IF(VLOOKUP(C1437,' Disaggregation - Section E '!A$7:J555,5,0)=0,"",VLOOKUP(C1437,' Disaggregation - Section E '!A$7:J555,5,0)),"")</f>
        <v/>
      </c>
      <c r="G1437" s="387" t="str">
        <f ca="1">IFERROR(IF(VLOOKUP(C1437,' Disaggregation - Section E '!A$7:J555,6,0)="","",VLOOKUP(C1437,' Disaggregation - Section E '!A$7:J555,6,0)),"")</f>
        <v/>
      </c>
      <c r="H1437" s="387" t="str">
        <f ca="1">IFERROR(IF(INDEX(' Disaggregation - Section E '!F$7:F555,MATCH(C1437,' Disaggregation - Section E '!A$7:A555,0)+1,1)&lt;&gt;0,INDEX(' Disaggregation - Section E '!F$7:F555,MATCH(C1437,' Disaggregation - Section E '!A$7:A555,0)+1,1),""),"")</f>
        <v/>
      </c>
      <c r="I1437" s="388" t="str">
        <f ca="1">IFERROR(IF(VLOOKUP(C1437,' Disaggregation - Section E '!A$7:J555,8,0)=0,"",VLOOKUP(C1437,' Disaggregation - Section E '!A$7:J555,8,0)),"")</f>
        <v/>
      </c>
      <c r="J1437" s="388" t="str">
        <f ca="1">IFERROR(IF(VLOOKUP(C1437,' Disaggregation - Section E '!A$7:J555,9,0)="","",VLOOKUP(C1437,' Disaggregation - Section E '!A$7:J555,9,0)),"")</f>
        <v/>
      </c>
      <c r="K1437" s="384" t="str">
        <f ca="1">IFERROR(VLOOKUP(C1437,' Disaggregation - Section E '!A$7:J555,3,0),"")</f>
        <v/>
      </c>
      <c r="L1437" s="388" t="str">
        <f ca="1">IFERROR(IF(VLOOKUP(C1437,' Disaggregation - Section E '!A$7:J555,10,0)="","",VLOOKUP(C1437,' Disaggregation - Section E '!A$7:J555,10,0)),"")</f>
        <v/>
      </c>
      <c r="M1437" s="384" t="str">
        <f ca="1">IFERROR(IF(VLOOKUP(C1437,' Disaggregation - Section E '!A$7:O555,15,0)=0,"",VLOOKUP(C1437,' Disaggregation - Section E '!A$7:O555,15,0)),"")</f>
        <v/>
      </c>
      <c r="N1437" s="384"/>
      <c r="O1437" s="384"/>
    </row>
    <row r="1438" spans="1:15" x14ac:dyDescent="0.3">
      <c r="A1438" s="384" t="b">
        <f t="shared" ca="1" si="133"/>
        <v>0</v>
      </c>
      <c r="B1438" s="384"/>
      <c r="C1438" s="400" t="str">
        <f ca="1">IF(COUNTA(O$1189:O1438)=1,"",OFFSET(B1438,-COUNTA(O$1189:O1438)+1,1))</f>
        <v>a1GDm000000XmmLMAS</v>
      </c>
      <c r="D1438" s="389"/>
      <c r="E1438" s="386" t="str">
        <f ca="1">IFERROR(IF(VLOOKUP(C1438,' Disaggregation - Section E '!A$7:J556,7,0)="","",VLOOKUP(C1438,' Disaggregation - Section E '!A$7:J260,7,0)*100),"")</f>
        <v/>
      </c>
      <c r="F1438" s="388" t="str">
        <f ca="1">IFERROR(IF(VLOOKUP(C1438,' Disaggregation - Section E '!A$7:J556,5,0)=0,"",VLOOKUP(C1438,' Disaggregation - Section E '!A$7:J556,5,0)),"")</f>
        <v/>
      </c>
      <c r="G1438" s="387" t="str">
        <f ca="1">IFERROR(IF(VLOOKUP(C1438,' Disaggregation - Section E '!A$7:J556,6,0)="","",VLOOKUP(C1438,' Disaggregation - Section E '!A$7:J556,6,0)),"")</f>
        <v/>
      </c>
      <c r="H1438" s="387" t="str">
        <f ca="1">IFERROR(IF(INDEX(' Disaggregation - Section E '!F$7:F556,MATCH(C1438,' Disaggregation - Section E '!A$7:A556,0)+1,1)&lt;&gt;0,INDEX(' Disaggregation - Section E '!F$7:F556,MATCH(C1438,' Disaggregation - Section E '!A$7:A556,0)+1,1),""),"")</f>
        <v/>
      </c>
      <c r="I1438" s="388" t="str">
        <f ca="1">IFERROR(IF(VLOOKUP(C1438,' Disaggregation - Section E '!A$7:J556,8,0)=0,"",VLOOKUP(C1438,' Disaggregation - Section E '!A$7:J556,8,0)),"")</f>
        <v/>
      </c>
      <c r="J1438" s="388" t="str">
        <f ca="1">IFERROR(IF(VLOOKUP(C1438,' Disaggregation - Section E '!A$7:J556,9,0)="","",VLOOKUP(C1438,' Disaggregation - Section E '!A$7:J556,9,0)),"")</f>
        <v/>
      </c>
      <c r="K1438" s="384" t="str">
        <f ca="1">IFERROR(VLOOKUP(C1438,' Disaggregation - Section E '!A$7:J556,3,0),"")</f>
        <v/>
      </c>
      <c r="L1438" s="388" t="str">
        <f ca="1">IFERROR(IF(VLOOKUP(C1438,' Disaggregation - Section E '!A$7:J556,10,0)="","",VLOOKUP(C1438,' Disaggregation - Section E '!A$7:J556,10,0)),"")</f>
        <v/>
      </c>
      <c r="M1438" s="384" t="str">
        <f ca="1">IFERROR(IF(VLOOKUP(C1438,' Disaggregation - Section E '!A$7:O556,15,0)=0,"",VLOOKUP(C1438,' Disaggregation - Section E '!A$7:O556,15,0)),"")</f>
        <v/>
      </c>
      <c r="N1438" s="384"/>
      <c r="O1438" s="384"/>
    </row>
    <row r="1439" spans="1:15" x14ac:dyDescent="0.3">
      <c r="A1439" s="384" t="b">
        <f t="shared" ca="1" si="133"/>
        <v>0</v>
      </c>
      <c r="B1439" s="384"/>
      <c r="C1439" s="400" t="str">
        <f ca="1">IF(COUNTA(O$1189:O1439)=1,"",OFFSET(B1439,-COUNTA(O$1189:O1439)+1,1))</f>
        <v>a1GDm000000XmmMMAS</v>
      </c>
      <c r="D1439" s="389"/>
      <c r="E1439" s="386" t="str">
        <f ca="1">IFERROR(IF(VLOOKUP(C1439,' Disaggregation - Section E '!A$7:J557,7,0)="","",VLOOKUP(C1439,' Disaggregation - Section E '!A$7:J261,7,0)*100),"")</f>
        <v/>
      </c>
      <c r="F1439" s="388" t="str">
        <f ca="1">IFERROR(IF(VLOOKUP(C1439,' Disaggregation - Section E '!A$7:J557,5,0)=0,"",VLOOKUP(C1439,' Disaggregation - Section E '!A$7:J557,5,0)),"")</f>
        <v/>
      </c>
      <c r="G1439" s="387" t="str">
        <f ca="1">IFERROR(IF(VLOOKUP(C1439,' Disaggregation - Section E '!A$7:J557,6,0)="","",VLOOKUP(C1439,' Disaggregation - Section E '!A$7:J557,6,0)),"")</f>
        <v/>
      </c>
      <c r="H1439" s="387" t="str">
        <f ca="1">IFERROR(IF(INDEX(' Disaggregation - Section E '!F$7:F557,MATCH(C1439,' Disaggregation - Section E '!A$7:A557,0)+1,1)&lt;&gt;0,INDEX(' Disaggregation - Section E '!F$7:F557,MATCH(C1439,' Disaggregation - Section E '!A$7:A557,0)+1,1),""),"")</f>
        <v/>
      </c>
      <c r="I1439" s="388" t="str">
        <f ca="1">IFERROR(IF(VLOOKUP(C1439,' Disaggregation - Section E '!A$7:J557,8,0)=0,"",VLOOKUP(C1439,' Disaggregation - Section E '!A$7:J557,8,0)),"")</f>
        <v/>
      </c>
      <c r="J1439" s="388" t="str">
        <f ca="1">IFERROR(IF(VLOOKUP(C1439,' Disaggregation - Section E '!A$7:J557,9,0)="","",VLOOKUP(C1439,' Disaggregation - Section E '!A$7:J557,9,0)),"")</f>
        <v/>
      </c>
      <c r="K1439" s="384" t="str">
        <f ca="1">IFERROR(VLOOKUP(C1439,' Disaggregation - Section E '!A$7:J557,3,0),"")</f>
        <v/>
      </c>
      <c r="L1439" s="388" t="str">
        <f ca="1">IFERROR(IF(VLOOKUP(C1439,' Disaggregation - Section E '!A$7:J557,10,0)="","",VLOOKUP(C1439,' Disaggregation - Section E '!A$7:J557,10,0)),"")</f>
        <v/>
      </c>
      <c r="M1439" s="384" t="str">
        <f ca="1">IFERROR(IF(VLOOKUP(C1439,' Disaggregation - Section E '!A$7:O557,15,0)=0,"",VLOOKUP(C1439,' Disaggregation - Section E '!A$7:O557,15,0)),"")</f>
        <v/>
      </c>
      <c r="N1439" s="384"/>
      <c r="O1439" s="384"/>
    </row>
    <row r="1440" spans="1:15" x14ac:dyDescent="0.3">
      <c r="A1440" s="384" t="b">
        <f t="shared" ca="1" si="133"/>
        <v>0</v>
      </c>
      <c r="B1440" s="384"/>
      <c r="C1440" s="400" t="str">
        <f ca="1">IF(COUNTA(O$1189:O1440)=1,"",OFFSET(B1440,-COUNTA(O$1189:O1440)+1,1))</f>
        <v>a1GDm000000XmmNMAS</v>
      </c>
      <c r="D1440" s="389"/>
      <c r="E1440" s="386" t="str">
        <f ca="1">IFERROR(IF(VLOOKUP(C1440,' Disaggregation - Section E '!A$7:J558,7,0)="","",VLOOKUP(C1440,' Disaggregation - Section E '!A$7:J262,7,0)*100),"")</f>
        <v/>
      </c>
      <c r="F1440" s="388" t="str">
        <f ca="1">IFERROR(IF(VLOOKUP(C1440,' Disaggregation - Section E '!A$7:J558,5,0)=0,"",VLOOKUP(C1440,' Disaggregation - Section E '!A$7:J558,5,0)),"")</f>
        <v/>
      </c>
      <c r="G1440" s="387" t="str">
        <f ca="1">IFERROR(IF(VLOOKUP(C1440,' Disaggregation - Section E '!A$7:J558,6,0)="","",VLOOKUP(C1440,' Disaggregation - Section E '!A$7:J558,6,0)),"")</f>
        <v/>
      </c>
      <c r="H1440" s="387" t="str">
        <f ca="1">IFERROR(IF(INDEX(' Disaggregation - Section E '!F$7:F558,MATCH(C1440,' Disaggregation - Section E '!A$7:A558,0)+1,1)&lt;&gt;0,INDEX(' Disaggregation - Section E '!F$7:F558,MATCH(C1440,' Disaggregation - Section E '!A$7:A558,0)+1,1),""),"")</f>
        <v/>
      </c>
      <c r="I1440" s="388" t="str">
        <f ca="1">IFERROR(IF(VLOOKUP(C1440,' Disaggregation - Section E '!A$7:J558,8,0)=0,"",VLOOKUP(C1440,' Disaggregation - Section E '!A$7:J558,8,0)),"")</f>
        <v/>
      </c>
      <c r="J1440" s="388" t="str">
        <f ca="1">IFERROR(IF(VLOOKUP(C1440,' Disaggregation - Section E '!A$7:J558,9,0)="","",VLOOKUP(C1440,' Disaggregation - Section E '!A$7:J558,9,0)),"")</f>
        <v/>
      </c>
      <c r="K1440" s="384" t="str">
        <f ca="1">IFERROR(VLOOKUP(C1440,' Disaggregation - Section E '!A$7:J558,3,0),"")</f>
        <v/>
      </c>
      <c r="L1440" s="388" t="str">
        <f ca="1">IFERROR(IF(VLOOKUP(C1440,' Disaggregation - Section E '!A$7:J558,10,0)="","",VLOOKUP(C1440,' Disaggregation - Section E '!A$7:J558,10,0)),"")</f>
        <v/>
      </c>
      <c r="M1440" s="384" t="str">
        <f ca="1">IFERROR(IF(VLOOKUP(C1440,' Disaggregation - Section E '!A$7:O558,15,0)=0,"",VLOOKUP(C1440,' Disaggregation - Section E '!A$7:O558,15,0)),"")</f>
        <v/>
      </c>
      <c r="N1440" s="384"/>
      <c r="O1440" s="384"/>
    </row>
    <row r="1441" spans="1:15" x14ac:dyDescent="0.3">
      <c r="A1441" s="384" t="b">
        <f t="shared" ca="1" si="133"/>
        <v>0</v>
      </c>
      <c r="B1441" s="384"/>
      <c r="C1441" s="400" t="str">
        <f ca="1">IF(COUNTA(O$1189:O1441)=1,"",OFFSET(B1441,-COUNTA(O$1189:O1441)+1,1))</f>
        <v>a1GDm000000XmmOMAS</v>
      </c>
      <c r="D1441" s="389"/>
      <c r="E1441" s="386" t="str">
        <f ca="1">IFERROR(IF(VLOOKUP(C1441,' Disaggregation - Section E '!A$7:J559,7,0)="","",VLOOKUP(C1441,' Disaggregation - Section E '!A$7:J263,7,0)*100),"")</f>
        <v/>
      </c>
      <c r="F1441" s="388" t="str">
        <f ca="1">IFERROR(IF(VLOOKUP(C1441,' Disaggregation - Section E '!A$7:J559,5,0)=0,"",VLOOKUP(C1441,' Disaggregation - Section E '!A$7:J559,5,0)),"")</f>
        <v/>
      </c>
      <c r="G1441" s="387" t="str">
        <f ca="1">IFERROR(IF(VLOOKUP(C1441,' Disaggregation - Section E '!A$7:J559,6,0)="","",VLOOKUP(C1441,' Disaggregation - Section E '!A$7:J559,6,0)),"")</f>
        <v/>
      </c>
      <c r="H1441" s="387" t="str">
        <f ca="1">IFERROR(IF(INDEX(' Disaggregation - Section E '!F$7:F559,MATCH(C1441,' Disaggregation - Section E '!A$7:A559,0)+1,1)&lt;&gt;0,INDEX(' Disaggregation - Section E '!F$7:F559,MATCH(C1441,' Disaggregation - Section E '!A$7:A559,0)+1,1),""),"")</f>
        <v/>
      </c>
      <c r="I1441" s="388" t="str">
        <f ca="1">IFERROR(IF(VLOOKUP(C1441,' Disaggregation - Section E '!A$7:J559,8,0)=0,"",VLOOKUP(C1441,' Disaggregation - Section E '!A$7:J559,8,0)),"")</f>
        <v/>
      </c>
      <c r="J1441" s="388" t="str">
        <f ca="1">IFERROR(IF(VLOOKUP(C1441,' Disaggregation - Section E '!A$7:J559,9,0)="","",VLOOKUP(C1441,' Disaggregation - Section E '!A$7:J559,9,0)),"")</f>
        <v/>
      </c>
      <c r="K1441" s="384" t="str">
        <f ca="1">IFERROR(VLOOKUP(C1441,' Disaggregation - Section E '!A$7:J559,3,0),"")</f>
        <v/>
      </c>
      <c r="L1441" s="388" t="str">
        <f ca="1">IFERROR(IF(VLOOKUP(C1441,' Disaggregation - Section E '!A$7:J559,10,0)="","",VLOOKUP(C1441,' Disaggregation - Section E '!A$7:J559,10,0)),"")</f>
        <v/>
      </c>
      <c r="M1441" s="384" t="str">
        <f ca="1">IFERROR(IF(VLOOKUP(C1441,' Disaggregation - Section E '!A$7:O559,15,0)=0,"",VLOOKUP(C1441,' Disaggregation - Section E '!A$7:O559,15,0)),"")</f>
        <v/>
      </c>
      <c r="N1441" s="384"/>
      <c r="O1441" s="384"/>
    </row>
    <row r="1442" spans="1:15" x14ac:dyDescent="0.3">
      <c r="A1442" s="384" t="b">
        <f t="shared" ca="1" si="133"/>
        <v>0</v>
      </c>
      <c r="B1442" s="384"/>
      <c r="C1442" s="400" t="str">
        <f ca="1">IF(COUNTA(O$1189:O1442)=1,"",OFFSET(B1442,-COUNTA(O$1189:O1442)+1,1))</f>
        <v>a1GDm000000XmmPMAS</v>
      </c>
      <c r="D1442" s="389"/>
      <c r="E1442" s="386" t="str">
        <f ca="1">IFERROR(IF(VLOOKUP(C1442,' Disaggregation - Section E '!A$7:J560,7,0)="","",VLOOKUP(C1442,' Disaggregation - Section E '!A$7:J264,7,0)*100),"")</f>
        <v/>
      </c>
      <c r="F1442" s="388" t="str">
        <f ca="1">IFERROR(IF(VLOOKUP(C1442,' Disaggregation - Section E '!A$7:J560,5,0)=0,"",VLOOKUP(C1442,' Disaggregation - Section E '!A$7:J560,5,0)),"")</f>
        <v/>
      </c>
      <c r="G1442" s="387" t="str">
        <f ca="1">IFERROR(IF(VLOOKUP(C1442,' Disaggregation - Section E '!A$7:J560,6,0)="","",VLOOKUP(C1442,' Disaggregation - Section E '!A$7:J560,6,0)),"")</f>
        <v/>
      </c>
      <c r="H1442" s="387" t="str">
        <f ca="1">IFERROR(IF(INDEX(' Disaggregation - Section E '!F$7:F560,MATCH(C1442,' Disaggregation - Section E '!A$7:A560,0)+1,1)&lt;&gt;0,INDEX(' Disaggregation - Section E '!F$7:F560,MATCH(C1442,' Disaggregation - Section E '!A$7:A560,0)+1,1),""),"")</f>
        <v/>
      </c>
      <c r="I1442" s="388" t="str">
        <f ca="1">IFERROR(IF(VLOOKUP(C1442,' Disaggregation - Section E '!A$7:J560,8,0)=0,"",VLOOKUP(C1442,' Disaggregation - Section E '!A$7:J560,8,0)),"")</f>
        <v/>
      </c>
      <c r="J1442" s="388" t="str">
        <f ca="1">IFERROR(IF(VLOOKUP(C1442,' Disaggregation - Section E '!A$7:J560,9,0)="","",VLOOKUP(C1442,' Disaggregation - Section E '!A$7:J560,9,0)),"")</f>
        <v/>
      </c>
      <c r="K1442" s="384" t="str">
        <f ca="1">IFERROR(VLOOKUP(C1442,' Disaggregation - Section E '!A$7:J560,3,0),"")</f>
        <v/>
      </c>
      <c r="L1442" s="388" t="str">
        <f ca="1">IFERROR(IF(VLOOKUP(C1442,' Disaggregation - Section E '!A$7:J560,10,0)="","",VLOOKUP(C1442,' Disaggregation - Section E '!A$7:J560,10,0)),"")</f>
        <v/>
      </c>
      <c r="M1442" s="384" t="str">
        <f ca="1">IFERROR(IF(VLOOKUP(C1442,' Disaggregation - Section E '!A$7:O560,15,0)=0,"",VLOOKUP(C1442,' Disaggregation - Section E '!A$7:O560,15,0)),"")</f>
        <v/>
      </c>
      <c r="N1442" s="384"/>
      <c r="O1442" s="384"/>
    </row>
    <row r="1443" spans="1:15" x14ac:dyDescent="0.3">
      <c r="A1443" s="384" t="b">
        <f t="shared" ca="1" si="133"/>
        <v>0</v>
      </c>
      <c r="B1443" s="384"/>
      <c r="C1443" s="400" t="str">
        <f ca="1">IF(COUNTA(O$1189:O1443)=1,"",OFFSET(B1443,-COUNTA(O$1189:O1443)+1,1))</f>
        <v>a1GDm000000XmmQMAS</v>
      </c>
      <c r="D1443" s="389"/>
      <c r="E1443" s="386" t="str">
        <f ca="1">IFERROR(IF(VLOOKUP(C1443,' Disaggregation - Section E '!A$7:J561,7,0)="","",VLOOKUP(C1443,' Disaggregation - Section E '!A$7:J265,7,0)*100),"")</f>
        <v/>
      </c>
      <c r="F1443" s="388" t="str">
        <f ca="1">IFERROR(IF(VLOOKUP(C1443,' Disaggregation - Section E '!A$7:J561,5,0)=0,"",VLOOKUP(C1443,' Disaggregation - Section E '!A$7:J561,5,0)),"")</f>
        <v/>
      </c>
      <c r="G1443" s="387" t="str">
        <f ca="1">IFERROR(IF(VLOOKUP(C1443,' Disaggregation - Section E '!A$7:J561,6,0)="","",VLOOKUP(C1443,' Disaggregation - Section E '!A$7:J561,6,0)),"")</f>
        <v/>
      </c>
      <c r="H1443" s="387" t="str">
        <f ca="1">IFERROR(IF(INDEX(' Disaggregation - Section E '!F$7:F561,MATCH(C1443,' Disaggregation - Section E '!A$7:A561,0)+1,1)&lt;&gt;0,INDEX(' Disaggregation - Section E '!F$7:F561,MATCH(C1443,' Disaggregation - Section E '!A$7:A561,0)+1,1),""),"")</f>
        <v/>
      </c>
      <c r="I1443" s="388" t="str">
        <f ca="1">IFERROR(IF(VLOOKUP(C1443,' Disaggregation - Section E '!A$7:J561,8,0)=0,"",VLOOKUP(C1443,' Disaggregation - Section E '!A$7:J561,8,0)),"")</f>
        <v/>
      </c>
      <c r="J1443" s="388" t="str">
        <f ca="1">IFERROR(IF(VLOOKUP(C1443,' Disaggregation - Section E '!A$7:J561,9,0)="","",VLOOKUP(C1443,' Disaggregation - Section E '!A$7:J561,9,0)),"")</f>
        <v/>
      </c>
      <c r="K1443" s="384" t="str">
        <f ca="1">IFERROR(VLOOKUP(C1443,' Disaggregation - Section E '!A$7:J561,3,0),"")</f>
        <v/>
      </c>
      <c r="L1443" s="388" t="str">
        <f ca="1">IFERROR(IF(VLOOKUP(C1443,' Disaggregation - Section E '!A$7:J561,10,0)="","",VLOOKUP(C1443,' Disaggregation - Section E '!A$7:J561,10,0)),"")</f>
        <v/>
      </c>
      <c r="M1443" s="384" t="str">
        <f ca="1">IFERROR(IF(VLOOKUP(C1443,' Disaggregation - Section E '!A$7:O561,15,0)=0,"",VLOOKUP(C1443,' Disaggregation - Section E '!A$7:O561,15,0)),"")</f>
        <v/>
      </c>
      <c r="N1443" s="384"/>
      <c r="O1443" s="384"/>
    </row>
    <row r="1444" spans="1:15" x14ac:dyDescent="0.3">
      <c r="A1444" s="384" t="b">
        <f t="shared" ca="1" si="133"/>
        <v>0</v>
      </c>
      <c r="B1444" s="384"/>
      <c r="C1444" s="400" t="str">
        <f ca="1">IF(COUNTA(O$1189:O1444)=1,"",OFFSET(B1444,-COUNTA(O$1189:O1444)+1,1))</f>
        <v>a1GDm000000XmmRMAS</v>
      </c>
      <c r="D1444" s="389"/>
      <c r="E1444" s="386" t="str">
        <f ca="1">IFERROR(IF(VLOOKUP(C1444,' Disaggregation - Section E '!A$7:J562,7,0)="","",VLOOKUP(C1444,' Disaggregation - Section E '!A$7:J266,7,0)*100),"")</f>
        <v/>
      </c>
      <c r="F1444" s="388" t="str">
        <f ca="1">IFERROR(IF(VLOOKUP(C1444,' Disaggregation - Section E '!A$7:J562,5,0)=0,"",VLOOKUP(C1444,' Disaggregation - Section E '!A$7:J562,5,0)),"")</f>
        <v/>
      </c>
      <c r="G1444" s="387" t="str">
        <f ca="1">IFERROR(IF(VLOOKUP(C1444,' Disaggregation - Section E '!A$7:J562,6,0)="","",VLOOKUP(C1444,' Disaggregation - Section E '!A$7:J562,6,0)),"")</f>
        <v/>
      </c>
      <c r="H1444" s="387" t="str">
        <f ca="1">IFERROR(IF(INDEX(' Disaggregation - Section E '!F$7:F562,MATCH(C1444,' Disaggregation - Section E '!A$7:A562,0)+1,1)&lt;&gt;0,INDEX(' Disaggregation - Section E '!F$7:F562,MATCH(C1444,' Disaggregation - Section E '!A$7:A562,0)+1,1),""),"")</f>
        <v/>
      </c>
      <c r="I1444" s="388" t="str">
        <f ca="1">IFERROR(IF(VLOOKUP(C1444,' Disaggregation - Section E '!A$7:J562,8,0)=0,"",VLOOKUP(C1444,' Disaggregation - Section E '!A$7:J562,8,0)),"")</f>
        <v/>
      </c>
      <c r="J1444" s="388" t="str">
        <f ca="1">IFERROR(IF(VLOOKUP(C1444,' Disaggregation - Section E '!A$7:J562,9,0)="","",VLOOKUP(C1444,' Disaggregation - Section E '!A$7:J562,9,0)),"")</f>
        <v/>
      </c>
      <c r="K1444" s="384" t="str">
        <f ca="1">IFERROR(VLOOKUP(C1444,' Disaggregation - Section E '!A$7:J562,3,0),"")</f>
        <v/>
      </c>
      <c r="L1444" s="388" t="str">
        <f ca="1">IFERROR(IF(VLOOKUP(C1444,' Disaggregation - Section E '!A$7:J562,10,0)="","",VLOOKUP(C1444,' Disaggregation - Section E '!A$7:J562,10,0)),"")</f>
        <v/>
      </c>
      <c r="M1444" s="384" t="str">
        <f ca="1">IFERROR(IF(VLOOKUP(C1444,' Disaggregation - Section E '!A$7:O562,15,0)=0,"",VLOOKUP(C1444,' Disaggregation - Section E '!A$7:O562,15,0)),"")</f>
        <v/>
      </c>
      <c r="N1444" s="384"/>
      <c r="O1444" s="384"/>
    </row>
    <row r="1445" spans="1:15" x14ac:dyDescent="0.3">
      <c r="A1445" s="384" t="b">
        <f t="shared" ca="1" si="133"/>
        <v>0</v>
      </c>
      <c r="B1445" s="384"/>
      <c r="C1445" s="400" t="str">
        <f ca="1">IF(COUNTA(O$1189:O1445)=1,"",OFFSET(B1445,-COUNTA(O$1189:O1445)+1,1))</f>
        <v>a1GDm000000XmmSMAS</v>
      </c>
      <c r="D1445" s="389"/>
      <c r="E1445" s="386" t="str">
        <f ca="1">IFERROR(IF(VLOOKUP(C1445,' Disaggregation - Section E '!A$7:J563,7,0)="","",VLOOKUP(C1445,' Disaggregation - Section E '!A$7:J267,7,0)*100),"")</f>
        <v/>
      </c>
      <c r="F1445" s="388" t="str">
        <f ca="1">IFERROR(IF(VLOOKUP(C1445,' Disaggregation - Section E '!A$7:J563,5,0)=0,"",VLOOKUP(C1445,' Disaggregation - Section E '!A$7:J563,5,0)),"")</f>
        <v/>
      </c>
      <c r="G1445" s="387" t="str">
        <f ca="1">IFERROR(IF(VLOOKUP(C1445,' Disaggregation - Section E '!A$7:J563,6,0)="","",VLOOKUP(C1445,' Disaggregation - Section E '!A$7:J563,6,0)),"")</f>
        <v/>
      </c>
      <c r="H1445" s="387" t="str">
        <f ca="1">IFERROR(IF(INDEX(' Disaggregation - Section E '!F$7:F563,MATCH(C1445,' Disaggregation - Section E '!A$7:A563,0)+1,1)&lt;&gt;0,INDEX(' Disaggregation - Section E '!F$7:F563,MATCH(C1445,' Disaggregation - Section E '!A$7:A563,0)+1,1),""),"")</f>
        <v/>
      </c>
      <c r="I1445" s="388" t="str">
        <f ca="1">IFERROR(IF(VLOOKUP(C1445,' Disaggregation - Section E '!A$7:J563,8,0)=0,"",VLOOKUP(C1445,' Disaggregation - Section E '!A$7:J563,8,0)),"")</f>
        <v/>
      </c>
      <c r="J1445" s="388" t="str">
        <f ca="1">IFERROR(IF(VLOOKUP(C1445,' Disaggregation - Section E '!A$7:J563,9,0)="","",VLOOKUP(C1445,' Disaggregation - Section E '!A$7:J563,9,0)),"")</f>
        <v/>
      </c>
      <c r="K1445" s="384" t="str">
        <f ca="1">IFERROR(VLOOKUP(C1445,' Disaggregation - Section E '!A$7:J563,3,0),"")</f>
        <v/>
      </c>
      <c r="L1445" s="388" t="str">
        <f ca="1">IFERROR(IF(VLOOKUP(C1445,' Disaggregation - Section E '!A$7:J563,10,0)="","",VLOOKUP(C1445,' Disaggregation - Section E '!A$7:J563,10,0)),"")</f>
        <v/>
      </c>
      <c r="M1445" s="384" t="str">
        <f ca="1">IFERROR(IF(VLOOKUP(C1445,' Disaggregation - Section E '!A$7:O563,15,0)=0,"",VLOOKUP(C1445,' Disaggregation - Section E '!A$7:O563,15,0)),"")</f>
        <v/>
      </c>
      <c r="N1445" s="384"/>
      <c r="O1445" s="384"/>
    </row>
    <row r="1446" spans="1:15" x14ac:dyDescent="0.3">
      <c r="A1446" s="384" t="b">
        <f t="shared" ca="1" si="133"/>
        <v>0</v>
      </c>
      <c r="B1446" s="384"/>
      <c r="C1446" s="400" t="str">
        <f ca="1">IF(COUNTA(O$1189:O1446)=1,"",OFFSET(B1446,-COUNTA(O$1189:O1446)+1,1))</f>
        <v>a1GDm000000XmmTMAS</v>
      </c>
      <c r="D1446" s="389"/>
      <c r="E1446" s="386" t="str">
        <f ca="1">IFERROR(IF(VLOOKUP(C1446,' Disaggregation - Section E '!A$7:J564,7,0)="","",VLOOKUP(C1446,' Disaggregation - Section E '!A$7:J268,7,0)*100),"")</f>
        <v/>
      </c>
      <c r="F1446" s="388" t="str">
        <f ca="1">IFERROR(IF(VLOOKUP(C1446,' Disaggregation - Section E '!A$7:J564,5,0)=0,"",VLOOKUP(C1446,' Disaggregation - Section E '!A$7:J564,5,0)),"")</f>
        <v/>
      </c>
      <c r="G1446" s="387" t="str">
        <f ca="1">IFERROR(IF(VLOOKUP(C1446,' Disaggregation - Section E '!A$7:J564,6,0)="","",VLOOKUP(C1446,' Disaggregation - Section E '!A$7:J564,6,0)),"")</f>
        <v/>
      </c>
      <c r="H1446" s="387" t="str">
        <f ca="1">IFERROR(IF(INDEX(' Disaggregation - Section E '!F$7:F564,MATCH(C1446,' Disaggregation - Section E '!A$7:A564,0)+1,1)&lt;&gt;0,INDEX(' Disaggregation - Section E '!F$7:F564,MATCH(C1446,' Disaggregation - Section E '!A$7:A564,0)+1,1),""),"")</f>
        <v/>
      </c>
      <c r="I1446" s="388" t="str">
        <f ca="1">IFERROR(IF(VLOOKUP(C1446,' Disaggregation - Section E '!A$7:J564,8,0)=0,"",VLOOKUP(C1446,' Disaggregation - Section E '!A$7:J564,8,0)),"")</f>
        <v/>
      </c>
      <c r="J1446" s="388" t="str">
        <f ca="1">IFERROR(IF(VLOOKUP(C1446,' Disaggregation - Section E '!A$7:J564,9,0)="","",VLOOKUP(C1446,' Disaggregation - Section E '!A$7:J564,9,0)),"")</f>
        <v/>
      </c>
      <c r="K1446" s="384" t="str">
        <f ca="1">IFERROR(VLOOKUP(C1446,' Disaggregation - Section E '!A$7:J564,3,0),"")</f>
        <v/>
      </c>
      <c r="L1446" s="388" t="str">
        <f ca="1">IFERROR(IF(VLOOKUP(C1446,' Disaggregation - Section E '!A$7:J564,10,0)="","",VLOOKUP(C1446,' Disaggregation - Section E '!A$7:J564,10,0)),"")</f>
        <v/>
      </c>
      <c r="M1446" s="384" t="str">
        <f ca="1">IFERROR(IF(VLOOKUP(C1446,' Disaggregation - Section E '!A$7:O564,15,0)=0,"",VLOOKUP(C1446,' Disaggregation - Section E '!A$7:O564,15,0)),"")</f>
        <v/>
      </c>
      <c r="N1446" s="384"/>
      <c r="O1446" s="384"/>
    </row>
    <row r="1447" spans="1:15" x14ac:dyDescent="0.3">
      <c r="A1447" s="384" t="b">
        <f t="shared" ca="1" si="133"/>
        <v>0</v>
      </c>
      <c r="B1447" s="384"/>
      <c r="C1447" s="400" t="str">
        <f ca="1">IF(COUNTA(O$1189:O1447)=1,"",OFFSET(B1447,-COUNTA(O$1189:O1447)+1,1))</f>
        <v>a1GDm000000XmmUMAS</v>
      </c>
      <c r="D1447" s="389"/>
      <c r="E1447" s="386" t="str">
        <f ca="1">IFERROR(IF(VLOOKUP(C1447,' Disaggregation - Section E '!A$7:J565,7,0)="","",VLOOKUP(C1447,' Disaggregation - Section E '!A$7:J269,7,0)*100),"")</f>
        <v/>
      </c>
      <c r="F1447" s="388" t="str">
        <f ca="1">IFERROR(IF(VLOOKUP(C1447,' Disaggregation - Section E '!A$7:J565,5,0)=0,"",VLOOKUP(C1447,' Disaggregation - Section E '!A$7:J565,5,0)),"")</f>
        <v/>
      </c>
      <c r="G1447" s="387" t="str">
        <f ca="1">IFERROR(IF(VLOOKUP(C1447,' Disaggregation - Section E '!A$7:J565,6,0)="","",VLOOKUP(C1447,' Disaggregation - Section E '!A$7:J565,6,0)),"")</f>
        <v/>
      </c>
      <c r="H1447" s="387" t="str">
        <f ca="1">IFERROR(IF(INDEX(' Disaggregation - Section E '!F$7:F565,MATCH(C1447,' Disaggregation - Section E '!A$7:A565,0)+1,1)&lt;&gt;0,INDEX(' Disaggregation - Section E '!F$7:F565,MATCH(C1447,' Disaggregation - Section E '!A$7:A565,0)+1,1),""),"")</f>
        <v/>
      </c>
      <c r="I1447" s="388" t="str">
        <f ca="1">IFERROR(IF(VLOOKUP(C1447,' Disaggregation - Section E '!A$7:J565,8,0)=0,"",VLOOKUP(C1447,' Disaggregation - Section E '!A$7:J565,8,0)),"")</f>
        <v/>
      </c>
      <c r="J1447" s="388" t="str">
        <f ca="1">IFERROR(IF(VLOOKUP(C1447,' Disaggregation - Section E '!A$7:J565,9,0)="","",VLOOKUP(C1447,' Disaggregation - Section E '!A$7:J565,9,0)),"")</f>
        <v/>
      </c>
      <c r="K1447" s="384" t="str">
        <f ca="1">IFERROR(VLOOKUP(C1447,' Disaggregation - Section E '!A$7:J565,3,0),"")</f>
        <v/>
      </c>
      <c r="L1447" s="388" t="str">
        <f ca="1">IFERROR(IF(VLOOKUP(C1447,' Disaggregation - Section E '!A$7:J565,10,0)="","",VLOOKUP(C1447,' Disaggregation - Section E '!A$7:J565,10,0)),"")</f>
        <v/>
      </c>
      <c r="M1447" s="384" t="str">
        <f ca="1">IFERROR(IF(VLOOKUP(C1447,' Disaggregation - Section E '!A$7:O565,15,0)=0,"",VLOOKUP(C1447,' Disaggregation - Section E '!A$7:O565,15,0)),"")</f>
        <v/>
      </c>
      <c r="N1447" s="384"/>
      <c r="O1447" s="384"/>
    </row>
    <row r="1448" spans="1:15" x14ac:dyDescent="0.3">
      <c r="A1448" s="384" t="b">
        <f t="shared" ca="1" si="133"/>
        <v>0</v>
      </c>
      <c r="B1448" s="384"/>
      <c r="C1448" s="400" t="str">
        <f ca="1">IF(COUNTA(O$1189:O1448)=1,"",OFFSET(B1448,-COUNTA(O$1189:O1448)+1,1))</f>
        <v>a1GDm000000XmmVMAS</v>
      </c>
      <c r="D1448" s="389"/>
      <c r="E1448" s="386" t="str">
        <f ca="1">IFERROR(IF(VLOOKUP(C1448,' Disaggregation - Section E '!A$7:J566,7,0)="","",VLOOKUP(C1448,' Disaggregation - Section E '!A$7:J270,7,0)*100),"")</f>
        <v/>
      </c>
      <c r="F1448" s="388" t="str">
        <f ca="1">IFERROR(IF(VLOOKUP(C1448,' Disaggregation - Section E '!A$7:J566,5,0)=0,"",VLOOKUP(C1448,' Disaggregation - Section E '!A$7:J566,5,0)),"")</f>
        <v/>
      </c>
      <c r="G1448" s="387" t="str">
        <f ca="1">IFERROR(IF(VLOOKUP(C1448,' Disaggregation - Section E '!A$7:J566,6,0)="","",VLOOKUP(C1448,' Disaggregation - Section E '!A$7:J566,6,0)),"")</f>
        <v/>
      </c>
      <c r="H1448" s="387" t="str">
        <f ca="1">IFERROR(IF(INDEX(' Disaggregation - Section E '!F$7:F566,MATCH(C1448,' Disaggregation - Section E '!A$7:A566,0)+1,1)&lt;&gt;0,INDEX(' Disaggregation - Section E '!F$7:F566,MATCH(C1448,' Disaggregation - Section E '!A$7:A566,0)+1,1),""),"")</f>
        <v/>
      </c>
      <c r="I1448" s="388" t="str">
        <f ca="1">IFERROR(IF(VLOOKUP(C1448,' Disaggregation - Section E '!A$7:J566,8,0)=0,"",VLOOKUP(C1448,' Disaggregation - Section E '!A$7:J566,8,0)),"")</f>
        <v/>
      </c>
      <c r="J1448" s="388" t="str">
        <f ca="1">IFERROR(IF(VLOOKUP(C1448,' Disaggregation - Section E '!A$7:J566,9,0)="","",VLOOKUP(C1448,' Disaggregation - Section E '!A$7:J566,9,0)),"")</f>
        <v/>
      </c>
      <c r="K1448" s="384" t="str">
        <f ca="1">IFERROR(VLOOKUP(C1448,' Disaggregation - Section E '!A$7:J566,3,0),"")</f>
        <v/>
      </c>
      <c r="L1448" s="388" t="str">
        <f ca="1">IFERROR(IF(VLOOKUP(C1448,' Disaggregation - Section E '!A$7:J566,10,0)="","",VLOOKUP(C1448,' Disaggregation - Section E '!A$7:J566,10,0)),"")</f>
        <v/>
      </c>
      <c r="M1448" s="384" t="str">
        <f ca="1">IFERROR(IF(VLOOKUP(C1448,' Disaggregation - Section E '!A$7:O566,15,0)=0,"",VLOOKUP(C1448,' Disaggregation - Section E '!A$7:O566,15,0)),"")</f>
        <v/>
      </c>
      <c r="N1448" s="384"/>
      <c r="O1448" s="384"/>
    </row>
    <row r="1449" spans="1:15" x14ac:dyDescent="0.3">
      <c r="A1449" s="384" t="b">
        <f t="shared" ca="1" si="133"/>
        <v>0</v>
      </c>
      <c r="B1449" s="384"/>
      <c r="C1449" s="400" t="str">
        <f ca="1">IF(COUNTA(O$1189:O1449)=1,"",OFFSET(B1449,-COUNTA(O$1189:O1449)+1,1))</f>
        <v>a1GDm000000XmmWMAS</v>
      </c>
      <c r="D1449" s="389"/>
      <c r="E1449" s="386" t="str">
        <f ca="1">IFERROR(IF(VLOOKUP(C1449,' Disaggregation - Section E '!A$7:J567,7,0)="","",VLOOKUP(C1449,' Disaggregation - Section E '!A$7:J271,7,0)*100),"")</f>
        <v/>
      </c>
      <c r="F1449" s="388" t="str">
        <f ca="1">IFERROR(IF(VLOOKUP(C1449,' Disaggregation - Section E '!A$7:J567,5,0)=0,"",VLOOKUP(C1449,' Disaggregation - Section E '!A$7:J567,5,0)),"")</f>
        <v/>
      </c>
      <c r="G1449" s="387" t="str">
        <f ca="1">IFERROR(IF(VLOOKUP(C1449,' Disaggregation - Section E '!A$7:J567,6,0)="","",VLOOKUP(C1449,' Disaggregation - Section E '!A$7:J567,6,0)),"")</f>
        <v/>
      </c>
      <c r="H1449" s="387" t="str">
        <f ca="1">IFERROR(IF(INDEX(' Disaggregation - Section E '!F$7:F567,MATCH(C1449,' Disaggregation - Section E '!A$7:A567,0)+1,1)&lt;&gt;0,INDEX(' Disaggregation - Section E '!F$7:F567,MATCH(C1449,' Disaggregation - Section E '!A$7:A567,0)+1,1),""),"")</f>
        <v/>
      </c>
      <c r="I1449" s="388" t="str">
        <f ca="1">IFERROR(IF(VLOOKUP(C1449,' Disaggregation - Section E '!A$7:J567,8,0)=0,"",VLOOKUP(C1449,' Disaggregation - Section E '!A$7:J567,8,0)),"")</f>
        <v/>
      </c>
      <c r="J1449" s="388" t="str">
        <f ca="1">IFERROR(IF(VLOOKUP(C1449,' Disaggregation - Section E '!A$7:J567,9,0)="","",VLOOKUP(C1449,' Disaggregation - Section E '!A$7:J567,9,0)),"")</f>
        <v/>
      </c>
      <c r="K1449" s="384" t="str">
        <f ca="1">IFERROR(VLOOKUP(C1449,' Disaggregation - Section E '!A$7:J567,3,0),"")</f>
        <v/>
      </c>
      <c r="L1449" s="388" t="str">
        <f ca="1">IFERROR(IF(VLOOKUP(C1449,' Disaggregation - Section E '!A$7:J567,10,0)="","",VLOOKUP(C1449,' Disaggregation - Section E '!A$7:J567,10,0)),"")</f>
        <v/>
      </c>
      <c r="M1449" s="384" t="str">
        <f ca="1">IFERROR(IF(VLOOKUP(C1449,' Disaggregation - Section E '!A$7:O567,15,0)=0,"",VLOOKUP(C1449,' Disaggregation - Section E '!A$7:O567,15,0)),"")</f>
        <v/>
      </c>
      <c r="N1449" s="384"/>
      <c r="O1449" s="384"/>
    </row>
    <row r="1450" spans="1:15" x14ac:dyDescent="0.3">
      <c r="A1450" s="384" t="b">
        <f t="shared" ca="1" si="133"/>
        <v>0</v>
      </c>
      <c r="B1450" s="384"/>
      <c r="C1450" s="400" t="str">
        <f ca="1">IF(COUNTA(O$1189:O1450)=1,"",OFFSET(B1450,-COUNTA(O$1189:O1450)+1,1))</f>
        <v>a1GDm000000XmmXMAS</v>
      </c>
      <c r="D1450" s="389"/>
      <c r="E1450" s="386" t="str">
        <f ca="1">IFERROR(IF(VLOOKUP(C1450,' Disaggregation - Section E '!A$7:J568,7,0)="","",VLOOKUP(C1450,' Disaggregation - Section E '!A$7:J272,7,0)*100),"")</f>
        <v/>
      </c>
      <c r="F1450" s="388" t="str">
        <f ca="1">IFERROR(IF(VLOOKUP(C1450,' Disaggregation - Section E '!A$7:J568,5,0)=0,"",VLOOKUP(C1450,' Disaggregation - Section E '!A$7:J568,5,0)),"")</f>
        <v/>
      </c>
      <c r="G1450" s="387" t="str">
        <f ca="1">IFERROR(IF(VLOOKUP(C1450,' Disaggregation - Section E '!A$7:J568,6,0)="","",VLOOKUP(C1450,' Disaggregation - Section E '!A$7:J568,6,0)),"")</f>
        <v/>
      </c>
      <c r="H1450" s="387" t="str">
        <f ca="1">IFERROR(IF(INDEX(' Disaggregation - Section E '!F$7:F568,MATCH(C1450,' Disaggregation - Section E '!A$7:A568,0)+1,1)&lt;&gt;0,INDEX(' Disaggregation - Section E '!F$7:F568,MATCH(C1450,' Disaggregation - Section E '!A$7:A568,0)+1,1),""),"")</f>
        <v/>
      </c>
      <c r="I1450" s="388" t="str">
        <f ca="1">IFERROR(IF(VLOOKUP(C1450,' Disaggregation - Section E '!A$7:J568,8,0)=0,"",VLOOKUP(C1450,' Disaggregation - Section E '!A$7:J568,8,0)),"")</f>
        <v/>
      </c>
      <c r="J1450" s="388" t="str">
        <f ca="1">IFERROR(IF(VLOOKUP(C1450,' Disaggregation - Section E '!A$7:J568,9,0)="","",VLOOKUP(C1450,' Disaggregation - Section E '!A$7:J568,9,0)),"")</f>
        <v/>
      </c>
      <c r="K1450" s="384" t="str">
        <f ca="1">IFERROR(VLOOKUP(C1450,' Disaggregation - Section E '!A$7:J568,3,0),"")</f>
        <v/>
      </c>
      <c r="L1450" s="388" t="str">
        <f ca="1">IFERROR(IF(VLOOKUP(C1450,' Disaggregation - Section E '!A$7:J568,10,0)="","",VLOOKUP(C1450,' Disaggregation - Section E '!A$7:J568,10,0)),"")</f>
        <v/>
      </c>
      <c r="M1450" s="384" t="str">
        <f ca="1">IFERROR(IF(VLOOKUP(C1450,' Disaggregation - Section E '!A$7:O568,15,0)=0,"",VLOOKUP(C1450,' Disaggregation - Section E '!A$7:O568,15,0)),"")</f>
        <v/>
      </c>
      <c r="N1450" s="384"/>
      <c r="O1450" s="384"/>
    </row>
    <row r="1451" spans="1:15" x14ac:dyDescent="0.3">
      <c r="A1451" s="384" t="b">
        <f t="shared" ca="1" si="133"/>
        <v>0</v>
      </c>
      <c r="B1451" s="384"/>
      <c r="C1451" s="400" t="str">
        <f ca="1">IF(COUNTA(O$1189:O1451)=1,"",OFFSET(B1451,-COUNTA(O$1189:O1451)+1,1))</f>
        <v>a1GDm000000XmmYMAS</v>
      </c>
      <c r="D1451" s="389"/>
      <c r="E1451" s="386" t="str">
        <f ca="1">IFERROR(IF(VLOOKUP(C1451,' Disaggregation - Section E '!A$7:J569,7,0)="","",VLOOKUP(C1451,' Disaggregation - Section E '!A$7:J273,7,0)*100),"")</f>
        <v/>
      </c>
      <c r="F1451" s="388" t="str">
        <f ca="1">IFERROR(IF(VLOOKUP(C1451,' Disaggregation - Section E '!A$7:J569,5,0)=0,"",VLOOKUP(C1451,' Disaggregation - Section E '!A$7:J569,5,0)),"")</f>
        <v/>
      </c>
      <c r="G1451" s="387" t="str">
        <f ca="1">IFERROR(IF(VLOOKUP(C1451,' Disaggregation - Section E '!A$7:J569,6,0)="","",VLOOKUP(C1451,' Disaggregation - Section E '!A$7:J569,6,0)),"")</f>
        <v/>
      </c>
      <c r="H1451" s="387" t="str">
        <f ca="1">IFERROR(IF(INDEX(' Disaggregation - Section E '!F$7:F569,MATCH(C1451,' Disaggregation - Section E '!A$7:A569,0)+1,1)&lt;&gt;0,INDEX(' Disaggregation - Section E '!F$7:F569,MATCH(C1451,' Disaggregation - Section E '!A$7:A569,0)+1,1),""),"")</f>
        <v/>
      </c>
      <c r="I1451" s="388" t="str">
        <f ca="1">IFERROR(IF(VLOOKUP(C1451,' Disaggregation - Section E '!A$7:J569,8,0)=0,"",VLOOKUP(C1451,' Disaggregation - Section E '!A$7:J569,8,0)),"")</f>
        <v/>
      </c>
      <c r="J1451" s="388" t="str">
        <f ca="1">IFERROR(IF(VLOOKUP(C1451,' Disaggregation - Section E '!A$7:J569,9,0)="","",VLOOKUP(C1451,' Disaggregation - Section E '!A$7:J569,9,0)),"")</f>
        <v/>
      </c>
      <c r="K1451" s="384" t="str">
        <f ca="1">IFERROR(VLOOKUP(C1451,' Disaggregation - Section E '!A$7:J569,3,0),"")</f>
        <v/>
      </c>
      <c r="L1451" s="388" t="str">
        <f ca="1">IFERROR(IF(VLOOKUP(C1451,' Disaggregation - Section E '!A$7:J569,10,0)="","",VLOOKUP(C1451,' Disaggregation - Section E '!A$7:J569,10,0)),"")</f>
        <v/>
      </c>
      <c r="M1451" s="384" t="str">
        <f ca="1">IFERROR(IF(VLOOKUP(C1451,' Disaggregation - Section E '!A$7:O569,15,0)=0,"",VLOOKUP(C1451,' Disaggregation - Section E '!A$7:O569,15,0)),"")</f>
        <v/>
      </c>
      <c r="N1451" s="384"/>
      <c r="O1451" s="384"/>
    </row>
    <row r="1452" spans="1:15" x14ac:dyDescent="0.3">
      <c r="A1452" s="384" t="b">
        <f t="shared" ca="1" si="133"/>
        <v>0</v>
      </c>
      <c r="B1452" s="384"/>
      <c r="C1452" s="400" t="str">
        <f ca="1">IF(COUNTA(O$1189:O1452)=1,"",OFFSET(B1452,-COUNTA(O$1189:O1452)+1,1))</f>
        <v>a1GDm000000XmmZMAS</v>
      </c>
      <c r="D1452" s="389"/>
      <c r="E1452" s="386" t="str">
        <f ca="1">IFERROR(IF(VLOOKUP(C1452,' Disaggregation - Section E '!A$7:J570,7,0)="","",VLOOKUP(C1452,' Disaggregation - Section E '!A$7:J274,7,0)*100),"")</f>
        <v/>
      </c>
      <c r="F1452" s="388" t="str">
        <f ca="1">IFERROR(IF(VLOOKUP(C1452,' Disaggregation - Section E '!A$7:J570,5,0)=0,"",VLOOKUP(C1452,' Disaggregation - Section E '!A$7:J570,5,0)),"")</f>
        <v/>
      </c>
      <c r="G1452" s="387" t="str">
        <f ca="1">IFERROR(IF(VLOOKUP(C1452,' Disaggregation - Section E '!A$7:J570,6,0)="","",VLOOKUP(C1452,' Disaggregation - Section E '!A$7:J570,6,0)),"")</f>
        <v/>
      </c>
      <c r="H1452" s="387" t="str">
        <f ca="1">IFERROR(IF(INDEX(' Disaggregation - Section E '!F$7:F570,MATCH(C1452,' Disaggregation - Section E '!A$7:A570,0)+1,1)&lt;&gt;0,INDEX(' Disaggregation - Section E '!F$7:F570,MATCH(C1452,' Disaggregation - Section E '!A$7:A570,0)+1,1),""),"")</f>
        <v/>
      </c>
      <c r="I1452" s="388" t="str">
        <f ca="1">IFERROR(IF(VLOOKUP(C1452,' Disaggregation - Section E '!A$7:J570,8,0)=0,"",VLOOKUP(C1452,' Disaggregation - Section E '!A$7:J570,8,0)),"")</f>
        <v/>
      </c>
      <c r="J1452" s="388" t="str">
        <f ca="1">IFERROR(IF(VLOOKUP(C1452,' Disaggregation - Section E '!A$7:J570,9,0)="","",VLOOKUP(C1452,' Disaggregation - Section E '!A$7:J570,9,0)),"")</f>
        <v/>
      </c>
      <c r="K1452" s="384" t="str">
        <f ca="1">IFERROR(VLOOKUP(C1452,' Disaggregation - Section E '!A$7:J570,3,0),"")</f>
        <v/>
      </c>
      <c r="L1452" s="388" t="str">
        <f ca="1">IFERROR(IF(VLOOKUP(C1452,' Disaggregation - Section E '!A$7:J570,10,0)="","",VLOOKUP(C1452,' Disaggregation - Section E '!A$7:J570,10,0)),"")</f>
        <v/>
      </c>
      <c r="M1452" s="384" t="str">
        <f ca="1">IFERROR(IF(VLOOKUP(C1452,' Disaggregation - Section E '!A$7:O570,15,0)=0,"",VLOOKUP(C1452,' Disaggregation - Section E '!A$7:O570,15,0)),"")</f>
        <v/>
      </c>
      <c r="N1452" s="384"/>
      <c r="O1452" s="384"/>
    </row>
    <row r="1453" spans="1:15" x14ac:dyDescent="0.3">
      <c r="A1453" s="384" t="b">
        <f t="shared" ca="1" si="133"/>
        <v>0</v>
      </c>
      <c r="B1453" s="384"/>
      <c r="C1453" s="400" t="str">
        <f ca="1">IF(COUNTA(O$1189:O1453)=1,"",OFFSET(B1453,-COUNTA(O$1189:O1453)+1,1))</f>
        <v>a1GDm000000XmmaMAC</v>
      </c>
      <c r="D1453" s="389"/>
      <c r="E1453" s="386" t="str">
        <f ca="1">IFERROR(IF(VLOOKUP(C1453,' Disaggregation - Section E '!A$7:J571,7,0)="","",VLOOKUP(C1453,' Disaggregation - Section E '!A$7:J275,7,0)*100),"")</f>
        <v/>
      </c>
      <c r="F1453" s="388" t="str">
        <f ca="1">IFERROR(IF(VLOOKUP(C1453,' Disaggregation - Section E '!A$7:J571,5,0)=0,"",VLOOKUP(C1453,' Disaggregation - Section E '!A$7:J571,5,0)),"")</f>
        <v/>
      </c>
      <c r="G1453" s="387" t="str">
        <f ca="1">IFERROR(IF(VLOOKUP(C1453,' Disaggregation - Section E '!A$7:J571,6,0)="","",VLOOKUP(C1453,' Disaggregation - Section E '!A$7:J571,6,0)),"")</f>
        <v/>
      </c>
      <c r="H1453" s="387" t="str">
        <f ca="1">IFERROR(IF(INDEX(' Disaggregation - Section E '!F$7:F571,MATCH(C1453,' Disaggregation - Section E '!A$7:A571,0)+1,1)&lt;&gt;0,INDEX(' Disaggregation - Section E '!F$7:F571,MATCH(C1453,' Disaggregation - Section E '!A$7:A571,0)+1,1),""),"")</f>
        <v/>
      </c>
      <c r="I1453" s="388" t="str">
        <f ca="1">IFERROR(IF(VLOOKUP(C1453,' Disaggregation - Section E '!A$7:J571,8,0)=0,"",VLOOKUP(C1453,' Disaggregation - Section E '!A$7:J571,8,0)),"")</f>
        <v/>
      </c>
      <c r="J1453" s="388" t="str">
        <f ca="1">IFERROR(IF(VLOOKUP(C1453,' Disaggregation - Section E '!A$7:J571,9,0)="","",VLOOKUP(C1453,' Disaggregation - Section E '!A$7:J571,9,0)),"")</f>
        <v/>
      </c>
      <c r="K1453" s="384" t="str">
        <f ca="1">IFERROR(VLOOKUP(C1453,' Disaggregation - Section E '!A$7:J571,3,0),"")</f>
        <v/>
      </c>
      <c r="L1453" s="388" t="str">
        <f ca="1">IFERROR(IF(VLOOKUP(C1453,' Disaggregation - Section E '!A$7:J571,10,0)="","",VLOOKUP(C1453,' Disaggregation - Section E '!A$7:J571,10,0)),"")</f>
        <v/>
      </c>
      <c r="M1453" s="384" t="str">
        <f ca="1">IFERROR(IF(VLOOKUP(C1453,' Disaggregation - Section E '!A$7:O571,15,0)=0,"",VLOOKUP(C1453,' Disaggregation - Section E '!A$7:O571,15,0)),"")</f>
        <v/>
      </c>
      <c r="N1453" s="384"/>
      <c r="O1453" s="384"/>
    </row>
    <row r="1454" spans="1:15" x14ac:dyDescent="0.3">
      <c r="A1454" s="384" t="b">
        <f t="shared" ca="1" si="133"/>
        <v>0</v>
      </c>
      <c r="B1454" s="384"/>
      <c r="C1454" s="400" t="str">
        <f ca="1">IF(COUNTA(O$1189:O1454)=1,"",OFFSET(B1454,-COUNTA(O$1189:O1454)+1,1))</f>
        <v>a1GDm000000XmmbMAC</v>
      </c>
      <c r="D1454" s="389"/>
      <c r="E1454" s="386" t="str">
        <f ca="1">IFERROR(IF(VLOOKUP(C1454,' Disaggregation - Section E '!A$7:J572,7,0)="","",VLOOKUP(C1454,' Disaggregation - Section E '!A$7:J276,7,0)*100),"")</f>
        <v/>
      </c>
      <c r="F1454" s="388" t="str">
        <f ca="1">IFERROR(IF(VLOOKUP(C1454,' Disaggregation - Section E '!A$7:J572,5,0)=0,"",VLOOKUP(C1454,' Disaggregation - Section E '!A$7:J572,5,0)),"")</f>
        <v/>
      </c>
      <c r="G1454" s="387" t="str">
        <f ca="1">IFERROR(IF(VLOOKUP(C1454,' Disaggregation - Section E '!A$7:J572,6,0)="","",VLOOKUP(C1454,' Disaggregation - Section E '!A$7:J572,6,0)),"")</f>
        <v/>
      </c>
      <c r="H1454" s="387" t="str">
        <f ca="1">IFERROR(IF(INDEX(' Disaggregation - Section E '!F$7:F572,MATCH(C1454,' Disaggregation - Section E '!A$7:A572,0)+1,1)&lt;&gt;0,INDEX(' Disaggregation - Section E '!F$7:F572,MATCH(C1454,' Disaggregation - Section E '!A$7:A572,0)+1,1),""),"")</f>
        <v/>
      </c>
      <c r="I1454" s="388" t="str">
        <f ca="1">IFERROR(IF(VLOOKUP(C1454,' Disaggregation - Section E '!A$7:J572,8,0)=0,"",VLOOKUP(C1454,' Disaggregation - Section E '!A$7:J572,8,0)),"")</f>
        <v/>
      </c>
      <c r="J1454" s="388" t="str">
        <f ca="1">IFERROR(IF(VLOOKUP(C1454,' Disaggregation - Section E '!A$7:J572,9,0)="","",VLOOKUP(C1454,' Disaggregation - Section E '!A$7:J572,9,0)),"")</f>
        <v/>
      </c>
      <c r="K1454" s="384" t="str">
        <f ca="1">IFERROR(VLOOKUP(C1454,' Disaggregation - Section E '!A$7:J572,3,0),"")</f>
        <v/>
      </c>
      <c r="L1454" s="388" t="str">
        <f ca="1">IFERROR(IF(VLOOKUP(C1454,' Disaggregation - Section E '!A$7:J572,10,0)="","",VLOOKUP(C1454,' Disaggregation - Section E '!A$7:J572,10,0)),"")</f>
        <v/>
      </c>
      <c r="M1454" s="384" t="str">
        <f ca="1">IFERROR(IF(VLOOKUP(C1454,' Disaggregation - Section E '!A$7:O572,15,0)=0,"",VLOOKUP(C1454,' Disaggregation - Section E '!A$7:O572,15,0)),"")</f>
        <v/>
      </c>
      <c r="N1454" s="384"/>
      <c r="O1454" s="384"/>
    </row>
    <row r="1455" spans="1:15" x14ac:dyDescent="0.3">
      <c r="A1455" s="384" t="b">
        <f t="shared" ca="1" si="133"/>
        <v>0</v>
      </c>
      <c r="B1455" s="384"/>
      <c r="C1455" s="400" t="str">
        <f ca="1">IF(COUNTA(O$1189:O1455)=1,"",OFFSET(B1455,-COUNTA(O$1189:O1455)+1,1))</f>
        <v>a1GDm000000XmmcMAC</v>
      </c>
      <c r="D1455" s="389"/>
      <c r="E1455" s="386" t="str">
        <f ca="1">IFERROR(IF(VLOOKUP(C1455,' Disaggregation - Section E '!A$7:J573,7,0)="","",VLOOKUP(C1455,' Disaggregation - Section E '!A$7:J277,7,0)*100),"")</f>
        <v/>
      </c>
      <c r="F1455" s="388" t="str">
        <f ca="1">IFERROR(IF(VLOOKUP(C1455,' Disaggregation - Section E '!A$7:J573,5,0)=0,"",VLOOKUP(C1455,' Disaggregation - Section E '!A$7:J573,5,0)),"")</f>
        <v/>
      </c>
      <c r="G1455" s="387" t="str">
        <f ca="1">IFERROR(IF(VLOOKUP(C1455,' Disaggregation - Section E '!A$7:J573,6,0)="","",VLOOKUP(C1455,' Disaggregation - Section E '!A$7:J573,6,0)),"")</f>
        <v/>
      </c>
      <c r="H1455" s="387" t="str">
        <f ca="1">IFERROR(IF(INDEX(' Disaggregation - Section E '!F$7:F573,MATCH(C1455,' Disaggregation - Section E '!A$7:A573,0)+1,1)&lt;&gt;0,INDEX(' Disaggregation - Section E '!F$7:F573,MATCH(C1455,' Disaggregation - Section E '!A$7:A573,0)+1,1),""),"")</f>
        <v/>
      </c>
      <c r="I1455" s="388" t="str">
        <f ca="1">IFERROR(IF(VLOOKUP(C1455,' Disaggregation - Section E '!A$7:J573,8,0)=0,"",VLOOKUP(C1455,' Disaggregation - Section E '!A$7:J573,8,0)),"")</f>
        <v/>
      </c>
      <c r="J1455" s="388" t="str">
        <f ca="1">IFERROR(IF(VLOOKUP(C1455,' Disaggregation - Section E '!A$7:J573,9,0)="","",VLOOKUP(C1455,' Disaggregation - Section E '!A$7:J573,9,0)),"")</f>
        <v/>
      </c>
      <c r="K1455" s="384" t="str">
        <f ca="1">IFERROR(VLOOKUP(C1455,' Disaggregation - Section E '!A$7:J573,3,0),"")</f>
        <v/>
      </c>
      <c r="L1455" s="388" t="str">
        <f ca="1">IFERROR(IF(VLOOKUP(C1455,' Disaggregation - Section E '!A$7:J573,10,0)="","",VLOOKUP(C1455,' Disaggregation - Section E '!A$7:J573,10,0)),"")</f>
        <v/>
      </c>
      <c r="M1455" s="384" t="str">
        <f ca="1">IFERROR(IF(VLOOKUP(C1455,' Disaggregation - Section E '!A$7:O573,15,0)=0,"",VLOOKUP(C1455,' Disaggregation - Section E '!A$7:O573,15,0)),"")</f>
        <v/>
      </c>
      <c r="N1455" s="384"/>
      <c r="O1455" s="384"/>
    </row>
    <row r="1456" spans="1:15" x14ac:dyDescent="0.3">
      <c r="A1456" s="384" t="b">
        <f t="shared" ca="1" si="133"/>
        <v>0</v>
      </c>
      <c r="B1456" s="384"/>
      <c r="C1456" s="400" t="str">
        <f ca="1">IF(COUNTA(O$1189:O1456)=1,"",OFFSET(B1456,-COUNTA(O$1189:O1456)+1,1))</f>
        <v>a1GDm000000XmmdMAC</v>
      </c>
      <c r="D1456" s="389"/>
      <c r="E1456" s="386" t="str">
        <f ca="1">IFERROR(IF(VLOOKUP(C1456,' Disaggregation - Section E '!A$7:J574,7,0)="","",VLOOKUP(C1456,' Disaggregation - Section E '!A$7:J278,7,0)*100),"")</f>
        <v/>
      </c>
      <c r="F1456" s="388" t="str">
        <f ca="1">IFERROR(IF(VLOOKUP(C1456,' Disaggregation - Section E '!A$7:J574,5,0)=0,"",VLOOKUP(C1456,' Disaggregation - Section E '!A$7:J574,5,0)),"")</f>
        <v/>
      </c>
      <c r="G1456" s="387" t="str">
        <f ca="1">IFERROR(IF(VLOOKUP(C1456,' Disaggregation - Section E '!A$7:J574,6,0)="","",VLOOKUP(C1456,' Disaggregation - Section E '!A$7:J574,6,0)),"")</f>
        <v/>
      </c>
      <c r="H1456" s="387" t="str">
        <f ca="1">IFERROR(IF(INDEX(' Disaggregation - Section E '!F$7:F574,MATCH(C1456,' Disaggregation - Section E '!A$7:A574,0)+1,1)&lt;&gt;0,INDEX(' Disaggregation - Section E '!F$7:F574,MATCH(C1456,' Disaggregation - Section E '!A$7:A574,0)+1,1),""),"")</f>
        <v/>
      </c>
      <c r="I1456" s="388" t="str">
        <f ca="1">IFERROR(IF(VLOOKUP(C1456,' Disaggregation - Section E '!A$7:J574,8,0)=0,"",VLOOKUP(C1456,' Disaggregation - Section E '!A$7:J574,8,0)),"")</f>
        <v/>
      </c>
      <c r="J1456" s="388" t="str">
        <f ca="1">IFERROR(IF(VLOOKUP(C1456,' Disaggregation - Section E '!A$7:J574,9,0)="","",VLOOKUP(C1456,' Disaggregation - Section E '!A$7:J574,9,0)),"")</f>
        <v/>
      </c>
      <c r="K1456" s="384" t="str">
        <f ca="1">IFERROR(VLOOKUP(C1456,' Disaggregation - Section E '!A$7:J574,3,0),"")</f>
        <v/>
      </c>
      <c r="L1456" s="388" t="str">
        <f ca="1">IFERROR(IF(VLOOKUP(C1456,' Disaggregation - Section E '!A$7:J574,10,0)="","",VLOOKUP(C1456,' Disaggregation - Section E '!A$7:J574,10,0)),"")</f>
        <v/>
      </c>
      <c r="M1456" s="384" t="str">
        <f ca="1">IFERROR(IF(VLOOKUP(C1456,' Disaggregation - Section E '!A$7:O574,15,0)=0,"",VLOOKUP(C1456,' Disaggregation - Section E '!A$7:O574,15,0)),"")</f>
        <v/>
      </c>
      <c r="N1456" s="384"/>
      <c r="O1456" s="384"/>
    </row>
    <row r="1457" spans="1:15" x14ac:dyDescent="0.3">
      <c r="A1457" s="384" t="b">
        <f t="shared" ca="1" si="133"/>
        <v>0</v>
      </c>
      <c r="B1457" s="384"/>
      <c r="C1457" s="400" t="str">
        <f ca="1">IF(COUNTA(O$1189:O1457)=1,"",OFFSET(B1457,-COUNTA(O$1189:O1457)+1,1))</f>
        <v>a1GDm000000XmmeMAC</v>
      </c>
      <c r="D1457" s="389"/>
      <c r="E1457" s="386" t="str">
        <f ca="1">IFERROR(IF(VLOOKUP(C1457,' Disaggregation - Section E '!A$7:J575,7,0)="","",VLOOKUP(C1457,' Disaggregation - Section E '!A$7:J279,7,0)*100),"")</f>
        <v/>
      </c>
      <c r="F1457" s="388" t="str">
        <f ca="1">IFERROR(IF(VLOOKUP(C1457,' Disaggregation - Section E '!A$7:J575,5,0)=0,"",VLOOKUP(C1457,' Disaggregation - Section E '!A$7:J575,5,0)),"")</f>
        <v/>
      </c>
      <c r="G1457" s="387" t="str">
        <f ca="1">IFERROR(IF(VLOOKUP(C1457,' Disaggregation - Section E '!A$7:J575,6,0)="","",VLOOKUP(C1457,' Disaggregation - Section E '!A$7:J575,6,0)),"")</f>
        <v/>
      </c>
      <c r="H1457" s="387" t="str">
        <f ca="1">IFERROR(IF(INDEX(' Disaggregation - Section E '!F$7:F575,MATCH(C1457,' Disaggregation - Section E '!A$7:A575,0)+1,1)&lt;&gt;0,INDEX(' Disaggregation - Section E '!F$7:F575,MATCH(C1457,' Disaggregation - Section E '!A$7:A575,0)+1,1),""),"")</f>
        <v/>
      </c>
      <c r="I1457" s="388" t="str">
        <f ca="1">IFERROR(IF(VLOOKUP(C1457,' Disaggregation - Section E '!A$7:J575,8,0)=0,"",VLOOKUP(C1457,' Disaggregation - Section E '!A$7:J575,8,0)),"")</f>
        <v/>
      </c>
      <c r="J1457" s="388" t="str">
        <f ca="1">IFERROR(IF(VLOOKUP(C1457,' Disaggregation - Section E '!A$7:J575,9,0)="","",VLOOKUP(C1457,' Disaggregation - Section E '!A$7:J575,9,0)),"")</f>
        <v/>
      </c>
      <c r="K1457" s="384" t="str">
        <f ca="1">IFERROR(VLOOKUP(C1457,' Disaggregation - Section E '!A$7:J575,3,0),"")</f>
        <v/>
      </c>
      <c r="L1457" s="388" t="str">
        <f ca="1">IFERROR(IF(VLOOKUP(C1457,' Disaggregation - Section E '!A$7:J575,10,0)="","",VLOOKUP(C1457,' Disaggregation - Section E '!A$7:J575,10,0)),"")</f>
        <v/>
      </c>
      <c r="M1457" s="384" t="str">
        <f ca="1">IFERROR(IF(VLOOKUP(C1457,' Disaggregation - Section E '!A$7:O575,15,0)=0,"",VLOOKUP(C1457,' Disaggregation - Section E '!A$7:O575,15,0)),"")</f>
        <v/>
      </c>
      <c r="N1457" s="384"/>
      <c r="O1457" s="384"/>
    </row>
    <row r="1458" spans="1:15" x14ac:dyDescent="0.3">
      <c r="A1458" s="384" t="b">
        <f t="shared" ca="1" si="133"/>
        <v>0</v>
      </c>
      <c r="B1458" s="384"/>
      <c r="C1458" s="400" t="str">
        <f ca="1">IF(COUNTA(O$1189:O1458)=1,"",OFFSET(B1458,-COUNTA(O$1189:O1458)+1,1))</f>
        <v>a1GDm000000XmmfMAC</v>
      </c>
      <c r="D1458" s="389"/>
      <c r="E1458" s="386" t="str">
        <f ca="1">IFERROR(IF(VLOOKUP(C1458,' Disaggregation - Section E '!A$7:J576,7,0)="","",VLOOKUP(C1458,' Disaggregation - Section E '!A$7:J280,7,0)*100),"")</f>
        <v/>
      </c>
      <c r="F1458" s="388" t="str">
        <f ca="1">IFERROR(IF(VLOOKUP(C1458,' Disaggregation - Section E '!A$7:J576,5,0)=0,"",VLOOKUP(C1458,' Disaggregation - Section E '!A$7:J576,5,0)),"")</f>
        <v/>
      </c>
      <c r="G1458" s="387" t="str">
        <f ca="1">IFERROR(IF(VLOOKUP(C1458,' Disaggregation - Section E '!A$7:J576,6,0)="","",VLOOKUP(C1458,' Disaggregation - Section E '!A$7:J576,6,0)),"")</f>
        <v/>
      </c>
      <c r="H1458" s="387" t="str">
        <f ca="1">IFERROR(IF(INDEX(' Disaggregation - Section E '!F$7:F576,MATCH(C1458,' Disaggregation - Section E '!A$7:A576,0)+1,1)&lt;&gt;0,INDEX(' Disaggregation - Section E '!F$7:F576,MATCH(C1458,' Disaggregation - Section E '!A$7:A576,0)+1,1),""),"")</f>
        <v/>
      </c>
      <c r="I1458" s="388" t="str">
        <f ca="1">IFERROR(IF(VLOOKUP(C1458,' Disaggregation - Section E '!A$7:J576,8,0)=0,"",VLOOKUP(C1458,' Disaggregation - Section E '!A$7:J576,8,0)),"")</f>
        <v/>
      </c>
      <c r="J1458" s="388" t="str">
        <f ca="1">IFERROR(IF(VLOOKUP(C1458,' Disaggregation - Section E '!A$7:J576,9,0)="","",VLOOKUP(C1458,' Disaggregation - Section E '!A$7:J576,9,0)),"")</f>
        <v/>
      </c>
      <c r="K1458" s="384" t="str">
        <f ca="1">IFERROR(VLOOKUP(C1458,' Disaggregation - Section E '!A$7:J576,3,0),"")</f>
        <v/>
      </c>
      <c r="L1458" s="388" t="str">
        <f ca="1">IFERROR(IF(VLOOKUP(C1458,' Disaggregation - Section E '!A$7:J576,10,0)="","",VLOOKUP(C1458,' Disaggregation - Section E '!A$7:J576,10,0)),"")</f>
        <v/>
      </c>
      <c r="M1458" s="384" t="str">
        <f ca="1">IFERROR(IF(VLOOKUP(C1458,' Disaggregation - Section E '!A$7:O576,15,0)=0,"",VLOOKUP(C1458,' Disaggregation - Section E '!A$7:O576,15,0)),"")</f>
        <v/>
      </c>
      <c r="N1458" s="384"/>
      <c r="O1458" s="384"/>
    </row>
    <row r="1459" spans="1:15" x14ac:dyDescent="0.3">
      <c r="A1459" s="384" t="b">
        <f t="shared" ca="1" si="133"/>
        <v>0</v>
      </c>
      <c r="B1459" s="384"/>
      <c r="C1459" s="400" t="str">
        <f ca="1">IF(COUNTA(O$1189:O1459)=1,"",OFFSET(B1459,-COUNTA(O$1189:O1459)+1,1))</f>
        <v>a1GDm000000XmmgMAC</v>
      </c>
      <c r="D1459" s="389"/>
      <c r="E1459" s="386" t="str">
        <f ca="1">IFERROR(IF(VLOOKUP(C1459,' Disaggregation - Section E '!A$7:J577,7,0)="","",VLOOKUP(C1459,' Disaggregation - Section E '!A$7:J281,7,0)*100),"")</f>
        <v/>
      </c>
      <c r="F1459" s="388" t="str">
        <f ca="1">IFERROR(IF(VLOOKUP(C1459,' Disaggregation - Section E '!A$7:J577,5,0)=0,"",VLOOKUP(C1459,' Disaggregation - Section E '!A$7:J577,5,0)),"")</f>
        <v/>
      </c>
      <c r="G1459" s="387" t="str">
        <f ca="1">IFERROR(IF(VLOOKUP(C1459,' Disaggregation - Section E '!A$7:J577,6,0)="","",VLOOKUP(C1459,' Disaggregation - Section E '!A$7:J577,6,0)),"")</f>
        <v/>
      </c>
      <c r="H1459" s="387" t="str">
        <f ca="1">IFERROR(IF(INDEX(' Disaggregation - Section E '!F$7:F577,MATCH(C1459,' Disaggregation - Section E '!A$7:A577,0)+1,1)&lt;&gt;0,INDEX(' Disaggregation - Section E '!F$7:F577,MATCH(C1459,' Disaggregation - Section E '!A$7:A577,0)+1,1),""),"")</f>
        <v/>
      </c>
      <c r="I1459" s="388" t="str">
        <f ca="1">IFERROR(IF(VLOOKUP(C1459,' Disaggregation - Section E '!A$7:J577,8,0)=0,"",VLOOKUP(C1459,' Disaggregation - Section E '!A$7:J577,8,0)),"")</f>
        <v/>
      </c>
      <c r="J1459" s="388" t="str">
        <f ca="1">IFERROR(IF(VLOOKUP(C1459,' Disaggregation - Section E '!A$7:J577,9,0)="","",VLOOKUP(C1459,' Disaggregation - Section E '!A$7:J577,9,0)),"")</f>
        <v/>
      </c>
      <c r="K1459" s="384" t="str">
        <f ca="1">IFERROR(VLOOKUP(C1459,' Disaggregation - Section E '!A$7:J577,3,0),"")</f>
        <v/>
      </c>
      <c r="L1459" s="388" t="str">
        <f ca="1">IFERROR(IF(VLOOKUP(C1459,' Disaggregation - Section E '!A$7:J577,10,0)="","",VLOOKUP(C1459,' Disaggregation - Section E '!A$7:J577,10,0)),"")</f>
        <v/>
      </c>
      <c r="M1459" s="384" t="str">
        <f ca="1">IFERROR(IF(VLOOKUP(C1459,' Disaggregation - Section E '!A$7:O577,15,0)=0,"",VLOOKUP(C1459,' Disaggregation - Section E '!A$7:O577,15,0)),"")</f>
        <v/>
      </c>
      <c r="N1459" s="384"/>
      <c r="O1459" s="384"/>
    </row>
    <row r="1460" spans="1:15" x14ac:dyDescent="0.3">
      <c r="A1460" s="384" t="b">
        <f t="shared" ca="1" si="133"/>
        <v>0</v>
      </c>
      <c r="B1460" s="384"/>
      <c r="C1460" s="400" t="str">
        <f ca="1">IF(COUNTA(O$1189:O1460)=1,"",OFFSET(B1460,-COUNTA(O$1189:O1460)+1,1))</f>
        <v>a1GDm000000XmmhMAC</v>
      </c>
      <c r="D1460" s="389"/>
      <c r="E1460" s="386" t="str">
        <f ca="1">IFERROR(IF(VLOOKUP(C1460,' Disaggregation - Section E '!A$7:J578,7,0)="","",VLOOKUP(C1460,' Disaggregation - Section E '!A$7:J282,7,0)*100),"")</f>
        <v/>
      </c>
      <c r="F1460" s="388" t="str">
        <f ca="1">IFERROR(IF(VLOOKUP(C1460,' Disaggregation - Section E '!A$7:J578,5,0)=0,"",VLOOKUP(C1460,' Disaggregation - Section E '!A$7:J578,5,0)),"")</f>
        <v/>
      </c>
      <c r="G1460" s="387" t="str">
        <f ca="1">IFERROR(IF(VLOOKUP(C1460,' Disaggregation - Section E '!A$7:J578,6,0)="","",VLOOKUP(C1460,' Disaggregation - Section E '!A$7:J578,6,0)),"")</f>
        <v/>
      </c>
      <c r="H1460" s="387" t="str">
        <f ca="1">IFERROR(IF(INDEX(' Disaggregation - Section E '!F$7:F578,MATCH(C1460,' Disaggregation - Section E '!A$7:A578,0)+1,1)&lt;&gt;0,INDEX(' Disaggregation - Section E '!F$7:F578,MATCH(C1460,' Disaggregation - Section E '!A$7:A578,0)+1,1),""),"")</f>
        <v/>
      </c>
      <c r="I1460" s="388" t="str">
        <f ca="1">IFERROR(IF(VLOOKUP(C1460,' Disaggregation - Section E '!A$7:J578,8,0)=0,"",VLOOKUP(C1460,' Disaggregation - Section E '!A$7:J578,8,0)),"")</f>
        <v/>
      </c>
      <c r="J1460" s="388" t="str">
        <f ca="1">IFERROR(IF(VLOOKUP(C1460,' Disaggregation - Section E '!A$7:J578,9,0)="","",VLOOKUP(C1460,' Disaggregation - Section E '!A$7:J578,9,0)),"")</f>
        <v/>
      </c>
      <c r="K1460" s="384" t="str">
        <f ca="1">IFERROR(VLOOKUP(C1460,' Disaggregation - Section E '!A$7:J578,3,0),"")</f>
        <v/>
      </c>
      <c r="L1460" s="388" t="str">
        <f ca="1">IFERROR(IF(VLOOKUP(C1460,' Disaggregation - Section E '!A$7:J578,10,0)="","",VLOOKUP(C1460,' Disaggregation - Section E '!A$7:J578,10,0)),"")</f>
        <v/>
      </c>
      <c r="M1460" s="384" t="str">
        <f ca="1">IFERROR(IF(VLOOKUP(C1460,' Disaggregation - Section E '!A$7:O578,15,0)=0,"",VLOOKUP(C1460,' Disaggregation - Section E '!A$7:O578,15,0)),"")</f>
        <v/>
      </c>
      <c r="N1460" s="384"/>
      <c r="O1460" s="384"/>
    </row>
    <row r="1461" spans="1:15" x14ac:dyDescent="0.3">
      <c r="A1461" s="384" t="b">
        <f t="shared" ca="1" si="133"/>
        <v>0</v>
      </c>
      <c r="B1461" s="384"/>
      <c r="C1461" s="400" t="str">
        <f ca="1">IF(COUNTA(O$1189:O1461)=1,"",OFFSET(B1461,-COUNTA(O$1189:O1461)+1,1))</f>
        <v>a1GDm000000XmmiMAC</v>
      </c>
      <c r="D1461" s="389"/>
      <c r="E1461" s="386" t="str">
        <f ca="1">IFERROR(IF(VLOOKUP(C1461,' Disaggregation - Section E '!A$7:J579,7,0)="","",VLOOKUP(C1461,' Disaggregation - Section E '!A$7:J283,7,0)*100),"")</f>
        <v/>
      </c>
      <c r="F1461" s="388" t="str">
        <f ca="1">IFERROR(IF(VLOOKUP(C1461,' Disaggregation - Section E '!A$7:J579,5,0)=0,"",VLOOKUP(C1461,' Disaggregation - Section E '!A$7:J579,5,0)),"")</f>
        <v/>
      </c>
      <c r="G1461" s="387" t="str">
        <f ca="1">IFERROR(IF(VLOOKUP(C1461,' Disaggregation - Section E '!A$7:J579,6,0)="","",VLOOKUP(C1461,' Disaggregation - Section E '!A$7:J579,6,0)),"")</f>
        <v/>
      </c>
      <c r="H1461" s="387" t="str">
        <f ca="1">IFERROR(IF(INDEX(' Disaggregation - Section E '!F$7:F579,MATCH(C1461,' Disaggregation - Section E '!A$7:A579,0)+1,1)&lt;&gt;0,INDEX(' Disaggregation - Section E '!F$7:F579,MATCH(C1461,' Disaggregation - Section E '!A$7:A579,0)+1,1),""),"")</f>
        <v/>
      </c>
      <c r="I1461" s="388" t="str">
        <f ca="1">IFERROR(IF(VLOOKUP(C1461,' Disaggregation - Section E '!A$7:J579,8,0)=0,"",VLOOKUP(C1461,' Disaggregation - Section E '!A$7:J579,8,0)),"")</f>
        <v/>
      </c>
      <c r="J1461" s="388" t="str">
        <f ca="1">IFERROR(IF(VLOOKUP(C1461,' Disaggregation - Section E '!A$7:J579,9,0)="","",VLOOKUP(C1461,' Disaggregation - Section E '!A$7:J579,9,0)),"")</f>
        <v/>
      </c>
      <c r="K1461" s="384" t="str">
        <f ca="1">IFERROR(VLOOKUP(C1461,' Disaggregation - Section E '!A$7:J579,3,0),"")</f>
        <v/>
      </c>
      <c r="L1461" s="388" t="str">
        <f ca="1">IFERROR(IF(VLOOKUP(C1461,' Disaggregation - Section E '!A$7:J579,10,0)="","",VLOOKUP(C1461,' Disaggregation - Section E '!A$7:J579,10,0)),"")</f>
        <v/>
      </c>
      <c r="M1461" s="384" t="str">
        <f ca="1">IFERROR(IF(VLOOKUP(C1461,' Disaggregation - Section E '!A$7:O579,15,0)=0,"",VLOOKUP(C1461,' Disaggregation - Section E '!A$7:O579,15,0)),"")</f>
        <v/>
      </c>
      <c r="N1461" s="384"/>
      <c r="O1461" s="384"/>
    </row>
    <row r="1462" spans="1:15" x14ac:dyDescent="0.3">
      <c r="A1462" s="384" t="b">
        <f t="shared" ca="1" si="133"/>
        <v>0</v>
      </c>
      <c r="B1462" s="384"/>
      <c r="C1462" s="400" t="str">
        <f ca="1">IF(COUNTA(O$1189:O1462)=1,"",OFFSET(B1462,-COUNTA(O$1189:O1462)+1,1))</f>
        <v>a1GDm000000XmmjMAC</v>
      </c>
      <c r="D1462" s="389"/>
      <c r="E1462" s="386" t="str">
        <f ca="1">IFERROR(IF(VLOOKUP(C1462,' Disaggregation - Section E '!A$7:J580,7,0)="","",VLOOKUP(C1462,' Disaggregation - Section E '!A$7:J284,7,0)*100),"")</f>
        <v/>
      </c>
      <c r="F1462" s="388" t="str">
        <f ca="1">IFERROR(IF(VLOOKUP(C1462,' Disaggregation - Section E '!A$7:J580,5,0)=0,"",VLOOKUP(C1462,' Disaggregation - Section E '!A$7:J580,5,0)),"")</f>
        <v/>
      </c>
      <c r="G1462" s="387" t="str">
        <f ca="1">IFERROR(IF(VLOOKUP(C1462,' Disaggregation - Section E '!A$7:J580,6,0)="","",VLOOKUP(C1462,' Disaggregation - Section E '!A$7:J580,6,0)),"")</f>
        <v/>
      </c>
      <c r="H1462" s="387" t="str">
        <f ca="1">IFERROR(IF(INDEX(' Disaggregation - Section E '!F$7:F580,MATCH(C1462,' Disaggregation - Section E '!A$7:A580,0)+1,1)&lt;&gt;0,INDEX(' Disaggregation - Section E '!F$7:F580,MATCH(C1462,' Disaggregation - Section E '!A$7:A580,0)+1,1),""),"")</f>
        <v/>
      </c>
      <c r="I1462" s="388" t="str">
        <f ca="1">IFERROR(IF(VLOOKUP(C1462,' Disaggregation - Section E '!A$7:J580,8,0)=0,"",VLOOKUP(C1462,' Disaggregation - Section E '!A$7:J580,8,0)),"")</f>
        <v/>
      </c>
      <c r="J1462" s="388" t="str">
        <f ca="1">IFERROR(IF(VLOOKUP(C1462,' Disaggregation - Section E '!A$7:J580,9,0)="","",VLOOKUP(C1462,' Disaggregation - Section E '!A$7:J580,9,0)),"")</f>
        <v/>
      </c>
      <c r="K1462" s="384" t="str">
        <f ca="1">IFERROR(VLOOKUP(C1462,' Disaggregation - Section E '!A$7:J580,3,0),"")</f>
        <v/>
      </c>
      <c r="L1462" s="388" t="str">
        <f ca="1">IFERROR(IF(VLOOKUP(C1462,' Disaggregation - Section E '!A$7:J580,10,0)="","",VLOOKUP(C1462,' Disaggregation - Section E '!A$7:J580,10,0)),"")</f>
        <v/>
      </c>
      <c r="M1462" s="384" t="str">
        <f ca="1">IFERROR(IF(VLOOKUP(C1462,' Disaggregation - Section E '!A$7:O580,15,0)=0,"",VLOOKUP(C1462,' Disaggregation - Section E '!A$7:O580,15,0)),"")</f>
        <v/>
      </c>
      <c r="N1462" s="384"/>
      <c r="O1462" s="384"/>
    </row>
    <row r="1463" spans="1:15" x14ac:dyDescent="0.3">
      <c r="A1463" s="384" t="b">
        <f t="shared" ca="1" si="133"/>
        <v>0</v>
      </c>
      <c r="B1463" s="384"/>
      <c r="C1463" s="400" t="str">
        <f ca="1">IF(COUNTA(O$1189:O1463)=1,"",OFFSET(B1463,-COUNTA(O$1189:O1463)+1,1))</f>
        <v>a1GDm000000XmmkMAC</v>
      </c>
      <c r="D1463" s="389"/>
      <c r="E1463" s="386" t="str">
        <f ca="1">IFERROR(IF(VLOOKUP(C1463,' Disaggregation - Section E '!A$7:J581,7,0)="","",VLOOKUP(C1463,' Disaggregation - Section E '!A$7:J285,7,0)*100),"")</f>
        <v/>
      </c>
      <c r="F1463" s="388" t="str">
        <f ca="1">IFERROR(IF(VLOOKUP(C1463,' Disaggregation - Section E '!A$7:J581,5,0)=0,"",VLOOKUP(C1463,' Disaggregation - Section E '!A$7:J581,5,0)),"")</f>
        <v/>
      </c>
      <c r="G1463" s="387" t="str">
        <f ca="1">IFERROR(IF(VLOOKUP(C1463,' Disaggregation - Section E '!A$7:J581,6,0)="","",VLOOKUP(C1463,' Disaggregation - Section E '!A$7:J581,6,0)),"")</f>
        <v/>
      </c>
      <c r="H1463" s="387" t="str">
        <f ca="1">IFERROR(IF(INDEX(' Disaggregation - Section E '!F$7:F581,MATCH(C1463,' Disaggregation - Section E '!A$7:A581,0)+1,1)&lt;&gt;0,INDEX(' Disaggregation - Section E '!F$7:F581,MATCH(C1463,' Disaggregation - Section E '!A$7:A581,0)+1,1),""),"")</f>
        <v/>
      </c>
      <c r="I1463" s="388" t="str">
        <f ca="1">IFERROR(IF(VLOOKUP(C1463,' Disaggregation - Section E '!A$7:J581,8,0)=0,"",VLOOKUP(C1463,' Disaggregation - Section E '!A$7:J581,8,0)),"")</f>
        <v/>
      </c>
      <c r="J1463" s="388" t="str">
        <f ca="1">IFERROR(IF(VLOOKUP(C1463,' Disaggregation - Section E '!A$7:J581,9,0)="","",VLOOKUP(C1463,' Disaggregation - Section E '!A$7:J581,9,0)),"")</f>
        <v/>
      </c>
      <c r="K1463" s="384" t="str">
        <f ca="1">IFERROR(VLOOKUP(C1463,' Disaggregation - Section E '!A$7:J581,3,0),"")</f>
        <v/>
      </c>
      <c r="L1463" s="388" t="str">
        <f ca="1">IFERROR(IF(VLOOKUP(C1463,' Disaggregation - Section E '!A$7:J581,10,0)="","",VLOOKUP(C1463,' Disaggregation - Section E '!A$7:J581,10,0)),"")</f>
        <v/>
      </c>
      <c r="M1463" s="384" t="str">
        <f ca="1">IFERROR(IF(VLOOKUP(C1463,' Disaggregation - Section E '!A$7:O581,15,0)=0,"",VLOOKUP(C1463,' Disaggregation - Section E '!A$7:O581,15,0)),"")</f>
        <v/>
      </c>
      <c r="N1463" s="384"/>
      <c r="O1463" s="384"/>
    </row>
    <row r="1464" spans="1:15" x14ac:dyDescent="0.3">
      <c r="A1464" s="384" t="b">
        <f t="shared" ca="1" si="133"/>
        <v>0</v>
      </c>
      <c r="B1464" s="384"/>
      <c r="C1464" s="400" t="str">
        <f ca="1">IF(COUNTA(O$1189:O1464)=1,"",OFFSET(B1464,-COUNTA(O$1189:O1464)+1,1))</f>
        <v>a1GDm000000XmmlMAC</v>
      </c>
      <c r="D1464" s="389"/>
      <c r="E1464" s="386" t="str">
        <f ca="1">IFERROR(IF(VLOOKUP(C1464,' Disaggregation - Section E '!A$7:J582,7,0)="","",VLOOKUP(C1464,' Disaggregation - Section E '!A$7:J286,7,0)*100),"")</f>
        <v/>
      </c>
      <c r="F1464" s="388" t="str">
        <f ca="1">IFERROR(IF(VLOOKUP(C1464,' Disaggregation - Section E '!A$7:J582,5,0)=0,"",VLOOKUP(C1464,' Disaggregation - Section E '!A$7:J582,5,0)),"")</f>
        <v/>
      </c>
      <c r="G1464" s="387" t="str">
        <f ca="1">IFERROR(IF(VLOOKUP(C1464,' Disaggregation - Section E '!A$7:J582,6,0)="","",VLOOKUP(C1464,' Disaggregation - Section E '!A$7:J582,6,0)),"")</f>
        <v/>
      </c>
      <c r="H1464" s="387" t="str">
        <f ca="1">IFERROR(IF(INDEX(' Disaggregation - Section E '!F$7:F582,MATCH(C1464,' Disaggregation - Section E '!A$7:A582,0)+1,1)&lt;&gt;0,INDEX(' Disaggregation - Section E '!F$7:F582,MATCH(C1464,' Disaggregation - Section E '!A$7:A582,0)+1,1),""),"")</f>
        <v/>
      </c>
      <c r="I1464" s="388" t="str">
        <f ca="1">IFERROR(IF(VLOOKUP(C1464,' Disaggregation - Section E '!A$7:J582,8,0)=0,"",VLOOKUP(C1464,' Disaggregation - Section E '!A$7:J582,8,0)),"")</f>
        <v/>
      </c>
      <c r="J1464" s="388" t="str">
        <f ca="1">IFERROR(IF(VLOOKUP(C1464,' Disaggregation - Section E '!A$7:J582,9,0)="","",VLOOKUP(C1464,' Disaggregation - Section E '!A$7:J582,9,0)),"")</f>
        <v/>
      </c>
      <c r="K1464" s="384" t="str">
        <f ca="1">IFERROR(VLOOKUP(C1464,' Disaggregation - Section E '!A$7:J582,3,0),"")</f>
        <v/>
      </c>
      <c r="L1464" s="388" t="str">
        <f ca="1">IFERROR(IF(VLOOKUP(C1464,' Disaggregation - Section E '!A$7:J582,10,0)="","",VLOOKUP(C1464,' Disaggregation - Section E '!A$7:J582,10,0)),"")</f>
        <v/>
      </c>
      <c r="M1464" s="384" t="str">
        <f ca="1">IFERROR(IF(VLOOKUP(C1464,' Disaggregation - Section E '!A$7:O582,15,0)=0,"",VLOOKUP(C1464,' Disaggregation - Section E '!A$7:O582,15,0)),"")</f>
        <v/>
      </c>
      <c r="N1464" s="384"/>
      <c r="O1464" s="384"/>
    </row>
    <row r="1465" spans="1:15" x14ac:dyDescent="0.3">
      <c r="A1465" s="384" t="b">
        <f t="shared" ca="1" si="133"/>
        <v>0</v>
      </c>
      <c r="B1465" s="384"/>
      <c r="C1465" s="400" t="str">
        <f ca="1">IF(COUNTA(O$1189:O1465)=1,"",OFFSET(B1465,-COUNTA(O$1189:O1465)+1,1))</f>
        <v>a1GDm000000XmmmMAC</v>
      </c>
      <c r="D1465" s="389"/>
      <c r="E1465" s="386" t="str">
        <f ca="1">IFERROR(IF(VLOOKUP(C1465,' Disaggregation - Section E '!A$7:J583,7,0)="","",VLOOKUP(C1465,' Disaggregation - Section E '!A$7:J287,7,0)*100),"")</f>
        <v/>
      </c>
      <c r="F1465" s="388" t="str">
        <f ca="1">IFERROR(IF(VLOOKUP(C1465,' Disaggregation - Section E '!A$7:J583,5,0)=0,"",VLOOKUP(C1465,' Disaggregation - Section E '!A$7:J583,5,0)),"")</f>
        <v/>
      </c>
      <c r="G1465" s="387" t="str">
        <f ca="1">IFERROR(IF(VLOOKUP(C1465,' Disaggregation - Section E '!A$7:J583,6,0)="","",VLOOKUP(C1465,' Disaggregation - Section E '!A$7:J583,6,0)),"")</f>
        <v/>
      </c>
      <c r="H1465" s="387" t="str">
        <f ca="1">IFERROR(IF(INDEX(' Disaggregation - Section E '!F$7:F583,MATCH(C1465,' Disaggregation - Section E '!A$7:A583,0)+1,1)&lt;&gt;0,INDEX(' Disaggregation - Section E '!F$7:F583,MATCH(C1465,' Disaggregation - Section E '!A$7:A583,0)+1,1),""),"")</f>
        <v/>
      </c>
      <c r="I1465" s="388" t="str">
        <f ca="1">IFERROR(IF(VLOOKUP(C1465,' Disaggregation - Section E '!A$7:J583,8,0)=0,"",VLOOKUP(C1465,' Disaggregation - Section E '!A$7:J583,8,0)),"")</f>
        <v/>
      </c>
      <c r="J1465" s="388" t="str">
        <f ca="1">IFERROR(IF(VLOOKUP(C1465,' Disaggregation - Section E '!A$7:J583,9,0)="","",VLOOKUP(C1465,' Disaggregation - Section E '!A$7:J583,9,0)),"")</f>
        <v/>
      </c>
      <c r="K1465" s="384" t="str">
        <f ca="1">IFERROR(VLOOKUP(C1465,' Disaggregation - Section E '!A$7:J583,3,0),"")</f>
        <v/>
      </c>
      <c r="L1465" s="388" t="str">
        <f ca="1">IFERROR(IF(VLOOKUP(C1465,' Disaggregation - Section E '!A$7:J583,10,0)="","",VLOOKUP(C1465,' Disaggregation - Section E '!A$7:J583,10,0)),"")</f>
        <v/>
      </c>
      <c r="M1465" s="384" t="str">
        <f ca="1">IFERROR(IF(VLOOKUP(C1465,' Disaggregation - Section E '!A$7:O583,15,0)=0,"",VLOOKUP(C1465,' Disaggregation - Section E '!A$7:O583,15,0)),"")</f>
        <v/>
      </c>
      <c r="N1465" s="384"/>
      <c r="O1465" s="384"/>
    </row>
    <row r="1466" spans="1:15" x14ac:dyDescent="0.3">
      <c r="A1466" s="384" t="b">
        <f t="shared" ca="1" si="133"/>
        <v>0</v>
      </c>
      <c r="B1466" s="384"/>
      <c r="C1466" s="400" t="str">
        <f ca="1">IF(COUNTA(O$1189:O1466)=1,"",OFFSET(B1466,-COUNTA(O$1189:O1466)+1,1))</f>
        <v>a1GDm000000XmmnMAC</v>
      </c>
      <c r="D1466" s="389"/>
      <c r="E1466" s="386" t="str">
        <f ca="1">IFERROR(IF(VLOOKUP(C1466,' Disaggregation - Section E '!A$7:J584,7,0)="","",VLOOKUP(C1466,' Disaggregation - Section E '!A$7:J288,7,0)*100),"")</f>
        <v/>
      </c>
      <c r="F1466" s="388" t="str">
        <f ca="1">IFERROR(IF(VLOOKUP(C1466,' Disaggregation - Section E '!A$7:J584,5,0)=0,"",VLOOKUP(C1466,' Disaggregation - Section E '!A$7:J584,5,0)),"")</f>
        <v/>
      </c>
      <c r="G1466" s="387" t="str">
        <f ca="1">IFERROR(IF(VLOOKUP(C1466,' Disaggregation - Section E '!A$7:J584,6,0)="","",VLOOKUP(C1466,' Disaggregation - Section E '!A$7:J584,6,0)),"")</f>
        <v/>
      </c>
      <c r="H1466" s="387" t="str">
        <f ca="1">IFERROR(IF(INDEX(' Disaggregation - Section E '!F$7:F584,MATCH(C1466,' Disaggregation - Section E '!A$7:A584,0)+1,1)&lt;&gt;0,INDEX(' Disaggregation - Section E '!F$7:F584,MATCH(C1466,' Disaggregation - Section E '!A$7:A584,0)+1,1),""),"")</f>
        <v/>
      </c>
      <c r="I1466" s="388" t="str">
        <f ca="1">IFERROR(IF(VLOOKUP(C1466,' Disaggregation - Section E '!A$7:J584,8,0)=0,"",VLOOKUP(C1466,' Disaggregation - Section E '!A$7:J584,8,0)),"")</f>
        <v/>
      </c>
      <c r="J1466" s="388" t="str">
        <f ca="1">IFERROR(IF(VLOOKUP(C1466,' Disaggregation - Section E '!A$7:J584,9,0)="","",VLOOKUP(C1466,' Disaggregation - Section E '!A$7:J584,9,0)),"")</f>
        <v/>
      </c>
      <c r="K1466" s="384" t="str">
        <f ca="1">IFERROR(VLOOKUP(C1466,' Disaggregation - Section E '!A$7:J584,3,0),"")</f>
        <v/>
      </c>
      <c r="L1466" s="388" t="str">
        <f ca="1">IFERROR(IF(VLOOKUP(C1466,' Disaggregation - Section E '!A$7:J584,10,0)="","",VLOOKUP(C1466,' Disaggregation - Section E '!A$7:J584,10,0)),"")</f>
        <v/>
      </c>
      <c r="M1466" s="384" t="str">
        <f ca="1">IFERROR(IF(VLOOKUP(C1466,' Disaggregation - Section E '!A$7:O584,15,0)=0,"",VLOOKUP(C1466,' Disaggregation - Section E '!A$7:O584,15,0)),"")</f>
        <v/>
      </c>
      <c r="N1466" s="384"/>
      <c r="O1466" s="384"/>
    </row>
    <row r="1467" spans="1:15" x14ac:dyDescent="0.3">
      <c r="A1467" s="384" t="b">
        <f t="shared" ca="1" si="133"/>
        <v>0</v>
      </c>
      <c r="B1467" s="384"/>
      <c r="C1467" s="400" t="str">
        <f ca="1">IF(COUNTA(O$1189:O1467)=1,"",OFFSET(B1467,-COUNTA(O$1189:O1467)+1,1))</f>
        <v>a1GDm000000XmmoMAC</v>
      </c>
      <c r="D1467" s="389"/>
      <c r="E1467" s="386" t="str">
        <f ca="1">IFERROR(IF(VLOOKUP(C1467,' Disaggregation - Section E '!A$7:J585,7,0)="","",VLOOKUP(C1467,' Disaggregation - Section E '!A$7:J289,7,0)*100),"")</f>
        <v/>
      </c>
      <c r="F1467" s="388" t="str">
        <f ca="1">IFERROR(IF(VLOOKUP(C1467,' Disaggregation - Section E '!A$7:J585,5,0)=0,"",VLOOKUP(C1467,' Disaggregation - Section E '!A$7:J585,5,0)),"")</f>
        <v/>
      </c>
      <c r="G1467" s="387" t="str">
        <f ca="1">IFERROR(IF(VLOOKUP(C1467,' Disaggregation - Section E '!A$7:J585,6,0)="","",VLOOKUP(C1467,' Disaggregation - Section E '!A$7:J585,6,0)),"")</f>
        <v/>
      </c>
      <c r="H1467" s="387" t="str">
        <f ca="1">IFERROR(IF(INDEX(' Disaggregation - Section E '!F$7:F585,MATCH(C1467,' Disaggregation - Section E '!A$7:A585,0)+1,1)&lt;&gt;0,INDEX(' Disaggregation - Section E '!F$7:F585,MATCH(C1467,' Disaggregation - Section E '!A$7:A585,0)+1,1),""),"")</f>
        <v/>
      </c>
      <c r="I1467" s="388" t="str">
        <f ca="1">IFERROR(IF(VLOOKUP(C1467,' Disaggregation - Section E '!A$7:J585,8,0)=0,"",VLOOKUP(C1467,' Disaggregation - Section E '!A$7:J585,8,0)),"")</f>
        <v/>
      </c>
      <c r="J1467" s="388" t="str">
        <f ca="1">IFERROR(IF(VLOOKUP(C1467,' Disaggregation - Section E '!A$7:J585,9,0)="","",VLOOKUP(C1467,' Disaggregation - Section E '!A$7:J585,9,0)),"")</f>
        <v/>
      </c>
      <c r="K1467" s="384" t="str">
        <f ca="1">IFERROR(VLOOKUP(C1467,' Disaggregation - Section E '!A$7:J585,3,0),"")</f>
        <v/>
      </c>
      <c r="L1467" s="388" t="str">
        <f ca="1">IFERROR(IF(VLOOKUP(C1467,' Disaggregation - Section E '!A$7:J585,10,0)="","",VLOOKUP(C1467,' Disaggregation - Section E '!A$7:J585,10,0)),"")</f>
        <v/>
      </c>
      <c r="M1467" s="384" t="str">
        <f ca="1">IFERROR(IF(VLOOKUP(C1467,' Disaggregation - Section E '!A$7:O585,15,0)=0,"",VLOOKUP(C1467,' Disaggregation - Section E '!A$7:O585,15,0)),"")</f>
        <v/>
      </c>
      <c r="N1467" s="384"/>
      <c r="O1467" s="384"/>
    </row>
    <row r="1468" spans="1:15" x14ac:dyDescent="0.3">
      <c r="A1468" s="384" t="b">
        <f t="shared" ca="1" si="133"/>
        <v>0</v>
      </c>
      <c r="B1468" s="384"/>
      <c r="C1468" s="400" t="str">
        <f ca="1">IF(COUNTA(O$1189:O1468)=1,"",OFFSET(B1468,-COUNTA(O$1189:O1468)+1,1))</f>
        <v>a1GDm000000XmmpMAC</v>
      </c>
      <c r="D1468" s="389"/>
      <c r="E1468" s="386" t="str">
        <f ca="1">IFERROR(IF(VLOOKUP(C1468,' Disaggregation - Section E '!A$7:J586,7,0)="","",VLOOKUP(C1468,' Disaggregation - Section E '!A$7:J290,7,0)*100),"")</f>
        <v/>
      </c>
      <c r="F1468" s="388" t="str">
        <f ca="1">IFERROR(IF(VLOOKUP(C1468,' Disaggregation - Section E '!A$7:J586,5,0)=0,"",VLOOKUP(C1468,' Disaggregation - Section E '!A$7:J586,5,0)),"")</f>
        <v/>
      </c>
      <c r="G1468" s="387" t="str">
        <f ca="1">IFERROR(IF(VLOOKUP(C1468,' Disaggregation - Section E '!A$7:J586,6,0)="","",VLOOKUP(C1468,' Disaggregation - Section E '!A$7:J586,6,0)),"")</f>
        <v/>
      </c>
      <c r="H1468" s="387" t="str">
        <f ca="1">IFERROR(IF(INDEX(' Disaggregation - Section E '!F$7:F586,MATCH(C1468,' Disaggregation - Section E '!A$7:A586,0)+1,1)&lt;&gt;0,INDEX(' Disaggregation - Section E '!F$7:F586,MATCH(C1468,' Disaggregation - Section E '!A$7:A586,0)+1,1),""),"")</f>
        <v/>
      </c>
      <c r="I1468" s="388" t="str">
        <f ca="1">IFERROR(IF(VLOOKUP(C1468,' Disaggregation - Section E '!A$7:J586,8,0)=0,"",VLOOKUP(C1468,' Disaggregation - Section E '!A$7:J586,8,0)),"")</f>
        <v/>
      </c>
      <c r="J1468" s="388" t="str">
        <f ca="1">IFERROR(IF(VLOOKUP(C1468,' Disaggregation - Section E '!A$7:J586,9,0)="","",VLOOKUP(C1468,' Disaggregation - Section E '!A$7:J586,9,0)),"")</f>
        <v/>
      </c>
      <c r="K1468" s="384" t="str">
        <f ca="1">IFERROR(VLOOKUP(C1468,' Disaggregation - Section E '!A$7:J586,3,0),"")</f>
        <v/>
      </c>
      <c r="L1468" s="388" t="str">
        <f ca="1">IFERROR(IF(VLOOKUP(C1468,' Disaggregation - Section E '!A$7:J586,10,0)="","",VLOOKUP(C1468,' Disaggregation - Section E '!A$7:J586,10,0)),"")</f>
        <v/>
      </c>
      <c r="M1468" s="384" t="str">
        <f ca="1">IFERROR(IF(VLOOKUP(C1468,' Disaggregation - Section E '!A$7:O586,15,0)=0,"",VLOOKUP(C1468,' Disaggregation - Section E '!A$7:O586,15,0)),"")</f>
        <v/>
      </c>
      <c r="N1468" s="384"/>
      <c r="O1468" s="384"/>
    </row>
    <row r="1469" spans="1:15" x14ac:dyDescent="0.3">
      <c r="A1469" s="384" t="b">
        <f t="shared" ref="A1469:A1490" ca="1" si="134">IF(M1469&lt;&gt;"",TRUE,FALSE)</f>
        <v>0</v>
      </c>
      <c r="B1469" s="384"/>
      <c r="C1469" s="400" t="str">
        <f ca="1">IF(COUNTA(O$1189:O1469)=1,"",OFFSET(B1469,-COUNTA(O$1189:O1469)+1,1))</f>
        <v>a1GDm000000XmmqMAC</v>
      </c>
      <c r="D1469" s="389"/>
      <c r="E1469" s="386" t="str">
        <f ca="1">IFERROR(IF(VLOOKUP(C1469,' Disaggregation - Section E '!A$7:J587,7,0)="","",VLOOKUP(C1469,' Disaggregation - Section E '!A$7:J291,7,0)*100),"")</f>
        <v/>
      </c>
      <c r="F1469" s="388" t="str">
        <f ca="1">IFERROR(IF(VLOOKUP(C1469,' Disaggregation - Section E '!A$7:J587,5,0)=0,"",VLOOKUP(C1469,' Disaggregation - Section E '!A$7:J587,5,0)),"")</f>
        <v/>
      </c>
      <c r="G1469" s="387" t="str">
        <f ca="1">IFERROR(IF(VLOOKUP(C1469,' Disaggregation - Section E '!A$7:J587,6,0)="","",VLOOKUP(C1469,' Disaggregation - Section E '!A$7:J587,6,0)),"")</f>
        <v/>
      </c>
      <c r="H1469" s="387" t="str">
        <f ca="1">IFERROR(IF(INDEX(' Disaggregation - Section E '!F$7:F587,MATCH(C1469,' Disaggregation - Section E '!A$7:A587,0)+1,1)&lt;&gt;0,INDEX(' Disaggregation - Section E '!F$7:F587,MATCH(C1469,' Disaggregation - Section E '!A$7:A587,0)+1,1),""),"")</f>
        <v/>
      </c>
      <c r="I1469" s="388" t="str">
        <f ca="1">IFERROR(IF(VLOOKUP(C1469,' Disaggregation - Section E '!A$7:J587,8,0)=0,"",VLOOKUP(C1469,' Disaggregation - Section E '!A$7:J587,8,0)),"")</f>
        <v/>
      </c>
      <c r="J1469" s="388" t="str">
        <f ca="1">IFERROR(IF(VLOOKUP(C1469,' Disaggregation - Section E '!A$7:J587,9,0)="","",VLOOKUP(C1469,' Disaggregation - Section E '!A$7:J587,9,0)),"")</f>
        <v/>
      </c>
      <c r="K1469" s="384" t="str">
        <f ca="1">IFERROR(VLOOKUP(C1469,' Disaggregation - Section E '!A$7:J587,3,0),"")</f>
        <v/>
      </c>
      <c r="L1469" s="388" t="str">
        <f ca="1">IFERROR(IF(VLOOKUP(C1469,' Disaggregation - Section E '!A$7:J587,10,0)="","",VLOOKUP(C1469,' Disaggregation - Section E '!A$7:J587,10,0)),"")</f>
        <v/>
      </c>
      <c r="M1469" s="384" t="str">
        <f ca="1">IFERROR(IF(VLOOKUP(C1469,' Disaggregation - Section E '!A$7:O587,15,0)=0,"",VLOOKUP(C1469,' Disaggregation - Section E '!A$7:O587,15,0)),"")</f>
        <v/>
      </c>
      <c r="N1469" s="384"/>
      <c r="O1469" s="384"/>
    </row>
    <row r="1470" spans="1:15" x14ac:dyDescent="0.3">
      <c r="A1470" s="384" t="b">
        <f t="shared" ca="1" si="134"/>
        <v>0</v>
      </c>
      <c r="B1470" s="384"/>
      <c r="C1470" s="400" t="str">
        <f ca="1">IF(COUNTA(O$1189:O1470)=1,"",OFFSET(B1470,-COUNTA(O$1189:O1470)+1,1))</f>
        <v>a1GDm000000XmmrMAC</v>
      </c>
      <c r="D1470" s="389"/>
      <c r="E1470" s="386" t="str">
        <f ca="1">IFERROR(IF(VLOOKUP(C1470,' Disaggregation - Section E '!A$7:J588,7,0)="","",VLOOKUP(C1470,' Disaggregation - Section E '!A$7:J292,7,0)*100),"")</f>
        <v/>
      </c>
      <c r="F1470" s="388" t="str">
        <f ca="1">IFERROR(IF(VLOOKUP(C1470,' Disaggregation - Section E '!A$7:J588,5,0)=0,"",VLOOKUP(C1470,' Disaggregation - Section E '!A$7:J588,5,0)),"")</f>
        <v/>
      </c>
      <c r="G1470" s="387" t="str">
        <f ca="1">IFERROR(IF(VLOOKUP(C1470,' Disaggregation - Section E '!A$7:J588,6,0)="","",VLOOKUP(C1470,' Disaggregation - Section E '!A$7:J588,6,0)),"")</f>
        <v/>
      </c>
      <c r="H1470" s="387" t="str">
        <f ca="1">IFERROR(IF(INDEX(' Disaggregation - Section E '!F$7:F588,MATCH(C1470,' Disaggregation - Section E '!A$7:A588,0)+1,1)&lt;&gt;0,INDEX(' Disaggregation - Section E '!F$7:F588,MATCH(C1470,' Disaggregation - Section E '!A$7:A588,0)+1,1),""),"")</f>
        <v/>
      </c>
      <c r="I1470" s="388" t="str">
        <f ca="1">IFERROR(IF(VLOOKUP(C1470,' Disaggregation - Section E '!A$7:J588,8,0)=0,"",VLOOKUP(C1470,' Disaggregation - Section E '!A$7:J588,8,0)),"")</f>
        <v/>
      </c>
      <c r="J1470" s="388" t="str">
        <f ca="1">IFERROR(IF(VLOOKUP(C1470,' Disaggregation - Section E '!A$7:J588,9,0)="","",VLOOKUP(C1470,' Disaggregation - Section E '!A$7:J588,9,0)),"")</f>
        <v/>
      </c>
      <c r="K1470" s="384" t="str">
        <f ca="1">IFERROR(VLOOKUP(C1470,' Disaggregation - Section E '!A$7:J588,3,0),"")</f>
        <v/>
      </c>
      <c r="L1470" s="388" t="str">
        <f ca="1">IFERROR(IF(VLOOKUP(C1470,' Disaggregation - Section E '!A$7:J588,10,0)="","",VLOOKUP(C1470,' Disaggregation - Section E '!A$7:J588,10,0)),"")</f>
        <v/>
      </c>
      <c r="M1470" s="384" t="str">
        <f ca="1">IFERROR(IF(VLOOKUP(C1470,' Disaggregation - Section E '!A$7:O588,15,0)=0,"",VLOOKUP(C1470,' Disaggregation - Section E '!A$7:O588,15,0)),"")</f>
        <v/>
      </c>
      <c r="N1470" s="384"/>
      <c r="O1470" s="384"/>
    </row>
    <row r="1471" spans="1:15" x14ac:dyDescent="0.3">
      <c r="A1471" s="384" t="b">
        <f t="shared" ca="1" si="134"/>
        <v>0</v>
      </c>
      <c r="B1471" s="384"/>
      <c r="C1471" s="400" t="str">
        <f ca="1">IF(COUNTA(O$1189:O1471)=1,"",OFFSET(B1471,-COUNTA(O$1189:O1471)+1,1))</f>
        <v>a1GDm000000XmmsMAC</v>
      </c>
      <c r="D1471" s="389"/>
      <c r="E1471" s="386" t="str">
        <f ca="1">IFERROR(IF(VLOOKUP(C1471,' Disaggregation - Section E '!A$7:J589,7,0)="","",VLOOKUP(C1471,' Disaggregation - Section E '!A$7:J293,7,0)*100),"")</f>
        <v/>
      </c>
      <c r="F1471" s="388" t="str">
        <f ca="1">IFERROR(IF(VLOOKUP(C1471,' Disaggregation - Section E '!A$7:J589,5,0)=0,"",VLOOKUP(C1471,' Disaggregation - Section E '!A$7:J589,5,0)),"")</f>
        <v/>
      </c>
      <c r="G1471" s="387" t="str">
        <f ca="1">IFERROR(IF(VLOOKUP(C1471,' Disaggregation - Section E '!A$7:J589,6,0)="","",VLOOKUP(C1471,' Disaggregation - Section E '!A$7:J589,6,0)),"")</f>
        <v/>
      </c>
      <c r="H1471" s="387" t="str">
        <f ca="1">IFERROR(IF(INDEX(' Disaggregation - Section E '!F$7:F589,MATCH(C1471,' Disaggregation - Section E '!A$7:A589,0)+1,1)&lt;&gt;0,INDEX(' Disaggregation - Section E '!F$7:F589,MATCH(C1471,' Disaggregation - Section E '!A$7:A589,0)+1,1),""),"")</f>
        <v/>
      </c>
      <c r="I1471" s="388" t="str">
        <f ca="1">IFERROR(IF(VLOOKUP(C1471,' Disaggregation - Section E '!A$7:J589,8,0)=0,"",VLOOKUP(C1471,' Disaggregation - Section E '!A$7:J589,8,0)),"")</f>
        <v/>
      </c>
      <c r="J1471" s="388" t="str">
        <f ca="1">IFERROR(IF(VLOOKUP(C1471,' Disaggregation - Section E '!A$7:J589,9,0)="","",VLOOKUP(C1471,' Disaggregation - Section E '!A$7:J589,9,0)),"")</f>
        <v/>
      </c>
      <c r="K1471" s="384" t="str">
        <f ca="1">IFERROR(VLOOKUP(C1471,' Disaggregation - Section E '!A$7:J589,3,0),"")</f>
        <v/>
      </c>
      <c r="L1471" s="388" t="str">
        <f ca="1">IFERROR(IF(VLOOKUP(C1471,' Disaggregation - Section E '!A$7:J589,10,0)="","",VLOOKUP(C1471,' Disaggregation - Section E '!A$7:J589,10,0)),"")</f>
        <v/>
      </c>
      <c r="M1471" s="384" t="str">
        <f ca="1">IFERROR(IF(VLOOKUP(C1471,' Disaggregation - Section E '!A$7:O589,15,0)=0,"",VLOOKUP(C1471,' Disaggregation - Section E '!A$7:O589,15,0)),"")</f>
        <v/>
      </c>
      <c r="N1471" s="384"/>
      <c r="O1471" s="384"/>
    </row>
    <row r="1472" spans="1:15" x14ac:dyDescent="0.3">
      <c r="A1472" s="384" t="b">
        <f t="shared" ca="1" si="134"/>
        <v>0</v>
      </c>
      <c r="B1472" s="384"/>
      <c r="C1472" s="400" t="str">
        <f ca="1">IF(COUNTA(O$1189:O1472)=1,"",OFFSET(B1472,-COUNTA(O$1189:O1472)+1,1))</f>
        <v>a1GDm000000XmmtMAC</v>
      </c>
      <c r="D1472" s="389"/>
      <c r="E1472" s="386" t="str">
        <f ca="1">IFERROR(IF(VLOOKUP(C1472,' Disaggregation - Section E '!A$7:J590,7,0)="","",VLOOKUP(C1472,' Disaggregation - Section E '!A$7:J294,7,0)*100),"")</f>
        <v/>
      </c>
      <c r="F1472" s="388" t="str">
        <f ca="1">IFERROR(IF(VLOOKUP(C1472,' Disaggregation - Section E '!A$7:J590,5,0)=0,"",VLOOKUP(C1472,' Disaggregation - Section E '!A$7:J590,5,0)),"")</f>
        <v/>
      </c>
      <c r="G1472" s="387" t="str">
        <f ca="1">IFERROR(IF(VLOOKUP(C1472,' Disaggregation - Section E '!A$7:J590,6,0)="","",VLOOKUP(C1472,' Disaggregation - Section E '!A$7:J590,6,0)),"")</f>
        <v/>
      </c>
      <c r="H1472" s="387" t="str">
        <f ca="1">IFERROR(IF(INDEX(' Disaggregation - Section E '!F$7:F590,MATCH(C1472,' Disaggregation - Section E '!A$7:A590,0)+1,1)&lt;&gt;0,INDEX(' Disaggregation - Section E '!F$7:F590,MATCH(C1472,' Disaggregation - Section E '!A$7:A590,0)+1,1),""),"")</f>
        <v/>
      </c>
      <c r="I1472" s="388" t="str">
        <f ca="1">IFERROR(IF(VLOOKUP(C1472,' Disaggregation - Section E '!A$7:J590,8,0)=0,"",VLOOKUP(C1472,' Disaggregation - Section E '!A$7:J590,8,0)),"")</f>
        <v/>
      </c>
      <c r="J1472" s="388" t="str">
        <f ca="1">IFERROR(IF(VLOOKUP(C1472,' Disaggregation - Section E '!A$7:J590,9,0)="","",VLOOKUP(C1472,' Disaggregation - Section E '!A$7:J590,9,0)),"")</f>
        <v/>
      </c>
      <c r="K1472" s="384" t="str">
        <f ca="1">IFERROR(VLOOKUP(C1472,' Disaggregation - Section E '!A$7:J590,3,0),"")</f>
        <v/>
      </c>
      <c r="L1472" s="388" t="str">
        <f ca="1">IFERROR(IF(VLOOKUP(C1472,' Disaggregation - Section E '!A$7:J590,10,0)="","",VLOOKUP(C1472,' Disaggregation - Section E '!A$7:J590,10,0)),"")</f>
        <v/>
      </c>
      <c r="M1472" s="384" t="str">
        <f ca="1">IFERROR(IF(VLOOKUP(C1472,' Disaggregation - Section E '!A$7:O590,15,0)=0,"",VLOOKUP(C1472,' Disaggregation - Section E '!A$7:O590,15,0)),"")</f>
        <v/>
      </c>
      <c r="N1472" s="384"/>
      <c r="O1472" s="384"/>
    </row>
    <row r="1473" spans="1:15" x14ac:dyDescent="0.3">
      <c r="A1473" s="384" t="b">
        <f t="shared" ca="1" si="134"/>
        <v>0</v>
      </c>
      <c r="B1473" s="384"/>
      <c r="C1473" s="400" t="str">
        <f ca="1">IF(COUNTA(O$1189:O1473)=1,"",OFFSET(B1473,-COUNTA(O$1189:O1473)+1,1))</f>
        <v>a1GDm000000XmmuMAC</v>
      </c>
      <c r="D1473" s="389"/>
      <c r="E1473" s="386" t="str">
        <f ca="1">IFERROR(IF(VLOOKUP(C1473,' Disaggregation - Section E '!A$7:J591,7,0)="","",VLOOKUP(C1473,' Disaggregation - Section E '!A$7:J295,7,0)*100),"")</f>
        <v/>
      </c>
      <c r="F1473" s="388" t="str">
        <f ca="1">IFERROR(IF(VLOOKUP(C1473,' Disaggregation - Section E '!A$7:J591,5,0)=0,"",VLOOKUP(C1473,' Disaggregation - Section E '!A$7:J591,5,0)),"")</f>
        <v/>
      </c>
      <c r="G1473" s="387" t="str">
        <f ca="1">IFERROR(IF(VLOOKUP(C1473,' Disaggregation - Section E '!A$7:J591,6,0)="","",VLOOKUP(C1473,' Disaggregation - Section E '!A$7:J591,6,0)),"")</f>
        <v/>
      </c>
      <c r="H1473" s="387" t="str">
        <f ca="1">IFERROR(IF(INDEX(' Disaggregation - Section E '!F$7:F591,MATCH(C1473,' Disaggregation - Section E '!A$7:A591,0)+1,1)&lt;&gt;0,INDEX(' Disaggregation - Section E '!F$7:F591,MATCH(C1473,' Disaggregation - Section E '!A$7:A591,0)+1,1),""),"")</f>
        <v/>
      </c>
      <c r="I1473" s="388" t="str">
        <f ca="1">IFERROR(IF(VLOOKUP(C1473,' Disaggregation - Section E '!A$7:J591,8,0)=0,"",VLOOKUP(C1473,' Disaggregation - Section E '!A$7:J591,8,0)),"")</f>
        <v/>
      </c>
      <c r="J1473" s="388" t="str">
        <f ca="1">IFERROR(IF(VLOOKUP(C1473,' Disaggregation - Section E '!A$7:J591,9,0)="","",VLOOKUP(C1473,' Disaggregation - Section E '!A$7:J591,9,0)),"")</f>
        <v/>
      </c>
      <c r="K1473" s="384" t="str">
        <f ca="1">IFERROR(VLOOKUP(C1473,' Disaggregation - Section E '!A$7:J591,3,0),"")</f>
        <v/>
      </c>
      <c r="L1473" s="388" t="str">
        <f ca="1">IFERROR(IF(VLOOKUP(C1473,' Disaggregation - Section E '!A$7:J591,10,0)="","",VLOOKUP(C1473,' Disaggregation - Section E '!A$7:J591,10,0)),"")</f>
        <v/>
      </c>
      <c r="M1473" s="384" t="str">
        <f ca="1">IFERROR(IF(VLOOKUP(C1473,' Disaggregation - Section E '!A$7:O591,15,0)=0,"",VLOOKUP(C1473,' Disaggregation - Section E '!A$7:O591,15,0)),"")</f>
        <v/>
      </c>
      <c r="N1473" s="384"/>
      <c r="O1473" s="384"/>
    </row>
    <row r="1474" spans="1:15" x14ac:dyDescent="0.3">
      <c r="A1474" s="384" t="b">
        <f t="shared" ca="1" si="134"/>
        <v>0</v>
      </c>
      <c r="B1474" s="384"/>
      <c r="C1474" s="400" t="str">
        <f ca="1">IF(COUNTA(O$1189:O1474)=1,"",OFFSET(B1474,-COUNTA(O$1189:O1474)+1,1))</f>
        <v>a1GDm000000XmmvMAC</v>
      </c>
      <c r="D1474" s="389"/>
      <c r="E1474" s="386" t="str">
        <f ca="1">IFERROR(IF(VLOOKUP(C1474,' Disaggregation - Section E '!A$7:J592,7,0)="","",VLOOKUP(C1474,' Disaggregation - Section E '!A$7:J296,7,0)*100),"")</f>
        <v/>
      </c>
      <c r="F1474" s="388" t="str">
        <f ca="1">IFERROR(IF(VLOOKUP(C1474,' Disaggregation - Section E '!A$7:J592,5,0)=0,"",VLOOKUP(C1474,' Disaggregation - Section E '!A$7:J592,5,0)),"")</f>
        <v/>
      </c>
      <c r="G1474" s="387" t="str">
        <f ca="1">IFERROR(IF(VLOOKUP(C1474,' Disaggregation - Section E '!A$7:J592,6,0)="","",VLOOKUP(C1474,' Disaggregation - Section E '!A$7:J592,6,0)),"")</f>
        <v/>
      </c>
      <c r="H1474" s="387" t="str">
        <f ca="1">IFERROR(IF(INDEX(' Disaggregation - Section E '!F$7:F592,MATCH(C1474,' Disaggregation - Section E '!A$7:A592,0)+1,1)&lt;&gt;0,INDEX(' Disaggregation - Section E '!F$7:F592,MATCH(C1474,' Disaggregation - Section E '!A$7:A592,0)+1,1),""),"")</f>
        <v/>
      </c>
      <c r="I1474" s="388" t="str">
        <f ca="1">IFERROR(IF(VLOOKUP(C1474,' Disaggregation - Section E '!A$7:J592,8,0)=0,"",VLOOKUP(C1474,' Disaggregation - Section E '!A$7:J592,8,0)),"")</f>
        <v/>
      </c>
      <c r="J1474" s="388" t="str">
        <f ca="1">IFERROR(IF(VLOOKUP(C1474,' Disaggregation - Section E '!A$7:J592,9,0)="","",VLOOKUP(C1474,' Disaggregation - Section E '!A$7:J592,9,0)),"")</f>
        <v/>
      </c>
      <c r="K1474" s="384" t="str">
        <f ca="1">IFERROR(VLOOKUP(C1474,' Disaggregation - Section E '!A$7:J592,3,0),"")</f>
        <v/>
      </c>
      <c r="L1474" s="388" t="str">
        <f ca="1">IFERROR(IF(VLOOKUP(C1474,' Disaggregation - Section E '!A$7:J592,10,0)="","",VLOOKUP(C1474,' Disaggregation - Section E '!A$7:J592,10,0)),"")</f>
        <v/>
      </c>
      <c r="M1474" s="384" t="str">
        <f ca="1">IFERROR(IF(VLOOKUP(C1474,' Disaggregation - Section E '!A$7:O592,15,0)=0,"",VLOOKUP(C1474,' Disaggregation - Section E '!A$7:O592,15,0)),"")</f>
        <v/>
      </c>
      <c r="N1474" s="384"/>
      <c r="O1474" s="384"/>
    </row>
    <row r="1475" spans="1:15" x14ac:dyDescent="0.3">
      <c r="A1475" s="384" t="b">
        <f t="shared" ca="1" si="134"/>
        <v>0</v>
      </c>
      <c r="B1475" s="384"/>
      <c r="C1475" s="400" t="str">
        <f ca="1">IF(COUNTA(O$1189:O1475)=1,"",OFFSET(B1475,-COUNTA(O$1189:O1475)+1,1))</f>
        <v>a1GDm000000XmmwMAC</v>
      </c>
      <c r="D1475" s="389"/>
      <c r="E1475" s="386" t="str">
        <f ca="1">IFERROR(IF(VLOOKUP(C1475,' Disaggregation - Section E '!A$7:J593,7,0)="","",VLOOKUP(C1475,' Disaggregation - Section E '!A$7:J297,7,0)*100),"")</f>
        <v/>
      </c>
      <c r="F1475" s="388" t="str">
        <f ca="1">IFERROR(IF(VLOOKUP(C1475,' Disaggregation - Section E '!A$7:J593,5,0)=0,"",VLOOKUP(C1475,' Disaggregation - Section E '!A$7:J593,5,0)),"")</f>
        <v/>
      </c>
      <c r="G1475" s="387" t="str">
        <f ca="1">IFERROR(IF(VLOOKUP(C1475,' Disaggregation - Section E '!A$7:J593,6,0)="","",VLOOKUP(C1475,' Disaggregation - Section E '!A$7:J593,6,0)),"")</f>
        <v/>
      </c>
      <c r="H1475" s="387" t="str">
        <f ca="1">IFERROR(IF(INDEX(' Disaggregation - Section E '!F$7:F593,MATCH(C1475,' Disaggregation - Section E '!A$7:A593,0)+1,1)&lt;&gt;0,INDEX(' Disaggregation - Section E '!F$7:F593,MATCH(C1475,' Disaggregation - Section E '!A$7:A593,0)+1,1),""),"")</f>
        <v/>
      </c>
      <c r="I1475" s="388" t="str">
        <f ca="1">IFERROR(IF(VLOOKUP(C1475,' Disaggregation - Section E '!A$7:J593,8,0)=0,"",VLOOKUP(C1475,' Disaggregation - Section E '!A$7:J593,8,0)),"")</f>
        <v/>
      </c>
      <c r="J1475" s="388" t="str">
        <f ca="1">IFERROR(IF(VLOOKUP(C1475,' Disaggregation - Section E '!A$7:J593,9,0)="","",VLOOKUP(C1475,' Disaggregation - Section E '!A$7:J593,9,0)),"")</f>
        <v/>
      </c>
      <c r="K1475" s="384" t="str">
        <f ca="1">IFERROR(VLOOKUP(C1475,' Disaggregation - Section E '!A$7:J593,3,0),"")</f>
        <v/>
      </c>
      <c r="L1475" s="388" t="str">
        <f ca="1">IFERROR(IF(VLOOKUP(C1475,' Disaggregation - Section E '!A$7:J593,10,0)="","",VLOOKUP(C1475,' Disaggregation - Section E '!A$7:J593,10,0)),"")</f>
        <v/>
      </c>
      <c r="M1475" s="384" t="str">
        <f ca="1">IFERROR(IF(VLOOKUP(C1475,' Disaggregation - Section E '!A$7:O593,15,0)=0,"",VLOOKUP(C1475,' Disaggregation - Section E '!A$7:O593,15,0)),"")</f>
        <v/>
      </c>
      <c r="N1475" s="384"/>
      <c r="O1475" s="384"/>
    </row>
    <row r="1476" spans="1:15" x14ac:dyDescent="0.3">
      <c r="A1476" s="384" t="b">
        <f t="shared" ca="1" si="134"/>
        <v>0</v>
      </c>
      <c r="B1476" s="384"/>
      <c r="C1476" s="400" t="str">
        <f ca="1">IF(COUNTA(O$1189:O1476)=1,"",OFFSET(B1476,-COUNTA(O$1189:O1476)+1,1))</f>
        <v>a1GDm000000XmmxMAC</v>
      </c>
      <c r="D1476" s="389"/>
      <c r="E1476" s="386" t="str">
        <f ca="1">IFERROR(IF(VLOOKUP(C1476,' Disaggregation - Section E '!A$7:J594,7,0)="","",VLOOKUP(C1476,' Disaggregation - Section E '!A$7:J298,7,0)*100),"")</f>
        <v/>
      </c>
      <c r="F1476" s="388" t="str">
        <f ca="1">IFERROR(IF(VLOOKUP(C1476,' Disaggregation - Section E '!A$7:J594,5,0)=0,"",VLOOKUP(C1476,' Disaggregation - Section E '!A$7:J594,5,0)),"")</f>
        <v/>
      </c>
      <c r="G1476" s="387" t="str">
        <f ca="1">IFERROR(IF(VLOOKUP(C1476,' Disaggregation - Section E '!A$7:J594,6,0)="","",VLOOKUP(C1476,' Disaggregation - Section E '!A$7:J594,6,0)),"")</f>
        <v/>
      </c>
      <c r="H1476" s="387" t="str">
        <f ca="1">IFERROR(IF(INDEX(' Disaggregation - Section E '!F$7:F594,MATCH(C1476,' Disaggregation - Section E '!A$7:A594,0)+1,1)&lt;&gt;0,INDEX(' Disaggregation - Section E '!F$7:F594,MATCH(C1476,' Disaggregation - Section E '!A$7:A594,0)+1,1),""),"")</f>
        <v/>
      </c>
      <c r="I1476" s="388" t="str">
        <f ca="1">IFERROR(IF(VLOOKUP(C1476,' Disaggregation - Section E '!A$7:J594,8,0)=0,"",VLOOKUP(C1476,' Disaggregation - Section E '!A$7:J594,8,0)),"")</f>
        <v/>
      </c>
      <c r="J1476" s="388" t="str">
        <f ca="1">IFERROR(IF(VLOOKUP(C1476,' Disaggregation - Section E '!A$7:J594,9,0)="","",VLOOKUP(C1476,' Disaggregation - Section E '!A$7:J594,9,0)),"")</f>
        <v/>
      </c>
      <c r="K1476" s="384" t="str">
        <f ca="1">IFERROR(VLOOKUP(C1476,' Disaggregation - Section E '!A$7:J594,3,0),"")</f>
        <v/>
      </c>
      <c r="L1476" s="388" t="str">
        <f ca="1">IFERROR(IF(VLOOKUP(C1476,' Disaggregation - Section E '!A$7:J594,10,0)="","",VLOOKUP(C1476,' Disaggregation - Section E '!A$7:J594,10,0)),"")</f>
        <v/>
      </c>
      <c r="M1476" s="384" t="str">
        <f ca="1">IFERROR(IF(VLOOKUP(C1476,' Disaggregation - Section E '!A$7:O594,15,0)=0,"",VLOOKUP(C1476,' Disaggregation - Section E '!A$7:O594,15,0)),"")</f>
        <v/>
      </c>
      <c r="N1476" s="384"/>
      <c r="O1476" s="384"/>
    </row>
    <row r="1477" spans="1:15" x14ac:dyDescent="0.3">
      <c r="A1477" s="384" t="b">
        <f t="shared" ca="1" si="134"/>
        <v>0</v>
      </c>
      <c r="B1477" s="384"/>
      <c r="C1477" s="400" t="str">
        <f ca="1">IF(COUNTA(O$1189:O1477)=1,"",OFFSET(B1477,-COUNTA(O$1189:O1477)+1,1))</f>
        <v>a1GDm000000XmmyMAC</v>
      </c>
      <c r="D1477" s="389"/>
      <c r="E1477" s="386" t="str">
        <f ca="1">IFERROR(IF(VLOOKUP(C1477,' Disaggregation - Section E '!A$7:J595,7,0)="","",VLOOKUP(C1477,' Disaggregation - Section E '!A$7:J299,7,0)*100),"")</f>
        <v/>
      </c>
      <c r="F1477" s="388" t="str">
        <f ca="1">IFERROR(IF(VLOOKUP(C1477,' Disaggregation - Section E '!A$7:J595,5,0)=0,"",VLOOKUP(C1477,' Disaggregation - Section E '!A$7:J595,5,0)),"")</f>
        <v/>
      </c>
      <c r="G1477" s="387" t="str">
        <f ca="1">IFERROR(IF(VLOOKUP(C1477,' Disaggregation - Section E '!A$7:J595,6,0)="","",VLOOKUP(C1477,' Disaggregation - Section E '!A$7:J595,6,0)),"")</f>
        <v/>
      </c>
      <c r="H1477" s="387" t="str">
        <f ca="1">IFERROR(IF(INDEX(' Disaggregation - Section E '!F$7:F595,MATCH(C1477,' Disaggregation - Section E '!A$7:A595,0)+1,1)&lt;&gt;0,INDEX(' Disaggregation - Section E '!F$7:F595,MATCH(C1477,' Disaggregation - Section E '!A$7:A595,0)+1,1),""),"")</f>
        <v/>
      </c>
      <c r="I1477" s="388" t="str">
        <f ca="1">IFERROR(IF(VLOOKUP(C1477,' Disaggregation - Section E '!A$7:J595,8,0)=0,"",VLOOKUP(C1477,' Disaggregation - Section E '!A$7:J595,8,0)),"")</f>
        <v/>
      </c>
      <c r="J1477" s="388" t="str">
        <f ca="1">IFERROR(IF(VLOOKUP(C1477,' Disaggregation - Section E '!A$7:J595,9,0)="","",VLOOKUP(C1477,' Disaggregation - Section E '!A$7:J595,9,0)),"")</f>
        <v/>
      </c>
      <c r="K1477" s="384" t="str">
        <f ca="1">IFERROR(VLOOKUP(C1477,' Disaggregation - Section E '!A$7:J595,3,0),"")</f>
        <v/>
      </c>
      <c r="L1477" s="388" t="str">
        <f ca="1">IFERROR(IF(VLOOKUP(C1477,' Disaggregation - Section E '!A$7:J595,10,0)="","",VLOOKUP(C1477,' Disaggregation - Section E '!A$7:J595,10,0)),"")</f>
        <v/>
      </c>
      <c r="M1477" s="384" t="str">
        <f ca="1">IFERROR(IF(VLOOKUP(C1477,' Disaggregation - Section E '!A$7:O595,15,0)=0,"",VLOOKUP(C1477,' Disaggregation - Section E '!A$7:O595,15,0)),"")</f>
        <v/>
      </c>
      <c r="N1477" s="384"/>
      <c r="O1477" s="384"/>
    </row>
    <row r="1478" spans="1:15" x14ac:dyDescent="0.3">
      <c r="A1478" s="384" t="b">
        <f t="shared" ca="1" si="134"/>
        <v>0</v>
      </c>
      <c r="B1478" s="384"/>
      <c r="C1478" s="400" t="str">
        <f ca="1">IF(COUNTA(O$1189:O1478)=1,"",OFFSET(B1478,-COUNTA(O$1189:O1478)+1,1))</f>
        <v>a1GDm000000XmmzMAC</v>
      </c>
      <c r="D1478" s="389"/>
      <c r="E1478" s="386" t="str">
        <f ca="1">IFERROR(IF(VLOOKUP(C1478,' Disaggregation - Section E '!A$7:J596,7,0)="","",VLOOKUP(C1478,' Disaggregation - Section E '!A$7:J300,7,0)*100),"")</f>
        <v/>
      </c>
      <c r="F1478" s="388" t="str">
        <f ca="1">IFERROR(IF(VLOOKUP(C1478,' Disaggregation - Section E '!A$7:J596,5,0)=0,"",VLOOKUP(C1478,' Disaggregation - Section E '!A$7:J596,5,0)),"")</f>
        <v/>
      </c>
      <c r="G1478" s="387" t="str">
        <f ca="1">IFERROR(IF(VLOOKUP(C1478,' Disaggregation - Section E '!A$7:J596,6,0)="","",VLOOKUP(C1478,' Disaggregation - Section E '!A$7:J596,6,0)),"")</f>
        <v/>
      </c>
      <c r="H1478" s="387" t="str">
        <f ca="1">IFERROR(IF(INDEX(' Disaggregation - Section E '!F$7:F596,MATCH(C1478,' Disaggregation - Section E '!A$7:A596,0)+1,1)&lt;&gt;0,INDEX(' Disaggregation - Section E '!F$7:F596,MATCH(C1478,' Disaggregation - Section E '!A$7:A596,0)+1,1),""),"")</f>
        <v/>
      </c>
      <c r="I1478" s="388" t="str">
        <f ca="1">IFERROR(IF(VLOOKUP(C1478,' Disaggregation - Section E '!A$7:J596,8,0)=0,"",VLOOKUP(C1478,' Disaggregation - Section E '!A$7:J596,8,0)),"")</f>
        <v/>
      </c>
      <c r="J1478" s="388" t="str">
        <f ca="1">IFERROR(IF(VLOOKUP(C1478,' Disaggregation - Section E '!A$7:J596,9,0)="","",VLOOKUP(C1478,' Disaggregation - Section E '!A$7:J596,9,0)),"")</f>
        <v/>
      </c>
      <c r="K1478" s="384" t="str">
        <f ca="1">IFERROR(VLOOKUP(C1478,' Disaggregation - Section E '!A$7:J596,3,0),"")</f>
        <v/>
      </c>
      <c r="L1478" s="388" t="str">
        <f ca="1">IFERROR(IF(VLOOKUP(C1478,' Disaggregation - Section E '!A$7:J596,10,0)="","",VLOOKUP(C1478,' Disaggregation - Section E '!A$7:J596,10,0)),"")</f>
        <v/>
      </c>
      <c r="M1478" s="384" t="str">
        <f ca="1">IFERROR(IF(VLOOKUP(C1478,' Disaggregation - Section E '!A$7:O596,15,0)=0,"",VLOOKUP(C1478,' Disaggregation - Section E '!A$7:O596,15,0)),"")</f>
        <v/>
      </c>
      <c r="N1478" s="384"/>
      <c r="O1478" s="384"/>
    </row>
    <row r="1479" spans="1:15" x14ac:dyDescent="0.3">
      <c r="A1479" s="384" t="b">
        <f t="shared" ca="1" si="134"/>
        <v>0</v>
      </c>
      <c r="B1479" s="384"/>
      <c r="C1479" s="400" t="str">
        <f ca="1">IF(COUNTA(O$1189:O1479)=1,"",OFFSET(B1479,-COUNTA(O$1189:O1479)+1,1))</f>
        <v>a1GDm000000Xmn0MAC</v>
      </c>
      <c r="D1479" s="389"/>
      <c r="E1479" s="386" t="str">
        <f ca="1">IFERROR(IF(VLOOKUP(C1479,' Disaggregation - Section E '!A$7:J597,7,0)="","",VLOOKUP(C1479,' Disaggregation - Section E '!A$7:J301,7,0)*100),"")</f>
        <v/>
      </c>
      <c r="F1479" s="388" t="str">
        <f ca="1">IFERROR(IF(VLOOKUP(C1479,' Disaggregation - Section E '!A$7:J597,5,0)=0,"",VLOOKUP(C1479,' Disaggregation - Section E '!A$7:J597,5,0)),"")</f>
        <v/>
      </c>
      <c r="G1479" s="387" t="str">
        <f ca="1">IFERROR(IF(VLOOKUP(C1479,' Disaggregation - Section E '!A$7:J597,6,0)="","",VLOOKUP(C1479,' Disaggregation - Section E '!A$7:J597,6,0)),"")</f>
        <v/>
      </c>
      <c r="H1479" s="387" t="str">
        <f ca="1">IFERROR(IF(INDEX(' Disaggregation - Section E '!F$7:F597,MATCH(C1479,' Disaggregation - Section E '!A$7:A597,0)+1,1)&lt;&gt;0,INDEX(' Disaggregation - Section E '!F$7:F597,MATCH(C1479,' Disaggregation - Section E '!A$7:A597,0)+1,1),""),"")</f>
        <v/>
      </c>
      <c r="I1479" s="388" t="str">
        <f ca="1">IFERROR(IF(VLOOKUP(C1479,' Disaggregation - Section E '!A$7:J597,8,0)=0,"",VLOOKUP(C1479,' Disaggregation - Section E '!A$7:J597,8,0)),"")</f>
        <v/>
      </c>
      <c r="J1479" s="388" t="str">
        <f ca="1">IFERROR(IF(VLOOKUP(C1479,' Disaggregation - Section E '!A$7:J597,9,0)="","",VLOOKUP(C1479,' Disaggregation - Section E '!A$7:J597,9,0)),"")</f>
        <v/>
      </c>
      <c r="K1479" s="384" t="str">
        <f ca="1">IFERROR(VLOOKUP(C1479,' Disaggregation - Section E '!A$7:J597,3,0),"")</f>
        <v/>
      </c>
      <c r="L1479" s="388" t="str">
        <f ca="1">IFERROR(IF(VLOOKUP(C1479,' Disaggregation - Section E '!A$7:J597,10,0)="","",VLOOKUP(C1479,' Disaggregation - Section E '!A$7:J597,10,0)),"")</f>
        <v/>
      </c>
      <c r="M1479" s="384" t="str">
        <f ca="1">IFERROR(IF(VLOOKUP(C1479,' Disaggregation - Section E '!A$7:O597,15,0)=0,"",VLOOKUP(C1479,' Disaggregation - Section E '!A$7:O597,15,0)),"")</f>
        <v/>
      </c>
      <c r="N1479" s="384"/>
      <c r="O1479" s="384"/>
    </row>
    <row r="1480" spans="1:15" x14ac:dyDescent="0.3">
      <c r="A1480" s="384" t="b">
        <f t="shared" ca="1" si="134"/>
        <v>0</v>
      </c>
      <c r="B1480" s="384"/>
      <c r="C1480" s="400" t="str">
        <f ca="1">IF(COUNTA(O$1189:O1480)=1,"",OFFSET(B1480,-COUNTA(O$1189:O1480)+1,1))</f>
        <v>a1GDm000000Xmn1MAC</v>
      </c>
      <c r="D1480" s="389"/>
      <c r="E1480" s="386" t="str">
        <f ca="1">IFERROR(IF(VLOOKUP(C1480,' Disaggregation - Section E '!A$7:J598,7,0)="","",VLOOKUP(C1480,' Disaggregation - Section E '!A$7:J302,7,0)*100),"")</f>
        <v/>
      </c>
      <c r="F1480" s="388" t="str">
        <f ca="1">IFERROR(IF(VLOOKUP(C1480,' Disaggregation - Section E '!A$7:J598,5,0)=0,"",VLOOKUP(C1480,' Disaggregation - Section E '!A$7:J598,5,0)),"")</f>
        <v/>
      </c>
      <c r="G1480" s="387" t="str">
        <f ca="1">IFERROR(IF(VLOOKUP(C1480,' Disaggregation - Section E '!A$7:J598,6,0)="","",VLOOKUP(C1480,' Disaggregation - Section E '!A$7:J598,6,0)),"")</f>
        <v/>
      </c>
      <c r="H1480" s="387" t="str">
        <f ca="1">IFERROR(IF(INDEX(' Disaggregation - Section E '!F$7:F598,MATCH(C1480,' Disaggregation - Section E '!A$7:A598,0)+1,1)&lt;&gt;0,INDEX(' Disaggregation - Section E '!F$7:F598,MATCH(C1480,' Disaggregation - Section E '!A$7:A598,0)+1,1),""),"")</f>
        <v/>
      </c>
      <c r="I1480" s="388" t="str">
        <f ca="1">IFERROR(IF(VLOOKUP(C1480,' Disaggregation - Section E '!A$7:J598,8,0)=0,"",VLOOKUP(C1480,' Disaggregation - Section E '!A$7:J598,8,0)),"")</f>
        <v/>
      </c>
      <c r="J1480" s="388" t="str">
        <f ca="1">IFERROR(IF(VLOOKUP(C1480,' Disaggregation - Section E '!A$7:J598,9,0)="","",VLOOKUP(C1480,' Disaggregation - Section E '!A$7:J598,9,0)),"")</f>
        <v/>
      </c>
      <c r="K1480" s="384" t="str">
        <f ca="1">IFERROR(VLOOKUP(C1480,' Disaggregation - Section E '!A$7:J598,3,0),"")</f>
        <v/>
      </c>
      <c r="L1480" s="388" t="str">
        <f ca="1">IFERROR(IF(VLOOKUP(C1480,' Disaggregation - Section E '!A$7:J598,10,0)="","",VLOOKUP(C1480,' Disaggregation - Section E '!A$7:J598,10,0)),"")</f>
        <v/>
      </c>
      <c r="M1480" s="384" t="str">
        <f ca="1">IFERROR(IF(VLOOKUP(C1480,' Disaggregation - Section E '!A$7:O598,15,0)=0,"",VLOOKUP(C1480,' Disaggregation - Section E '!A$7:O598,15,0)),"")</f>
        <v/>
      </c>
      <c r="N1480" s="384"/>
      <c r="O1480" s="384"/>
    </row>
    <row r="1481" spans="1:15" x14ac:dyDescent="0.3">
      <c r="A1481" s="384" t="b">
        <f t="shared" ca="1" si="134"/>
        <v>0</v>
      </c>
      <c r="B1481" s="384"/>
      <c r="C1481" s="400" t="str">
        <f ca="1">IF(COUNTA(O$1189:O1481)=1,"",OFFSET(B1481,-COUNTA(O$1189:O1481)+1,1))</f>
        <v>a1GDm000000Xmn2MAC</v>
      </c>
      <c r="D1481" s="389"/>
      <c r="E1481" s="386" t="str">
        <f ca="1">IFERROR(IF(VLOOKUP(C1481,' Disaggregation - Section E '!A$7:J599,7,0)="","",VLOOKUP(C1481,' Disaggregation - Section E '!A$7:J303,7,0)*100),"")</f>
        <v/>
      </c>
      <c r="F1481" s="388" t="str">
        <f ca="1">IFERROR(IF(VLOOKUP(C1481,' Disaggregation - Section E '!A$7:J599,5,0)=0,"",VLOOKUP(C1481,' Disaggregation - Section E '!A$7:J599,5,0)),"")</f>
        <v/>
      </c>
      <c r="G1481" s="387" t="str">
        <f ca="1">IFERROR(IF(VLOOKUP(C1481,' Disaggregation - Section E '!A$7:J599,6,0)="","",VLOOKUP(C1481,' Disaggregation - Section E '!A$7:J599,6,0)),"")</f>
        <v/>
      </c>
      <c r="H1481" s="387" t="str">
        <f ca="1">IFERROR(IF(INDEX(' Disaggregation - Section E '!F$7:F599,MATCH(C1481,' Disaggregation - Section E '!A$7:A599,0)+1,1)&lt;&gt;0,INDEX(' Disaggregation - Section E '!F$7:F599,MATCH(C1481,' Disaggregation - Section E '!A$7:A599,0)+1,1),""),"")</f>
        <v/>
      </c>
      <c r="I1481" s="388" t="str">
        <f ca="1">IFERROR(IF(VLOOKUP(C1481,' Disaggregation - Section E '!A$7:J599,8,0)=0,"",VLOOKUP(C1481,' Disaggregation - Section E '!A$7:J599,8,0)),"")</f>
        <v/>
      </c>
      <c r="J1481" s="388" t="str">
        <f ca="1">IFERROR(IF(VLOOKUP(C1481,' Disaggregation - Section E '!A$7:J599,9,0)="","",VLOOKUP(C1481,' Disaggregation - Section E '!A$7:J599,9,0)),"")</f>
        <v/>
      </c>
      <c r="K1481" s="384" t="str">
        <f ca="1">IFERROR(VLOOKUP(C1481,' Disaggregation - Section E '!A$7:J599,3,0),"")</f>
        <v/>
      </c>
      <c r="L1481" s="388" t="str">
        <f ca="1">IFERROR(IF(VLOOKUP(C1481,' Disaggregation - Section E '!A$7:J599,10,0)="","",VLOOKUP(C1481,' Disaggregation - Section E '!A$7:J599,10,0)),"")</f>
        <v/>
      </c>
      <c r="M1481" s="384" t="str">
        <f ca="1">IFERROR(IF(VLOOKUP(C1481,' Disaggregation - Section E '!A$7:O599,15,0)=0,"",VLOOKUP(C1481,' Disaggregation - Section E '!A$7:O599,15,0)),"")</f>
        <v/>
      </c>
      <c r="N1481" s="384"/>
      <c r="O1481" s="384"/>
    </row>
    <row r="1482" spans="1:15" x14ac:dyDescent="0.3">
      <c r="A1482" s="384" t="b">
        <f t="shared" ca="1" si="134"/>
        <v>0</v>
      </c>
      <c r="B1482" s="384"/>
      <c r="C1482" s="400" t="str">
        <f ca="1">IF(COUNTA(O$1189:O1482)=1,"",OFFSET(B1482,-COUNTA(O$1189:O1482)+1,1))</f>
        <v>a1GDm000000Xmn3MAC</v>
      </c>
      <c r="D1482" s="389"/>
      <c r="E1482" s="386" t="str">
        <f ca="1">IFERROR(IF(VLOOKUP(C1482,' Disaggregation - Section E '!A$7:J600,7,0)="","",VLOOKUP(C1482,' Disaggregation - Section E '!A$7:J304,7,0)*100),"")</f>
        <v/>
      </c>
      <c r="F1482" s="388" t="str">
        <f ca="1">IFERROR(IF(VLOOKUP(C1482,' Disaggregation - Section E '!A$7:J600,5,0)=0,"",VLOOKUP(C1482,' Disaggregation - Section E '!A$7:J600,5,0)),"")</f>
        <v/>
      </c>
      <c r="G1482" s="387" t="str">
        <f ca="1">IFERROR(IF(VLOOKUP(C1482,' Disaggregation - Section E '!A$7:J600,6,0)="","",VLOOKUP(C1482,' Disaggregation - Section E '!A$7:J600,6,0)),"")</f>
        <v/>
      </c>
      <c r="H1482" s="387" t="str">
        <f ca="1">IFERROR(IF(INDEX(' Disaggregation - Section E '!F$7:F600,MATCH(C1482,' Disaggregation - Section E '!A$7:A600,0)+1,1)&lt;&gt;0,INDEX(' Disaggregation - Section E '!F$7:F600,MATCH(C1482,' Disaggregation - Section E '!A$7:A600,0)+1,1),""),"")</f>
        <v/>
      </c>
      <c r="I1482" s="388" t="str">
        <f ca="1">IFERROR(IF(VLOOKUP(C1482,' Disaggregation - Section E '!A$7:J600,8,0)=0,"",VLOOKUP(C1482,' Disaggregation - Section E '!A$7:J600,8,0)),"")</f>
        <v/>
      </c>
      <c r="J1482" s="388" t="str">
        <f ca="1">IFERROR(IF(VLOOKUP(C1482,' Disaggregation - Section E '!A$7:J600,9,0)="","",VLOOKUP(C1482,' Disaggregation - Section E '!A$7:J600,9,0)),"")</f>
        <v/>
      </c>
      <c r="K1482" s="384" t="str">
        <f ca="1">IFERROR(VLOOKUP(C1482,' Disaggregation - Section E '!A$7:J600,3,0),"")</f>
        <v/>
      </c>
      <c r="L1482" s="388" t="str">
        <f ca="1">IFERROR(IF(VLOOKUP(C1482,' Disaggregation - Section E '!A$7:J600,10,0)="","",VLOOKUP(C1482,' Disaggregation - Section E '!A$7:J600,10,0)),"")</f>
        <v/>
      </c>
      <c r="M1482" s="384" t="str">
        <f ca="1">IFERROR(IF(VLOOKUP(C1482,' Disaggregation - Section E '!A$7:O600,15,0)=0,"",VLOOKUP(C1482,' Disaggregation - Section E '!A$7:O600,15,0)),"")</f>
        <v/>
      </c>
      <c r="N1482" s="384"/>
      <c r="O1482" s="384"/>
    </row>
    <row r="1483" spans="1:15" x14ac:dyDescent="0.3">
      <c r="A1483" s="384" t="b">
        <f t="shared" ca="1" si="134"/>
        <v>0</v>
      </c>
      <c r="B1483" s="384"/>
      <c r="C1483" s="400" t="str">
        <f ca="1">IF(COUNTA(O$1189:O1483)=1,"",OFFSET(B1483,-COUNTA(O$1189:O1483)+1,1))</f>
        <v>a1GDm000000Xmn4MAC</v>
      </c>
      <c r="D1483" s="389"/>
      <c r="E1483" s="386" t="str">
        <f ca="1">IFERROR(IF(VLOOKUP(C1483,' Disaggregation - Section E '!A$7:J601,7,0)="","",VLOOKUP(C1483,' Disaggregation - Section E '!A$7:J305,7,0)*100),"")</f>
        <v/>
      </c>
      <c r="F1483" s="388" t="str">
        <f ca="1">IFERROR(IF(VLOOKUP(C1483,' Disaggregation - Section E '!A$7:J601,5,0)=0,"",VLOOKUP(C1483,' Disaggregation - Section E '!A$7:J601,5,0)),"")</f>
        <v/>
      </c>
      <c r="G1483" s="387" t="str">
        <f ca="1">IFERROR(IF(VLOOKUP(C1483,' Disaggregation - Section E '!A$7:J601,6,0)="","",VLOOKUP(C1483,' Disaggregation - Section E '!A$7:J601,6,0)),"")</f>
        <v/>
      </c>
      <c r="H1483" s="387" t="str">
        <f ca="1">IFERROR(IF(INDEX(' Disaggregation - Section E '!F$7:F601,MATCH(C1483,' Disaggregation - Section E '!A$7:A601,0)+1,1)&lt;&gt;0,INDEX(' Disaggregation - Section E '!F$7:F601,MATCH(C1483,' Disaggregation - Section E '!A$7:A601,0)+1,1),""),"")</f>
        <v/>
      </c>
      <c r="I1483" s="388" t="str">
        <f ca="1">IFERROR(IF(VLOOKUP(C1483,' Disaggregation - Section E '!A$7:J601,8,0)=0,"",VLOOKUP(C1483,' Disaggregation - Section E '!A$7:J601,8,0)),"")</f>
        <v/>
      </c>
      <c r="J1483" s="388" t="str">
        <f ca="1">IFERROR(IF(VLOOKUP(C1483,' Disaggregation - Section E '!A$7:J601,9,0)="","",VLOOKUP(C1483,' Disaggregation - Section E '!A$7:J601,9,0)),"")</f>
        <v/>
      </c>
      <c r="K1483" s="384" t="str">
        <f ca="1">IFERROR(VLOOKUP(C1483,' Disaggregation - Section E '!A$7:J601,3,0),"")</f>
        <v/>
      </c>
      <c r="L1483" s="388" t="str">
        <f ca="1">IFERROR(IF(VLOOKUP(C1483,' Disaggregation - Section E '!A$7:J601,10,0)="","",VLOOKUP(C1483,' Disaggregation - Section E '!A$7:J601,10,0)),"")</f>
        <v/>
      </c>
      <c r="M1483" s="384" t="str">
        <f ca="1">IFERROR(IF(VLOOKUP(C1483,' Disaggregation - Section E '!A$7:O601,15,0)=0,"",VLOOKUP(C1483,' Disaggregation - Section E '!A$7:O601,15,0)),"")</f>
        <v/>
      </c>
      <c r="N1483" s="384"/>
      <c r="O1483" s="384"/>
    </row>
    <row r="1484" spans="1:15" x14ac:dyDescent="0.3">
      <c r="A1484" s="384" t="b">
        <f t="shared" ca="1" si="134"/>
        <v>0</v>
      </c>
      <c r="B1484" s="384"/>
      <c r="C1484" s="400" t="str">
        <f ca="1">IF(COUNTA(O$1189:O1484)=1,"",OFFSET(B1484,-COUNTA(O$1189:O1484)+1,1))</f>
        <v>a1GDm000000Xmn5MAC</v>
      </c>
      <c r="D1484" s="389"/>
      <c r="E1484" s="386" t="str">
        <f ca="1">IFERROR(IF(VLOOKUP(C1484,' Disaggregation - Section E '!A$7:J602,7,0)="","",VLOOKUP(C1484,' Disaggregation - Section E '!A$7:J306,7,0)*100),"")</f>
        <v/>
      </c>
      <c r="F1484" s="388" t="str">
        <f ca="1">IFERROR(IF(VLOOKUP(C1484,' Disaggregation - Section E '!A$7:J602,5,0)=0,"",VLOOKUP(C1484,' Disaggregation - Section E '!A$7:J602,5,0)),"")</f>
        <v/>
      </c>
      <c r="G1484" s="387" t="str">
        <f ca="1">IFERROR(IF(VLOOKUP(C1484,' Disaggregation - Section E '!A$7:J602,6,0)="","",VLOOKUP(C1484,' Disaggregation - Section E '!A$7:J602,6,0)),"")</f>
        <v/>
      </c>
      <c r="H1484" s="387" t="str">
        <f ca="1">IFERROR(IF(INDEX(' Disaggregation - Section E '!F$7:F602,MATCH(C1484,' Disaggregation - Section E '!A$7:A602,0)+1,1)&lt;&gt;0,INDEX(' Disaggregation - Section E '!F$7:F602,MATCH(C1484,' Disaggregation - Section E '!A$7:A602,0)+1,1),""),"")</f>
        <v/>
      </c>
      <c r="I1484" s="388" t="str">
        <f ca="1">IFERROR(IF(VLOOKUP(C1484,' Disaggregation - Section E '!A$7:J602,8,0)=0,"",VLOOKUP(C1484,' Disaggregation - Section E '!A$7:J602,8,0)),"")</f>
        <v/>
      </c>
      <c r="J1484" s="388" t="str">
        <f ca="1">IFERROR(IF(VLOOKUP(C1484,' Disaggregation - Section E '!A$7:J602,9,0)="","",VLOOKUP(C1484,' Disaggregation - Section E '!A$7:J602,9,0)),"")</f>
        <v/>
      </c>
      <c r="K1484" s="384" t="str">
        <f ca="1">IFERROR(VLOOKUP(C1484,' Disaggregation - Section E '!A$7:J602,3,0),"")</f>
        <v/>
      </c>
      <c r="L1484" s="388" t="str">
        <f ca="1">IFERROR(IF(VLOOKUP(C1484,' Disaggregation - Section E '!A$7:J602,10,0)="","",VLOOKUP(C1484,' Disaggregation - Section E '!A$7:J602,10,0)),"")</f>
        <v/>
      </c>
      <c r="M1484" s="384" t="str">
        <f ca="1">IFERROR(IF(VLOOKUP(C1484,' Disaggregation - Section E '!A$7:O602,15,0)=0,"",VLOOKUP(C1484,' Disaggregation - Section E '!A$7:O602,15,0)),"")</f>
        <v/>
      </c>
      <c r="N1484" s="384"/>
      <c r="O1484" s="384"/>
    </row>
    <row r="1485" spans="1:15" x14ac:dyDescent="0.3">
      <c r="A1485" s="384" t="b">
        <f t="shared" ca="1" si="134"/>
        <v>0</v>
      </c>
      <c r="B1485" s="384"/>
      <c r="C1485" s="400" t="str">
        <f ca="1">IF(COUNTA(O$1189:O1485)=1,"",OFFSET(B1485,-COUNTA(O$1189:O1485)+1,1))</f>
        <v>a1GDm000000Xmn6MAC</v>
      </c>
      <c r="D1485" s="389"/>
      <c r="E1485" s="386" t="str">
        <f ca="1">IFERROR(IF(VLOOKUP(C1485,' Disaggregation - Section E '!A$7:J603,7,0)="","",VLOOKUP(C1485,' Disaggregation - Section E '!A$7:J307,7,0)*100),"")</f>
        <v/>
      </c>
      <c r="F1485" s="388" t="str">
        <f ca="1">IFERROR(IF(VLOOKUP(C1485,' Disaggregation - Section E '!A$7:J603,5,0)=0,"",VLOOKUP(C1485,' Disaggregation - Section E '!A$7:J603,5,0)),"")</f>
        <v/>
      </c>
      <c r="G1485" s="387" t="str">
        <f ca="1">IFERROR(IF(VLOOKUP(C1485,' Disaggregation - Section E '!A$7:J603,6,0)="","",VLOOKUP(C1485,' Disaggregation - Section E '!A$7:J603,6,0)),"")</f>
        <v/>
      </c>
      <c r="H1485" s="387" t="str">
        <f ca="1">IFERROR(IF(INDEX(' Disaggregation - Section E '!F$7:F603,MATCH(C1485,' Disaggregation - Section E '!A$7:A603,0)+1,1)&lt;&gt;0,INDEX(' Disaggregation - Section E '!F$7:F603,MATCH(C1485,' Disaggregation - Section E '!A$7:A603,0)+1,1),""),"")</f>
        <v/>
      </c>
      <c r="I1485" s="388" t="str">
        <f ca="1">IFERROR(IF(VLOOKUP(C1485,' Disaggregation - Section E '!A$7:J603,8,0)=0,"",VLOOKUP(C1485,' Disaggregation - Section E '!A$7:J603,8,0)),"")</f>
        <v/>
      </c>
      <c r="J1485" s="388" t="str">
        <f ca="1">IFERROR(IF(VLOOKUP(C1485,' Disaggregation - Section E '!A$7:J603,9,0)="","",VLOOKUP(C1485,' Disaggregation - Section E '!A$7:J603,9,0)),"")</f>
        <v/>
      </c>
      <c r="K1485" s="384" t="str">
        <f ca="1">IFERROR(VLOOKUP(C1485,' Disaggregation - Section E '!A$7:J603,3,0),"")</f>
        <v/>
      </c>
      <c r="L1485" s="388" t="str">
        <f ca="1">IFERROR(IF(VLOOKUP(C1485,' Disaggregation - Section E '!A$7:J603,10,0)="","",VLOOKUP(C1485,' Disaggregation - Section E '!A$7:J603,10,0)),"")</f>
        <v/>
      </c>
      <c r="M1485" s="384" t="str">
        <f ca="1">IFERROR(IF(VLOOKUP(C1485,' Disaggregation - Section E '!A$7:O603,15,0)=0,"",VLOOKUP(C1485,' Disaggregation - Section E '!A$7:O603,15,0)),"")</f>
        <v/>
      </c>
      <c r="N1485" s="384"/>
      <c r="O1485" s="384"/>
    </row>
    <row r="1486" spans="1:15" x14ac:dyDescent="0.3">
      <c r="A1486" s="384" t="b">
        <f t="shared" ca="1" si="134"/>
        <v>0</v>
      </c>
      <c r="B1486" s="384"/>
      <c r="C1486" s="400" t="str">
        <f ca="1">IF(COUNTA(O$1189:O1486)=1,"",OFFSET(B1486,-COUNTA(O$1189:O1486)+1,1))</f>
        <v>a1GDm000000Xmn7MAC</v>
      </c>
      <c r="D1486" s="389"/>
      <c r="E1486" s="386" t="str">
        <f ca="1">IFERROR(IF(VLOOKUP(C1486,' Disaggregation - Section E '!A$7:J604,7,0)="","",VLOOKUP(C1486,' Disaggregation - Section E '!A$7:J308,7,0)*100),"")</f>
        <v/>
      </c>
      <c r="F1486" s="388" t="str">
        <f ca="1">IFERROR(IF(VLOOKUP(C1486,' Disaggregation - Section E '!A$7:J604,5,0)=0,"",VLOOKUP(C1486,' Disaggregation - Section E '!A$7:J604,5,0)),"")</f>
        <v/>
      </c>
      <c r="G1486" s="387" t="str">
        <f ca="1">IFERROR(IF(VLOOKUP(C1486,' Disaggregation - Section E '!A$7:J604,6,0)="","",VLOOKUP(C1486,' Disaggregation - Section E '!A$7:J604,6,0)),"")</f>
        <v/>
      </c>
      <c r="H1486" s="387" t="str">
        <f ca="1">IFERROR(IF(INDEX(' Disaggregation - Section E '!F$7:F604,MATCH(C1486,' Disaggregation - Section E '!A$7:A604,0)+1,1)&lt;&gt;0,INDEX(' Disaggregation - Section E '!F$7:F604,MATCH(C1486,' Disaggregation - Section E '!A$7:A604,0)+1,1),""),"")</f>
        <v/>
      </c>
      <c r="I1486" s="388" t="str">
        <f ca="1">IFERROR(IF(VLOOKUP(C1486,' Disaggregation - Section E '!A$7:J604,8,0)=0,"",VLOOKUP(C1486,' Disaggregation - Section E '!A$7:J604,8,0)),"")</f>
        <v/>
      </c>
      <c r="J1486" s="388" t="str">
        <f ca="1">IFERROR(IF(VLOOKUP(C1486,' Disaggregation - Section E '!A$7:J604,9,0)="","",VLOOKUP(C1486,' Disaggregation - Section E '!A$7:J604,9,0)),"")</f>
        <v/>
      </c>
      <c r="K1486" s="384" t="str">
        <f ca="1">IFERROR(VLOOKUP(C1486,' Disaggregation - Section E '!A$7:J604,3,0),"")</f>
        <v/>
      </c>
      <c r="L1486" s="388" t="str">
        <f ca="1">IFERROR(IF(VLOOKUP(C1486,' Disaggregation - Section E '!A$7:J604,10,0)="","",VLOOKUP(C1486,' Disaggregation - Section E '!A$7:J604,10,0)),"")</f>
        <v/>
      </c>
      <c r="M1486" s="384" t="str">
        <f ca="1">IFERROR(IF(VLOOKUP(C1486,' Disaggregation - Section E '!A$7:O604,15,0)=0,"",VLOOKUP(C1486,' Disaggregation - Section E '!A$7:O604,15,0)),"")</f>
        <v/>
      </c>
      <c r="N1486" s="384"/>
      <c r="O1486" s="384"/>
    </row>
    <row r="1487" spans="1:15" x14ac:dyDescent="0.3">
      <c r="A1487" s="384" t="b">
        <f t="shared" ca="1" si="134"/>
        <v>0</v>
      </c>
      <c r="B1487" s="384"/>
      <c r="C1487" s="400" t="str">
        <f ca="1">IF(COUNTA(O$1189:O1487)=1,"",OFFSET(B1487,-COUNTA(O$1189:O1487)+1,1))</f>
        <v>a1GDm000000Xmn8MAC</v>
      </c>
      <c r="D1487" s="389"/>
      <c r="E1487" s="386" t="str">
        <f ca="1">IFERROR(IF(VLOOKUP(C1487,' Disaggregation - Section E '!A$7:J605,7,0)="","",VLOOKUP(C1487,' Disaggregation - Section E '!A$7:J309,7,0)*100),"")</f>
        <v/>
      </c>
      <c r="F1487" s="388" t="str">
        <f ca="1">IFERROR(IF(VLOOKUP(C1487,' Disaggregation - Section E '!A$7:J605,5,0)=0,"",VLOOKUP(C1487,' Disaggregation - Section E '!A$7:J605,5,0)),"")</f>
        <v/>
      </c>
      <c r="G1487" s="387" t="str">
        <f ca="1">IFERROR(IF(VLOOKUP(C1487,' Disaggregation - Section E '!A$7:J605,6,0)="","",VLOOKUP(C1487,' Disaggregation - Section E '!A$7:J605,6,0)),"")</f>
        <v/>
      </c>
      <c r="H1487" s="387" t="str">
        <f ca="1">IFERROR(IF(INDEX(' Disaggregation - Section E '!F$7:F605,MATCH(C1487,' Disaggregation - Section E '!A$7:A605,0)+1,1)&lt;&gt;0,INDEX(' Disaggregation - Section E '!F$7:F605,MATCH(C1487,' Disaggregation - Section E '!A$7:A605,0)+1,1),""),"")</f>
        <v/>
      </c>
      <c r="I1487" s="388" t="str">
        <f ca="1">IFERROR(IF(VLOOKUP(C1487,' Disaggregation - Section E '!A$7:J605,8,0)=0,"",VLOOKUP(C1487,' Disaggregation - Section E '!A$7:J605,8,0)),"")</f>
        <v/>
      </c>
      <c r="J1487" s="388" t="str">
        <f ca="1">IFERROR(IF(VLOOKUP(C1487,' Disaggregation - Section E '!A$7:J605,9,0)="","",VLOOKUP(C1487,' Disaggregation - Section E '!A$7:J605,9,0)),"")</f>
        <v/>
      </c>
      <c r="K1487" s="384" t="str">
        <f ca="1">IFERROR(VLOOKUP(C1487,' Disaggregation - Section E '!A$7:J605,3,0),"")</f>
        <v/>
      </c>
      <c r="L1487" s="388" t="str">
        <f ca="1">IFERROR(IF(VLOOKUP(C1487,' Disaggregation - Section E '!A$7:J605,10,0)="","",VLOOKUP(C1487,' Disaggregation - Section E '!A$7:J605,10,0)),"")</f>
        <v/>
      </c>
      <c r="M1487" s="384" t="str">
        <f ca="1">IFERROR(IF(VLOOKUP(C1487,' Disaggregation - Section E '!A$7:O605,15,0)=0,"",VLOOKUP(C1487,' Disaggregation - Section E '!A$7:O605,15,0)),"")</f>
        <v/>
      </c>
      <c r="N1487" s="384"/>
      <c r="O1487" s="384"/>
    </row>
    <row r="1488" spans="1:15" x14ac:dyDescent="0.3">
      <c r="A1488" s="384" t="b">
        <f t="shared" ca="1" si="134"/>
        <v>0</v>
      </c>
      <c r="B1488" s="384"/>
      <c r="C1488" s="400" t="str">
        <f ca="1">IF(COUNTA(O$1189:O1488)=1,"",OFFSET(B1488,-COUNTA(O$1189:O1488)+1,1))</f>
        <v>a1GDm000000Xmn9MAC</v>
      </c>
      <c r="D1488" s="389"/>
      <c r="E1488" s="386" t="str">
        <f ca="1">IFERROR(IF(VLOOKUP(C1488,' Disaggregation - Section E '!A$7:J606,7,0)="","",VLOOKUP(C1488,' Disaggregation - Section E '!A$7:J310,7,0)*100),"")</f>
        <v/>
      </c>
      <c r="F1488" s="388" t="str">
        <f ca="1">IFERROR(IF(VLOOKUP(C1488,' Disaggregation - Section E '!A$7:J606,5,0)=0,"",VLOOKUP(C1488,' Disaggregation - Section E '!A$7:J606,5,0)),"")</f>
        <v/>
      </c>
      <c r="G1488" s="387" t="str">
        <f ca="1">IFERROR(IF(VLOOKUP(C1488,' Disaggregation - Section E '!A$7:J606,6,0)="","",VLOOKUP(C1488,' Disaggregation - Section E '!A$7:J606,6,0)),"")</f>
        <v/>
      </c>
      <c r="H1488" s="387" t="str">
        <f ca="1">IFERROR(IF(INDEX(' Disaggregation - Section E '!F$7:F606,MATCH(C1488,' Disaggregation - Section E '!A$7:A606,0)+1,1)&lt;&gt;0,INDEX(' Disaggregation - Section E '!F$7:F606,MATCH(C1488,' Disaggregation - Section E '!A$7:A606,0)+1,1),""),"")</f>
        <v/>
      </c>
      <c r="I1488" s="388" t="str">
        <f ca="1">IFERROR(IF(VLOOKUP(C1488,' Disaggregation - Section E '!A$7:J606,8,0)=0,"",VLOOKUP(C1488,' Disaggregation - Section E '!A$7:J606,8,0)),"")</f>
        <v/>
      </c>
      <c r="J1488" s="388" t="str">
        <f ca="1">IFERROR(IF(VLOOKUP(C1488,' Disaggregation - Section E '!A$7:J606,9,0)="","",VLOOKUP(C1488,' Disaggregation - Section E '!A$7:J606,9,0)),"")</f>
        <v/>
      </c>
      <c r="K1488" s="384" t="str">
        <f ca="1">IFERROR(VLOOKUP(C1488,' Disaggregation - Section E '!A$7:J606,3,0),"")</f>
        <v/>
      </c>
      <c r="L1488" s="388" t="str">
        <f ca="1">IFERROR(IF(VLOOKUP(C1488,' Disaggregation - Section E '!A$7:J606,10,0)="","",VLOOKUP(C1488,' Disaggregation - Section E '!A$7:J606,10,0)),"")</f>
        <v/>
      </c>
      <c r="M1488" s="384" t="str">
        <f ca="1">IFERROR(IF(VLOOKUP(C1488,' Disaggregation - Section E '!A$7:O606,15,0)=0,"",VLOOKUP(C1488,' Disaggregation - Section E '!A$7:O606,15,0)),"")</f>
        <v/>
      </c>
      <c r="N1488" s="384"/>
      <c r="O1488" s="384"/>
    </row>
    <row r="1489" spans="1:15" x14ac:dyDescent="0.3">
      <c r="A1489" s="384" t="b">
        <f t="shared" ca="1" si="134"/>
        <v>0</v>
      </c>
      <c r="B1489" s="384"/>
      <c r="C1489" s="400" t="str">
        <f ca="1">IF(COUNTA(O$1189:O1489)=1,"",OFFSET(B1489,-COUNTA(O$1189:O1489)+1,1))</f>
        <v>a1GDm000000XmnAMAS</v>
      </c>
      <c r="D1489" s="389"/>
      <c r="E1489" s="386" t="str">
        <f ca="1">IFERROR(IF(VLOOKUP(C1489,' Disaggregation - Section E '!A$7:J607,7,0)="","",VLOOKUP(C1489,' Disaggregation - Section E '!A$7:J311,7,0)*100),"")</f>
        <v/>
      </c>
      <c r="F1489" s="388" t="str">
        <f ca="1">IFERROR(IF(VLOOKUP(C1489,' Disaggregation - Section E '!A$7:J607,5,0)=0,"",VLOOKUP(C1489,' Disaggregation - Section E '!A$7:J607,5,0)),"")</f>
        <v/>
      </c>
      <c r="G1489" s="387" t="str">
        <f ca="1">IFERROR(IF(VLOOKUP(C1489,' Disaggregation - Section E '!A$7:J607,6,0)="","",VLOOKUP(C1489,' Disaggregation - Section E '!A$7:J607,6,0)),"")</f>
        <v/>
      </c>
      <c r="H1489" s="387" t="str">
        <f ca="1">IFERROR(IF(INDEX(' Disaggregation - Section E '!F$7:F607,MATCH(C1489,' Disaggregation - Section E '!A$7:A607,0)+1,1)&lt;&gt;0,INDEX(' Disaggregation - Section E '!F$7:F607,MATCH(C1489,' Disaggregation - Section E '!A$7:A607,0)+1,1),""),"")</f>
        <v/>
      </c>
      <c r="I1489" s="388" t="str">
        <f ca="1">IFERROR(IF(VLOOKUP(C1489,' Disaggregation - Section E '!A$7:J607,8,0)=0,"",VLOOKUP(C1489,' Disaggregation - Section E '!A$7:J607,8,0)),"")</f>
        <v/>
      </c>
      <c r="J1489" s="388" t="str">
        <f ca="1">IFERROR(IF(VLOOKUP(C1489,' Disaggregation - Section E '!A$7:J607,9,0)="","",VLOOKUP(C1489,' Disaggregation - Section E '!A$7:J607,9,0)),"")</f>
        <v/>
      </c>
      <c r="K1489" s="384" t="str">
        <f ca="1">IFERROR(VLOOKUP(C1489,' Disaggregation - Section E '!A$7:J607,3,0),"")</f>
        <v/>
      </c>
      <c r="L1489" s="388" t="str">
        <f ca="1">IFERROR(IF(VLOOKUP(C1489,' Disaggregation - Section E '!A$7:J607,10,0)="","",VLOOKUP(C1489,' Disaggregation - Section E '!A$7:J607,10,0)),"")</f>
        <v/>
      </c>
      <c r="M1489" s="384" t="str">
        <f ca="1">IFERROR(IF(VLOOKUP(C1489,' Disaggregation - Section E '!A$7:O607,15,0)=0,"",VLOOKUP(C1489,' Disaggregation - Section E '!A$7:O607,15,0)),"")</f>
        <v/>
      </c>
      <c r="N1489" s="384"/>
      <c r="O1489" s="384"/>
    </row>
    <row r="1490" spans="1:15" x14ac:dyDescent="0.3">
      <c r="A1490" s="384" t="b">
        <f t="shared" ca="1" si="134"/>
        <v>0</v>
      </c>
      <c r="B1490" s="384"/>
      <c r="C1490" s="400" t="str">
        <f ca="1">IF(COUNTA(O$1189:O1490)=1,"",OFFSET(B1490,-COUNTA(O$1189:O1490)+1,1))</f>
        <v>a1GDm000000XmnBMAS</v>
      </c>
      <c r="D1490" s="389"/>
      <c r="E1490" s="386" t="str">
        <f ca="1">IFERROR(IF(VLOOKUP(C1490,' Disaggregation - Section E '!A$7:J608,7,0)="","",VLOOKUP(C1490,' Disaggregation - Section E '!A$7:J312,7,0)*100),"")</f>
        <v/>
      </c>
      <c r="F1490" s="388" t="str">
        <f ca="1">IFERROR(IF(VLOOKUP(C1490,' Disaggregation - Section E '!A$7:J608,5,0)=0,"",VLOOKUP(C1490,' Disaggregation - Section E '!A$7:J608,5,0)),"")</f>
        <v/>
      </c>
      <c r="G1490" s="387" t="str">
        <f ca="1">IFERROR(IF(VLOOKUP(C1490,' Disaggregation - Section E '!A$7:J608,6,0)="","",VLOOKUP(C1490,' Disaggregation - Section E '!A$7:J608,6,0)),"")</f>
        <v/>
      </c>
      <c r="H1490" s="387" t="str">
        <f ca="1">IFERROR(IF(INDEX(' Disaggregation - Section E '!F$7:F608,MATCH(C1490,' Disaggregation - Section E '!A$7:A608,0)+1,1)&lt;&gt;0,INDEX(' Disaggregation - Section E '!F$7:F608,MATCH(C1490,' Disaggregation - Section E '!A$7:A608,0)+1,1),""),"")</f>
        <v/>
      </c>
      <c r="I1490" s="388" t="str">
        <f ca="1">IFERROR(IF(VLOOKUP(C1490,' Disaggregation - Section E '!A$7:J608,8,0)=0,"",VLOOKUP(C1490,' Disaggregation - Section E '!A$7:J608,8,0)),"")</f>
        <v/>
      </c>
      <c r="J1490" s="388" t="str">
        <f ca="1">IFERROR(IF(VLOOKUP(C1490,' Disaggregation - Section E '!A$7:J608,9,0)="","",VLOOKUP(C1490,' Disaggregation - Section E '!A$7:J608,9,0)),"")</f>
        <v/>
      </c>
      <c r="K1490" s="384" t="str">
        <f ca="1">IFERROR(VLOOKUP(C1490,' Disaggregation - Section E '!A$7:J608,3,0),"")</f>
        <v/>
      </c>
      <c r="L1490" s="388" t="str">
        <f ca="1">IFERROR(IF(VLOOKUP(C1490,' Disaggregation - Section E '!A$7:J608,10,0)="","",VLOOKUP(C1490,' Disaggregation - Section E '!A$7:J608,10,0)),"")</f>
        <v/>
      </c>
      <c r="M1490" s="384" t="str">
        <f ca="1">IFERROR(IF(VLOOKUP(C1490,' Disaggregation - Section E '!A$7:O608,15,0)=0,"",VLOOKUP(C1490,' Disaggregation - Section E '!A$7:O608,15,0)),"")</f>
        <v/>
      </c>
      <c r="N1490" s="384"/>
      <c r="O1490" s="384"/>
    </row>
    <row r="1492" spans="1:15" x14ac:dyDescent="0.3">
      <c r="A1492" s="382" t="s">
        <v>2237</v>
      </c>
    </row>
    <row r="1493" spans="1:15" x14ac:dyDescent="0.3">
      <c r="A1493" s="384" t="s">
        <v>325</v>
      </c>
      <c r="B1493" s="384"/>
      <c r="C1493" s="384" t="s">
        <v>318</v>
      </c>
      <c r="D1493" s="384" t="s">
        <v>2174</v>
      </c>
      <c r="E1493" s="384" t="s">
        <v>105</v>
      </c>
      <c r="F1493" s="384" t="s">
        <v>2217</v>
      </c>
      <c r="G1493" s="384" t="s">
        <v>2296</v>
      </c>
      <c r="H1493" s="384" t="s">
        <v>2295</v>
      </c>
      <c r="I1493" s="384" t="s">
        <v>2559</v>
      </c>
      <c r="J1493" s="384" t="s">
        <v>199</v>
      </c>
      <c r="K1493" s="384" t="s">
        <v>2816</v>
      </c>
      <c r="L1493" s="384"/>
      <c r="M1493" s="384" t="s">
        <v>2817</v>
      </c>
      <c r="N1493" s="384" t="s">
        <v>176</v>
      </c>
      <c r="O1493" s="384" t="s">
        <v>3120</v>
      </c>
    </row>
    <row r="1494" spans="1:15" hidden="1" x14ac:dyDescent="0.3">
      <c r="A1494" s="384" t="b">
        <f ca="1">IF(M1494&lt;&gt;"",TRUE,FALSE)</f>
        <v>0</v>
      </c>
      <c r="B1494" s="384"/>
      <c r="C1494" s="384" t="str">
        <f ca="1">IF(COUNTA(O$1493:O1494)=1,"",OFFSET(B1492,-COUNTA(O$1493:O1494)+3,1))</f>
        <v/>
      </c>
      <c r="D1494" s="389"/>
      <c r="E1494" s="386" t="str">
        <f ca="1">IFERROR(IF(VLOOKUP(C1494,' Disaggregation - Section E '!A$618:J1820,7,0)="","",VLOOKUP(C1494,' Disaggregation - Section E '!A$618:J1820,7,0)*100),"")</f>
        <v/>
      </c>
      <c r="F1494" s="388" t="str">
        <f ca="1">IFERROR(VLOOKUP(C1494,' Disaggregation - Section E '!A$618:J1820,5,0),"")</f>
        <v/>
      </c>
      <c r="G1494" s="387" t="str">
        <f ca="1">IFERROR(IF(VLOOKUP(C1494,' Disaggregation - Section E '!A$618:J1820,6,0)="","",VLOOKUP(C1494,' Disaggregation - Section E '!A$618:J1820,6,0)),"")</f>
        <v/>
      </c>
      <c r="H1494" s="387" t="str">
        <f ca="1">IFERROR(IF(INDEX(' Disaggregation - Section E '!F$618:F1820,MATCH(C1494,' Disaggregation - Section E '!A$618:A1820,0)+1,1)&lt;&gt;0,INDEX(' Disaggregation - Section E '!F$618:F1820,MATCH(C1494,' Disaggregation - Section E '!A$618:A1820,0)+1,1),""),"")</f>
        <v/>
      </c>
      <c r="I1494" s="388" t="str">
        <f ca="1">IFERROR(IF(VLOOKUP(C1494,' Disaggregation - Section E '!A$618:J1820,8,0)=0,"",VLOOKUP(C1494,' Disaggregation - Section E '!A$618:J1820,8,0)),"")</f>
        <v/>
      </c>
      <c r="J1494" s="388" t="str">
        <f ca="1">IFERROR(IF(VLOOKUP(C1494,' Disaggregation - Section E '!A$618:J1820,9,0)="","",VLOOKUP(C1494,' Disaggregation - Section E '!A$618:J1820,9,0)),"")</f>
        <v/>
      </c>
      <c r="K1494" s="384" t="str">
        <f ca="1">IFERROR(VLOOKUP(C1494,' Disaggregation - Section E '!A$618:J1820,3,0),"")</f>
        <v/>
      </c>
      <c r="L1494" s="384"/>
      <c r="M1494" s="384" t="str">
        <f ca="1">IFERROR(IF(VLOOKUP(C1494,' Disaggregation - Section E '!A$618:O623,15,0)=0,"",VLOOKUP(C1494,' Disaggregation - Section E '!A$618:O623,15,0)),"")</f>
        <v/>
      </c>
      <c r="N1494" s="388" t="str">
        <f ca="1">IFERROR(IF(VLOOKUP(C1494,' Disaggregation - Section E '!A$618:J1820,10,0)=0,"",VLOOKUP(C1494,' Disaggregation - Section E '!A$618:J1820,10,0)),"")</f>
        <v/>
      </c>
      <c r="O1494" s="384"/>
    </row>
    <row r="1495" spans="1:15" x14ac:dyDescent="0.3">
      <c r="A1495" s="384" t="b">
        <v>0</v>
      </c>
      <c r="B1495" s="384"/>
      <c r="C1495" s="384" t="s">
        <v>3121</v>
      </c>
      <c r="D1495" s="389">
        <v>1</v>
      </c>
      <c r="E1495" s="386"/>
      <c r="F1495" s="388"/>
      <c r="G1495" s="387"/>
      <c r="H1495" s="387"/>
      <c r="I1495" s="388"/>
      <c r="J1495" s="388"/>
      <c r="K1495" s="384" t="str">
        <f ca="1">IFERROR(VLOOKUP(C1495,' Disaggregation - Section E '!A$618:J1821,3,0),"")</f>
        <v>KP-1a⁽ᴹ⁾ Percentage of men who have sex with men reached with HIV prevention programs - defined package of services</v>
      </c>
      <c r="L1495" s="384"/>
      <c r="M1495" s="384"/>
      <c r="N1495" s="388"/>
      <c r="O1495" s="384" t="s">
        <v>2606</v>
      </c>
    </row>
    <row r="1496" spans="1:15" x14ac:dyDescent="0.3">
      <c r="A1496" s="384" t="b">
        <v>0</v>
      </c>
      <c r="B1496" s="384"/>
      <c r="C1496" s="384" t="s">
        <v>3122</v>
      </c>
      <c r="D1496" s="389">
        <v>1</v>
      </c>
      <c r="E1496" s="386"/>
      <c r="F1496" s="388"/>
      <c r="G1496" s="387"/>
      <c r="H1496" s="387"/>
      <c r="I1496" s="388"/>
      <c r="J1496" s="388"/>
      <c r="K1496" s="384" t="str">
        <f ca="1">IFERROR(VLOOKUP(C1496,' Disaggregation - Section E '!A$618:J1822,3,0),"")</f>
        <v>KP-1a⁽ᴹ⁾ Percentage of men who have sex with men reached with HIV prevention programs - defined package of services</v>
      </c>
      <c r="L1496" s="384"/>
      <c r="M1496" s="384"/>
      <c r="N1496" s="388"/>
      <c r="O1496" s="384" t="s">
        <v>2606</v>
      </c>
    </row>
    <row r="1497" spans="1:15" x14ac:dyDescent="0.3">
      <c r="A1497" s="384" t="b">
        <v>0</v>
      </c>
      <c r="B1497" s="384"/>
      <c r="C1497" s="384" t="s">
        <v>3123</v>
      </c>
      <c r="D1497" s="389">
        <v>1</v>
      </c>
      <c r="E1497" s="386"/>
      <c r="F1497" s="388"/>
      <c r="G1497" s="387"/>
      <c r="H1497" s="387"/>
      <c r="I1497" s="388"/>
      <c r="J1497" s="388"/>
      <c r="K1497" s="384" t="str">
        <f ca="1">IFERROR(VLOOKUP(C1497,' Disaggregation - Section E '!A$618:J1823,3,0),"")</f>
        <v>KP-1a⁽ᴹ⁾ Percentage of men who have sex with men reached with HIV prevention programs - defined package of services</v>
      </c>
      <c r="L1497" s="384"/>
      <c r="M1497" s="384"/>
      <c r="N1497" s="388"/>
      <c r="O1497" s="384" t="s">
        <v>2606</v>
      </c>
    </row>
    <row r="1498" spans="1:15" x14ac:dyDescent="0.3">
      <c r="A1498" s="384" t="b">
        <v>0</v>
      </c>
      <c r="B1498" s="384"/>
      <c r="C1498" s="384" t="s">
        <v>3124</v>
      </c>
      <c r="D1498" s="389">
        <v>1</v>
      </c>
      <c r="E1498" s="386"/>
      <c r="F1498" s="388"/>
      <c r="G1498" s="387"/>
      <c r="H1498" s="387"/>
      <c r="I1498" s="388"/>
      <c r="J1498" s="388"/>
      <c r="K1498" s="384" t="str">
        <f ca="1">IFERROR(VLOOKUP(C1498,' Disaggregation - Section E '!A$618:J1824,3,0),"")</f>
        <v>KP-1a⁽ᴹ⁾ Percentage of men who have sex with men reached with HIV prevention programs - defined package of services</v>
      </c>
      <c r="L1498" s="384"/>
      <c r="M1498" s="384"/>
      <c r="N1498" s="388"/>
      <c r="O1498" s="384" t="s">
        <v>2606</v>
      </c>
    </row>
    <row r="1499" spans="1:15" x14ac:dyDescent="0.3">
      <c r="A1499" s="384" t="b">
        <v>0</v>
      </c>
      <c r="B1499" s="384"/>
      <c r="C1499" s="384" t="s">
        <v>3125</v>
      </c>
      <c r="D1499" s="389">
        <v>1</v>
      </c>
      <c r="E1499" s="386"/>
      <c r="F1499" s="388"/>
      <c r="G1499" s="387"/>
      <c r="H1499" s="387"/>
      <c r="I1499" s="388"/>
      <c r="J1499" s="388"/>
      <c r="K1499" s="384" t="str">
        <f ca="1">IFERROR(VLOOKUP(C1499,' Disaggregation - Section E '!A$618:J1825,3,0),"")</f>
        <v>KP-1a⁽ᴹ⁾ Percentage of men who have sex with men reached with HIV prevention programs - defined package of services</v>
      </c>
      <c r="L1499" s="384"/>
      <c r="M1499" s="384"/>
      <c r="N1499" s="388"/>
      <c r="O1499" s="384" t="s">
        <v>2606</v>
      </c>
    </row>
    <row r="1500" spans="1:15" x14ac:dyDescent="0.3">
      <c r="A1500" s="384" t="b">
        <v>0</v>
      </c>
      <c r="B1500" s="384"/>
      <c r="C1500" s="384" t="s">
        <v>3126</v>
      </c>
      <c r="D1500" s="389">
        <v>1</v>
      </c>
      <c r="E1500" s="386"/>
      <c r="F1500" s="388"/>
      <c r="G1500" s="387"/>
      <c r="H1500" s="387"/>
      <c r="I1500" s="388"/>
      <c r="J1500" s="388"/>
      <c r="K1500" s="384" t="str">
        <f ca="1">IFERROR(VLOOKUP(C1500,' Disaggregation - Section E '!A$618:J1826,3,0),"")</f>
        <v>KP-1a⁽ᴹ⁾ Percentage of men who have sex with men reached with HIV prevention programs - defined package of services</v>
      </c>
      <c r="L1500" s="384"/>
      <c r="M1500" s="384"/>
      <c r="N1500" s="388"/>
      <c r="O1500" s="384" t="s">
        <v>2606</v>
      </c>
    </row>
    <row r="1501" spans="1:15" x14ac:dyDescent="0.3">
      <c r="A1501" s="384" t="b">
        <v>0</v>
      </c>
      <c r="B1501" s="384"/>
      <c r="C1501" s="384" t="s">
        <v>3127</v>
      </c>
      <c r="D1501" s="389">
        <v>1</v>
      </c>
      <c r="E1501" s="386"/>
      <c r="F1501" s="388"/>
      <c r="G1501" s="387"/>
      <c r="H1501" s="387"/>
      <c r="I1501" s="388"/>
      <c r="J1501" s="388"/>
      <c r="K1501" s="384" t="str">
        <f ca="1">IFERROR(VLOOKUP(C1501,' Disaggregation - Section E '!A$618:J1827,3,0),"")</f>
        <v>KP-1a⁽ᴹ⁾ Percentage of men who have sex with men reached with HIV prevention programs - defined package of services</v>
      </c>
      <c r="L1501" s="384"/>
      <c r="M1501" s="384"/>
      <c r="N1501" s="388"/>
      <c r="O1501" s="384" t="s">
        <v>2606</v>
      </c>
    </row>
    <row r="1502" spans="1:15" x14ac:dyDescent="0.3">
      <c r="A1502" s="384" t="b">
        <v>0</v>
      </c>
      <c r="B1502" s="384"/>
      <c r="C1502" s="384" t="s">
        <v>3128</v>
      </c>
      <c r="D1502" s="389">
        <v>1</v>
      </c>
      <c r="E1502" s="386"/>
      <c r="F1502" s="388"/>
      <c r="G1502" s="387"/>
      <c r="H1502" s="387"/>
      <c r="I1502" s="388"/>
      <c r="J1502" s="388"/>
      <c r="K1502" s="384" t="str">
        <f ca="1">IFERROR(VLOOKUP(C1502,' Disaggregation - Section E '!A$618:J1828,3,0),"")</f>
        <v>KP-1a⁽ᴹ⁾ Percentage of men who have sex with men reached with HIV prevention programs - defined package of services</v>
      </c>
      <c r="L1502" s="384"/>
      <c r="M1502" s="384"/>
      <c r="N1502" s="388"/>
      <c r="O1502" s="384" t="s">
        <v>2606</v>
      </c>
    </row>
    <row r="1503" spans="1:15" x14ac:dyDescent="0.3">
      <c r="A1503" s="384" t="b">
        <v>0</v>
      </c>
      <c r="B1503" s="384"/>
      <c r="C1503" s="384" t="s">
        <v>3129</v>
      </c>
      <c r="D1503" s="389">
        <v>1</v>
      </c>
      <c r="E1503" s="386"/>
      <c r="F1503" s="388"/>
      <c r="G1503" s="387"/>
      <c r="H1503" s="387"/>
      <c r="I1503" s="388"/>
      <c r="J1503" s="388"/>
      <c r="K1503" s="384" t="str">
        <f ca="1">IFERROR(VLOOKUP(C1503,' Disaggregation - Section E '!A$618:J1829,3,0),"")</f>
        <v>KP-1a⁽ᴹ⁾ Percentage of men who have sex with men reached with HIV prevention programs - defined package of services</v>
      </c>
      <c r="L1503" s="384"/>
      <c r="M1503" s="384"/>
      <c r="N1503" s="388"/>
      <c r="O1503" s="384" t="s">
        <v>2606</v>
      </c>
    </row>
    <row r="1504" spans="1:15" x14ac:dyDescent="0.3">
      <c r="A1504" s="384" t="b">
        <v>0</v>
      </c>
      <c r="B1504" s="384"/>
      <c r="C1504" s="384" t="s">
        <v>3130</v>
      </c>
      <c r="D1504" s="389">
        <v>1</v>
      </c>
      <c r="E1504" s="386"/>
      <c r="F1504" s="388"/>
      <c r="G1504" s="387"/>
      <c r="H1504" s="387"/>
      <c r="I1504" s="388"/>
      <c r="J1504" s="388"/>
      <c r="K1504" s="384" t="str">
        <f ca="1">IFERROR(VLOOKUP(C1504,' Disaggregation - Section E '!A$618:J1830,3,0),"")</f>
        <v>KP-1a⁽ᴹ⁾ Percentage of men who have sex with men reached with HIV prevention programs - defined package of services</v>
      </c>
      <c r="L1504" s="384"/>
      <c r="M1504" s="384"/>
      <c r="N1504" s="388"/>
      <c r="O1504" s="384" t="s">
        <v>2606</v>
      </c>
    </row>
    <row r="1505" spans="1:15" x14ac:dyDescent="0.3">
      <c r="A1505" s="384" t="b">
        <v>0</v>
      </c>
      <c r="B1505" s="384"/>
      <c r="C1505" s="384" t="s">
        <v>3131</v>
      </c>
      <c r="D1505" s="389">
        <v>1</v>
      </c>
      <c r="E1505" s="386"/>
      <c r="F1505" s="388"/>
      <c r="G1505" s="387"/>
      <c r="H1505" s="387"/>
      <c r="I1505" s="388"/>
      <c r="J1505" s="388"/>
      <c r="K1505" s="384" t="str">
        <f ca="1">IFERROR(VLOOKUP(C1505,' Disaggregation - Section E '!A$618:J1831,3,0),"")</f>
        <v>KP-1a⁽ᴹ⁾ Percentage of men who have sex with men reached with HIV prevention programs - defined package of services</v>
      </c>
      <c r="L1505" s="384"/>
      <c r="M1505" s="384"/>
      <c r="N1505" s="388"/>
      <c r="O1505" s="384" t="s">
        <v>2606</v>
      </c>
    </row>
    <row r="1506" spans="1:15" x14ac:dyDescent="0.3">
      <c r="A1506" s="384" t="b">
        <v>0</v>
      </c>
      <c r="B1506" s="384"/>
      <c r="C1506" s="384" t="s">
        <v>3132</v>
      </c>
      <c r="D1506" s="389">
        <v>1</v>
      </c>
      <c r="E1506" s="386"/>
      <c r="F1506" s="388"/>
      <c r="G1506" s="387"/>
      <c r="H1506" s="387"/>
      <c r="I1506" s="388"/>
      <c r="J1506" s="388"/>
      <c r="K1506" s="384" t="str">
        <f ca="1">IFERROR(VLOOKUP(C1506,' Disaggregation - Section E '!A$618:J1832,3,0),"")</f>
        <v>KP-1a⁽ᴹ⁾ Percentage of men who have sex with men reached with HIV prevention programs - defined package of services</v>
      </c>
      <c r="L1506" s="384"/>
      <c r="M1506" s="384"/>
      <c r="N1506" s="388"/>
      <c r="O1506" s="384" t="s">
        <v>2606</v>
      </c>
    </row>
    <row r="1507" spans="1:15" x14ac:dyDescent="0.3">
      <c r="A1507" s="384" t="b">
        <v>0</v>
      </c>
      <c r="B1507" s="384"/>
      <c r="C1507" s="384" t="s">
        <v>3133</v>
      </c>
      <c r="D1507" s="389">
        <v>1</v>
      </c>
      <c r="E1507" s="386"/>
      <c r="F1507" s="388"/>
      <c r="G1507" s="387"/>
      <c r="H1507" s="387"/>
      <c r="I1507" s="388"/>
      <c r="J1507" s="388"/>
      <c r="K1507" s="384" t="str">
        <f ca="1">IFERROR(VLOOKUP(C1507,' Disaggregation - Section E '!A$618:J1833,3,0),"")</f>
        <v>KP-1a⁽ᴹ⁾ Percentage of men who have sex with men reached with HIV prevention programs - defined package of services</v>
      </c>
      <c r="L1507" s="384"/>
      <c r="M1507" s="384"/>
      <c r="N1507" s="388"/>
      <c r="O1507" s="384" t="s">
        <v>2606</v>
      </c>
    </row>
    <row r="1508" spans="1:15" x14ac:dyDescent="0.3">
      <c r="A1508" s="384" t="b">
        <v>0</v>
      </c>
      <c r="B1508" s="384"/>
      <c r="C1508" s="384" t="s">
        <v>3134</v>
      </c>
      <c r="D1508" s="389">
        <v>1</v>
      </c>
      <c r="E1508" s="386"/>
      <c r="F1508" s="388"/>
      <c r="G1508" s="387"/>
      <c r="H1508" s="387"/>
      <c r="I1508" s="388"/>
      <c r="J1508" s="388"/>
      <c r="K1508" s="384" t="str">
        <f ca="1">IFERROR(VLOOKUP(C1508,' Disaggregation - Section E '!A$618:J1834,3,0),"")</f>
        <v>KP-1a⁽ᴹ⁾ Percentage of men who have sex with men reached with HIV prevention programs - defined package of services</v>
      </c>
      <c r="L1508" s="384"/>
      <c r="M1508" s="384"/>
      <c r="N1508" s="388"/>
      <c r="O1508" s="384" t="s">
        <v>2606</v>
      </c>
    </row>
    <row r="1509" spans="1:15" x14ac:dyDescent="0.3">
      <c r="A1509" s="384" t="b">
        <v>0</v>
      </c>
      <c r="B1509" s="384"/>
      <c r="C1509" s="384" t="s">
        <v>3135</v>
      </c>
      <c r="D1509" s="389">
        <v>1</v>
      </c>
      <c r="E1509" s="386"/>
      <c r="F1509" s="388"/>
      <c r="G1509" s="387"/>
      <c r="H1509" s="387"/>
      <c r="I1509" s="388"/>
      <c r="J1509" s="388"/>
      <c r="K1509" s="384" t="str">
        <f ca="1">IFERROR(VLOOKUP(C1509,' Disaggregation - Section E '!A$618:J1835,3,0),"")</f>
        <v>KP-1a⁽ᴹ⁾ Percentage of men who have sex with men reached with HIV prevention programs - defined package of services</v>
      </c>
      <c r="L1509" s="384"/>
      <c r="M1509" s="384"/>
      <c r="N1509" s="388"/>
      <c r="O1509" s="384" t="s">
        <v>2606</v>
      </c>
    </row>
    <row r="1510" spans="1:15" x14ac:dyDescent="0.3">
      <c r="A1510" s="384" t="b">
        <v>0</v>
      </c>
      <c r="B1510" s="384"/>
      <c r="C1510" s="384" t="s">
        <v>3136</v>
      </c>
      <c r="D1510" s="389">
        <v>1</v>
      </c>
      <c r="E1510" s="386"/>
      <c r="F1510" s="388"/>
      <c r="G1510" s="387"/>
      <c r="H1510" s="387"/>
      <c r="I1510" s="388"/>
      <c r="J1510" s="388"/>
      <c r="K1510" s="384" t="str">
        <f ca="1">IFERROR(VLOOKUP(C1510,' Disaggregation - Section E '!A$618:J1836,3,0),"")</f>
        <v>KP-1a⁽ᴹ⁾ Percentage of men who have sex with men reached with HIV prevention programs - defined package of services</v>
      </c>
      <c r="L1510" s="384"/>
      <c r="M1510" s="384"/>
      <c r="N1510" s="388"/>
      <c r="O1510" s="384" t="s">
        <v>2606</v>
      </c>
    </row>
    <row r="1511" spans="1:15" x14ac:dyDescent="0.3">
      <c r="A1511" s="384" t="b">
        <v>0</v>
      </c>
      <c r="B1511" s="384"/>
      <c r="C1511" s="384" t="s">
        <v>3137</v>
      </c>
      <c r="D1511" s="389">
        <v>1</v>
      </c>
      <c r="E1511" s="386"/>
      <c r="F1511" s="388"/>
      <c r="G1511" s="387"/>
      <c r="H1511" s="387"/>
      <c r="I1511" s="388"/>
      <c r="J1511" s="388"/>
      <c r="K1511" s="384" t="str">
        <f ca="1">IFERROR(VLOOKUP(C1511,' Disaggregation - Section E '!A$618:J1837,3,0),"")</f>
        <v>KP-1a⁽ᴹ⁾ Percentage of men who have sex with men reached with HIV prevention programs - defined package of services</v>
      </c>
      <c r="L1511" s="384"/>
      <c r="M1511" s="384"/>
      <c r="N1511" s="388"/>
      <c r="O1511" s="384" t="s">
        <v>2606</v>
      </c>
    </row>
    <row r="1512" spans="1:15" x14ac:dyDescent="0.3">
      <c r="A1512" s="384" t="b">
        <v>0</v>
      </c>
      <c r="B1512" s="384"/>
      <c r="C1512" s="384" t="s">
        <v>3138</v>
      </c>
      <c r="D1512" s="389">
        <v>1</v>
      </c>
      <c r="E1512" s="386"/>
      <c r="F1512" s="388"/>
      <c r="G1512" s="387"/>
      <c r="H1512" s="387"/>
      <c r="I1512" s="388"/>
      <c r="J1512" s="388"/>
      <c r="K1512" s="384" t="str">
        <f ca="1">IFERROR(VLOOKUP(C1512,' Disaggregation - Section E '!A$618:J1838,3,0),"")</f>
        <v>KP-1a⁽ᴹ⁾ Percentage of men who have sex with men reached with HIV prevention programs - defined package of services</v>
      </c>
      <c r="L1512" s="384"/>
      <c r="M1512" s="384"/>
      <c r="N1512" s="388"/>
      <c r="O1512" s="384" t="s">
        <v>2606</v>
      </c>
    </row>
    <row r="1513" spans="1:15" x14ac:dyDescent="0.3">
      <c r="A1513" s="384" t="b">
        <v>0</v>
      </c>
      <c r="B1513" s="384"/>
      <c r="C1513" s="384" t="s">
        <v>3139</v>
      </c>
      <c r="D1513" s="389">
        <v>1</v>
      </c>
      <c r="E1513" s="386"/>
      <c r="F1513" s="388"/>
      <c r="G1513" s="387"/>
      <c r="H1513" s="387"/>
      <c r="I1513" s="388"/>
      <c r="J1513" s="388"/>
      <c r="K1513" s="384" t="str">
        <f ca="1">IFERROR(VLOOKUP(C1513,' Disaggregation - Section E '!A$618:J1839,3,0),"")</f>
        <v>KP-1a⁽ᴹ⁾ Percentage of men who have sex with men reached with HIV prevention programs - defined package of services</v>
      </c>
      <c r="L1513" s="384"/>
      <c r="M1513" s="384"/>
      <c r="N1513" s="388"/>
      <c r="O1513" s="384" t="s">
        <v>2606</v>
      </c>
    </row>
    <row r="1514" spans="1:15" x14ac:dyDescent="0.3">
      <c r="A1514" s="384" t="b">
        <v>0</v>
      </c>
      <c r="B1514" s="384"/>
      <c r="C1514" s="384" t="s">
        <v>3140</v>
      </c>
      <c r="D1514" s="389">
        <v>1</v>
      </c>
      <c r="E1514" s="386"/>
      <c r="F1514" s="388"/>
      <c r="G1514" s="387"/>
      <c r="H1514" s="387"/>
      <c r="I1514" s="388"/>
      <c r="J1514" s="388"/>
      <c r="K1514" s="384" t="str">
        <f ca="1">IFERROR(VLOOKUP(C1514,' Disaggregation - Section E '!A$618:J1840,3,0),"")</f>
        <v>KP-1a⁽ᴹ⁾ Percentage of men who have sex with men reached with HIV prevention programs - defined package of services</v>
      </c>
      <c r="L1514" s="384"/>
      <c r="M1514" s="384"/>
      <c r="N1514" s="388"/>
      <c r="O1514" s="384" t="s">
        <v>2606</v>
      </c>
    </row>
    <row r="1515" spans="1:15" x14ac:dyDescent="0.3">
      <c r="A1515" s="384" t="b">
        <v>0</v>
      </c>
      <c r="B1515" s="384"/>
      <c r="C1515" s="384" t="s">
        <v>3141</v>
      </c>
      <c r="D1515" s="389">
        <v>2</v>
      </c>
      <c r="E1515" s="386"/>
      <c r="F1515" s="388"/>
      <c r="G1515" s="387"/>
      <c r="H1515" s="387"/>
      <c r="I1515" s="388"/>
      <c r="J1515" s="388"/>
      <c r="K1515" s="384" t="str">
        <f ca="1">IFERROR(VLOOKUP(C1515,' Disaggregation - Section E '!A$618:J1841,3,0),"")</f>
        <v>KP-1c⁽ᴹ⁾ Percentage of sex workers reached with HIV prevention programs - defined package of services</v>
      </c>
      <c r="L1515" s="384"/>
      <c r="M1515" s="384"/>
      <c r="N1515" s="388"/>
      <c r="O1515" s="384" t="s">
        <v>2613</v>
      </c>
    </row>
    <row r="1516" spans="1:15" x14ac:dyDescent="0.3">
      <c r="A1516" s="384" t="b">
        <v>0</v>
      </c>
      <c r="B1516" s="384"/>
      <c r="C1516" s="384" t="s">
        <v>3142</v>
      </c>
      <c r="D1516" s="389">
        <v>2</v>
      </c>
      <c r="E1516" s="386"/>
      <c r="F1516" s="388"/>
      <c r="G1516" s="387"/>
      <c r="H1516" s="387"/>
      <c r="I1516" s="388"/>
      <c r="J1516" s="388"/>
      <c r="K1516" s="384" t="str">
        <f ca="1">IFERROR(VLOOKUP(C1516,' Disaggregation - Section E '!A$618:J1842,3,0),"")</f>
        <v>KP-1c⁽ᴹ⁾ Percentage of sex workers reached with HIV prevention programs - defined package of services</v>
      </c>
      <c r="L1516" s="384"/>
      <c r="M1516" s="384"/>
      <c r="N1516" s="388"/>
      <c r="O1516" s="384" t="s">
        <v>2613</v>
      </c>
    </row>
    <row r="1517" spans="1:15" x14ac:dyDescent="0.3">
      <c r="A1517" s="384" t="b">
        <v>0</v>
      </c>
      <c r="B1517" s="384"/>
      <c r="C1517" s="384" t="s">
        <v>3143</v>
      </c>
      <c r="D1517" s="389">
        <v>2</v>
      </c>
      <c r="E1517" s="386"/>
      <c r="F1517" s="388"/>
      <c r="G1517" s="387"/>
      <c r="H1517" s="387"/>
      <c r="I1517" s="388"/>
      <c r="J1517" s="388"/>
      <c r="K1517" s="384" t="str">
        <f ca="1">IFERROR(VLOOKUP(C1517,' Disaggregation - Section E '!A$618:J1843,3,0),"")</f>
        <v>KP-1c⁽ᴹ⁾ Percentage of sex workers reached with HIV prevention programs - defined package of services</v>
      </c>
      <c r="L1517" s="384"/>
      <c r="M1517" s="384"/>
      <c r="N1517" s="388"/>
      <c r="O1517" s="384" t="s">
        <v>2613</v>
      </c>
    </row>
    <row r="1518" spans="1:15" x14ac:dyDescent="0.3">
      <c r="A1518" s="384" t="b">
        <v>0</v>
      </c>
      <c r="B1518" s="384"/>
      <c r="C1518" s="384" t="s">
        <v>3144</v>
      </c>
      <c r="D1518" s="389">
        <v>2</v>
      </c>
      <c r="E1518" s="386"/>
      <c r="F1518" s="388"/>
      <c r="G1518" s="387"/>
      <c r="H1518" s="387"/>
      <c r="I1518" s="388"/>
      <c r="J1518" s="388"/>
      <c r="K1518" s="384" t="str">
        <f ca="1">IFERROR(VLOOKUP(C1518,' Disaggregation - Section E '!A$618:J1844,3,0),"")</f>
        <v>KP-1c⁽ᴹ⁾ Percentage of sex workers reached with HIV prevention programs - defined package of services</v>
      </c>
      <c r="L1518" s="384"/>
      <c r="M1518" s="384"/>
      <c r="N1518" s="388"/>
      <c r="O1518" s="384" t="s">
        <v>2613</v>
      </c>
    </row>
    <row r="1519" spans="1:15" x14ac:dyDescent="0.3">
      <c r="A1519" s="384" t="b">
        <v>0</v>
      </c>
      <c r="B1519" s="384"/>
      <c r="C1519" s="384" t="s">
        <v>3145</v>
      </c>
      <c r="D1519" s="389">
        <v>2</v>
      </c>
      <c r="E1519" s="386"/>
      <c r="F1519" s="388"/>
      <c r="G1519" s="387"/>
      <c r="H1519" s="387"/>
      <c r="I1519" s="388"/>
      <c r="J1519" s="388"/>
      <c r="K1519" s="384" t="str">
        <f ca="1">IFERROR(VLOOKUP(C1519,' Disaggregation - Section E '!A$618:J1845,3,0),"")</f>
        <v>KP-1c⁽ᴹ⁾ Percentage of sex workers reached with HIV prevention programs - defined package of services</v>
      </c>
      <c r="L1519" s="384"/>
      <c r="M1519" s="384"/>
      <c r="N1519" s="388"/>
      <c r="O1519" s="384" t="s">
        <v>2613</v>
      </c>
    </row>
    <row r="1520" spans="1:15" x14ac:dyDescent="0.3">
      <c r="A1520" s="384" t="b">
        <v>0</v>
      </c>
      <c r="B1520" s="384"/>
      <c r="C1520" s="384" t="s">
        <v>3146</v>
      </c>
      <c r="D1520" s="389">
        <v>2</v>
      </c>
      <c r="E1520" s="386"/>
      <c r="F1520" s="388"/>
      <c r="G1520" s="387"/>
      <c r="H1520" s="387"/>
      <c r="I1520" s="388"/>
      <c r="J1520" s="388"/>
      <c r="K1520" s="384" t="str">
        <f ca="1">IFERROR(VLOOKUP(C1520,' Disaggregation - Section E '!A$618:J1846,3,0),"")</f>
        <v>KP-1c⁽ᴹ⁾ Percentage of sex workers reached with HIV prevention programs - defined package of services</v>
      </c>
      <c r="L1520" s="384"/>
      <c r="M1520" s="384"/>
      <c r="N1520" s="388"/>
      <c r="O1520" s="384" t="s">
        <v>2613</v>
      </c>
    </row>
    <row r="1521" spans="1:15" x14ac:dyDescent="0.3">
      <c r="A1521" s="384" t="b">
        <v>0</v>
      </c>
      <c r="B1521" s="384"/>
      <c r="C1521" s="384" t="s">
        <v>3147</v>
      </c>
      <c r="D1521" s="389">
        <v>2</v>
      </c>
      <c r="E1521" s="386"/>
      <c r="F1521" s="388"/>
      <c r="G1521" s="387"/>
      <c r="H1521" s="387"/>
      <c r="I1521" s="388"/>
      <c r="J1521" s="388"/>
      <c r="K1521" s="384" t="str">
        <f ca="1">IFERROR(VLOOKUP(C1521,' Disaggregation - Section E '!A$618:J1847,3,0),"")</f>
        <v>KP-1c⁽ᴹ⁾ Percentage of sex workers reached with HIV prevention programs - defined package of services</v>
      </c>
      <c r="L1521" s="384"/>
      <c r="M1521" s="384"/>
      <c r="N1521" s="388"/>
      <c r="O1521" s="384" t="s">
        <v>2613</v>
      </c>
    </row>
    <row r="1522" spans="1:15" x14ac:dyDescent="0.3">
      <c r="A1522" s="384" t="b">
        <v>0</v>
      </c>
      <c r="B1522" s="384"/>
      <c r="C1522" s="384" t="s">
        <v>3148</v>
      </c>
      <c r="D1522" s="389">
        <v>2</v>
      </c>
      <c r="E1522" s="386"/>
      <c r="F1522" s="388"/>
      <c r="G1522" s="387"/>
      <c r="H1522" s="387"/>
      <c r="I1522" s="388"/>
      <c r="J1522" s="388"/>
      <c r="K1522" s="384" t="str">
        <f ca="1">IFERROR(VLOOKUP(C1522,' Disaggregation - Section E '!A$618:J1848,3,0),"")</f>
        <v>KP-1c⁽ᴹ⁾ Percentage of sex workers reached with HIV prevention programs - defined package of services</v>
      </c>
      <c r="L1522" s="384"/>
      <c r="M1522" s="384"/>
      <c r="N1522" s="388"/>
      <c r="O1522" s="384" t="s">
        <v>2613</v>
      </c>
    </row>
    <row r="1523" spans="1:15" x14ac:dyDescent="0.3">
      <c r="A1523" s="384" t="b">
        <v>0</v>
      </c>
      <c r="B1523" s="384"/>
      <c r="C1523" s="384" t="s">
        <v>3149</v>
      </c>
      <c r="D1523" s="389">
        <v>2</v>
      </c>
      <c r="E1523" s="386"/>
      <c r="F1523" s="388"/>
      <c r="G1523" s="387"/>
      <c r="H1523" s="387"/>
      <c r="I1523" s="388"/>
      <c r="J1523" s="388"/>
      <c r="K1523" s="384" t="str">
        <f ca="1">IFERROR(VLOOKUP(C1523,' Disaggregation - Section E '!A$618:J1849,3,0),"")</f>
        <v>KP-1c⁽ᴹ⁾ Percentage of sex workers reached with HIV prevention programs - defined package of services</v>
      </c>
      <c r="L1523" s="384"/>
      <c r="M1523" s="384"/>
      <c r="N1523" s="388"/>
      <c r="O1523" s="384" t="s">
        <v>2613</v>
      </c>
    </row>
    <row r="1524" spans="1:15" x14ac:dyDescent="0.3">
      <c r="A1524" s="384" t="b">
        <v>0</v>
      </c>
      <c r="B1524" s="384"/>
      <c r="C1524" s="384" t="s">
        <v>3150</v>
      </c>
      <c r="D1524" s="389">
        <v>2</v>
      </c>
      <c r="E1524" s="386"/>
      <c r="F1524" s="388"/>
      <c r="G1524" s="387"/>
      <c r="H1524" s="387"/>
      <c r="I1524" s="388"/>
      <c r="J1524" s="388"/>
      <c r="K1524" s="384" t="str">
        <f ca="1">IFERROR(VLOOKUP(C1524,' Disaggregation - Section E '!A$618:J1850,3,0),"")</f>
        <v>KP-1c⁽ᴹ⁾ Percentage of sex workers reached with HIV prevention programs - defined package of services</v>
      </c>
      <c r="L1524" s="384"/>
      <c r="M1524" s="384"/>
      <c r="N1524" s="388"/>
      <c r="O1524" s="384" t="s">
        <v>2613</v>
      </c>
    </row>
    <row r="1525" spans="1:15" x14ac:dyDescent="0.3">
      <c r="A1525" s="384" t="b">
        <v>0</v>
      </c>
      <c r="B1525" s="384"/>
      <c r="C1525" s="384" t="s">
        <v>3151</v>
      </c>
      <c r="D1525" s="389">
        <v>2</v>
      </c>
      <c r="E1525" s="386"/>
      <c r="F1525" s="388"/>
      <c r="G1525" s="387"/>
      <c r="H1525" s="387"/>
      <c r="I1525" s="388"/>
      <c r="J1525" s="388"/>
      <c r="K1525" s="384" t="str">
        <f ca="1">IFERROR(VLOOKUP(C1525,' Disaggregation - Section E '!A$618:J1851,3,0),"")</f>
        <v>KP-1c⁽ᴹ⁾ Percentage of sex workers reached with HIV prevention programs - defined package of services</v>
      </c>
      <c r="L1525" s="384"/>
      <c r="M1525" s="384"/>
      <c r="N1525" s="388"/>
      <c r="O1525" s="384" t="s">
        <v>2613</v>
      </c>
    </row>
    <row r="1526" spans="1:15" x14ac:dyDescent="0.3">
      <c r="A1526" s="384" t="b">
        <v>0</v>
      </c>
      <c r="B1526" s="384"/>
      <c r="C1526" s="384" t="s">
        <v>3152</v>
      </c>
      <c r="D1526" s="389">
        <v>2</v>
      </c>
      <c r="E1526" s="386"/>
      <c r="F1526" s="388"/>
      <c r="G1526" s="387"/>
      <c r="H1526" s="387"/>
      <c r="I1526" s="388"/>
      <c r="J1526" s="388"/>
      <c r="K1526" s="384" t="str">
        <f ca="1">IFERROR(VLOOKUP(C1526,' Disaggregation - Section E '!A$618:J1852,3,0),"")</f>
        <v>KP-1c⁽ᴹ⁾ Percentage of sex workers reached with HIV prevention programs - defined package of services</v>
      </c>
      <c r="L1526" s="384"/>
      <c r="M1526" s="384"/>
      <c r="N1526" s="388"/>
      <c r="O1526" s="384" t="s">
        <v>2613</v>
      </c>
    </row>
    <row r="1527" spans="1:15" x14ac:dyDescent="0.3">
      <c r="A1527" s="384" t="b">
        <v>0</v>
      </c>
      <c r="B1527" s="384"/>
      <c r="C1527" s="384" t="s">
        <v>3153</v>
      </c>
      <c r="D1527" s="389">
        <v>2</v>
      </c>
      <c r="E1527" s="386"/>
      <c r="F1527" s="388"/>
      <c r="G1527" s="387"/>
      <c r="H1527" s="387"/>
      <c r="I1527" s="388"/>
      <c r="J1527" s="388"/>
      <c r="K1527" s="384" t="str">
        <f ca="1">IFERROR(VLOOKUP(C1527,' Disaggregation - Section E '!A$618:J1853,3,0),"")</f>
        <v>KP-1c⁽ᴹ⁾ Percentage of sex workers reached with HIV prevention programs - defined package of services</v>
      </c>
      <c r="L1527" s="384"/>
      <c r="M1527" s="384"/>
      <c r="N1527" s="388"/>
      <c r="O1527" s="384" t="s">
        <v>2613</v>
      </c>
    </row>
    <row r="1528" spans="1:15" x14ac:dyDescent="0.3">
      <c r="A1528" s="384" t="b">
        <v>0</v>
      </c>
      <c r="B1528" s="384"/>
      <c r="C1528" s="384" t="s">
        <v>3154</v>
      </c>
      <c r="D1528" s="389">
        <v>2</v>
      </c>
      <c r="E1528" s="386"/>
      <c r="F1528" s="388"/>
      <c r="G1528" s="387"/>
      <c r="H1528" s="387"/>
      <c r="I1528" s="388"/>
      <c r="J1528" s="388"/>
      <c r="K1528" s="384" t="str">
        <f ca="1">IFERROR(VLOOKUP(C1528,' Disaggregation - Section E '!A$618:J1854,3,0),"")</f>
        <v>KP-1c⁽ᴹ⁾ Percentage of sex workers reached with HIV prevention programs - defined package of services</v>
      </c>
      <c r="L1528" s="384"/>
      <c r="M1528" s="384"/>
      <c r="N1528" s="388"/>
      <c r="O1528" s="384" t="s">
        <v>2613</v>
      </c>
    </row>
    <row r="1529" spans="1:15" x14ac:dyDescent="0.3">
      <c r="A1529" s="384" t="b">
        <v>0</v>
      </c>
      <c r="B1529" s="384"/>
      <c r="C1529" s="384" t="s">
        <v>3155</v>
      </c>
      <c r="D1529" s="389">
        <v>2</v>
      </c>
      <c r="E1529" s="386"/>
      <c r="F1529" s="388"/>
      <c r="G1529" s="387"/>
      <c r="H1529" s="387"/>
      <c r="I1529" s="388"/>
      <c r="J1529" s="388"/>
      <c r="K1529" s="384" t="str">
        <f ca="1">IFERROR(VLOOKUP(C1529,' Disaggregation - Section E '!A$618:J1855,3,0),"")</f>
        <v>KP-1c⁽ᴹ⁾ Percentage of sex workers reached with HIV prevention programs - defined package of services</v>
      </c>
      <c r="L1529" s="384"/>
      <c r="M1529" s="384"/>
      <c r="N1529" s="388"/>
      <c r="O1529" s="384" t="s">
        <v>2613</v>
      </c>
    </row>
    <row r="1530" spans="1:15" x14ac:dyDescent="0.3">
      <c r="A1530" s="384" t="b">
        <v>0</v>
      </c>
      <c r="B1530" s="384"/>
      <c r="C1530" s="384" t="s">
        <v>3156</v>
      </c>
      <c r="D1530" s="389">
        <v>2</v>
      </c>
      <c r="E1530" s="386"/>
      <c r="F1530" s="388"/>
      <c r="G1530" s="387"/>
      <c r="H1530" s="387"/>
      <c r="I1530" s="388"/>
      <c r="J1530" s="388"/>
      <c r="K1530" s="384" t="str">
        <f ca="1">IFERROR(VLOOKUP(C1530,' Disaggregation - Section E '!A$618:J1856,3,0),"")</f>
        <v>KP-1c⁽ᴹ⁾ Percentage of sex workers reached with HIV prevention programs - defined package of services</v>
      </c>
      <c r="L1530" s="384"/>
      <c r="M1530" s="384"/>
      <c r="N1530" s="388"/>
      <c r="O1530" s="384" t="s">
        <v>2613</v>
      </c>
    </row>
    <row r="1531" spans="1:15" x14ac:dyDescent="0.3">
      <c r="A1531" s="384" t="b">
        <v>0</v>
      </c>
      <c r="B1531" s="384"/>
      <c r="C1531" s="384" t="s">
        <v>3157</v>
      </c>
      <c r="D1531" s="389">
        <v>2</v>
      </c>
      <c r="E1531" s="386"/>
      <c r="F1531" s="388"/>
      <c r="G1531" s="387"/>
      <c r="H1531" s="387"/>
      <c r="I1531" s="388"/>
      <c r="J1531" s="388"/>
      <c r="K1531" s="384" t="str">
        <f ca="1">IFERROR(VLOOKUP(C1531,' Disaggregation - Section E '!A$618:J1857,3,0),"")</f>
        <v>KP-1c⁽ᴹ⁾ Percentage of sex workers reached with HIV prevention programs - defined package of services</v>
      </c>
      <c r="L1531" s="384"/>
      <c r="M1531" s="384"/>
      <c r="N1531" s="388"/>
      <c r="O1531" s="384" t="s">
        <v>2613</v>
      </c>
    </row>
    <row r="1532" spans="1:15" x14ac:dyDescent="0.3">
      <c r="A1532" s="384" t="b">
        <v>0</v>
      </c>
      <c r="B1532" s="384"/>
      <c r="C1532" s="384" t="s">
        <v>3158</v>
      </c>
      <c r="D1532" s="389">
        <v>2</v>
      </c>
      <c r="E1532" s="386"/>
      <c r="F1532" s="388"/>
      <c r="G1532" s="387"/>
      <c r="H1532" s="387"/>
      <c r="I1532" s="388"/>
      <c r="J1532" s="388"/>
      <c r="K1532" s="384" t="str">
        <f ca="1">IFERROR(VLOOKUP(C1532,' Disaggregation - Section E '!A$618:J1858,3,0),"")</f>
        <v>KP-1c⁽ᴹ⁾ Percentage of sex workers reached with HIV prevention programs - defined package of services</v>
      </c>
      <c r="L1532" s="384"/>
      <c r="M1532" s="384"/>
      <c r="N1532" s="388"/>
      <c r="O1532" s="384" t="s">
        <v>2613</v>
      </c>
    </row>
    <row r="1533" spans="1:15" x14ac:dyDescent="0.3">
      <c r="A1533" s="384" t="b">
        <v>0</v>
      </c>
      <c r="B1533" s="384"/>
      <c r="C1533" s="384" t="s">
        <v>3159</v>
      </c>
      <c r="D1533" s="389">
        <v>2</v>
      </c>
      <c r="E1533" s="386"/>
      <c r="F1533" s="388"/>
      <c r="G1533" s="387"/>
      <c r="H1533" s="387"/>
      <c r="I1533" s="388"/>
      <c r="J1533" s="388"/>
      <c r="K1533" s="384" t="str">
        <f ca="1">IFERROR(VLOOKUP(C1533,' Disaggregation - Section E '!A$618:J1859,3,0),"")</f>
        <v>KP-1c⁽ᴹ⁾ Percentage of sex workers reached with HIV prevention programs - defined package of services</v>
      </c>
      <c r="L1533" s="384"/>
      <c r="M1533" s="384"/>
      <c r="N1533" s="388"/>
      <c r="O1533" s="384" t="s">
        <v>2613</v>
      </c>
    </row>
    <row r="1534" spans="1:15" x14ac:dyDescent="0.3">
      <c r="A1534" s="384" t="b">
        <v>0</v>
      </c>
      <c r="B1534" s="384"/>
      <c r="C1534" s="384" t="s">
        <v>3160</v>
      </c>
      <c r="D1534" s="389">
        <v>2</v>
      </c>
      <c r="E1534" s="386"/>
      <c r="F1534" s="388"/>
      <c r="G1534" s="387"/>
      <c r="H1534" s="387"/>
      <c r="I1534" s="388"/>
      <c r="J1534" s="388"/>
      <c r="K1534" s="384" t="str">
        <f ca="1">IFERROR(VLOOKUP(C1534,' Disaggregation - Section E '!A$618:J1860,3,0),"")</f>
        <v>KP-1c⁽ᴹ⁾ Percentage of sex workers reached with HIV prevention programs - defined package of services</v>
      </c>
      <c r="L1534" s="384"/>
      <c r="M1534" s="384"/>
      <c r="N1534" s="388"/>
      <c r="O1534" s="384" t="s">
        <v>2613</v>
      </c>
    </row>
    <row r="1535" spans="1:15" x14ac:dyDescent="0.3">
      <c r="A1535" s="384" t="b">
        <v>0</v>
      </c>
      <c r="B1535" s="384"/>
      <c r="C1535" s="384" t="s">
        <v>3161</v>
      </c>
      <c r="D1535" s="389">
        <v>3</v>
      </c>
      <c r="E1535" s="386"/>
      <c r="F1535" s="388"/>
      <c r="G1535" s="387"/>
      <c r="H1535" s="387"/>
      <c r="I1535" s="388"/>
      <c r="J1535" s="388"/>
      <c r="K1535" s="384" t="str">
        <f ca="1">IFERROR(VLOOKUP(C1535,' Disaggregation - Section E '!A$618:J1861,3,0),"")</f>
        <v>KP-1b⁽ᴹ⁾ Percentage of transgender people reached with HIV prevention programs - defined package of services</v>
      </c>
      <c r="L1535" s="384"/>
      <c r="M1535" s="384"/>
      <c r="N1535" s="388"/>
      <c r="O1535" s="384" t="s">
        <v>2620</v>
      </c>
    </row>
    <row r="1536" spans="1:15" x14ac:dyDescent="0.3">
      <c r="A1536" s="384" t="b">
        <v>0</v>
      </c>
      <c r="B1536" s="384"/>
      <c r="C1536" s="384" t="s">
        <v>3162</v>
      </c>
      <c r="D1536" s="389">
        <v>3</v>
      </c>
      <c r="E1536" s="386"/>
      <c r="F1536" s="388"/>
      <c r="G1536" s="387"/>
      <c r="H1536" s="387"/>
      <c r="I1536" s="388"/>
      <c r="J1536" s="388"/>
      <c r="K1536" s="384" t="str">
        <f ca="1">IFERROR(VLOOKUP(C1536,' Disaggregation - Section E '!A$618:J1862,3,0),"")</f>
        <v>KP-1b⁽ᴹ⁾ Percentage of transgender people reached with HIV prevention programs - defined package of services</v>
      </c>
      <c r="L1536" s="384"/>
      <c r="M1536" s="384"/>
      <c r="N1536" s="388"/>
      <c r="O1536" s="384" t="s">
        <v>2620</v>
      </c>
    </row>
    <row r="1537" spans="1:15" x14ac:dyDescent="0.3">
      <c r="A1537" s="384" t="b">
        <v>0</v>
      </c>
      <c r="B1537" s="384"/>
      <c r="C1537" s="384" t="s">
        <v>3163</v>
      </c>
      <c r="D1537" s="389">
        <v>3</v>
      </c>
      <c r="E1537" s="386"/>
      <c r="F1537" s="388"/>
      <c r="G1537" s="387"/>
      <c r="H1537" s="387"/>
      <c r="I1537" s="388"/>
      <c r="J1537" s="388"/>
      <c r="K1537" s="384" t="str">
        <f ca="1">IFERROR(VLOOKUP(C1537,' Disaggregation - Section E '!A$618:J1863,3,0),"")</f>
        <v>KP-1b⁽ᴹ⁾ Percentage of transgender people reached with HIV prevention programs - defined package of services</v>
      </c>
      <c r="L1537" s="384"/>
      <c r="M1537" s="384"/>
      <c r="N1537" s="388"/>
      <c r="O1537" s="384" t="s">
        <v>2620</v>
      </c>
    </row>
    <row r="1538" spans="1:15" x14ac:dyDescent="0.3">
      <c r="A1538" s="384" t="b">
        <v>0</v>
      </c>
      <c r="B1538" s="384"/>
      <c r="C1538" s="384" t="s">
        <v>3164</v>
      </c>
      <c r="D1538" s="389">
        <v>3</v>
      </c>
      <c r="E1538" s="386"/>
      <c r="F1538" s="388"/>
      <c r="G1538" s="387"/>
      <c r="H1538" s="387"/>
      <c r="I1538" s="388"/>
      <c r="J1538" s="388"/>
      <c r="K1538" s="384" t="str">
        <f ca="1">IFERROR(VLOOKUP(C1538,' Disaggregation - Section E '!A$618:J1864,3,0),"")</f>
        <v>KP-1b⁽ᴹ⁾ Percentage of transgender people reached with HIV prevention programs - defined package of services</v>
      </c>
      <c r="L1538" s="384"/>
      <c r="M1538" s="384"/>
      <c r="N1538" s="388"/>
      <c r="O1538" s="384" t="s">
        <v>2620</v>
      </c>
    </row>
    <row r="1539" spans="1:15" x14ac:dyDescent="0.3">
      <c r="A1539" s="384" t="b">
        <v>0</v>
      </c>
      <c r="B1539" s="384"/>
      <c r="C1539" s="384" t="s">
        <v>3165</v>
      </c>
      <c r="D1539" s="389">
        <v>3</v>
      </c>
      <c r="E1539" s="386"/>
      <c r="F1539" s="388"/>
      <c r="G1539" s="387"/>
      <c r="H1539" s="387"/>
      <c r="I1539" s="388"/>
      <c r="J1539" s="388"/>
      <c r="K1539" s="384" t="str">
        <f ca="1">IFERROR(VLOOKUP(C1539,' Disaggregation - Section E '!A$618:J1865,3,0),"")</f>
        <v>KP-1b⁽ᴹ⁾ Percentage of transgender people reached with HIV prevention programs - defined package of services</v>
      </c>
      <c r="L1539" s="384"/>
      <c r="M1539" s="384"/>
      <c r="N1539" s="388"/>
      <c r="O1539" s="384" t="s">
        <v>2620</v>
      </c>
    </row>
    <row r="1540" spans="1:15" x14ac:dyDescent="0.3">
      <c r="A1540" s="384" t="b">
        <v>0</v>
      </c>
      <c r="B1540" s="384"/>
      <c r="C1540" s="384" t="s">
        <v>3166</v>
      </c>
      <c r="D1540" s="389">
        <v>3</v>
      </c>
      <c r="E1540" s="386"/>
      <c r="F1540" s="388"/>
      <c r="G1540" s="387"/>
      <c r="H1540" s="387"/>
      <c r="I1540" s="388"/>
      <c r="J1540" s="388"/>
      <c r="K1540" s="384" t="str">
        <f ca="1">IFERROR(VLOOKUP(C1540,' Disaggregation - Section E '!A$618:J1866,3,0),"")</f>
        <v>KP-1b⁽ᴹ⁾ Percentage of transgender people reached with HIV prevention programs - defined package of services</v>
      </c>
      <c r="L1540" s="384"/>
      <c r="M1540" s="384"/>
      <c r="N1540" s="388"/>
      <c r="O1540" s="384" t="s">
        <v>2620</v>
      </c>
    </row>
    <row r="1541" spans="1:15" x14ac:dyDescent="0.3">
      <c r="A1541" s="384" t="b">
        <v>0</v>
      </c>
      <c r="B1541" s="384"/>
      <c r="C1541" s="384" t="s">
        <v>3167</v>
      </c>
      <c r="D1541" s="389">
        <v>3</v>
      </c>
      <c r="E1541" s="386"/>
      <c r="F1541" s="388"/>
      <c r="G1541" s="387"/>
      <c r="H1541" s="387"/>
      <c r="I1541" s="388"/>
      <c r="J1541" s="388"/>
      <c r="K1541" s="384" t="str">
        <f ca="1">IFERROR(VLOOKUP(C1541,' Disaggregation - Section E '!A$618:J1867,3,0),"")</f>
        <v>KP-1b⁽ᴹ⁾ Percentage of transgender people reached with HIV prevention programs - defined package of services</v>
      </c>
      <c r="L1541" s="384"/>
      <c r="M1541" s="384"/>
      <c r="N1541" s="388"/>
      <c r="O1541" s="384" t="s">
        <v>2620</v>
      </c>
    </row>
    <row r="1542" spans="1:15" x14ac:dyDescent="0.3">
      <c r="A1542" s="384" t="b">
        <v>0</v>
      </c>
      <c r="B1542" s="384"/>
      <c r="C1542" s="384" t="s">
        <v>3168</v>
      </c>
      <c r="D1542" s="389">
        <v>3</v>
      </c>
      <c r="E1542" s="386"/>
      <c r="F1542" s="388"/>
      <c r="G1542" s="387"/>
      <c r="H1542" s="387"/>
      <c r="I1542" s="388"/>
      <c r="J1542" s="388"/>
      <c r="K1542" s="384" t="str">
        <f ca="1">IFERROR(VLOOKUP(C1542,' Disaggregation - Section E '!A$618:J1868,3,0),"")</f>
        <v>KP-1b⁽ᴹ⁾ Percentage of transgender people reached with HIV prevention programs - defined package of services</v>
      </c>
      <c r="L1542" s="384"/>
      <c r="M1542" s="384"/>
      <c r="N1542" s="388"/>
      <c r="O1542" s="384" t="s">
        <v>2620</v>
      </c>
    </row>
    <row r="1543" spans="1:15" x14ac:dyDescent="0.3">
      <c r="A1543" s="384" t="b">
        <v>0</v>
      </c>
      <c r="B1543" s="384"/>
      <c r="C1543" s="384" t="s">
        <v>3169</v>
      </c>
      <c r="D1543" s="389">
        <v>3</v>
      </c>
      <c r="E1543" s="386"/>
      <c r="F1543" s="388"/>
      <c r="G1543" s="387"/>
      <c r="H1543" s="387"/>
      <c r="I1543" s="388"/>
      <c r="J1543" s="388"/>
      <c r="K1543" s="384" t="str">
        <f ca="1">IFERROR(VLOOKUP(C1543,' Disaggregation - Section E '!A$618:J1869,3,0),"")</f>
        <v>KP-1b⁽ᴹ⁾ Percentage of transgender people reached with HIV prevention programs - defined package of services</v>
      </c>
      <c r="L1543" s="384"/>
      <c r="M1543" s="384"/>
      <c r="N1543" s="388"/>
      <c r="O1543" s="384" t="s">
        <v>2620</v>
      </c>
    </row>
    <row r="1544" spans="1:15" x14ac:dyDescent="0.3">
      <c r="A1544" s="384" t="b">
        <v>0</v>
      </c>
      <c r="B1544" s="384"/>
      <c r="C1544" s="384" t="s">
        <v>3170</v>
      </c>
      <c r="D1544" s="389">
        <v>3</v>
      </c>
      <c r="E1544" s="386"/>
      <c r="F1544" s="388"/>
      <c r="G1544" s="387"/>
      <c r="H1544" s="387"/>
      <c r="I1544" s="388"/>
      <c r="J1544" s="388"/>
      <c r="K1544" s="384" t="str">
        <f ca="1">IFERROR(VLOOKUP(C1544,' Disaggregation - Section E '!A$618:J1870,3,0),"")</f>
        <v>KP-1b⁽ᴹ⁾ Percentage of transgender people reached with HIV prevention programs - defined package of services</v>
      </c>
      <c r="L1544" s="384"/>
      <c r="M1544" s="384"/>
      <c r="N1544" s="388"/>
      <c r="O1544" s="384" t="s">
        <v>2620</v>
      </c>
    </row>
    <row r="1545" spans="1:15" x14ac:dyDescent="0.3">
      <c r="A1545" s="384" t="b">
        <v>0</v>
      </c>
      <c r="B1545" s="384"/>
      <c r="C1545" s="384" t="s">
        <v>3171</v>
      </c>
      <c r="D1545" s="389">
        <v>3</v>
      </c>
      <c r="E1545" s="386"/>
      <c r="F1545" s="388"/>
      <c r="G1545" s="387"/>
      <c r="H1545" s="387"/>
      <c r="I1545" s="388"/>
      <c r="J1545" s="388"/>
      <c r="K1545" s="384" t="str">
        <f ca="1">IFERROR(VLOOKUP(C1545,' Disaggregation - Section E '!A$618:J1871,3,0),"")</f>
        <v>KP-1b⁽ᴹ⁾ Percentage of transgender people reached with HIV prevention programs - defined package of services</v>
      </c>
      <c r="L1545" s="384"/>
      <c r="M1545" s="384"/>
      <c r="N1545" s="388"/>
      <c r="O1545" s="384" t="s">
        <v>2620</v>
      </c>
    </row>
    <row r="1546" spans="1:15" x14ac:dyDescent="0.3">
      <c r="A1546" s="384" t="b">
        <v>0</v>
      </c>
      <c r="B1546" s="384"/>
      <c r="C1546" s="384" t="s">
        <v>3172</v>
      </c>
      <c r="D1546" s="389">
        <v>3</v>
      </c>
      <c r="E1546" s="386"/>
      <c r="F1546" s="388"/>
      <c r="G1546" s="387"/>
      <c r="H1546" s="387"/>
      <c r="I1546" s="388"/>
      <c r="J1546" s="388"/>
      <c r="K1546" s="384" t="str">
        <f ca="1">IFERROR(VLOOKUP(C1546,' Disaggregation - Section E '!A$618:J1872,3,0),"")</f>
        <v>KP-1b⁽ᴹ⁾ Percentage of transgender people reached with HIV prevention programs - defined package of services</v>
      </c>
      <c r="L1546" s="384"/>
      <c r="M1546" s="384"/>
      <c r="N1546" s="388"/>
      <c r="O1546" s="384" t="s">
        <v>2620</v>
      </c>
    </row>
    <row r="1547" spans="1:15" x14ac:dyDescent="0.3">
      <c r="A1547" s="384" t="b">
        <v>0</v>
      </c>
      <c r="B1547" s="384"/>
      <c r="C1547" s="384" t="s">
        <v>3173</v>
      </c>
      <c r="D1547" s="389">
        <v>3</v>
      </c>
      <c r="E1547" s="386"/>
      <c r="F1547" s="388"/>
      <c r="G1547" s="387"/>
      <c r="H1547" s="387"/>
      <c r="I1547" s="388"/>
      <c r="J1547" s="388"/>
      <c r="K1547" s="384" t="str">
        <f ca="1">IFERROR(VLOOKUP(C1547,' Disaggregation - Section E '!A$618:J1873,3,0),"")</f>
        <v>KP-1b⁽ᴹ⁾ Percentage of transgender people reached with HIV prevention programs - defined package of services</v>
      </c>
      <c r="L1547" s="384"/>
      <c r="M1547" s="384"/>
      <c r="N1547" s="388"/>
      <c r="O1547" s="384" t="s">
        <v>2620</v>
      </c>
    </row>
    <row r="1548" spans="1:15" x14ac:dyDescent="0.3">
      <c r="A1548" s="384" t="b">
        <v>0</v>
      </c>
      <c r="B1548" s="384"/>
      <c r="C1548" s="384" t="s">
        <v>3174</v>
      </c>
      <c r="D1548" s="389">
        <v>3</v>
      </c>
      <c r="E1548" s="386"/>
      <c r="F1548" s="388"/>
      <c r="G1548" s="387"/>
      <c r="H1548" s="387"/>
      <c r="I1548" s="388"/>
      <c r="J1548" s="388"/>
      <c r="K1548" s="384" t="str">
        <f ca="1">IFERROR(VLOOKUP(C1548,' Disaggregation - Section E '!A$618:J1874,3,0),"")</f>
        <v>KP-1b⁽ᴹ⁾ Percentage of transgender people reached with HIV prevention programs - defined package of services</v>
      </c>
      <c r="L1548" s="384"/>
      <c r="M1548" s="384"/>
      <c r="N1548" s="388"/>
      <c r="O1548" s="384" t="s">
        <v>2620</v>
      </c>
    </row>
    <row r="1549" spans="1:15" x14ac:dyDescent="0.3">
      <c r="A1549" s="384" t="b">
        <v>0</v>
      </c>
      <c r="B1549" s="384"/>
      <c r="C1549" s="384" t="s">
        <v>3175</v>
      </c>
      <c r="D1549" s="389">
        <v>3</v>
      </c>
      <c r="E1549" s="386"/>
      <c r="F1549" s="388"/>
      <c r="G1549" s="387"/>
      <c r="H1549" s="387"/>
      <c r="I1549" s="388"/>
      <c r="J1549" s="388"/>
      <c r="K1549" s="384" t="str">
        <f ca="1">IFERROR(VLOOKUP(C1549,' Disaggregation - Section E '!A$618:J1875,3,0),"")</f>
        <v>KP-1b⁽ᴹ⁾ Percentage of transgender people reached with HIV prevention programs - defined package of services</v>
      </c>
      <c r="L1549" s="384"/>
      <c r="M1549" s="384"/>
      <c r="N1549" s="388"/>
      <c r="O1549" s="384" t="s">
        <v>2620</v>
      </c>
    </row>
    <row r="1550" spans="1:15" x14ac:dyDescent="0.3">
      <c r="A1550" s="384" t="b">
        <v>0</v>
      </c>
      <c r="B1550" s="384"/>
      <c r="C1550" s="384" t="s">
        <v>3176</v>
      </c>
      <c r="D1550" s="389">
        <v>3</v>
      </c>
      <c r="E1550" s="386"/>
      <c r="F1550" s="388"/>
      <c r="G1550" s="387"/>
      <c r="H1550" s="387"/>
      <c r="I1550" s="388"/>
      <c r="J1550" s="388"/>
      <c r="K1550" s="384" t="str">
        <f ca="1">IFERROR(VLOOKUP(C1550,' Disaggregation - Section E '!A$618:J1876,3,0),"")</f>
        <v>KP-1b⁽ᴹ⁾ Percentage of transgender people reached with HIV prevention programs - defined package of services</v>
      </c>
      <c r="L1550" s="384"/>
      <c r="M1550" s="384"/>
      <c r="N1550" s="388"/>
      <c r="O1550" s="384" t="s">
        <v>2620</v>
      </c>
    </row>
    <row r="1551" spans="1:15" x14ac:dyDescent="0.3">
      <c r="A1551" s="384" t="b">
        <v>0</v>
      </c>
      <c r="B1551" s="384"/>
      <c r="C1551" s="384" t="s">
        <v>3177</v>
      </c>
      <c r="D1551" s="389">
        <v>3</v>
      </c>
      <c r="E1551" s="386"/>
      <c r="F1551" s="388"/>
      <c r="G1551" s="387"/>
      <c r="H1551" s="387"/>
      <c r="I1551" s="388"/>
      <c r="J1551" s="388"/>
      <c r="K1551" s="384" t="str">
        <f ca="1">IFERROR(VLOOKUP(C1551,' Disaggregation - Section E '!A$618:J1877,3,0),"")</f>
        <v>KP-1b⁽ᴹ⁾ Percentage of transgender people reached with HIV prevention programs - defined package of services</v>
      </c>
      <c r="L1551" s="384"/>
      <c r="M1551" s="384"/>
      <c r="N1551" s="388"/>
      <c r="O1551" s="384" t="s">
        <v>2620</v>
      </c>
    </row>
    <row r="1552" spans="1:15" x14ac:dyDescent="0.3">
      <c r="A1552" s="384" t="b">
        <v>0</v>
      </c>
      <c r="B1552" s="384"/>
      <c r="C1552" s="384" t="s">
        <v>3178</v>
      </c>
      <c r="D1552" s="389">
        <v>3</v>
      </c>
      <c r="E1552" s="386"/>
      <c r="F1552" s="388"/>
      <c r="G1552" s="387"/>
      <c r="H1552" s="387"/>
      <c r="I1552" s="388"/>
      <c r="J1552" s="388"/>
      <c r="K1552" s="384" t="str">
        <f ca="1">IFERROR(VLOOKUP(C1552,' Disaggregation - Section E '!A$618:J1878,3,0),"")</f>
        <v>KP-1b⁽ᴹ⁾ Percentage of transgender people reached with HIV prevention programs - defined package of services</v>
      </c>
      <c r="L1552" s="384"/>
      <c r="M1552" s="384"/>
      <c r="N1552" s="388"/>
      <c r="O1552" s="384" t="s">
        <v>2620</v>
      </c>
    </row>
    <row r="1553" spans="1:15" x14ac:dyDescent="0.3">
      <c r="A1553" s="384" t="b">
        <v>0</v>
      </c>
      <c r="B1553" s="384"/>
      <c r="C1553" s="384" t="s">
        <v>3179</v>
      </c>
      <c r="D1553" s="389">
        <v>3</v>
      </c>
      <c r="E1553" s="386"/>
      <c r="F1553" s="388"/>
      <c r="G1553" s="387"/>
      <c r="H1553" s="387"/>
      <c r="I1553" s="388"/>
      <c r="J1553" s="388"/>
      <c r="K1553" s="384" t="str">
        <f ca="1">IFERROR(VLOOKUP(C1553,' Disaggregation - Section E '!A$618:J1879,3,0),"")</f>
        <v>KP-1b⁽ᴹ⁾ Percentage of transgender people reached with HIV prevention programs - defined package of services</v>
      </c>
      <c r="L1553" s="384"/>
      <c r="M1553" s="384"/>
      <c r="N1553" s="388"/>
      <c r="O1553" s="384" t="s">
        <v>2620</v>
      </c>
    </row>
    <row r="1554" spans="1:15" x14ac:dyDescent="0.3">
      <c r="A1554" s="384" t="b">
        <v>0</v>
      </c>
      <c r="B1554" s="384"/>
      <c r="C1554" s="384" t="s">
        <v>3180</v>
      </c>
      <c r="D1554" s="389">
        <v>3</v>
      </c>
      <c r="E1554" s="386"/>
      <c r="F1554" s="388"/>
      <c r="G1554" s="387"/>
      <c r="H1554" s="387"/>
      <c r="I1554" s="388"/>
      <c r="J1554" s="388"/>
      <c r="K1554" s="384" t="str">
        <f ca="1">IFERROR(VLOOKUP(C1554,' Disaggregation - Section E '!A$618:J1880,3,0),"")</f>
        <v>KP-1b⁽ᴹ⁾ Percentage of transgender people reached with HIV prevention programs - defined package of services</v>
      </c>
      <c r="L1554" s="384"/>
      <c r="M1554" s="384"/>
      <c r="N1554" s="388"/>
      <c r="O1554" s="384" t="s">
        <v>2620</v>
      </c>
    </row>
    <row r="1555" spans="1:15" x14ac:dyDescent="0.3">
      <c r="A1555" s="384" t="b">
        <v>0</v>
      </c>
      <c r="B1555" s="384"/>
      <c r="C1555" s="384" t="s">
        <v>3181</v>
      </c>
      <c r="D1555" s="389">
        <v>4</v>
      </c>
      <c r="E1555" s="386"/>
      <c r="F1555" s="388"/>
      <c r="G1555" s="387"/>
      <c r="H1555" s="387"/>
      <c r="I1555" s="388"/>
      <c r="J1555" s="388"/>
      <c r="K1555" s="384" t="str">
        <f ca="1">IFERROR(VLOOKUP(C1555,' Disaggregation - Section E '!A$618:J1881,3,0),"")</f>
        <v>KP-1d⁽ᴹ⁾ Percentage of people who inject drugs reached with HIV prevention programs - defined package of services</v>
      </c>
      <c r="L1555" s="384"/>
      <c r="M1555" s="384"/>
      <c r="N1555" s="388"/>
      <c r="O1555" s="384" t="s">
        <v>2627</v>
      </c>
    </row>
    <row r="1556" spans="1:15" x14ac:dyDescent="0.3">
      <c r="A1556" s="384" t="b">
        <v>0</v>
      </c>
      <c r="B1556" s="384"/>
      <c r="C1556" s="384" t="s">
        <v>3182</v>
      </c>
      <c r="D1556" s="389">
        <v>4</v>
      </c>
      <c r="E1556" s="386"/>
      <c r="F1556" s="388"/>
      <c r="G1556" s="387"/>
      <c r="H1556" s="387"/>
      <c r="I1556" s="388"/>
      <c r="J1556" s="388"/>
      <c r="K1556" s="384" t="str">
        <f ca="1">IFERROR(VLOOKUP(C1556,' Disaggregation - Section E '!A$618:J1882,3,0),"")</f>
        <v>KP-1d⁽ᴹ⁾ Percentage of people who inject drugs reached with HIV prevention programs - defined package of services</v>
      </c>
      <c r="L1556" s="384"/>
      <c r="M1556" s="384"/>
      <c r="N1556" s="388"/>
      <c r="O1556" s="384" t="s">
        <v>2627</v>
      </c>
    </row>
    <row r="1557" spans="1:15" x14ac:dyDescent="0.3">
      <c r="A1557" s="384" t="b">
        <v>0</v>
      </c>
      <c r="B1557" s="384"/>
      <c r="C1557" s="384" t="s">
        <v>3183</v>
      </c>
      <c r="D1557" s="389">
        <v>4</v>
      </c>
      <c r="E1557" s="386"/>
      <c r="F1557" s="388"/>
      <c r="G1557" s="387"/>
      <c r="H1557" s="387"/>
      <c r="I1557" s="388"/>
      <c r="J1557" s="388"/>
      <c r="K1557" s="384" t="str">
        <f ca="1">IFERROR(VLOOKUP(C1557,' Disaggregation - Section E '!A$618:J1883,3,0),"")</f>
        <v>KP-1d⁽ᴹ⁾ Percentage of people who inject drugs reached with HIV prevention programs - defined package of services</v>
      </c>
      <c r="L1557" s="384"/>
      <c r="M1557" s="384"/>
      <c r="N1557" s="388"/>
      <c r="O1557" s="384" t="s">
        <v>2627</v>
      </c>
    </row>
    <row r="1558" spans="1:15" x14ac:dyDescent="0.3">
      <c r="A1558" s="384" t="b">
        <v>0</v>
      </c>
      <c r="B1558" s="384"/>
      <c r="C1558" s="384" t="s">
        <v>3184</v>
      </c>
      <c r="D1558" s="389">
        <v>4</v>
      </c>
      <c r="E1558" s="386"/>
      <c r="F1558" s="388"/>
      <c r="G1558" s="387"/>
      <c r="H1558" s="387"/>
      <c r="I1558" s="388"/>
      <c r="J1558" s="388"/>
      <c r="K1558" s="384" t="str">
        <f ca="1">IFERROR(VLOOKUP(C1558,' Disaggregation - Section E '!A$618:J1884,3,0),"")</f>
        <v>KP-1d⁽ᴹ⁾ Percentage of people who inject drugs reached with HIV prevention programs - defined package of services</v>
      </c>
      <c r="L1558" s="384"/>
      <c r="M1558" s="384"/>
      <c r="N1558" s="388"/>
      <c r="O1558" s="384" t="s">
        <v>2627</v>
      </c>
    </row>
    <row r="1559" spans="1:15" x14ac:dyDescent="0.3">
      <c r="A1559" s="384" t="b">
        <v>0</v>
      </c>
      <c r="B1559" s="384"/>
      <c r="C1559" s="384" t="s">
        <v>3185</v>
      </c>
      <c r="D1559" s="389">
        <v>4</v>
      </c>
      <c r="E1559" s="386"/>
      <c r="F1559" s="388"/>
      <c r="G1559" s="387"/>
      <c r="H1559" s="387"/>
      <c r="I1559" s="388"/>
      <c r="J1559" s="388"/>
      <c r="K1559" s="384" t="str">
        <f ca="1">IFERROR(VLOOKUP(C1559,' Disaggregation - Section E '!A$618:J1885,3,0),"")</f>
        <v>KP-1d⁽ᴹ⁾ Percentage of people who inject drugs reached with HIV prevention programs - defined package of services</v>
      </c>
      <c r="L1559" s="384"/>
      <c r="M1559" s="384"/>
      <c r="N1559" s="388"/>
      <c r="O1559" s="384" t="s">
        <v>2627</v>
      </c>
    </row>
    <row r="1560" spans="1:15" x14ac:dyDescent="0.3">
      <c r="A1560" s="384" t="b">
        <v>0</v>
      </c>
      <c r="B1560" s="384"/>
      <c r="C1560" s="384" t="s">
        <v>3186</v>
      </c>
      <c r="D1560" s="389">
        <v>4</v>
      </c>
      <c r="E1560" s="386"/>
      <c r="F1560" s="388"/>
      <c r="G1560" s="387"/>
      <c r="H1560" s="387"/>
      <c r="I1560" s="388"/>
      <c r="J1560" s="388"/>
      <c r="K1560" s="384" t="str">
        <f ca="1">IFERROR(VLOOKUP(C1560,' Disaggregation - Section E '!A$618:J1886,3,0),"")</f>
        <v>KP-1d⁽ᴹ⁾ Percentage of people who inject drugs reached with HIV prevention programs - defined package of services</v>
      </c>
      <c r="L1560" s="384"/>
      <c r="M1560" s="384"/>
      <c r="N1560" s="388"/>
      <c r="O1560" s="384" t="s">
        <v>2627</v>
      </c>
    </row>
    <row r="1561" spans="1:15" x14ac:dyDescent="0.3">
      <c r="A1561" s="384" t="b">
        <v>0</v>
      </c>
      <c r="B1561" s="384"/>
      <c r="C1561" s="384" t="s">
        <v>3187</v>
      </c>
      <c r="D1561" s="389">
        <v>4</v>
      </c>
      <c r="E1561" s="386"/>
      <c r="F1561" s="388"/>
      <c r="G1561" s="387"/>
      <c r="H1561" s="387"/>
      <c r="I1561" s="388"/>
      <c r="J1561" s="388"/>
      <c r="K1561" s="384" t="str">
        <f ca="1">IFERROR(VLOOKUP(C1561,' Disaggregation - Section E '!A$618:J1887,3,0),"")</f>
        <v>KP-1d⁽ᴹ⁾ Percentage of people who inject drugs reached with HIV prevention programs - defined package of services</v>
      </c>
      <c r="L1561" s="384"/>
      <c r="M1561" s="384"/>
      <c r="N1561" s="388"/>
      <c r="O1561" s="384" t="s">
        <v>2627</v>
      </c>
    </row>
    <row r="1562" spans="1:15" x14ac:dyDescent="0.3">
      <c r="A1562" s="384" t="b">
        <v>0</v>
      </c>
      <c r="B1562" s="384"/>
      <c r="C1562" s="384" t="s">
        <v>3188</v>
      </c>
      <c r="D1562" s="389">
        <v>4</v>
      </c>
      <c r="E1562" s="386"/>
      <c r="F1562" s="388"/>
      <c r="G1562" s="387"/>
      <c r="H1562" s="387"/>
      <c r="I1562" s="388"/>
      <c r="J1562" s="388"/>
      <c r="K1562" s="384" t="str">
        <f ca="1">IFERROR(VLOOKUP(C1562,' Disaggregation - Section E '!A$618:J1888,3,0),"")</f>
        <v>KP-1d⁽ᴹ⁾ Percentage of people who inject drugs reached with HIV prevention programs - defined package of services</v>
      </c>
      <c r="L1562" s="384"/>
      <c r="M1562" s="384"/>
      <c r="N1562" s="388"/>
      <c r="O1562" s="384" t="s">
        <v>2627</v>
      </c>
    </row>
    <row r="1563" spans="1:15" x14ac:dyDescent="0.3">
      <c r="A1563" s="384" t="b">
        <v>0</v>
      </c>
      <c r="B1563" s="384"/>
      <c r="C1563" s="384" t="s">
        <v>3189</v>
      </c>
      <c r="D1563" s="389">
        <v>4</v>
      </c>
      <c r="E1563" s="386"/>
      <c r="F1563" s="388"/>
      <c r="G1563" s="387"/>
      <c r="H1563" s="387"/>
      <c r="I1563" s="388"/>
      <c r="J1563" s="388"/>
      <c r="K1563" s="384" t="str">
        <f ca="1">IFERROR(VLOOKUP(C1563,' Disaggregation - Section E '!A$618:J1889,3,0),"")</f>
        <v>KP-1d⁽ᴹ⁾ Percentage of people who inject drugs reached with HIV prevention programs - defined package of services</v>
      </c>
      <c r="L1563" s="384"/>
      <c r="M1563" s="384"/>
      <c r="N1563" s="388"/>
      <c r="O1563" s="384" t="s">
        <v>2627</v>
      </c>
    </row>
    <row r="1564" spans="1:15" x14ac:dyDescent="0.3">
      <c r="A1564" s="384" t="b">
        <v>0</v>
      </c>
      <c r="B1564" s="384"/>
      <c r="C1564" s="384" t="s">
        <v>3190</v>
      </c>
      <c r="D1564" s="389">
        <v>4</v>
      </c>
      <c r="E1564" s="386"/>
      <c r="F1564" s="388"/>
      <c r="G1564" s="387"/>
      <c r="H1564" s="387"/>
      <c r="I1564" s="388"/>
      <c r="J1564" s="388"/>
      <c r="K1564" s="384" t="str">
        <f ca="1">IFERROR(VLOOKUP(C1564,' Disaggregation - Section E '!A$618:J1890,3,0),"")</f>
        <v>KP-1d⁽ᴹ⁾ Percentage of people who inject drugs reached with HIV prevention programs - defined package of services</v>
      </c>
      <c r="L1564" s="384"/>
      <c r="M1564" s="384"/>
      <c r="N1564" s="388"/>
      <c r="O1564" s="384" t="s">
        <v>2627</v>
      </c>
    </row>
    <row r="1565" spans="1:15" x14ac:dyDescent="0.3">
      <c r="A1565" s="384" t="b">
        <v>0</v>
      </c>
      <c r="B1565" s="384"/>
      <c r="C1565" s="384" t="s">
        <v>3191</v>
      </c>
      <c r="D1565" s="389">
        <v>4</v>
      </c>
      <c r="E1565" s="386"/>
      <c r="F1565" s="388"/>
      <c r="G1565" s="387"/>
      <c r="H1565" s="387"/>
      <c r="I1565" s="388"/>
      <c r="J1565" s="388"/>
      <c r="K1565" s="384" t="str">
        <f ca="1">IFERROR(VLOOKUP(C1565,' Disaggregation - Section E '!A$618:J1891,3,0),"")</f>
        <v>KP-1d⁽ᴹ⁾ Percentage of people who inject drugs reached with HIV prevention programs - defined package of services</v>
      </c>
      <c r="L1565" s="384"/>
      <c r="M1565" s="384"/>
      <c r="N1565" s="388"/>
      <c r="O1565" s="384" t="s">
        <v>2627</v>
      </c>
    </row>
    <row r="1566" spans="1:15" x14ac:dyDescent="0.3">
      <c r="A1566" s="384" t="b">
        <v>0</v>
      </c>
      <c r="B1566" s="384"/>
      <c r="C1566" s="384" t="s">
        <v>3192</v>
      </c>
      <c r="D1566" s="389">
        <v>4</v>
      </c>
      <c r="E1566" s="386"/>
      <c r="F1566" s="388"/>
      <c r="G1566" s="387"/>
      <c r="H1566" s="387"/>
      <c r="I1566" s="388"/>
      <c r="J1566" s="388"/>
      <c r="K1566" s="384" t="str">
        <f ca="1">IFERROR(VLOOKUP(C1566,' Disaggregation - Section E '!A$618:J1892,3,0),"")</f>
        <v>KP-1d⁽ᴹ⁾ Percentage of people who inject drugs reached with HIV prevention programs - defined package of services</v>
      </c>
      <c r="L1566" s="384"/>
      <c r="M1566" s="384"/>
      <c r="N1566" s="388"/>
      <c r="O1566" s="384" t="s">
        <v>2627</v>
      </c>
    </row>
    <row r="1567" spans="1:15" x14ac:dyDescent="0.3">
      <c r="A1567" s="384" t="b">
        <v>0</v>
      </c>
      <c r="B1567" s="384"/>
      <c r="C1567" s="384" t="s">
        <v>3193</v>
      </c>
      <c r="D1567" s="389">
        <v>4</v>
      </c>
      <c r="E1567" s="386"/>
      <c r="F1567" s="388"/>
      <c r="G1567" s="387"/>
      <c r="H1567" s="387"/>
      <c r="I1567" s="388"/>
      <c r="J1567" s="388"/>
      <c r="K1567" s="384" t="str">
        <f ca="1">IFERROR(VLOOKUP(C1567,' Disaggregation - Section E '!A$618:J1893,3,0),"")</f>
        <v>KP-1d⁽ᴹ⁾ Percentage of people who inject drugs reached with HIV prevention programs - defined package of services</v>
      </c>
      <c r="L1567" s="384"/>
      <c r="M1567" s="384"/>
      <c r="N1567" s="388"/>
      <c r="O1567" s="384" t="s">
        <v>2627</v>
      </c>
    </row>
    <row r="1568" spans="1:15" x14ac:dyDescent="0.3">
      <c r="A1568" s="384" t="b">
        <v>0</v>
      </c>
      <c r="B1568" s="384"/>
      <c r="C1568" s="384" t="s">
        <v>3194</v>
      </c>
      <c r="D1568" s="389">
        <v>4</v>
      </c>
      <c r="E1568" s="386"/>
      <c r="F1568" s="388"/>
      <c r="G1568" s="387"/>
      <c r="H1568" s="387"/>
      <c r="I1568" s="388"/>
      <c r="J1568" s="388"/>
      <c r="K1568" s="384" t="str">
        <f ca="1">IFERROR(VLOOKUP(C1568,' Disaggregation - Section E '!A$618:J1894,3,0),"")</f>
        <v>KP-1d⁽ᴹ⁾ Percentage of people who inject drugs reached with HIV prevention programs - defined package of services</v>
      </c>
      <c r="L1568" s="384"/>
      <c r="M1568" s="384"/>
      <c r="N1568" s="388"/>
      <c r="O1568" s="384" t="s">
        <v>2627</v>
      </c>
    </row>
    <row r="1569" spans="1:15" x14ac:dyDescent="0.3">
      <c r="A1569" s="384" t="b">
        <v>0</v>
      </c>
      <c r="B1569" s="384"/>
      <c r="C1569" s="384" t="s">
        <v>3195</v>
      </c>
      <c r="D1569" s="389">
        <v>4</v>
      </c>
      <c r="E1569" s="386"/>
      <c r="F1569" s="388"/>
      <c r="G1569" s="387"/>
      <c r="H1569" s="387"/>
      <c r="I1569" s="388"/>
      <c r="J1569" s="388"/>
      <c r="K1569" s="384" t="str">
        <f ca="1">IFERROR(VLOOKUP(C1569,' Disaggregation - Section E '!A$618:J1895,3,0),"")</f>
        <v>KP-1d⁽ᴹ⁾ Percentage of people who inject drugs reached with HIV prevention programs - defined package of services</v>
      </c>
      <c r="L1569" s="384"/>
      <c r="M1569" s="384"/>
      <c r="N1569" s="388"/>
      <c r="O1569" s="384" t="s">
        <v>2627</v>
      </c>
    </row>
    <row r="1570" spans="1:15" x14ac:dyDescent="0.3">
      <c r="A1570" s="384" t="b">
        <v>0</v>
      </c>
      <c r="B1570" s="384"/>
      <c r="C1570" s="384" t="s">
        <v>3196</v>
      </c>
      <c r="D1570" s="389">
        <v>4</v>
      </c>
      <c r="E1570" s="386"/>
      <c r="F1570" s="388"/>
      <c r="G1570" s="387"/>
      <c r="H1570" s="387"/>
      <c r="I1570" s="388"/>
      <c r="J1570" s="388"/>
      <c r="K1570" s="384" t="str">
        <f ca="1">IFERROR(VLOOKUP(C1570,' Disaggregation - Section E '!A$618:J1896,3,0),"")</f>
        <v>KP-1d⁽ᴹ⁾ Percentage of people who inject drugs reached with HIV prevention programs - defined package of services</v>
      </c>
      <c r="L1570" s="384"/>
      <c r="M1570" s="384"/>
      <c r="N1570" s="388"/>
      <c r="O1570" s="384" t="s">
        <v>2627</v>
      </c>
    </row>
    <row r="1571" spans="1:15" x14ac:dyDescent="0.3">
      <c r="A1571" s="384" t="b">
        <v>0</v>
      </c>
      <c r="B1571" s="384"/>
      <c r="C1571" s="384" t="s">
        <v>3197</v>
      </c>
      <c r="D1571" s="389">
        <v>4</v>
      </c>
      <c r="E1571" s="386"/>
      <c r="F1571" s="388"/>
      <c r="G1571" s="387"/>
      <c r="H1571" s="387"/>
      <c r="I1571" s="388"/>
      <c r="J1571" s="388"/>
      <c r="K1571" s="384" t="str">
        <f ca="1">IFERROR(VLOOKUP(C1571,' Disaggregation - Section E '!A$618:J1897,3,0),"")</f>
        <v>KP-1d⁽ᴹ⁾ Percentage of people who inject drugs reached with HIV prevention programs - defined package of services</v>
      </c>
      <c r="L1571" s="384"/>
      <c r="M1571" s="384"/>
      <c r="N1571" s="388"/>
      <c r="O1571" s="384" t="s">
        <v>2627</v>
      </c>
    </row>
    <row r="1572" spans="1:15" x14ac:dyDescent="0.3">
      <c r="A1572" s="384" t="b">
        <v>0</v>
      </c>
      <c r="B1572" s="384"/>
      <c r="C1572" s="384" t="s">
        <v>3198</v>
      </c>
      <c r="D1572" s="389">
        <v>4</v>
      </c>
      <c r="E1572" s="386"/>
      <c r="F1572" s="388"/>
      <c r="G1572" s="387"/>
      <c r="H1572" s="387"/>
      <c r="I1572" s="388"/>
      <c r="J1572" s="388"/>
      <c r="K1572" s="384" t="str">
        <f ca="1">IFERROR(VLOOKUP(C1572,' Disaggregation - Section E '!A$618:J1898,3,0),"")</f>
        <v>KP-1d⁽ᴹ⁾ Percentage of people who inject drugs reached with HIV prevention programs - defined package of services</v>
      </c>
      <c r="L1572" s="384"/>
      <c r="M1572" s="384"/>
      <c r="N1572" s="388"/>
      <c r="O1572" s="384" t="s">
        <v>2627</v>
      </c>
    </row>
    <row r="1573" spans="1:15" x14ac:dyDescent="0.3">
      <c r="A1573" s="384" t="b">
        <v>0</v>
      </c>
      <c r="B1573" s="384"/>
      <c r="C1573" s="384" t="s">
        <v>3199</v>
      </c>
      <c r="D1573" s="389">
        <v>4</v>
      </c>
      <c r="E1573" s="386"/>
      <c r="F1573" s="388"/>
      <c r="G1573" s="387"/>
      <c r="H1573" s="387"/>
      <c r="I1573" s="388"/>
      <c r="J1573" s="388"/>
      <c r="K1573" s="384" t="str">
        <f ca="1">IFERROR(VLOOKUP(C1573,' Disaggregation - Section E '!A$618:J1899,3,0),"")</f>
        <v>KP-1d⁽ᴹ⁾ Percentage of people who inject drugs reached with HIV prevention programs - defined package of services</v>
      </c>
      <c r="L1573" s="384"/>
      <c r="M1573" s="384"/>
      <c r="N1573" s="388"/>
      <c r="O1573" s="384" t="s">
        <v>2627</v>
      </c>
    </row>
    <row r="1574" spans="1:15" x14ac:dyDescent="0.3">
      <c r="A1574" s="384" t="b">
        <v>0</v>
      </c>
      <c r="B1574" s="384"/>
      <c r="C1574" s="384" t="s">
        <v>3200</v>
      </c>
      <c r="D1574" s="389">
        <v>4</v>
      </c>
      <c r="E1574" s="386"/>
      <c r="F1574" s="388"/>
      <c r="G1574" s="387"/>
      <c r="H1574" s="387"/>
      <c r="I1574" s="388"/>
      <c r="J1574" s="388"/>
      <c r="K1574" s="384" t="str">
        <f ca="1">IFERROR(VLOOKUP(C1574,' Disaggregation - Section E '!A$618:J1900,3,0),"")</f>
        <v>KP-1d⁽ᴹ⁾ Percentage of people who inject drugs reached with HIV prevention programs - defined package of services</v>
      </c>
      <c r="L1574" s="384"/>
      <c r="M1574" s="384"/>
      <c r="N1574" s="388"/>
      <c r="O1574" s="384" t="s">
        <v>2627</v>
      </c>
    </row>
    <row r="1575" spans="1:15" x14ac:dyDescent="0.3">
      <c r="A1575" s="384" t="b">
        <v>0</v>
      </c>
      <c r="B1575" s="384"/>
      <c r="C1575" s="384" t="s">
        <v>3201</v>
      </c>
      <c r="D1575" s="389">
        <v>5</v>
      </c>
      <c r="E1575" s="386"/>
      <c r="F1575" s="388"/>
      <c r="G1575" s="387"/>
      <c r="H1575" s="387"/>
      <c r="I1575" s="388"/>
      <c r="J1575" s="388"/>
      <c r="K1575" s="384" t="str">
        <f ca="1">IFERROR(VLOOKUP(C1575,' Disaggregation - Section E '!A$618:J1901,3,0),"")</f>
        <v>KP-6a Number of MSM who received any PrEP product at least once during the reporting period</v>
      </c>
      <c r="L1575" s="384"/>
      <c r="M1575" s="384"/>
      <c r="N1575" s="388"/>
      <c r="O1575" s="384" t="s">
        <v>2634</v>
      </c>
    </row>
    <row r="1576" spans="1:15" x14ac:dyDescent="0.3">
      <c r="A1576" s="384" t="b">
        <v>0</v>
      </c>
      <c r="B1576" s="384"/>
      <c r="C1576" s="384" t="s">
        <v>3202</v>
      </c>
      <c r="D1576" s="389">
        <v>5</v>
      </c>
      <c r="E1576" s="386"/>
      <c r="F1576" s="388"/>
      <c r="G1576" s="387"/>
      <c r="H1576" s="387"/>
      <c r="I1576" s="388"/>
      <c r="J1576" s="388"/>
      <c r="K1576" s="384" t="str">
        <f ca="1">IFERROR(VLOOKUP(C1576,' Disaggregation - Section E '!A$618:J1902,3,0),"")</f>
        <v>KP-6a Number of MSM who received any PrEP product at least once during the reporting period</v>
      </c>
      <c r="L1576" s="384"/>
      <c r="M1576" s="384"/>
      <c r="N1576" s="388"/>
      <c r="O1576" s="384" t="s">
        <v>2634</v>
      </c>
    </row>
    <row r="1577" spans="1:15" x14ac:dyDescent="0.3">
      <c r="A1577" s="384" t="b">
        <v>0</v>
      </c>
      <c r="B1577" s="384"/>
      <c r="C1577" s="384" t="s">
        <v>3203</v>
      </c>
      <c r="D1577" s="389">
        <v>5</v>
      </c>
      <c r="E1577" s="386"/>
      <c r="F1577" s="388"/>
      <c r="G1577" s="387"/>
      <c r="H1577" s="387"/>
      <c r="I1577" s="388"/>
      <c r="J1577" s="388"/>
      <c r="K1577" s="384" t="str">
        <f ca="1">IFERROR(VLOOKUP(C1577,' Disaggregation - Section E '!A$618:J1903,3,0),"")</f>
        <v>KP-6a Number of MSM who received any PrEP product at least once during the reporting period</v>
      </c>
      <c r="L1577" s="384"/>
      <c r="M1577" s="384"/>
      <c r="N1577" s="388"/>
      <c r="O1577" s="384" t="s">
        <v>2634</v>
      </c>
    </row>
    <row r="1578" spans="1:15" x14ac:dyDescent="0.3">
      <c r="A1578" s="384" t="b">
        <v>0</v>
      </c>
      <c r="B1578" s="384"/>
      <c r="C1578" s="384" t="s">
        <v>3204</v>
      </c>
      <c r="D1578" s="389">
        <v>5</v>
      </c>
      <c r="E1578" s="386"/>
      <c r="F1578" s="388"/>
      <c r="G1578" s="387"/>
      <c r="H1578" s="387"/>
      <c r="I1578" s="388"/>
      <c r="J1578" s="388"/>
      <c r="K1578" s="384" t="str">
        <f ca="1">IFERROR(VLOOKUP(C1578,' Disaggregation - Section E '!A$618:J1904,3,0),"")</f>
        <v>KP-6a Number of MSM who received any PrEP product at least once during the reporting period</v>
      </c>
      <c r="L1578" s="384"/>
      <c r="M1578" s="384"/>
      <c r="N1578" s="388"/>
      <c r="O1578" s="384" t="s">
        <v>2634</v>
      </c>
    </row>
    <row r="1579" spans="1:15" x14ac:dyDescent="0.3">
      <c r="A1579" s="384" t="b">
        <v>0</v>
      </c>
      <c r="B1579" s="384"/>
      <c r="C1579" s="384" t="s">
        <v>3205</v>
      </c>
      <c r="D1579" s="389">
        <v>5</v>
      </c>
      <c r="E1579" s="386"/>
      <c r="F1579" s="388"/>
      <c r="G1579" s="387"/>
      <c r="H1579" s="387"/>
      <c r="I1579" s="388"/>
      <c r="J1579" s="388"/>
      <c r="K1579" s="384" t="str">
        <f ca="1">IFERROR(VLOOKUP(C1579,' Disaggregation - Section E '!A$618:J1905,3,0),"")</f>
        <v>KP-6a Number of MSM who received any PrEP product at least once during the reporting period</v>
      </c>
      <c r="L1579" s="384"/>
      <c r="M1579" s="384"/>
      <c r="N1579" s="388"/>
      <c r="O1579" s="384" t="s">
        <v>2634</v>
      </c>
    </row>
    <row r="1580" spans="1:15" x14ac:dyDescent="0.3">
      <c r="A1580" s="384" t="b">
        <v>0</v>
      </c>
      <c r="B1580" s="384"/>
      <c r="C1580" s="384" t="s">
        <v>3206</v>
      </c>
      <c r="D1580" s="389">
        <v>5</v>
      </c>
      <c r="E1580" s="386"/>
      <c r="F1580" s="388"/>
      <c r="G1580" s="387"/>
      <c r="H1580" s="387"/>
      <c r="I1580" s="388"/>
      <c r="J1580" s="388"/>
      <c r="K1580" s="384" t="str">
        <f ca="1">IFERROR(VLOOKUP(C1580,' Disaggregation - Section E '!A$618:J1906,3,0),"")</f>
        <v>KP-6a Number of MSM who received any PrEP product at least once during the reporting period</v>
      </c>
      <c r="L1580" s="384"/>
      <c r="M1580" s="384"/>
      <c r="N1580" s="388"/>
      <c r="O1580" s="384" t="s">
        <v>2634</v>
      </c>
    </row>
    <row r="1581" spans="1:15" x14ac:dyDescent="0.3">
      <c r="A1581" s="384" t="b">
        <v>0</v>
      </c>
      <c r="B1581" s="384"/>
      <c r="C1581" s="384" t="s">
        <v>3207</v>
      </c>
      <c r="D1581" s="389">
        <v>5</v>
      </c>
      <c r="E1581" s="386"/>
      <c r="F1581" s="388"/>
      <c r="G1581" s="387"/>
      <c r="H1581" s="387"/>
      <c r="I1581" s="388"/>
      <c r="J1581" s="388"/>
      <c r="K1581" s="384" t="str">
        <f ca="1">IFERROR(VLOOKUP(C1581,' Disaggregation - Section E '!A$618:J1907,3,0),"")</f>
        <v>KP-6a Number of MSM who received any PrEP product at least once during the reporting period</v>
      </c>
      <c r="L1581" s="384"/>
      <c r="M1581" s="384"/>
      <c r="N1581" s="388"/>
      <c r="O1581" s="384" t="s">
        <v>2634</v>
      </c>
    </row>
    <row r="1582" spans="1:15" x14ac:dyDescent="0.3">
      <c r="A1582" s="384" t="b">
        <v>0</v>
      </c>
      <c r="B1582" s="384"/>
      <c r="C1582" s="384" t="s">
        <v>3208</v>
      </c>
      <c r="D1582" s="389">
        <v>5</v>
      </c>
      <c r="E1582" s="386"/>
      <c r="F1582" s="388"/>
      <c r="G1582" s="387"/>
      <c r="H1582" s="387"/>
      <c r="I1582" s="388"/>
      <c r="J1582" s="388"/>
      <c r="K1582" s="384" t="str">
        <f ca="1">IFERROR(VLOOKUP(C1582,' Disaggregation - Section E '!A$618:J1908,3,0),"")</f>
        <v>KP-6a Number of MSM who received any PrEP product at least once during the reporting period</v>
      </c>
      <c r="L1582" s="384"/>
      <c r="M1582" s="384"/>
      <c r="N1582" s="388"/>
      <c r="O1582" s="384" t="s">
        <v>2634</v>
      </c>
    </row>
    <row r="1583" spans="1:15" x14ac:dyDescent="0.3">
      <c r="A1583" s="384" t="b">
        <v>0</v>
      </c>
      <c r="B1583" s="384"/>
      <c r="C1583" s="384" t="s">
        <v>3209</v>
      </c>
      <c r="D1583" s="389">
        <v>5</v>
      </c>
      <c r="E1583" s="386"/>
      <c r="F1583" s="388"/>
      <c r="G1583" s="387"/>
      <c r="H1583" s="387"/>
      <c r="I1583" s="388"/>
      <c r="J1583" s="388"/>
      <c r="K1583" s="384" t="str">
        <f ca="1">IFERROR(VLOOKUP(C1583,' Disaggregation - Section E '!A$618:J1909,3,0),"")</f>
        <v>KP-6a Number of MSM who received any PrEP product at least once during the reporting period</v>
      </c>
      <c r="L1583" s="384"/>
      <c r="M1583" s="384"/>
      <c r="N1583" s="388"/>
      <c r="O1583" s="384" t="s">
        <v>2634</v>
      </c>
    </row>
    <row r="1584" spans="1:15" x14ac:dyDescent="0.3">
      <c r="A1584" s="384" t="b">
        <v>0</v>
      </c>
      <c r="B1584" s="384"/>
      <c r="C1584" s="384" t="s">
        <v>3210</v>
      </c>
      <c r="D1584" s="389">
        <v>5</v>
      </c>
      <c r="E1584" s="386"/>
      <c r="F1584" s="388"/>
      <c r="G1584" s="387"/>
      <c r="H1584" s="387"/>
      <c r="I1584" s="388"/>
      <c r="J1584" s="388"/>
      <c r="K1584" s="384" t="str">
        <f ca="1">IFERROR(VLOOKUP(C1584,' Disaggregation - Section E '!A$618:J1910,3,0),"")</f>
        <v>KP-6a Number of MSM who received any PrEP product at least once during the reporting period</v>
      </c>
      <c r="L1584" s="384"/>
      <c r="M1584" s="384"/>
      <c r="N1584" s="388"/>
      <c r="O1584" s="384" t="s">
        <v>2634</v>
      </c>
    </row>
    <row r="1585" spans="1:15" x14ac:dyDescent="0.3">
      <c r="A1585" s="384" t="b">
        <v>0</v>
      </c>
      <c r="B1585" s="384"/>
      <c r="C1585" s="384" t="s">
        <v>3211</v>
      </c>
      <c r="D1585" s="389">
        <v>5</v>
      </c>
      <c r="E1585" s="386"/>
      <c r="F1585" s="388"/>
      <c r="G1585" s="387"/>
      <c r="H1585" s="387"/>
      <c r="I1585" s="388"/>
      <c r="J1585" s="388"/>
      <c r="K1585" s="384" t="str">
        <f ca="1">IFERROR(VLOOKUP(C1585,' Disaggregation - Section E '!A$618:J1911,3,0),"")</f>
        <v>KP-6a Number of MSM who received any PrEP product at least once during the reporting period</v>
      </c>
      <c r="L1585" s="384"/>
      <c r="M1585" s="384"/>
      <c r="N1585" s="388"/>
      <c r="O1585" s="384" t="s">
        <v>2634</v>
      </c>
    </row>
    <row r="1586" spans="1:15" x14ac:dyDescent="0.3">
      <c r="A1586" s="384" t="b">
        <v>0</v>
      </c>
      <c r="B1586" s="384"/>
      <c r="C1586" s="384" t="s">
        <v>3212</v>
      </c>
      <c r="D1586" s="389">
        <v>5</v>
      </c>
      <c r="E1586" s="386"/>
      <c r="F1586" s="388"/>
      <c r="G1586" s="387"/>
      <c r="H1586" s="387"/>
      <c r="I1586" s="388"/>
      <c r="J1586" s="388"/>
      <c r="K1586" s="384" t="str">
        <f ca="1">IFERROR(VLOOKUP(C1586,' Disaggregation - Section E '!A$618:J1912,3,0),"")</f>
        <v>KP-6a Number of MSM who received any PrEP product at least once during the reporting period</v>
      </c>
      <c r="L1586" s="384"/>
      <c r="M1586" s="384"/>
      <c r="N1586" s="388"/>
      <c r="O1586" s="384" t="s">
        <v>2634</v>
      </c>
    </row>
    <row r="1587" spans="1:15" x14ac:dyDescent="0.3">
      <c r="A1587" s="384" t="b">
        <v>0</v>
      </c>
      <c r="B1587" s="384"/>
      <c r="C1587" s="384" t="s">
        <v>3213</v>
      </c>
      <c r="D1587" s="389">
        <v>5</v>
      </c>
      <c r="E1587" s="386"/>
      <c r="F1587" s="388"/>
      <c r="G1587" s="387"/>
      <c r="H1587" s="387"/>
      <c r="I1587" s="388"/>
      <c r="J1587" s="388"/>
      <c r="K1587" s="384" t="str">
        <f ca="1">IFERROR(VLOOKUP(C1587,' Disaggregation - Section E '!A$618:J1913,3,0),"")</f>
        <v>KP-6a Number of MSM who received any PrEP product at least once during the reporting period</v>
      </c>
      <c r="L1587" s="384"/>
      <c r="M1587" s="384"/>
      <c r="N1587" s="388"/>
      <c r="O1587" s="384" t="s">
        <v>2634</v>
      </c>
    </row>
    <row r="1588" spans="1:15" x14ac:dyDescent="0.3">
      <c r="A1588" s="384" t="b">
        <v>0</v>
      </c>
      <c r="B1588" s="384"/>
      <c r="C1588" s="384" t="s">
        <v>3214</v>
      </c>
      <c r="D1588" s="389">
        <v>5</v>
      </c>
      <c r="E1588" s="386"/>
      <c r="F1588" s="388"/>
      <c r="G1588" s="387"/>
      <c r="H1588" s="387"/>
      <c r="I1588" s="388"/>
      <c r="J1588" s="388"/>
      <c r="K1588" s="384" t="str">
        <f ca="1">IFERROR(VLOOKUP(C1588,' Disaggregation - Section E '!A$618:J1914,3,0),"")</f>
        <v>KP-6a Number of MSM who received any PrEP product at least once during the reporting period</v>
      </c>
      <c r="L1588" s="384"/>
      <c r="M1588" s="384"/>
      <c r="N1588" s="388"/>
      <c r="O1588" s="384" t="s">
        <v>2634</v>
      </c>
    </row>
    <row r="1589" spans="1:15" x14ac:dyDescent="0.3">
      <c r="A1589" s="384" t="b">
        <v>0</v>
      </c>
      <c r="B1589" s="384"/>
      <c r="C1589" s="384" t="s">
        <v>3215</v>
      </c>
      <c r="D1589" s="389">
        <v>5</v>
      </c>
      <c r="E1589" s="386"/>
      <c r="F1589" s="388"/>
      <c r="G1589" s="387"/>
      <c r="H1589" s="387"/>
      <c r="I1589" s="388"/>
      <c r="J1589" s="388"/>
      <c r="K1589" s="384" t="str">
        <f ca="1">IFERROR(VLOOKUP(C1589,' Disaggregation - Section E '!A$618:J1915,3,0),"")</f>
        <v>KP-6a Number of MSM who received any PrEP product at least once during the reporting period</v>
      </c>
      <c r="L1589" s="384"/>
      <c r="M1589" s="384"/>
      <c r="N1589" s="388"/>
      <c r="O1589" s="384" t="s">
        <v>2634</v>
      </c>
    </row>
    <row r="1590" spans="1:15" x14ac:dyDescent="0.3">
      <c r="A1590" s="384" t="b">
        <v>0</v>
      </c>
      <c r="B1590" s="384"/>
      <c r="C1590" s="384" t="s">
        <v>3216</v>
      </c>
      <c r="D1590" s="389">
        <v>5</v>
      </c>
      <c r="E1590" s="386"/>
      <c r="F1590" s="388"/>
      <c r="G1590" s="387"/>
      <c r="H1590" s="387"/>
      <c r="I1590" s="388"/>
      <c r="J1590" s="388"/>
      <c r="K1590" s="384" t="str">
        <f ca="1">IFERROR(VLOOKUP(C1590,' Disaggregation - Section E '!A$618:J1916,3,0),"")</f>
        <v>KP-6a Number of MSM who received any PrEP product at least once during the reporting period</v>
      </c>
      <c r="L1590" s="384"/>
      <c r="M1590" s="384"/>
      <c r="N1590" s="388"/>
      <c r="O1590" s="384" t="s">
        <v>2634</v>
      </c>
    </row>
    <row r="1591" spans="1:15" x14ac:dyDescent="0.3">
      <c r="A1591" s="384" t="b">
        <v>0</v>
      </c>
      <c r="B1591" s="384"/>
      <c r="C1591" s="384" t="s">
        <v>3217</v>
      </c>
      <c r="D1591" s="389">
        <v>5</v>
      </c>
      <c r="E1591" s="386"/>
      <c r="F1591" s="388"/>
      <c r="G1591" s="387"/>
      <c r="H1591" s="387"/>
      <c r="I1591" s="388"/>
      <c r="J1591" s="388"/>
      <c r="K1591" s="384" t="str">
        <f ca="1">IFERROR(VLOOKUP(C1591,' Disaggregation - Section E '!A$618:J1917,3,0),"")</f>
        <v>KP-6a Number of MSM who received any PrEP product at least once during the reporting period</v>
      </c>
      <c r="L1591" s="384"/>
      <c r="M1591" s="384"/>
      <c r="N1591" s="388"/>
      <c r="O1591" s="384" t="s">
        <v>2634</v>
      </c>
    </row>
    <row r="1592" spans="1:15" x14ac:dyDescent="0.3">
      <c r="A1592" s="384" t="b">
        <v>0</v>
      </c>
      <c r="B1592" s="384"/>
      <c r="C1592" s="384" t="s">
        <v>3218</v>
      </c>
      <c r="D1592" s="389">
        <v>5</v>
      </c>
      <c r="E1592" s="386"/>
      <c r="F1592" s="388"/>
      <c r="G1592" s="387"/>
      <c r="H1592" s="387"/>
      <c r="I1592" s="388"/>
      <c r="J1592" s="388"/>
      <c r="K1592" s="384" t="str">
        <f ca="1">IFERROR(VLOOKUP(C1592,' Disaggregation - Section E '!A$618:J1918,3,0),"")</f>
        <v>KP-6a Number of MSM who received any PrEP product at least once during the reporting period</v>
      </c>
      <c r="L1592" s="384"/>
      <c r="M1592" s="384"/>
      <c r="N1592" s="388"/>
      <c r="O1592" s="384" t="s">
        <v>2634</v>
      </c>
    </row>
    <row r="1593" spans="1:15" x14ac:dyDescent="0.3">
      <c r="A1593" s="384" t="b">
        <v>0</v>
      </c>
      <c r="B1593" s="384"/>
      <c r="C1593" s="384" t="s">
        <v>3219</v>
      </c>
      <c r="D1593" s="389">
        <v>5</v>
      </c>
      <c r="E1593" s="386"/>
      <c r="F1593" s="388"/>
      <c r="G1593" s="387"/>
      <c r="H1593" s="387"/>
      <c r="I1593" s="388"/>
      <c r="J1593" s="388"/>
      <c r="K1593" s="384" t="str">
        <f ca="1">IFERROR(VLOOKUP(C1593,' Disaggregation - Section E '!A$618:J1919,3,0),"")</f>
        <v>KP-6a Number of MSM who received any PrEP product at least once during the reporting period</v>
      </c>
      <c r="L1593" s="384"/>
      <c r="M1593" s="384"/>
      <c r="N1593" s="388"/>
      <c r="O1593" s="384" t="s">
        <v>2634</v>
      </c>
    </row>
    <row r="1594" spans="1:15" x14ac:dyDescent="0.3">
      <c r="A1594" s="384" t="b">
        <v>0</v>
      </c>
      <c r="B1594" s="384"/>
      <c r="C1594" s="384" t="s">
        <v>3220</v>
      </c>
      <c r="D1594" s="389">
        <v>5</v>
      </c>
      <c r="E1594" s="386"/>
      <c r="F1594" s="388"/>
      <c r="G1594" s="387"/>
      <c r="H1594" s="387"/>
      <c r="I1594" s="388"/>
      <c r="J1594" s="388"/>
      <c r="K1594" s="384" t="str">
        <f ca="1">IFERROR(VLOOKUP(C1594,' Disaggregation - Section E '!A$618:J1920,3,0),"")</f>
        <v>KP-6a Number of MSM who received any PrEP product at least once during the reporting period</v>
      </c>
      <c r="L1594" s="384"/>
      <c r="M1594" s="384"/>
      <c r="N1594" s="388"/>
      <c r="O1594" s="384" t="s">
        <v>2634</v>
      </c>
    </row>
    <row r="1595" spans="1:15" x14ac:dyDescent="0.3">
      <c r="A1595" s="384" t="b">
        <v>0</v>
      </c>
      <c r="B1595" s="384"/>
      <c r="C1595" s="384" t="s">
        <v>3221</v>
      </c>
      <c r="D1595" s="389">
        <v>6</v>
      </c>
      <c r="E1595" s="386"/>
      <c r="F1595" s="388"/>
      <c r="G1595" s="387"/>
      <c r="H1595" s="387"/>
      <c r="I1595" s="388"/>
      <c r="J1595" s="388"/>
      <c r="K1595" s="384" t="str">
        <f ca="1">IFERROR(VLOOKUP(C1595,' Disaggregation - Section E '!A$618:J1921,3,0),"")</f>
        <v>HTS-3a⁽ᴹ⁾ Percentage of MSM that have received an HIV test during the reporting period in KP-specific programs and know their results</v>
      </c>
      <c r="L1595" s="384"/>
      <c r="M1595" s="384"/>
      <c r="N1595" s="388"/>
      <c r="O1595" s="384" t="s">
        <v>2641</v>
      </c>
    </row>
    <row r="1596" spans="1:15" x14ac:dyDescent="0.3">
      <c r="A1596" s="384" t="b">
        <v>0</v>
      </c>
      <c r="B1596" s="384"/>
      <c r="C1596" s="384" t="s">
        <v>3222</v>
      </c>
      <c r="D1596" s="389">
        <v>6</v>
      </c>
      <c r="E1596" s="386"/>
      <c r="F1596" s="388"/>
      <c r="G1596" s="387"/>
      <c r="H1596" s="387"/>
      <c r="I1596" s="388"/>
      <c r="J1596" s="388"/>
      <c r="K1596" s="384" t="str">
        <f ca="1">IFERROR(VLOOKUP(C1596,' Disaggregation - Section E '!A$618:J1922,3,0),"")</f>
        <v>HTS-3a⁽ᴹ⁾ Percentage of MSM that have received an HIV test during the reporting period in KP-specific programs and know their results</v>
      </c>
      <c r="L1596" s="384"/>
      <c r="M1596" s="384"/>
      <c r="N1596" s="388"/>
      <c r="O1596" s="384" t="s">
        <v>2641</v>
      </c>
    </row>
    <row r="1597" spans="1:15" x14ac:dyDescent="0.3">
      <c r="A1597" s="384" t="b">
        <v>0</v>
      </c>
      <c r="B1597" s="384"/>
      <c r="C1597" s="384" t="s">
        <v>3223</v>
      </c>
      <c r="D1597" s="389">
        <v>6</v>
      </c>
      <c r="E1597" s="386"/>
      <c r="F1597" s="388"/>
      <c r="G1597" s="387"/>
      <c r="H1597" s="387"/>
      <c r="I1597" s="388"/>
      <c r="J1597" s="388"/>
      <c r="K1597" s="384" t="str">
        <f ca="1">IFERROR(VLOOKUP(C1597,' Disaggregation - Section E '!A$618:J1923,3,0),"")</f>
        <v>HTS-3a⁽ᴹ⁾ Percentage of MSM that have received an HIV test during the reporting period in KP-specific programs and know their results</v>
      </c>
      <c r="L1597" s="384"/>
      <c r="M1597" s="384"/>
      <c r="N1597" s="388"/>
      <c r="O1597" s="384" t="s">
        <v>2641</v>
      </c>
    </row>
    <row r="1598" spans="1:15" x14ac:dyDescent="0.3">
      <c r="A1598" s="384" t="b">
        <v>0</v>
      </c>
      <c r="B1598" s="384"/>
      <c r="C1598" s="384" t="s">
        <v>3224</v>
      </c>
      <c r="D1598" s="389">
        <v>6</v>
      </c>
      <c r="E1598" s="386"/>
      <c r="F1598" s="388"/>
      <c r="G1598" s="387"/>
      <c r="H1598" s="387"/>
      <c r="I1598" s="388"/>
      <c r="J1598" s="388"/>
      <c r="K1598" s="384" t="str">
        <f ca="1">IFERROR(VLOOKUP(C1598,' Disaggregation - Section E '!A$618:J1924,3,0),"")</f>
        <v>HTS-3a⁽ᴹ⁾ Percentage of MSM that have received an HIV test during the reporting period in KP-specific programs and know their results</v>
      </c>
      <c r="L1598" s="384"/>
      <c r="M1598" s="384"/>
      <c r="N1598" s="388"/>
      <c r="O1598" s="384" t="s">
        <v>2641</v>
      </c>
    </row>
    <row r="1599" spans="1:15" x14ac:dyDescent="0.3">
      <c r="A1599" s="384" t="b">
        <v>0</v>
      </c>
      <c r="B1599" s="384"/>
      <c r="C1599" s="384" t="s">
        <v>3225</v>
      </c>
      <c r="D1599" s="389">
        <v>6</v>
      </c>
      <c r="E1599" s="386"/>
      <c r="F1599" s="388"/>
      <c r="G1599" s="387"/>
      <c r="H1599" s="387"/>
      <c r="I1599" s="388"/>
      <c r="J1599" s="388"/>
      <c r="K1599" s="384" t="str">
        <f ca="1">IFERROR(VLOOKUP(C1599,' Disaggregation - Section E '!A$618:J1925,3,0),"")</f>
        <v>HTS-3a⁽ᴹ⁾ Percentage of MSM that have received an HIV test during the reporting period in KP-specific programs and know their results</v>
      </c>
      <c r="L1599" s="384"/>
      <c r="M1599" s="384"/>
      <c r="N1599" s="388"/>
      <c r="O1599" s="384" t="s">
        <v>2641</v>
      </c>
    </row>
    <row r="1600" spans="1:15" x14ac:dyDescent="0.3">
      <c r="A1600" s="384" t="b">
        <v>0</v>
      </c>
      <c r="B1600" s="384"/>
      <c r="C1600" s="384" t="s">
        <v>3226</v>
      </c>
      <c r="D1600" s="389">
        <v>6</v>
      </c>
      <c r="E1600" s="386"/>
      <c r="F1600" s="388"/>
      <c r="G1600" s="387"/>
      <c r="H1600" s="387"/>
      <c r="I1600" s="388"/>
      <c r="J1600" s="388"/>
      <c r="K1600" s="384" t="str">
        <f ca="1">IFERROR(VLOOKUP(C1600,' Disaggregation - Section E '!A$618:J1926,3,0),"")</f>
        <v>HTS-3a⁽ᴹ⁾ Percentage of MSM that have received an HIV test during the reporting period in KP-specific programs and know their results</v>
      </c>
      <c r="L1600" s="384"/>
      <c r="M1600" s="384"/>
      <c r="N1600" s="388"/>
      <c r="O1600" s="384" t="s">
        <v>2641</v>
      </c>
    </row>
    <row r="1601" spans="1:15" x14ac:dyDescent="0.3">
      <c r="A1601" s="384" t="b">
        <v>0</v>
      </c>
      <c r="B1601" s="384"/>
      <c r="C1601" s="384" t="s">
        <v>3227</v>
      </c>
      <c r="D1601" s="389">
        <v>6</v>
      </c>
      <c r="E1601" s="386"/>
      <c r="F1601" s="388"/>
      <c r="G1601" s="387"/>
      <c r="H1601" s="387"/>
      <c r="I1601" s="388"/>
      <c r="J1601" s="388"/>
      <c r="K1601" s="384" t="str">
        <f ca="1">IFERROR(VLOOKUP(C1601,' Disaggregation - Section E '!A$618:J1927,3,0),"")</f>
        <v>HTS-3a⁽ᴹ⁾ Percentage of MSM that have received an HIV test during the reporting period in KP-specific programs and know their results</v>
      </c>
      <c r="L1601" s="384"/>
      <c r="M1601" s="384"/>
      <c r="N1601" s="388"/>
      <c r="O1601" s="384" t="s">
        <v>2641</v>
      </c>
    </row>
    <row r="1602" spans="1:15" x14ac:dyDescent="0.3">
      <c r="A1602" s="384" t="b">
        <v>0</v>
      </c>
      <c r="B1602" s="384"/>
      <c r="C1602" s="384" t="s">
        <v>3228</v>
      </c>
      <c r="D1602" s="389">
        <v>6</v>
      </c>
      <c r="E1602" s="386"/>
      <c r="F1602" s="388"/>
      <c r="G1602" s="387"/>
      <c r="H1602" s="387"/>
      <c r="I1602" s="388"/>
      <c r="J1602" s="388"/>
      <c r="K1602" s="384" t="str">
        <f ca="1">IFERROR(VLOOKUP(C1602,' Disaggregation - Section E '!A$618:J1928,3,0),"")</f>
        <v>HTS-3a⁽ᴹ⁾ Percentage of MSM that have received an HIV test during the reporting period in KP-specific programs and know their results</v>
      </c>
      <c r="L1602" s="384"/>
      <c r="M1602" s="384"/>
      <c r="N1602" s="388"/>
      <c r="O1602" s="384" t="s">
        <v>2641</v>
      </c>
    </row>
    <row r="1603" spans="1:15" x14ac:dyDescent="0.3">
      <c r="A1603" s="384" t="b">
        <v>0</v>
      </c>
      <c r="B1603" s="384"/>
      <c r="C1603" s="384" t="s">
        <v>3229</v>
      </c>
      <c r="D1603" s="389">
        <v>6</v>
      </c>
      <c r="E1603" s="386"/>
      <c r="F1603" s="388"/>
      <c r="G1603" s="387"/>
      <c r="H1603" s="387"/>
      <c r="I1603" s="388"/>
      <c r="J1603" s="388"/>
      <c r="K1603" s="384" t="str">
        <f ca="1">IFERROR(VLOOKUP(C1603,' Disaggregation - Section E '!A$618:J1929,3,0),"")</f>
        <v>HTS-3a⁽ᴹ⁾ Percentage of MSM that have received an HIV test during the reporting period in KP-specific programs and know their results</v>
      </c>
      <c r="L1603" s="384"/>
      <c r="M1603" s="384"/>
      <c r="N1603" s="388"/>
      <c r="O1603" s="384" t="s">
        <v>2641</v>
      </c>
    </row>
    <row r="1604" spans="1:15" x14ac:dyDescent="0.3">
      <c r="A1604" s="384" t="b">
        <v>0</v>
      </c>
      <c r="B1604" s="384"/>
      <c r="C1604" s="384" t="s">
        <v>3230</v>
      </c>
      <c r="D1604" s="389">
        <v>6</v>
      </c>
      <c r="E1604" s="386"/>
      <c r="F1604" s="388"/>
      <c r="G1604" s="387"/>
      <c r="H1604" s="387"/>
      <c r="I1604" s="388"/>
      <c r="J1604" s="388"/>
      <c r="K1604" s="384" t="str">
        <f ca="1">IFERROR(VLOOKUP(C1604,' Disaggregation - Section E '!A$618:J1930,3,0),"")</f>
        <v>HTS-3a⁽ᴹ⁾ Percentage of MSM that have received an HIV test during the reporting period in KP-specific programs and know their results</v>
      </c>
      <c r="L1604" s="384"/>
      <c r="M1604" s="384"/>
      <c r="N1604" s="388"/>
      <c r="O1604" s="384" t="s">
        <v>2641</v>
      </c>
    </row>
    <row r="1605" spans="1:15" x14ac:dyDescent="0.3">
      <c r="A1605" s="384" t="b">
        <v>0</v>
      </c>
      <c r="B1605" s="384"/>
      <c r="C1605" s="384" t="s">
        <v>3231</v>
      </c>
      <c r="D1605" s="389">
        <v>6</v>
      </c>
      <c r="E1605" s="386"/>
      <c r="F1605" s="388"/>
      <c r="G1605" s="387"/>
      <c r="H1605" s="387"/>
      <c r="I1605" s="388"/>
      <c r="J1605" s="388"/>
      <c r="K1605" s="384" t="str">
        <f ca="1">IFERROR(VLOOKUP(C1605,' Disaggregation - Section E '!A$618:J1931,3,0),"")</f>
        <v>HTS-3a⁽ᴹ⁾ Percentage of MSM that have received an HIV test during the reporting period in KP-specific programs and know their results</v>
      </c>
      <c r="L1605" s="384"/>
      <c r="M1605" s="384"/>
      <c r="N1605" s="388"/>
      <c r="O1605" s="384" t="s">
        <v>2641</v>
      </c>
    </row>
    <row r="1606" spans="1:15" x14ac:dyDescent="0.3">
      <c r="A1606" s="384" t="b">
        <v>0</v>
      </c>
      <c r="B1606" s="384"/>
      <c r="C1606" s="384" t="s">
        <v>3232</v>
      </c>
      <c r="D1606" s="389">
        <v>6</v>
      </c>
      <c r="E1606" s="386"/>
      <c r="F1606" s="388"/>
      <c r="G1606" s="387"/>
      <c r="H1606" s="387"/>
      <c r="I1606" s="388"/>
      <c r="J1606" s="388"/>
      <c r="K1606" s="384" t="str">
        <f ca="1">IFERROR(VLOOKUP(C1606,' Disaggregation - Section E '!A$618:J1932,3,0),"")</f>
        <v>HTS-3a⁽ᴹ⁾ Percentage of MSM that have received an HIV test during the reporting period in KP-specific programs and know their results</v>
      </c>
      <c r="L1606" s="384"/>
      <c r="M1606" s="384"/>
      <c r="N1606" s="388"/>
      <c r="O1606" s="384" t="s">
        <v>2641</v>
      </c>
    </row>
    <row r="1607" spans="1:15" x14ac:dyDescent="0.3">
      <c r="A1607" s="384" t="b">
        <v>0</v>
      </c>
      <c r="B1607" s="384"/>
      <c r="C1607" s="384" t="s">
        <v>3233</v>
      </c>
      <c r="D1607" s="389">
        <v>6</v>
      </c>
      <c r="E1607" s="386"/>
      <c r="F1607" s="388"/>
      <c r="G1607" s="387"/>
      <c r="H1607" s="387"/>
      <c r="I1607" s="388"/>
      <c r="J1607" s="388"/>
      <c r="K1607" s="384" t="str">
        <f ca="1">IFERROR(VLOOKUP(C1607,' Disaggregation - Section E '!A$618:J1933,3,0),"")</f>
        <v>HTS-3a⁽ᴹ⁾ Percentage of MSM that have received an HIV test during the reporting period in KP-specific programs and know their results</v>
      </c>
      <c r="L1607" s="384"/>
      <c r="M1607" s="384"/>
      <c r="N1607" s="388"/>
      <c r="O1607" s="384" t="s">
        <v>2641</v>
      </c>
    </row>
    <row r="1608" spans="1:15" x14ac:dyDescent="0.3">
      <c r="A1608" s="384" t="b">
        <v>0</v>
      </c>
      <c r="B1608" s="384"/>
      <c r="C1608" s="384" t="s">
        <v>3234</v>
      </c>
      <c r="D1608" s="389">
        <v>6</v>
      </c>
      <c r="E1608" s="386"/>
      <c r="F1608" s="388"/>
      <c r="G1608" s="387"/>
      <c r="H1608" s="387"/>
      <c r="I1608" s="388"/>
      <c r="J1608" s="388"/>
      <c r="K1608" s="384" t="str">
        <f ca="1">IFERROR(VLOOKUP(C1608,' Disaggregation - Section E '!A$618:J1934,3,0),"")</f>
        <v>HTS-3a⁽ᴹ⁾ Percentage of MSM that have received an HIV test during the reporting period in KP-specific programs and know their results</v>
      </c>
      <c r="L1608" s="384"/>
      <c r="M1608" s="384"/>
      <c r="N1608" s="388"/>
      <c r="O1608" s="384" t="s">
        <v>2641</v>
      </c>
    </row>
    <row r="1609" spans="1:15" x14ac:dyDescent="0.3">
      <c r="A1609" s="384" t="b">
        <v>0</v>
      </c>
      <c r="B1609" s="384"/>
      <c r="C1609" s="384" t="s">
        <v>3235</v>
      </c>
      <c r="D1609" s="389">
        <v>6</v>
      </c>
      <c r="E1609" s="386"/>
      <c r="F1609" s="388"/>
      <c r="G1609" s="387"/>
      <c r="H1609" s="387"/>
      <c r="I1609" s="388"/>
      <c r="J1609" s="388"/>
      <c r="K1609" s="384" t="str">
        <f ca="1">IFERROR(VLOOKUP(C1609,' Disaggregation - Section E '!A$618:J1935,3,0),"")</f>
        <v>HTS-3a⁽ᴹ⁾ Percentage of MSM that have received an HIV test during the reporting period in KP-specific programs and know their results</v>
      </c>
      <c r="L1609" s="384"/>
      <c r="M1609" s="384"/>
      <c r="N1609" s="388"/>
      <c r="O1609" s="384" t="s">
        <v>2641</v>
      </c>
    </row>
    <row r="1610" spans="1:15" x14ac:dyDescent="0.3">
      <c r="A1610" s="384" t="b">
        <v>0</v>
      </c>
      <c r="B1610" s="384"/>
      <c r="C1610" s="384" t="s">
        <v>3236</v>
      </c>
      <c r="D1610" s="389">
        <v>6</v>
      </c>
      <c r="E1610" s="386"/>
      <c r="F1610" s="388"/>
      <c r="G1610" s="387"/>
      <c r="H1610" s="387"/>
      <c r="I1610" s="388"/>
      <c r="J1610" s="388"/>
      <c r="K1610" s="384" t="str">
        <f ca="1">IFERROR(VLOOKUP(C1610,' Disaggregation - Section E '!A$618:J1936,3,0),"")</f>
        <v>HTS-3a⁽ᴹ⁾ Percentage of MSM that have received an HIV test during the reporting period in KP-specific programs and know their results</v>
      </c>
      <c r="L1610" s="384"/>
      <c r="M1610" s="384"/>
      <c r="N1610" s="388"/>
      <c r="O1610" s="384" t="s">
        <v>2641</v>
      </c>
    </row>
    <row r="1611" spans="1:15" x14ac:dyDescent="0.3">
      <c r="A1611" s="384" t="b">
        <v>0</v>
      </c>
      <c r="B1611" s="384"/>
      <c r="C1611" s="384" t="s">
        <v>3237</v>
      </c>
      <c r="D1611" s="389">
        <v>6</v>
      </c>
      <c r="E1611" s="386"/>
      <c r="F1611" s="388"/>
      <c r="G1611" s="387"/>
      <c r="H1611" s="387"/>
      <c r="I1611" s="388"/>
      <c r="J1611" s="388"/>
      <c r="K1611" s="384" t="str">
        <f ca="1">IFERROR(VLOOKUP(C1611,' Disaggregation - Section E '!A$618:J1937,3,0),"")</f>
        <v>HTS-3a⁽ᴹ⁾ Percentage of MSM that have received an HIV test during the reporting period in KP-specific programs and know their results</v>
      </c>
      <c r="L1611" s="384"/>
      <c r="M1611" s="384"/>
      <c r="N1611" s="388"/>
      <c r="O1611" s="384" t="s">
        <v>2641</v>
      </c>
    </row>
    <row r="1612" spans="1:15" x14ac:dyDescent="0.3">
      <c r="A1612" s="384" t="b">
        <v>0</v>
      </c>
      <c r="B1612" s="384"/>
      <c r="C1612" s="384" t="s">
        <v>3238</v>
      </c>
      <c r="D1612" s="389">
        <v>6</v>
      </c>
      <c r="E1612" s="386"/>
      <c r="F1612" s="388"/>
      <c r="G1612" s="387"/>
      <c r="H1612" s="387"/>
      <c r="I1612" s="388"/>
      <c r="J1612" s="388"/>
      <c r="K1612" s="384" t="str">
        <f ca="1">IFERROR(VLOOKUP(C1612,' Disaggregation - Section E '!A$618:J1938,3,0),"")</f>
        <v>HTS-3a⁽ᴹ⁾ Percentage of MSM that have received an HIV test during the reporting period in KP-specific programs and know their results</v>
      </c>
      <c r="L1612" s="384"/>
      <c r="M1612" s="384"/>
      <c r="N1612" s="388"/>
      <c r="O1612" s="384" t="s">
        <v>2641</v>
      </c>
    </row>
    <row r="1613" spans="1:15" x14ac:dyDescent="0.3">
      <c r="A1613" s="384" t="b">
        <v>0</v>
      </c>
      <c r="B1613" s="384"/>
      <c r="C1613" s="384" t="s">
        <v>3239</v>
      </c>
      <c r="D1613" s="389">
        <v>6</v>
      </c>
      <c r="E1613" s="386"/>
      <c r="F1613" s="388"/>
      <c r="G1613" s="387"/>
      <c r="H1613" s="387"/>
      <c r="I1613" s="388"/>
      <c r="J1613" s="388"/>
      <c r="K1613" s="384" t="str">
        <f ca="1">IFERROR(VLOOKUP(C1613,' Disaggregation - Section E '!A$618:J1939,3,0),"")</f>
        <v>HTS-3a⁽ᴹ⁾ Percentage of MSM that have received an HIV test during the reporting period in KP-specific programs and know their results</v>
      </c>
      <c r="L1613" s="384"/>
      <c r="M1613" s="384"/>
      <c r="N1613" s="388"/>
      <c r="O1613" s="384" t="s">
        <v>2641</v>
      </c>
    </row>
    <row r="1614" spans="1:15" x14ac:dyDescent="0.3">
      <c r="A1614" s="384" t="b">
        <v>0</v>
      </c>
      <c r="B1614" s="384"/>
      <c r="C1614" s="384" t="s">
        <v>3240</v>
      </c>
      <c r="D1614" s="389">
        <v>6</v>
      </c>
      <c r="E1614" s="386"/>
      <c r="F1614" s="388"/>
      <c r="G1614" s="387"/>
      <c r="H1614" s="387"/>
      <c r="I1614" s="388"/>
      <c r="J1614" s="388"/>
      <c r="K1614" s="384" t="str">
        <f ca="1">IFERROR(VLOOKUP(C1614,' Disaggregation - Section E '!A$618:J1940,3,0),"")</f>
        <v>HTS-3a⁽ᴹ⁾ Percentage of MSM that have received an HIV test during the reporting period in KP-specific programs and know their results</v>
      </c>
      <c r="L1614" s="384"/>
      <c r="M1614" s="384"/>
      <c r="N1614" s="388"/>
      <c r="O1614" s="384" t="s">
        <v>2641</v>
      </c>
    </row>
    <row r="1615" spans="1:15" x14ac:dyDescent="0.3">
      <c r="A1615" s="384" t="b">
        <v>0</v>
      </c>
      <c r="B1615" s="384"/>
      <c r="C1615" s="384" t="s">
        <v>3241</v>
      </c>
      <c r="D1615" s="389">
        <v>7</v>
      </c>
      <c r="E1615" s="386"/>
      <c r="F1615" s="388"/>
      <c r="G1615" s="387"/>
      <c r="H1615" s="387"/>
      <c r="I1615" s="388"/>
      <c r="J1615" s="388"/>
      <c r="K1615" s="384" t="str">
        <f ca="1">IFERROR(VLOOKUP(C1615,' Disaggregation - Section E '!A$618:J1941,3,0),"")</f>
        <v>HTS-3c⁽ᴹ⁾ Percentage of sex workers that have received an HIV test during the reporting period in KP-specific programs and know their results</v>
      </c>
      <c r="L1615" s="384"/>
      <c r="M1615" s="384"/>
      <c r="N1615" s="388"/>
      <c r="O1615" s="384" t="s">
        <v>2648</v>
      </c>
    </row>
    <row r="1616" spans="1:15" x14ac:dyDescent="0.3">
      <c r="A1616" s="384" t="b">
        <v>0</v>
      </c>
      <c r="B1616" s="384"/>
      <c r="C1616" s="384" t="s">
        <v>3242</v>
      </c>
      <c r="D1616" s="389">
        <v>7</v>
      </c>
      <c r="E1616" s="386"/>
      <c r="F1616" s="388"/>
      <c r="G1616" s="387"/>
      <c r="H1616" s="387"/>
      <c r="I1616" s="388"/>
      <c r="J1616" s="388"/>
      <c r="K1616" s="384" t="str">
        <f ca="1">IFERROR(VLOOKUP(C1616,' Disaggregation - Section E '!A$618:J1942,3,0),"")</f>
        <v>HTS-3c⁽ᴹ⁾ Percentage of sex workers that have received an HIV test during the reporting period in KP-specific programs and know their results</v>
      </c>
      <c r="L1616" s="384"/>
      <c r="M1616" s="384"/>
      <c r="N1616" s="388"/>
      <c r="O1616" s="384" t="s">
        <v>2648</v>
      </c>
    </row>
    <row r="1617" spans="1:15" x14ac:dyDescent="0.3">
      <c r="A1617" s="384" t="b">
        <v>0</v>
      </c>
      <c r="B1617" s="384"/>
      <c r="C1617" s="384" t="s">
        <v>3243</v>
      </c>
      <c r="D1617" s="389">
        <v>7</v>
      </c>
      <c r="E1617" s="386"/>
      <c r="F1617" s="388"/>
      <c r="G1617" s="387"/>
      <c r="H1617" s="387"/>
      <c r="I1617" s="388"/>
      <c r="J1617" s="388"/>
      <c r="K1617" s="384" t="str">
        <f ca="1">IFERROR(VLOOKUP(C1617,' Disaggregation - Section E '!A$618:J1943,3,0),"")</f>
        <v>HTS-3c⁽ᴹ⁾ Percentage of sex workers that have received an HIV test during the reporting period in KP-specific programs and know their results</v>
      </c>
      <c r="L1617" s="384"/>
      <c r="M1617" s="384"/>
      <c r="N1617" s="388"/>
      <c r="O1617" s="384" t="s">
        <v>2648</v>
      </c>
    </row>
    <row r="1618" spans="1:15" x14ac:dyDescent="0.3">
      <c r="A1618" s="384" t="b">
        <v>0</v>
      </c>
      <c r="B1618" s="384"/>
      <c r="C1618" s="384" t="s">
        <v>3244</v>
      </c>
      <c r="D1618" s="389">
        <v>7</v>
      </c>
      <c r="E1618" s="386"/>
      <c r="F1618" s="388"/>
      <c r="G1618" s="387"/>
      <c r="H1618" s="387"/>
      <c r="I1618" s="388"/>
      <c r="J1618" s="388"/>
      <c r="K1618" s="384" t="str">
        <f ca="1">IFERROR(VLOOKUP(C1618,' Disaggregation - Section E '!A$618:J1944,3,0),"")</f>
        <v>HTS-3c⁽ᴹ⁾ Percentage of sex workers that have received an HIV test during the reporting period in KP-specific programs and know their results</v>
      </c>
      <c r="L1618" s="384"/>
      <c r="M1618" s="384"/>
      <c r="N1618" s="388"/>
      <c r="O1618" s="384" t="s">
        <v>2648</v>
      </c>
    </row>
    <row r="1619" spans="1:15" x14ac:dyDescent="0.3">
      <c r="A1619" s="384" t="b">
        <v>0</v>
      </c>
      <c r="B1619" s="384"/>
      <c r="C1619" s="384" t="s">
        <v>3245</v>
      </c>
      <c r="D1619" s="389">
        <v>7</v>
      </c>
      <c r="E1619" s="386"/>
      <c r="F1619" s="388"/>
      <c r="G1619" s="387"/>
      <c r="H1619" s="387"/>
      <c r="I1619" s="388"/>
      <c r="J1619" s="388"/>
      <c r="K1619" s="384" t="str">
        <f ca="1">IFERROR(VLOOKUP(C1619,' Disaggregation - Section E '!A$618:J1945,3,0),"")</f>
        <v>HTS-3c⁽ᴹ⁾ Percentage of sex workers that have received an HIV test during the reporting period in KP-specific programs and know their results</v>
      </c>
      <c r="L1619" s="384"/>
      <c r="M1619" s="384"/>
      <c r="N1619" s="388"/>
      <c r="O1619" s="384" t="s">
        <v>2648</v>
      </c>
    </row>
    <row r="1620" spans="1:15" x14ac:dyDescent="0.3">
      <c r="A1620" s="384" t="b">
        <v>0</v>
      </c>
      <c r="B1620" s="384"/>
      <c r="C1620" s="384" t="s">
        <v>3246</v>
      </c>
      <c r="D1620" s="389">
        <v>7</v>
      </c>
      <c r="E1620" s="386"/>
      <c r="F1620" s="388"/>
      <c r="G1620" s="387"/>
      <c r="H1620" s="387"/>
      <c r="I1620" s="388"/>
      <c r="J1620" s="388"/>
      <c r="K1620" s="384" t="str">
        <f ca="1">IFERROR(VLOOKUP(C1620,' Disaggregation - Section E '!A$618:J1946,3,0),"")</f>
        <v>HTS-3c⁽ᴹ⁾ Percentage of sex workers that have received an HIV test during the reporting period in KP-specific programs and know their results</v>
      </c>
      <c r="L1620" s="384"/>
      <c r="M1620" s="384"/>
      <c r="N1620" s="388"/>
      <c r="O1620" s="384" t="s">
        <v>2648</v>
      </c>
    </row>
    <row r="1621" spans="1:15" x14ac:dyDescent="0.3">
      <c r="A1621" s="384" t="b">
        <v>0</v>
      </c>
      <c r="B1621" s="384"/>
      <c r="C1621" s="384" t="s">
        <v>3247</v>
      </c>
      <c r="D1621" s="389">
        <v>7</v>
      </c>
      <c r="E1621" s="386"/>
      <c r="F1621" s="388"/>
      <c r="G1621" s="387"/>
      <c r="H1621" s="387"/>
      <c r="I1621" s="388"/>
      <c r="J1621" s="388"/>
      <c r="K1621" s="384" t="str">
        <f ca="1">IFERROR(VLOOKUP(C1621,' Disaggregation - Section E '!A$618:J1947,3,0),"")</f>
        <v>HTS-3c⁽ᴹ⁾ Percentage of sex workers that have received an HIV test during the reporting period in KP-specific programs and know their results</v>
      </c>
      <c r="L1621" s="384"/>
      <c r="M1621" s="384"/>
      <c r="N1621" s="388"/>
      <c r="O1621" s="384" t="s">
        <v>2648</v>
      </c>
    </row>
    <row r="1622" spans="1:15" x14ac:dyDescent="0.3">
      <c r="A1622" s="384" t="b">
        <v>0</v>
      </c>
      <c r="B1622" s="384"/>
      <c r="C1622" s="384" t="s">
        <v>3248</v>
      </c>
      <c r="D1622" s="389">
        <v>7</v>
      </c>
      <c r="E1622" s="386"/>
      <c r="F1622" s="388"/>
      <c r="G1622" s="387"/>
      <c r="H1622" s="387"/>
      <c r="I1622" s="388"/>
      <c r="J1622" s="388"/>
      <c r="K1622" s="384" t="str">
        <f ca="1">IFERROR(VLOOKUP(C1622,' Disaggregation - Section E '!A$618:J1948,3,0),"")</f>
        <v>HTS-3c⁽ᴹ⁾ Percentage of sex workers that have received an HIV test during the reporting period in KP-specific programs and know their results</v>
      </c>
      <c r="L1622" s="384"/>
      <c r="M1622" s="384"/>
      <c r="N1622" s="388"/>
      <c r="O1622" s="384" t="s">
        <v>2648</v>
      </c>
    </row>
    <row r="1623" spans="1:15" x14ac:dyDescent="0.3">
      <c r="A1623" s="384" t="b">
        <v>0</v>
      </c>
      <c r="B1623" s="384"/>
      <c r="C1623" s="384" t="s">
        <v>3249</v>
      </c>
      <c r="D1623" s="389">
        <v>7</v>
      </c>
      <c r="E1623" s="386"/>
      <c r="F1623" s="388"/>
      <c r="G1623" s="387"/>
      <c r="H1623" s="387"/>
      <c r="I1623" s="388"/>
      <c r="J1623" s="388"/>
      <c r="K1623" s="384" t="str">
        <f ca="1">IFERROR(VLOOKUP(C1623,' Disaggregation - Section E '!A$618:J1949,3,0),"")</f>
        <v>HTS-3c⁽ᴹ⁾ Percentage of sex workers that have received an HIV test during the reporting period in KP-specific programs and know their results</v>
      </c>
      <c r="L1623" s="384"/>
      <c r="M1623" s="384"/>
      <c r="N1623" s="388"/>
      <c r="O1623" s="384" t="s">
        <v>2648</v>
      </c>
    </row>
    <row r="1624" spans="1:15" x14ac:dyDescent="0.3">
      <c r="A1624" s="384" t="b">
        <v>0</v>
      </c>
      <c r="B1624" s="384"/>
      <c r="C1624" s="384" t="s">
        <v>3250</v>
      </c>
      <c r="D1624" s="389">
        <v>7</v>
      </c>
      <c r="E1624" s="386"/>
      <c r="F1624" s="388"/>
      <c r="G1624" s="387"/>
      <c r="H1624" s="387"/>
      <c r="I1624" s="388"/>
      <c r="J1624" s="388"/>
      <c r="K1624" s="384" t="str">
        <f ca="1">IFERROR(VLOOKUP(C1624,' Disaggregation - Section E '!A$618:J1950,3,0),"")</f>
        <v>HTS-3c⁽ᴹ⁾ Percentage of sex workers that have received an HIV test during the reporting period in KP-specific programs and know their results</v>
      </c>
      <c r="L1624" s="384"/>
      <c r="M1624" s="384"/>
      <c r="N1624" s="388"/>
      <c r="O1624" s="384" t="s">
        <v>2648</v>
      </c>
    </row>
    <row r="1625" spans="1:15" x14ac:dyDescent="0.3">
      <c r="A1625" s="384" t="b">
        <v>0</v>
      </c>
      <c r="B1625" s="384"/>
      <c r="C1625" s="384" t="s">
        <v>3251</v>
      </c>
      <c r="D1625" s="389">
        <v>7</v>
      </c>
      <c r="E1625" s="386"/>
      <c r="F1625" s="388"/>
      <c r="G1625" s="387"/>
      <c r="H1625" s="387"/>
      <c r="I1625" s="388"/>
      <c r="J1625" s="388"/>
      <c r="K1625" s="384" t="str">
        <f ca="1">IFERROR(VLOOKUP(C1625,' Disaggregation - Section E '!A$618:J1951,3,0),"")</f>
        <v>HTS-3c⁽ᴹ⁾ Percentage of sex workers that have received an HIV test during the reporting period in KP-specific programs and know their results</v>
      </c>
      <c r="L1625" s="384"/>
      <c r="M1625" s="384"/>
      <c r="N1625" s="388"/>
      <c r="O1625" s="384" t="s">
        <v>2648</v>
      </c>
    </row>
    <row r="1626" spans="1:15" x14ac:dyDescent="0.3">
      <c r="A1626" s="384" t="b">
        <v>0</v>
      </c>
      <c r="B1626" s="384"/>
      <c r="C1626" s="384" t="s">
        <v>3252</v>
      </c>
      <c r="D1626" s="389">
        <v>7</v>
      </c>
      <c r="E1626" s="386"/>
      <c r="F1626" s="388"/>
      <c r="G1626" s="387"/>
      <c r="H1626" s="387"/>
      <c r="I1626" s="388"/>
      <c r="J1626" s="388"/>
      <c r="K1626" s="384" t="str">
        <f ca="1">IFERROR(VLOOKUP(C1626,' Disaggregation - Section E '!A$618:J1952,3,0),"")</f>
        <v>HTS-3c⁽ᴹ⁾ Percentage of sex workers that have received an HIV test during the reporting period in KP-specific programs and know their results</v>
      </c>
      <c r="L1626" s="384"/>
      <c r="M1626" s="384"/>
      <c r="N1626" s="388"/>
      <c r="O1626" s="384" t="s">
        <v>2648</v>
      </c>
    </row>
    <row r="1627" spans="1:15" x14ac:dyDescent="0.3">
      <c r="A1627" s="384" t="b">
        <v>0</v>
      </c>
      <c r="B1627" s="384"/>
      <c r="C1627" s="384" t="s">
        <v>3253</v>
      </c>
      <c r="D1627" s="389">
        <v>7</v>
      </c>
      <c r="E1627" s="386"/>
      <c r="F1627" s="388"/>
      <c r="G1627" s="387"/>
      <c r="H1627" s="387"/>
      <c r="I1627" s="388"/>
      <c r="J1627" s="388"/>
      <c r="K1627" s="384" t="str">
        <f ca="1">IFERROR(VLOOKUP(C1627,' Disaggregation - Section E '!A$618:J1953,3,0),"")</f>
        <v>HTS-3c⁽ᴹ⁾ Percentage of sex workers that have received an HIV test during the reporting period in KP-specific programs and know their results</v>
      </c>
      <c r="L1627" s="384"/>
      <c r="M1627" s="384"/>
      <c r="N1627" s="388"/>
      <c r="O1627" s="384" t="s">
        <v>2648</v>
      </c>
    </row>
    <row r="1628" spans="1:15" x14ac:dyDescent="0.3">
      <c r="A1628" s="384" t="b">
        <v>0</v>
      </c>
      <c r="B1628" s="384"/>
      <c r="C1628" s="384" t="s">
        <v>3254</v>
      </c>
      <c r="D1628" s="389">
        <v>7</v>
      </c>
      <c r="E1628" s="386"/>
      <c r="F1628" s="388"/>
      <c r="G1628" s="387"/>
      <c r="H1628" s="387"/>
      <c r="I1628" s="388"/>
      <c r="J1628" s="388"/>
      <c r="K1628" s="384" t="str">
        <f ca="1">IFERROR(VLOOKUP(C1628,' Disaggregation - Section E '!A$618:J1954,3,0),"")</f>
        <v>HTS-3c⁽ᴹ⁾ Percentage of sex workers that have received an HIV test during the reporting period in KP-specific programs and know their results</v>
      </c>
      <c r="L1628" s="384"/>
      <c r="M1628" s="384"/>
      <c r="N1628" s="388"/>
      <c r="O1628" s="384" t="s">
        <v>2648</v>
      </c>
    </row>
    <row r="1629" spans="1:15" x14ac:dyDescent="0.3">
      <c r="A1629" s="384" t="b">
        <v>0</v>
      </c>
      <c r="B1629" s="384"/>
      <c r="C1629" s="384" t="s">
        <v>3255</v>
      </c>
      <c r="D1629" s="389">
        <v>7</v>
      </c>
      <c r="E1629" s="386"/>
      <c r="F1629" s="388"/>
      <c r="G1629" s="387"/>
      <c r="H1629" s="387"/>
      <c r="I1629" s="388"/>
      <c r="J1629" s="388"/>
      <c r="K1629" s="384" t="str">
        <f ca="1">IFERROR(VLOOKUP(C1629,' Disaggregation - Section E '!A$618:J1955,3,0),"")</f>
        <v>HTS-3c⁽ᴹ⁾ Percentage of sex workers that have received an HIV test during the reporting period in KP-specific programs and know their results</v>
      </c>
      <c r="L1629" s="384"/>
      <c r="M1629" s="384"/>
      <c r="N1629" s="388"/>
      <c r="O1629" s="384" t="s">
        <v>2648</v>
      </c>
    </row>
    <row r="1630" spans="1:15" x14ac:dyDescent="0.3">
      <c r="A1630" s="384" t="b">
        <v>0</v>
      </c>
      <c r="B1630" s="384"/>
      <c r="C1630" s="384" t="s">
        <v>3256</v>
      </c>
      <c r="D1630" s="389">
        <v>7</v>
      </c>
      <c r="E1630" s="386"/>
      <c r="F1630" s="388"/>
      <c r="G1630" s="387"/>
      <c r="H1630" s="387"/>
      <c r="I1630" s="388"/>
      <c r="J1630" s="388"/>
      <c r="K1630" s="384" t="str">
        <f ca="1">IFERROR(VLOOKUP(C1630,' Disaggregation - Section E '!A$618:J1956,3,0),"")</f>
        <v>HTS-3c⁽ᴹ⁾ Percentage of sex workers that have received an HIV test during the reporting period in KP-specific programs and know their results</v>
      </c>
      <c r="L1630" s="384"/>
      <c r="M1630" s="384"/>
      <c r="N1630" s="388"/>
      <c r="O1630" s="384" t="s">
        <v>2648</v>
      </c>
    </row>
    <row r="1631" spans="1:15" x14ac:dyDescent="0.3">
      <c r="A1631" s="384" t="b">
        <v>0</v>
      </c>
      <c r="B1631" s="384"/>
      <c r="C1631" s="384" t="s">
        <v>3257</v>
      </c>
      <c r="D1631" s="389">
        <v>7</v>
      </c>
      <c r="E1631" s="386"/>
      <c r="F1631" s="388"/>
      <c r="G1631" s="387"/>
      <c r="H1631" s="387"/>
      <c r="I1631" s="388"/>
      <c r="J1631" s="388"/>
      <c r="K1631" s="384" t="str">
        <f ca="1">IFERROR(VLOOKUP(C1631,' Disaggregation - Section E '!A$618:J1957,3,0),"")</f>
        <v>HTS-3c⁽ᴹ⁾ Percentage of sex workers that have received an HIV test during the reporting period in KP-specific programs and know their results</v>
      </c>
      <c r="L1631" s="384"/>
      <c r="M1631" s="384"/>
      <c r="N1631" s="388"/>
      <c r="O1631" s="384" t="s">
        <v>2648</v>
      </c>
    </row>
    <row r="1632" spans="1:15" x14ac:dyDescent="0.3">
      <c r="A1632" s="384" t="b">
        <v>0</v>
      </c>
      <c r="B1632" s="384"/>
      <c r="C1632" s="384" t="s">
        <v>3258</v>
      </c>
      <c r="D1632" s="389">
        <v>7</v>
      </c>
      <c r="E1632" s="386"/>
      <c r="F1632" s="388"/>
      <c r="G1632" s="387"/>
      <c r="H1632" s="387"/>
      <c r="I1632" s="388"/>
      <c r="J1632" s="388"/>
      <c r="K1632" s="384" t="str">
        <f ca="1">IFERROR(VLOOKUP(C1632,' Disaggregation - Section E '!A$618:J1958,3,0),"")</f>
        <v>HTS-3c⁽ᴹ⁾ Percentage of sex workers that have received an HIV test during the reporting period in KP-specific programs and know their results</v>
      </c>
      <c r="L1632" s="384"/>
      <c r="M1632" s="384"/>
      <c r="N1632" s="388"/>
      <c r="O1632" s="384" t="s">
        <v>2648</v>
      </c>
    </row>
    <row r="1633" spans="1:15" x14ac:dyDescent="0.3">
      <c r="A1633" s="384" t="b">
        <v>0</v>
      </c>
      <c r="B1633" s="384"/>
      <c r="C1633" s="384" t="s">
        <v>3259</v>
      </c>
      <c r="D1633" s="389">
        <v>7</v>
      </c>
      <c r="E1633" s="386"/>
      <c r="F1633" s="388"/>
      <c r="G1633" s="387"/>
      <c r="H1633" s="387"/>
      <c r="I1633" s="388"/>
      <c r="J1633" s="388"/>
      <c r="K1633" s="384" t="str">
        <f ca="1">IFERROR(VLOOKUP(C1633,' Disaggregation - Section E '!A$618:J1959,3,0),"")</f>
        <v>HTS-3c⁽ᴹ⁾ Percentage of sex workers that have received an HIV test during the reporting period in KP-specific programs and know their results</v>
      </c>
      <c r="L1633" s="384"/>
      <c r="M1633" s="384"/>
      <c r="N1633" s="388"/>
      <c r="O1633" s="384" t="s">
        <v>2648</v>
      </c>
    </row>
    <row r="1634" spans="1:15" x14ac:dyDescent="0.3">
      <c r="A1634" s="384" t="b">
        <v>0</v>
      </c>
      <c r="B1634" s="384"/>
      <c r="C1634" s="384" t="s">
        <v>3260</v>
      </c>
      <c r="D1634" s="389">
        <v>7</v>
      </c>
      <c r="E1634" s="386"/>
      <c r="F1634" s="388"/>
      <c r="G1634" s="387"/>
      <c r="H1634" s="387"/>
      <c r="I1634" s="388"/>
      <c r="J1634" s="388"/>
      <c r="K1634" s="384" t="str">
        <f ca="1">IFERROR(VLOOKUP(C1634,' Disaggregation - Section E '!A$618:J1960,3,0),"")</f>
        <v>HTS-3c⁽ᴹ⁾ Percentage of sex workers that have received an HIV test during the reporting period in KP-specific programs and know their results</v>
      </c>
      <c r="L1634" s="384"/>
      <c r="M1634" s="384"/>
      <c r="N1634" s="388"/>
      <c r="O1634" s="384" t="s">
        <v>2648</v>
      </c>
    </row>
    <row r="1635" spans="1:15" x14ac:dyDescent="0.3">
      <c r="A1635" s="384" t="b">
        <v>0</v>
      </c>
      <c r="B1635" s="384"/>
      <c r="C1635" s="384" t="s">
        <v>3261</v>
      </c>
      <c r="D1635" s="389">
        <v>8</v>
      </c>
      <c r="E1635" s="386"/>
      <c r="F1635" s="388"/>
      <c r="G1635" s="387"/>
      <c r="H1635" s="387"/>
      <c r="I1635" s="388"/>
      <c r="J1635" s="388"/>
      <c r="K1635" s="384" t="str">
        <f ca="1">IFERROR(VLOOKUP(C1635,' Disaggregation - Section E '!A$618:J1961,3,0),"")</f>
        <v>HTS-3b⁽ᴹ⁾ Percentage of TG that have received an HIV test during the reporting period in KP-specific programs and know their results</v>
      </c>
      <c r="L1635" s="384"/>
      <c r="M1635" s="384"/>
      <c r="N1635" s="388"/>
      <c r="O1635" s="384" t="s">
        <v>2655</v>
      </c>
    </row>
    <row r="1636" spans="1:15" x14ac:dyDescent="0.3">
      <c r="A1636" s="384" t="b">
        <v>0</v>
      </c>
      <c r="B1636" s="384"/>
      <c r="C1636" s="384" t="s">
        <v>3262</v>
      </c>
      <c r="D1636" s="389">
        <v>8</v>
      </c>
      <c r="E1636" s="386"/>
      <c r="F1636" s="388"/>
      <c r="G1636" s="387"/>
      <c r="H1636" s="387"/>
      <c r="I1636" s="388"/>
      <c r="J1636" s="388"/>
      <c r="K1636" s="384" t="str">
        <f ca="1">IFERROR(VLOOKUP(C1636,' Disaggregation - Section E '!A$618:J1962,3,0),"")</f>
        <v>HTS-3b⁽ᴹ⁾ Percentage of TG that have received an HIV test during the reporting period in KP-specific programs and know their results</v>
      </c>
      <c r="L1636" s="384"/>
      <c r="M1636" s="384"/>
      <c r="N1636" s="388"/>
      <c r="O1636" s="384" t="s">
        <v>2655</v>
      </c>
    </row>
    <row r="1637" spans="1:15" x14ac:dyDescent="0.3">
      <c r="A1637" s="384" t="b">
        <v>0</v>
      </c>
      <c r="B1637" s="384"/>
      <c r="C1637" s="384" t="s">
        <v>3263</v>
      </c>
      <c r="D1637" s="389">
        <v>8</v>
      </c>
      <c r="E1637" s="386"/>
      <c r="F1637" s="388"/>
      <c r="G1637" s="387"/>
      <c r="H1637" s="387"/>
      <c r="I1637" s="388"/>
      <c r="J1637" s="388"/>
      <c r="K1637" s="384" t="str">
        <f ca="1">IFERROR(VLOOKUP(C1637,' Disaggregation - Section E '!A$618:J1963,3,0),"")</f>
        <v>HTS-3b⁽ᴹ⁾ Percentage of TG that have received an HIV test during the reporting period in KP-specific programs and know their results</v>
      </c>
      <c r="L1637" s="384"/>
      <c r="M1637" s="384"/>
      <c r="N1637" s="388"/>
      <c r="O1637" s="384" t="s">
        <v>2655</v>
      </c>
    </row>
    <row r="1638" spans="1:15" x14ac:dyDescent="0.3">
      <c r="A1638" s="384" t="b">
        <v>0</v>
      </c>
      <c r="B1638" s="384"/>
      <c r="C1638" s="384" t="s">
        <v>3264</v>
      </c>
      <c r="D1638" s="389">
        <v>8</v>
      </c>
      <c r="E1638" s="386"/>
      <c r="F1638" s="388"/>
      <c r="G1638" s="387"/>
      <c r="H1638" s="387"/>
      <c r="I1638" s="388"/>
      <c r="J1638" s="388"/>
      <c r="K1638" s="384" t="str">
        <f ca="1">IFERROR(VLOOKUP(C1638,' Disaggregation - Section E '!A$618:J1964,3,0),"")</f>
        <v>HTS-3b⁽ᴹ⁾ Percentage of TG that have received an HIV test during the reporting period in KP-specific programs and know their results</v>
      </c>
      <c r="L1638" s="384"/>
      <c r="M1638" s="384"/>
      <c r="N1638" s="388"/>
      <c r="O1638" s="384" t="s">
        <v>2655</v>
      </c>
    </row>
    <row r="1639" spans="1:15" x14ac:dyDescent="0.3">
      <c r="A1639" s="384" t="b">
        <v>0</v>
      </c>
      <c r="B1639" s="384"/>
      <c r="C1639" s="384" t="s">
        <v>3265</v>
      </c>
      <c r="D1639" s="389">
        <v>8</v>
      </c>
      <c r="E1639" s="386"/>
      <c r="F1639" s="388"/>
      <c r="G1639" s="387"/>
      <c r="H1639" s="387"/>
      <c r="I1639" s="388"/>
      <c r="J1639" s="388"/>
      <c r="K1639" s="384" t="str">
        <f ca="1">IFERROR(VLOOKUP(C1639,' Disaggregation - Section E '!A$618:J1965,3,0),"")</f>
        <v>HTS-3b⁽ᴹ⁾ Percentage of TG that have received an HIV test during the reporting period in KP-specific programs and know their results</v>
      </c>
      <c r="L1639" s="384"/>
      <c r="M1639" s="384"/>
      <c r="N1639" s="388"/>
      <c r="O1639" s="384" t="s">
        <v>2655</v>
      </c>
    </row>
    <row r="1640" spans="1:15" x14ac:dyDescent="0.3">
      <c r="A1640" s="384" t="b">
        <v>0</v>
      </c>
      <c r="B1640" s="384"/>
      <c r="C1640" s="384" t="s">
        <v>3266</v>
      </c>
      <c r="D1640" s="389">
        <v>8</v>
      </c>
      <c r="E1640" s="386"/>
      <c r="F1640" s="388"/>
      <c r="G1640" s="387"/>
      <c r="H1640" s="387"/>
      <c r="I1640" s="388"/>
      <c r="J1640" s="388"/>
      <c r="K1640" s="384" t="str">
        <f ca="1">IFERROR(VLOOKUP(C1640,' Disaggregation - Section E '!A$618:J1966,3,0),"")</f>
        <v>HTS-3b⁽ᴹ⁾ Percentage of TG that have received an HIV test during the reporting period in KP-specific programs and know their results</v>
      </c>
      <c r="L1640" s="384"/>
      <c r="M1640" s="384"/>
      <c r="N1640" s="388"/>
      <c r="O1640" s="384" t="s">
        <v>2655</v>
      </c>
    </row>
    <row r="1641" spans="1:15" x14ac:dyDescent="0.3">
      <c r="A1641" s="384" t="b">
        <v>0</v>
      </c>
      <c r="B1641" s="384"/>
      <c r="C1641" s="384" t="s">
        <v>3267</v>
      </c>
      <c r="D1641" s="389">
        <v>8</v>
      </c>
      <c r="E1641" s="386"/>
      <c r="F1641" s="388"/>
      <c r="G1641" s="387"/>
      <c r="H1641" s="387"/>
      <c r="I1641" s="388"/>
      <c r="J1641" s="388"/>
      <c r="K1641" s="384" t="str">
        <f ca="1">IFERROR(VLOOKUP(C1641,' Disaggregation - Section E '!A$618:J1967,3,0),"")</f>
        <v>HTS-3b⁽ᴹ⁾ Percentage of TG that have received an HIV test during the reporting period in KP-specific programs and know their results</v>
      </c>
      <c r="L1641" s="384"/>
      <c r="M1641" s="384"/>
      <c r="N1641" s="388"/>
      <c r="O1641" s="384" t="s">
        <v>2655</v>
      </c>
    </row>
    <row r="1642" spans="1:15" x14ac:dyDescent="0.3">
      <c r="A1642" s="384" t="b">
        <v>0</v>
      </c>
      <c r="B1642" s="384"/>
      <c r="C1642" s="384" t="s">
        <v>3268</v>
      </c>
      <c r="D1642" s="389">
        <v>8</v>
      </c>
      <c r="E1642" s="386"/>
      <c r="F1642" s="388"/>
      <c r="G1642" s="387"/>
      <c r="H1642" s="387"/>
      <c r="I1642" s="388"/>
      <c r="J1642" s="388"/>
      <c r="K1642" s="384" t="str">
        <f ca="1">IFERROR(VLOOKUP(C1642,' Disaggregation - Section E '!A$618:J1968,3,0),"")</f>
        <v>HTS-3b⁽ᴹ⁾ Percentage of TG that have received an HIV test during the reporting period in KP-specific programs and know their results</v>
      </c>
      <c r="L1642" s="384"/>
      <c r="M1642" s="384"/>
      <c r="N1642" s="388"/>
      <c r="O1642" s="384" t="s">
        <v>2655</v>
      </c>
    </row>
    <row r="1643" spans="1:15" x14ac:dyDescent="0.3">
      <c r="A1643" s="384" t="b">
        <v>0</v>
      </c>
      <c r="B1643" s="384"/>
      <c r="C1643" s="384" t="s">
        <v>3269</v>
      </c>
      <c r="D1643" s="389">
        <v>8</v>
      </c>
      <c r="E1643" s="386"/>
      <c r="F1643" s="388"/>
      <c r="G1643" s="387"/>
      <c r="H1643" s="387"/>
      <c r="I1643" s="388"/>
      <c r="J1643" s="388"/>
      <c r="K1643" s="384" t="str">
        <f ca="1">IFERROR(VLOOKUP(C1643,' Disaggregation - Section E '!A$618:J1969,3,0),"")</f>
        <v>HTS-3b⁽ᴹ⁾ Percentage of TG that have received an HIV test during the reporting period in KP-specific programs and know their results</v>
      </c>
      <c r="L1643" s="384"/>
      <c r="M1643" s="384"/>
      <c r="N1643" s="388"/>
      <c r="O1643" s="384" t="s">
        <v>2655</v>
      </c>
    </row>
    <row r="1644" spans="1:15" x14ac:dyDescent="0.3">
      <c r="A1644" s="384" t="b">
        <v>0</v>
      </c>
      <c r="B1644" s="384"/>
      <c r="C1644" s="384" t="s">
        <v>3270</v>
      </c>
      <c r="D1644" s="389">
        <v>8</v>
      </c>
      <c r="E1644" s="386"/>
      <c r="F1644" s="388"/>
      <c r="G1644" s="387"/>
      <c r="H1644" s="387"/>
      <c r="I1644" s="388"/>
      <c r="J1644" s="388"/>
      <c r="K1644" s="384" t="str">
        <f ca="1">IFERROR(VLOOKUP(C1644,' Disaggregation - Section E '!A$618:J1970,3,0),"")</f>
        <v>HTS-3b⁽ᴹ⁾ Percentage of TG that have received an HIV test during the reporting period in KP-specific programs and know their results</v>
      </c>
      <c r="L1644" s="384"/>
      <c r="M1644" s="384"/>
      <c r="N1644" s="388"/>
      <c r="O1644" s="384" t="s">
        <v>2655</v>
      </c>
    </row>
    <row r="1645" spans="1:15" x14ac:dyDescent="0.3">
      <c r="A1645" s="384" t="b">
        <v>0</v>
      </c>
      <c r="B1645" s="384"/>
      <c r="C1645" s="384" t="s">
        <v>3271</v>
      </c>
      <c r="D1645" s="389">
        <v>8</v>
      </c>
      <c r="E1645" s="386"/>
      <c r="F1645" s="388"/>
      <c r="G1645" s="387"/>
      <c r="H1645" s="387"/>
      <c r="I1645" s="388"/>
      <c r="J1645" s="388"/>
      <c r="K1645" s="384" t="str">
        <f ca="1">IFERROR(VLOOKUP(C1645,' Disaggregation - Section E '!A$618:J1971,3,0),"")</f>
        <v>HTS-3b⁽ᴹ⁾ Percentage of TG that have received an HIV test during the reporting period in KP-specific programs and know their results</v>
      </c>
      <c r="L1645" s="384"/>
      <c r="M1645" s="384"/>
      <c r="N1645" s="388"/>
      <c r="O1645" s="384" t="s">
        <v>2655</v>
      </c>
    </row>
    <row r="1646" spans="1:15" x14ac:dyDescent="0.3">
      <c r="A1646" s="384" t="b">
        <v>0</v>
      </c>
      <c r="B1646" s="384"/>
      <c r="C1646" s="384" t="s">
        <v>3272</v>
      </c>
      <c r="D1646" s="389">
        <v>8</v>
      </c>
      <c r="E1646" s="386"/>
      <c r="F1646" s="388"/>
      <c r="G1646" s="387"/>
      <c r="H1646" s="387"/>
      <c r="I1646" s="388"/>
      <c r="J1646" s="388"/>
      <c r="K1646" s="384" t="str">
        <f ca="1">IFERROR(VLOOKUP(C1646,' Disaggregation - Section E '!A$618:J1972,3,0),"")</f>
        <v>HTS-3b⁽ᴹ⁾ Percentage of TG that have received an HIV test during the reporting period in KP-specific programs and know their results</v>
      </c>
      <c r="L1646" s="384"/>
      <c r="M1646" s="384"/>
      <c r="N1646" s="388"/>
      <c r="O1646" s="384" t="s">
        <v>2655</v>
      </c>
    </row>
    <row r="1647" spans="1:15" x14ac:dyDescent="0.3">
      <c r="A1647" s="384" t="b">
        <v>0</v>
      </c>
      <c r="B1647" s="384"/>
      <c r="C1647" s="384" t="s">
        <v>3273</v>
      </c>
      <c r="D1647" s="389">
        <v>8</v>
      </c>
      <c r="E1647" s="386"/>
      <c r="F1647" s="388"/>
      <c r="G1647" s="387"/>
      <c r="H1647" s="387"/>
      <c r="I1647" s="388"/>
      <c r="J1647" s="388"/>
      <c r="K1647" s="384" t="str">
        <f ca="1">IFERROR(VLOOKUP(C1647,' Disaggregation - Section E '!A$618:J1973,3,0),"")</f>
        <v>HTS-3b⁽ᴹ⁾ Percentage of TG that have received an HIV test during the reporting period in KP-specific programs and know their results</v>
      </c>
      <c r="L1647" s="384"/>
      <c r="M1647" s="384"/>
      <c r="N1647" s="388"/>
      <c r="O1647" s="384" t="s">
        <v>2655</v>
      </c>
    </row>
    <row r="1648" spans="1:15" x14ac:dyDescent="0.3">
      <c r="A1648" s="384" t="b">
        <v>0</v>
      </c>
      <c r="B1648" s="384"/>
      <c r="C1648" s="384" t="s">
        <v>3274</v>
      </c>
      <c r="D1648" s="389">
        <v>8</v>
      </c>
      <c r="E1648" s="386"/>
      <c r="F1648" s="388"/>
      <c r="G1648" s="387"/>
      <c r="H1648" s="387"/>
      <c r="I1648" s="388"/>
      <c r="J1648" s="388"/>
      <c r="K1648" s="384" t="str">
        <f ca="1">IFERROR(VLOOKUP(C1648,' Disaggregation - Section E '!A$618:J1974,3,0),"")</f>
        <v>HTS-3b⁽ᴹ⁾ Percentage of TG that have received an HIV test during the reporting period in KP-specific programs and know their results</v>
      </c>
      <c r="L1648" s="384"/>
      <c r="M1648" s="384"/>
      <c r="N1648" s="388"/>
      <c r="O1648" s="384" t="s">
        <v>2655</v>
      </c>
    </row>
    <row r="1649" spans="1:15" x14ac:dyDescent="0.3">
      <c r="A1649" s="384" t="b">
        <v>0</v>
      </c>
      <c r="B1649" s="384"/>
      <c r="C1649" s="384" t="s">
        <v>3275</v>
      </c>
      <c r="D1649" s="389">
        <v>8</v>
      </c>
      <c r="E1649" s="386"/>
      <c r="F1649" s="388"/>
      <c r="G1649" s="387"/>
      <c r="H1649" s="387"/>
      <c r="I1649" s="388"/>
      <c r="J1649" s="388"/>
      <c r="K1649" s="384" t="str">
        <f ca="1">IFERROR(VLOOKUP(C1649,' Disaggregation - Section E '!A$618:J1975,3,0),"")</f>
        <v>HTS-3b⁽ᴹ⁾ Percentage of TG that have received an HIV test during the reporting period in KP-specific programs and know their results</v>
      </c>
      <c r="L1649" s="384"/>
      <c r="M1649" s="384"/>
      <c r="N1649" s="388"/>
      <c r="O1649" s="384" t="s">
        <v>2655</v>
      </c>
    </row>
    <row r="1650" spans="1:15" x14ac:dyDescent="0.3">
      <c r="A1650" s="384" t="b">
        <v>0</v>
      </c>
      <c r="B1650" s="384"/>
      <c r="C1650" s="384" t="s">
        <v>3276</v>
      </c>
      <c r="D1650" s="389">
        <v>8</v>
      </c>
      <c r="E1650" s="386"/>
      <c r="F1650" s="388"/>
      <c r="G1650" s="387"/>
      <c r="H1650" s="387"/>
      <c r="I1650" s="388"/>
      <c r="J1650" s="388"/>
      <c r="K1650" s="384" t="str">
        <f ca="1">IFERROR(VLOOKUP(C1650,' Disaggregation - Section E '!A$618:J1976,3,0),"")</f>
        <v>HTS-3b⁽ᴹ⁾ Percentage of TG that have received an HIV test during the reporting period in KP-specific programs and know their results</v>
      </c>
      <c r="L1650" s="384"/>
      <c r="M1650" s="384"/>
      <c r="N1650" s="388"/>
      <c r="O1650" s="384" t="s">
        <v>2655</v>
      </c>
    </row>
    <row r="1651" spans="1:15" x14ac:dyDescent="0.3">
      <c r="A1651" s="384" t="b">
        <v>0</v>
      </c>
      <c r="B1651" s="384"/>
      <c r="C1651" s="384" t="s">
        <v>3277</v>
      </c>
      <c r="D1651" s="389">
        <v>8</v>
      </c>
      <c r="E1651" s="386"/>
      <c r="F1651" s="388"/>
      <c r="G1651" s="387"/>
      <c r="H1651" s="387"/>
      <c r="I1651" s="388"/>
      <c r="J1651" s="388"/>
      <c r="K1651" s="384" t="str">
        <f ca="1">IFERROR(VLOOKUP(C1651,' Disaggregation - Section E '!A$618:J1977,3,0),"")</f>
        <v>HTS-3b⁽ᴹ⁾ Percentage of TG that have received an HIV test during the reporting period in KP-specific programs and know their results</v>
      </c>
      <c r="L1651" s="384"/>
      <c r="M1651" s="384"/>
      <c r="N1651" s="388"/>
      <c r="O1651" s="384" t="s">
        <v>2655</v>
      </c>
    </row>
    <row r="1652" spans="1:15" x14ac:dyDescent="0.3">
      <c r="A1652" s="384" t="b">
        <v>0</v>
      </c>
      <c r="B1652" s="384"/>
      <c r="C1652" s="384" t="s">
        <v>3278</v>
      </c>
      <c r="D1652" s="389">
        <v>8</v>
      </c>
      <c r="E1652" s="386"/>
      <c r="F1652" s="388"/>
      <c r="G1652" s="387"/>
      <c r="H1652" s="387"/>
      <c r="I1652" s="388"/>
      <c r="J1652" s="388"/>
      <c r="K1652" s="384" t="str">
        <f ca="1">IFERROR(VLOOKUP(C1652,' Disaggregation - Section E '!A$618:J1978,3,0),"")</f>
        <v>HTS-3b⁽ᴹ⁾ Percentage of TG that have received an HIV test during the reporting period in KP-specific programs and know their results</v>
      </c>
      <c r="L1652" s="384"/>
      <c r="M1652" s="384"/>
      <c r="N1652" s="388"/>
      <c r="O1652" s="384" t="s">
        <v>2655</v>
      </c>
    </row>
    <row r="1653" spans="1:15" x14ac:dyDescent="0.3">
      <c r="A1653" s="384" t="b">
        <v>0</v>
      </c>
      <c r="B1653" s="384"/>
      <c r="C1653" s="384" t="s">
        <v>3279</v>
      </c>
      <c r="D1653" s="389">
        <v>8</v>
      </c>
      <c r="E1653" s="386"/>
      <c r="F1653" s="388"/>
      <c r="G1653" s="387"/>
      <c r="H1653" s="387"/>
      <c r="I1653" s="388"/>
      <c r="J1653" s="388"/>
      <c r="K1653" s="384" t="str">
        <f ca="1">IFERROR(VLOOKUP(C1653,' Disaggregation - Section E '!A$618:J1979,3,0),"")</f>
        <v>HTS-3b⁽ᴹ⁾ Percentage of TG that have received an HIV test during the reporting period in KP-specific programs and know their results</v>
      </c>
      <c r="L1653" s="384"/>
      <c r="M1653" s="384"/>
      <c r="N1653" s="388"/>
      <c r="O1653" s="384" t="s">
        <v>2655</v>
      </c>
    </row>
    <row r="1654" spans="1:15" x14ac:dyDescent="0.3">
      <c r="A1654" s="384" t="b">
        <v>0</v>
      </c>
      <c r="B1654" s="384"/>
      <c r="C1654" s="384" t="s">
        <v>3280</v>
      </c>
      <c r="D1654" s="389">
        <v>8</v>
      </c>
      <c r="E1654" s="386"/>
      <c r="F1654" s="388"/>
      <c r="G1654" s="387"/>
      <c r="H1654" s="387"/>
      <c r="I1654" s="388"/>
      <c r="J1654" s="388"/>
      <c r="K1654" s="384" t="str">
        <f ca="1">IFERROR(VLOOKUP(C1654,' Disaggregation - Section E '!A$618:J1980,3,0),"")</f>
        <v>HTS-3b⁽ᴹ⁾ Percentage of TG that have received an HIV test during the reporting period in KP-specific programs and know their results</v>
      </c>
      <c r="L1654" s="384"/>
      <c r="M1654" s="384"/>
      <c r="N1654" s="388"/>
      <c r="O1654" s="384" t="s">
        <v>2655</v>
      </c>
    </row>
    <row r="1655" spans="1:15" x14ac:dyDescent="0.3">
      <c r="A1655" s="384" t="b">
        <v>0</v>
      </c>
      <c r="B1655" s="384"/>
      <c r="C1655" s="384" t="s">
        <v>3281</v>
      </c>
      <c r="D1655" s="389">
        <v>9</v>
      </c>
      <c r="E1655" s="386"/>
      <c r="F1655" s="388"/>
      <c r="G1655" s="387"/>
      <c r="H1655" s="387"/>
      <c r="I1655" s="388"/>
      <c r="J1655" s="388"/>
      <c r="K1655" s="384" t="str">
        <f ca="1">IFERROR(VLOOKUP(C1655,' Disaggregation - Section E '!A$618:J1981,3,0),"")</f>
        <v>HTS-3d⁽ᴹ⁾ Percentage of people who inject drugs that have received an HIV test during the reporting period in KP-specific programs and know their results</v>
      </c>
      <c r="L1655" s="384"/>
      <c r="M1655" s="384"/>
      <c r="N1655" s="388"/>
      <c r="O1655" s="384" t="s">
        <v>2662</v>
      </c>
    </row>
    <row r="1656" spans="1:15" x14ac:dyDescent="0.3">
      <c r="A1656" s="384" t="b">
        <v>0</v>
      </c>
      <c r="B1656" s="384"/>
      <c r="C1656" s="384" t="s">
        <v>3282</v>
      </c>
      <c r="D1656" s="389">
        <v>9</v>
      </c>
      <c r="E1656" s="386"/>
      <c r="F1656" s="388"/>
      <c r="G1656" s="387"/>
      <c r="H1656" s="387"/>
      <c r="I1656" s="388"/>
      <c r="J1656" s="388"/>
      <c r="K1656" s="384" t="str">
        <f ca="1">IFERROR(VLOOKUP(C1656,' Disaggregation - Section E '!A$618:J1982,3,0),"")</f>
        <v>HTS-3d⁽ᴹ⁾ Percentage of people who inject drugs that have received an HIV test during the reporting period in KP-specific programs and know their results</v>
      </c>
      <c r="L1656" s="384"/>
      <c r="M1656" s="384"/>
      <c r="N1656" s="388"/>
      <c r="O1656" s="384" t="s">
        <v>2662</v>
      </c>
    </row>
    <row r="1657" spans="1:15" x14ac:dyDescent="0.3">
      <c r="A1657" s="384" t="b">
        <v>0</v>
      </c>
      <c r="B1657" s="384"/>
      <c r="C1657" s="384" t="s">
        <v>3283</v>
      </c>
      <c r="D1657" s="389">
        <v>9</v>
      </c>
      <c r="E1657" s="386"/>
      <c r="F1657" s="388"/>
      <c r="G1657" s="387"/>
      <c r="H1657" s="387"/>
      <c r="I1657" s="388"/>
      <c r="J1657" s="388"/>
      <c r="K1657" s="384" t="str">
        <f ca="1">IFERROR(VLOOKUP(C1657,' Disaggregation - Section E '!A$618:J1983,3,0),"")</f>
        <v>HTS-3d⁽ᴹ⁾ Percentage of people who inject drugs that have received an HIV test during the reporting period in KP-specific programs and know their results</v>
      </c>
      <c r="L1657" s="384"/>
      <c r="M1657" s="384"/>
      <c r="N1657" s="388"/>
      <c r="O1657" s="384" t="s">
        <v>2662</v>
      </c>
    </row>
    <row r="1658" spans="1:15" x14ac:dyDescent="0.3">
      <c r="A1658" s="384" t="b">
        <v>0</v>
      </c>
      <c r="B1658" s="384"/>
      <c r="C1658" s="384" t="s">
        <v>3284</v>
      </c>
      <c r="D1658" s="389">
        <v>9</v>
      </c>
      <c r="E1658" s="386"/>
      <c r="F1658" s="388"/>
      <c r="G1658" s="387"/>
      <c r="H1658" s="387"/>
      <c r="I1658" s="388"/>
      <c r="J1658" s="388"/>
      <c r="K1658" s="384" t="str">
        <f ca="1">IFERROR(VLOOKUP(C1658,' Disaggregation - Section E '!A$618:J1984,3,0),"")</f>
        <v>HTS-3d⁽ᴹ⁾ Percentage of people who inject drugs that have received an HIV test during the reporting period in KP-specific programs and know their results</v>
      </c>
      <c r="L1658" s="384"/>
      <c r="M1658" s="384"/>
      <c r="N1658" s="388"/>
      <c r="O1658" s="384" t="s">
        <v>2662</v>
      </c>
    </row>
    <row r="1659" spans="1:15" x14ac:dyDescent="0.3">
      <c r="A1659" s="384" t="b">
        <v>0</v>
      </c>
      <c r="B1659" s="384"/>
      <c r="C1659" s="384" t="s">
        <v>3285</v>
      </c>
      <c r="D1659" s="389">
        <v>9</v>
      </c>
      <c r="E1659" s="386"/>
      <c r="F1659" s="388"/>
      <c r="G1659" s="387"/>
      <c r="H1659" s="387"/>
      <c r="I1659" s="388"/>
      <c r="J1659" s="388"/>
      <c r="K1659" s="384" t="str">
        <f ca="1">IFERROR(VLOOKUP(C1659,' Disaggregation - Section E '!A$618:J1985,3,0),"")</f>
        <v>HTS-3d⁽ᴹ⁾ Percentage of people who inject drugs that have received an HIV test during the reporting period in KP-specific programs and know their results</v>
      </c>
      <c r="L1659" s="384"/>
      <c r="M1659" s="384"/>
      <c r="N1659" s="388"/>
      <c r="O1659" s="384" t="s">
        <v>2662</v>
      </c>
    </row>
    <row r="1660" spans="1:15" x14ac:dyDescent="0.3">
      <c r="A1660" s="384" t="b">
        <v>0</v>
      </c>
      <c r="B1660" s="384"/>
      <c r="C1660" s="384" t="s">
        <v>3286</v>
      </c>
      <c r="D1660" s="389">
        <v>9</v>
      </c>
      <c r="E1660" s="386"/>
      <c r="F1660" s="388"/>
      <c r="G1660" s="387"/>
      <c r="H1660" s="387"/>
      <c r="I1660" s="388"/>
      <c r="J1660" s="388"/>
      <c r="K1660" s="384" t="str">
        <f ca="1">IFERROR(VLOOKUP(C1660,' Disaggregation - Section E '!A$618:J1986,3,0),"")</f>
        <v>HTS-3d⁽ᴹ⁾ Percentage of people who inject drugs that have received an HIV test during the reporting period in KP-specific programs and know their results</v>
      </c>
      <c r="L1660" s="384"/>
      <c r="M1660" s="384"/>
      <c r="N1660" s="388"/>
      <c r="O1660" s="384" t="s">
        <v>2662</v>
      </c>
    </row>
    <row r="1661" spans="1:15" x14ac:dyDescent="0.3">
      <c r="A1661" s="384" t="b">
        <v>0</v>
      </c>
      <c r="B1661" s="384"/>
      <c r="C1661" s="384" t="s">
        <v>3287</v>
      </c>
      <c r="D1661" s="389">
        <v>9</v>
      </c>
      <c r="E1661" s="386"/>
      <c r="F1661" s="388"/>
      <c r="G1661" s="387"/>
      <c r="H1661" s="387"/>
      <c r="I1661" s="388"/>
      <c r="J1661" s="388"/>
      <c r="K1661" s="384" t="str">
        <f ca="1">IFERROR(VLOOKUP(C1661,' Disaggregation - Section E '!A$618:J1987,3,0),"")</f>
        <v>HTS-3d⁽ᴹ⁾ Percentage of people who inject drugs that have received an HIV test during the reporting period in KP-specific programs and know their results</v>
      </c>
      <c r="L1661" s="384"/>
      <c r="M1661" s="384"/>
      <c r="N1661" s="388"/>
      <c r="O1661" s="384" t="s">
        <v>2662</v>
      </c>
    </row>
    <row r="1662" spans="1:15" x14ac:dyDescent="0.3">
      <c r="A1662" s="384" t="b">
        <v>0</v>
      </c>
      <c r="B1662" s="384"/>
      <c r="C1662" s="384" t="s">
        <v>3288</v>
      </c>
      <c r="D1662" s="389">
        <v>9</v>
      </c>
      <c r="E1662" s="386"/>
      <c r="F1662" s="388"/>
      <c r="G1662" s="387"/>
      <c r="H1662" s="387"/>
      <c r="I1662" s="388"/>
      <c r="J1662" s="388"/>
      <c r="K1662" s="384" t="str">
        <f ca="1">IFERROR(VLOOKUP(C1662,' Disaggregation - Section E '!A$618:J1988,3,0),"")</f>
        <v>HTS-3d⁽ᴹ⁾ Percentage of people who inject drugs that have received an HIV test during the reporting period in KP-specific programs and know their results</v>
      </c>
      <c r="L1662" s="384"/>
      <c r="M1662" s="384"/>
      <c r="N1662" s="388"/>
      <c r="O1662" s="384" t="s">
        <v>2662</v>
      </c>
    </row>
    <row r="1663" spans="1:15" x14ac:dyDescent="0.3">
      <c r="A1663" s="384" t="b">
        <v>0</v>
      </c>
      <c r="B1663" s="384"/>
      <c r="C1663" s="384" t="s">
        <v>3289</v>
      </c>
      <c r="D1663" s="389">
        <v>9</v>
      </c>
      <c r="E1663" s="386"/>
      <c r="F1663" s="388"/>
      <c r="G1663" s="387"/>
      <c r="H1663" s="387"/>
      <c r="I1663" s="388"/>
      <c r="J1663" s="388"/>
      <c r="K1663" s="384" t="str">
        <f ca="1">IFERROR(VLOOKUP(C1663,' Disaggregation - Section E '!A$618:J1989,3,0),"")</f>
        <v>HTS-3d⁽ᴹ⁾ Percentage of people who inject drugs that have received an HIV test during the reporting period in KP-specific programs and know their results</v>
      </c>
      <c r="L1663" s="384"/>
      <c r="M1663" s="384"/>
      <c r="N1663" s="388"/>
      <c r="O1663" s="384" t="s">
        <v>2662</v>
      </c>
    </row>
    <row r="1664" spans="1:15" x14ac:dyDescent="0.3">
      <c r="A1664" s="384" t="b">
        <v>0</v>
      </c>
      <c r="B1664" s="384"/>
      <c r="C1664" s="384" t="s">
        <v>3290</v>
      </c>
      <c r="D1664" s="389">
        <v>9</v>
      </c>
      <c r="E1664" s="386"/>
      <c r="F1664" s="388"/>
      <c r="G1664" s="387"/>
      <c r="H1664" s="387"/>
      <c r="I1664" s="388"/>
      <c r="J1664" s="388"/>
      <c r="K1664" s="384" t="str">
        <f ca="1">IFERROR(VLOOKUP(C1664,' Disaggregation - Section E '!A$618:J1990,3,0),"")</f>
        <v>HTS-3d⁽ᴹ⁾ Percentage of people who inject drugs that have received an HIV test during the reporting period in KP-specific programs and know their results</v>
      </c>
      <c r="L1664" s="384"/>
      <c r="M1664" s="384"/>
      <c r="N1664" s="388"/>
      <c r="O1664" s="384" t="s">
        <v>2662</v>
      </c>
    </row>
    <row r="1665" spans="1:15" x14ac:dyDescent="0.3">
      <c r="A1665" s="384" t="b">
        <v>0</v>
      </c>
      <c r="B1665" s="384"/>
      <c r="C1665" s="384" t="s">
        <v>3291</v>
      </c>
      <c r="D1665" s="389">
        <v>9</v>
      </c>
      <c r="E1665" s="386"/>
      <c r="F1665" s="388"/>
      <c r="G1665" s="387"/>
      <c r="H1665" s="387"/>
      <c r="I1665" s="388"/>
      <c r="J1665" s="388"/>
      <c r="K1665" s="384" t="str">
        <f ca="1">IFERROR(VLOOKUP(C1665,' Disaggregation - Section E '!A$618:J1991,3,0),"")</f>
        <v>HTS-3d⁽ᴹ⁾ Percentage of people who inject drugs that have received an HIV test during the reporting period in KP-specific programs and know their results</v>
      </c>
      <c r="L1665" s="384"/>
      <c r="M1665" s="384"/>
      <c r="N1665" s="388"/>
      <c r="O1665" s="384" t="s">
        <v>2662</v>
      </c>
    </row>
    <row r="1666" spans="1:15" x14ac:dyDescent="0.3">
      <c r="A1666" s="384" t="b">
        <v>0</v>
      </c>
      <c r="B1666" s="384"/>
      <c r="C1666" s="384" t="s">
        <v>3292</v>
      </c>
      <c r="D1666" s="389">
        <v>9</v>
      </c>
      <c r="E1666" s="386"/>
      <c r="F1666" s="388"/>
      <c r="G1666" s="387"/>
      <c r="H1666" s="387"/>
      <c r="I1666" s="388"/>
      <c r="J1666" s="388"/>
      <c r="K1666" s="384" t="str">
        <f ca="1">IFERROR(VLOOKUP(C1666,' Disaggregation - Section E '!A$618:J1992,3,0),"")</f>
        <v>HTS-3d⁽ᴹ⁾ Percentage of people who inject drugs that have received an HIV test during the reporting period in KP-specific programs and know their results</v>
      </c>
      <c r="L1666" s="384"/>
      <c r="M1666" s="384"/>
      <c r="N1666" s="388"/>
      <c r="O1666" s="384" t="s">
        <v>2662</v>
      </c>
    </row>
    <row r="1667" spans="1:15" x14ac:dyDescent="0.3">
      <c r="A1667" s="384" t="b">
        <v>0</v>
      </c>
      <c r="B1667" s="384"/>
      <c r="C1667" s="384" t="s">
        <v>3293</v>
      </c>
      <c r="D1667" s="389">
        <v>9</v>
      </c>
      <c r="E1667" s="386"/>
      <c r="F1667" s="388"/>
      <c r="G1667" s="387"/>
      <c r="H1667" s="387"/>
      <c r="I1667" s="388"/>
      <c r="J1667" s="388"/>
      <c r="K1667" s="384" t="str">
        <f ca="1">IFERROR(VLOOKUP(C1667,' Disaggregation - Section E '!A$618:J1993,3,0),"")</f>
        <v>HTS-3d⁽ᴹ⁾ Percentage of people who inject drugs that have received an HIV test during the reporting period in KP-specific programs and know their results</v>
      </c>
      <c r="L1667" s="384"/>
      <c r="M1667" s="384"/>
      <c r="N1667" s="388"/>
      <c r="O1667" s="384" t="s">
        <v>2662</v>
      </c>
    </row>
    <row r="1668" spans="1:15" x14ac:dyDescent="0.3">
      <c r="A1668" s="384" t="b">
        <v>0</v>
      </c>
      <c r="B1668" s="384"/>
      <c r="C1668" s="384" t="s">
        <v>3294</v>
      </c>
      <c r="D1668" s="389">
        <v>9</v>
      </c>
      <c r="E1668" s="386"/>
      <c r="F1668" s="388"/>
      <c r="G1668" s="387"/>
      <c r="H1668" s="387"/>
      <c r="I1668" s="388"/>
      <c r="J1668" s="388"/>
      <c r="K1668" s="384" t="str">
        <f ca="1">IFERROR(VLOOKUP(C1668,' Disaggregation - Section E '!A$618:J1994,3,0),"")</f>
        <v>HTS-3d⁽ᴹ⁾ Percentage of people who inject drugs that have received an HIV test during the reporting period in KP-specific programs and know their results</v>
      </c>
      <c r="L1668" s="384"/>
      <c r="M1668" s="384"/>
      <c r="N1668" s="388"/>
      <c r="O1668" s="384" t="s">
        <v>2662</v>
      </c>
    </row>
    <row r="1669" spans="1:15" x14ac:dyDescent="0.3">
      <c r="A1669" s="384" t="b">
        <v>0</v>
      </c>
      <c r="B1669" s="384"/>
      <c r="C1669" s="384" t="s">
        <v>3295</v>
      </c>
      <c r="D1669" s="389">
        <v>9</v>
      </c>
      <c r="E1669" s="386"/>
      <c r="F1669" s="388"/>
      <c r="G1669" s="387"/>
      <c r="H1669" s="387"/>
      <c r="I1669" s="388"/>
      <c r="J1669" s="388"/>
      <c r="K1669" s="384" t="str">
        <f ca="1">IFERROR(VLOOKUP(C1669,' Disaggregation - Section E '!A$618:J1995,3,0),"")</f>
        <v>HTS-3d⁽ᴹ⁾ Percentage of people who inject drugs that have received an HIV test during the reporting period in KP-specific programs and know their results</v>
      </c>
      <c r="L1669" s="384"/>
      <c r="M1669" s="384"/>
      <c r="N1669" s="388"/>
      <c r="O1669" s="384" t="s">
        <v>2662</v>
      </c>
    </row>
    <row r="1670" spans="1:15" x14ac:dyDescent="0.3">
      <c r="A1670" s="384" t="b">
        <v>0</v>
      </c>
      <c r="B1670" s="384"/>
      <c r="C1670" s="384" t="s">
        <v>3296</v>
      </c>
      <c r="D1670" s="389">
        <v>9</v>
      </c>
      <c r="E1670" s="386"/>
      <c r="F1670" s="388"/>
      <c r="G1670" s="387"/>
      <c r="H1670" s="387"/>
      <c r="I1670" s="388"/>
      <c r="J1670" s="388"/>
      <c r="K1670" s="384" t="str">
        <f ca="1">IFERROR(VLOOKUP(C1670,' Disaggregation - Section E '!A$618:J1996,3,0),"")</f>
        <v>HTS-3d⁽ᴹ⁾ Percentage of people who inject drugs that have received an HIV test during the reporting period in KP-specific programs and know their results</v>
      </c>
      <c r="L1670" s="384"/>
      <c r="M1670" s="384"/>
      <c r="N1670" s="388"/>
      <c r="O1670" s="384" t="s">
        <v>2662</v>
      </c>
    </row>
    <row r="1671" spans="1:15" x14ac:dyDescent="0.3">
      <c r="A1671" s="384" t="b">
        <v>0</v>
      </c>
      <c r="B1671" s="384"/>
      <c r="C1671" s="384" t="s">
        <v>3297</v>
      </c>
      <c r="D1671" s="389">
        <v>9</v>
      </c>
      <c r="E1671" s="386"/>
      <c r="F1671" s="388"/>
      <c r="G1671" s="387"/>
      <c r="H1671" s="387"/>
      <c r="I1671" s="388"/>
      <c r="J1671" s="388"/>
      <c r="K1671" s="384" t="str">
        <f ca="1">IFERROR(VLOOKUP(C1671,' Disaggregation - Section E '!A$618:J1997,3,0),"")</f>
        <v>HTS-3d⁽ᴹ⁾ Percentage of people who inject drugs that have received an HIV test during the reporting period in KP-specific programs and know their results</v>
      </c>
      <c r="L1671" s="384"/>
      <c r="M1671" s="384"/>
      <c r="N1671" s="388"/>
      <c r="O1671" s="384" t="s">
        <v>2662</v>
      </c>
    </row>
    <row r="1672" spans="1:15" x14ac:dyDescent="0.3">
      <c r="A1672" s="384" t="b">
        <v>0</v>
      </c>
      <c r="B1672" s="384"/>
      <c r="C1672" s="384" t="s">
        <v>3298</v>
      </c>
      <c r="D1672" s="389">
        <v>9</v>
      </c>
      <c r="E1672" s="386"/>
      <c r="F1672" s="388"/>
      <c r="G1672" s="387"/>
      <c r="H1672" s="387"/>
      <c r="I1672" s="388"/>
      <c r="J1672" s="388"/>
      <c r="K1672" s="384" t="str">
        <f ca="1">IFERROR(VLOOKUP(C1672,' Disaggregation - Section E '!A$618:J1998,3,0),"")</f>
        <v>HTS-3d⁽ᴹ⁾ Percentage of people who inject drugs that have received an HIV test during the reporting period in KP-specific programs and know their results</v>
      </c>
      <c r="L1672" s="384"/>
      <c r="M1672" s="384"/>
      <c r="N1672" s="388"/>
      <c r="O1672" s="384" t="s">
        <v>2662</v>
      </c>
    </row>
    <row r="1673" spans="1:15" x14ac:dyDescent="0.3">
      <c r="A1673" s="384" t="b">
        <v>0</v>
      </c>
      <c r="B1673" s="384"/>
      <c r="C1673" s="384" t="s">
        <v>3299</v>
      </c>
      <c r="D1673" s="389">
        <v>9</v>
      </c>
      <c r="E1673" s="386"/>
      <c r="F1673" s="388"/>
      <c r="G1673" s="387"/>
      <c r="H1673" s="387"/>
      <c r="I1673" s="388"/>
      <c r="J1673" s="388"/>
      <c r="K1673" s="384" t="str">
        <f ca="1">IFERROR(VLOOKUP(C1673,' Disaggregation - Section E '!A$618:J1999,3,0),"")</f>
        <v>HTS-3d⁽ᴹ⁾ Percentage of people who inject drugs that have received an HIV test during the reporting period in KP-specific programs and know their results</v>
      </c>
      <c r="L1673" s="384"/>
      <c r="M1673" s="384"/>
      <c r="N1673" s="388"/>
      <c r="O1673" s="384" t="s">
        <v>2662</v>
      </c>
    </row>
    <row r="1674" spans="1:15" x14ac:dyDescent="0.3">
      <c r="A1674" s="384" t="b">
        <v>0</v>
      </c>
      <c r="B1674" s="384"/>
      <c r="C1674" s="384" t="s">
        <v>3300</v>
      </c>
      <c r="D1674" s="389">
        <v>9</v>
      </c>
      <c r="E1674" s="386"/>
      <c r="F1674" s="388"/>
      <c r="G1674" s="387"/>
      <c r="H1674" s="387"/>
      <c r="I1674" s="388"/>
      <c r="J1674" s="388"/>
      <c r="K1674" s="384" t="str">
        <f ca="1">IFERROR(VLOOKUP(C1674,' Disaggregation - Section E '!A$618:J2000,3,0),"")</f>
        <v>HTS-3d⁽ᴹ⁾ Percentage of people who inject drugs that have received an HIV test during the reporting period in KP-specific programs and know their results</v>
      </c>
      <c r="L1674" s="384"/>
      <c r="M1674" s="384"/>
      <c r="N1674" s="388"/>
      <c r="O1674" s="384" t="s">
        <v>2662</v>
      </c>
    </row>
    <row r="1675" spans="1:15" x14ac:dyDescent="0.3">
      <c r="A1675" s="384" t="b">
        <v>0</v>
      </c>
      <c r="B1675" s="384"/>
      <c r="C1675" s="384" t="s">
        <v>3301</v>
      </c>
      <c r="D1675" s="389">
        <v>10</v>
      </c>
      <c r="E1675" s="386"/>
      <c r="F1675" s="388"/>
      <c r="G1675" s="387"/>
      <c r="H1675" s="387"/>
      <c r="I1675" s="388"/>
      <c r="J1675" s="388"/>
      <c r="K1675" s="384" t="str">
        <f ca="1">IFERROR(VLOOKUP(C1675,' Disaggregation - Section E '!A$618:J2001,3,0),"")</f>
        <v>HTS-3f⁽ᴹ⁾ Number of people in prisons and other closed settings that have received an HIV test during the reporting period and know their results</v>
      </c>
      <c r="L1675" s="384"/>
      <c r="M1675" s="384"/>
      <c r="N1675" s="388"/>
      <c r="O1675" s="384" t="s">
        <v>2669</v>
      </c>
    </row>
    <row r="1676" spans="1:15" x14ac:dyDescent="0.3">
      <c r="A1676" s="384" t="b">
        <v>0</v>
      </c>
      <c r="B1676" s="384"/>
      <c r="C1676" s="384" t="s">
        <v>3302</v>
      </c>
      <c r="D1676" s="389">
        <v>10</v>
      </c>
      <c r="E1676" s="386"/>
      <c r="F1676" s="388"/>
      <c r="G1676" s="387"/>
      <c r="H1676" s="387"/>
      <c r="I1676" s="388"/>
      <c r="J1676" s="388"/>
      <c r="K1676" s="384" t="str">
        <f ca="1">IFERROR(VLOOKUP(C1676,' Disaggregation - Section E '!A$618:J2002,3,0),"")</f>
        <v>HTS-3f⁽ᴹ⁾ Number of people in prisons and other closed settings that have received an HIV test during the reporting period and know their results</v>
      </c>
      <c r="L1676" s="384"/>
      <c r="M1676" s="384"/>
      <c r="N1676" s="388"/>
      <c r="O1676" s="384" t="s">
        <v>2669</v>
      </c>
    </row>
    <row r="1677" spans="1:15" x14ac:dyDescent="0.3">
      <c r="A1677" s="384" t="b">
        <v>0</v>
      </c>
      <c r="B1677" s="384"/>
      <c r="C1677" s="384" t="s">
        <v>3303</v>
      </c>
      <c r="D1677" s="389">
        <v>10</v>
      </c>
      <c r="E1677" s="386"/>
      <c r="F1677" s="388"/>
      <c r="G1677" s="387"/>
      <c r="H1677" s="387"/>
      <c r="I1677" s="388"/>
      <c r="J1677" s="388"/>
      <c r="K1677" s="384" t="str">
        <f ca="1">IFERROR(VLOOKUP(C1677,' Disaggregation - Section E '!A$618:J2003,3,0),"")</f>
        <v>HTS-3f⁽ᴹ⁾ Number of people in prisons and other closed settings that have received an HIV test during the reporting period and know their results</v>
      </c>
      <c r="L1677" s="384"/>
      <c r="M1677" s="384"/>
      <c r="N1677" s="388"/>
      <c r="O1677" s="384" t="s">
        <v>2669</v>
      </c>
    </row>
    <row r="1678" spans="1:15" x14ac:dyDescent="0.3">
      <c r="A1678" s="384" t="b">
        <v>0</v>
      </c>
      <c r="B1678" s="384"/>
      <c r="C1678" s="384" t="s">
        <v>3304</v>
      </c>
      <c r="D1678" s="389">
        <v>10</v>
      </c>
      <c r="E1678" s="386"/>
      <c r="F1678" s="388"/>
      <c r="G1678" s="387"/>
      <c r="H1678" s="387"/>
      <c r="I1678" s="388"/>
      <c r="J1678" s="388"/>
      <c r="K1678" s="384" t="str">
        <f ca="1">IFERROR(VLOOKUP(C1678,' Disaggregation - Section E '!A$618:J2004,3,0),"")</f>
        <v>HTS-3f⁽ᴹ⁾ Number of people in prisons and other closed settings that have received an HIV test during the reporting period and know their results</v>
      </c>
      <c r="L1678" s="384"/>
      <c r="M1678" s="384"/>
      <c r="N1678" s="388"/>
      <c r="O1678" s="384" t="s">
        <v>2669</v>
      </c>
    </row>
    <row r="1679" spans="1:15" x14ac:dyDescent="0.3">
      <c r="A1679" s="384" t="b">
        <v>0</v>
      </c>
      <c r="B1679" s="384"/>
      <c r="C1679" s="384" t="s">
        <v>3305</v>
      </c>
      <c r="D1679" s="389">
        <v>10</v>
      </c>
      <c r="E1679" s="386"/>
      <c r="F1679" s="388"/>
      <c r="G1679" s="387"/>
      <c r="H1679" s="387"/>
      <c r="I1679" s="388"/>
      <c r="J1679" s="388"/>
      <c r="K1679" s="384" t="str">
        <f ca="1">IFERROR(VLOOKUP(C1679,' Disaggregation - Section E '!A$618:J2005,3,0),"")</f>
        <v>HTS-3f⁽ᴹ⁾ Number of people in prisons and other closed settings that have received an HIV test during the reporting period and know their results</v>
      </c>
      <c r="L1679" s="384"/>
      <c r="M1679" s="384"/>
      <c r="N1679" s="388"/>
      <c r="O1679" s="384" t="s">
        <v>2669</v>
      </c>
    </row>
    <row r="1680" spans="1:15" x14ac:dyDescent="0.3">
      <c r="A1680" s="384" t="b">
        <v>0</v>
      </c>
      <c r="B1680" s="384"/>
      <c r="C1680" s="384" t="s">
        <v>3306</v>
      </c>
      <c r="D1680" s="389">
        <v>10</v>
      </c>
      <c r="E1680" s="386"/>
      <c r="F1680" s="388"/>
      <c r="G1680" s="387"/>
      <c r="H1680" s="387"/>
      <c r="I1680" s="388"/>
      <c r="J1680" s="388"/>
      <c r="K1680" s="384" t="str">
        <f ca="1">IFERROR(VLOOKUP(C1680,' Disaggregation - Section E '!A$618:J2006,3,0),"")</f>
        <v>HTS-3f⁽ᴹ⁾ Number of people in prisons and other closed settings that have received an HIV test during the reporting period and know their results</v>
      </c>
      <c r="L1680" s="384"/>
      <c r="M1680" s="384"/>
      <c r="N1680" s="388"/>
      <c r="O1680" s="384" t="s">
        <v>2669</v>
      </c>
    </row>
    <row r="1681" spans="1:15" x14ac:dyDescent="0.3">
      <c r="A1681" s="384" t="b">
        <v>0</v>
      </c>
      <c r="B1681" s="384"/>
      <c r="C1681" s="384" t="s">
        <v>3307</v>
      </c>
      <c r="D1681" s="389">
        <v>10</v>
      </c>
      <c r="E1681" s="386"/>
      <c r="F1681" s="388"/>
      <c r="G1681" s="387"/>
      <c r="H1681" s="387"/>
      <c r="I1681" s="388"/>
      <c r="J1681" s="388"/>
      <c r="K1681" s="384" t="str">
        <f ca="1">IFERROR(VLOOKUP(C1681,' Disaggregation - Section E '!A$618:J2007,3,0),"")</f>
        <v>HTS-3f⁽ᴹ⁾ Number of people in prisons and other closed settings that have received an HIV test during the reporting period and know their results</v>
      </c>
      <c r="L1681" s="384"/>
      <c r="M1681" s="384"/>
      <c r="N1681" s="388"/>
      <c r="O1681" s="384" t="s">
        <v>2669</v>
      </c>
    </row>
    <row r="1682" spans="1:15" x14ac:dyDescent="0.3">
      <c r="A1682" s="384" t="b">
        <v>0</v>
      </c>
      <c r="B1682" s="384"/>
      <c r="C1682" s="384" t="s">
        <v>3308</v>
      </c>
      <c r="D1682" s="389">
        <v>10</v>
      </c>
      <c r="E1682" s="386"/>
      <c r="F1682" s="388"/>
      <c r="G1682" s="387"/>
      <c r="H1682" s="387"/>
      <c r="I1682" s="388"/>
      <c r="J1682" s="388"/>
      <c r="K1682" s="384" t="str">
        <f ca="1">IFERROR(VLOOKUP(C1682,' Disaggregation - Section E '!A$618:J2008,3,0),"")</f>
        <v>HTS-3f⁽ᴹ⁾ Number of people in prisons and other closed settings that have received an HIV test during the reporting period and know their results</v>
      </c>
      <c r="L1682" s="384"/>
      <c r="M1682" s="384"/>
      <c r="N1682" s="388"/>
      <c r="O1682" s="384" t="s">
        <v>2669</v>
      </c>
    </row>
    <row r="1683" spans="1:15" x14ac:dyDescent="0.3">
      <c r="A1683" s="384" t="b">
        <v>0</v>
      </c>
      <c r="B1683" s="384"/>
      <c r="C1683" s="384" t="s">
        <v>3309</v>
      </c>
      <c r="D1683" s="389">
        <v>10</v>
      </c>
      <c r="E1683" s="386"/>
      <c r="F1683" s="388"/>
      <c r="G1683" s="387"/>
      <c r="H1683" s="387"/>
      <c r="I1683" s="388"/>
      <c r="J1683" s="388"/>
      <c r="K1683" s="384" t="str">
        <f ca="1">IFERROR(VLOOKUP(C1683,' Disaggregation - Section E '!A$618:J2009,3,0),"")</f>
        <v>HTS-3f⁽ᴹ⁾ Number of people in prisons and other closed settings that have received an HIV test during the reporting period and know their results</v>
      </c>
      <c r="L1683" s="384"/>
      <c r="M1683" s="384"/>
      <c r="N1683" s="388"/>
      <c r="O1683" s="384" t="s">
        <v>2669</v>
      </c>
    </row>
    <row r="1684" spans="1:15" x14ac:dyDescent="0.3">
      <c r="A1684" s="384" t="b">
        <v>0</v>
      </c>
      <c r="B1684" s="384"/>
      <c r="C1684" s="384" t="s">
        <v>3310</v>
      </c>
      <c r="D1684" s="389">
        <v>10</v>
      </c>
      <c r="E1684" s="386"/>
      <c r="F1684" s="388"/>
      <c r="G1684" s="387"/>
      <c r="H1684" s="387"/>
      <c r="I1684" s="388"/>
      <c r="J1684" s="388"/>
      <c r="K1684" s="384" t="str">
        <f ca="1">IFERROR(VLOOKUP(C1684,' Disaggregation - Section E '!A$618:J2010,3,0),"")</f>
        <v>HTS-3f⁽ᴹ⁾ Number of people in prisons and other closed settings that have received an HIV test during the reporting period and know their results</v>
      </c>
      <c r="L1684" s="384"/>
      <c r="M1684" s="384"/>
      <c r="N1684" s="388"/>
      <c r="O1684" s="384" t="s">
        <v>2669</v>
      </c>
    </row>
    <row r="1685" spans="1:15" x14ac:dyDescent="0.3">
      <c r="A1685" s="384" t="b">
        <v>0</v>
      </c>
      <c r="B1685" s="384"/>
      <c r="C1685" s="384" t="s">
        <v>3311</v>
      </c>
      <c r="D1685" s="389">
        <v>10</v>
      </c>
      <c r="E1685" s="386"/>
      <c r="F1685" s="388"/>
      <c r="G1685" s="387"/>
      <c r="H1685" s="387"/>
      <c r="I1685" s="388"/>
      <c r="J1685" s="388"/>
      <c r="K1685" s="384" t="str">
        <f ca="1">IFERROR(VLOOKUP(C1685,' Disaggregation - Section E '!A$618:J2011,3,0),"")</f>
        <v>HTS-3f⁽ᴹ⁾ Number of people in prisons and other closed settings that have received an HIV test during the reporting period and know their results</v>
      </c>
      <c r="L1685" s="384"/>
      <c r="M1685" s="384"/>
      <c r="N1685" s="388"/>
      <c r="O1685" s="384" t="s">
        <v>2669</v>
      </c>
    </row>
    <row r="1686" spans="1:15" x14ac:dyDescent="0.3">
      <c r="A1686" s="384" t="b">
        <v>0</v>
      </c>
      <c r="B1686" s="384"/>
      <c r="C1686" s="384" t="s">
        <v>3312</v>
      </c>
      <c r="D1686" s="389">
        <v>10</v>
      </c>
      <c r="E1686" s="386"/>
      <c r="F1686" s="388"/>
      <c r="G1686" s="387"/>
      <c r="H1686" s="387"/>
      <c r="I1686" s="388"/>
      <c r="J1686" s="388"/>
      <c r="K1686" s="384" t="str">
        <f ca="1">IFERROR(VLOOKUP(C1686,' Disaggregation - Section E '!A$618:J2012,3,0),"")</f>
        <v>HTS-3f⁽ᴹ⁾ Number of people in prisons and other closed settings that have received an HIV test during the reporting period and know their results</v>
      </c>
      <c r="L1686" s="384"/>
      <c r="M1686" s="384"/>
      <c r="N1686" s="388"/>
      <c r="O1686" s="384" t="s">
        <v>2669</v>
      </c>
    </row>
    <row r="1687" spans="1:15" x14ac:dyDescent="0.3">
      <c r="A1687" s="384" t="b">
        <v>0</v>
      </c>
      <c r="B1687" s="384"/>
      <c r="C1687" s="384" t="s">
        <v>3313</v>
      </c>
      <c r="D1687" s="389">
        <v>10</v>
      </c>
      <c r="E1687" s="386"/>
      <c r="F1687" s="388"/>
      <c r="G1687" s="387"/>
      <c r="H1687" s="387"/>
      <c r="I1687" s="388"/>
      <c r="J1687" s="388"/>
      <c r="K1687" s="384" t="str">
        <f ca="1">IFERROR(VLOOKUP(C1687,' Disaggregation - Section E '!A$618:J2013,3,0),"")</f>
        <v>HTS-3f⁽ᴹ⁾ Number of people in prisons and other closed settings that have received an HIV test during the reporting period and know their results</v>
      </c>
      <c r="L1687" s="384"/>
      <c r="M1687" s="384"/>
      <c r="N1687" s="388"/>
      <c r="O1687" s="384" t="s">
        <v>2669</v>
      </c>
    </row>
    <row r="1688" spans="1:15" x14ac:dyDescent="0.3">
      <c r="A1688" s="384" t="b">
        <v>0</v>
      </c>
      <c r="B1688" s="384"/>
      <c r="C1688" s="384" t="s">
        <v>3314</v>
      </c>
      <c r="D1688" s="389">
        <v>10</v>
      </c>
      <c r="E1688" s="386"/>
      <c r="F1688" s="388"/>
      <c r="G1688" s="387"/>
      <c r="H1688" s="387"/>
      <c r="I1688" s="388"/>
      <c r="J1688" s="388"/>
      <c r="K1688" s="384" t="str">
        <f ca="1">IFERROR(VLOOKUP(C1688,' Disaggregation - Section E '!A$618:J2014,3,0),"")</f>
        <v>HTS-3f⁽ᴹ⁾ Number of people in prisons and other closed settings that have received an HIV test during the reporting period and know their results</v>
      </c>
      <c r="L1688" s="384"/>
      <c r="M1688" s="384"/>
      <c r="N1688" s="388"/>
      <c r="O1688" s="384" t="s">
        <v>2669</v>
      </c>
    </row>
    <row r="1689" spans="1:15" x14ac:dyDescent="0.3">
      <c r="A1689" s="384" t="b">
        <v>0</v>
      </c>
      <c r="B1689" s="384"/>
      <c r="C1689" s="384" t="s">
        <v>3315</v>
      </c>
      <c r="D1689" s="389">
        <v>10</v>
      </c>
      <c r="E1689" s="386"/>
      <c r="F1689" s="388"/>
      <c r="G1689" s="387"/>
      <c r="H1689" s="387"/>
      <c r="I1689" s="388"/>
      <c r="J1689" s="388"/>
      <c r="K1689" s="384" t="str">
        <f ca="1">IFERROR(VLOOKUP(C1689,' Disaggregation - Section E '!A$618:J2015,3,0),"")</f>
        <v>HTS-3f⁽ᴹ⁾ Number of people in prisons and other closed settings that have received an HIV test during the reporting period and know their results</v>
      </c>
      <c r="L1689" s="384"/>
      <c r="M1689" s="384"/>
      <c r="N1689" s="388"/>
      <c r="O1689" s="384" t="s">
        <v>2669</v>
      </c>
    </row>
    <row r="1690" spans="1:15" x14ac:dyDescent="0.3">
      <c r="A1690" s="384" t="b">
        <v>0</v>
      </c>
      <c r="B1690" s="384"/>
      <c r="C1690" s="384" t="s">
        <v>3316</v>
      </c>
      <c r="D1690" s="389">
        <v>10</v>
      </c>
      <c r="E1690" s="386"/>
      <c r="F1690" s="388"/>
      <c r="G1690" s="387"/>
      <c r="H1690" s="387"/>
      <c r="I1690" s="388"/>
      <c r="J1690" s="388"/>
      <c r="K1690" s="384" t="str">
        <f ca="1">IFERROR(VLOOKUP(C1690,' Disaggregation - Section E '!A$618:J2016,3,0),"")</f>
        <v>HTS-3f⁽ᴹ⁾ Number of people in prisons and other closed settings that have received an HIV test during the reporting period and know their results</v>
      </c>
      <c r="L1690" s="384"/>
      <c r="M1690" s="384"/>
      <c r="N1690" s="388"/>
      <c r="O1690" s="384" t="s">
        <v>2669</v>
      </c>
    </row>
    <row r="1691" spans="1:15" x14ac:dyDescent="0.3">
      <c r="A1691" s="384" t="b">
        <v>0</v>
      </c>
      <c r="B1691" s="384"/>
      <c r="C1691" s="384" t="s">
        <v>3317</v>
      </c>
      <c r="D1691" s="389">
        <v>10</v>
      </c>
      <c r="E1691" s="386"/>
      <c r="F1691" s="388"/>
      <c r="G1691" s="387"/>
      <c r="H1691" s="387"/>
      <c r="I1691" s="388"/>
      <c r="J1691" s="388"/>
      <c r="K1691" s="384" t="str">
        <f ca="1">IFERROR(VLOOKUP(C1691,' Disaggregation - Section E '!A$618:J2017,3,0),"")</f>
        <v>HTS-3f⁽ᴹ⁾ Number of people in prisons and other closed settings that have received an HIV test during the reporting period and know their results</v>
      </c>
      <c r="L1691" s="384"/>
      <c r="M1691" s="384"/>
      <c r="N1691" s="388"/>
      <c r="O1691" s="384" t="s">
        <v>2669</v>
      </c>
    </row>
    <row r="1692" spans="1:15" x14ac:dyDescent="0.3">
      <c r="A1692" s="384" t="b">
        <v>0</v>
      </c>
      <c r="B1692" s="384"/>
      <c r="C1692" s="384" t="s">
        <v>3318</v>
      </c>
      <c r="D1692" s="389">
        <v>10</v>
      </c>
      <c r="E1692" s="386"/>
      <c r="F1692" s="388"/>
      <c r="G1692" s="387"/>
      <c r="H1692" s="387"/>
      <c r="I1692" s="388"/>
      <c r="J1692" s="388"/>
      <c r="K1692" s="384" t="str">
        <f ca="1">IFERROR(VLOOKUP(C1692,' Disaggregation - Section E '!A$618:J2018,3,0),"")</f>
        <v>HTS-3f⁽ᴹ⁾ Number of people in prisons and other closed settings that have received an HIV test during the reporting period and know their results</v>
      </c>
      <c r="L1692" s="384"/>
      <c r="M1692" s="384"/>
      <c r="N1692" s="388"/>
      <c r="O1692" s="384" t="s">
        <v>2669</v>
      </c>
    </row>
    <row r="1693" spans="1:15" x14ac:dyDescent="0.3">
      <c r="A1693" s="384" t="b">
        <v>0</v>
      </c>
      <c r="B1693" s="384"/>
      <c r="C1693" s="384" t="s">
        <v>3319</v>
      </c>
      <c r="D1693" s="389">
        <v>10</v>
      </c>
      <c r="E1693" s="386"/>
      <c r="F1693" s="388"/>
      <c r="G1693" s="387"/>
      <c r="H1693" s="387"/>
      <c r="I1693" s="388"/>
      <c r="J1693" s="388"/>
      <c r="K1693" s="384" t="str">
        <f ca="1">IFERROR(VLOOKUP(C1693,' Disaggregation - Section E '!A$618:J2019,3,0),"")</f>
        <v>HTS-3f⁽ᴹ⁾ Number of people in prisons and other closed settings that have received an HIV test during the reporting period and know their results</v>
      </c>
      <c r="L1693" s="384"/>
      <c r="M1693" s="384"/>
      <c r="N1693" s="388"/>
      <c r="O1693" s="384" t="s">
        <v>2669</v>
      </c>
    </row>
    <row r="1694" spans="1:15" x14ac:dyDescent="0.3">
      <c r="A1694" s="384" t="b">
        <v>0</v>
      </c>
      <c r="B1694" s="384"/>
      <c r="C1694" s="384" t="s">
        <v>3320</v>
      </c>
      <c r="D1694" s="389">
        <v>10</v>
      </c>
      <c r="E1694" s="386"/>
      <c r="F1694" s="388"/>
      <c r="G1694" s="387"/>
      <c r="H1694" s="387"/>
      <c r="I1694" s="388"/>
      <c r="J1694" s="388"/>
      <c r="K1694" s="384" t="str">
        <f ca="1">IFERROR(VLOOKUP(C1694,' Disaggregation - Section E '!A$618:J2020,3,0),"")</f>
        <v>HTS-3f⁽ᴹ⁾ Number of people in prisons and other closed settings that have received an HIV test during the reporting period and know their results</v>
      </c>
      <c r="L1694" s="384"/>
      <c r="M1694" s="384"/>
      <c r="N1694" s="388"/>
      <c r="O1694" s="384" t="s">
        <v>2669</v>
      </c>
    </row>
    <row r="1695" spans="1:15" x14ac:dyDescent="0.3">
      <c r="A1695" s="384" t="b">
        <v>0</v>
      </c>
      <c r="B1695" s="384"/>
      <c r="C1695" s="384" t="s">
        <v>3321</v>
      </c>
      <c r="D1695" s="389">
        <v>11</v>
      </c>
      <c r="E1695" s="386"/>
      <c r="F1695" s="388"/>
      <c r="G1695" s="387"/>
      <c r="H1695" s="387"/>
      <c r="I1695" s="388"/>
      <c r="J1695" s="388"/>
      <c r="K1695" s="384" t="str">
        <f ca="1">IFERROR(VLOOKUP(C1695,' Disaggregation - Section E '!A$618:J2021,3,0),"")</f>
        <v>TCS-1.1⁽ᴹ⁾ Percentage of people on ART among all people living with HIV at the end of the reporting period</v>
      </c>
      <c r="L1695" s="384"/>
      <c r="M1695" s="384"/>
      <c r="N1695" s="388"/>
      <c r="O1695" s="384" t="s">
        <v>2676</v>
      </c>
    </row>
    <row r="1696" spans="1:15" x14ac:dyDescent="0.3">
      <c r="A1696" s="384" t="b">
        <v>0</v>
      </c>
      <c r="B1696" s="384"/>
      <c r="C1696" s="384" t="s">
        <v>3322</v>
      </c>
      <c r="D1696" s="389">
        <v>11</v>
      </c>
      <c r="E1696" s="386"/>
      <c r="F1696" s="388"/>
      <c r="G1696" s="387"/>
      <c r="H1696" s="387"/>
      <c r="I1696" s="388"/>
      <c r="J1696" s="388"/>
      <c r="K1696" s="384" t="str">
        <f ca="1">IFERROR(VLOOKUP(C1696,' Disaggregation - Section E '!A$618:J2022,3,0),"")</f>
        <v>TCS-1.1⁽ᴹ⁾ Percentage of people on ART among all people living with HIV at the end of the reporting period</v>
      </c>
      <c r="L1696" s="384"/>
      <c r="M1696" s="384"/>
      <c r="N1696" s="388"/>
      <c r="O1696" s="384" t="s">
        <v>2676</v>
      </c>
    </row>
    <row r="1697" spans="1:15" x14ac:dyDescent="0.3">
      <c r="A1697" s="384" t="b">
        <v>0</v>
      </c>
      <c r="B1697" s="384"/>
      <c r="C1697" s="384" t="s">
        <v>3323</v>
      </c>
      <c r="D1697" s="389">
        <v>11</v>
      </c>
      <c r="E1697" s="386"/>
      <c r="F1697" s="388"/>
      <c r="G1697" s="387"/>
      <c r="H1697" s="387"/>
      <c r="I1697" s="388"/>
      <c r="J1697" s="388"/>
      <c r="K1697" s="384" t="str">
        <f ca="1">IFERROR(VLOOKUP(C1697,' Disaggregation - Section E '!A$618:J2023,3,0),"")</f>
        <v>TCS-1.1⁽ᴹ⁾ Percentage of people on ART among all people living with HIV at the end of the reporting period</v>
      </c>
      <c r="L1697" s="384"/>
      <c r="M1697" s="384"/>
      <c r="N1697" s="388"/>
      <c r="O1697" s="384" t="s">
        <v>2676</v>
      </c>
    </row>
    <row r="1698" spans="1:15" x14ac:dyDescent="0.3">
      <c r="A1698" s="384" t="b">
        <v>0</v>
      </c>
      <c r="B1698" s="384"/>
      <c r="C1698" s="384" t="s">
        <v>3324</v>
      </c>
      <c r="D1698" s="389">
        <v>11</v>
      </c>
      <c r="E1698" s="386"/>
      <c r="F1698" s="388"/>
      <c r="G1698" s="387"/>
      <c r="H1698" s="387"/>
      <c r="I1698" s="388"/>
      <c r="J1698" s="388"/>
      <c r="K1698" s="384" t="str">
        <f ca="1">IFERROR(VLOOKUP(C1698,' Disaggregation - Section E '!A$618:J2024,3,0),"")</f>
        <v>TCS-1.1⁽ᴹ⁾ Percentage of people on ART among all people living with HIV at the end of the reporting period</v>
      </c>
      <c r="L1698" s="384"/>
      <c r="M1698" s="384"/>
      <c r="N1698" s="388"/>
      <c r="O1698" s="384" t="s">
        <v>2676</v>
      </c>
    </row>
    <row r="1699" spans="1:15" x14ac:dyDescent="0.3">
      <c r="A1699" s="384" t="b">
        <v>0</v>
      </c>
      <c r="B1699" s="384"/>
      <c r="C1699" s="384" t="s">
        <v>3325</v>
      </c>
      <c r="D1699" s="389">
        <v>11</v>
      </c>
      <c r="E1699" s="386"/>
      <c r="F1699" s="388"/>
      <c r="G1699" s="387"/>
      <c r="H1699" s="387"/>
      <c r="I1699" s="388"/>
      <c r="J1699" s="388"/>
      <c r="K1699" s="384" t="str">
        <f ca="1">IFERROR(VLOOKUP(C1699,' Disaggregation - Section E '!A$618:J2025,3,0),"")</f>
        <v>TCS-1.1⁽ᴹ⁾ Percentage of people on ART among all people living with HIV at the end of the reporting period</v>
      </c>
      <c r="L1699" s="384"/>
      <c r="M1699" s="384"/>
      <c r="N1699" s="388"/>
      <c r="O1699" s="384" t="s">
        <v>2676</v>
      </c>
    </row>
    <row r="1700" spans="1:15" x14ac:dyDescent="0.3">
      <c r="A1700" s="384" t="b">
        <v>0</v>
      </c>
      <c r="B1700" s="384"/>
      <c r="C1700" s="384" t="s">
        <v>3326</v>
      </c>
      <c r="D1700" s="389">
        <v>11</v>
      </c>
      <c r="E1700" s="386"/>
      <c r="F1700" s="388"/>
      <c r="G1700" s="387"/>
      <c r="H1700" s="387"/>
      <c r="I1700" s="388"/>
      <c r="J1700" s="388"/>
      <c r="K1700" s="384" t="str">
        <f ca="1">IFERROR(VLOOKUP(C1700,' Disaggregation - Section E '!A$618:J2026,3,0),"")</f>
        <v>TCS-1.1⁽ᴹ⁾ Percentage of people on ART among all people living with HIV at the end of the reporting period</v>
      </c>
      <c r="L1700" s="384"/>
      <c r="M1700" s="384"/>
      <c r="N1700" s="388"/>
      <c r="O1700" s="384" t="s">
        <v>2676</v>
      </c>
    </row>
    <row r="1701" spans="1:15" x14ac:dyDescent="0.3">
      <c r="A1701" s="384" t="b">
        <v>0</v>
      </c>
      <c r="B1701" s="384"/>
      <c r="C1701" s="384" t="s">
        <v>3327</v>
      </c>
      <c r="D1701" s="389">
        <v>11</v>
      </c>
      <c r="E1701" s="386"/>
      <c r="F1701" s="388"/>
      <c r="G1701" s="387"/>
      <c r="H1701" s="387"/>
      <c r="I1701" s="388"/>
      <c r="J1701" s="388"/>
      <c r="K1701" s="384" t="str">
        <f ca="1">IFERROR(VLOOKUP(C1701,' Disaggregation - Section E '!A$618:J2027,3,0),"")</f>
        <v>TCS-1.1⁽ᴹ⁾ Percentage of people on ART among all people living with HIV at the end of the reporting period</v>
      </c>
      <c r="L1701" s="384"/>
      <c r="M1701" s="384"/>
      <c r="N1701" s="388"/>
      <c r="O1701" s="384" t="s">
        <v>2676</v>
      </c>
    </row>
    <row r="1702" spans="1:15" x14ac:dyDescent="0.3">
      <c r="A1702" s="384" t="b">
        <v>0</v>
      </c>
      <c r="B1702" s="384"/>
      <c r="C1702" s="384" t="s">
        <v>3328</v>
      </c>
      <c r="D1702" s="389">
        <v>11</v>
      </c>
      <c r="E1702" s="386"/>
      <c r="F1702" s="388"/>
      <c r="G1702" s="387"/>
      <c r="H1702" s="387"/>
      <c r="I1702" s="388"/>
      <c r="J1702" s="388"/>
      <c r="K1702" s="384" t="str">
        <f ca="1">IFERROR(VLOOKUP(C1702,' Disaggregation - Section E '!A$618:J2028,3,0),"")</f>
        <v>TCS-1.1⁽ᴹ⁾ Percentage of people on ART among all people living with HIV at the end of the reporting period</v>
      </c>
      <c r="L1702" s="384"/>
      <c r="M1702" s="384"/>
      <c r="N1702" s="388"/>
      <c r="O1702" s="384" t="s">
        <v>2676</v>
      </c>
    </row>
    <row r="1703" spans="1:15" x14ac:dyDescent="0.3">
      <c r="A1703" s="384" t="b">
        <v>0</v>
      </c>
      <c r="B1703" s="384"/>
      <c r="C1703" s="384" t="s">
        <v>3329</v>
      </c>
      <c r="D1703" s="389">
        <v>11</v>
      </c>
      <c r="E1703" s="386"/>
      <c r="F1703" s="388"/>
      <c r="G1703" s="387"/>
      <c r="H1703" s="387"/>
      <c r="I1703" s="388"/>
      <c r="J1703" s="388"/>
      <c r="K1703" s="384" t="str">
        <f ca="1">IFERROR(VLOOKUP(C1703,' Disaggregation - Section E '!A$618:J2029,3,0),"")</f>
        <v>TCS-1.1⁽ᴹ⁾ Percentage of people on ART among all people living with HIV at the end of the reporting period</v>
      </c>
      <c r="L1703" s="384"/>
      <c r="M1703" s="384"/>
      <c r="N1703" s="388"/>
      <c r="O1703" s="384" t="s">
        <v>2676</v>
      </c>
    </row>
    <row r="1704" spans="1:15" x14ac:dyDescent="0.3">
      <c r="A1704" s="384" t="b">
        <v>0</v>
      </c>
      <c r="B1704" s="384"/>
      <c r="C1704" s="384" t="s">
        <v>3330</v>
      </c>
      <c r="D1704" s="389">
        <v>11</v>
      </c>
      <c r="E1704" s="386"/>
      <c r="F1704" s="388"/>
      <c r="G1704" s="387"/>
      <c r="H1704" s="387"/>
      <c r="I1704" s="388"/>
      <c r="J1704" s="388"/>
      <c r="K1704" s="384" t="str">
        <f ca="1">IFERROR(VLOOKUP(C1704,' Disaggregation - Section E '!A$618:J2030,3,0),"")</f>
        <v>TCS-1.1⁽ᴹ⁾ Percentage of people on ART among all people living with HIV at the end of the reporting period</v>
      </c>
      <c r="L1704" s="384"/>
      <c r="M1704" s="384"/>
      <c r="N1704" s="388"/>
      <c r="O1704" s="384" t="s">
        <v>2676</v>
      </c>
    </row>
    <row r="1705" spans="1:15" x14ac:dyDescent="0.3">
      <c r="A1705" s="384" t="b">
        <v>0</v>
      </c>
      <c r="B1705" s="384"/>
      <c r="C1705" s="384" t="s">
        <v>3331</v>
      </c>
      <c r="D1705" s="389">
        <v>11</v>
      </c>
      <c r="E1705" s="386"/>
      <c r="F1705" s="388"/>
      <c r="G1705" s="387"/>
      <c r="H1705" s="387"/>
      <c r="I1705" s="388"/>
      <c r="J1705" s="388"/>
      <c r="K1705" s="384" t="str">
        <f ca="1">IFERROR(VLOOKUP(C1705,' Disaggregation - Section E '!A$618:J2031,3,0),"")</f>
        <v>TCS-1.1⁽ᴹ⁾ Percentage of people on ART among all people living with HIV at the end of the reporting period</v>
      </c>
      <c r="L1705" s="384"/>
      <c r="M1705" s="384"/>
      <c r="N1705" s="388"/>
      <c r="O1705" s="384" t="s">
        <v>2676</v>
      </c>
    </row>
    <row r="1706" spans="1:15" x14ac:dyDescent="0.3">
      <c r="A1706" s="384" t="b">
        <v>0</v>
      </c>
      <c r="B1706" s="384"/>
      <c r="C1706" s="384" t="s">
        <v>3332</v>
      </c>
      <c r="D1706" s="389">
        <v>11</v>
      </c>
      <c r="E1706" s="386"/>
      <c r="F1706" s="388"/>
      <c r="G1706" s="387"/>
      <c r="H1706" s="387"/>
      <c r="I1706" s="388"/>
      <c r="J1706" s="388"/>
      <c r="K1706" s="384" t="str">
        <f ca="1">IFERROR(VLOOKUP(C1706,' Disaggregation - Section E '!A$618:J2032,3,0),"")</f>
        <v>TCS-1.1⁽ᴹ⁾ Percentage of people on ART among all people living with HIV at the end of the reporting period</v>
      </c>
      <c r="L1706" s="384"/>
      <c r="M1706" s="384"/>
      <c r="N1706" s="388"/>
      <c r="O1706" s="384" t="s">
        <v>2676</v>
      </c>
    </row>
    <row r="1707" spans="1:15" x14ac:dyDescent="0.3">
      <c r="A1707" s="384" t="b">
        <v>0</v>
      </c>
      <c r="B1707" s="384"/>
      <c r="C1707" s="384" t="s">
        <v>3333</v>
      </c>
      <c r="D1707" s="389">
        <v>11</v>
      </c>
      <c r="E1707" s="386"/>
      <c r="F1707" s="388"/>
      <c r="G1707" s="387"/>
      <c r="H1707" s="387"/>
      <c r="I1707" s="388"/>
      <c r="J1707" s="388"/>
      <c r="K1707" s="384" t="str">
        <f ca="1">IFERROR(VLOOKUP(C1707,' Disaggregation - Section E '!A$618:J2033,3,0),"")</f>
        <v>TCS-1.1⁽ᴹ⁾ Percentage of people on ART among all people living with HIV at the end of the reporting period</v>
      </c>
      <c r="L1707" s="384"/>
      <c r="M1707" s="384"/>
      <c r="N1707" s="388"/>
      <c r="O1707" s="384" t="s">
        <v>2676</v>
      </c>
    </row>
    <row r="1708" spans="1:15" x14ac:dyDescent="0.3">
      <c r="A1708" s="384" t="b">
        <v>0</v>
      </c>
      <c r="B1708" s="384"/>
      <c r="C1708" s="384" t="s">
        <v>3334</v>
      </c>
      <c r="D1708" s="389">
        <v>11</v>
      </c>
      <c r="E1708" s="386"/>
      <c r="F1708" s="388"/>
      <c r="G1708" s="387"/>
      <c r="H1708" s="387"/>
      <c r="I1708" s="388"/>
      <c r="J1708" s="388"/>
      <c r="K1708" s="384" t="str">
        <f ca="1">IFERROR(VLOOKUP(C1708,' Disaggregation - Section E '!A$618:J2034,3,0),"")</f>
        <v>TCS-1.1⁽ᴹ⁾ Percentage of people on ART among all people living with HIV at the end of the reporting period</v>
      </c>
      <c r="L1708" s="384"/>
      <c r="M1708" s="384"/>
      <c r="N1708" s="388"/>
      <c r="O1708" s="384" t="s">
        <v>2676</v>
      </c>
    </row>
    <row r="1709" spans="1:15" x14ac:dyDescent="0.3">
      <c r="A1709" s="384" t="b">
        <v>0</v>
      </c>
      <c r="B1709" s="384"/>
      <c r="C1709" s="384" t="s">
        <v>3335</v>
      </c>
      <c r="D1709" s="389">
        <v>11</v>
      </c>
      <c r="E1709" s="386"/>
      <c r="F1709" s="388"/>
      <c r="G1709" s="387"/>
      <c r="H1709" s="387"/>
      <c r="I1709" s="388"/>
      <c r="J1709" s="388"/>
      <c r="K1709" s="384" t="str">
        <f ca="1">IFERROR(VLOOKUP(C1709,' Disaggregation - Section E '!A$618:J2035,3,0),"")</f>
        <v>TCS-1.1⁽ᴹ⁾ Percentage of people on ART among all people living with HIV at the end of the reporting period</v>
      </c>
      <c r="L1709" s="384"/>
      <c r="M1709" s="384"/>
      <c r="N1709" s="388"/>
      <c r="O1709" s="384" t="s">
        <v>2676</v>
      </c>
    </row>
    <row r="1710" spans="1:15" x14ac:dyDescent="0.3">
      <c r="A1710" s="384" t="b">
        <v>0</v>
      </c>
      <c r="B1710" s="384"/>
      <c r="C1710" s="384" t="s">
        <v>3336</v>
      </c>
      <c r="D1710" s="389">
        <v>11</v>
      </c>
      <c r="E1710" s="386"/>
      <c r="F1710" s="388"/>
      <c r="G1710" s="387"/>
      <c r="H1710" s="387"/>
      <c r="I1710" s="388"/>
      <c r="J1710" s="388"/>
      <c r="K1710" s="384" t="str">
        <f ca="1">IFERROR(VLOOKUP(C1710,' Disaggregation - Section E '!A$618:J2036,3,0),"")</f>
        <v>TCS-1.1⁽ᴹ⁾ Percentage of people on ART among all people living with HIV at the end of the reporting period</v>
      </c>
      <c r="L1710" s="384"/>
      <c r="M1710" s="384"/>
      <c r="N1710" s="388"/>
      <c r="O1710" s="384" t="s">
        <v>2676</v>
      </c>
    </row>
    <row r="1711" spans="1:15" x14ac:dyDescent="0.3">
      <c r="A1711" s="384" t="b">
        <v>0</v>
      </c>
      <c r="B1711" s="384"/>
      <c r="C1711" s="384" t="s">
        <v>3337</v>
      </c>
      <c r="D1711" s="389">
        <v>11</v>
      </c>
      <c r="E1711" s="386"/>
      <c r="F1711" s="388"/>
      <c r="G1711" s="387"/>
      <c r="H1711" s="387"/>
      <c r="I1711" s="388"/>
      <c r="J1711" s="388"/>
      <c r="K1711" s="384" t="str">
        <f ca="1">IFERROR(VLOOKUP(C1711,' Disaggregation - Section E '!A$618:J2037,3,0),"")</f>
        <v>TCS-1.1⁽ᴹ⁾ Percentage of people on ART among all people living with HIV at the end of the reporting period</v>
      </c>
      <c r="L1711" s="384"/>
      <c r="M1711" s="384"/>
      <c r="N1711" s="388"/>
      <c r="O1711" s="384" t="s">
        <v>2676</v>
      </c>
    </row>
    <row r="1712" spans="1:15" x14ac:dyDescent="0.3">
      <c r="A1712" s="384" t="b">
        <v>0</v>
      </c>
      <c r="B1712" s="384"/>
      <c r="C1712" s="384" t="s">
        <v>3338</v>
      </c>
      <c r="D1712" s="389">
        <v>11</v>
      </c>
      <c r="E1712" s="386"/>
      <c r="F1712" s="388"/>
      <c r="G1712" s="387"/>
      <c r="H1712" s="387"/>
      <c r="I1712" s="388"/>
      <c r="J1712" s="388"/>
      <c r="K1712" s="384" t="str">
        <f ca="1">IFERROR(VLOOKUP(C1712,' Disaggregation - Section E '!A$618:J2038,3,0),"")</f>
        <v>TCS-1.1⁽ᴹ⁾ Percentage of people on ART among all people living with HIV at the end of the reporting period</v>
      </c>
      <c r="L1712" s="384"/>
      <c r="M1712" s="384"/>
      <c r="N1712" s="388"/>
      <c r="O1712" s="384" t="s">
        <v>2676</v>
      </c>
    </row>
    <row r="1713" spans="1:15" x14ac:dyDescent="0.3">
      <c r="A1713" s="384" t="b">
        <v>0</v>
      </c>
      <c r="B1713" s="384"/>
      <c r="C1713" s="384" t="s">
        <v>3339</v>
      </c>
      <c r="D1713" s="389">
        <v>11</v>
      </c>
      <c r="E1713" s="386"/>
      <c r="F1713" s="388"/>
      <c r="G1713" s="387"/>
      <c r="H1713" s="387"/>
      <c r="I1713" s="388"/>
      <c r="J1713" s="388"/>
      <c r="K1713" s="384" t="str">
        <f ca="1">IFERROR(VLOOKUP(C1713,' Disaggregation - Section E '!A$618:J2039,3,0),"")</f>
        <v>TCS-1.1⁽ᴹ⁾ Percentage of people on ART among all people living with HIV at the end of the reporting period</v>
      </c>
      <c r="L1713" s="384"/>
      <c r="M1713" s="384"/>
      <c r="N1713" s="388"/>
      <c r="O1713" s="384" t="s">
        <v>2676</v>
      </c>
    </row>
    <row r="1714" spans="1:15" x14ac:dyDescent="0.3">
      <c r="A1714" s="384" t="b">
        <v>0</v>
      </c>
      <c r="B1714" s="384"/>
      <c r="C1714" s="384" t="s">
        <v>3340</v>
      </c>
      <c r="D1714" s="389">
        <v>11</v>
      </c>
      <c r="E1714" s="386"/>
      <c r="F1714" s="388"/>
      <c r="G1714" s="387"/>
      <c r="H1714" s="387"/>
      <c r="I1714" s="388"/>
      <c r="J1714" s="388"/>
      <c r="K1714" s="384" t="str">
        <f ca="1">IFERROR(VLOOKUP(C1714,' Disaggregation - Section E '!A$618:J2040,3,0),"")</f>
        <v>TCS-1.1⁽ᴹ⁾ Percentage of people on ART among all people living with HIV at the end of the reporting period</v>
      </c>
      <c r="L1714" s="384"/>
      <c r="M1714" s="384"/>
      <c r="N1714" s="388"/>
      <c r="O1714" s="384" t="s">
        <v>2676</v>
      </c>
    </row>
    <row r="1715" spans="1:15" x14ac:dyDescent="0.3">
      <c r="A1715" s="384" t="b">
        <v>0</v>
      </c>
      <c r="B1715" s="384"/>
      <c r="C1715" s="384" t="s">
        <v>3341</v>
      </c>
      <c r="D1715" s="389">
        <v>12</v>
      </c>
      <c r="E1715" s="386"/>
      <c r="F1715" s="388"/>
      <c r="G1715" s="387"/>
      <c r="H1715" s="387"/>
      <c r="I1715" s="388"/>
      <c r="J1715" s="388"/>
      <c r="K1715" s="384" t="str">
        <f ca="1">IFERROR(VLOOKUP(C1715,' Disaggregation - Section E '!A$618:J2041,3,0),"")</f>
        <v>TCS-1b⁽ᴹ⁾ Percentage of adults (15 and above) on ART among all adults living with HIV at the end of the reporting period</v>
      </c>
      <c r="L1715" s="384"/>
      <c r="M1715" s="384"/>
      <c r="N1715" s="388"/>
      <c r="O1715" s="384" t="s">
        <v>2683</v>
      </c>
    </row>
    <row r="1716" spans="1:15" x14ac:dyDescent="0.3">
      <c r="A1716" s="384" t="b">
        <v>0</v>
      </c>
      <c r="B1716" s="384"/>
      <c r="C1716" s="384" t="s">
        <v>3342</v>
      </c>
      <c r="D1716" s="389">
        <v>12</v>
      </c>
      <c r="E1716" s="386"/>
      <c r="F1716" s="388"/>
      <c r="G1716" s="387"/>
      <c r="H1716" s="387"/>
      <c r="I1716" s="388"/>
      <c r="J1716" s="388"/>
      <c r="K1716" s="384" t="str">
        <f ca="1">IFERROR(VLOOKUP(C1716,' Disaggregation - Section E '!A$618:J2042,3,0),"")</f>
        <v>TCS-1b⁽ᴹ⁾ Percentage of adults (15 and above) on ART among all adults living with HIV at the end of the reporting period</v>
      </c>
      <c r="L1716" s="384"/>
      <c r="M1716" s="384"/>
      <c r="N1716" s="388"/>
      <c r="O1716" s="384" t="s">
        <v>2683</v>
      </c>
    </row>
    <row r="1717" spans="1:15" x14ac:dyDescent="0.3">
      <c r="A1717" s="384" t="b">
        <v>0</v>
      </c>
      <c r="B1717" s="384"/>
      <c r="C1717" s="384" t="s">
        <v>3343</v>
      </c>
      <c r="D1717" s="389">
        <v>12</v>
      </c>
      <c r="E1717" s="386"/>
      <c r="F1717" s="388"/>
      <c r="G1717" s="387"/>
      <c r="H1717" s="387"/>
      <c r="I1717" s="388"/>
      <c r="J1717" s="388"/>
      <c r="K1717" s="384" t="str">
        <f ca="1">IFERROR(VLOOKUP(C1717,' Disaggregation - Section E '!A$618:J2043,3,0),"")</f>
        <v>TCS-1b⁽ᴹ⁾ Percentage of adults (15 and above) on ART among all adults living with HIV at the end of the reporting period</v>
      </c>
      <c r="L1717" s="384"/>
      <c r="M1717" s="384"/>
      <c r="N1717" s="388"/>
      <c r="O1717" s="384" t="s">
        <v>2683</v>
      </c>
    </row>
    <row r="1718" spans="1:15" x14ac:dyDescent="0.3">
      <c r="A1718" s="384" t="b">
        <v>0</v>
      </c>
      <c r="B1718" s="384"/>
      <c r="C1718" s="384" t="s">
        <v>3344</v>
      </c>
      <c r="D1718" s="389">
        <v>12</v>
      </c>
      <c r="E1718" s="386"/>
      <c r="F1718" s="388"/>
      <c r="G1718" s="387"/>
      <c r="H1718" s="387"/>
      <c r="I1718" s="388"/>
      <c r="J1718" s="388"/>
      <c r="K1718" s="384" t="str">
        <f ca="1">IFERROR(VLOOKUP(C1718,' Disaggregation - Section E '!A$618:J2044,3,0),"")</f>
        <v>TCS-1b⁽ᴹ⁾ Percentage of adults (15 and above) on ART among all adults living with HIV at the end of the reporting period</v>
      </c>
      <c r="L1718" s="384"/>
      <c r="M1718" s="384"/>
      <c r="N1718" s="388"/>
      <c r="O1718" s="384" t="s">
        <v>2683</v>
      </c>
    </row>
    <row r="1719" spans="1:15" x14ac:dyDescent="0.3">
      <c r="A1719" s="384" t="b">
        <v>0</v>
      </c>
      <c r="B1719" s="384"/>
      <c r="C1719" s="384" t="s">
        <v>3345</v>
      </c>
      <c r="D1719" s="389">
        <v>12</v>
      </c>
      <c r="E1719" s="386"/>
      <c r="F1719" s="388"/>
      <c r="G1719" s="387"/>
      <c r="H1719" s="387"/>
      <c r="I1719" s="388"/>
      <c r="J1719" s="388"/>
      <c r="K1719" s="384" t="str">
        <f ca="1">IFERROR(VLOOKUP(C1719,' Disaggregation - Section E '!A$618:J2045,3,0),"")</f>
        <v>TCS-1b⁽ᴹ⁾ Percentage of adults (15 and above) on ART among all adults living with HIV at the end of the reporting period</v>
      </c>
      <c r="L1719" s="384"/>
      <c r="M1719" s="384"/>
      <c r="N1719" s="388"/>
      <c r="O1719" s="384" t="s">
        <v>2683</v>
      </c>
    </row>
    <row r="1720" spans="1:15" x14ac:dyDescent="0.3">
      <c r="A1720" s="384" t="b">
        <v>0</v>
      </c>
      <c r="B1720" s="384"/>
      <c r="C1720" s="384" t="s">
        <v>3346</v>
      </c>
      <c r="D1720" s="389">
        <v>12</v>
      </c>
      <c r="E1720" s="386"/>
      <c r="F1720" s="388"/>
      <c r="G1720" s="387"/>
      <c r="H1720" s="387"/>
      <c r="I1720" s="388"/>
      <c r="J1720" s="388"/>
      <c r="K1720" s="384" t="str">
        <f ca="1">IFERROR(VLOOKUP(C1720,' Disaggregation - Section E '!A$618:J2046,3,0),"")</f>
        <v>TCS-1b⁽ᴹ⁾ Percentage of adults (15 and above) on ART among all adults living with HIV at the end of the reporting period</v>
      </c>
      <c r="L1720" s="384"/>
      <c r="M1720" s="384"/>
      <c r="N1720" s="388"/>
      <c r="O1720" s="384" t="s">
        <v>2683</v>
      </c>
    </row>
    <row r="1721" spans="1:15" x14ac:dyDescent="0.3">
      <c r="A1721" s="384" t="b">
        <v>0</v>
      </c>
      <c r="B1721" s="384"/>
      <c r="C1721" s="384" t="s">
        <v>3347</v>
      </c>
      <c r="D1721" s="389">
        <v>12</v>
      </c>
      <c r="E1721" s="386"/>
      <c r="F1721" s="388"/>
      <c r="G1721" s="387"/>
      <c r="H1721" s="387"/>
      <c r="I1721" s="388"/>
      <c r="J1721" s="388"/>
      <c r="K1721" s="384" t="str">
        <f ca="1">IFERROR(VLOOKUP(C1721,' Disaggregation - Section E '!A$618:J2047,3,0),"")</f>
        <v>TCS-1b⁽ᴹ⁾ Percentage of adults (15 and above) on ART among all adults living with HIV at the end of the reporting period</v>
      </c>
      <c r="L1721" s="384"/>
      <c r="M1721" s="384"/>
      <c r="N1721" s="388"/>
      <c r="O1721" s="384" t="s">
        <v>2683</v>
      </c>
    </row>
    <row r="1722" spans="1:15" x14ac:dyDescent="0.3">
      <c r="A1722" s="384" t="b">
        <v>0</v>
      </c>
      <c r="B1722" s="384"/>
      <c r="C1722" s="384" t="s">
        <v>3348</v>
      </c>
      <c r="D1722" s="389">
        <v>12</v>
      </c>
      <c r="E1722" s="386"/>
      <c r="F1722" s="388"/>
      <c r="G1722" s="387"/>
      <c r="H1722" s="387"/>
      <c r="I1722" s="388"/>
      <c r="J1722" s="388"/>
      <c r="K1722" s="384" t="str">
        <f ca="1">IFERROR(VLOOKUP(C1722,' Disaggregation - Section E '!A$618:J2048,3,0),"")</f>
        <v>TCS-1b⁽ᴹ⁾ Percentage of adults (15 and above) on ART among all adults living with HIV at the end of the reporting period</v>
      </c>
      <c r="L1722" s="384"/>
      <c r="M1722" s="384"/>
      <c r="N1722" s="388"/>
      <c r="O1722" s="384" t="s">
        <v>2683</v>
      </c>
    </row>
    <row r="1723" spans="1:15" x14ac:dyDescent="0.3">
      <c r="A1723" s="384" t="b">
        <v>0</v>
      </c>
      <c r="B1723" s="384"/>
      <c r="C1723" s="384" t="s">
        <v>3349</v>
      </c>
      <c r="D1723" s="389">
        <v>12</v>
      </c>
      <c r="E1723" s="386"/>
      <c r="F1723" s="388"/>
      <c r="G1723" s="387"/>
      <c r="H1723" s="387"/>
      <c r="I1723" s="388"/>
      <c r="J1723" s="388"/>
      <c r="K1723" s="384" t="str">
        <f ca="1">IFERROR(VLOOKUP(C1723,' Disaggregation - Section E '!A$618:J2049,3,0),"")</f>
        <v>TCS-1b⁽ᴹ⁾ Percentage of adults (15 and above) on ART among all adults living with HIV at the end of the reporting period</v>
      </c>
      <c r="L1723" s="384"/>
      <c r="M1723" s="384"/>
      <c r="N1723" s="388"/>
      <c r="O1723" s="384" t="s">
        <v>2683</v>
      </c>
    </row>
    <row r="1724" spans="1:15" x14ac:dyDescent="0.3">
      <c r="A1724" s="384" t="b">
        <v>0</v>
      </c>
      <c r="B1724" s="384"/>
      <c r="C1724" s="384" t="s">
        <v>3350</v>
      </c>
      <c r="D1724" s="389">
        <v>12</v>
      </c>
      <c r="E1724" s="386"/>
      <c r="F1724" s="388"/>
      <c r="G1724" s="387"/>
      <c r="H1724" s="387"/>
      <c r="I1724" s="388"/>
      <c r="J1724" s="388"/>
      <c r="K1724" s="384" t="str">
        <f ca="1">IFERROR(VLOOKUP(C1724,' Disaggregation - Section E '!A$618:J2050,3,0),"")</f>
        <v>TCS-1b⁽ᴹ⁾ Percentage of adults (15 and above) on ART among all adults living with HIV at the end of the reporting period</v>
      </c>
      <c r="L1724" s="384"/>
      <c r="M1724" s="384"/>
      <c r="N1724" s="388"/>
      <c r="O1724" s="384" t="s">
        <v>2683</v>
      </c>
    </row>
    <row r="1725" spans="1:15" x14ac:dyDescent="0.3">
      <c r="A1725" s="384" t="b">
        <v>0</v>
      </c>
      <c r="B1725" s="384"/>
      <c r="C1725" s="384" t="s">
        <v>3351</v>
      </c>
      <c r="D1725" s="389">
        <v>12</v>
      </c>
      <c r="E1725" s="386"/>
      <c r="F1725" s="388"/>
      <c r="G1725" s="387"/>
      <c r="H1725" s="387"/>
      <c r="I1725" s="388"/>
      <c r="J1725" s="388"/>
      <c r="K1725" s="384" t="str">
        <f ca="1">IFERROR(VLOOKUP(C1725,' Disaggregation - Section E '!A$618:J2051,3,0),"")</f>
        <v>TCS-1b⁽ᴹ⁾ Percentage of adults (15 and above) on ART among all adults living with HIV at the end of the reporting period</v>
      </c>
      <c r="L1725" s="384"/>
      <c r="M1725" s="384"/>
      <c r="N1725" s="388"/>
      <c r="O1725" s="384" t="s">
        <v>2683</v>
      </c>
    </row>
    <row r="1726" spans="1:15" x14ac:dyDescent="0.3">
      <c r="A1726" s="384" t="b">
        <v>0</v>
      </c>
      <c r="B1726" s="384"/>
      <c r="C1726" s="384" t="s">
        <v>3352</v>
      </c>
      <c r="D1726" s="389">
        <v>12</v>
      </c>
      <c r="E1726" s="386"/>
      <c r="F1726" s="388"/>
      <c r="G1726" s="387"/>
      <c r="H1726" s="387"/>
      <c r="I1726" s="388"/>
      <c r="J1726" s="388"/>
      <c r="K1726" s="384" t="str">
        <f ca="1">IFERROR(VLOOKUP(C1726,' Disaggregation - Section E '!A$618:J2052,3,0),"")</f>
        <v>TCS-1b⁽ᴹ⁾ Percentage of adults (15 and above) on ART among all adults living with HIV at the end of the reporting period</v>
      </c>
      <c r="L1726" s="384"/>
      <c r="M1726" s="384"/>
      <c r="N1726" s="388"/>
      <c r="O1726" s="384" t="s">
        <v>2683</v>
      </c>
    </row>
    <row r="1727" spans="1:15" x14ac:dyDescent="0.3">
      <c r="A1727" s="384" t="b">
        <v>0</v>
      </c>
      <c r="B1727" s="384"/>
      <c r="C1727" s="384" t="s">
        <v>3353</v>
      </c>
      <c r="D1727" s="389">
        <v>12</v>
      </c>
      <c r="E1727" s="386"/>
      <c r="F1727" s="388"/>
      <c r="G1727" s="387"/>
      <c r="H1727" s="387"/>
      <c r="I1727" s="388"/>
      <c r="J1727" s="388"/>
      <c r="K1727" s="384" t="str">
        <f ca="1">IFERROR(VLOOKUP(C1727,' Disaggregation - Section E '!A$618:J2053,3,0),"")</f>
        <v>TCS-1b⁽ᴹ⁾ Percentage of adults (15 and above) on ART among all adults living with HIV at the end of the reporting period</v>
      </c>
      <c r="L1727" s="384"/>
      <c r="M1727" s="384"/>
      <c r="N1727" s="388"/>
      <c r="O1727" s="384" t="s">
        <v>2683</v>
      </c>
    </row>
    <row r="1728" spans="1:15" x14ac:dyDescent="0.3">
      <c r="A1728" s="384" t="b">
        <v>0</v>
      </c>
      <c r="B1728" s="384"/>
      <c r="C1728" s="384" t="s">
        <v>3354</v>
      </c>
      <c r="D1728" s="389">
        <v>12</v>
      </c>
      <c r="E1728" s="386"/>
      <c r="F1728" s="388"/>
      <c r="G1728" s="387"/>
      <c r="H1728" s="387"/>
      <c r="I1728" s="388"/>
      <c r="J1728" s="388"/>
      <c r="K1728" s="384" t="str">
        <f ca="1">IFERROR(VLOOKUP(C1728,' Disaggregation - Section E '!A$618:J2054,3,0),"")</f>
        <v>TCS-1b⁽ᴹ⁾ Percentage of adults (15 and above) on ART among all adults living with HIV at the end of the reporting period</v>
      </c>
      <c r="L1728" s="384"/>
      <c r="M1728" s="384"/>
      <c r="N1728" s="388"/>
      <c r="O1728" s="384" t="s">
        <v>2683</v>
      </c>
    </row>
    <row r="1729" spans="1:15" x14ac:dyDescent="0.3">
      <c r="A1729" s="384" t="b">
        <v>0</v>
      </c>
      <c r="B1729" s="384"/>
      <c r="C1729" s="384" t="s">
        <v>3355</v>
      </c>
      <c r="D1729" s="389">
        <v>12</v>
      </c>
      <c r="E1729" s="386"/>
      <c r="F1729" s="388"/>
      <c r="G1729" s="387"/>
      <c r="H1729" s="387"/>
      <c r="I1729" s="388"/>
      <c r="J1729" s="388"/>
      <c r="K1729" s="384" t="str">
        <f ca="1">IFERROR(VLOOKUP(C1729,' Disaggregation - Section E '!A$618:J2055,3,0),"")</f>
        <v>TCS-1b⁽ᴹ⁾ Percentage of adults (15 and above) on ART among all adults living with HIV at the end of the reporting period</v>
      </c>
      <c r="L1729" s="384"/>
      <c r="M1729" s="384"/>
      <c r="N1729" s="388"/>
      <c r="O1729" s="384" t="s">
        <v>2683</v>
      </c>
    </row>
    <row r="1730" spans="1:15" x14ac:dyDescent="0.3">
      <c r="A1730" s="384" t="b">
        <v>0</v>
      </c>
      <c r="B1730" s="384"/>
      <c r="C1730" s="384" t="s">
        <v>3356</v>
      </c>
      <c r="D1730" s="389">
        <v>12</v>
      </c>
      <c r="E1730" s="386"/>
      <c r="F1730" s="388"/>
      <c r="G1730" s="387"/>
      <c r="H1730" s="387"/>
      <c r="I1730" s="388"/>
      <c r="J1730" s="388"/>
      <c r="K1730" s="384" t="str">
        <f ca="1">IFERROR(VLOOKUP(C1730,' Disaggregation - Section E '!A$618:J2056,3,0),"")</f>
        <v>TCS-1b⁽ᴹ⁾ Percentage of adults (15 and above) on ART among all adults living with HIV at the end of the reporting period</v>
      </c>
      <c r="L1730" s="384"/>
      <c r="M1730" s="384"/>
      <c r="N1730" s="388"/>
      <c r="O1730" s="384" t="s">
        <v>2683</v>
      </c>
    </row>
    <row r="1731" spans="1:15" x14ac:dyDescent="0.3">
      <c r="A1731" s="384" t="b">
        <v>0</v>
      </c>
      <c r="B1731" s="384"/>
      <c r="C1731" s="384" t="s">
        <v>3357</v>
      </c>
      <c r="D1731" s="389">
        <v>12</v>
      </c>
      <c r="E1731" s="386"/>
      <c r="F1731" s="388"/>
      <c r="G1731" s="387"/>
      <c r="H1731" s="387"/>
      <c r="I1731" s="388"/>
      <c r="J1731" s="388"/>
      <c r="K1731" s="384" t="str">
        <f ca="1">IFERROR(VLOOKUP(C1731,' Disaggregation - Section E '!A$618:J2057,3,0),"")</f>
        <v>TCS-1b⁽ᴹ⁾ Percentage of adults (15 and above) on ART among all adults living with HIV at the end of the reporting period</v>
      </c>
      <c r="L1731" s="384"/>
      <c r="M1731" s="384"/>
      <c r="N1731" s="388"/>
      <c r="O1731" s="384" t="s">
        <v>2683</v>
      </c>
    </row>
    <row r="1732" spans="1:15" x14ac:dyDescent="0.3">
      <c r="A1732" s="384" t="b">
        <v>0</v>
      </c>
      <c r="B1732" s="384"/>
      <c r="C1732" s="384" t="s">
        <v>3358</v>
      </c>
      <c r="D1732" s="389">
        <v>12</v>
      </c>
      <c r="E1732" s="386"/>
      <c r="F1732" s="388"/>
      <c r="G1732" s="387"/>
      <c r="H1732" s="387"/>
      <c r="I1732" s="388"/>
      <c r="J1732" s="388"/>
      <c r="K1732" s="384" t="str">
        <f ca="1">IFERROR(VLOOKUP(C1732,' Disaggregation - Section E '!A$618:J2058,3,0),"")</f>
        <v>TCS-1b⁽ᴹ⁾ Percentage of adults (15 and above) on ART among all adults living with HIV at the end of the reporting period</v>
      </c>
      <c r="L1732" s="384"/>
      <c r="M1732" s="384"/>
      <c r="N1732" s="388"/>
      <c r="O1732" s="384" t="s">
        <v>2683</v>
      </c>
    </row>
    <row r="1733" spans="1:15" x14ac:dyDescent="0.3">
      <c r="A1733" s="384" t="b">
        <v>0</v>
      </c>
      <c r="B1733" s="384"/>
      <c r="C1733" s="384" t="s">
        <v>3359</v>
      </c>
      <c r="D1733" s="389">
        <v>12</v>
      </c>
      <c r="E1733" s="386"/>
      <c r="F1733" s="388"/>
      <c r="G1733" s="387"/>
      <c r="H1733" s="387"/>
      <c r="I1733" s="388"/>
      <c r="J1733" s="388"/>
      <c r="K1733" s="384" t="str">
        <f ca="1">IFERROR(VLOOKUP(C1733,' Disaggregation - Section E '!A$618:J2059,3,0),"")</f>
        <v>TCS-1b⁽ᴹ⁾ Percentage of adults (15 and above) on ART among all adults living with HIV at the end of the reporting period</v>
      </c>
      <c r="L1733" s="384"/>
      <c r="M1733" s="384"/>
      <c r="N1733" s="388"/>
      <c r="O1733" s="384" t="s">
        <v>2683</v>
      </c>
    </row>
    <row r="1734" spans="1:15" x14ac:dyDescent="0.3">
      <c r="A1734" s="384" t="b">
        <v>0</v>
      </c>
      <c r="B1734" s="384"/>
      <c r="C1734" s="384" t="s">
        <v>3360</v>
      </c>
      <c r="D1734" s="389">
        <v>12</v>
      </c>
      <c r="E1734" s="386"/>
      <c r="F1734" s="388"/>
      <c r="G1734" s="387"/>
      <c r="H1734" s="387"/>
      <c r="I1734" s="388"/>
      <c r="J1734" s="388"/>
      <c r="K1734" s="384" t="str">
        <f ca="1">IFERROR(VLOOKUP(C1734,' Disaggregation - Section E '!A$618:J2060,3,0),"")</f>
        <v>TCS-1b⁽ᴹ⁾ Percentage of adults (15 and above) on ART among all adults living with HIV at the end of the reporting period</v>
      </c>
      <c r="L1734" s="384"/>
      <c r="M1734" s="384"/>
      <c r="N1734" s="388"/>
      <c r="O1734" s="384" t="s">
        <v>2683</v>
      </c>
    </row>
    <row r="1735" spans="1:15" x14ac:dyDescent="0.3">
      <c r="A1735" s="384" t="b">
        <v>0</v>
      </c>
      <c r="B1735" s="384"/>
      <c r="C1735" s="384" t="s">
        <v>3361</v>
      </c>
      <c r="D1735" s="389">
        <v>13</v>
      </c>
      <c r="E1735" s="386"/>
      <c r="F1735" s="388"/>
      <c r="G1735" s="387"/>
      <c r="H1735" s="387"/>
      <c r="I1735" s="388"/>
      <c r="J1735" s="388"/>
      <c r="K1735" s="384" t="str">
        <f ca="1">IFERROR(VLOOKUP(C1735,' Disaggregation - Section E '!A$618:J2061,3,0),"")</f>
        <v>TCS-1c⁽ᴹ⁾ Percentage of children (under 15) on ART among all children living with HIV at the end of the reporting period</v>
      </c>
      <c r="L1735" s="384"/>
      <c r="M1735" s="384"/>
      <c r="N1735" s="388"/>
      <c r="O1735" s="384" t="s">
        <v>2690</v>
      </c>
    </row>
    <row r="1736" spans="1:15" x14ac:dyDescent="0.3">
      <c r="A1736" s="384" t="b">
        <v>0</v>
      </c>
      <c r="B1736" s="384"/>
      <c r="C1736" s="384" t="s">
        <v>3362</v>
      </c>
      <c r="D1736" s="389">
        <v>13</v>
      </c>
      <c r="E1736" s="386"/>
      <c r="F1736" s="388"/>
      <c r="G1736" s="387"/>
      <c r="H1736" s="387"/>
      <c r="I1736" s="388"/>
      <c r="J1736" s="388"/>
      <c r="K1736" s="384" t="str">
        <f ca="1">IFERROR(VLOOKUP(C1736,' Disaggregation - Section E '!A$618:J2062,3,0),"")</f>
        <v>TCS-1c⁽ᴹ⁾ Percentage of children (under 15) on ART among all children living with HIV at the end of the reporting period</v>
      </c>
      <c r="L1736" s="384"/>
      <c r="M1736" s="384"/>
      <c r="N1736" s="388"/>
      <c r="O1736" s="384" t="s">
        <v>2690</v>
      </c>
    </row>
    <row r="1737" spans="1:15" x14ac:dyDescent="0.3">
      <c r="A1737" s="384" t="b">
        <v>0</v>
      </c>
      <c r="B1737" s="384"/>
      <c r="C1737" s="384" t="s">
        <v>3363</v>
      </c>
      <c r="D1737" s="389">
        <v>13</v>
      </c>
      <c r="E1737" s="386"/>
      <c r="F1737" s="388"/>
      <c r="G1737" s="387"/>
      <c r="H1737" s="387"/>
      <c r="I1737" s="388"/>
      <c r="J1737" s="388"/>
      <c r="K1737" s="384" t="str">
        <f ca="1">IFERROR(VLOOKUP(C1737,' Disaggregation - Section E '!A$618:J2063,3,0),"")</f>
        <v>TCS-1c⁽ᴹ⁾ Percentage of children (under 15) on ART among all children living with HIV at the end of the reporting period</v>
      </c>
      <c r="L1737" s="384"/>
      <c r="M1737" s="384"/>
      <c r="N1737" s="388"/>
      <c r="O1737" s="384" t="s">
        <v>2690</v>
      </c>
    </row>
    <row r="1738" spans="1:15" x14ac:dyDescent="0.3">
      <c r="A1738" s="384" t="b">
        <v>0</v>
      </c>
      <c r="B1738" s="384"/>
      <c r="C1738" s="384" t="s">
        <v>3364</v>
      </c>
      <c r="D1738" s="389">
        <v>13</v>
      </c>
      <c r="E1738" s="386"/>
      <c r="F1738" s="388"/>
      <c r="G1738" s="387"/>
      <c r="H1738" s="387"/>
      <c r="I1738" s="388"/>
      <c r="J1738" s="388"/>
      <c r="K1738" s="384" t="str">
        <f ca="1">IFERROR(VLOOKUP(C1738,' Disaggregation - Section E '!A$618:J2064,3,0),"")</f>
        <v>TCS-1c⁽ᴹ⁾ Percentage of children (under 15) on ART among all children living with HIV at the end of the reporting period</v>
      </c>
      <c r="L1738" s="384"/>
      <c r="M1738" s="384"/>
      <c r="N1738" s="388"/>
      <c r="O1738" s="384" t="s">
        <v>2690</v>
      </c>
    </row>
    <row r="1739" spans="1:15" x14ac:dyDescent="0.3">
      <c r="A1739" s="384" t="b">
        <v>0</v>
      </c>
      <c r="B1739" s="384"/>
      <c r="C1739" s="384" t="s">
        <v>3365</v>
      </c>
      <c r="D1739" s="389">
        <v>13</v>
      </c>
      <c r="E1739" s="386"/>
      <c r="F1739" s="388"/>
      <c r="G1739" s="387"/>
      <c r="H1739" s="387"/>
      <c r="I1739" s="388"/>
      <c r="J1739" s="388"/>
      <c r="K1739" s="384" t="str">
        <f ca="1">IFERROR(VLOOKUP(C1739,' Disaggregation - Section E '!A$618:J2065,3,0),"")</f>
        <v>TCS-1c⁽ᴹ⁾ Percentage of children (under 15) on ART among all children living with HIV at the end of the reporting period</v>
      </c>
      <c r="L1739" s="384"/>
      <c r="M1739" s="384"/>
      <c r="N1739" s="388"/>
      <c r="O1739" s="384" t="s">
        <v>2690</v>
      </c>
    </row>
    <row r="1740" spans="1:15" x14ac:dyDescent="0.3">
      <c r="A1740" s="384" t="b">
        <v>0</v>
      </c>
      <c r="B1740" s="384"/>
      <c r="C1740" s="384" t="s">
        <v>3366</v>
      </c>
      <c r="D1740" s="389">
        <v>13</v>
      </c>
      <c r="E1740" s="386"/>
      <c r="F1740" s="388"/>
      <c r="G1740" s="387"/>
      <c r="H1740" s="387"/>
      <c r="I1740" s="388"/>
      <c r="J1740" s="388"/>
      <c r="K1740" s="384" t="str">
        <f ca="1">IFERROR(VLOOKUP(C1740,' Disaggregation - Section E '!A$618:J2066,3,0),"")</f>
        <v>TCS-1c⁽ᴹ⁾ Percentage of children (under 15) on ART among all children living with HIV at the end of the reporting period</v>
      </c>
      <c r="L1740" s="384"/>
      <c r="M1740" s="384"/>
      <c r="N1740" s="388"/>
      <c r="O1740" s="384" t="s">
        <v>2690</v>
      </c>
    </row>
    <row r="1741" spans="1:15" x14ac:dyDescent="0.3">
      <c r="A1741" s="384" t="b">
        <v>0</v>
      </c>
      <c r="B1741" s="384"/>
      <c r="C1741" s="384" t="s">
        <v>3367</v>
      </c>
      <c r="D1741" s="389">
        <v>13</v>
      </c>
      <c r="E1741" s="386"/>
      <c r="F1741" s="388"/>
      <c r="G1741" s="387"/>
      <c r="H1741" s="387"/>
      <c r="I1741" s="388"/>
      <c r="J1741" s="388"/>
      <c r="K1741" s="384" t="str">
        <f ca="1">IFERROR(VLOOKUP(C1741,' Disaggregation - Section E '!A$618:J2067,3,0),"")</f>
        <v>TCS-1c⁽ᴹ⁾ Percentage of children (under 15) on ART among all children living with HIV at the end of the reporting period</v>
      </c>
      <c r="L1741" s="384"/>
      <c r="M1741" s="384"/>
      <c r="N1741" s="388"/>
      <c r="O1741" s="384" t="s">
        <v>2690</v>
      </c>
    </row>
    <row r="1742" spans="1:15" x14ac:dyDescent="0.3">
      <c r="A1742" s="384" t="b">
        <v>0</v>
      </c>
      <c r="B1742" s="384"/>
      <c r="C1742" s="384" t="s">
        <v>3368</v>
      </c>
      <c r="D1742" s="389">
        <v>13</v>
      </c>
      <c r="E1742" s="386"/>
      <c r="F1742" s="388"/>
      <c r="G1742" s="387"/>
      <c r="H1742" s="387"/>
      <c r="I1742" s="388"/>
      <c r="J1742" s="388"/>
      <c r="K1742" s="384" t="str">
        <f ca="1">IFERROR(VLOOKUP(C1742,' Disaggregation - Section E '!A$618:J2068,3,0),"")</f>
        <v>TCS-1c⁽ᴹ⁾ Percentage of children (under 15) on ART among all children living with HIV at the end of the reporting period</v>
      </c>
      <c r="L1742" s="384"/>
      <c r="M1742" s="384"/>
      <c r="N1742" s="388"/>
      <c r="O1742" s="384" t="s">
        <v>2690</v>
      </c>
    </row>
    <row r="1743" spans="1:15" x14ac:dyDescent="0.3">
      <c r="A1743" s="384" t="b">
        <v>0</v>
      </c>
      <c r="B1743" s="384"/>
      <c r="C1743" s="384" t="s">
        <v>3369</v>
      </c>
      <c r="D1743" s="389">
        <v>13</v>
      </c>
      <c r="E1743" s="386"/>
      <c r="F1743" s="388"/>
      <c r="G1743" s="387"/>
      <c r="H1743" s="387"/>
      <c r="I1743" s="388"/>
      <c r="J1743" s="388"/>
      <c r="K1743" s="384" t="str">
        <f ca="1">IFERROR(VLOOKUP(C1743,' Disaggregation - Section E '!A$618:J2069,3,0),"")</f>
        <v>TCS-1c⁽ᴹ⁾ Percentage of children (under 15) on ART among all children living with HIV at the end of the reporting period</v>
      </c>
      <c r="L1743" s="384"/>
      <c r="M1743" s="384"/>
      <c r="N1743" s="388"/>
      <c r="O1743" s="384" t="s">
        <v>2690</v>
      </c>
    </row>
    <row r="1744" spans="1:15" x14ac:dyDescent="0.3">
      <c r="A1744" s="384" t="b">
        <v>0</v>
      </c>
      <c r="B1744" s="384"/>
      <c r="C1744" s="384" t="s">
        <v>3370</v>
      </c>
      <c r="D1744" s="389">
        <v>13</v>
      </c>
      <c r="E1744" s="386"/>
      <c r="F1744" s="388"/>
      <c r="G1744" s="387"/>
      <c r="H1744" s="387"/>
      <c r="I1744" s="388"/>
      <c r="J1744" s="388"/>
      <c r="K1744" s="384" t="str">
        <f ca="1">IFERROR(VLOOKUP(C1744,' Disaggregation - Section E '!A$618:J2070,3,0),"")</f>
        <v>TCS-1c⁽ᴹ⁾ Percentage of children (under 15) on ART among all children living with HIV at the end of the reporting period</v>
      </c>
      <c r="L1744" s="384"/>
      <c r="M1744" s="384"/>
      <c r="N1744" s="388"/>
      <c r="O1744" s="384" t="s">
        <v>2690</v>
      </c>
    </row>
    <row r="1745" spans="1:15" x14ac:dyDescent="0.3">
      <c r="A1745" s="384" t="b">
        <v>0</v>
      </c>
      <c r="B1745" s="384"/>
      <c r="C1745" s="384" t="s">
        <v>3371</v>
      </c>
      <c r="D1745" s="389">
        <v>13</v>
      </c>
      <c r="E1745" s="386"/>
      <c r="F1745" s="388"/>
      <c r="G1745" s="387"/>
      <c r="H1745" s="387"/>
      <c r="I1745" s="388"/>
      <c r="J1745" s="388"/>
      <c r="K1745" s="384" t="str">
        <f ca="1">IFERROR(VLOOKUP(C1745,' Disaggregation - Section E '!A$618:J2071,3,0),"")</f>
        <v>TCS-1c⁽ᴹ⁾ Percentage of children (under 15) on ART among all children living with HIV at the end of the reporting period</v>
      </c>
      <c r="L1745" s="384"/>
      <c r="M1745" s="384"/>
      <c r="N1745" s="388"/>
      <c r="O1745" s="384" t="s">
        <v>2690</v>
      </c>
    </row>
    <row r="1746" spans="1:15" x14ac:dyDescent="0.3">
      <c r="A1746" s="384" t="b">
        <v>0</v>
      </c>
      <c r="B1746" s="384"/>
      <c r="C1746" s="384" t="s">
        <v>3372</v>
      </c>
      <c r="D1746" s="389">
        <v>13</v>
      </c>
      <c r="E1746" s="386"/>
      <c r="F1746" s="388"/>
      <c r="G1746" s="387"/>
      <c r="H1746" s="387"/>
      <c r="I1746" s="388"/>
      <c r="J1746" s="388"/>
      <c r="K1746" s="384" t="str">
        <f ca="1">IFERROR(VLOOKUP(C1746,' Disaggregation - Section E '!A$618:J2072,3,0),"")</f>
        <v>TCS-1c⁽ᴹ⁾ Percentage of children (under 15) on ART among all children living with HIV at the end of the reporting period</v>
      </c>
      <c r="L1746" s="384"/>
      <c r="M1746" s="384"/>
      <c r="N1746" s="388"/>
      <c r="O1746" s="384" t="s">
        <v>2690</v>
      </c>
    </row>
    <row r="1747" spans="1:15" x14ac:dyDescent="0.3">
      <c r="A1747" s="384" t="b">
        <v>0</v>
      </c>
      <c r="B1747" s="384"/>
      <c r="C1747" s="384" t="s">
        <v>3373</v>
      </c>
      <c r="D1747" s="389">
        <v>13</v>
      </c>
      <c r="E1747" s="386"/>
      <c r="F1747" s="388"/>
      <c r="G1747" s="387"/>
      <c r="H1747" s="387"/>
      <c r="I1747" s="388"/>
      <c r="J1747" s="388"/>
      <c r="K1747" s="384" t="str">
        <f ca="1">IFERROR(VLOOKUP(C1747,' Disaggregation - Section E '!A$618:J2073,3,0),"")</f>
        <v>TCS-1c⁽ᴹ⁾ Percentage of children (under 15) on ART among all children living with HIV at the end of the reporting period</v>
      </c>
      <c r="L1747" s="384"/>
      <c r="M1747" s="384"/>
      <c r="N1747" s="388"/>
      <c r="O1747" s="384" t="s">
        <v>2690</v>
      </c>
    </row>
    <row r="1748" spans="1:15" x14ac:dyDescent="0.3">
      <c r="A1748" s="384" t="b">
        <v>0</v>
      </c>
      <c r="B1748" s="384"/>
      <c r="C1748" s="384" t="s">
        <v>3374</v>
      </c>
      <c r="D1748" s="389">
        <v>13</v>
      </c>
      <c r="E1748" s="386"/>
      <c r="F1748" s="388"/>
      <c r="G1748" s="387"/>
      <c r="H1748" s="387"/>
      <c r="I1748" s="388"/>
      <c r="J1748" s="388"/>
      <c r="K1748" s="384" t="str">
        <f ca="1">IFERROR(VLOOKUP(C1748,' Disaggregation - Section E '!A$618:J2074,3,0),"")</f>
        <v>TCS-1c⁽ᴹ⁾ Percentage of children (under 15) on ART among all children living with HIV at the end of the reporting period</v>
      </c>
      <c r="L1748" s="384"/>
      <c r="M1748" s="384"/>
      <c r="N1748" s="388"/>
      <c r="O1748" s="384" t="s">
        <v>2690</v>
      </c>
    </row>
    <row r="1749" spans="1:15" x14ac:dyDescent="0.3">
      <c r="A1749" s="384" t="b">
        <v>0</v>
      </c>
      <c r="B1749" s="384"/>
      <c r="C1749" s="384" t="s">
        <v>3375</v>
      </c>
      <c r="D1749" s="389">
        <v>13</v>
      </c>
      <c r="E1749" s="386"/>
      <c r="F1749" s="388"/>
      <c r="G1749" s="387"/>
      <c r="H1749" s="387"/>
      <c r="I1749" s="388"/>
      <c r="J1749" s="388"/>
      <c r="K1749" s="384" t="str">
        <f ca="1">IFERROR(VLOOKUP(C1749,' Disaggregation - Section E '!A$618:J2075,3,0),"")</f>
        <v>TCS-1c⁽ᴹ⁾ Percentage of children (under 15) on ART among all children living with HIV at the end of the reporting period</v>
      </c>
      <c r="L1749" s="384"/>
      <c r="M1749" s="384"/>
      <c r="N1749" s="388"/>
      <c r="O1749" s="384" t="s">
        <v>2690</v>
      </c>
    </row>
    <row r="1750" spans="1:15" x14ac:dyDescent="0.3">
      <c r="A1750" s="384" t="b">
        <v>0</v>
      </c>
      <c r="B1750" s="384"/>
      <c r="C1750" s="384" t="s">
        <v>3376</v>
      </c>
      <c r="D1750" s="389">
        <v>13</v>
      </c>
      <c r="E1750" s="386"/>
      <c r="F1750" s="388"/>
      <c r="G1750" s="387"/>
      <c r="H1750" s="387"/>
      <c r="I1750" s="388"/>
      <c r="J1750" s="388"/>
      <c r="K1750" s="384" t="str">
        <f ca="1">IFERROR(VLOOKUP(C1750,' Disaggregation - Section E '!A$618:J2076,3,0),"")</f>
        <v>TCS-1c⁽ᴹ⁾ Percentage of children (under 15) on ART among all children living with HIV at the end of the reporting period</v>
      </c>
      <c r="L1750" s="384"/>
      <c r="M1750" s="384"/>
      <c r="N1750" s="388"/>
      <c r="O1750" s="384" t="s">
        <v>2690</v>
      </c>
    </row>
    <row r="1751" spans="1:15" x14ac:dyDescent="0.3">
      <c r="A1751" s="384" t="b">
        <v>0</v>
      </c>
      <c r="B1751" s="384"/>
      <c r="C1751" s="384" t="s">
        <v>3377</v>
      </c>
      <c r="D1751" s="389">
        <v>13</v>
      </c>
      <c r="E1751" s="386"/>
      <c r="F1751" s="388"/>
      <c r="G1751" s="387"/>
      <c r="H1751" s="387"/>
      <c r="I1751" s="388"/>
      <c r="J1751" s="388"/>
      <c r="K1751" s="384" t="str">
        <f ca="1">IFERROR(VLOOKUP(C1751,' Disaggregation - Section E '!A$618:J2077,3,0),"")</f>
        <v>TCS-1c⁽ᴹ⁾ Percentage of children (under 15) on ART among all children living with HIV at the end of the reporting period</v>
      </c>
      <c r="L1751" s="384"/>
      <c r="M1751" s="384"/>
      <c r="N1751" s="388"/>
      <c r="O1751" s="384" t="s">
        <v>2690</v>
      </c>
    </row>
    <row r="1752" spans="1:15" x14ac:dyDescent="0.3">
      <c r="A1752" s="384" t="b">
        <v>0</v>
      </c>
      <c r="B1752" s="384"/>
      <c r="C1752" s="384" t="s">
        <v>3378</v>
      </c>
      <c r="D1752" s="389">
        <v>13</v>
      </c>
      <c r="E1752" s="386"/>
      <c r="F1752" s="388"/>
      <c r="G1752" s="387"/>
      <c r="H1752" s="387"/>
      <c r="I1752" s="388"/>
      <c r="J1752" s="388"/>
      <c r="K1752" s="384" t="str">
        <f ca="1">IFERROR(VLOOKUP(C1752,' Disaggregation - Section E '!A$618:J2078,3,0),"")</f>
        <v>TCS-1c⁽ᴹ⁾ Percentage of children (under 15) on ART among all children living with HIV at the end of the reporting period</v>
      </c>
      <c r="L1752" s="384"/>
      <c r="M1752" s="384"/>
      <c r="N1752" s="388"/>
      <c r="O1752" s="384" t="s">
        <v>2690</v>
      </c>
    </row>
    <row r="1753" spans="1:15" x14ac:dyDescent="0.3">
      <c r="A1753" s="384" t="b">
        <v>0</v>
      </c>
      <c r="B1753" s="384"/>
      <c r="C1753" s="384" t="s">
        <v>3379</v>
      </c>
      <c r="D1753" s="389">
        <v>13</v>
      </c>
      <c r="E1753" s="386"/>
      <c r="F1753" s="388"/>
      <c r="G1753" s="387"/>
      <c r="H1753" s="387"/>
      <c r="I1753" s="388"/>
      <c r="J1753" s="388"/>
      <c r="K1753" s="384" t="str">
        <f ca="1">IFERROR(VLOOKUP(C1753,' Disaggregation - Section E '!A$618:J2079,3,0),"")</f>
        <v>TCS-1c⁽ᴹ⁾ Percentage of children (under 15) on ART among all children living with HIV at the end of the reporting period</v>
      </c>
      <c r="L1753" s="384"/>
      <c r="M1753" s="384"/>
      <c r="N1753" s="388"/>
      <c r="O1753" s="384" t="s">
        <v>2690</v>
      </c>
    </row>
    <row r="1754" spans="1:15" x14ac:dyDescent="0.3">
      <c r="A1754" s="384" t="b">
        <v>0</v>
      </c>
      <c r="B1754" s="384"/>
      <c r="C1754" s="384" t="s">
        <v>3380</v>
      </c>
      <c r="D1754" s="389">
        <v>13</v>
      </c>
      <c r="E1754" s="386"/>
      <c r="F1754" s="388"/>
      <c r="G1754" s="387"/>
      <c r="H1754" s="387"/>
      <c r="I1754" s="388"/>
      <c r="J1754" s="388"/>
      <c r="K1754" s="384" t="str">
        <f ca="1">IFERROR(VLOOKUP(C1754,' Disaggregation - Section E '!A$618:J2080,3,0),"")</f>
        <v>TCS-1c⁽ᴹ⁾ Percentage of children (under 15) on ART among all children living with HIV at the end of the reporting period</v>
      </c>
      <c r="L1754" s="384"/>
      <c r="M1754" s="384"/>
      <c r="N1754" s="388"/>
      <c r="O1754" s="384" t="s">
        <v>2690</v>
      </c>
    </row>
    <row r="1755" spans="1:15" x14ac:dyDescent="0.3">
      <c r="A1755" s="384" t="b">
        <v>0</v>
      </c>
      <c r="B1755" s="384"/>
      <c r="C1755" s="384" t="s">
        <v>3381</v>
      </c>
      <c r="D1755" s="389">
        <v>14</v>
      </c>
      <c r="E1755" s="386"/>
      <c r="F1755" s="388"/>
      <c r="G1755" s="387"/>
      <c r="H1755" s="387"/>
      <c r="I1755" s="388"/>
      <c r="J1755" s="388"/>
      <c r="K1755" s="384" t="str">
        <f ca="1">IFERROR(VLOOKUP(C1755,' Disaggregation - Section E '!A$618:J2081,3,0),"")</f>
        <v>TB/HIV-6⁽ᴹ⁾ Percentage of HIV-positive new and relapse TB patients on ART during TB treatment</v>
      </c>
      <c r="L1755" s="384"/>
      <c r="M1755" s="384"/>
      <c r="N1755" s="388"/>
      <c r="O1755" s="384" t="s">
        <v>2697</v>
      </c>
    </row>
    <row r="1756" spans="1:15" x14ac:dyDescent="0.3">
      <c r="A1756" s="384" t="b">
        <v>0</v>
      </c>
      <c r="B1756" s="384"/>
      <c r="C1756" s="384" t="s">
        <v>3382</v>
      </c>
      <c r="D1756" s="389">
        <v>14</v>
      </c>
      <c r="E1756" s="386"/>
      <c r="F1756" s="388"/>
      <c r="G1756" s="387"/>
      <c r="H1756" s="387"/>
      <c r="I1756" s="388"/>
      <c r="J1756" s="388"/>
      <c r="K1756" s="384" t="str">
        <f ca="1">IFERROR(VLOOKUP(C1756,' Disaggregation - Section E '!A$618:J2082,3,0),"")</f>
        <v>TB/HIV-6⁽ᴹ⁾ Percentage of HIV-positive new and relapse TB patients on ART during TB treatment</v>
      </c>
      <c r="L1756" s="384"/>
      <c r="M1756" s="384"/>
      <c r="N1756" s="388"/>
      <c r="O1756" s="384" t="s">
        <v>2697</v>
      </c>
    </row>
    <row r="1757" spans="1:15" x14ac:dyDescent="0.3">
      <c r="A1757" s="384" t="b">
        <v>0</v>
      </c>
      <c r="B1757" s="384"/>
      <c r="C1757" s="384" t="s">
        <v>3383</v>
      </c>
      <c r="D1757" s="389">
        <v>14</v>
      </c>
      <c r="E1757" s="386"/>
      <c r="F1757" s="388"/>
      <c r="G1757" s="387"/>
      <c r="H1757" s="387"/>
      <c r="I1757" s="388"/>
      <c r="J1757" s="388"/>
      <c r="K1757" s="384" t="str">
        <f ca="1">IFERROR(VLOOKUP(C1757,' Disaggregation - Section E '!A$618:J2083,3,0),"")</f>
        <v>TB/HIV-6⁽ᴹ⁾ Percentage of HIV-positive new and relapse TB patients on ART during TB treatment</v>
      </c>
      <c r="L1757" s="384"/>
      <c r="M1757" s="384"/>
      <c r="N1757" s="388"/>
      <c r="O1757" s="384" t="s">
        <v>2697</v>
      </c>
    </row>
    <row r="1758" spans="1:15" x14ac:dyDescent="0.3">
      <c r="A1758" s="384" t="b">
        <v>0</v>
      </c>
      <c r="B1758" s="384"/>
      <c r="C1758" s="384" t="s">
        <v>3384</v>
      </c>
      <c r="D1758" s="389">
        <v>14</v>
      </c>
      <c r="E1758" s="386"/>
      <c r="F1758" s="388"/>
      <c r="G1758" s="387"/>
      <c r="H1758" s="387"/>
      <c r="I1758" s="388"/>
      <c r="J1758" s="388"/>
      <c r="K1758" s="384" t="str">
        <f ca="1">IFERROR(VLOOKUP(C1758,' Disaggregation - Section E '!A$618:J2084,3,0),"")</f>
        <v>TB/HIV-6⁽ᴹ⁾ Percentage of HIV-positive new and relapse TB patients on ART during TB treatment</v>
      </c>
      <c r="L1758" s="384"/>
      <c r="M1758" s="384"/>
      <c r="N1758" s="388"/>
      <c r="O1758" s="384" t="s">
        <v>2697</v>
      </c>
    </row>
    <row r="1759" spans="1:15" x14ac:dyDescent="0.3">
      <c r="A1759" s="384" t="b">
        <v>0</v>
      </c>
      <c r="B1759" s="384"/>
      <c r="C1759" s="384" t="s">
        <v>3385</v>
      </c>
      <c r="D1759" s="389">
        <v>14</v>
      </c>
      <c r="E1759" s="386"/>
      <c r="F1759" s="388"/>
      <c r="G1759" s="387"/>
      <c r="H1759" s="387"/>
      <c r="I1759" s="388"/>
      <c r="J1759" s="388"/>
      <c r="K1759" s="384" t="str">
        <f ca="1">IFERROR(VLOOKUP(C1759,' Disaggregation - Section E '!A$618:J2085,3,0),"")</f>
        <v>TB/HIV-6⁽ᴹ⁾ Percentage of HIV-positive new and relapse TB patients on ART during TB treatment</v>
      </c>
      <c r="L1759" s="384"/>
      <c r="M1759" s="384"/>
      <c r="N1759" s="388"/>
      <c r="O1759" s="384" t="s">
        <v>2697</v>
      </c>
    </row>
    <row r="1760" spans="1:15" x14ac:dyDescent="0.3">
      <c r="A1760" s="384" t="b">
        <v>0</v>
      </c>
      <c r="B1760" s="384"/>
      <c r="C1760" s="384" t="s">
        <v>3386</v>
      </c>
      <c r="D1760" s="389">
        <v>14</v>
      </c>
      <c r="E1760" s="386"/>
      <c r="F1760" s="388"/>
      <c r="G1760" s="387"/>
      <c r="H1760" s="387"/>
      <c r="I1760" s="388"/>
      <c r="J1760" s="388"/>
      <c r="K1760" s="384" t="str">
        <f ca="1">IFERROR(VLOOKUP(C1760,' Disaggregation - Section E '!A$618:J2086,3,0),"")</f>
        <v>TB/HIV-6⁽ᴹ⁾ Percentage of HIV-positive new and relapse TB patients on ART during TB treatment</v>
      </c>
      <c r="L1760" s="384"/>
      <c r="M1760" s="384"/>
      <c r="N1760" s="388"/>
      <c r="O1760" s="384" t="s">
        <v>2697</v>
      </c>
    </row>
    <row r="1761" spans="1:15" x14ac:dyDescent="0.3">
      <c r="A1761" s="384" t="b">
        <v>0</v>
      </c>
      <c r="B1761" s="384"/>
      <c r="C1761" s="384" t="s">
        <v>3387</v>
      </c>
      <c r="D1761" s="389">
        <v>14</v>
      </c>
      <c r="E1761" s="386"/>
      <c r="F1761" s="388"/>
      <c r="G1761" s="387"/>
      <c r="H1761" s="387"/>
      <c r="I1761" s="388"/>
      <c r="J1761" s="388"/>
      <c r="K1761" s="384" t="str">
        <f ca="1">IFERROR(VLOOKUP(C1761,' Disaggregation - Section E '!A$618:J2087,3,0),"")</f>
        <v>TB/HIV-6⁽ᴹ⁾ Percentage of HIV-positive new and relapse TB patients on ART during TB treatment</v>
      </c>
      <c r="L1761" s="384"/>
      <c r="M1761" s="384"/>
      <c r="N1761" s="388"/>
      <c r="O1761" s="384" t="s">
        <v>2697</v>
      </c>
    </row>
    <row r="1762" spans="1:15" x14ac:dyDescent="0.3">
      <c r="A1762" s="384" t="b">
        <v>0</v>
      </c>
      <c r="B1762" s="384"/>
      <c r="C1762" s="384" t="s">
        <v>3388</v>
      </c>
      <c r="D1762" s="389">
        <v>14</v>
      </c>
      <c r="E1762" s="386"/>
      <c r="F1762" s="388"/>
      <c r="G1762" s="387"/>
      <c r="H1762" s="387"/>
      <c r="I1762" s="388"/>
      <c r="J1762" s="388"/>
      <c r="K1762" s="384" t="str">
        <f ca="1">IFERROR(VLOOKUP(C1762,' Disaggregation - Section E '!A$618:J2088,3,0),"")</f>
        <v>TB/HIV-6⁽ᴹ⁾ Percentage of HIV-positive new and relapse TB patients on ART during TB treatment</v>
      </c>
      <c r="L1762" s="384"/>
      <c r="M1762" s="384"/>
      <c r="N1762" s="388"/>
      <c r="O1762" s="384" t="s">
        <v>2697</v>
      </c>
    </row>
    <row r="1763" spans="1:15" x14ac:dyDescent="0.3">
      <c r="A1763" s="384" t="b">
        <v>0</v>
      </c>
      <c r="B1763" s="384"/>
      <c r="C1763" s="384" t="s">
        <v>3389</v>
      </c>
      <c r="D1763" s="389">
        <v>14</v>
      </c>
      <c r="E1763" s="386"/>
      <c r="F1763" s="388"/>
      <c r="G1763" s="387"/>
      <c r="H1763" s="387"/>
      <c r="I1763" s="388"/>
      <c r="J1763" s="388"/>
      <c r="K1763" s="384" t="str">
        <f ca="1">IFERROR(VLOOKUP(C1763,' Disaggregation - Section E '!A$618:J2089,3,0),"")</f>
        <v>TB/HIV-6⁽ᴹ⁾ Percentage of HIV-positive new and relapse TB patients on ART during TB treatment</v>
      </c>
      <c r="L1763" s="384"/>
      <c r="M1763" s="384"/>
      <c r="N1763" s="388"/>
      <c r="O1763" s="384" t="s">
        <v>2697</v>
      </c>
    </row>
    <row r="1764" spans="1:15" x14ac:dyDescent="0.3">
      <c r="A1764" s="384" t="b">
        <v>0</v>
      </c>
      <c r="B1764" s="384"/>
      <c r="C1764" s="384" t="s">
        <v>3390</v>
      </c>
      <c r="D1764" s="389">
        <v>14</v>
      </c>
      <c r="E1764" s="386"/>
      <c r="F1764" s="388"/>
      <c r="G1764" s="387"/>
      <c r="H1764" s="387"/>
      <c r="I1764" s="388"/>
      <c r="J1764" s="388"/>
      <c r="K1764" s="384" t="str">
        <f ca="1">IFERROR(VLOOKUP(C1764,' Disaggregation - Section E '!A$618:J2090,3,0),"")</f>
        <v>TB/HIV-6⁽ᴹ⁾ Percentage of HIV-positive new and relapse TB patients on ART during TB treatment</v>
      </c>
      <c r="L1764" s="384"/>
      <c r="M1764" s="384"/>
      <c r="N1764" s="388"/>
      <c r="O1764" s="384" t="s">
        <v>2697</v>
      </c>
    </row>
    <row r="1765" spans="1:15" x14ac:dyDescent="0.3">
      <c r="A1765" s="384" t="b">
        <v>0</v>
      </c>
      <c r="B1765" s="384"/>
      <c r="C1765" s="384" t="s">
        <v>3391</v>
      </c>
      <c r="D1765" s="389">
        <v>14</v>
      </c>
      <c r="E1765" s="386"/>
      <c r="F1765" s="388"/>
      <c r="G1765" s="387"/>
      <c r="H1765" s="387"/>
      <c r="I1765" s="388"/>
      <c r="J1765" s="388"/>
      <c r="K1765" s="384" t="str">
        <f ca="1">IFERROR(VLOOKUP(C1765,' Disaggregation - Section E '!A$618:J2091,3,0),"")</f>
        <v>TB/HIV-6⁽ᴹ⁾ Percentage of HIV-positive new and relapse TB patients on ART during TB treatment</v>
      </c>
      <c r="L1765" s="384"/>
      <c r="M1765" s="384"/>
      <c r="N1765" s="388"/>
      <c r="O1765" s="384" t="s">
        <v>2697</v>
      </c>
    </row>
    <row r="1766" spans="1:15" x14ac:dyDescent="0.3">
      <c r="A1766" s="384" t="b">
        <v>0</v>
      </c>
      <c r="B1766" s="384"/>
      <c r="C1766" s="384" t="s">
        <v>3392</v>
      </c>
      <c r="D1766" s="389">
        <v>14</v>
      </c>
      <c r="E1766" s="386"/>
      <c r="F1766" s="388"/>
      <c r="G1766" s="387"/>
      <c r="H1766" s="387"/>
      <c r="I1766" s="388"/>
      <c r="J1766" s="388"/>
      <c r="K1766" s="384" t="str">
        <f ca="1">IFERROR(VLOOKUP(C1766,' Disaggregation - Section E '!A$618:J2092,3,0),"")</f>
        <v>TB/HIV-6⁽ᴹ⁾ Percentage of HIV-positive new and relapse TB patients on ART during TB treatment</v>
      </c>
      <c r="L1766" s="384"/>
      <c r="M1766" s="384"/>
      <c r="N1766" s="388"/>
      <c r="O1766" s="384" t="s">
        <v>2697</v>
      </c>
    </row>
    <row r="1767" spans="1:15" x14ac:dyDescent="0.3">
      <c r="A1767" s="384" t="b">
        <v>0</v>
      </c>
      <c r="B1767" s="384"/>
      <c r="C1767" s="384" t="s">
        <v>3393</v>
      </c>
      <c r="D1767" s="389">
        <v>14</v>
      </c>
      <c r="E1767" s="386"/>
      <c r="F1767" s="388"/>
      <c r="G1767" s="387"/>
      <c r="H1767" s="387"/>
      <c r="I1767" s="388"/>
      <c r="J1767" s="388"/>
      <c r="K1767" s="384" t="str">
        <f ca="1">IFERROR(VLOOKUP(C1767,' Disaggregation - Section E '!A$618:J2093,3,0),"")</f>
        <v>TB/HIV-6⁽ᴹ⁾ Percentage of HIV-positive new and relapse TB patients on ART during TB treatment</v>
      </c>
      <c r="L1767" s="384"/>
      <c r="M1767" s="384"/>
      <c r="N1767" s="388"/>
      <c r="O1767" s="384" t="s">
        <v>2697</v>
      </c>
    </row>
    <row r="1768" spans="1:15" x14ac:dyDescent="0.3">
      <c r="A1768" s="384" t="b">
        <v>0</v>
      </c>
      <c r="B1768" s="384"/>
      <c r="C1768" s="384" t="s">
        <v>3394</v>
      </c>
      <c r="D1768" s="389">
        <v>14</v>
      </c>
      <c r="E1768" s="386"/>
      <c r="F1768" s="388"/>
      <c r="G1768" s="387"/>
      <c r="H1768" s="387"/>
      <c r="I1768" s="388"/>
      <c r="J1768" s="388"/>
      <c r="K1768" s="384" t="str">
        <f ca="1">IFERROR(VLOOKUP(C1768,' Disaggregation - Section E '!A$618:J2094,3,0),"")</f>
        <v>TB/HIV-6⁽ᴹ⁾ Percentage of HIV-positive new and relapse TB patients on ART during TB treatment</v>
      </c>
      <c r="L1768" s="384"/>
      <c r="M1768" s="384"/>
      <c r="N1768" s="388"/>
      <c r="O1768" s="384" t="s">
        <v>2697</v>
      </c>
    </row>
    <row r="1769" spans="1:15" x14ac:dyDescent="0.3">
      <c r="A1769" s="384" t="b">
        <v>0</v>
      </c>
      <c r="B1769" s="384"/>
      <c r="C1769" s="384" t="s">
        <v>3395</v>
      </c>
      <c r="D1769" s="389">
        <v>14</v>
      </c>
      <c r="E1769" s="386"/>
      <c r="F1769" s="388"/>
      <c r="G1769" s="387"/>
      <c r="H1769" s="387"/>
      <c r="I1769" s="388"/>
      <c r="J1769" s="388"/>
      <c r="K1769" s="384" t="str">
        <f ca="1">IFERROR(VLOOKUP(C1769,' Disaggregation - Section E '!A$618:J2095,3,0),"")</f>
        <v>TB/HIV-6⁽ᴹ⁾ Percentage of HIV-positive new and relapse TB patients on ART during TB treatment</v>
      </c>
      <c r="L1769" s="384"/>
      <c r="M1769" s="384"/>
      <c r="N1769" s="388"/>
      <c r="O1769" s="384" t="s">
        <v>2697</v>
      </c>
    </row>
    <row r="1770" spans="1:15" x14ac:dyDescent="0.3">
      <c r="A1770" s="384" t="b">
        <v>0</v>
      </c>
      <c r="B1770" s="384"/>
      <c r="C1770" s="384" t="s">
        <v>3396</v>
      </c>
      <c r="D1770" s="389">
        <v>14</v>
      </c>
      <c r="E1770" s="386"/>
      <c r="F1770" s="388"/>
      <c r="G1770" s="387"/>
      <c r="H1770" s="387"/>
      <c r="I1770" s="388"/>
      <c r="J1770" s="388"/>
      <c r="K1770" s="384" t="str">
        <f ca="1">IFERROR(VLOOKUP(C1770,' Disaggregation - Section E '!A$618:J2096,3,0),"")</f>
        <v>TB/HIV-6⁽ᴹ⁾ Percentage of HIV-positive new and relapse TB patients on ART during TB treatment</v>
      </c>
      <c r="L1770" s="384"/>
      <c r="M1770" s="384"/>
      <c r="N1770" s="388"/>
      <c r="O1770" s="384" t="s">
        <v>2697</v>
      </c>
    </row>
    <row r="1771" spans="1:15" x14ac:dyDescent="0.3">
      <c r="A1771" s="384" t="b">
        <v>0</v>
      </c>
      <c r="B1771" s="384"/>
      <c r="C1771" s="384" t="s">
        <v>3397</v>
      </c>
      <c r="D1771" s="389">
        <v>14</v>
      </c>
      <c r="E1771" s="386"/>
      <c r="F1771" s="388"/>
      <c r="G1771" s="387"/>
      <c r="H1771" s="387"/>
      <c r="I1771" s="388"/>
      <c r="J1771" s="388"/>
      <c r="K1771" s="384" t="str">
        <f ca="1">IFERROR(VLOOKUP(C1771,' Disaggregation - Section E '!A$618:J2097,3,0),"")</f>
        <v>TB/HIV-6⁽ᴹ⁾ Percentage of HIV-positive new and relapse TB patients on ART during TB treatment</v>
      </c>
      <c r="L1771" s="384"/>
      <c r="M1771" s="384"/>
      <c r="N1771" s="388"/>
      <c r="O1771" s="384" t="s">
        <v>2697</v>
      </c>
    </row>
    <row r="1772" spans="1:15" x14ac:dyDescent="0.3">
      <c r="A1772" s="384" t="b">
        <v>0</v>
      </c>
      <c r="B1772" s="384"/>
      <c r="C1772" s="384" t="s">
        <v>3398</v>
      </c>
      <c r="D1772" s="389">
        <v>14</v>
      </c>
      <c r="E1772" s="386"/>
      <c r="F1772" s="388"/>
      <c r="G1772" s="387"/>
      <c r="H1772" s="387"/>
      <c r="I1772" s="388"/>
      <c r="J1772" s="388"/>
      <c r="K1772" s="384" t="str">
        <f ca="1">IFERROR(VLOOKUP(C1772,' Disaggregation - Section E '!A$618:J2098,3,0),"")</f>
        <v>TB/HIV-6⁽ᴹ⁾ Percentage of HIV-positive new and relapse TB patients on ART during TB treatment</v>
      </c>
      <c r="L1772" s="384"/>
      <c r="M1772" s="384"/>
      <c r="N1772" s="388"/>
      <c r="O1772" s="384" t="s">
        <v>2697</v>
      </c>
    </row>
    <row r="1773" spans="1:15" x14ac:dyDescent="0.3">
      <c r="A1773" s="384" t="b">
        <v>0</v>
      </c>
      <c r="B1773" s="384"/>
      <c r="C1773" s="384" t="s">
        <v>3399</v>
      </c>
      <c r="D1773" s="389">
        <v>14</v>
      </c>
      <c r="E1773" s="386"/>
      <c r="F1773" s="388"/>
      <c r="G1773" s="387"/>
      <c r="H1773" s="387"/>
      <c r="I1773" s="388"/>
      <c r="J1773" s="388"/>
      <c r="K1773" s="384" t="str">
        <f ca="1">IFERROR(VLOOKUP(C1773,' Disaggregation - Section E '!A$618:J2099,3,0),"")</f>
        <v>TB/HIV-6⁽ᴹ⁾ Percentage of HIV-positive new and relapse TB patients on ART during TB treatment</v>
      </c>
      <c r="L1773" s="384"/>
      <c r="M1773" s="384"/>
      <c r="N1773" s="388"/>
      <c r="O1773" s="384" t="s">
        <v>2697</v>
      </c>
    </row>
    <row r="1774" spans="1:15" x14ac:dyDescent="0.3">
      <c r="A1774" s="384" t="b">
        <v>0</v>
      </c>
      <c r="B1774" s="384"/>
      <c r="C1774" s="384" t="s">
        <v>3400</v>
      </c>
      <c r="D1774" s="389">
        <v>14</v>
      </c>
      <c r="E1774" s="386"/>
      <c r="F1774" s="388"/>
      <c r="G1774" s="387"/>
      <c r="H1774" s="387"/>
      <c r="I1774" s="388"/>
      <c r="J1774" s="388"/>
      <c r="K1774" s="384" t="str">
        <f ca="1">IFERROR(VLOOKUP(C1774,' Disaggregation - Section E '!A$618:J2100,3,0),"")</f>
        <v>TB/HIV-6⁽ᴹ⁾ Percentage of HIV-positive new and relapse TB patients on ART during TB treatment</v>
      </c>
      <c r="L1774" s="384"/>
      <c r="M1774" s="384"/>
      <c r="N1774" s="388"/>
      <c r="O1774" s="384" t="s">
        <v>2697</v>
      </c>
    </row>
    <row r="1775" spans="1:15" x14ac:dyDescent="0.3">
      <c r="A1775" s="384" t="b">
        <v>0</v>
      </c>
      <c r="B1775" s="384"/>
      <c r="C1775" s="384" t="s">
        <v>3401</v>
      </c>
      <c r="D1775" s="389">
        <v>15</v>
      </c>
      <c r="E1775" s="386"/>
      <c r="F1775" s="388"/>
      <c r="G1775" s="387"/>
      <c r="H1775" s="387"/>
      <c r="I1775" s="388"/>
      <c r="J1775" s="388"/>
      <c r="K1775" s="384" t="str">
        <f ca="1">IFERROR(VLOOKUP(C1775,' Disaggregation - Section E '!A$618:J2101,3,0),"")</f>
        <v>KP-8 Percentage of people who inject drugs receiving opioid substitution therapy</v>
      </c>
      <c r="L1775" s="384"/>
      <c r="M1775" s="384"/>
      <c r="N1775" s="388"/>
      <c r="O1775" s="384" t="s">
        <v>2704</v>
      </c>
    </row>
    <row r="1776" spans="1:15" x14ac:dyDescent="0.3">
      <c r="A1776" s="384" t="b">
        <v>0</v>
      </c>
      <c r="B1776" s="384"/>
      <c r="C1776" s="384" t="s">
        <v>3402</v>
      </c>
      <c r="D1776" s="389">
        <v>15</v>
      </c>
      <c r="E1776" s="386"/>
      <c r="F1776" s="388"/>
      <c r="G1776" s="387"/>
      <c r="H1776" s="387"/>
      <c r="I1776" s="388"/>
      <c r="J1776" s="388"/>
      <c r="K1776" s="384" t="str">
        <f ca="1">IFERROR(VLOOKUP(C1776,' Disaggregation - Section E '!A$618:J2102,3,0),"")</f>
        <v>KP-8 Percentage of people who inject drugs receiving opioid substitution therapy</v>
      </c>
      <c r="L1776" s="384"/>
      <c r="M1776" s="384"/>
      <c r="N1776" s="388"/>
      <c r="O1776" s="384" t="s">
        <v>2704</v>
      </c>
    </row>
    <row r="1777" spans="1:15" x14ac:dyDescent="0.3">
      <c r="A1777" s="384" t="b">
        <v>0</v>
      </c>
      <c r="B1777" s="384"/>
      <c r="C1777" s="384" t="s">
        <v>3403</v>
      </c>
      <c r="D1777" s="389">
        <v>15</v>
      </c>
      <c r="E1777" s="386"/>
      <c r="F1777" s="388"/>
      <c r="G1777" s="387"/>
      <c r="H1777" s="387"/>
      <c r="I1777" s="388"/>
      <c r="J1777" s="388"/>
      <c r="K1777" s="384" t="str">
        <f ca="1">IFERROR(VLOOKUP(C1777,' Disaggregation - Section E '!A$618:J2103,3,0),"")</f>
        <v>KP-8 Percentage of people who inject drugs receiving opioid substitution therapy</v>
      </c>
      <c r="L1777" s="384"/>
      <c r="M1777" s="384"/>
      <c r="N1777" s="388"/>
      <c r="O1777" s="384" t="s">
        <v>2704</v>
      </c>
    </row>
    <row r="1778" spans="1:15" x14ac:dyDescent="0.3">
      <c r="A1778" s="384" t="b">
        <v>0</v>
      </c>
      <c r="B1778" s="384"/>
      <c r="C1778" s="384" t="s">
        <v>3404</v>
      </c>
      <c r="D1778" s="389">
        <v>15</v>
      </c>
      <c r="E1778" s="386"/>
      <c r="F1778" s="388"/>
      <c r="G1778" s="387"/>
      <c r="H1778" s="387"/>
      <c r="I1778" s="388"/>
      <c r="J1778" s="388"/>
      <c r="K1778" s="384" t="str">
        <f ca="1">IFERROR(VLOOKUP(C1778,' Disaggregation - Section E '!A$618:J2104,3,0),"")</f>
        <v>KP-8 Percentage of people who inject drugs receiving opioid substitution therapy</v>
      </c>
      <c r="L1778" s="384"/>
      <c r="M1778" s="384"/>
      <c r="N1778" s="388"/>
      <c r="O1778" s="384" t="s">
        <v>2704</v>
      </c>
    </row>
    <row r="1779" spans="1:15" x14ac:dyDescent="0.3">
      <c r="A1779" s="384" t="b">
        <v>0</v>
      </c>
      <c r="B1779" s="384"/>
      <c r="C1779" s="384" t="s">
        <v>3405</v>
      </c>
      <c r="D1779" s="389">
        <v>15</v>
      </c>
      <c r="E1779" s="386"/>
      <c r="F1779" s="388"/>
      <c r="G1779" s="387"/>
      <c r="H1779" s="387"/>
      <c r="I1779" s="388"/>
      <c r="J1779" s="388"/>
      <c r="K1779" s="384" t="str">
        <f ca="1">IFERROR(VLOOKUP(C1779,' Disaggregation - Section E '!A$618:J2105,3,0),"")</f>
        <v>KP-8 Percentage of people who inject drugs receiving opioid substitution therapy</v>
      </c>
      <c r="L1779" s="384"/>
      <c r="M1779" s="384"/>
      <c r="N1779" s="388"/>
      <c r="O1779" s="384" t="s">
        <v>2704</v>
      </c>
    </row>
    <row r="1780" spans="1:15" x14ac:dyDescent="0.3">
      <c r="A1780" s="384" t="b">
        <v>0</v>
      </c>
      <c r="B1780" s="384"/>
      <c r="C1780" s="384" t="s">
        <v>3406</v>
      </c>
      <c r="D1780" s="389">
        <v>15</v>
      </c>
      <c r="E1780" s="386"/>
      <c r="F1780" s="388"/>
      <c r="G1780" s="387"/>
      <c r="H1780" s="387"/>
      <c r="I1780" s="388"/>
      <c r="J1780" s="388"/>
      <c r="K1780" s="384" t="str">
        <f ca="1">IFERROR(VLOOKUP(C1780,' Disaggregation - Section E '!A$618:J2106,3,0),"")</f>
        <v>KP-8 Percentage of people who inject drugs receiving opioid substitution therapy</v>
      </c>
      <c r="L1780" s="384"/>
      <c r="M1780" s="384"/>
      <c r="N1780" s="388"/>
      <c r="O1780" s="384" t="s">
        <v>2704</v>
      </c>
    </row>
    <row r="1781" spans="1:15" x14ac:dyDescent="0.3">
      <c r="A1781" s="384" t="b">
        <v>0</v>
      </c>
      <c r="B1781" s="384"/>
      <c r="C1781" s="384" t="s">
        <v>3407</v>
      </c>
      <c r="D1781" s="389">
        <v>15</v>
      </c>
      <c r="E1781" s="386"/>
      <c r="F1781" s="388"/>
      <c r="G1781" s="387"/>
      <c r="H1781" s="387"/>
      <c r="I1781" s="388"/>
      <c r="J1781" s="388"/>
      <c r="K1781" s="384" t="str">
        <f ca="1">IFERROR(VLOOKUP(C1781,' Disaggregation - Section E '!A$618:J2107,3,0),"")</f>
        <v>KP-8 Percentage of people who inject drugs receiving opioid substitution therapy</v>
      </c>
      <c r="L1781" s="384"/>
      <c r="M1781" s="384"/>
      <c r="N1781" s="388"/>
      <c r="O1781" s="384" t="s">
        <v>2704</v>
      </c>
    </row>
    <row r="1782" spans="1:15" x14ac:dyDescent="0.3">
      <c r="A1782" s="384" t="b">
        <v>0</v>
      </c>
      <c r="B1782" s="384"/>
      <c r="C1782" s="384" t="s">
        <v>3408</v>
      </c>
      <c r="D1782" s="389">
        <v>15</v>
      </c>
      <c r="E1782" s="386"/>
      <c r="F1782" s="388"/>
      <c r="G1782" s="387"/>
      <c r="H1782" s="387"/>
      <c r="I1782" s="388"/>
      <c r="J1782" s="388"/>
      <c r="K1782" s="384" t="str">
        <f ca="1">IFERROR(VLOOKUP(C1782,' Disaggregation - Section E '!A$618:J2108,3,0),"")</f>
        <v>KP-8 Percentage of people who inject drugs receiving opioid substitution therapy</v>
      </c>
      <c r="L1782" s="384"/>
      <c r="M1782" s="384"/>
      <c r="N1782" s="388"/>
      <c r="O1782" s="384" t="s">
        <v>2704</v>
      </c>
    </row>
    <row r="1783" spans="1:15" x14ac:dyDescent="0.3">
      <c r="A1783" s="384" t="b">
        <v>0</v>
      </c>
      <c r="B1783" s="384"/>
      <c r="C1783" s="384" t="s">
        <v>3409</v>
      </c>
      <c r="D1783" s="389">
        <v>15</v>
      </c>
      <c r="E1783" s="386"/>
      <c r="F1783" s="388"/>
      <c r="G1783" s="387"/>
      <c r="H1783" s="387"/>
      <c r="I1783" s="388"/>
      <c r="J1783" s="388"/>
      <c r="K1783" s="384" t="str">
        <f ca="1">IFERROR(VLOOKUP(C1783,' Disaggregation - Section E '!A$618:J2109,3,0),"")</f>
        <v>KP-8 Percentage of people who inject drugs receiving opioid substitution therapy</v>
      </c>
      <c r="L1783" s="384"/>
      <c r="M1783" s="384"/>
      <c r="N1783" s="388"/>
      <c r="O1783" s="384" t="s">
        <v>2704</v>
      </c>
    </row>
    <row r="1784" spans="1:15" x14ac:dyDescent="0.3">
      <c r="A1784" s="384" t="b">
        <v>0</v>
      </c>
      <c r="B1784" s="384"/>
      <c r="C1784" s="384" t="s">
        <v>3410</v>
      </c>
      <c r="D1784" s="389">
        <v>15</v>
      </c>
      <c r="E1784" s="386"/>
      <c r="F1784" s="388"/>
      <c r="G1784" s="387"/>
      <c r="H1784" s="387"/>
      <c r="I1784" s="388"/>
      <c r="J1784" s="388"/>
      <c r="K1784" s="384" t="str">
        <f ca="1">IFERROR(VLOOKUP(C1784,' Disaggregation - Section E '!A$618:J2110,3,0),"")</f>
        <v>KP-8 Percentage of people who inject drugs receiving opioid substitution therapy</v>
      </c>
      <c r="L1784" s="384"/>
      <c r="M1784" s="384"/>
      <c r="N1784" s="388"/>
      <c r="O1784" s="384" t="s">
        <v>2704</v>
      </c>
    </row>
    <row r="1785" spans="1:15" x14ac:dyDescent="0.3">
      <c r="A1785" s="384" t="b">
        <v>0</v>
      </c>
      <c r="B1785" s="384"/>
      <c r="C1785" s="384" t="s">
        <v>3411</v>
      </c>
      <c r="D1785" s="389">
        <v>15</v>
      </c>
      <c r="E1785" s="386"/>
      <c r="F1785" s="388"/>
      <c r="G1785" s="387"/>
      <c r="H1785" s="387"/>
      <c r="I1785" s="388"/>
      <c r="J1785" s="388"/>
      <c r="K1785" s="384" t="str">
        <f ca="1">IFERROR(VLOOKUP(C1785,' Disaggregation - Section E '!A$618:J2111,3,0),"")</f>
        <v>KP-8 Percentage of people who inject drugs receiving opioid substitution therapy</v>
      </c>
      <c r="L1785" s="384"/>
      <c r="M1785" s="384"/>
      <c r="N1785" s="388"/>
      <c r="O1785" s="384" t="s">
        <v>2704</v>
      </c>
    </row>
    <row r="1786" spans="1:15" x14ac:dyDescent="0.3">
      <c r="A1786" s="384" t="b">
        <v>0</v>
      </c>
      <c r="B1786" s="384"/>
      <c r="C1786" s="384" t="s">
        <v>3412</v>
      </c>
      <c r="D1786" s="389">
        <v>15</v>
      </c>
      <c r="E1786" s="386"/>
      <c r="F1786" s="388"/>
      <c r="G1786" s="387"/>
      <c r="H1786" s="387"/>
      <c r="I1786" s="388"/>
      <c r="J1786" s="388"/>
      <c r="K1786" s="384" t="str">
        <f ca="1">IFERROR(VLOOKUP(C1786,' Disaggregation - Section E '!A$618:J2112,3,0),"")</f>
        <v>KP-8 Percentage of people who inject drugs receiving opioid substitution therapy</v>
      </c>
      <c r="L1786" s="384"/>
      <c r="M1786" s="384"/>
      <c r="N1786" s="388"/>
      <c r="O1786" s="384" t="s">
        <v>2704</v>
      </c>
    </row>
    <row r="1787" spans="1:15" x14ac:dyDescent="0.3">
      <c r="A1787" s="384" t="b">
        <v>0</v>
      </c>
      <c r="B1787" s="384"/>
      <c r="C1787" s="384" t="s">
        <v>3413</v>
      </c>
      <c r="D1787" s="389">
        <v>15</v>
      </c>
      <c r="E1787" s="386"/>
      <c r="F1787" s="388"/>
      <c r="G1787" s="387"/>
      <c r="H1787" s="387"/>
      <c r="I1787" s="388"/>
      <c r="J1787" s="388"/>
      <c r="K1787" s="384" t="str">
        <f ca="1">IFERROR(VLOOKUP(C1787,' Disaggregation - Section E '!A$618:J2113,3,0),"")</f>
        <v>KP-8 Percentage of people who inject drugs receiving opioid substitution therapy</v>
      </c>
      <c r="L1787" s="384"/>
      <c r="M1787" s="384"/>
      <c r="N1787" s="388"/>
      <c r="O1787" s="384" t="s">
        <v>2704</v>
      </c>
    </row>
    <row r="1788" spans="1:15" x14ac:dyDescent="0.3">
      <c r="A1788" s="384" t="b">
        <v>0</v>
      </c>
      <c r="B1788" s="384"/>
      <c r="C1788" s="384" t="s">
        <v>3414</v>
      </c>
      <c r="D1788" s="389">
        <v>15</v>
      </c>
      <c r="E1788" s="386"/>
      <c r="F1788" s="388"/>
      <c r="G1788" s="387"/>
      <c r="H1788" s="387"/>
      <c r="I1788" s="388"/>
      <c r="J1788" s="388"/>
      <c r="K1788" s="384" t="str">
        <f ca="1">IFERROR(VLOOKUP(C1788,' Disaggregation - Section E '!A$618:J2114,3,0),"")</f>
        <v>KP-8 Percentage of people who inject drugs receiving opioid substitution therapy</v>
      </c>
      <c r="L1788" s="384"/>
      <c r="M1788" s="384"/>
      <c r="N1788" s="388"/>
      <c r="O1788" s="384" t="s">
        <v>2704</v>
      </c>
    </row>
    <row r="1789" spans="1:15" x14ac:dyDescent="0.3">
      <c r="A1789" s="384" t="b">
        <v>0</v>
      </c>
      <c r="B1789" s="384"/>
      <c r="C1789" s="384" t="s">
        <v>3415</v>
      </c>
      <c r="D1789" s="389">
        <v>15</v>
      </c>
      <c r="E1789" s="386"/>
      <c r="F1789" s="388"/>
      <c r="G1789" s="387"/>
      <c r="H1789" s="387"/>
      <c r="I1789" s="388"/>
      <c r="J1789" s="388"/>
      <c r="K1789" s="384" t="str">
        <f ca="1">IFERROR(VLOOKUP(C1789,' Disaggregation - Section E '!A$618:J2115,3,0),"")</f>
        <v>KP-8 Percentage of people who inject drugs receiving opioid substitution therapy</v>
      </c>
      <c r="L1789" s="384"/>
      <c r="M1789" s="384"/>
      <c r="N1789" s="388"/>
      <c r="O1789" s="384" t="s">
        <v>2704</v>
      </c>
    </row>
    <row r="1790" spans="1:15" x14ac:dyDescent="0.3">
      <c r="A1790" s="384" t="b">
        <v>0</v>
      </c>
      <c r="B1790" s="384"/>
      <c r="C1790" s="384" t="s">
        <v>3416</v>
      </c>
      <c r="D1790" s="389">
        <v>15</v>
      </c>
      <c r="E1790" s="386"/>
      <c r="F1790" s="388"/>
      <c r="G1790" s="387"/>
      <c r="H1790" s="387"/>
      <c r="I1790" s="388"/>
      <c r="J1790" s="388"/>
      <c r="K1790" s="384" t="str">
        <f ca="1">IFERROR(VLOOKUP(C1790,' Disaggregation - Section E '!A$618:J2116,3,0),"")</f>
        <v>KP-8 Percentage of people who inject drugs receiving opioid substitution therapy</v>
      </c>
      <c r="L1790" s="384"/>
      <c r="M1790" s="384"/>
      <c r="N1790" s="388"/>
      <c r="O1790" s="384" t="s">
        <v>2704</v>
      </c>
    </row>
    <row r="1791" spans="1:15" x14ac:dyDescent="0.3">
      <c r="A1791" s="384" t="b">
        <v>0</v>
      </c>
      <c r="B1791" s="384"/>
      <c r="C1791" s="384" t="s">
        <v>3417</v>
      </c>
      <c r="D1791" s="389">
        <v>15</v>
      </c>
      <c r="E1791" s="386"/>
      <c r="F1791" s="388"/>
      <c r="G1791" s="387"/>
      <c r="H1791" s="387"/>
      <c r="I1791" s="388"/>
      <c r="J1791" s="388"/>
      <c r="K1791" s="384" t="str">
        <f ca="1">IFERROR(VLOOKUP(C1791,' Disaggregation - Section E '!A$618:J2117,3,0),"")</f>
        <v>KP-8 Percentage of people who inject drugs receiving opioid substitution therapy</v>
      </c>
      <c r="L1791" s="384"/>
      <c r="M1791" s="384"/>
      <c r="N1791" s="388"/>
      <c r="O1791" s="384" t="s">
        <v>2704</v>
      </c>
    </row>
    <row r="1792" spans="1:15" x14ac:dyDescent="0.3">
      <c r="A1792" s="384" t="b">
        <v>0</v>
      </c>
      <c r="B1792" s="384"/>
      <c r="C1792" s="384" t="s">
        <v>3418</v>
      </c>
      <c r="D1792" s="389">
        <v>15</v>
      </c>
      <c r="E1792" s="386"/>
      <c r="F1792" s="388"/>
      <c r="G1792" s="387"/>
      <c r="H1792" s="387"/>
      <c r="I1792" s="388"/>
      <c r="J1792" s="388"/>
      <c r="K1792" s="384" t="str">
        <f ca="1">IFERROR(VLOOKUP(C1792,' Disaggregation - Section E '!A$618:J2118,3,0),"")</f>
        <v>KP-8 Percentage of people who inject drugs receiving opioid substitution therapy</v>
      </c>
      <c r="L1792" s="384"/>
      <c r="M1792" s="384"/>
      <c r="N1792" s="388"/>
      <c r="O1792" s="384" t="s">
        <v>2704</v>
      </c>
    </row>
    <row r="1793" spans="1:15" x14ac:dyDescent="0.3">
      <c r="A1793" s="384" t="b">
        <v>0</v>
      </c>
      <c r="B1793" s="384"/>
      <c r="C1793" s="384" t="s">
        <v>3419</v>
      </c>
      <c r="D1793" s="389">
        <v>15</v>
      </c>
      <c r="E1793" s="386"/>
      <c r="F1793" s="388"/>
      <c r="G1793" s="387"/>
      <c r="H1793" s="387"/>
      <c r="I1793" s="388"/>
      <c r="J1793" s="388"/>
      <c r="K1793" s="384" t="str">
        <f ca="1">IFERROR(VLOOKUP(C1793,' Disaggregation - Section E '!A$618:J2119,3,0),"")</f>
        <v>KP-8 Percentage of people who inject drugs receiving opioid substitution therapy</v>
      </c>
      <c r="L1793" s="384"/>
      <c r="M1793" s="384"/>
      <c r="N1793" s="388"/>
      <c r="O1793" s="384" t="s">
        <v>2704</v>
      </c>
    </row>
    <row r="1794" spans="1:15" x14ac:dyDescent="0.3">
      <c r="A1794" s="384" t="b">
        <v>0</v>
      </c>
      <c r="B1794" s="384"/>
      <c r="C1794" s="384" t="s">
        <v>3420</v>
      </c>
      <c r="D1794" s="389">
        <v>15</v>
      </c>
      <c r="E1794" s="386"/>
      <c r="F1794" s="388"/>
      <c r="G1794" s="387"/>
      <c r="H1794" s="387"/>
      <c r="I1794" s="388"/>
      <c r="J1794" s="388"/>
      <c r="K1794" s="384" t="str">
        <f ca="1">IFERROR(VLOOKUP(C1794,' Disaggregation - Section E '!A$618:J2120,3,0),"")</f>
        <v>KP-8 Percentage of people who inject drugs receiving opioid substitution therapy</v>
      </c>
      <c r="L1794" s="384"/>
      <c r="M1794" s="384"/>
      <c r="N1794" s="388"/>
      <c r="O1794" s="384" t="s">
        <v>2704</v>
      </c>
    </row>
    <row r="1795" spans="1:15" x14ac:dyDescent="0.3">
      <c r="A1795" s="384" t="b">
        <v>0</v>
      </c>
      <c r="B1795" s="384"/>
      <c r="C1795" s="384" t="s">
        <v>3421</v>
      </c>
      <c r="D1795" s="389">
        <v>16</v>
      </c>
      <c r="E1795" s="386"/>
      <c r="F1795" s="388"/>
      <c r="G1795" s="387"/>
      <c r="H1795" s="387"/>
      <c r="I1795" s="388"/>
      <c r="J1795" s="388"/>
      <c r="K1795" s="384" t="str">
        <f ca="1">IFERROR(VLOOKUP(C1795,' Disaggregation - Section E '!A$618:J2121,3,0),"")</f>
        <v>HTS-5 Percentage of people newly diagnosed with HIV initiated on ART</v>
      </c>
      <c r="L1795" s="384"/>
      <c r="M1795" s="384"/>
      <c r="N1795" s="388"/>
      <c r="O1795" s="384" t="s">
        <v>2711</v>
      </c>
    </row>
    <row r="1796" spans="1:15" x14ac:dyDescent="0.3">
      <c r="A1796" s="384" t="b">
        <v>0</v>
      </c>
      <c r="B1796" s="384"/>
      <c r="C1796" s="384" t="s">
        <v>3422</v>
      </c>
      <c r="D1796" s="389">
        <v>16</v>
      </c>
      <c r="E1796" s="386"/>
      <c r="F1796" s="388"/>
      <c r="G1796" s="387"/>
      <c r="H1796" s="387"/>
      <c r="I1796" s="388"/>
      <c r="J1796" s="388"/>
      <c r="K1796" s="384" t="str">
        <f ca="1">IFERROR(VLOOKUP(C1796,' Disaggregation - Section E '!A$618:J2122,3,0),"")</f>
        <v>HTS-5 Percentage of people newly diagnosed with HIV initiated on ART</v>
      </c>
      <c r="L1796" s="384"/>
      <c r="M1796" s="384"/>
      <c r="N1796" s="388"/>
      <c r="O1796" s="384" t="s">
        <v>2711</v>
      </c>
    </row>
    <row r="1797" spans="1:15" x14ac:dyDescent="0.3">
      <c r="A1797" s="384" t="b">
        <v>0</v>
      </c>
      <c r="B1797" s="384"/>
      <c r="C1797" s="384" t="s">
        <v>3423</v>
      </c>
      <c r="D1797" s="389">
        <v>16</v>
      </c>
      <c r="E1797" s="386"/>
      <c r="F1797" s="388"/>
      <c r="G1797" s="387"/>
      <c r="H1797" s="387"/>
      <c r="I1797" s="388"/>
      <c r="J1797" s="388"/>
      <c r="K1797" s="384" t="str">
        <f ca="1">IFERROR(VLOOKUP(C1797,' Disaggregation - Section E '!A$618:J2123,3,0),"")</f>
        <v>HTS-5 Percentage of people newly diagnosed with HIV initiated on ART</v>
      </c>
      <c r="L1797" s="384"/>
      <c r="M1797" s="384"/>
      <c r="N1797" s="388"/>
      <c r="O1797" s="384" t="s">
        <v>2711</v>
      </c>
    </row>
    <row r="1798" spans="1:15" x14ac:dyDescent="0.3">
      <c r="A1798" s="384" t="b">
        <v>0</v>
      </c>
      <c r="B1798" s="384"/>
      <c r="C1798" s="384" t="s">
        <v>3424</v>
      </c>
      <c r="D1798" s="389">
        <v>16</v>
      </c>
      <c r="E1798" s="386"/>
      <c r="F1798" s="388"/>
      <c r="G1798" s="387"/>
      <c r="H1798" s="387"/>
      <c r="I1798" s="388"/>
      <c r="J1798" s="388"/>
      <c r="K1798" s="384" t="str">
        <f ca="1">IFERROR(VLOOKUP(C1798,' Disaggregation - Section E '!A$618:J2124,3,0),"")</f>
        <v>HTS-5 Percentage of people newly diagnosed with HIV initiated on ART</v>
      </c>
      <c r="L1798" s="384"/>
      <c r="M1798" s="384"/>
      <c r="N1798" s="388"/>
      <c r="O1798" s="384" t="s">
        <v>2711</v>
      </c>
    </row>
    <row r="1799" spans="1:15" x14ac:dyDescent="0.3">
      <c r="A1799" s="384" t="b">
        <v>0</v>
      </c>
      <c r="B1799" s="384"/>
      <c r="C1799" s="384" t="s">
        <v>3425</v>
      </c>
      <c r="D1799" s="389">
        <v>16</v>
      </c>
      <c r="E1799" s="386"/>
      <c r="F1799" s="388"/>
      <c r="G1799" s="387"/>
      <c r="H1799" s="387"/>
      <c r="I1799" s="388"/>
      <c r="J1799" s="388"/>
      <c r="K1799" s="384" t="str">
        <f ca="1">IFERROR(VLOOKUP(C1799,' Disaggregation - Section E '!A$618:J2125,3,0),"")</f>
        <v>HTS-5 Percentage of people newly diagnosed with HIV initiated on ART</v>
      </c>
      <c r="L1799" s="384"/>
      <c r="M1799" s="384"/>
      <c r="N1799" s="388"/>
      <c r="O1799" s="384" t="s">
        <v>2711</v>
      </c>
    </row>
    <row r="1800" spans="1:15" x14ac:dyDescent="0.3">
      <c r="A1800" s="384" t="b">
        <v>0</v>
      </c>
      <c r="B1800" s="384"/>
      <c r="C1800" s="384" t="s">
        <v>3426</v>
      </c>
      <c r="D1800" s="389">
        <v>16</v>
      </c>
      <c r="E1800" s="386"/>
      <c r="F1800" s="388"/>
      <c r="G1800" s="387"/>
      <c r="H1800" s="387"/>
      <c r="I1800" s="388"/>
      <c r="J1800" s="388"/>
      <c r="K1800" s="384" t="str">
        <f ca="1">IFERROR(VLOOKUP(C1800,' Disaggregation - Section E '!A$618:J2126,3,0),"")</f>
        <v>HTS-5 Percentage of people newly diagnosed with HIV initiated on ART</v>
      </c>
      <c r="L1800" s="384"/>
      <c r="M1800" s="384"/>
      <c r="N1800" s="388"/>
      <c r="O1800" s="384" t="s">
        <v>2711</v>
      </c>
    </row>
    <row r="1801" spans="1:15" x14ac:dyDescent="0.3">
      <c r="A1801" s="384" t="b">
        <v>0</v>
      </c>
      <c r="B1801" s="384"/>
      <c r="C1801" s="384" t="s">
        <v>3427</v>
      </c>
      <c r="D1801" s="389">
        <v>16</v>
      </c>
      <c r="E1801" s="386"/>
      <c r="F1801" s="388"/>
      <c r="G1801" s="387"/>
      <c r="H1801" s="387"/>
      <c r="I1801" s="388"/>
      <c r="J1801" s="388"/>
      <c r="K1801" s="384" t="str">
        <f ca="1">IFERROR(VLOOKUP(C1801,' Disaggregation - Section E '!A$618:J2127,3,0),"")</f>
        <v>HTS-5 Percentage of people newly diagnosed with HIV initiated on ART</v>
      </c>
      <c r="L1801" s="384"/>
      <c r="M1801" s="384"/>
      <c r="N1801" s="388"/>
      <c r="O1801" s="384" t="s">
        <v>2711</v>
      </c>
    </row>
    <row r="1802" spans="1:15" x14ac:dyDescent="0.3">
      <c r="A1802" s="384" t="b">
        <v>0</v>
      </c>
      <c r="B1802" s="384"/>
      <c r="C1802" s="384" t="s">
        <v>3428</v>
      </c>
      <c r="D1802" s="389">
        <v>16</v>
      </c>
      <c r="E1802" s="386"/>
      <c r="F1802" s="388"/>
      <c r="G1802" s="387"/>
      <c r="H1802" s="387"/>
      <c r="I1802" s="388"/>
      <c r="J1802" s="388"/>
      <c r="K1802" s="384" t="str">
        <f ca="1">IFERROR(VLOOKUP(C1802,' Disaggregation - Section E '!A$618:J2128,3,0),"")</f>
        <v>HTS-5 Percentage of people newly diagnosed with HIV initiated on ART</v>
      </c>
      <c r="L1802" s="384"/>
      <c r="M1802" s="384"/>
      <c r="N1802" s="388"/>
      <c r="O1802" s="384" t="s">
        <v>2711</v>
      </c>
    </row>
    <row r="1803" spans="1:15" x14ac:dyDescent="0.3">
      <c r="A1803" s="384" t="b">
        <v>0</v>
      </c>
      <c r="B1803" s="384"/>
      <c r="C1803" s="384" t="s">
        <v>3429</v>
      </c>
      <c r="D1803" s="389">
        <v>16</v>
      </c>
      <c r="E1803" s="386"/>
      <c r="F1803" s="388"/>
      <c r="G1803" s="387"/>
      <c r="H1803" s="387"/>
      <c r="I1803" s="388"/>
      <c r="J1803" s="388"/>
      <c r="K1803" s="384" t="str">
        <f ca="1">IFERROR(VLOOKUP(C1803,' Disaggregation - Section E '!A$618:J2129,3,0),"")</f>
        <v>HTS-5 Percentage of people newly diagnosed with HIV initiated on ART</v>
      </c>
      <c r="L1803" s="384"/>
      <c r="M1803" s="384"/>
      <c r="N1803" s="388"/>
      <c r="O1803" s="384" t="s">
        <v>2711</v>
      </c>
    </row>
    <row r="1804" spans="1:15" x14ac:dyDescent="0.3">
      <c r="A1804" s="384" t="b">
        <v>0</v>
      </c>
      <c r="B1804" s="384"/>
      <c r="C1804" s="384" t="s">
        <v>3430</v>
      </c>
      <c r="D1804" s="389">
        <v>16</v>
      </c>
      <c r="E1804" s="386"/>
      <c r="F1804" s="388"/>
      <c r="G1804" s="387"/>
      <c r="H1804" s="387"/>
      <c r="I1804" s="388"/>
      <c r="J1804" s="388"/>
      <c r="K1804" s="384" t="str">
        <f ca="1">IFERROR(VLOOKUP(C1804,' Disaggregation - Section E '!A$618:J2130,3,0),"")</f>
        <v>HTS-5 Percentage of people newly diagnosed with HIV initiated on ART</v>
      </c>
      <c r="L1804" s="384"/>
      <c r="M1804" s="384"/>
      <c r="N1804" s="388"/>
      <c r="O1804" s="384" t="s">
        <v>2711</v>
      </c>
    </row>
    <row r="1805" spans="1:15" x14ac:dyDescent="0.3">
      <c r="A1805" s="384" t="b">
        <v>0</v>
      </c>
      <c r="B1805" s="384"/>
      <c r="C1805" s="384" t="s">
        <v>3431</v>
      </c>
      <c r="D1805" s="389">
        <v>16</v>
      </c>
      <c r="E1805" s="386"/>
      <c r="F1805" s="388"/>
      <c r="G1805" s="387"/>
      <c r="H1805" s="387"/>
      <c r="I1805" s="388"/>
      <c r="J1805" s="388"/>
      <c r="K1805" s="384" t="str">
        <f ca="1">IFERROR(VLOOKUP(C1805,' Disaggregation - Section E '!A$618:J2131,3,0),"")</f>
        <v>HTS-5 Percentage of people newly diagnosed with HIV initiated on ART</v>
      </c>
      <c r="L1805" s="384"/>
      <c r="M1805" s="384"/>
      <c r="N1805" s="388"/>
      <c r="O1805" s="384" t="s">
        <v>2711</v>
      </c>
    </row>
    <row r="1806" spans="1:15" x14ac:dyDescent="0.3">
      <c r="A1806" s="384" t="b">
        <v>0</v>
      </c>
      <c r="B1806" s="384"/>
      <c r="C1806" s="384" t="s">
        <v>3432</v>
      </c>
      <c r="D1806" s="389">
        <v>16</v>
      </c>
      <c r="E1806" s="386"/>
      <c r="F1806" s="388"/>
      <c r="G1806" s="387"/>
      <c r="H1806" s="387"/>
      <c r="I1806" s="388"/>
      <c r="J1806" s="388"/>
      <c r="K1806" s="384" t="str">
        <f ca="1">IFERROR(VLOOKUP(C1806,' Disaggregation - Section E '!A$618:J2132,3,0),"")</f>
        <v>HTS-5 Percentage of people newly diagnosed with HIV initiated on ART</v>
      </c>
      <c r="L1806" s="384"/>
      <c r="M1806" s="384"/>
      <c r="N1806" s="388"/>
      <c r="O1806" s="384" t="s">
        <v>2711</v>
      </c>
    </row>
    <row r="1807" spans="1:15" x14ac:dyDescent="0.3">
      <c r="A1807" s="384" t="b">
        <v>0</v>
      </c>
      <c r="B1807" s="384"/>
      <c r="C1807" s="384" t="s">
        <v>3433</v>
      </c>
      <c r="D1807" s="389">
        <v>16</v>
      </c>
      <c r="E1807" s="386"/>
      <c r="F1807" s="388"/>
      <c r="G1807" s="387"/>
      <c r="H1807" s="387"/>
      <c r="I1807" s="388"/>
      <c r="J1807" s="388"/>
      <c r="K1807" s="384" t="str">
        <f ca="1">IFERROR(VLOOKUP(C1807,' Disaggregation - Section E '!A$618:J2133,3,0),"")</f>
        <v>HTS-5 Percentage of people newly diagnosed with HIV initiated on ART</v>
      </c>
      <c r="L1807" s="384"/>
      <c r="M1807" s="384"/>
      <c r="N1807" s="388"/>
      <c r="O1807" s="384" t="s">
        <v>2711</v>
      </c>
    </row>
    <row r="1808" spans="1:15" x14ac:dyDescent="0.3">
      <c r="A1808" s="384" t="b">
        <v>0</v>
      </c>
      <c r="B1808" s="384"/>
      <c r="C1808" s="384" t="s">
        <v>3434</v>
      </c>
      <c r="D1808" s="389">
        <v>16</v>
      </c>
      <c r="E1808" s="386"/>
      <c r="F1808" s="388"/>
      <c r="G1808" s="387"/>
      <c r="H1808" s="387"/>
      <c r="I1808" s="388"/>
      <c r="J1808" s="388"/>
      <c r="K1808" s="384" t="str">
        <f ca="1">IFERROR(VLOOKUP(C1808,' Disaggregation - Section E '!A$618:J2134,3,0),"")</f>
        <v>HTS-5 Percentage of people newly diagnosed with HIV initiated on ART</v>
      </c>
      <c r="L1808" s="384"/>
      <c r="M1808" s="384"/>
      <c r="N1808" s="388"/>
      <c r="O1808" s="384" t="s">
        <v>2711</v>
      </c>
    </row>
    <row r="1809" spans="1:15" x14ac:dyDescent="0.3">
      <c r="A1809" s="384" t="b">
        <v>0</v>
      </c>
      <c r="B1809" s="384"/>
      <c r="C1809" s="384" t="s">
        <v>3435</v>
      </c>
      <c r="D1809" s="389">
        <v>16</v>
      </c>
      <c r="E1809" s="386"/>
      <c r="F1809" s="388"/>
      <c r="G1809" s="387"/>
      <c r="H1809" s="387"/>
      <c r="I1809" s="388"/>
      <c r="J1809" s="388"/>
      <c r="K1809" s="384" t="str">
        <f ca="1">IFERROR(VLOOKUP(C1809,' Disaggregation - Section E '!A$618:J2135,3,0),"")</f>
        <v>HTS-5 Percentage of people newly diagnosed with HIV initiated on ART</v>
      </c>
      <c r="L1809" s="384"/>
      <c r="M1809" s="384"/>
      <c r="N1809" s="388"/>
      <c r="O1809" s="384" t="s">
        <v>2711</v>
      </c>
    </row>
    <row r="1810" spans="1:15" x14ac:dyDescent="0.3">
      <c r="A1810" s="384" t="b">
        <v>0</v>
      </c>
      <c r="B1810" s="384"/>
      <c r="C1810" s="384" t="s">
        <v>3436</v>
      </c>
      <c r="D1810" s="389">
        <v>16</v>
      </c>
      <c r="E1810" s="386"/>
      <c r="F1810" s="388"/>
      <c r="G1810" s="387"/>
      <c r="H1810" s="387"/>
      <c r="I1810" s="388"/>
      <c r="J1810" s="388"/>
      <c r="K1810" s="384" t="str">
        <f ca="1">IFERROR(VLOOKUP(C1810,' Disaggregation - Section E '!A$618:J2136,3,0),"")</f>
        <v>HTS-5 Percentage of people newly diagnosed with HIV initiated on ART</v>
      </c>
      <c r="L1810" s="384"/>
      <c r="M1810" s="384"/>
      <c r="N1810" s="388"/>
      <c r="O1810" s="384" t="s">
        <v>2711</v>
      </c>
    </row>
    <row r="1811" spans="1:15" x14ac:dyDescent="0.3">
      <c r="A1811" s="384" t="b">
        <v>0</v>
      </c>
      <c r="B1811" s="384"/>
      <c r="C1811" s="384" t="s">
        <v>3437</v>
      </c>
      <c r="D1811" s="389">
        <v>16</v>
      </c>
      <c r="E1811" s="386"/>
      <c r="F1811" s="388"/>
      <c r="G1811" s="387"/>
      <c r="H1811" s="387"/>
      <c r="I1811" s="388"/>
      <c r="J1811" s="388"/>
      <c r="K1811" s="384" t="str">
        <f ca="1">IFERROR(VLOOKUP(C1811,' Disaggregation - Section E '!A$618:J2137,3,0),"")</f>
        <v>HTS-5 Percentage of people newly diagnosed with HIV initiated on ART</v>
      </c>
      <c r="L1811" s="384"/>
      <c r="M1811" s="384"/>
      <c r="N1811" s="388"/>
      <c r="O1811" s="384" t="s">
        <v>2711</v>
      </c>
    </row>
    <row r="1812" spans="1:15" x14ac:dyDescent="0.3">
      <c r="A1812" s="384" t="b">
        <v>0</v>
      </c>
      <c r="B1812" s="384"/>
      <c r="C1812" s="384" t="s">
        <v>3438</v>
      </c>
      <c r="D1812" s="389">
        <v>16</v>
      </c>
      <c r="E1812" s="386"/>
      <c r="F1812" s="388"/>
      <c r="G1812" s="387"/>
      <c r="H1812" s="387"/>
      <c r="I1812" s="388"/>
      <c r="J1812" s="388"/>
      <c r="K1812" s="384" t="str">
        <f ca="1">IFERROR(VLOOKUP(C1812,' Disaggregation - Section E '!A$618:J2138,3,0),"")</f>
        <v>HTS-5 Percentage of people newly diagnosed with HIV initiated on ART</v>
      </c>
      <c r="L1812" s="384"/>
      <c r="M1812" s="384"/>
      <c r="N1812" s="388"/>
      <c r="O1812" s="384" t="s">
        <v>2711</v>
      </c>
    </row>
    <row r="1813" spans="1:15" x14ac:dyDescent="0.3">
      <c r="A1813" s="384" t="b">
        <v>0</v>
      </c>
      <c r="B1813" s="384"/>
      <c r="C1813" s="384" t="s">
        <v>3439</v>
      </c>
      <c r="D1813" s="389">
        <v>16</v>
      </c>
      <c r="E1813" s="386"/>
      <c r="F1813" s="388"/>
      <c r="G1813" s="387"/>
      <c r="H1813" s="387"/>
      <c r="I1813" s="388"/>
      <c r="J1813" s="388"/>
      <c r="K1813" s="384" t="str">
        <f ca="1">IFERROR(VLOOKUP(C1813,' Disaggregation - Section E '!A$618:J2139,3,0),"")</f>
        <v>HTS-5 Percentage of people newly diagnosed with HIV initiated on ART</v>
      </c>
      <c r="L1813" s="384"/>
      <c r="M1813" s="384"/>
      <c r="N1813" s="388"/>
      <c r="O1813" s="384" t="s">
        <v>2711</v>
      </c>
    </row>
    <row r="1814" spans="1:15" x14ac:dyDescent="0.3">
      <c r="A1814" s="384" t="b">
        <v>0</v>
      </c>
      <c r="B1814" s="384"/>
      <c r="C1814" s="384" t="s">
        <v>3440</v>
      </c>
      <c r="D1814" s="389">
        <v>16</v>
      </c>
      <c r="E1814" s="386"/>
      <c r="F1814" s="388"/>
      <c r="G1814" s="387"/>
      <c r="H1814" s="387"/>
      <c r="I1814" s="388"/>
      <c r="J1814" s="388"/>
      <c r="K1814" s="384" t="str">
        <f ca="1">IFERROR(VLOOKUP(C1814,' Disaggregation - Section E '!A$618:J2140,3,0),"")</f>
        <v>HTS-5 Percentage of people newly diagnosed with HIV initiated on ART</v>
      </c>
      <c r="L1814" s="384"/>
      <c r="M1814" s="384"/>
      <c r="N1814" s="388"/>
      <c r="O1814" s="384" t="s">
        <v>2711</v>
      </c>
    </row>
    <row r="1815" spans="1:15" x14ac:dyDescent="0.3">
      <c r="A1815" s="384" t="b">
        <v>0</v>
      </c>
      <c r="B1815" s="384"/>
      <c r="C1815" s="384" t="s">
        <v>3441</v>
      </c>
      <c r="D1815" s="389">
        <v>17</v>
      </c>
      <c r="E1815" s="386"/>
      <c r="F1815" s="388"/>
      <c r="G1815" s="387"/>
      <c r="H1815" s="387"/>
      <c r="I1815" s="388"/>
      <c r="J1815" s="388"/>
      <c r="K1815" s="384" t="str">
        <f ca="1">IFERROR(VLOOKUP(C1815,' Disaggregation - Section E '!A$618:J2141,3,0),"")</f>
        <v>TB/HIV-7.1 Percentage of people living with HIV currently enrolled on antiretroviral therapy who started TB preventive treatment (TPT) during the reporting period</v>
      </c>
      <c r="L1815" s="384"/>
      <c r="M1815" s="384"/>
      <c r="N1815" s="388"/>
      <c r="O1815" s="384" t="s">
        <v>2718</v>
      </c>
    </row>
    <row r="1816" spans="1:15" x14ac:dyDescent="0.3">
      <c r="A1816" s="384" t="b">
        <v>0</v>
      </c>
      <c r="B1816" s="384"/>
      <c r="C1816" s="384" t="s">
        <v>3442</v>
      </c>
      <c r="D1816" s="389">
        <v>17</v>
      </c>
      <c r="E1816" s="386"/>
      <c r="F1816" s="388"/>
      <c r="G1816" s="387"/>
      <c r="H1816" s="387"/>
      <c r="I1816" s="388"/>
      <c r="J1816" s="388"/>
      <c r="K1816" s="384" t="str">
        <f ca="1">IFERROR(VLOOKUP(C1816,' Disaggregation - Section E '!A$618:J2142,3,0),"")</f>
        <v>TB/HIV-7.1 Percentage of people living with HIV currently enrolled on antiretroviral therapy who started TB preventive treatment (TPT) during the reporting period</v>
      </c>
      <c r="L1816" s="384"/>
      <c r="M1816" s="384"/>
      <c r="N1816" s="388"/>
      <c r="O1816" s="384" t="s">
        <v>2718</v>
      </c>
    </row>
    <row r="1817" spans="1:15" x14ac:dyDescent="0.3">
      <c r="A1817" s="384" t="b">
        <v>0</v>
      </c>
      <c r="B1817" s="384"/>
      <c r="C1817" s="384" t="s">
        <v>3443</v>
      </c>
      <c r="D1817" s="389">
        <v>17</v>
      </c>
      <c r="E1817" s="386"/>
      <c r="F1817" s="388"/>
      <c r="G1817" s="387"/>
      <c r="H1817" s="387"/>
      <c r="I1817" s="388"/>
      <c r="J1817" s="388"/>
      <c r="K1817" s="384" t="str">
        <f ca="1">IFERROR(VLOOKUP(C1817,' Disaggregation - Section E '!A$618:J2143,3,0),"")</f>
        <v>TB/HIV-7.1 Percentage of people living with HIV currently enrolled on antiretroviral therapy who started TB preventive treatment (TPT) during the reporting period</v>
      </c>
      <c r="L1817" s="384"/>
      <c r="M1817" s="384"/>
      <c r="N1817" s="388"/>
      <c r="O1817" s="384" t="s">
        <v>2718</v>
      </c>
    </row>
    <row r="1818" spans="1:15" x14ac:dyDescent="0.3">
      <c r="A1818" s="384" t="b">
        <v>0</v>
      </c>
      <c r="B1818" s="384"/>
      <c r="C1818" s="384" t="s">
        <v>3444</v>
      </c>
      <c r="D1818" s="389">
        <v>17</v>
      </c>
      <c r="E1818" s="386"/>
      <c r="F1818" s="388"/>
      <c r="G1818" s="387"/>
      <c r="H1818" s="387"/>
      <c r="I1818" s="388"/>
      <c r="J1818" s="388"/>
      <c r="K1818" s="384" t="str">
        <f ca="1">IFERROR(VLOOKUP(C1818,' Disaggregation - Section E '!A$618:J2144,3,0),"")</f>
        <v>TB/HIV-7.1 Percentage of people living with HIV currently enrolled on antiretroviral therapy who started TB preventive treatment (TPT) during the reporting period</v>
      </c>
      <c r="L1818" s="384"/>
      <c r="M1818" s="384"/>
      <c r="N1818" s="388"/>
      <c r="O1818" s="384" t="s">
        <v>2718</v>
      </c>
    </row>
    <row r="1819" spans="1:15" x14ac:dyDescent="0.3">
      <c r="A1819" s="384" t="b">
        <v>0</v>
      </c>
      <c r="B1819" s="384"/>
      <c r="C1819" s="384" t="s">
        <v>3445</v>
      </c>
      <c r="D1819" s="389">
        <v>17</v>
      </c>
      <c r="E1819" s="386"/>
      <c r="F1819" s="388"/>
      <c r="G1819" s="387"/>
      <c r="H1819" s="387"/>
      <c r="I1819" s="388"/>
      <c r="J1819" s="388"/>
      <c r="K1819" s="384" t="str">
        <f ca="1">IFERROR(VLOOKUP(C1819,' Disaggregation - Section E '!A$618:J2145,3,0),"")</f>
        <v>TB/HIV-7.1 Percentage of people living with HIV currently enrolled on antiretroviral therapy who started TB preventive treatment (TPT) during the reporting period</v>
      </c>
      <c r="L1819" s="384"/>
      <c r="M1819" s="384"/>
      <c r="N1819" s="388"/>
      <c r="O1819" s="384" t="s">
        <v>2718</v>
      </c>
    </row>
    <row r="1820" spans="1:15" x14ac:dyDescent="0.3">
      <c r="A1820" s="384" t="b">
        <v>0</v>
      </c>
      <c r="B1820" s="384"/>
      <c r="C1820" s="384" t="s">
        <v>3446</v>
      </c>
      <c r="D1820" s="389">
        <v>17</v>
      </c>
      <c r="E1820" s="386"/>
      <c r="F1820" s="388"/>
      <c r="G1820" s="387"/>
      <c r="H1820" s="387"/>
      <c r="I1820" s="388"/>
      <c r="J1820" s="388"/>
      <c r="K1820" s="384" t="str">
        <f ca="1">IFERROR(VLOOKUP(C1820,' Disaggregation - Section E '!A$618:J2146,3,0),"")</f>
        <v>TB/HIV-7.1 Percentage of people living with HIV currently enrolled on antiretroviral therapy who started TB preventive treatment (TPT) during the reporting period</v>
      </c>
      <c r="L1820" s="384"/>
      <c r="M1820" s="384"/>
      <c r="N1820" s="388"/>
      <c r="O1820" s="384" t="s">
        <v>2718</v>
      </c>
    </row>
    <row r="1821" spans="1:15" x14ac:dyDescent="0.3">
      <c r="A1821" s="384" t="b">
        <v>0</v>
      </c>
      <c r="B1821" s="384"/>
      <c r="C1821" s="384" t="s">
        <v>3447</v>
      </c>
      <c r="D1821" s="389">
        <v>17</v>
      </c>
      <c r="E1821" s="386"/>
      <c r="F1821" s="388"/>
      <c r="G1821" s="387"/>
      <c r="H1821" s="387"/>
      <c r="I1821" s="388"/>
      <c r="J1821" s="388"/>
      <c r="K1821" s="384" t="str">
        <f ca="1">IFERROR(VLOOKUP(C1821,' Disaggregation - Section E '!A$618:J2147,3,0),"")</f>
        <v>TB/HIV-7.1 Percentage of people living with HIV currently enrolled on antiretroviral therapy who started TB preventive treatment (TPT) during the reporting period</v>
      </c>
      <c r="L1821" s="384"/>
      <c r="M1821" s="384"/>
      <c r="N1821" s="388"/>
      <c r="O1821" s="384" t="s">
        <v>2718</v>
      </c>
    </row>
    <row r="1822" spans="1:15" x14ac:dyDescent="0.3">
      <c r="A1822" s="384" t="b">
        <v>0</v>
      </c>
      <c r="B1822" s="384"/>
      <c r="C1822" s="384" t="s">
        <v>3448</v>
      </c>
      <c r="D1822" s="389">
        <v>17</v>
      </c>
      <c r="E1822" s="386"/>
      <c r="F1822" s="388"/>
      <c r="G1822" s="387"/>
      <c r="H1822" s="387"/>
      <c r="I1822" s="388"/>
      <c r="J1822" s="388"/>
      <c r="K1822" s="384" t="str">
        <f ca="1">IFERROR(VLOOKUP(C1822,' Disaggregation - Section E '!A$618:J2148,3,0),"")</f>
        <v>TB/HIV-7.1 Percentage of people living with HIV currently enrolled on antiretroviral therapy who started TB preventive treatment (TPT) during the reporting period</v>
      </c>
      <c r="L1822" s="384"/>
      <c r="M1822" s="384"/>
      <c r="N1822" s="388"/>
      <c r="O1822" s="384" t="s">
        <v>2718</v>
      </c>
    </row>
    <row r="1823" spans="1:15" x14ac:dyDescent="0.3">
      <c r="A1823" s="384" t="b">
        <v>0</v>
      </c>
      <c r="B1823" s="384"/>
      <c r="C1823" s="384" t="s">
        <v>3449</v>
      </c>
      <c r="D1823" s="389">
        <v>17</v>
      </c>
      <c r="E1823" s="386"/>
      <c r="F1823" s="388"/>
      <c r="G1823" s="387"/>
      <c r="H1823" s="387"/>
      <c r="I1823" s="388"/>
      <c r="J1823" s="388"/>
      <c r="K1823" s="384" t="str">
        <f ca="1">IFERROR(VLOOKUP(C1823,' Disaggregation - Section E '!A$618:J2149,3,0),"")</f>
        <v>TB/HIV-7.1 Percentage of people living with HIV currently enrolled on antiretroviral therapy who started TB preventive treatment (TPT) during the reporting period</v>
      </c>
      <c r="L1823" s="384"/>
      <c r="M1823" s="384"/>
      <c r="N1823" s="388"/>
      <c r="O1823" s="384" t="s">
        <v>2718</v>
      </c>
    </row>
    <row r="1824" spans="1:15" x14ac:dyDescent="0.3">
      <c r="A1824" s="384" t="b">
        <v>0</v>
      </c>
      <c r="B1824" s="384"/>
      <c r="C1824" s="384" t="s">
        <v>3450</v>
      </c>
      <c r="D1824" s="389">
        <v>17</v>
      </c>
      <c r="E1824" s="386"/>
      <c r="F1824" s="388"/>
      <c r="G1824" s="387"/>
      <c r="H1824" s="387"/>
      <c r="I1824" s="388"/>
      <c r="J1824" s="388"/>
      <c r="K1824" s="384" t="str">
        <f ca="1">IFERROR(VLOOKUP(C1824,' Disaggregation - Section E '!A$618:J2150,3,0),"")</f>
        <v>TB/HIV-7.1 Percentage of people living with HIV currently enrolled on antiretroviral therapy who started TB preventive treatment (TPT) during the reporting period</v>
      </c>
      <c r="L1824" s="384"/>
      <c r="M1824" s="384"/>
      <c r="N1824" s="388"/>
      <c r="O1824" s="384" t="s">
        <v>2718</v>
      </c>
    </row>
    <row r="1825" spans="1:15" x14ac:dyDescent="0.3">
      <c r="A1825" s="384" t="b">
        <v>0</v>
      </c>
      <c r="B1825" s="384"/>
      <c r="C1825" s="384" t="s">
        <v>3451</v>
      </c>
      <c r="D1825" s="389">
        <v>17</v>
      </c>
      <c r="E1825" s="386"/>
      <c r="F1825" s="388"/>
      <c r="G1825" s="387"/>
      <c r="H1825" s="387"/>
      <c r="I1825" s="388"/>
      <c r="J1825" s="388"/>
      <c r="K1825" s="384" t="str">
        <f ca="1">IFERROR(VLOOKUP(C1825,' Disaggregation - Section E '!A$618:J2151,3,0),"")</f>
        <v>TB/HIV-7.1 Percentage of people living with HIV currently enrolled on antiretroviral therapy who started TB preventive treatment (TPT) during the reporting period</v>
      </c>
      <c r="L1825" s="384"/>
      <c r="M1825" s="384"/>
      <c r="N1825" s="388"/>
      <c r="O1825" s="384" t="s">
        <v>2718</v>
      </c>
    </row>
    <row r="1826" spans="1:15" x14ac:dyDescent="0.3">
      <c r="A1826" s="384" t="b">
        <v>0</v>
      </c>
      <c r="B1826" s="384"/>
      <c r="C1826" s="384" t="s">
        <v>3452</v>
      </c>
      <c r="D1826" s="389">
        <v>17</v>
      </c>
      <c r="E1826" s="386"/>
      <c r="F1826" s="388"/>
      <c r="G1826" s="387"/>
      <c r="H1826" s="387"/>
      <c r="I1826" s="388"/>
      <c r="J1826" s="388"/>
      <c r="K1826" s="384" t="str">
        <f ca="1">IFERROR(VLOOKUP(C1826,' Disaggregation - Section E '!A$618:J2152,3,0),"")</f>
        <v>TB/HIV-7.1 Percentage of people living with HIV currently enrolled on antiretroviral therapy who started TB preventive treatment (TPT) during the reporting period</v>
      </c>
      <c r="L1826" s="384"/>
      <c r="M1826" s="384"/>
      <c r="N1826" s="388"/>
      <c r="O1826" s="384" t="s">
        <v>2718</v>
      </c>
    </row>
    <row r="1827" spans="1:15" x14ac:dyDescent="0.3">
      <c r="A1827" s="384" t="b">
        <v>0</v>
      </c>
      <c r="B1827" s="384"/>
      <c r="C1827" s="384" t="s">
        <v>3453</v>
      </c>
      <c r="D1827" s="389">
        <v>17</v>
      </c>
      <c r="E1827" s="386"/>
      <c r="F1827" s="388"/>
      <c r="G1827" s="387"/>
      <c r="H1827" s="387"/>
      <c r="I1827" s="388"/>
      <c r="J1827" s="388"/>
      <c r="K1827" s="384" t="str">
        <f ca="1">IFERROR(VLOOKUP(C1827,' Disaggregation - Section E '!A$618:J2153,3,0),"")</f>
        <v>TB/HIV-7.1 Percentage of people living with HIV currently enrolled on antiretroviral therapy who started TB preventive treatment (TPT) during the reporting period</v>
      </c>
      <c r="L1827" s="384"/>
      <c r="M1827" s="384"/>
      <c r="N1827" s="388"/>
      <c r="O1827" s="384" t="s">
        <v>2718</v>
      </c>
    </row>
    <row r="1828" spans="1:15" x14ac:dyDescent="0.3">
      <c r="A1828" s="384" t="b">
        <v>0</v>
      </c>
      <c r="B1828" s="384"/>
      <c r="C1828" s="384" t="s">
        <v>3454</v>
      </c>
      <c r="D1828" s="389">
        <v>17</v>
      </c>
      <c r="E1828" s="386"/>
      <c r="F1828" s="388"/>
      <c r="G1828" s="387"/>
      <c r="H1828" s="387"/>
      <c r="I1828" s="388"/>
      <c r="J1828" s="388"/>
      <c r="K1828" s="384" t="str">
        <f ca="1">IFERROR(VLOOKUP(C1828,' Disaggregation - Section E '!A$618:J2154,3,0),"")</f>
        <v>TB/HIV-7.1 Percentage of people living with HIV currently enrolled on antiretroviral therapy who started TB preventive treatment (TPT) during the reporting period</v>
      </c>
      <c r="L1828" s="384"/>
      <c r="M1828" s="384"/>
      <c r="N1828" s="388"/>
      <c r="O1828" s="384" t="s">
        <v>2718</v>
      </c>
    </row>
    <row r="1829" spans="1:15" x14ac:dyDescent="0.3">
      <c r="A1829" s="384" t="b">
        <v>0</v>
      </c>
      <c r="B1829" s="384"/>
      <c r="C1829" s="384" t="s">
        <v>3455</v>
      </c>
      <c r="D1829" s="389">
        <v>17</v>
      </c>
      <c r="E1829" s="386"/>
      <c r="F1829" s="388"/>
      <c r="G1829" s="387"/>
      <c r="H1829" s="387"/>
      <c r="I1829" s="388"/>
      <c r="J1829" s="388"/>
      <c r="K1829" s="384" t="str">
        <f ca="1">IFERROR(VLOOKUP(C1829,' Disaggregation - Section E '!A$618:J2155,3,0),"")</f>
        <v>TB/HIV-7.1 Percentage of people living with HIV currently enrolled on antiretroviral therapy who started TB preventive treatment (TPT) during the reporting period</v>
      </c>
      <c r="L1829" s="384"/>
      <c r="M1829" s="384"/>
      <c r="N1829" s="388"/>
      <c r="O1829" s="384" t="s">
        <v>2718</v>
      </c>
    </row>
    <row r="1830" spans="1:15" x14ac:dyDescent="0.3">
      <c r="A1830" s="384" t="b">
        <v>0</v>
      </c>
      <c r="B1830" s="384"/>
      <c r="C1830" s="384" t="s">
        <v>3456</v>
      </c>
      <c r="D1830" s="389">
        <v>17</v>
      </c>
      <c r="E1830" s="386"/>
      <c r="F1830" s="388"/>
      <c r="G1830" s="387"/>
      <c r="H1830" s="387"/>
      <c r="I1830" s="388"/>
      <c r="J1830" s="388"/>
      <c r="K1830" s="384" t="str">
        <f ca="1">IFERROR(VLOOKUP(C1830,' Disaggregation - Section E '!A$618:J2156,3,0),"")</f>
        <v>TB/HIV-7.1 Percentage of people living with HIV currently enrolled on antiretroviral therapy who started TB preventive treatment (TPT) during the reporting period</v>
      </c>
      <c r="L1830" s="384"/>
      <c r="M1830" s="384"/>
      <c r="N1830" s="388"/>
      <c r="O1830" s="384" t="s">
        <v>2718</v>
      </c>
    </row>
    <row r="1831" spans="1:15" x14ac:dyDescent="0.3">
      <c r="A1831" s="384" t="b">
        <v>0</v>
      </c>
      <c r="B1831" s="384"/>
      <c r="C1831" s="384" t="s">
        <v>3457</v>
      </c>
      <c r="D1831" s="389">
        <v>17</v>
      </c>
      <c r="E1831" s="386"/>
      <c r="F1831" s="388"/>
      <c r="G1831" s="387"/>
      <c r="H1831" s="387"/>
      <c r="I1831" s="388"/>
      <c r="J1831" s="388"/>
      <c r="K1831" s="384" t="str">
        <f ca="1">IFERROR(VLOOKUP(C1831,' Disaggregation - Section E '!A$618:J2157,3,0),"")</f>
        <v>TB/HIV-7.1 Percentage of people living with HIV currently enrolled on antiretroviral therapy who started TB preventive treatment (TPT) during the reporting period</v>
      </c>
      <c r="L1831" s="384"/>
      <c r="M1831" s="384"/>
      <c r="N1831" s="388"/>
      <c r="O1831" s="384" t="s">
        <v>2718</v>
      </c>
    </row>
    <row r="1832" spans="1:15" x14ac:dyDescent="0.3">
      <c r="A1832" s="384" t="b">
        <v>0</v>
      </c>
      <c r="B1832" s="384"/>
      <c r="C1832" s="384" t="s">
        <v>3458</v>
      </c>
      <c r="D1832" s="389">
        <v>17</v>
      </c>
      <c r="E1832" s="386"/>
      <c r="F1832" s="388"/>
      <c r="G1832" s="387"/>
      <c r="H1832" s="387"/>
      <c r="I1832" s="388"/>
      <c r="J1832" s="388"/>
      <c r="K1832" s="384" t="str">
        <f ca="1">IFERROR(VLOOKUP(C1832,' Disaggregation - Section E '!A$618:J2158,3,0),"")</f>
        <v>TB/HIV-7.1 Percentage of people living with HIV currently enrolled on antiretroviral therapy who started TB preventive treatment (TPT) during the reporting period</v>
      </c>
      <c r="L1832" s="384"/>
      <c r="M1832" s="384"/>
      <c r="N1832" s="388"/>
      <c r="O1832" s="384" t="s">
        <v>2718</v>
      </c>
    </row>
    <row r="1833" spans="1:15" x14ac:dyDescent="0.3">
      <c r="A1833" s="384" t="b">
        <v>0</v>
      </c>
      <c r="B1833" s="384"/>
      <c r="C1833" s="384" t="s">
        <v>3459</v>
      </c>
      <c r="D1833" s="389">
        <v>17</v>
      </c>
      <c r="E1833" s="386"/>
      <c r="F1833" s="388"/>
      <c r="G1833" s="387"/>
      <c r="H1833" s="387"/>
      <c r="I1833" s="388"/>
      <c r="J1833" s="388"/>
      <c r="K1833" s="384" t="str">
        <f ca="1">IFERROR(VLOOKUP(C1833,' Disaggregation - Section E '!A$618:J2159,3,0),"")</f>
        <v>TB/HIV-7.1 Percentage of people living with HIV currently enrolled on antiretroviral therapy who started TB preventive treatment (TPT) during the reporting period</v>
      </c>
      <c r="L1833" s="384"/>
      <c r="M1833" s="384"/>
      <c r="N1833" s="388"/>
      <c r="O1833" s="384" t="s">
        <v>2718</v>
      </c>
    </row>
    <row r="1834" spans="1:15" x14ac:dyDescent="0.3">
      <c r="A1834" s="384" t="b">
        <v>0</v>
      </c>
      <c r="B1834" s="384"/>
      <c r="C1834" s="384" t="s">
        <v>3460</v>
      </c>
      <c r="D1834" s="389">
        <v>17</v>
      </c>
      <c r="E1834" s="386"/>
      <c r="F1834" s="388"/>
      <c r="G1834" s="387"/>
      <c r="H1834" s="387"/>
      <c r="I1834" s="388"/>
      <c r="J1834" s="388"/>
      <c r="K1834" s="384" t="str">
        <f ca="1">IFERROR(VLOOKUP(C1834,' Disaggregation - Section E '!A$618:J2160,3,0),"")</f>
        <v>TB/HIV-7.1 Percentage of people living with HIV currently enrolled on antiretroviral therapy who started TB preventive treatment (TPT) during the reporting period</v>
      </c>
      <c r="L1834" s="384"/>
      <c r="M1834" s="384"/>
      <c r="N1834" s="388"/>
      <c r="O1834" s="384" t="s">
        <v>2718</v>
      </c>
    </row>
    <row r="1835" spans="1:15" x14ac:dyDescent="0.3">
      <c r="A1835" s="384" t="b">
        <v>0</v>
      </c>
      <c r="B1835" s="384"/>
      <c r="C1835" s="384" t="s">
        <v>3461</v>
      </c>
      <c r="D1835" s="389">
        <v>18</v>
      </c>
      <c r="E1835" s="386"/>
      <c r="F1835" s="388"/>
      <c r="G1835" s="387"/>
      <c r="H1835" s="387"/>
      <c r="I1835" s="388"/>
      <c r="J1835" s="388"/>
      <c r="K1835" s="384" t="str">
        <f ca="1">IFERROR(VLOOKUP(C1835,' Disaggregation - Section E '!A$618:J2161,3,0),"")</f>
        <v>HTS-6 Number of individual HIV self-test kits distributed</v>
      </c>
      <c r="L1835" s="384"/>
      <c r="M1835" s="384"/>
      <c r="N1835" s="388"/>
      <c r="O1835" s="384" t="s">
        <v>2725</v>
      </c>
    </row>
    <row r="1836" spans="1:15" x14ac:dyDescent="0.3">
      <c r="A1836" s="384" t="b">
        <v>0</v>
      </c>
      <c r="B1836" s="384"/>
      <c r="C1836" s="384" t="s">
        <v>3462</v>
      </c>
      <c r="D1836" s="389">
        <v>18</v>
      </c>
      <c r="E1836" s="386"/>
      <c r="F1836" s="388"/>
      <c r="G1836" s="387"/>
      <c r="H1836" s="387"/>
      <c r="I1836" s="388"/>
      <c r="J1836" s="388"/>
      <c r="K1836" s="384" t="str">
        <f ca="1">IFERROR(VLOOKUP(C1836,' Disaggregation - Section E '!A$618:J2162,3,0),"")</f>
        <v>HTS-6 Number of individual HIV self-test kits distributed</v>
      </c>
      <c r="L1836" s="384"/>
      <c r="M1836" s="384"/>
      <c r="N1836" s="388"/>
      <c r="O1836" s="384" t="s">
        <v>2725</v>
      </c>
    </row>
    <row r="1837" spans="1:15" x14ac:dyDescent="0.3">
      <c r="A1837" s="384" t="b">
        <v>0</v>
      </c>
      <c r="B1837" s="384"/>
      <c r="C1837" s="384" t="s">
        <v>3463</v>
      </c>
      <c r="D1837" s="389">
        <v>18</v>
      </c>
      <c r="E1837" s="386"/>
      <c r="F1837" s="388"/>
      <c r="G1837" s="387"/>
      <c r="H1837" s="387"/>
      <c r="I1837" s="388"/>
      <c r="J1837" s="388"/>
      <c r="K1837" s="384" t="str">
        <f ca="1">IFERROR(VLOOKUP(C1837,' Disaggregation - Section E '!A$618:J2163,3,0),"")</f>
        <v>HTS-6 Number of individual HIV self-test kits distributed</v>
      </c>
      <c r="L1837" s="384"/>
      <c r="M1837" s="384"/>
      <c r="N1837" s="388"/>
      <c r="O1837" s="384" t="s">
        <v>2725</v>
      </c>
    </row>
    <row r="1838" spans="1:15" x14ac:dyDescent="0.3">
      <c r="A1838" s="384" t="b">
        <v>0</v>
      </c>
      <c r="B1838" s="384"/>
      <c r="C1838" s="384" t="s">
        <v>3464</v>
      </c>
      <c r="D1838" s="389">
        <v>18</v>
      </c>
      <c r="E1838" s="386"/>
      <c r="F1838" s="388"/>
      <c r="G1838" s="387"/>
      <c r="H1838" s="387"/>
      <c r="I1838" s="388"/>
      <c r="J1838" s="388"/>
      <c r="K1838" s="384" t="str">
        <f ca="1">IFERROR(VLOOKUP(C1838,' Disaggregation - Section E '!A$618:J2164,3,0),"")</f>
        <v>HTS-6 Number of individual HIV self-test kits distributed</v>
      </c>
      <c r="L1838" s="384"/>
      <c r="M1838" s="384"/>
      <c r="N1838" s="388"/>
      <c r="O1838" s="384" t="s">
        <v>2725</v>
      </c>
    </row>
    <row r="1839" spans="1:15" x14ac:dyDescent="0.3">
      <c r="A1839" s="384" t="b">
        <v>0</v>
      </c>
      <c r="B1839" s="384"/>
      <c r="C1839" s="384" t="s">
        <v>3465</v>
      </c>
      <c r="D1839" s="389">
        <v>18</v>
      </c>
      <c r="E1839" s="386"/>
      <c r="F1839" s="388"/>
      <c r="G1839" s="387"/>
      <c r="H1839" s="387"/>
      <c r="I1839" s="388"/>
      <c r="J1839" s="388"/>
      <c r="K1839" s="384" t="str">
        <f ca="1">IFERROR(VLOOKUP(C1839,' Disaggregation - Section E '!A$618:J2165,3,0),"")</f>
        <v>HTS-6 Number of individual HIV self-test kits distributed</v>
      </c>
      <c r="L1839" s="384"/>
      <c r="M1839" s="384"/>
      <c r="N1839" s="388"/>
      <c r="O1839" s="384" t="s">
        <v>2725</v>
      </c>
    </row>
    <row r="1840" spans="1:15" x14ac:dyDescent="0.3">
      <c r="A1840" s="384" t="b">
        <v>0</v>
      </c>
      <c r="B1840" s="384"/>
      <c r="C1840" s="384" t="s">
        <v>3466</v>
      </c>
      <c r="D1840" s="389">
        <v>18</v>
      </c>
      <c r="E1840" s="386"/>
      <c r="F1840" s="388"/>
      <c r="G1840" s="387"/>
      <c r="H1840" s="387"/>
      <c r="I1840" s="388"/>
      <c r="J1840" s="388"/>
      <c r="K1840" s="384" t="str">
        <f ca="1">IFERROR(VLOOKUP(C1840,' Disaggregation - Section E '!A$618:J2166,3,0),"")</f>
        <v>HTS-6 Number of individual HIV self-test kits distributed</v>
      </c>
      <c r="L1840" s="384"/>
      <c r="M1840" s="384"/>
      <c r="N1840" s="388"/>
      <c r="O1840" s="384" t="s">
        <v>2725</v>
      </c>
    </row>
    <row r="1841" spans="1:15" x14ac:dyDescent="0.3">
      <c r="A1841" s="384" t="b">
        <v>0</v>
      </c>
      <c r="B1841" s="384"/>
      <c r="C1841" s="384" t="s">
        <v>3467</v>
      </c>
      <c r="D1841" s="389">
        <v>18</v>
      </c>
      <c r="E1841" s="386"/>
      <c r="F1841" s="388"/>
      <c r="G1841" s="387"/>
      <c r="H1841" s="387"/>
      <c r="I1841" s="388"/>
      <c r="J1841" s="388"/>
      <c r="K1841" s="384" t="str">
        <f ca="1">IFERROR(VLOOKUP(C1841,' Disaggregation - Section E '!A$618:J2167,3,0),"")</f>
        <v>HTS-6 Number of individual HIV self-test kits distributed</v>
      </c>
      <c r="L1841" s="384"/>
      <c r="M1841" s="384"/>
      <c r="N1841" s="388"/>
      <c r="O1841" s="384" t="s">
        <v>2725</v>
      </c>
    </row>
    <row r="1842" spans="1:15" x14ac:dyDescent="0.3">
      <c r="A1842" s="384" t="b">
        <v>0</v>
      </c>
      <c r="B1842" s="384"/>
      <c r="C1842" s="384" t="s">
        <v>3468</v>
      </c>
      <c r="D1842" s="389">
        <v>18</v>
      </c>
      <c r="E1842" s="386"/>
      <c r="F1842" s="388"/>
      <c r="G1842" s="387"/>
      <c r="H1842" s="387"/>
      <c r="I1842" s="388"/>
      <c r="J1842" s="388"/>
      <c r="K1842" s="384" t="str">
        <f ca="1">IFERROR(VLOOKUP(C1842,' Disaggregation - Section E '!A$618:J2168,3,0),"")</f>
        <v>HTS-6 Number of individual HIV self-test kits distributed</v>
      </c>
      <c r="L1842" s="384"/>
      <c r="M1842" s="384"/>
      <c r="N1842" s="388"/>
      <c r="O1842" s="384" t="s">
        <v>2725</v>
      </c>
    </row>
    <row r="1843" spans="1:15" x14ac:dyDescent="0.3">
      <c r="A1843" s="384" t="b">
        <v>0</v>
      </c>
      <c r="B1843" s="384"/>
      <c r="C1843" s="384" t="s">
        <v>3469</v>
      </c>
      <c r="D1843" s="389">
        <v>18</v>
      </c>
      <c r="E1843" s="386"/>
      <c r="F1843" s="388"/>
      <c r="G1843" s="387"/>
      <c r="H1843" s="387"/>
      <c r="I1843" s="388"/>
      <c r="J1843" s="388"/>
      <c r="K1843" s="384" t="str">
        <f ca="1">IFERROR(VLOOKUP(C1843,' Disaggregation - Section E '!A$618:J2169,3,0),"")</f>
        <v>HTS-6 Number of individual HIV self-test kits distributed</v>
      </c>
      <c r="L1843" s="384"/>
      <c r="M1843" s="384"/>
      <c r="N1843" s="388"/>
      <c r="O1843" s="384" t="s">
        <v>2725</v>
      </c>
    </row>
    <row r="1844" spans="1:15" x14ac:dyDescent="0.3">
      <c r="A1844" s="384" t="b">
        <v>0</v>
      </c>
      <c r="B1844" s="384"/>
      <c r="C1844" s="384" t="s">
        <v>3470</v>
      </c>
      <c r="D1844" s="389">
        <v>18</v>
      </c>
      <c r="E1844" s="386"/>
      <c r="F1844" s="388"/>
      <c r="G1844" s="387"/>
      <c r="H1844" s="387"/>
      <c r="I1844" s="388"/>
      <c r="J1844" s="388"/>
      <c r="K1844" s="384" t="str">
        <f ca="1">IFERROR(VLOOKUP(C1844,' Disaggregation - Section E '!A$618:J2170,3,0),"")</f>
        <v>HTS-6 Number of individual HIV self-test kits distributed</v>
      </c>
      <c r="L1844" s="384"/>
      <c r="M1844" s="384"/>
      <c r="N1844" s="388"/>
      <c r="O1844" s="384" t="s">
        <v>2725</v>
      </c>
    </row>
    <row r="1845" spans="1:15" x14ac:dyDescent="0.3">
      <c r="A1845" s="384" t="b">
        <v>0</v>
      </c>
      <c r="B1845" s="384"/>
      <c r="C1845" s="384" t="s">
        <v>3471</v>
      </c>
      <c r="D1845" s="389">
        <v>18</v>
      </c>
      <c r="E1845" s="386"/>
      <c r="F1845" s="388"/>
      <c r="G1845" s="387"/>
      <c r="H1845" s="387"/>
      <c r="I1845" s="388"/>
      <c r="J1845" s="388"/>
      <c r="K1845" s="384" t="str">
        <f ca="1">IFERROR(VLOOKUP(C1845,' Disaggregation - Section E '!A$618:J2171,3,0),"")</f>
        <v>HTS-6 Number of individual HIV self-test kits distributed</v>
      </c>
      <c r="L1845" s="384"/>
      <c r="M1845" s="384"/>
      <c r="N1845" s="388"/>
      <c r="O1845" s="384" t="s">
        <v>2725</v>
      </c>
    </row>
    <row r="1846" spans="1:15" x14ac:dyDescent="0.3">
      <c r="A1846" s="384" t="b">
        <v>0</v>
      </c>
      <c r="B1846" s="384"/>
      <c r="C1846" s="384" t="s">
        <v>3472</v>
      </c>
      <c r="D1846" s="389">
        <v>18</v>
      </c>
      <c r="E1846" s="386"/>
      <c r="F1846" s="388"/>
      <c r="G1846" s="387"/>
      <c r="H1846" s="387"/>
      <c r="I1846" s="388"/>
      <c r="J1846" s="388"/>
      <c r="K1846" s="384" t="str">
        <f ca="1">IFERROR(VLOOKUP(C1846,' Disaggregation - Section E '!A$618:J2172,3,0),"")</f>
        <v>HTS-6 Number of individual HIV self-test kits distributed</v>
      </c>
      <c r="L1846" s="384"/>
      <c r="M1846" s="384"/>
      <c r="N1846" s="388"/>
      <c r="O1846" s="384" t="s">
        <v>2725</v>
      </c>
    </row>
    <row r="1847" spans="1:15" x14ac:dyDescent="0.3">
      <c r="A1847" s="384" t="b">
        <v>0</v>
      </c>
      <c r="B1847" s="384"/>
      <c r="C1847" s="384" t="s">
        <v>3473</v>
      </c>
      <c r="D1847" s="389">
        <v>18</v>
      </c>
      <c r="E1847" s="386"/>
      <c r="F1847" s="388"/>
      <c r="G1847" s="387"/>
      <c r="H1847" s="387"/>
      <c r="I1847" s="388"/>
      <c r="J1847" s="388"/>
      <c r="K1847" s="384" t="str">
        <f ca="1">IFERROR(VLOOKUP(C1847,' Disaggregation - Section E '!A$618:J2173,3,0),"")</f>
        <v>HTS-6 Number of individual HIV self-test kits distributed</v>
      </c>
      <c r="L1847" s="384"/>
      <c r="M1847" s="384"/>
      <c r="N1847" s="388"/>
      <c r="O1847" s="384" t="s">
        <v>2725</v>
      </c>
    </row>
    <row r="1848" spans="1:15" x14ac:dyDescent="0.3">
      <c r="A1848" s="384" t="b">
        <v>0</v>
      </c>
      <c r="B1848" s="384"/>
      <c r="C1848" s="384" t="s">
        <v>3474</v>
      </c>
      <c r="D1848" s="389">
        <v>18</v>
      </c>
      <c r="E1848" s="386"/>
      <c r="F1848" s="388"/>
      <c r="G1848" s="387"/>
      <c r="H1848" s="387"/>
      <c r="I1848" s="388"/>
      <c r="J1848" s="388"/>
      <c r="K1848" s="384" t="str">
        <f ca="1">IFERROR(VLOOKUP(C1848,' Disaggregation - Section E '!A$618:J2174,3,0),"")</f>
        <v>HTS-6 Number of individual HIV self-test kits distributed</v>
      </c>
      <c r="L1848" s="384"/>
      <c r="M1848" s="384"/>
      <c r="N1848" s="388"/>
      <c r="O1848" s="384" t="s">
        <v>2725</v>
      </c>
    </row>
    <row r="1849" spans="1:15" x14ac:dyDescent="0.3">
      <c r="A1849" s="384" t="b">
        <v>0</v>
      </c>
      <c r="B1849" s="384"/>
      <c r="C1849" s="384" t="s">
        <v>3475</v>
      </c>
      <c r="D1849" s="389">
        <v>18</v>
      </c>
      <c r="E1849" s="386"/>
      <c r="F1849" s="388"/>
      <c r="G1849" s="387"/>
      <c r="H1849" s="387"/>
      <c r="I1849" s="388"/>
      <c r="J1849" s="388"/>
      <c r="K1849" s="384" t="str">
        <f ca="1">IFERROR(VLOOKUP(C1849,' Disaggregation - Section E '!A$618:J2175,3,0),"")</f>
        <v>HTS-6 Number of individual HIV self-test kits distributed</v>
      </c>
      <c r="L1849" s="384"/>
      <c r="M1849" s="384"/>
      <c r="N1849" s="388"/>
      <c r="O1849" s="384" t="s">
        <v>2725</v>
      </c>
    </row>
    <row r="1850" spans="1:15" x14ac:dyDescent="0.3">
      <c r="A1850" s="384" t="b">
        <v>0</v>
      </c>
      <c r="B1850" s="384"/>
      <c r="C1850" s="384" t="s">
        <v>3476</v>
      </c>
      <c r="D1850" s="389">
        <v>18</v>
      </c>
      <c r="E1850" s="386"/>
      <c r="F1850" s="388"/>
      <c r="G1850" s="387"/>
      <c r="H1850" s="387"/>
      <c r="I1850" s="388"/>
      <c r="J1850" s="388"/>
      <c r="K1850" s="384" t="str">
        <f ca="1">IFERROR(VLOOKUP(C1850,' Disaggregation - Section E '!A$618:J2176,3,0),"")</f>
        <v>HTS-6 Number of individual HIV self-test kits distributed</v>
      </c>
      <c r="L1850" s="384"/>
      <c r="M1850" s="384"/>
      <c r="N1850" s="388"/>
      <c r="O1850" s="384" t="s">
        <v>2725</v>
      </c>
    </row>
    <row r="1851" spans="1:15" x14ac:dyDescent="0.3">
      <c r="A1851" s="384" t="b">
        <v>0</v>
      </c>
      <c r="B1851" s="384"/>
      <c r="C1851" s="384" t="s">
        <v>3477</v>
      </c>
      <c r="D1851" s="389">
        <v>18</v>
      </c>
      <c r="E1851" s="386"/>
      <c r="F1851" s="388"/>
      <c r="G1851" s="387"/>
      <c r="H1851" s="387"/>
      <c r="I1851" s="388"/>
      <c r="J1851" s="388"/>
      <c r="K1851" s="384" t="str">
        <f ca="1">IFERROR(VLOOKUP(C1851,' Disaggregation - Section E '!A$618:J2177,3,0),"")</f>
        <v>HTS-6 Number of individual HIV self-test kits distributed</v>
      </c>
      <c r="L1851" s="384"/>
      <c r="M1851" s="384"/>
      <c r="N1851" s="388"/>
      <c r="O1851" s="384" t="s">
        <v>2725</v>
      </c>
    </row>
    <row r="1852" spans="1:15" x14ac:dyDescent="0.3">
      <c r="A1852" s="384" t="b">
        <v>0</v>
      </c>
      <c r="B1852" s="384"/>
      <c r="C1852" s="384" t="s">
        <v>3478</v>
      </c>
      <c r="D1852" s="389">
        <v>18</v>
      </c>
      <c r="E1852" s="386"/>
      <c r="F1852" s="388"/>
      <c r="G1852" s="387"/>
      <c r="H1852" s="387"/>
      <c r="I1852" s="388"/>
      <c r="J1852" s="388"/>
      <c r="K1852" s="384" t="str">
        <f ca="1">IFERROR(VLOOKUP(C1852,' Disaggregation - Section E '!A$618:J2178,3,0),"")</f>
        <v>HTS-6 Number of individual HIV self-test kits distributed</v>
      </c>
      <c r="L1852" s="384"/>
      <c r="M1852" s="384"/>
      <c r="N1852" s="388"/>
      <c r="O1852" s="384" t="s">
        <v>2725</v>
      </c>
    </row>
    <row r="1853" spans="1:15" x14ac:dyDescent="0.3">
      <c r="A1853" s="384" t="b">
        <v>0</v>
      </c>
      <c r="B1853" s="384"/>
      <c r="C1853" s="384" t="s">
        <v>3479</v>
      </c>
      <c r="D1853" s="389">
        <v>18</v>
      </c>
      <c r="E1853" s="386"/>
      <c r="F1853" s="388"/>
      <c r="G1853" s="387"/>
      <c r="H1853" s="387"/>
      <c r="I1853" s="388"/>
      <c r="J1853" s="388"/>
      <c r="K1853" s="384" t="str">
        <f ca="1">IFERROR(VLOOKUP(C1853,' Disaggregation - Section E '!A$618:J2179,3,0),"")</f>
        <v>HTS-6 Number of individual HIV self-test kits distributed</v>
      </c>
      <c r="L1853" s="384"/>
      <c r="M1853" s="384"/>
      <c r="N1853" s="388"/>
      <c r="O1853" s="384" t="s">
        <v>2725</v>
      </c>
    </row>
    <row r="1854" spans="1:15" x14ac:dyDescent="0.3">
      <c r="A1854" s="384" t="b">
        <v>0</v>
      </c>
      <c r="B1854" s="384"/>
      <c r="C1854" s="384" t="s">
        <v>3480</v>
      </c>
      <c r="D1854" s="389">
        <v>18</v>
      </c>
      <c r="E1854" s="386"/>
      <c r="F1854" s="388"/>
      <c r="G1854" s="387"/>
      <c r="H1854" s="387"/>
      <c r="I1854" s="388"/>
      <c r="J1854" s="388"/>
      <c r="K1854" s="384" t="str">
        <f ca="1">IFERROR(VLOOKUP(C1854,' Disaggregation - Section E '!A$618:J2180,3,0),"")</f>
        <v>HTS-6 Number of individual HIV self-test kits distributed</v>
      </c>
      <c r="L1854" s="384"/>
      <c r="M1854" s="384"/>
      <c r="N1854" s="388"/>
      <c r="O1854" s="384" t="s">
        <v>2725</v>
      </c>
    </row>
    <row r="1855" spans="1:15" x14ac:dyDescent="0.3">
      <c r="A1855" s="384" t="b">
        <v>0</v>
      </c>
      <c r="B1855" s="384"/>
      <c r="C1855" s="384" t="s">
        <v>3481</v>
      </c>
      <c r="D1855" s="389">
        <v>19</v>
      </c>
      <c r="E1855" s="386"/>
      <c r="F1855" s="388"/>
      <c r="G1855" s="387"/>
      <c r="H1855" s="387"/>
      <c r="I1855" s="388"/>
      <c r="J1855" s="388"/>
      <c r="K1855" s="384" t="str">
        <f ca="1">IFERROR(VLOOKUP(C1855,' Disaggregation - Section E '!A$618:J2181,3,0),"")</f>
        <v>TCS-9 Percentage of people living with HIV and currently on antiretroviral therapy who are receiving multi month dispensing of antiretroviral medicine</v>
      </c>
      <c r="L1855" s="384"/>
      <c r="M1855" s="384"/>
      <c r="N1855" s="388"/>
      <c r="O1855" s="384" t="s">
        <v>2732</v>
      </c>
    </row>
    <row r="1856" spans="1:15" x14ac:dyDescent="0.3">
      <c r="A1856" s="384" t="b">
        <v>0</v>
      </c>
      <c r="B1856" s="384"/>
      <c r="C1856" s="384" t="s">
        <v>3482</v>
      </c>
      <c r="D1856" s="389">
        <v>19</v>
      </c>
      <c r="E1856" s="386"/>
      <c r="F1856" s="388"/>
      <c r="G1856" s="387"/>
      <c r="H1856" s="387"/>
      <c r="I1856" s="388"/>
      <c r="J1856" s="388"/>
      <c r="K1856" s="384" t="str">
        <f ca="1">IFERROR(VLOOKUP(C1856,' Disaggregation - Section E '!A$618:J2182,3,0),"")</f>
        <v>TCS-9 Percentage of people living with HIV and currently on antiretroviral therapy who are receiving multi month dispensing of antiretroviral medicine</v>
      </c>
      <c r="L1856" s="384"/>
      <c r="M1856" s="384"/>
      <c r="N1856" s="388"/>
      <c r="O1856" s="384" t="s">
        <v>2732</v>
      </c>
    </row>
    <row r="1857" spans="1:15" x14ac:dyDescent="0.3">
      <c r="A1857" s="384" t="b">
        <v>0</v>
      </c>
      <c r="B1857" s="384"/>
      <c r="C1857" s="384" t="s">
        <v>3483</v>
      </c>
      <c r="D1857" s="389">
        <v>19</v>
      </c>
      <c r="E1857" s="386"/>
      <c r="F1857" s="388"/>
      <c r="G1857" s="387"/>
      <c r="H1857" s="387"/>
      <c r="I1857" s="388"/>
      <c r="J1857" s="388"/>
      <c r="K1857" s="384" t="str">
        <f ca="1">IFERROR(VLOOKUP(C1857,' Disaggregation - Section E '!A$618:J2183,3,0),"")</f>
        <v>TCS-9 Percentage of people living with HIV and currently on antiretroviral therapy who are receiving multi month dispensing of antiretroviral medicine</v>
      </c>
      <c r="L1857" s="384"/>
      <c r="M1857" s="384"/>
      <c r="N1857" s="388"/>
      <c r="O1857" s="384" t="s">
        <v>2732</v>
      </c>
    </row>
    <row r="1858" spans="1:15" x14ac:dyDescent="0.3">
      <c r="A1858" s="384" t="b">
        <v>0</v>
      </c>
      <c r="B1858" s="384"/>
      <c r="C1858" s="384" t="s">
        <v>3484</v>
      </c>
      <c r="D1858" s="389">
        <v>19</v>
      </c>
      <c r="E1858" s="386"/>
      <c r="F1858" s="388"/>
      <c r="G1858" s="387"/>
      <c r="H1858" s="387"/>
      <c r="I1858" s="388"/>
      <c r="J1858" s="388"/>
      <c r="K1858" s="384" t="str">
        <f ca="1">IFERROR(VLOOKUP(C1858,' Disaggregation - Section E '!A$618:J2184,3,0),"")</f>
        <v>TCS-9 Percentage of people living with HIV and currently on antiretroviral therapy who are receiving multi month dispensing of antiretroviral medicine</v>
      </c>
      <c r="L1858" s="384"/>
      <c r="M1858" s="384"/>
      <c r="N1858" s="388"/>
      <c r="O1858" s="384" t="s">
        <v>2732</v>
      </c>
    </row>
    <row r="1859" spans="1:15" x14ac:dyDescent="0.3">
      <c r="A1859" s="384" t="b">
        <v>0</v>
      </c>
      <c r="B1859" s="384"/>
      <c r="C1859" s="384" t="s">
        <v>3485</v>
      </c>
      <c r="D1859" s="389">
        <v>19</v>
      </c>
      <c r="E1859" s="386"/>
      <c r="F1859" s="388"/>
      <c r="G1859" s="387"/>
      <c r="H1859" s="387"/>
      <c r="I1859" s="388"/>
      <c r="J1859" s="388"/>
      <c r="K1859" s="384" t="str">
        <f ca="1">IFERROR(VLOOKUP(C1859,' Disaggregation - Section E '!A$618:J2185,3,0),"")</f>
        <v>TCS-9 Percentage of people living with HIV and currently on antiretroviral therapy who are receiving multi month dispensing of antiretroviral medicine</v>
      </c>
      <c r="L1859" s="384"/>
      <c r="M1859" s="384"/>
      <c r="N1859" s="388"/>
      <c r="O1859" s="384" t="s">
        <v>2732</v>
      </c>
    </row>
    <row r="1860" spans="1:15" x14ac:dyDescent="0.3">
      <c r="A1860" s="384" t="b">
        <v>0</v>
      </c>
      <c r="B1860" s="384"/>
      <c r="C1860" s="384" t="s">
        <v>3486</v>
      </c>
      <c r="D1860" s="389">
        <v>19</v>
      </c>
      <c r="E1860" s="386"/>
      <c r="F1860" s="388"/>
      <c r="G1860" s="387"/>
      <c r="H1860" s="387"/>
      <c r="I1860" s="388"/>
      <c r="J1860" s="388"/>
      <c r="K1860" s="384" t="str">
        <f ca="1">IFERROR(VLOOKUP(C1860,' Disaggregation - Section E '!A$618:J2186,3,0),"")</f>
        <v>TCS-9 Percentage of people living with HIV and currently on antiretroviral therapy who are receiving multi month dispensing of antiretroviral medicine</v>
      </c>
      <c r="L1860" s="384"/>
      <c r="M1860" s="384"/>
      <c r="N1860" s="388"/>
      <c r="O1860" s="384" t="s">
        <v>2732</v>
      </c>
    </row>
    <row r="1861" spans="1:15" x14ac:dyDescent="0.3">
      <c r="A1861" s="384" t="b">
        <v>0</v>
      </c>
      <c r="B1861" s="384"/>
      <c r="C1861" s="384" t="s">
        <v>3487</v>
      </c>
      <c r="D1861" s="389">
        <v>19</v>
      </c>
      <c r="E1861" s="386"/>
      <c r="F1861" s="388"/>
      <c r="G1861" s="387"/>
      <c r="H1861" s="387"/>
      <c r="I1861" s="388"/>
      <c r="J1861" s="388"/>
      <c r="K1861" s="384" t="str">
        <f ca="1">IFERROR(VLOOKUP(C1861,' Disaggregation - Section E '!A$618:J2187,3,0),"")</f>
        <v>TCS-9 Percentage of people living with HIV and currently on antiretroviral therapy who are receiving multi month dispensing of antiretroviral medicine</v>
      </c>
      <c r="L1861" s="384"/>
      <c r="M1861" s="384"/>
      <c r="N1861" s="388"/>
      <c r="O1861" s="384" t="s">
        <v>2732</v>
      </c>
    </row>
    <row r="1862" spans="1:15" x14ac:dyDescent="0.3">
      <c r="A1862" s="384" t="b">
        <v>0</v>
      </c>
      <c r="B1862" s="384"/>
      <c r="C1862" s="384" t="s">
        <v>3488</v>
      </c>
      <c r="D1862" s="389">
        <v>19</v>
      </c>
      <c r="E1862" s="386"/>
      <c r="F1862" s="388"/>
      <c r="G1862" s="387"/>
      <c r="H1862" s="387"/>
      <c r="I1862" s="388"/>
      <c r="J1862" s="388"/>
      <c r="K1862" s="384" t="str">
        <f ca="1">IFERROR(VLOOKUP(C1862,' Disaggregation - Section E '!A$618:J2188,3,0),"")</f>
        <v>TCS-9 Percentage of people living with HIV and currently on antiretroviral therapy who are receiving multi month dispensing of antiretroviral medicine</v>
      </c>
      <c r="L1862" s="384"/>
      <c r="M1862" s="384"/>
      <c r="N1862" s="388"/>
      <c r="O1862" s="384" t="s">
        <v>2732</v>
      </c>
    </row>
    <row r="1863" spans="1:15" x14ac:dyDescent="0.3">
      <c r="A1863" s="384" t="b">
        <v>0</v>
      </c>
      <c r="B1863" s="384"/>
      <c r="C1863" s="384" t="s">
        <v>3489</v>
      </c>
      <c r="D1863" s="389">
        <v>19</v>
      </c>
      <c r="E1863" s="386"/>
      <c r="F1863" s="388"/>
      <c r="G1863" s="387"/>
      <c r="H1863" s="387"/>
      <c r="I1863" s="388"/>
      <c r="J1863" s="388"/>
      <c r="K1863" s="384" t="str">
        <f ca="1">IFERROR(VLOOKUP(C1863,' Disaggregation - Section E '!A$618:J2189,3,0),"")</f>
        <v>TCS-9 Percentage of people living with HIV and currently on antiretroviral therapy who are receiving multi month dispensing of antiretroviral medicine</v>
      </c>
      <c r="L1863" s="384"/>
      <c r="M1863" s="384"/>
      <c r="N1863" s="388"/>
      <c r="O1863" s="384" t="s">
        <v>2732</v>
      </c>
    </row>
    <row r="1864" spans="1:15" x14ac:dyDescent="0.3">
      <c r="A1864" s="384" t="b">
        <v>0</v>
      </c>
      <c r="B1864" s="384"/>
      <c r="C1864" s="384" t="s">
        <v>3490</v>
      </c>
      <c r="D1864" s="389">
        <v>19</v>
      </c>
      <c r="E1864" s="386"/>
      <c r="F1864" s="388"/>
      <c r="G1864" s="387"/>
      <c r="H1864" s="387"/>
      <c r="I1864" s="388"/>
      <c r="J1864" s="388"/>
      <c r="K1864" s="384" t="str">
        <f ca="1">IFERROR(VLOOKUP(C1864,' Disaggregation - Section E '!A$618:J2190,3,0),"")</f>
        <v>TCS-9 Percentage of people living with HIV and currently on antiretroviral therapy who are receiving multi month dispensing of antiretroviral medicine</v>
      </c>
      <c r="L1864" s="384"/>
      <c r="M1864" s="384"/>
      <c r="N1864" s="388"/>
      <c r="O1864" s="384" t="s">
        <v>2732</v>
      </c>
    </row>
    <row r="1865" spans="1:15" x14ac:dyDescent="0.3">
      <c r="A1865" s="384" t="b">
        <v>0</v>
      </c>
      <c r="B1865" s="384"/>
      <c r="C1865" s="384" t="s">
        <v>3491</v>
      </c>
      <c r="D1865" s="389">
        <v>19</v>
      </c>
      <c r="E1865" s="386"/>
      <c r="F1865" s="388"/>
      <c r="G1865" s="387"/>
      <c r="H1865" s="387"/>
      <c r="I1865" s="388"/>
      <c r="J1865" s="388"/>
      <c r="K1865" s="384" t="str">
        <f ca="1">IFERROR(VLOOKUP(C1865,' Disaggregation - Section E '!A$618:J2191,3,0),"")</f>
        <v>TCS-9 Percentage of people living with HIV and currently on antiretroviral therapy who are receiving multi month dispensing of antiretroviral medicine</v>
      </c>
      <c r="L1865" s="384"/>
      <c r="M1865" s="384"/>
      <c r="N1865" s="388"/>
      <c r="O1865" s="384" t="s">
        <v>2732</v>
      </c>
    </row>
    <row r="1866" spans="1:15" x14ac:dyDescent="0.3">
      <c r="A1866" s="384" t="b">
        <v>0</v>
      </c>
      <c r="B1866" s="384"/>
      <c r="C1866" s="384" t="s">
        <v>3492</v>
      </c>
      <c r="D1866" s="389">
        <v>19</v>
      </c>
      <c r="E1866" s="386"/>
      <c r="F1866" s="388"/>
      <c r="G1866" s="387"/>
      <c r="H1866" s="387"/>
      <c r="I1866" s="388"/>
      <c r="J1866" s="388"/>
      <c r="K1866" s="384" t="str">
        <f ca="1">IFERROR(VLOOKUP(C1866,' Disaggregation - Section E '!A$618:J2192,3,0),"")</f>
        <v>TCS-9 Percentage of people living with HIV and currently on antiretroviral therapy who are receiving multi month dispensing of antiretroviral medicine</v>
      </c>
      <c r="L1866" s="384"/>
      <c r="M1866" s="384"/>
      <c r="N1866" s="388"/>
      <c r="O1866" s="384" t="s">
        <v>2732</v>
      </c>
    </row>
    <row r="1867" spans="1:15" x14ac:dyDescent="0.3">
      <c r="A1867" s="384" t="b">
        <v>0</v>
      </c>
      <c r="B1867" s="384"/>
      <c r="C1867" s="384" t="s">
        <v>3493</v>
      </c>
      <c r="D1867" s="389">
        <v>19</v>
      </c>
      <c r="E1867" s="386"/>
      <c r="F1867" s="388"/>
      <c r="G1867" s="387"/>
      <c r="H1867" s="387"/>
      <c r="I1867" s="388"/>
      <c r="J1867" s="388"/>
      <c r="K1867" s="384" t="str">
        <f ca="1">IFERROR(VLOOKUP(C1867,' Disaggregation - Section E '!A$618:J2193,3,0),"")</f>
        <v>TCS-9 Percentage of people living with HIV and currently on antiretroviral therapy who are receiving multi month dispensing of antiretroviral medicine</v>
      </c>
      <c r="L1867" s="384"/>
      <c r="M1867" s="384"/>
      <c r="N1867" s="388"/>
      <c r="O1867" s="384" t="s">
        <v>2732</v>
      </c>
    </row>
    <row r="1868" spans="1:15" x14ac:dyDescent="0.3">
      <c r="A1868" s="384" t="b">
        <v>0</v>
      </c>
      <c r="B1868" s="384"/>
      <c r="C1868" s="384" t="s">
        <v>3494</v>
      </c>
      <c r="D1868" s="389">
        <v>19</v>
      </c>
      <c r="E1868" s="386"/>
      <c r="F1868" s="388"/>
      <c r="G1868" s="387"/>
      <c r="H1868" s="387"/>
      <c r="I1868" s="388"/>
      <c r="J1868" s="388"/>
      <c r="K1868" s="384" t="str">
        <f ca="1">IFERROR(VLOOKUP(C1868,' Disaggregation - Section E '!A$618:J2194,3,0),"")</f>
        <v>TCS-9 Percentage of people living with HIV and currently on antiretroviral therapy who are receiving multi month dispensing of antiretroviral medicine</v>
      </c>
      <c r="L1868" s="384"/>
      <c r="M1868" s="384"/>
      <c r="N1868" s="388"/>
      <c r="O1868" s="384" t="s">
        <v>2732</v>
      </c>
    </row>
    <row r="1869" spans="1:15" x14ac:dyDescent="0.3">
      <c r="A1869" s="384" t="b">
        <v>0</v>
      </c>
      <c r="B1869" s="384"/>
      <c r="C1869" s="384" t="s">
        <v>3495</v>
      </c>
      <c r="D1869" s="389">
        <v>19</v>
      </c>
      <c r="E1869" s="386"/>
      <c r="F1869" s="388"/>
      <c r="G1869" s="387"/>
      <c r="H1869" s="387"/>
      <c r="I1869" s="388"/>
      <c r="J1869" s="388"/>
      <c r="K1869" s="384" t="str">
        <f ca="1">IFERROR(VLOOKUP(C1869,' Disaggregation - Section E '!A$618:J2195,3,0),"")</f>
        <v>TCS-9 Percentage of people living with HIV and currently on antiretroviral therapy who are receiving multi month dispensing of antiretroviral medicine</v>
      </c>
      <c r="L1869" s="384"/>
      <c r="M1869" s="384"/>
      <c r="N1869" s="388"/>
      <c r="O1869" s="384" t="s">
        <v>2732</v>
      </c>
    </row>
    <row r="1870" spans="1:15" x14ac:dyDescent="0.3">
      <c r="A1870" s="384" t="b">
        <v>0</v>
      </c>
      <c r="B1870" s="384"/>
      <c r="C1870" s="384" t="s">
        <v>3496</v>
      </c>
      <c r="D1870" s="389">
        <v>19</v>
      </c>
      <c r="E1870" s="386"/>
      <c r="F1870" s="388"/>
      <c r="G1870" s="387"/>
      <c r="H1870" s="387"/>
      <c r="I1870" s="388"/>
      <c r="J1870" s="388"/>
      <c r="K1870" s="384" t="str">
        <f ca="1">IFERROR(VLOOKUP(C1870,' Disaggregation - Section E '!A$618:J2196,3,0),"")</f>
        <v>TCS-9 Percentage of people living with HIV and currently on antiretroviral therapy who are receiving multi month dispensing of antiretroviral medicine</v>
      </c>
      <c r="L1870" s="384"/>
      <c r="M1870" s="384"/>
      <c r="N1870" s="388"/>
      <c r="O1870" s="384" t="s">
        <v>2732</v>
      </c>
    </row>
    <row r="1871" spans="1:15" x14ac:dyDescent="0.3">
      <c r="A1871" s="384" t="b">
        <v>0</v>
      </c>
      <c r="B1871" s="384"/>
      <c r="C1871" s="384" t="s">
        <v>3497</v>
      </c>
      <c r="D1871" s="389">
        <v>19</v>
      </c>
      <c r="E1871" s="386"/>
      <c r="F1871" s="388"/>
      <c r="G1871" s="387"/>
      <c r="H1871" s="387"/>
      <c r="I1871" s="388"/>
      <c r="J1871" s="388"/>
      <c r="K1871" s="384" t="str">
        <f ca="1">IFERROR(VLOOKUP(C1871,' Disaggregation - Section E '!A$618:J2197,3,0),"")</f>
        <v>TCS-9 Percentage of people living with HIV and currently on antiretroviral therapy who are receiving multi month dispensing of antiretroviral medicine</v>
      </c>
      <c r="L1871" s="384"/>
      <c r="M1871" s="384"/>
      <c r="N1871" s="388"/>
      <c r="O1871" s="384" t="s">
        <v>2732</v>
      </c>
    </row>
    <row r="1872" spans="1:15" x14ac:dyDescent="0.3">
      <c r="A1872" s="384" t="b">
        <v>0</v>
      </c>
      <c r="B1872" s="384"/>
      <c r="C1872" s="384" t="s">
        <v>3498</v>
      </c>
      <c r="D1872" s="389">
        <v>19</v>
      </c>
      <c r="E1872" s="386"/>
      <c r="F1872" s="388"/>
      <c r="G1872" s="387"/>
      <c r="H1872" s="387"/>
      <c r="I1872" s="388"/>
      <c r="J1872" s="388"/>
      <c r="K1872" s="384" t="str">
        <f ca="1">IFERROR(VLOOKUP(C1872,' Disaggregation - Section E '!A$618:J2198,3,0),"")</f>
        <v>TCS-9 Percentage of people living with HIV and currently on antiretroviral therapy who are receiving multi month dispensing of antiretroviral medicine</v>
      </c>
      <c r="L1872" s="384"/>
      <c r="M1872" s="384"/>
      <c r="N1872" s="388"/>
      <c r="O1872" s="384" t="s">
        <v>2732</v>
      </c>
    </row>
    <row r="1873" spans="1:15" x14ac:dyDescent="0.3">
      <c r="A1873" s="384" t="b">
        <v>0</v>
      </c>
      <c r="B1873" s="384"/>
      <c r="C1873" s="384" t="s">
        <v>3499</v>
      </c>
      <c r="D1873" s="389">
        <v>19</v>
      </c>
      <c r="E1873" s="386"/>
      <c r="F1873" s="388"/>
      <c r="G1873" s="387"/>
      <c r="H1873" s="387"/>
      <c r="I1873" s="388"/>
      <c r="J1873" s="388"/>
      <c r="K1873" s="384" t="str">
        <f ca="1">IFERROR(VLOOKUP(C1873,' Disaggregation - Section E '!A$618:J2199,3,0),"")</f>
        <v>TCS-9 Percentage of people living with HIV and currently on antiretroviral therapy who are receiving multi month dispensing of antiretroviral medicine</v>
      </c>
      <c r="L1873" s="384"/>
      <c r="M1873" s="384"/>
      <c r="N1873" s="388"/>
      <c r="O1873" s="384" t="s">
        <v>2732</v>
      </c>
    </row>
    <row r="1874" spans="1:15" x14ac:dyDescent="0.3">
      <c r="A1874" s="384" t="b">
        <v>0</v>
      </c>
      <c r="B1874" s="384"/>
      <c r="C1874" s="384" t="s">
        <v>3500</v>
      </c>
      <c r="D1874" s="389">
        <v>19</v>
      </c>
      <c r="E1874" s="386"/>
      <c r="F1874" s="388"/>
      <c r="G1874" s="387"/>
      <c r="H1874" s="387"/>
      <c r="I1874" s="388"/>
      <c r="J1874" s="388"/>
      <c r="K1874" s="384" t="str">
        <f ca="1">IFERROR(VLOOKUP(C1874,' Disaggregation - Section E '!A$618:J2200,3,0),"")</f>
        <v>TCS-9 Percentage of people living with HIV and currently on antiretroviral therapy who are receiving multi month dispensing of antiretroviral medicine</v>
      </c>
      <c r="L1874" s="384"/>
      <c r="M1874" s="384"/>
      <c r="N1874" s="388"/>
      <c r="O1874" s="384" t="s">
        <v>2732</v>
      </c>
    </row>
    <row r="1875" spans="1:15" x14ac:dyDescent="0.3">
      <c r="A1875" s="384" t="b">
        <v>0</v>
      </c>
      <c r="B1875" s="384"/>
      <c r="C1875" s="384" t="s">
        <v>3501</v>
      </c>
      <c r="D1875" s="389">
        <v>20</v>
      </c>
      <c r="E1875" s="386"/>
      <c r="F1875" s="388"/>
      <c r="G1875" s="387"/>
      <c r="H1875" s="387"/>
      <c r="I1875" s="388"/>
      <c r="J1875" s="388"/>
      <c r="K1875" s="384" t="str">
        <f ca="1">IFERROR(VLOOKUP(C1875,' Disaggregation - Section E '!A$618:J2201,3,0),"")</f>
        <v>DRTB-2⁽ᴹ⁾ Number of people with confirmed RR-TB and/or MDR-TB notified</v>
      </c>
      <c r="L1875" s="384"/>
      <c r="M1875" s="384"/>
      <c r="N1875" s="388"/>
      <c r="O1875" s="384" t="s">
        <v>2739</v>
      </c>
    </row>
    <row r="1876" spans="1:15" x14ac:dyDescent="0.3">
      <c r="A1876" s="384" t="b">
        <v>0</v>
      </c>
      <c r="B1876" s="384"/>
      <c r="C1876" s="384" t="s">
        <v>3502</v>
      </c>
      <c r="D1876" s="389">
        <v>20</v>
      </c>
      <c r="E1876" s="386"/>
      <c r="F1876" s="388"/>
      <c r="G1876" s="387"/>
      <c r="H1876" s="387"/>
      <c r="I1876" s="388"/>
      <c r="J1876" s="388"/>
      <c r="K1876" s="384" t="str">
        <f ca="1">IFERROR(VLOOKUP(C1876,' Disaggregation - Section E '!A$618:J2202,3,0),"")</f>
        <v>DRTB-2⁽ᴹ⁾ Number of people with confirmed RR-TB and/or MDR-TB notified</v>
      </c>
      <c r="L1876" s="384"/>
      <c r="M1876" s="384"/>
      <c r="N1876" s="388"/>
      <c r="O1876" s="384" t="s">
        <v>2739</v>
      </c>
    </row>
    <row r="1877" spans="1:15" x14ac:dyDescent="0.3">
      <c r="A1877" s="384" t="b">
        <v>0</v>
      </c>
      <c r="B1877" s="384"/>
      <c r="C1877" s="384" t="s">
        <v>3503</v>
      </c>
      <c r="D1877" s="389">
        <v>20</v>
      </c>
      <c r="E1877" s="386"/>
      <c r="F1877" s="388"/>
      <c r="G1877" s="387"/>
      <c r="H1877" s="387"/>
      <c r="I1877" s="388"/>
      <c r="J1877" s="388"/>
      <c r="K1877" s="384" t="str">
        <f ca="1">IFERROR(VLOOKUP(C1877,' Disaggregation - Section E '!A$618:J2203,3,0),"")</f>
        <v>DRTB-2⁽ᴹ⁾ Number of people with confirmed RR-TB and/or MDR-TB notified</v>
      </c>
      <c r="L1877" s="384"/>
      <c r="M1877" s="384"/>
      <c r="N1877" s="388"/>
      <c r="O1877" s="384" t="s">
        <v>2739</v>
      </c>
    </row>
    <row r="1878" spans="1:15" x14ac:dyDescent="0.3">
      <c r="A1878" s="384" t="b">
        <v>0</v>
      </c>
      <c r="B1878" s="384"/>
      <c r="C1878" s="384" t="s">
        <v>3504</v>
      </c>
      <c r="D1878" s="389">
        <v>20</v>
      </c>
      <c r="E1878" s="386"/>
      <c r="F1878" s="388"/>
      <c r="G1878" s="387"/>
      <c r="H1878" s="387"/>
      <c r="I1878" s="388"/>
      <c r="J1878" s="388"/>
      <c r="K1878" s="384" t="str">
        <f ca="1">IFERROR(VLOOKUP(C1878,' Disaggregation - Section E '!A$618:J2204,3,0),"")</f>
        <v>DRTB-2⁽ᴹ⁾ Number of people with confirmed RR-TB and/or MDR-TB notified</v>
      </c>
      <c r="L1878" s="384"/>
      <c r="M1878" s="384"/>
      <c r="N1878" s="388"/>
      <c r="O1878" s="384" t="s">
        <v>2739</v>
      </c>
    </row>
    <row r="1879" spans="1:15" x14ac:dyDescent="0.3">
      <c r="A1879" s="384" t="b">
        <v>0</v>
      </c>
      <c r="B1879" s="384"/>
      <c r="C1879" s="384" t="s">
        <v>3505</v>
      </c>
      <c r="D1879" s="389">
        <v>20</v>
      </c>
      <c r="E1879" s="386"/>
      <c r="F1879" s="388"/>
      <c r="G1879" s="387"/>
      <c r="H1879" s="387"/>
      <c r="I1879" s="388"/>
      <c r="J1879" s="388"/>
      <c r="K1879" s="384" t="str">
        <f ca="1">IFERROR(VLOOKUP(C1879,' Disaggregation - Section E '!A$618:J2205,3,0),"")</f>
        <v>DRTB-2⁽ᴹ⁾ Number of people with confirmed RR-TB and/or MDR-TB notified</v>
      </c>
      <c r="L1879" s="384"/>
      <c r="M1879" s="384"/>
      <c r="N1879" s="388"/>
      <c r="O1879" s="384" t="s">
        <v>2739</v>
      </c>
    </row>
    <row r="1880" spans="1:15" x14ac:dyDescent="0.3">
      <c r="A1880" s="384" t="b">
        <v>0</v>
      </c>
      <c r="B1880" s="384"/>
      <c r="C1880" s="384" t="s">
        <v>3506</v>
      </c>
      <c r="D1880" s="389">
        <v>20</v>
      </c>
      <c r="E1880" s="386"/>
      <c r="F1880" s="388"/>
      <c r="G1880" s="387"/>
      <c r="H1880" s="387"/>
      <c r="I1880" s="388"/>
      <c r="J1880" s="388"/>
      <c r="K1880" s="384" t="str">
        <f ca="1">IFERROR(VLOOKUP(C1880,' Disaggregation - Section E '!A$618:J2206,3,0),"")</f>
        <v>DRTB-2⁽ᴹ⁾ Number of people with confirmed RR-TB and/or MDR-TB notified</v>
      </c>
      <c r="L1880" s="384"/>
      <c r="M1880" s="384"/>
      <c r="N1880" s="388"/>
      <c r="O1880" s="384" t="s">
        <v>2739</v>
      </c>
    </row>
    <row r="1881" spans="1:15" x14ac:dyDescent="0.3">
      <c r="A1881" s="384" t="b">
        <v>0</v>
      </c>
      <c r="B1881" s="384"/>
      <c r="C1881" s="384" t="s">
        <v>3507</v>
      </c>
      <c r="D1881" s="389">
        <v>20</v>
      </c>
      <c r="E1881" s="386"/>
      <c r="F1881" s="388"/>
      <c r="G1881" s="387"/>
      <c r="H1881" s="387"/>
      <c r="I1881" s="388"/>
      <c r="J1881" s="388"/>
      <c r="K1881" s="384" t="str">
        <f ca="1">IFERROR(VLOOKUP(C1881,' Disaggregation - Section E '!A$618:J2207,3,0),"")</f>
        <v>DRTB-2⁽ᴹ⁾ Number of people with confirmed RR-TB and/or MDR-TB notified</v>
      </c>
      <c r="L1881" s="384"/>
      <c r="M1881" s="384"/>
      <c r="N1881" s="388"/>
      <c r="O1881" s="384" t="s">
        <v>2739</v>
      </c>
    </row>
    <row r="1882" spans="1:15" x14ac:dyDescent="0.3">
      <c r="A1882" s="384" t="b">
        <v>0</v>
      </c>
      <c r="B1882" s="384"/>
      <c r="C1882" s="384" t="s">
        <v>3508</v>
      </c>
      <c r="D1882" s="389">
        <v>20</v>
      </c>
      <c r="E1882" s="386"/>
      <c r="F1882" s="388"/>
      <c r="G1882" s="387"/>
      <c r="H1882" s="387"/>
      <c r="I1882" s="388"/>
      <c r="J1882" s="388"/>
      <c r="K1882" s="384" t="str">
        <f ca="1">IFERROR(VLOOKUP(C1882,' Disaggregation - Section E '!A$618:J2208,3,0),"")</f>
        <v>DRTB-2⁽ᴹ⁾ Number of people with confirmed RR-TB and/or MDR-TB notified</v>
      </c>
      <c r="L1882" s="384"/>
      <c r="M1882" s="384"/>
      <c r="N1882" s="388"/>
      <c r="O1882" s="384" t="s">
        <v>2739</v>
      </c>
    </row>
    <row r="1883" spans="1:15" x14ac:dyDescent="0.3">
      <c r="A1883" s="384" t="b">
        <v>0</v>
      </c>
      <c r="B1883" s="384"/>
      <c r="C1883" s="384" t="s">
        <v>3509</v>
      </c>
      <c r="D1883" s="389">
        <v>20</v>
      </c>
      <c r="E1883" s="386"/>
      <c r="F1883" s="388"/>
      <c r="G1883" s="387"/>
      <c r="H1883" s="387"/>
      <c r="I1883" s="388"/>
      <c r="J1883" s="388"/>
      <c r="K1883" s="384" t="str">
        <f ca="1">IFERROR(VLOOKUP(C1883,' Disaggregation - Section E '!A$618:J2209,3,0),"")</f>
        <v>DRTB-2⁽ᴹ⁾ Number of people with confirmed RR-TB and/or MDR-TB notified</v>
      </c>
      <c r="L1883" s="384"/>
      <c r="M1883" s="384"/>
      <c r="N1883" s="388"/>
      <c r="O1883" s="384" t="s">
        <v>2739</v>
      </c>
    </row>
    <row r="1884" spans="1:15" x14ac:dyDescent="0.3">
      <c r="A1884" s="384" t="b">
        <v>0</v>
      </c>
      <c r="B1884" s="384"/>
      <c r="C1884" s="384" t="s">
        <v>3510</v>
      </c>
      <c r="D1884" s="389">
        <v>20</v>
      </c>
      <c r="E1884" s="386"/>
      <c r="F1884" s="388"/>
      <c r="G1884" s="387"/>
      <c r="H1884" s="387"/>
      <c r="I1884" s="388"/>
      <c r="J1884" s="388"/>
      <c r="K1884" s="384" t="str">
        <f ca="1">IFERROR(VLOOKUP(C1884,' Disaggregation - Section E '!A$618:J2210,3,0),"")</f>
        <v>DRTB-2⁽ᴹ⁾ Number of people with confirmed RR-TB and/or MDR-TB notified</v>
      </c>
      <c r="L1884" s="384"/>
      <c r="M1884" s="384"/>
      <c r="N1884" s="388"/>
      <c r="O1884" s="384" t="s">
        <v>2739</v>
      </c>
    </row>
    <row r="1885" spans="1:15" x14ac:dyDescent="0.3">
      <c r="A1885" s="384" t="b">
        <v>0</v>
      </c>
      <c r="B1885" s="384"/>
      <c r="C1885" s="384" t="s">
        <v>3511</v>
      </c>
      <c r="D1885" s="389">
        <v>20</v>
      </c>
      <c r="E1885" s="386"/>
      <c r="F1885" s="388"/>
      <c r="G1885" s="387"/>
      <c r="H1885" s="387"/>
      <c r="I1885" s="388"/>
      <c r="J1885" s="388"/>
      <c r="K1885" s="384" t="str">
        <f ca="1">IFERROR(VLOOKUP(C1885,' Disaggregation - Section E '!A$618:J2211,3,0),"")</f>
        <v>DRTB-2⁽ᴹ⁾ Number of people with confirmed RR-TB and/or MDR-TB notified</v>
      </c>
      <c r="L1885" s="384"/>
      <c r="M1885" s="384"/>
      <c r="N1885" s="388"/>
      <c r="O1885" s="384" t="s">
        <v>2739</v>
      </c>
    </row>
    <row r="1886" spans="1:15" x14ac:dyDescent="0.3">
      <c r="A1886" s="384" t="b">
        <v>0</v>
      </c>
      <c r="B1886" s="384"/>
      <c r="C1886" s="384" t="s">
        <v>3512</v>
      </c>
      <c r="D1886" s="389">
        <v>20</v>
      </c>
      <c r="E1886" s="386"/>
      <c r="F1886" s="388"/>
      <c r="G1886" s="387"/>
      <c r="H1886" s="387"/>
      <c r="I1886" s="388"/>
      <c r="J1886" s="388"/>
      <c r="K1886" s="384" t="str">
        <f ca="1">IFERROR(VLOOKUP(C1886,' Disaggregation - Section E '!A$618:J2212,3,0),"")</f>
        <v>DRTB-2⁽ᴹ⁾ Number of people with confirmed RR-TB and/or MDR-TB notified</v>
      </c>
      <c r="L1886" s="384"/>
      <c r="M1886" s="384"/>
      <c r="N1886" s="388"/>
      <c r="O1886" s="384" t="s">
        <v>2739</v>
      </c>
    </row>
    <row r="1887" spans="1:15" x14ac:dyDescent="0.3">
      <c r="A1887" s="384" t="b">
        <v>0</v>
      </c>
      <c r="B1887" s="384"/>
      <c r="C1887" s="384" t="s">
        <v>3513</v>
      </c>
      <c r="D1887" s="389">
        <v>20</v>
      </c>
      <c r="E1887" s="386"/>
      <c r="F1887" s="388"/>
      <c r="G1887" s="387"/>
      <c r="H1887" s="387"/>
      <c r="I1887" s="388"/>
      <c r="J1887" s="388"/>
      <c r="K1887" s="384" t="str">
        <f ca="1">IFERROR(VLOOKUP(C1887,' Disaggregation - Section E '!A$618:J2213,3,0),"")</f>
        <v>DRTB-2⁽ᴹ⁾ Number of people with confirmed RR-TB and/or MDR-TB notified</v>
      </c>
      <c r="L1887" s="384"/>
      <c r="M1887" s="384"/>
      <c r="N1887" s="388"/>
      <c r="O1887" s="384" t="s">
        <v>2739</v>
      </c>
    </row>
    <row r="1888" spans="1:15" x14ac:dyDescent="0.3">
      <c r="A1888" s="384" t="b">
        <v>0</v>
      </c>
      <c r="B1888" s="384"/>
      <c r="C1888" s="384" t="s">
        <v>3514</v>
      </c>
      <c r="D1888" s="389">
        <v>20</v>
      </c>
      <c r="E1888" s="386"/>
      <c r="F1888" s="388"/>
      <c r="G1888" s="387"/>
      <c r="H1888" s="387"/>
      <c r="I1888" s="388"/>
      <c r="J1888" s="388"/>
      <c r="K1888" s="384" t="str">
        <f ca="1">IFERROR(VLOOKUP(C1888,' Disaggregation - Section E '!A$618:J2214,3,0),"")</f>
        <v>DRTB-2⁽ᴹ⁾ Number of people with confirmed RR-TB and/or MDR-TB notified</v>
      </c>
      <c r="L1888" s="384"/>
      <c r="M1888" s="384"/>
      <c r="N1888" s="388"/>
      <c r="O1888" s="384" t="s">
        <v>2739</v>
      </c>
    </row>
    <row r="1889" spans="1:15" x14ac:dyDescent="0.3">
      <c r="A1889" s="384" t="b">
        <v>0</v>
      </c>
      <c r="B1889" s="384"/>
      <c r="C1889" s="384" t="s">
        <v>3515</v>
      </c>
      <c r="D1889" s="389">
        <v>20</v>
      </c>
      <c r="E1889" s="386"/>
      <c r="F1889" s="388"/>
      <c r="G1889" s="387"/>
      <c r="H1889" s="387"/>
      <c r="I1889" s="388"/>
      <c r="J1889" s="388"/>
      <c r="K1889" s="384" t="str">
        <f ca="1">IFERROR(VLOOKUP(C1889,' Disaggregation - Section E '!A$618:J2215,3,0),"")</f>
        <v>DRTB-2⁽ᴹ⁾ Number of people with confirmed RR-TB and/or MDR-TB notified</v>
      </c>
      <c r="L1889" s="384"/>
      <c r="M1889" s="384"/>
      <c r="N1889" s="388"/>
      <c r="O1889" s="384" t="s">
        <v>2739</v>
      </c>
    </row>
    <row r="1890" spans="1:15" x14ac:dyDescent="0.3">
      <c r="A1890" s="384" t="b">
        <v>0</v>
      </c>
      <c r="B1890" s="384"/>
      <c r="C1890" s="384" t="s">
        <v>3516</v>
      </c>
      <c r="D1890" s="389">
        <v>20</v>
      </c>
      <c r="E1890" s="386"/>
      <c r="F1890" s="388"/>
      <c r="G1890" s="387"/>
      <c r="H1890" s="387"/>
      <c r="I1890" s="388"/>
      <c r="J1890" s="388"/>
      <c r="K1890" s="384" t="str">
        <f ca="1">IFERROR(VLOOKUP(C1890,' Disaggregation - Section E '!A$618:J2216,3,0),"")</f>
        <v>DRTB-2⁽ᴹ⁾ Number of people with confirmed RR-TB and/or MDR-TB notified</v>
      </c>
      <c r="L1890" s="384"/>
      <c r="M1890" s="384"/>
      <c r="N1890" s="388"/>
      <c r="O1890" s="384" t="s">
        <v>2739</v>
      </c>
    </row>
    <row r="1891" spans="1:15" x14ac:dyDescent="0.3">
      <c r="A1891" s="384" t="b">
        <v>0</v>
      </c>
      <c r="B1891" s="384"/>
      <c r="C1891" s="384" t="s">
        <v>3517</v>
      </c>
      <c r="D1891" s="389">
        <v>20</v>
      </c>
      <c r="E1891" s="386"/>
      <c r="F1891" s="388"/>
      <c r="G1891" s="387"/>
      <c r="H1891" s="387"/>
      <c r="I1891" s="388"/>
      <c r="J1891" s="388"/>
      <c r="K1891" s="384" t="str">
        <f ca="1">IFERROR(VLOOKUP(C1891,' Disaggregation - Section E '!A$618:J2217,3,0),"")</f>
        <v>DRTB-2⁽ᴹ⁾ Number of people with confirmed RR-TB and/or MDR-TB notified</v>
      </c>
      <c r="L1891" s="384"/>
      <c r="M1891" s="384"/>
      <c r="N1891" s="388"/>
      <c r="O1891" s="384" t="s">
        <v>2739</v>
      </c>
    </row>
    <row r="1892" spans="1:15" x14ac:dyDescent="0.3">
      <c r="A1892" s="384" t="b">
        <v>0</v>
      </c>
      <c r="B1892" s="384"/>
      <c r="C1892" s="384" t="s">
        <v>3518</v>
      </c>
      <c r="D1892" s="389">
        <v>20</v>
      </c>
      <c r="E1892" s="386"/>
      <c r="F1892" s="388"/>
      <c r="G1892" s="387"/>
      <c r="H1892" s="387"/>
      <c r="I1892" s="388"/>
      <c r="J1892" s="388"/>
      <c r="K1892" s="384" t="str">
        <f ca="1">IFERROR(VLOOKUP(C1892,' Disaggregation - Section E '!A$618:J2218,3,0),"")</f>
        <v>DRTB-2⁽ᴹ⁾ Number of people with confirmed RR-TB and/or MDR-TB notified</v>
      </c>
      <c r="L1892" s="384"/>
      <c r="M1892" s="384"/>
      <c r="N1892" s="388"/>
      <c r="O1892" s="384" t="s">
        <v>2739</v>
      </c>
    </row>
    <row r="1893" spans="1:15" x14ac:dyDescent="0.3">
      <c r="A1893" s="384" t="b">
        <v>0</v>
      </c>
      <c r="B1893" s="384"/>
      <c r="C1893" s="384" t="s">
        <v>3519</v>
      </c>
      <c r="D1893" s="389">
        <v>20</v>
      </c>
      <c r="E1893" s="386"/>
      <c r="F1893" s="388"/>
      <c r="G1893" s="387"/>
      <c r="H1893" s="387"/>
      <c r="I1893" s="388"/>
      <c r="J1893" s="388"/>
      <c r="K1893" s="384" t="str">
        <f ca="1">IFERROR(VLOOKUP(C1893,' Disaggregation - Section E '!A$618:J2219,3,0),"")</f>
        <v>DRTB-2⁽ᴹ⁾ Number of people with confirmed RR-TB and/or MDR-TB notified</v>
      </c>
      <c r="L1893" s="384"/>
      <c r="M1893" s="384"/>
      <c r="N1893" s="388"/>
      <c r="O1893" s="384" t="s">
        <v>2739</v>
      </c>
    </row>
    <row r="1894" spans="1:15" x14ac:dyDescent="0.3">
      <c r="A1894" s="384" t="b">
        <v>0</v>
      </c>
      <c r="B1894" s="384"/>
      <c r="C1894" s="384" t="s">
        <v>3520</v>
      </c>
      <c r="D1894" s="389">
        <v>20</v>
      </c>
      <c r="E1894" s="386"/>
      <c r="F1894" s="388"/>
      <c r="G1894" s="387"/>
      <c r="H1894" s="387"/>
      <c r="I1894" s="388"/>
      <c r="J1894" s="388"/>
      <c r="K1894" s="384" t="str">
        <f ca="1">IFERROR(VLOOKUP(C1894,' Disaggregation - Section E '!A$618:J2220,3,0),"")</f>
        <v>DRTB-2⁽ᴹ⁾ Number of people with confirmed RR-TB and/or MDR-TB notified</v>
      </c>
      <c r="L1894" s="384"/>
      <c r="M1894" s="384"/>
      <c r="N1894" s="388"/>
      <c r="O1894" s="384" t="s">
        <v>2739</v>
      </c>
    </row>
    <row r="1895" spans="1:15" x14ac:dyDescent="0.3">
      <c r="A1895" s="384" t="b">
        <v>0</v>
      </c>
      <c r="B1895" s="384"/>
      <c r="C1895" s="384" t="s">
        <v>3521</v>
      </c>
      <c r="D1895" s="389">
        <v>21</v>
      </c>
      <c r="E1895" s="386"/>
      <c r="F1895" s="388"/>
      <c r="G1895" s="387"/>
      <c r="H1895" s="387"/>
      <c r="I1895" s="388"/>
      <c r="J1895" s="388"/>
      <c r="K1895" s="384" t="str">
        <f ca="1">IFERROR(VLOOKUP(C1895,' Disaggregation - Section E '!A$618:J2221,3,0),"")</f>
        <v>DRTB-3⁽ᴹ⁾ Percentage of people with confirmed RR-TB and/or MDR-TB that began second-line treatment</v>
      </c>
      <c r="L1895" s="384"/>
      <c r="M1895" s="384"/>
      <c r="N1895" s="388"/>
      <c r="O1895" s="384" t="s">
        <v>2746</v>
      </c>
    </row>
    <row r="1896" spans="1:15" x14ac:dyDescent="0.3">
      <c r="A1896" s="384" t="b">
        <v>0</v>
      </c>
      <c r="B1896" s="384"/>
      <c r="C1896" s="384" t="s">
        <v>3522</v>
      </c>
      <c r="D1896" s="389">
        <v>21</v>
      </c>
      <c r="E1896" s="386"/>
      <c r="F1896" s="388"/>
      <c r="G1896" s="387"/>
      <c r="H1896" s="387"/>
      <c r="I1896" s="388"/>
      <c r="J1896" s="388"/>
      <c r="K1896" s="384" t="str">
        <f ca="1">IFERROR(VLOOKUP(C1896,' Disaggregation - Section E '!A$618:J2222,3,0),"")</f>
        <v/>
      </c>
      <c r="L1896" s="384"/>
      <c r="M1896" s="384"/>
      <c r="N1896" s="388"/>
      <c r="O1896" s="384" t="s">
        <v>2746</v>
      </c>
    </row>
    <row r="1897" spans="1:15" x14ac:dyDescent="0.3">
      <c r="A1897" s="384" t="b">
        <v>0</v>
      </c>
      <c r="B1897" s="384"/>
      <c r="C1897" s="384" t="s">
        <v>3523</v>
      </c>
      <c r="D1897" s="389">
        <v>21</v>
      </c>
      <c r="E1897" s="386"/>
      <c r="F1897" s="388"/>
      <c r="G1897" s="387"/>
      <c r="H1897" s="387"/>
      <c r="I1897" s="388"/>
      <c r="J1897" s="388"/>
      <c r="K1897" s="384" t="str">
        <f ca="1">IFERROR(VLOOKUP(C1897,' Disaggregation - Section E '!A$618:J2223,3,0),"")</f>
        <v>DRTB-3⁽ᴹ⁾ Percentage of people with confirmed RR-TB and/or MDR-TB that began second-line treatment</v>
      </c>
      <c r="L1897" s="384"/>
      <c r="M1897" s="384"/>
      <c r="N1897" s="388"/>
      <c r="O1897" s="384" t="s">
        <v>2746</v>
      </c>
    </row>
    <row r="1898" spans="1:15" x14ac:dyDescent="0.3">
      <c r="A1898" s="384" t="b">
        <v>0</v>
      </c>
      <c r="B1898" s="384"/>
      <c r="C1898" s="384" t="s">
        <v>3524</v>
      </c>
      <c r="D1898" s="389">
        <v>21</v>
      </c>
      <c r="E1898" s="386"/>
      <c r="F1898" s="388"/>
      <c r="G1898" s="387"/>
      <c r="H1898" s="387"/>
      <c r="I1898" s="388"/>
      <c r="J1898" s="388"/>
      <c r="K1898" s="384" t="str">
        <f ca="1">IFERROR(VLOOKUP(C1898,' Disaggregation - Section E '!A$618:J2224,3,0),"")</f>
        <v>DRTB-3⁽ᴹ⁾ Percentage of people with confirmed RR-TB and/or MDR-TB that began second-line treatment</v>
      </c>
      <c r="L1898" s="384"/>
      <c r="M1898" s="384"/>
      <c r="N1898" s="388"/>
      <c r="O1898" s="384" t="s">
        <v>2746</v>
      </c>
    </row>
    <row r="1899" spans="1:15" x14ac:dyDescent="0.3">
      <c r="A1899" s="384" t="b">
        <v>0</v>
      </c>
      <c r="B1899" s="384"/>
      <c r="C1899" s="384" t="s">
        <v>3525</v>
      </c>
      <c r="D1899" s="389">
        <v>21</v>
      </c>
      <c r="E1899" s="386"/>
      <c r="F1899" s="388"/>
      <c r="G1899" s="387"/>
      <c r="H1899" s="387"/>
      <c r="I1899" s="388"/>
      <c r="J1899" s="388"/>
      <c r="K1899" s="384" t="str">
        <f ca="1">IFERROR(VLOOKUP(C1899,' Disaggregation - Section E '!A$618:J2225,3,0),"")</f>
        <v>DRTB-3⁽ᴹ⁾ Percentage of people with confirmed RR-TB and/or MDR-TB that began second-line treatment</v>
      </c>
      <c r="L1899" s="384"/>
      <c r="M1899" s="384"/>
      <c r="N1899" s="388"/>
      <c r="O1899" s="384" t="s">
        <v>2746</v>
      </c>
    </row>
    <row r="1900" spans="1:15" x14ac:dyDescent="0.3">
      <c r="A1900" s="384" t="b">
        <v>0</v>
      </c>
      <c r="B1900" s="384"/>
      <c r="C1900" s="384" t="s">
        <v>3526</v>
      </c>
      <c r="D1900" s="389">
        <v>21</v>
      </c>
      <c r="E1900" s="386"/>
      <c r="F1900" s="388"/>
      <c r="G1900" s="387"/>
      <c r="H1900" s="387"/>
      <c r="I1900" s="388"/>
      <c r="J1900" s="388"/>
      <c r="K1900" s="384" t="str">
        <f ca="1">IFERROR(VLOOKUP(C1900,' Disaggregation - Section E '!A$618:J2226,3,0),"")</f>
        <v>DRTB-3⁽ᴹ⁾ Percentage of people with confirmed RR-TB and/or MDR-TB that began second-line treatment</v>
      </c>
      <c r="L1900" s="384"/>
      <c r="M1900" s="384"/>
      <c r="N1900" s="388"/>
      <c r="O1900" s="384" t="s">
        <v>2746</v>
      </c>
    </row>
    <row r="1901" spans="1:15" x14ac:dyDescent="0.3">
      <c r="A1901" s="384" t="b">
        <v>0</v>
      </c>
      <c r="B1901" s="384"/>
      <c r="C1901" s="384" t="s">
        <v>3527</v>
      </c>
      <c r="D1901" s="389">
        <v>21</v>
      </c>
      <c r="E1901" s="386"/>
      <c r="F1901" s="388"/>
      <c r="G1901" s="387"/>
      <c r="H1901" s="387"/>
      <c r="I1901" s="388"/>
      <c r="J1901" s="388"/>
      <c r="K1901" s="384" t="str">
        <f ca="1">IFERROR(VLOOKUP(C1901,' Disaggregation - Section E '!A$618:J2227,3,0),"")</f>
        <v>DRTB-3⁽ᴹ⁾ Percentage of people with confirmed RR-TB and/or MDR-TB that began second-line treatment</v>
      </c>
      <c r="L1901" s="384"/>
      <c r="M1901" s="384"/>
      <c r="N1901" s="388"/>
      <c r="O1901" s="384" t="s">
        <v>2746</v>
      </c>
    </row>
    <row r="1902" spans="1:15" x14ac:dyDescent="0.3">
      <c r="A1902" s="384" t="b">
        <v>0</v>
      </c>
      <c r="B1902" s="384"/>
      <c r="C1902" s="384" t="s">
        <v>3528</v>
      </c>
      <c r="D1902" s="389">
        <v>21</v>
      </c>
      <c r="E1902" s="386"/>
      <c r="F1902" s="388"/>
      <c r="G1902" s="387"/>
      <c r="H1902" s="387"/>
      <c r="I1902" s="388"/>
      <c r="J1902" s="388"/>
      <c r="K1902" s="384" t="str">
        <f ca="1">IFERROR(VLOOKUP(C1902,' Disaggregation - Section E '!A$618:J2228,3,0),"")</f>
        <v>DRTB-3⁽ᴹ⁾ Percentage of people with confirmed RR-TB and/or MDR-TB that began second-line treatment</v>
      </c>
      <c r="L1902" s="384"/>
      <c r="M1902" s="384"/>
      <c r="N1902" s="388"/>
      <c r="O1902" s="384" t="s">
        <v>2746</v>
      </c>
    </row>
    <row r="1903" spans="1:15" x14ac:dyDescent="0.3">
      <c r="A1903" s="384" t="b">
        <v>0</v>
      </c>
      <c r="B1903" s="384"/>
      <c r="C1903" s="384" t="s">
        <v>3529</v>
      </c>
      <c r="D1903" s="389">
        <v>21</v>
      </c>
      <c r="E1903" s="386"/>
      <c r="F1903" s="388"/>
      <c r="G1903" s="387"/>
      <c r="H1903" s="387"/>
      <c r="I1903" s="388"/>
      <c r="J1903" s="388"/>
      <c r="K1903" s="384" t="str">
        <f ca="1">IFERROR(VLOOKUP(C1903,' Disaggregation - Section E '!A$618:J2229,3,0),"")</f>
        <v>DRTB-3⁽ᴹ⁾ Percentage of people with confirmed RR-TB and/or MDR-TB that began second-line treatment</v>
      </c>
      <c r="L1903" s="384"/>
      <c r="M1903" s="384"/>
      <c r="N1903" s="388"/>
      <c r="O1903" s="384" t="s">
        <v>2746</v>
      </c>
    </row>
    <row r="1904" spans="1:15" x14ac:dyDescent="0.3">
      <c r="A1904" s="384" t="b">
        <v>0</v>
      </c>
      <c r="B1904" s="384"/>
      <c r="C1904" s="384" t="s">
        <v>3530</v>
      </c>
      <c r="D1904" s="389">
        <v>21</v>
      </c>
      <c r="E1904" s="386"/>
      <c r="F1904" s="388"/>
      <c r="G1904" s="387"/>
      <c r="H1904" s="387"/>
      <c r="I1904" s="388"/>
      <c r="J1904" s="388"/>
      <c r="K1904" s="384" t="str">
        <f ca="1">IFERROR(VLOOKUP(C1904,' Disaggregation - Section E '!A$618:J2230,3,0),"")</f>
        <v>DRTB-3⁽ᴹ⁾ Percentage of people with confirmed RR-TB and/or MDR-TB that began second-line treatment</v>
      </c>
      <c r="L1904" s="384"/>
      <c r="M1904" s="384"/>
      <c r="N1904" s="388"/>
      <c r="O1904" s="384" t="s">
        <v>2746</v>
      </c>
    </row>
    <row r="1905" spans="1:15" x14ac:dyDescent="0.3">
      <c r="A1905" s="384" t="b">
        <v>0</v>
      </c>
      <c r="B1905" s="384"/>
      <c r="C1905" s="384" t="s">
        <v>3531</v>
      </c>
      <c r="D1905" s="389">
        <v>21</v>
      </c>
      <c r="E1905" s="386"/>
      <c r="F1905" s="388"/>
      <c r="G1905" s="387"/>
      <c r="H1905" s="387"/>
      <c r="I1905" s="388"/>
      <c r="J1905" s="388"/>
      <c r="K1905" s="384" t="str">
        <f ca="1">IFERROR(VLOOKUP(C1905,' Disaggregation - Section E '!A$618:J2231,3,0),"")</f>
        <v>DRTB-3⁽ᴹ⁾ Percentage of people with confirmed RR-TB and/or MDR-TB that began second-line treatment</v>
      </c>
      <c r="L1905" s="384"/>
      <c r="M1905" s="384"/>
      <c r="N1905" s="388"/>
      <c r="O1905" s="384" t="s">
        <v>2746</v>
      </c>
    </row>
    <row r="1906" spans="1:15" x14ac:dyDescent="0.3">
      <c r="A1906" s="384" t="b">
        <v>0</v>
      </c>
      <c r="B1906" s="384"/>
      <c r="C1906" s="384" t="s">
        <v>3532</v>
      </c>
      <c r="D1906" s="389">
        <v>21</v>
      </c>
      <c r="E1906" s="386"/>
      <c r="F1906" s="388"/>
      <c r="G1906" s="387"/>
      <c r="H1906" s="387"/>
      <c r="I1906" s="388"/>
      <c r="J1906" s="388"/>
      <c r="K1906" s="384" t="str">
        <f ca="1">IFERROR(VLOOKUP(C1906,' Disaggregation - Section E '!A$618:J2232,3,0),"")</f>
        <v>DRTB-3⁽ᴹ⁾ Percentage of people with confirmed RR-TB and/or MDR-TB that began second-line treatment</v>
      </c>
      <c r="L1906" s="384"/>
      <c r="M1906" s="384"/>
      <c r="N1906" s="388"/>
      <c r="O1906" s="384" t="s">
        <v>2746</v>
      </c>
    </row>
    <row r="1907" spans="1:15" x14ac:dyDescent="0.3">
      <c r="A1907" s="384" t="b">
        <v>0</v>
      </c>
      <c r="B1907" s="384"/>
      <c r="C1907" s="384" t="s">
        <v>3533</v>
      </c>
      <c r="D1907" s="389">
        <v>21</v>
      </c>
      <c r="E1907" s="386"/>
      <c r="F1907" s="388"/>
      <c r="G1907" s="387"/>
      <c r="H1907" s="387"/>
      <c r="I1907" s="388"/>
      <c r="J1907" s="388"/>
      <c r="K1907" s="384" t="str">
        <f ca="1">IFERROR(VLOOKUP(C1907,' Disaggregation - Section E '!A$618:J2233,3,0),"")</f>
        <v>DRTB-3⁽ᴹ⁾ Percentage of people with confirmed RR-TB and/or MDR-TB that began second-line treatment</v>
      </c>
      <c r="L1907" s="384"/>
      <c r="M1907" s="384"/>
      <c r="N1907" s="388"/>
      <c r="O1907" s="384" t="s">
        <v>2746</v>
      </c>
    </row>
    <row r="1908" spans="1:15" x14ac:dyDescent="0.3">
      <c r="A1908" s="384" t="b">
        <v>0</v>
      </c>
      <c r="B1908" s="384"/>
      <c r="C1908" s="384" t="s">
        <v>3534</v>
      </c>
      <c r="D1908" s="389">
        <v>21</v>
      </c>
      <c r="E1908" s="386"/>
      <c r="F1908" s="388"/>
      <c r="G1908" s="387"/>
      <c r="H1908" s="387"/>
      <c r="I1908" s="388"/>
      <c r="J1908" s="388"/>
      <c r="K1908" s="384" t="str">
        <f ca="1">IFERROR(VLOOKUP(C1908,' Disaggregation - Section E '!A$618:J2234,3,0),"")</f>
        <v>DRTB-3⁽ᴹ⁾ Percentage of people with confirmed RR-TB and/or MDR-TB that began second-line treatment</v>
      </c>
      <c r="L1908" s="384"/>
      <c r="M1908" s="384"/>
      <c r="N1908" s="388"/>
      <c r="O1908" s="384" t="s">
        <v>2746</v>
      </c>
    </row>
    <row r="1909" spans="1:15" x14ac:dyDescent="0.3">
      <c r="A1909" s="384" t="b">
        <v>0</v>
      </c>
      <c r="B1909" s="384"/>
      <c r="C1909" s="384" t="s">
        <v>3535</v>
      </c>
      <c r="D1909" s="389">
        <v>21</v>
      </c>
      <c r="E1909" s="386"/>
      <c r="F1909" s="388"/>
      <c r="G1909" s="387"/>
      <c r="H1909" s="387"/>
      <c r="I1909" s="388"/>
      <c r="J1909" s="388"/>
      <c r="K1909" s="384" t="str">
        <f ca="1">IFERROR(VLOOKUP(C1909,' Disaggregation - Section E '!A$618:J2235,3,0),"")</f>
        <v>DRTB-3⁽ᴹ⁾ Percentage of people with confirmed RR-TB and/or MDR-TB that began second-line treatment</v>
      </c>
      <c r="L1909" s="384"/>
      <c r="M1909" s="384"/>
      <c r="N1909" s="388"/>
      <c r="O1909" s="384" t="s">
        <v>2746</v>
      </c>
    </row>
    <row r="1910" spans="1:15" x14ac:dyDescent="0.3">
      <c r="A1910" s="384" t="b">
        <v>0</v>
      </c>
      <c r="B1910" s="384"/>
      <c r="C1910" s="384" t="s">
        <v>3536</v>
      </c>
      <c r="D1910" s="389">
        <v>21</v>
      </c>
      <c r="E1910" s="386"/>
      <c r="F1910" s="388"/>
      <c r="G1910" s="387"/>
      <c r="H1910" s="387"/>
      <c r="I1910" s="388"/>
      <c r="J1910" s="388"/>
      <c r="K1910" s="384" t="str">
        <f ca="1">IFERROR(VLOOKUP(C1910,' Disaggregation - Section E '!A$618:J2236,3,0),"")</f>
        <v>DRTB-3⁽ᴹ⁾ Percentage of people with confirmed RR-TB and/or MDR-TB that began second-line treatment</v>
      </c>
      <c r="L1910" s="384"/>
      <c r="M1910" s="384"/>
      <c r="N1910" s="388"/>
      <c r="O1910" s="384" t="s">
        <v>2746</v>
      </c>
    </row>
    <row r="1911" spans="1:15" x14ac:dyDescent="0.3">
      <c r="A1911" s="384" t="b">
        <v>0</v>
      </c>
      <c r="B1911" s="384"/>
      <c r="C1911" s="384" t="s">
        <v>3537</v>
      </c>
      <c r="D1911" s="389">
        <v>21</v>
      </c>
      <c r="E1911" s="386"/>
      <c r="F1911" s="388"/>
      <c r="G1911" s="387"/>
      <c r="H1911" s="387"/>
      <c r="I1911" s="388"/>
      <c r="J1911" s="388"/>
      <c r="K1911" s="384" t="str">
        <f ca="1">IFERROR(VLOOKUP(C1911,' Disaggregation - Section E '!A$618:J2237,3,0),"")</f>
        <v>DRTB-3⁽ᴹ⁾ Percentage of people with confirmed RR-TB and/or MDR-TB that began second-line treatment</v>
      </c>
      <c r="L1911" s="384"/>
      <c r="M1911" s="384"/>
      <c r="N1911" s="388"/>
      <c r="O1911" s="384" t="s">
        <v>2746</v>
      </c>
    </row>
    <row r="1912" spans="1:15" x14ac:dyDescent="0.3">
      <c r="A1912" s="384" t="b">
        <v>0</v>
      </c>
      <c r="B1912" s="384"/>
      <c r="C1912" s="384" t="s">
        <v>3538</v>
      </c>
      <c r="D1912" s="389">
        <v>21</v>
      </c>
      <c r="E1912" s="386"/>
      <c r="F1912" s="388"/>
      <c r="G1912" s="387"/>
      <c r="H1912" s="387"/>
      <c r="I1912" s="388"/>
      <c r="J1912" s="388"/>
      <c r="K1912" s="384" t="str">
        <f ca="1">IFERROR(VLOOKUP(C1912,' Disaggregation - Section E '!A$618:J2238,3,0),"")</f>
        <v>DRTB-3⁽ᴹ⁾ Percentage of people with confirmed RR-TB and/or MDR-TB that began second-line treatment</v>
      </c>
      <c r="L1912" s="384"/>
      <c r="M1912" s="384"/>
      <c r="N1912" s="388"/>
      <c r="O1912" s="384" t="s">
        <v>2746</v>
      </c>
    </row>
    <row r="1913" spans="1:15" x14ac:dyDescent="0.3">
      <c r="A1913" s="384" t="b">
        <v>0</v>
      </c>
      <c r="B1913" s="384"/>
      <c r="C1913" s="384" t="s">
        <v>3539</v>
      </c>
      <c r="D1913" s="389">
        <v>21</v>
      </c>
      <c r="E1913" s="386"/>
      <c r="F1913" s="388"/>
      <c r="G1913" s="387"/>
      <c r="H1913" s="387"/>
      <c r="I1913" s="388"/>
      <c r="J1913" s="388"/>
      <c r="K1913" s="384" t="str">
        <f ca="1">IFERROR(VLOOKUP(C1913,' Disaggregation - Section E '!A$618:J2239,3,0),"")</f>
        <v>DRTB-3⁽ᴹ⁾ Percentage of people with confirmed RR-TB and/or MDR-TB that began second-line treatment</v>
      </c>
      <c r="L1913" s="384"/>
      <c r="M1913" s="384"/>
      <c r="N1913" s="388"/>
      <c r="O1913" s="384" t="s">
        <v>2746</v>
      </c>
    </row>
    <row r="1914" spans="1:15" x14ac:dyDescent="0.3">
      <c r="A1914" s="384" t="b">
        <v>0</v>
      </c>
      <c r="B1914" s="384"/>
      <c r="C1914" s="384" t="s">
        <v>3540</v>
      </c>
      <c r="D1914" s="389">
        <v>21</v>
      </c>
      <c r="E1914" s="386"/>
      <c r="F1914" s="388"/>
      <c r="G1914" s="387"/>
      <c r="H1914" s="387"/>
      <c r="I1914" s="388"/>
      <c r="J1914" s="388"/>
      <c r="K1914" s="384" t="str">
        <f ca="1">IFERROR(VLOOKUP(C1914,' Disaggregation - Section E '!A$618:J2240,3,0),"")</f>
        <v>DRTB-3⁽ᴹ⁾ Percentage of people with confirmed RR-TB and/or MDR-TB that began second-line treatment</v>
      </c>
      <c r="L1914" s="384"/>
      <c r="M1914" s="384"/>
      <c r="N1914" s="388"/>
      <c r="O1914" s="384" t="s">
        <v>2746</v>
      </c>
    </row>
    <row r="1915" spans="1:15" x14ac:dyDescent="0.3">
      <c r="A1915" s="384" t="b">
        <v>0</v>
      </c>
      <c r="B1915" s="384"/>
      <c r="C1915" s="384" t="s">
        <v>3541</v>
      </c>
      <c r="D1915" s="389">
        <v>22</v>
      </c>
      <c r="E1915" s="386"/>
      <c r="F1915" s="388"/>
      <c r="G1915" s="387"/>
      <c r="H1915" s="387"/>
      <c r="I1915" s="388"/>
      <c r="J1915" s="388"/>
      <c r="K1915" s="384" t="str">
        <f ca="1">IFERROR(VLOOKUP(C1915,' Disaggregation - Section E '!A$618:J2241,3,0),"")</f>
        <v>DRTB-6 Percentage of TB patients with DST result for at least Rifampicin among the total number of notified (new and retreatment) patients during the reporting period</v>
      </c>
      <c r="L1915" s="384"/>
      <c r="M1915" s="384"/>
      <c r="N1915" s="388"/>
      <c r="O1915" s="384" t="s">
        <v>2753</v>
      </c>
    </row>
    <row r="1916" spans="1:15" x14ac:dyDescent="0.3">
      <c r="A1916" s="384" t="b">
        <v>0</v>
      </c>
      <c r="B1916" s="384"/>
      <c r="C1916" s="384" t="s">
        <v>3542</v>
      </c>
      <c r="D1916" s="389">
        <v>22</v>
      </c>
      <c r="E1916" s="386"/>
      <c r="F1916" s="388"/>
      <c r="G1916" s="387"/>
      <c r="H1916" s="387"/>
      <c r="I1916" s="388"/>
      <c r="J1916" s="388"/>
      <c r="K1916" s="384" t="str">
        <f ca="1">IFERROR(VLOOKUP(C1916,' Disaggregation - Section E '!A$618:J2242,3,0),"")</f>
        <v>DRTB-6 Percentage of TB patients with DST result for at least Rifampicin among the total number of notified (new and retreatment) patients during the reporting period</v>
      </c>
      <c r="L1916" s="384"/>
      <c r="M1916" s="384"/>
      <c r="N1916" s="388"/>
      <c r="O1916" s="384" t="s">
        <v>2753</v>
      </c>
    </row>
    <row r="1917" spans="1:15" x14ac:dyDescent="0.3">
      <c r="A1917" s="384" t="b">
        <v>0</v>
      </c>
      <c r="B1917" s="384"/>
      <c r="C1917" s="384" t="s">
        <v>3543</v>
      </c>
      <c r="D1917" s="389">
        <v>22</v>
      </c>
      <c r="E1917" s="386"/>
      <c r="F1917" s="388"/>
      <c r="G1917" s="387"/>
      <c r="H1917" s="387"/>
      <c r="I1917" s="388"/>
      <c r="J1917" s="388"/>
      <c r="K1917" s="384" t="str">
        <f ca="1">IFERROR(VLOOKUP(C1917,' Disaggregation - Section E '!A$618:J2243,3,0),"")</f>
        <v>DRTB-6 Percentage of TB patients with DST result for at least Rifampicin among the total number of notified (new and retreatment) patients during the reporting period</v>
      </c>
      <c r="L1917" s="384"/>
      <c r="M1917" s="384"/>
      <c r="N1917" s="388"/>
      <c r="O1917" s="384" t="s">
        <v>2753</v>
      </c>
    </row>
    <row r="1918" spans="1:15" x14ac:dyDescent="0.3">
      <c r="A1918" s="384" t="b">
        <v>0</v>
      </c>
      <c r="B1918" s="384"/>
      <c r="C1918" s="384" t="s">
        <v>3544</v>
      </c>
      <c r="D1918" s="389">
        <v>22</v>
      </c>
      <c r="E1918" s="386"/>
      <c r="F1918" s="388"/>
      <c r="G1918" s="387"/>
      <c r="H1918" s="387"/>
      <c r="I1918" s="388"/>
      <c r="J1918" s="388"/>
      <c r="K1918" s="384" t="str">
        <f ca="1">IFERROR(VLOOKUP(C1918,' Disaggregation - Section E '!A$618:J2244,3,0),"")</f>
        <v>DRTB-6 Percentage of TB patients with DST result for at least Rifampicin among the total number of notified (new and retreatment) patients during the reporting period</v>
      </c>
      <c r="L1918" s="384"/>
      <c r="M1918" s="384"/>
      <c r="N1918" s="388"/>
      <c r="O1918" s="384" t="s">
        <v>2753</v>
      </c>
    </row>
    <row r="1919" spans="1:15" x14ac:dyDescent="0.3">
      <c r="A1919" s="384" t="b">
        <v>0</v>
      </c>
      <c r="B1919" s="384"/>
      <c r="C1919" s="384" t="s">
        <v>3545</v>
      </c>
      <c r="D1919" s="389">
        <v>22</v>
      </c>
      <c r="E1919" s="386"/>
      <c r="F1919" s="388"/>
      <c r="G1919" s="387"/>
      <c r="H1919" s="387"/>
      <c r="I1919" s="388"/>
      <c r="J1919" s="388"/>
      <c r="K1919" s="384" t="str">
        <f ca="1">IFERROR(VLOOKUP(C1919,' Disaggregation - Section E '!A$618:J2245,3,0),"")</f>
        <v>DRTB-6 Percentage of TB patients with DST result for at least Rifampicin among the total number of notified (new and retreatment) patients during the reporting period</v>
      </c>
      <c r="L1919" s="384"/>
      <c r="M1919" s="384"/>
      <c r="N1919" s="388"/>
      <c r="O1919" s="384" t="s">
        <v>2753</v>
      </c>
    </row>
    <row r="1920" spans="1:15" x14ac:dyDescent="0.3">
      <c r="A1920" s="384" t="b">
        <v>0</v>
      </c>
      <c r="B1920" s="384"/>
      <c r="C1920" s="384" t="s">
        <v>3546</v>
      </c>
      <c r="D1920" s="389">
        <v>22</v>
      </c>
      <c r="E1920" s="386"/>
      <c r="F1920" s="388"/>
      <c r="G1920" s="387"/>
      <c r="H1920" s="387"/>
      <c r="I1920" s="388"/>
      <c r="J1920" s="388"/>
      <c r="K1920" s="384" t="str">
        <f ca="1">IFERROR(VLOOKUP(C1920,' Disaggregation - Section E '!A$618:J2246,3,0),"")</f>
        <v>DRTB-6 Percentage of TB patients with DST result for at least Rifampicin among the total number of notified (new and retreatment) patients during the reporting period</v>
      </c>
      <c r="L1920" s="384"/>
      <c r="M1920" s="384"/>
      <c r="N1920" s="388"/>
      <c r="O1920" s="384" t="s">
        <v>2753</v>
      </c>
    </row>
    <row r="1921" spans="1:15" x14ac:dyDescent="0.3">
      <c r="A1921" s="384" t="b">
        <v>0</v>
      </c>
      <c r="B1921" s="384"/>
      <c r="C1921" s="384" t="s">
        <v>3547</v>
      </c>
      <c r="D1921" s="389">
        <v>22</v>
      </c>
      <c r="E1921" s="386"/>
      <c r="F1921" s="388"/>
      <c r="G1921" s="387"/>
      <c r="H1921" s="387"/>
      <c r="I1921" s="388"/>
      <c r="J1921" s="388"/>
      <c r="K1921" s="384" t="str">
        <f ca="1">IFERROR(VLOOKUP(C1921,' Disaggregation - Section E '!A$618:J2247,3,0),"")</f>
        <v>DRTB-6 Percentage of TB patients with DST result for at least Rifampicin among the total number of notified (new and retreatment) patients during the reporting period</v>
      </c>
      <c r="L1921" s="384"/>
      <c r="M1921" s="384"/>
      <c r="N1921" s="388"/>
      <c r="O1921" s="384" t="s">
        <v>2753</v>
      </c>
    </row>
    <row r="1922" spans="1:15" x14ac:dyDescent="0.3">
      <c r="A1922" s="384" t="b">
        <v>0</v>
      </c>
      <c r="B1922" s="384"/>
      <c r="C1922" s="384" t="s">
        <v>3548</v>
      </c>
      <c r="D1922" s="389">
        <v>22</v>
      </c>
      <c r="E1922" s="386"/>
      <c r="F1922" s="388"/>
      <c r="G1922" s="387"/>
      <c r="H1922" s="387"/>
      <c r="I1922" s="388"/>
      <c r="J1922" s="388"/>
      <c r="K1922" s="384" t="str">
        <f ca="1">IFERROR(VLOOKUP(C1922,' Disaggregation - Section E '!A$618:J2248,3,0),"")</f>
        <v>DRTB-6 Percentage of TB patients with DST result for at least Rifampicin among the total number of notified (new and retreatment) patients during the reporting period</v>
      </c>
      <c r="L1922" s="384"/>
      <c r="M1922" s="384"/>
      <c r="N1922" s="388"/>
      <c r="O1922" s="384" t="s">
        <v>2753</v>
      </c>
    </row>
    <row r="1923" spans="1:15" x14ac:dyDescent="0.3">
      <c r="A1923" s="384" t="b">
        <v>0</v>
      </c>
      <c r="B1923" s="384"/>
      <c r="C1923" s="384" t="s">
        <v>3549</v>
      </c>
      <c r="D1923" s="389">
        <v>22</v>
      </c>
      <c r="E1923" s="386"/>
      <c r="F1923" s="388"/>
      <c r="G1923" s="387"/>
      <c r="H1923" s="387"/>
      <c r="I1923" s="388"/>
      <c r="J1923" s="388"/>
      <c r="K1923" s="384" t="str">
        <f ca="1">IFERROR(VLOOKUP(C1923,' Disaggregation - Section E '!A$618:J2249,3,0),"")</f>
        <v>DRTB-6 Percentage of TB patients with DST result for at least Rifampicin among the total number of notified (new and retreatment) patients during the reporting period</v>
      </c>
      <c r="L1923" s="384"/>
      <c r="M1923" s="384"/>
      <c r="N1923" s="388"/>
      <c r="O1923" s="384" t="s">
        <v>2753</v>
      </c>
    </row>
    <row r="1924" spans="1:15" x14ac:dyDescent="0.3">
      <c r="A1924" s="384" t="b">
        <v>0</v>
      </c>
      <c r="B1924" s="384"/>
      <c r="C1924" s="384" t="s">
        <v>3550</v>
      </c>
      <c r="D1924" s="389">
        <v>22</v>
      </c>
      <c r="E1924" s="386"/>
      <c r="F1924" s="388"/>
      <c r="G1924" s="387"/>
      <c r="H1924" s="387"/>
      <c r="I1924" s="388"/>
      <c r="J1924" s="388"/>
      <c r="K1924" s="384" t="str">
        <f ca="1">IFERROR(VLOOKUP(C1924,' Disaggregation - Section E '!A$618:J2250,3,0),"")</f>
        <v>DRTB-6 Percentage of TB patients with DST result for at least Rifampicin among the total number of notified (new and retreatment) patients during the reporting period</v>
      </c>
      <c r="L1924" s="384"/>
      <c r="M1924" s="384"/>
      <c r="N1924" s="388"/>
      <c r="O1924" s="384" t="s">
        <v>2753</v>
      </c>
    </row>
    <row r="1925" spans="1:15" x14ac:dyDescent="0.3">
      <c r="A1925" s="384" t="b">
        <v>0</v>
      </c>
      <c r="B1925" s="384"/>
      <c r="C1925" s="384" t="s">
        <v>3551</v>
      </c>
      <c r="D1925" s="389">
        <v>22</v>
      </c>
      <c r="E1925" s="386"/>
      <c r="F1925" s="388"/>
      <c r="G1925" s="387"/>
      <c r="H1925" s="387"/>
      <c r="I1925" s="388"/>
      <c r="J1925" s="388"/>
      <c r="K1925" s="384" t="str">
        <f ca="1">IFERROR(VLOOKUP(C1925,' Disaggregation - Section E '!A$618:J2251,3,0),"")</f>
        <v>DRTB-6 Percentage of TB patients with DST result for at least Rifampicin among the total number of notified (new and retreatment) patients during the reporting period</v>
      </c>
      <c r="L1925" s="384"/>
      <c r="M1925" s="384"/>
      <c r="N1925" s="388"/>
      <c r="O1925" s="384" t="s">
        <v>2753</v>
      </c>
    </row>
    <row r="1926" spans="1:15" x14ac:dyDescent="0.3">
      <c r="A1926" s="384" t="b">
        <v>0</v>
      </c>
      <c r="B1926" s="384"/>
      <c r="C1926" s="384" t="s">
        <v>3552</v>
      </c>
      <c r="D1926" s="389">
        <v>22</v>
      </c>
      <c r="E1926" s="386"/>
      <c r="F1926" s="388"/>
      <c r="G1926" s="387"/>
      <c r="H1926" s="387"/>
      <c r="I1926" s="388"/>
      <c r="J1926" s="388"/>
      <c r="K1926" s="384" t="str">
        <f ca="1">IFERROR(VLOOKUP(C1926,' Disaggregation - Section E '!A$618:J2252,3,0),"")</f>
        <v>DRTB-6 Percentage of TB patients with DST result for at least Rifampicin among the total number of notified (new and retreatment) patients during the reporting period</v>
      </c>
      <c r="L1926" s="384"/>
      <c r="M1926" s="384"/>
      <c r="N1926" s="388"/>
      <c r="O1926" s="384" t="s">
        <v>2753</v>
      </c>
    </row>
    <row r="1927" spans="1:15" x14ac:dyDescent="0.3">
      <c r="A1927" s="384" t="b">
        <v>0</v>
      </c>
      <c r="B1927" s="384"/>
      <c r="C1927" s="384" t="s">
        <v>3553</v>
      </c>
      <c r="D1927" s="389">
        <v>22</v>
      </c>
      <c r="E1927" s="386"/>
      <c r="F1927" s="388"/>
      <c r="G1927" s="387"/>
      <c r="H1927" s="387"/>
      <c r="I1927" s="388"/>
      <c r="J1927" s="388"/>
      <c r="K1927" s="384" t="str">
        <f ca="1">IFERROR(VLOOKUP(C1927,' Disaggregation - Section E '!A$618:J2253,3,0),"")</f>
        <v>DRTB-6 Percentage of TB patients with DST result for at least Rifampicin among the total number of notified (new and retreatment) patients during the reporting period</v>
      </c>
      <c r="L1927" s="384"/>
      <c r="M1927" s="384"/>
      <c r="N1927" s="388"/>
      <c r="O1927" s="384" t="s">
        <v>2753</v>
      </c>
    </row>
    <row r="1928" spans="1:15" x14ac:dyDescent="0.3">
      <c r="A1928" s="384" t="b">
        <v>0</v>
      </c>
      <c r="B1928" s="384"/>
      <c r="C1928" s="384" t="s">
        <v>3554</v>
      </c>
      <c r="D1928" s="389">
        <v>22</v>
      </c>
      <c r="E1928" s="386"/>
      <c r="F1928" s="388"/>
      <c r="G1928" s="387"/>
      <c r="H1928" s="387"/>
      <c r="I1928" s="388"/>
      <c r="J1928" s="388"/>
      <c r="K1928" s="384" t="str">
        <f ca="1">IFERROR(VLOOKUP(C1928,' Disaggregation - Section E '!A$618:J2254,3,0),"")</f>
        <v>DRTB-6 Percentage of TB patients with DST result for at least Rifampicin among the total number of notified (new and retreatment) patients during the reporting period</v>
      </c>
      <c r="L1928" s="384"/>
      <c r="M1928" s="384"/>
      <c r="N1928" s="388"/>
      <c r="O1928" s="384" t="s">
        <v>2753</v>
      </c>
    </row>
    <row r="1929" spans="1:15" x14ac:dyDescent="0.3">
      <c r="A1929" s="384" t="b">
        <v>0</v>
      </c>
      <c r="B1929" s="384"/>
      <c r="C1929" s="384" t="s">
        <v>3555</v>
      </c>
      <c r="D1929" s="389">
        <v>22</v>
      </c>
      <c r="E1929" s="386"/>
      <c r="F1929" s="388"/>
      <c r="G1929" s="387"/>
      <c r="H1929" s="387"/>
      <c r="I1929" s="388"/>
      <c r="J1929" s="388"/>
      <c r="K1929" s="384" t="str">
        <f ca="1">IFERROR(VLOOKUP(C1929,' Disaggregation - Section E '!A$618:J2255,3,0),"")</f>
        <v>DRTB-6 Percentage of TB patients with DST result for at least Rifampicin among the total number of notified (new and retreatment) patients during the reporting period</v>
      </c>
      <c r="L1929" s="384"/>
      <c r="M1929" s="384"/>
      <c r="N1929" s="388"/>
      <c r="O1929" s="384" t="s">
        <v>2753</v>
      </c>
    </row>
    <row r="1930" spans="1:15" x14ac:dyDescent="0.3">
      <c r="A1930" s="384" t="b">
        <v>0</v>
      </c>
      <c r="B1930" s="384"/>
      <c r="C1930" s="384" t="s">
        <v>3556</v>
      </c>
      <c r="D1930" s="389">
        <v>22</v>
      </c>
      <c r="E1930" s="386"/>
      <c r="F1930" s="388"/>
      <c r="G1930" s="387"/>
      <c r="H1930" s="387"/>
      <c r="I1930" s="388"/>
      <c r="J1930" s="388"/>
      <c r="K1930" s="384" t="str">
        <f ca="1">IFERROR(VLOOKUP(C1930,' Disaggregation - Section E '!A$618:J2256,3,0),"")</f>
        <v>DRTB-6 Percentage of TB patients with DST result for at least Rifampicin among the total number of notified (new and retreatment) patients during the reporting period</v>
      </c>
      <c r="L1930" s="384"/>
      <c r="M1930" s="384"/>
      <c r="N1930" s="388"/>
      <c r="O1930" s="384" t="s">
        <v>2753</v>
      </c>
    </row>
    <row r="1931" spans="1:15" x14ac:dyDescent="0.3">
      <c r="A1931" s="384" t="b">
        <v>0</v>
      </c>
      <c r="B1931" s="384"/>
      <c r="C1931" s="384" t="s">
        <v>3557</v>
      </c>
      <c r="D1931" s="389">
        <v>22</v>
      </c>
      <c r="E1931" s="386"/>
      <c r="F1931" s="388"/>
      <c r="G1931" s="387"/>
      <c r="H1931" s="387"/>
      <c r="I1931" s="388"/>
      <c r="J1931" s="388"/>
      <c r="K1931" s="384" t="str">
        <f ca="1">IFERROR(VLOOKUP(C1931,' Disaggregation - Section E '!A$618:J2257,3,0),"")</f>
        <v>DRTB-6 Percentage of TB patients with DST result for at least Rifampicin among the total number of notified (new and retreatment) patients during the reporting period</v>
      </c>
      <c r="L1931" s="384"/>
      <c r="M1931" s="384"/>
      <c r="N1931" s="388"/>
      <c r="O1931" s="384" t="s">
        <v>2753</v>
      </c>
    </row>
    <row r="1932" spans="1:15" x14ac:dyDescent="0.3">
      <c r="A1932" s="384" t="b">
        <v>0</v>
      </c>
      <c r="B1932" s="384"/>
      <c r="C1932" s="384" t="s">
        <v>3558</v>
      </c>
      <c r="D1932" s="389">
        <v>22</v>
      </c>
      <c r="E1932" s="386"/>
      <c r="F1932" s="388"/>
      <c r="G1932" s="387"/>
      <c r="H1932" s="387"/>
      <c r="I1932" s="388"/>
      <c r="J1932" s="388"/>
      <c r="K1932" s="384" t="str">
        <f ca="1">IFERROR(VLOOKUP(C1932,' Disaggregation - Section E '!A$618:J2258,3,0),"")</f>
        <v>DRTB-6 Percentage of TB patients with DST result for at least Rifampicin among the total number of notified (new and retreatment) patients during the reporting period</v>
      </c>
      <c r="L1932" s="384"/>
      <c r="M1932" s="384"/>
      <c r="N1932" s="388"/>
      <c r="O1932" s="384" t="s">
        <v>2753</v>
      </c>
    </row>
    <row r="1933" spans="1:15" x14ac:dyDescent="0.3">
      <c r="A1933" s="384" t="b">
        <v>0</v>
      </c>
      <c r="B1933" s="384"/>
      <c r="C1933" s="384" t="s">
        <v>3559</v>
      </c>
      <c r="D1933" s="389">
        <v>22</v>
      </c>
      <c r="E1933" s="386"/>
      <c r="F1933" s="388"/>
      <c r="G1933" s="387"/>
      <c r="H1933" s="387"/>
      <c r="I1933" s="388"/>
      <c r="J1933" s="388"/>
      <c r="K1933" s="384" t="str">
        <f ca="1">IFERROR(VLOOKUP(C1933,' Disaggregation - Section E '!A$618:J2259,3,0),"")</f>
        <v>DRTB-6 Percentage of TB patients with DST result for at least Rifampicin among the total number of notified (new and retreatment) patients during the reporting period</v>
      </c>
      <c r="L1933" s="384"/>
      <c r="M1933" s="384"/>
      <c r="N1933" s="388"/>
      <c r="O1933" s="384" t="s">
        <v>2753</v>
      </c>
    </row>
    <row r="1934" spans="1:15" x14ac:dyDescent="0.3">
      <c r="A1934" s="384" t="b">
        <v>0</v>
      </c>
      <c r="B1934" s="384"/>
      <c r="C1934" s="384" t="s">
        <v>3560</v>
      </c>
      <c r="D1934" s="389">
        <v>22</v>
      </c>
      <c r="E1934" s="386"/>
      <c r="F1934" s="388"/>
      <c r="G1934" s="387"/>
      <c r="H1934" s="387"/>
      <c r="I1934" s="388"/>
      <c r="J1934" s="388"/>
      <c r="K1934" s="384" t="str">
        <f ca="1">IFERROR(VLOOKUP(C1934,' Disaggregation - Section E '!A$618:J2260,3,0),"")</f>
        <v>DRTB-6 Percentage of TB patients with DST result for at least Rifampicin among the total number of notified (new and retreatment) patients during the reporting period</v>
      </c>
      <c r="L1934" s="384"/>
      <c r="M1934" s="384"/>
      <c r="N1934" s="388"/>
      <c r="O1934" s="384" t="s">
        <v>2753</v>
      </c>
    </row>
    <row r="1935" spans="1:15" x14ac:dyDescent="0.3">
      <c r="A1935" s="384" t="b">
        <v>0</v>
      </c>
      <c r="B1935" s="384"/>
      <c r="C1935" s="384" t="s">
        <v>3561</v>
      </c>
      <c r="D1935" s="389">
        <v>23</v>
      </c>
      <c r="E1935" s="386"/>
      <c r="F1935" s="388"/>
      <c r="G1935" s="387"/>
      <c r="H1935" s="387"/>
      <c r="I1935" s="388"/>
      <c r="J1935" s="388"/>
      <c r="K1935" s="384" t="str">
        <f ca="1">IFERROR(VLOOKUP(C1935,' Disaggregation - Section E '!A$618:J2261,3,0),"")</f>
        <v>DRTB-7 Percentage of RR/MDR-TB patients with DST results for Fluoroquinolone among the total number of notified RR/MDR-TB patients during the reporting period</v>
      </c>
      <c r="L1935" s="384"/>
      <c r="M1935" s="384"/>
      <c r="N1935" s="388"/>
      <c r="O1935" s="384" t="s">
        <v>2760</v>
      </c>
    </row>
    <row r="1936" spans="1:15" x14ac:dyDescent="0.3">
      <c r="A1936" s="384" t="b">
        <v>0</v>
      </c>
      <c r="B1936" s="384"/>
      <c r="C1936" s="384" t="s">
        <v>3562</v>
      </c>
      <c r="D1936" s="389">
        <v>23</v>
      </c>
      <c r="E1936" s="386"/>
      <c r="F1936" s="388"/>
      <c r="G1936" s="387"/>
      <c r="H1936" s="387"/>
      <c r="I1936" s="388"/>
      <c r="J1936" s="388"/>
      <c r="K1936" s="384" t="str">
        <f ca="1">IFERROR(VLOOKUP(C1936,' Disaggregation - Section E '!A$618:J2262,3,0),"")</f>
        <v>DRTB-7 Percentage of RR/MDR-TB patients with DST results for Fluoroquinolone among the total number of notified RR/MDR-TB patients during the reporting period</v>
      </c>
      <c r="L1936" s="384"/>
      <c r="M1936" s="384"/>
      <c r="N1936" s="388"/>
      <c r="O1936" s="384" t="s">
        <v>2760</v>
      </c>
    </row>
    <row r="1937" spans="1:15" x14ac:dyDescent="0.3">
      <c r="A1937" s="384" t="b">
        <v>0</v>
      </c>
      <c r="B1937" s="384"/>
      <c r="C1937" s="384" t="s">
        <v>3563</v>
      </c>
      <c r="D1937" s="389">
        <v>23</v>
      </c>
      <c r="E1937" s="386"/>
      <c r="F1937" s="388"/>
      <c r="G1937" s="387"/>
      <c r="H1937" s="387"/>
      <c r="I1937" s="388"/>
      <c r="J1937" s="388"/>
      <c r="K1937" s="384" t="str">
        <f ca="1">IFERROR(VLOOKUP(C1937,' Disaggregation - Section E '!A$618:J2263,3,0),"")</f>
        <v>DRTB-7 Percentage of RR/MDR-TB patients with DST results for Fluoroquinolone among the total number of notified RR/MDR-TB patients during the reporting period</v>
      </c>
      <c r="L1937" s="384"/>
      <c r="M1937" s="384"/>
      <c r="N1937" s="388"/>
      <c r="O1937" s="384" t="s">
        <v>2760</v>
      </c>
    </row>
    <row r="1938" spans="1:15" x14ac:dyDescent="0.3">
      <c r="A1938" s="384" t="b">
        <v>0</v>
      </c>
      <c r="B1938" s="384"/>
      <c r="C1938" s="384" t="s">
        <v>3564</v>
      </c>
      <c r="D1938" s="389">
        <v>23</v>
      </c>
      <c r="E1938" s="386"/>
      <c r="F1938" s="388"/>
      <c r="G1938" s="387"/>
      <c r="H1938" s="387"/>
      <c r="I1938" s="388"/>
      <c r="J1938" s="388"/>
      <c r="K1938" s="384" t="str">
        <f ca="1">IFERROR(VLOOKUP(C1938,' Disaggregation - Section E '!A$618:J2264,3,0),"")</f>
        <v>DRTB-7 Percentage of RR/MDR-TB patients with DST results for Fluoroquinolone among the total number of notified RR/MDR-TB patients during the reporting period</v>
      </c>
      <c r="L1938" s="384"/>
      <c r="M1938" s="384"/>
      <c r="N1938" s="388"/>
      <c r="O1938" s="384" t="s">
        <v>2760</v>
      </c>
    </row>
    <row r="1939" spans="1:15" x14ac:dyDescent="0.3">
      <c r="A1939" s="384" t="b">
        <v>0</v>
      </c>
      <c r="B1939" s="384"/>
      <c r="C1939" s="384" t="s">
        <v>3565</v>
      </c>
      <c r="D1939" s="389">
        <v>23</v>
      </c>
      <c r="E1939" s="386"/>
      <c r="F1939" s="388"/>
      <c r="G1939" s="387"/>
      <c r="H1939" s="387"/>
      <c r="I1939" s="388"/>
      <c r="J1939" s="388"/>
      <c r="K1939" s="384" t="str">
        <f ca="1">IFERROR(VLOOKUP(C1939,' Disaggregation - Section E '!A$618:J2265,3,0),"")</f>
        <v>DRTB-7 Percentage of RR/MDR-TB patients with DST results for Fluoroquinolone among the total number of notified RR/MDR-TB patients during the reporting period</v>
      </c>
      <c r="L1939" s="384"/>
      <c r="M1939" s="384"/>
      <c r="N1939" s="388"/>
      <c r="O1939" s="384" t="s">
        <v>2760</v>
      </c>
    </row>
    <row r="1940" spans="1:15" x14ac:dyDescent="0.3">
      <c r="A1940" s="384" t="b">
        <v>0</v>
      </c>
      <c r="B1940" s="384"/>
      <c r="C1940" s="384" t="s">
        <v>3566</v>
      </c>
      <c r="D1940" s="389">
        <v>23</v>
      </c>
      <c r="E1940" s="386"/>
      <c r="F1940" s="388"/>
      <c r="G1940" s="387"/>
      <c r="H1940" s="387"/>
      <c r="I1940" s="388"/>
      <c r="J1940" s="388"/>
      <c r="K1940" s="384" t="str">
        <f ca="1">IFERROR(VLOOKUP(C1940,' Disaggregation - Section E '!A$618:J2266,3,0),"")</f>
        <v>DRTB-7 Percentage of RR/MDR-TB patients with DST results for Fluoroquinolone among the total number of notified RR/MDR-TB patients during the reporting period</v>
      </c>
      <c r="L1940" s="384"/>
      <c r="M1940" s="384"/>
      <c r="N1940" s="388"/>
      <c r="O1940" s="384" t="s">
        <v>2760</v>
      </c>
    </row>
    <row r="1941" spans="1:15" x14ac:dyDescent="0.3">
      <c r="A1941" s="384" t="b">
        <v>0</v>
      </c>
      <c r="B1941" s="384"/>
      <c r="C1941" s="384" t="s">
        <v>3567</v>
      </c>
      <c r="D1941" s="389">
        <v>23</v>
      </c>
      <c r="E1941" s="386"/>
      <c r="F1941" s="388"/>
      <c r="G1941" s="387"/>
      <c r="H1941" s="387"/>
      <c r="I1941" s="388"/>
      <c r="J1941" s="388"/>
      <c r="K1941" s="384" t="str">
        <f ca="1">IFERROR(VLOOKUP(C1941,' Disaggregation - Section E '!A$618:J2267,3,0),"")</f>
        <v>DRTB-7 Percentage of RR/MDR-TB patients with DST results for Fluoroquinolone among the total number of notified RR/MDR-TB patients during the reporting period</v>
      </c>
      <c r="L1941" s="384"/>
      <c r="M1941" s="384"/>
      <c r="N1941" s="388"/>
      <c r="O1941" s="384" t="s">
        <v>2760</v>
      </c>
    </row>
    <row r="1942" spans="1:15" x14ac:dyDescent="0.3">
      <c r="A1942" s="384" t="b">
        <v>0</v>
      </c>
      <c r="B1942" s="384"/>
      <c r="C1942" s="384" t="s">
        <v>3568</v>
      </c>
      <c r="D1942" s="389">
        <v>23</v>
      </c>
      <c r="E1942" s="386"/>
      <c r="F1942" s="388"/>
      <c r="G1942" s="387"/>
      <c r="H1942" s="387"/>
      <c r="I1942" s="388"/>
      <c r="J1942" s="388"/>
      <c r="K1942" s="384" t="str">
        <f ca="1">IFERROR(VLOOKUP(C1942,' Disaggregation - Section E '!A$618:J2268,3,0),"")</f>
        <v>DRTB-7 Percentage of RR/MDR-TB patients with DST results for Fluoroquinolone among the total number of notified RR/MDR-TB patients during the reporting period</v>
      </c>
      <c r="L1942" s="384"/>
      <c r="M1942" s="384"/>
      <c r="N1942" s="388"/>
      <c r="O1942" s="384" t="s">
        <v>2760</v>
      </c>
    </row>
    <row r="1943" spans="1:15" x14ac:dyDescent="0.3">
      <c r="A1943" s="384" t="b">
        <v>0</v>
      </c>
      <c r="B1943" s="384"/>
      <c r="C1943" s="384" t="s">
        <v>3569</v>
      </c>
      <c r="D1943" s="389">
        <v>23</v>
      </c>
      <c r="E1943" s="386"/>
      <c r="F1943" s="388"/>
      <c r="G1943" s="387"/>
      <c r="H1943" s="387"/>
      <c r="I1943" s="388"/>
      <c r="J1943" s="388"/>
      <c r="K1943" s="384" t="str">
        <f ca="1">IFERROR(VLOOKUP(C1943,' Disaggregation - Section E '!A$618:J2269,3,0),"")</f>
        <v>DRTB-7 Percentage of RR/MDR-TB patients with DST results for Fluoroquinolone among the total number of notified RR/MDR-TB patients during the reporting period</v>
      </c>
      <c r="L1943" s="384"/>
      <c r="M1943" s="384"/>
      <c r="N1943" s="388"/>
      <c r="O1943" s="384" t="s">
        <v>2760</v>
      </c>
    </row>
    <row r="1944" spans="1:15" x14ac:dyDescent="0.3">
      <c r="A1944" s="384" t="b">
        <v>0</v>
      </c>
      <c r="B1944" s="384"/>
      <c r="C1944" s="384" t="s">
        <v>3570</v>
      </c>
      <c r="D1944" s="389">
        <v>23</v>
      </c>
      <c r="E1944" s="386"/>
      <c r="F1944" s="388"/>
      <c r="G1944" s="387"/>
      <c r="H1944" s="387"/>
      <c r="I1944" s="388"/>
      <c r="J1944" s="388"/>
      <c r="K1944" s="384" t="str">
        <f ca="1">IFERROR(VLOOKUP(C1944,' Disaggregation - Section E '!A$618:J2270,3,0),"")</f>
        <v>DRTB-7 Percentage of RR/MDR-TB patients with DST results for Fluoroquinolone among the total number of notified RR/MDR-TB patients during the reporting period</v>
      </c>
      <c r="L1944" s="384"/>
      <c r="M1944" s="384"/>
      <c r="N1944" s="388"/>
      <c r="O1944" s="384" t="s">
        <v>2760</v>
      </c>
    </row>
    <row r="1945" spans="1:15" x14ac:dyDescent="0.3">
      <c r="A1945" s="384" t="b">
        <v>0</v>
      </c>
      <c r="B1945" s="384"/>
      <c r="C1945" s="384" t="s">
        <v>3571</v>
      </c>
      <c r="D1945" s="389">
        <v>23</v>
      </c>
      <c r="E1945" s="386"/>
      <c r="F1945" s="388"/>
      <c r="G1945" s="387"/>
      <c r="H1945" s="387"/>
      <c r="I1945" s="388"/>
      <c r="J1945" s="388"/>
      <c r="K1945" s="384" t="str">
        <f ca="1">IFERROR(VLOOKUP(C1945,' Disaggregation - Section E '!A$618:J2271,3,0),"")</f>
        <v>DRTB-7 Percentage of RR/MDR-TB patients with DST results for Fluoroquinolone among the total number of notified RR/MDR-TB patients during the reporting period</v>
      </c>
      <c r="L1945" s="384"/>
      <c r="M1945" s="384"/>
      <c r="N1945" s="388"/>
      <c r="O1945" s="384" t="s">
        <v>2760</v>
      </c>
    </row>
    <row r="1946" spans="1:15" x14ac:dyDescent="0.3">
      <c r="A1946" s="384" t="b">
        <v>0</v>
      </c>
      <c r="B1946" s="384"/>
      <c r="C1946" s="384" t="s">
        <v>3572</v>
      </c>
      <c r="D1946" s="389">
        <v>23</v>
      </c>
      <c r="E1946" s="386"/>
      <c r="F1946" s="388"/>
      <c r="G1946" s="387"/>
      <c r="H1946" s="387"/>
      <c r="I1946" s="388"/>
      <c r="J1946" s="388"/>
      <c r="K1946" s="384" t="str">
        <f ca="1">IFERROR(VLOOKUP(C1946,' Disaggregation - Section E '!A$618:J2272,3,0),"")</f>
        <v>DRTB-7 Percentage of RR/MDR-TB patients with DST results for Fluoroquinolone among the total number of notified RR/MDR-TB patients during the reporting period</v>
      </c>
      <c r="L1946" s="384"/>
      <c r="M1946" s="384"/>
      <c r="N1946" s="388"/>
      <c r="O1946" s="384" t="s">
        <v>2760</v>
      </c>
    </row>
    <row r="1947" spans="1:15" x14ac:dyDescent="0.3">
      <c r="A1947" s="384" t="b">
        <v>0</v>
      </c>
      <c r="B1947" s="384"/>
      <c r="C1947" s="384" t="s">
        <v>3573</v>
      </c>
      <c r="D1947" s="389">
        <v>23</v>
      </c>
      <c r="E1947" s="386"/>
      <c r="F1947" s="388"/>
      <c r="G1947" s="387"/>
      <c r="H1947" s="387"/>
      <c r="I1947" s="388"/>
      <c r="J1947" s="388"/>
      <c r="K1947" s="384" t="str">
        <f ca="1">IFERROR(VLOOKUP(C1947,' Disaggregation - Section E '!A$618:J2273,3,0),"")</f>
        <v>DRTB-7 Percentage of RR/MDR-TB patients with DST results for Fluoroquinolone among the total number of notified RR/MDR-TB patients during the reporting period</v>
      </c>
      <c r="L1947" s="384"/>
      <c r="M1947" s="384"/>
      <c r="N1947" s="388"/>
      <c r="O1947" s="384" t="s">
        <v>2760</v>
      </c>
    </row>
    <row r="1948" spans="1:15" x14ac:dyDescent="0.3">
      <c r="A1948" s="384" t="b">
        <v>0</v>
      </c>
      <c r="B1948" s="384"/>
      <c r="C1948" s="384" t="s">
        <v>3574</v>
      </c>
      <c r="D1948" s="389">
        <v>23</v>
      </c>
      <c r="E1948" s="386"/>
      <c r="F1948" s="388"/>
      <c r="G1948" s="387"/>
      <c r="H1948" s="387"/>
      <c r="I1948" s="388"/>
      <c r="J1948" s="388"/>
      <c r="K1948" s="384" t="str">
        <f ca="1">IFERROR(VLOOKUP(C1948,' Disaggregation - Section E '!A$618:J2274,3,0),"")</f>
        <v>DRTB-7 Percentage of RR/MDR-TB patients with DST results for Fluoroquinolone among the total number of notified RR/MDR-TB patients during the reporting period</v>
      </c>
      <c r="L1948" s="384"/>
      <c r="M1948" s="384"/>
      <c r="N1948" s="388"/>
      <c r="O1948" s="384" t="s">
        <v>2760</v>
      </c>
    </row>
    <row r="1949" spans="1:15" x14ac:dyDescent="0.3">
      <c r="A1949" s="384" t="b">
        <v>0</v>
      </c>
      <c r="B1949" s="384"/>
      <c r="C1949" s="384" t="s">
        <v>3575</v>
      </c>
      <c r="D1949" s="389">
        <v>23</v>
      </c>
      <c r="E1949" s="386"/>
      <c r="F1949" s="388"/>
      <c r="G1949" s="387"/>
      <c r="H1949" s="387"/>
      <c r="I1949" s="388"/>
      <c r="J1949" s="388"/>
      <c r="K1949" s="384" t="str">
        <f ca="1">IFERROR(VLOOKUP(C1949,' Disaggregation - Section E '!A$618:J2275,3,0),"")</f>
        <v>DRTB-7 Percentage of RR/MDR-TB patients with DST results for Fluoroquinolone among the total number of notified RR/MDR-TB patients during the reporting period</v>
      </c>
      <c r="L1949" s="384"/>
      <c r="M1949" s="384"/>
      <c r="N1949" s="388"/>
      <c r="O1949" s="384" t="s">
        <v>2760</v>
      </c>
    </row>
    <row r="1950" spans="1:15" x14ac:dyDescent="0.3">
      <c r="A1950" s="384" t="b">
        <v>0</v>
      </c>
      <c r="B1950" s="384"/>
      <c r="C1950" s="384" t="s">
        <v>3576</v>
      </c>
      <c r="D1950" s="389">
        <v>23</v>
      </c>
      <c r="E1950" s="386"/>
      <c r="F1950" s="388"/>
      <c r="G1950" s="387"/>
      <c r="H1950" s="387"/>
      <c r="I1950" s="388"/>
      <c r="J1950" s="388"/>
      <c r="K1950" s="384" t="str">
        <f ca="1">IFERROR(VLOOKUP(C1950,' Disaggregation - Section E '!A$618:J2276,3,0),"")</f>
        <v>DRTB-7 Percentage of RR/MDR-TB patients with DST results for Fluoroquinolone among the total number of notified RR/MDR-TB patients during the reporting period</v>
      </c>
      <c r="L1950" s="384"/>
      <c r="M1950" s="384"/>
      <c r="N1950" s="388"/>
      <c r="O1950" s="384" t="s">
        <v>2760</v>
      </c>
    </row>
    <row r="1951" spans="1:15" x14ac:dyDescent="0.3">
      <c r="A1951" s="384" t="b">
        <v>0</v>
      </c>
      <c r="B1951" s="384"/>
      <c r="C1951" s="384" t="s">
        <v>3577</v>
      </c>
      <c r="D1951" s="389">
        <v>23</v>
      </c>
      <c r="E1951" s="386"/>
      <c r="F1951" s="388"/>
      <c r="G1951" s="387"/>
      <c r="H1951" s="387"/>
      <c r="I1951" s="388"/>
      <c r="J1951" s="388"/>
      <c r="K1951" s="384" t="str">
        <f ca="1">IFERROR(VLOOKUP(C1951,' Disaggregation - Section E '!A$618:J2277,3,0),"")</f>
        <v>DRTB-7 Percentage of RR/MDR-TB patients with DST results for Fluoroquinolone among the total number of notified RR/MDR-TB patients during the reporting period</v>
      </c>
      <c r="L1951" s="384"/>
      <c r="M1951" s="384"/>
      <c r="N1951" s="388"/>
      <c r="O1951" s="384" t="s">
        <v>2760</v>
      </c>
    </row>
    <row r="1952" spans="1:15" x14ac:dyDescent="0.3">
      <c r="A1952" s="384" t="b">
        <v>0</v>
      </c>
      <c r="B1952" s="384"/>
      <c r="C1952" s="384" t="s">
        <v>3578</v>
      </c>
      <c r="D1952" s="389">
        <v>23</v>
      </c>
      <c r="E1952" s="386"/>
      <c r="F1952" s="388"/>
      <c r="G1952" s="387"/>
      <c r="H1952" s="387"/>
      <c r="I1952" s="388"/>
      <c r="J1952" s="388"/>
      <c r="K1952" s="384" t="str">
        <f ca="1">IFERROR(VLOOKUP(C1952,' Disaggregation - Section E '!A$618:J2278,3,0),"")</f>
        <v>DRTB-7 Percentage of RR/MDR-TB patients with DST results for Fluoroquinolone among the total number of notified RR/MDR-TB patients during the reporting period</v>
      </c>
      <c r="L1952" s="384"/>
      <c r="M1952" s="384"/>
      <c r="N1952" s="388"/>
      <c r="O1952" s="384" t="s">
        <v>2760</v>
      </c>
    </row>
    <row r="1953" spans="1:15" x14ac:dyDescent="0.3">
      <c r="A1953" s="384" t="b">
        <v>0</v>
      </c>
      <c r="B1953" s="384"/>
      <c r="C1953" s="384" t="s">
        <v>3579</v>
      </c>
      <c r="D1953" s="389">
        <v>23</v>
      </c>
      <c r="E1953" s="386"/>
      <c r="F1953" s="388"/>
      <c r="G1953" s="387"/>
      <c r="H1953" s="387"/>
      <c r="I1953" s="388"/>
      <c r="J1953" s="388"/>
      <c r="K1953" s="384" t="str">
        <f ca="1">IFERROR(VLOOKUP(C1953,' Disaggregation - Section E '!A$618:J2279,3,0),"")</f>
        <v>DRTB-7 Percentage of RR/MDR-TB patients with DST results for Fluoroquinolone among the total number of notified RR/MDR-TB patients during the reporting period</v>
      </c>
      <c r="L1953" s="384"/>
      <c r="M1953" s="384"/>
      <c r="N1953" s="388"/>
      <c r="O1953" s="384" t="s">
        <v>2760</v>
      </c>
    </row>
    <row r="1954" spans="1:15" x14ac:dyDescent="0.3">
      <c r="A1954" s="384" t="b">
        <v>0</v>
      </c>
      <c r="B1954" s="384"/>
      <c r="C1954" s="384" t="s">
        <v>3580</v>
      </c>
      <c r="D1954" s="389">
        <v>23</v>
      </c>
      <c r="E1954" s="386"/>
      <c r="F1954" s="388"/>
      <c r="G1954" s="387"/>
      <c r="H1954" s="387"/>
      <c r="I1954" s="388"/>
      <c r="J1954" s="388"/>
      <c r="K1954" s="384" t="str">
        <f ca="1">IFERROR(VLOOKUP(C1954,' Disaggregation - Section E '!A$618:J2280,3,0),"")</f>
        <v>DRTB-7 Percentage of RR/MDR-TB patients with DST results for Fluoroquinolone among the total number of notified RR/MDR-TB patients during the reporting period</v>
      </c>
      <c r="L1954" s="384"/>
      <c r="M1954" s="384"/>
      <c r="N1954" s="388"/>
      <c r="O1954" s="384" t="s">
        <v>2760</v>
      </c>
    </row>
    <row r="1955" spans="1:15" x14ac:dyDescent="0.3">
      <c r="A1955" s="384" t="b">
        <v>0</v>
      </c>
      <c r="B1955" s="384"/>
      <c r="C1955" s="384" t="s">
        <v>3581</v>
      </c>
      <c r="D1955" s="389">
        <v>24</v>
      </c>
      <c r="E1955" s="386"/>
      <c r="F1955" s="388"/>
      <c r="G1955" s="387"/>
      <c r="H1955" s="387"/>
      <c r="I1955" s="388"/>
      <c r="J1955" s="388"/>
      <c r="K1955" s="384" t="str">
        <f ca="1">IFERROR(VLOOKUP(C1955,' Disaggregation - Section E '!A$618:J2281,3,0),"")</f>
        <v>DRTB-9 Treatment success rate of RR-TB and/or MDR-TB: Percentage of patients with RR and/or MDR-TB successfully treated</v>
      </c>
      <c r="L1955" s="384"/>
      <c r="M1955" s="384"/>
      <c r="N1955" s="388"/>
      <c r="O1955" s="384" t="s">
        <v>2767</v>
      </c>
    </row>
    <row r="1956" spans="1:15" x14ac:dyDescent="0.3">
      <c r="A1956" s="384" t="b">
        <v>0</v>
      </c>
      <c r="B1956" s="384"/>
      <c r="C1956" s="384" t="s">
        <v>3582</v>
      </c>
      <c r="D1956" s="389">
        <v>24</v>
      </c>
      <c r="E1956" s="386"/>
      <c r="F1956" s="388"/>
      <c r="G1956" s="387"/>
      <c r="H1956" s="387"/>
      <c r="I1956" s="388"/>
      <c r="J1956" s="388"/>
      <c r="K1956" s="384" t="str">
        <f ca="1">IFERROR(VLOOKUP(C1956,' Disaggregation - Section E '!A$618:J2282,3,0),"")</f>
        <v>DRTB-9 Treatment success rate of RR-TB and/or MDR-TB: Percentage of patients with RR and/or MDR-TB successfully treated</v>
      </c>
      <c r="L1956" s="384"/>
      <c r="M1956" s="384"/>
      <c r="N1956" s="388"/>
      <c r="O1956" s="384" t="s">
        <v>2767</v>
      </c>
    </row>
    <row r="1957" spans="1:15" x14ac:dyDescent="0.3">
      <c r="A1957" s="384" t="b">
        <v>0</v>
      </c>
      <c r="B1957" s="384"/>
      <c r="C1957" s="384" t="s">
        <v>3583</v>
      </c>
      <c r="D1957" s="389">
        <v>24</v>
      </c>
      <c r="E1957" s="386"/>
      <c r="F1957" s="388"/>
      <c r="G1957" s="387"/>
      <c r="H1957" s="387"/>
      <c r="I1957" s="388"/>
      <c r="J1957" s="388"/>
      <c r="K1957" s="384" t="str">
        <f ca="1">IFERROR(VLOOKUP(C1957,' Disaggregation - Section E '!A$618:J2283,3,0),"")</f>
        <v>DRTB-9 Treatment success rate of RR-TB and/or MDR-TB: Percentage of patients with RR and/or MDR-TB successfully treated</v>
      </c>
      <c r="L1957" s="384"/>
      <c r="M1957" s="384"/>
      <c r="N1957" s="388"/>
      <c r="O1957" s="384" t="s">
        <v>2767</v>
      </c>
    </row>
    <row r="1958" spans="1:15" x14ac:dyDescent="0.3">
      <c r="A1958" s="384" t="b">
        <v>0</v>
      </c>
      <c r="B1958" s="384"/>
      <c r="C1958" s="384" t="s">
        <v>3584</v>
      </c>
      <c r="D1958" s="389">
        <v>24</v>
      </c>
      <c r="E1958" s="386"/>
      <c r="F1958" s="388"/>
      <c r="G1958" s="387"/>
      <c r="H1958" s="387"/>
      <c r="I1958" s="388"/>
      <c r="J1958" s="388"/>
      <c r="K1958" s="384" t="str">
        <f ca="1">IFERROR(VLOOKUP(C1958,' Disaggregation - Section E '!A$618:J2284,3,0),"")</f>
        <v>DRTB-9 Treatment success rate of RR-TB and/or MDR-TB: Percentage of patients with RR and/or MDR-TB successfully treated</v>
      </c>
      <c r="L1958" s="384"/>
      <c r="M1958" s="384"/>
      <c r="N1958" s="388"/>
      <c r="O1958" s="384" t="s">
        <v>2767</v>
      </c>
    </row>
    <row r="1959" spans="1:15" x14ac:dyDescent="0.3">
      <c r="A1959" s="384" t="b">
        <v>0</v>
      </c>
      <c r="B1959" s="384"/>
      <c r="C1959" s="384" t="s">
        <v>3585</v>
      </c>
      <c r="D1959" s="389">
        <v>24</v>
      </c>
      <c r="E1959" s="386"/>
      <c r="F1959" s="388"/>
      <c r="G1959" s="387"/>
      <c r="H1959" s="387"/>
      <c r="I1959" s="388"/>
      <c r="J1959" s="388"/>
      <c r="K1959" s="384" t="str">
        <f ca="1">IFERROR(VLOOKUP(C1959,' Disaggregation - Section E '!A$618:J2285,3,0),"")</f>
        <v>DRTB-9 Treatment success rate of RR-TB and/or MDR-TB: Percentage of patients with RR and/or MDR-TB successfully treated</v>
      </c>
      <c r="L1959" s="384"/>
      <c r="M1959" s="384"/>
      <c r="N1959" s="388"/>
      <c r="O1959" s="384" t="s">
        <v>2767</v>
      </c>
    </row>
    <row r="1960" spans="1:15" x14ac:dyDescent="0.3">
      <c r="A1960" s="384" t="b">
        <v>0</v>
      </c>
      <c r="B1960" s="384"/>
      <c r="C1960" s="384" t="s">
        <v>3586</v>
      </c>
      <c r="D1960" s="389">
        <v>24</v>
      </c>
      <c r="E1960" s="386"/>
      <c r="F1960" s="388"/>
      <c r="G1960" s="387"/>
      <c r="H1960" s="387"/>
      <c r="I1960" s="388"/>
      <c r="J1960" s="388"/>
      <c r="K1960" s="384" t="str">
        <f ca="1">IFERROR(VLOOKUP(C1960,' Disaggregation - Section E '!A$618:J2286,3,0),"")</f>
        <v>DRTB-9 Treatment success rate of RR-TB and/or MDR-TB: Percentage of patients with RR and/or MDR-TB successfully treated</v>
      </c>
      <c r="L1960" s="384"/>
      <c r="M1960" s="384"/>
      <c r="N1960" s="388"/>
      <c r="O1960" s="384" t="s">
        <v>2767</v>
      </c>
    </row>
    <row r="1961" spans="1:15" x14ac:dyDescent="0.3">
      <c r="A1961" s="384" t="b">
        <v>0</v>
      </c>
      <c r="B1961" s="384"/>
      <c r="C1961" s="384" t="s">
        <v>3587</v>
      </c>
      <c r="D1961" s="389">
        <v>24</v>
      </c>
      <c r="E1961" s="386"/>
      <c r="F1961" s="388"/>
      <c r="G1961" s="387"/>
      <c r="H1961" s="387"/>
      <c r="I1961" s="388"/>
      <c r="J1961" s="388"/>
      <c r="K1961" s="384" t="str">
        <f ca="1">IFERROR(VLOOKUP(C1961,' Disaggregation - Section E '!A$618:J2287,3,0),"")</f>
        <v>DRTB-9 Treatment success rate of RR-TB and/or MDR-TB: Percentage of patients with RR and/or MDR-TB successfully treated</v>
      </c>
      <c r="L1961" s="384"/>
      <c r="M1961" s="384"/>
      <c r="N1961" s="388"/>
      <c r="O1961" s="384" t="s">
        <v>2767</v>
      </c>
    </row>
    <row r="1962" spans="1:15" x14ac:dyDescent="0.3">
      <c r="A1962" s="384" t="b">
        <v>0</v>
      </c>
      <c r="B1962" s="384"/>
      <c r="C1962" s="384" t="s">
        <v>3588</v>
      </c>
      <c r="D1962" s="389">
        <v>24</v>
      </c>
      <c r="E1962" s="386"/>
      <c r="F1962" s="388"/>
      <c r="G1962" s="387"/>
      <c r="H1962" s="387"/>
      <c r="I1962" s="388"/>
      <c r="J1962" s="388"/>
      <c r="K1962" s="384" t="str">
        <f ca="1">IFERROR(VLOOKUP(C1962,' Disaggregation - Section E '!A$618:J2288,3,0),"")</f>
        <v>DRTB-9 Treatment success rate of RR-TB and/or MDR-TB: Percentage of patients with RR and/or MDR-TB successfully treated</v>
      </c>
      <c r="L1962" s="384"/>
      <c r="M1962" s="384"/>
      <c r="N1962" s="388"/>
      <c r="O1962" s="384" t="s">
        <v>2767</v>
      </c>
    </row>
    <row r="1963" spans="1:15" x14ac:dyDescent="0.3">
      <c r="A1963" s="384" t="b">
        <v>0</v>
      </c>
      <c r="B1963" s="384"/>
      <c r="C1963" s="384" t="s">
        <v>3589</v>
      </c>
      <c r="D1963" s="389">
        <v>24</v>
      </c>
      <c r="E1963" s="386"/>
      <c r="F1963" s="388"/>
      <c r="G1963" s="387"/>
      <c r="H1963" s="387"/>
      <c r="I1963" s="388"/>
      <c r="J1963" s="388"/>
      <c r="K1963" s="384" t="str">
        <f ca="1">IFERROR(VLOOKUP(C1963,' Disaggregation - Section E '!A$618:J2289,3,0),"")</f>
        <v>DRTB-9 Treatment success rate of RR-TB and/or MDR-TB: Percentage of patients with RR and/or MDR-TB successfully treated</v>
      </c>
      <c r="L1963" s="384"/>
      <c r="M1963" s="384"/>
      <c r="N1963" s="388"/>
      <c r="O1963" s="384" t="s">
        <v>2767</v>
      </c>
    </row>
    <row r="1964" spans="1:15" x14ac:dyDescent="0.3">
      <c r="A1964" s="384" t="b">
        <v>0</v>
      </c>
      <c r="B1964" s="384"/>
      <c r="C1964" s="384" t="s">
        <v>3590</v>
      </c>
      <c r="D1964" s="389">
        <v>24</v>
      </c>
      <c r="E1964" s="386"/>
      <c r="F1964" s="388"/>
      <c r="G1964" s="387"/>
      <c r="H1964" s="387"/>
      <c r="I1964" s="388"/>
      <c r="J1964" s="388"/>
      <c r="K1964" s="384" t="str">
        <f ca="1">IFERROR(VLOOKUP(C1964,' Disaggregation - Section E '!A$618:J2290,3,0),"")</f>
        <v>DRTB-9 Treatment success rate of RR-TB and/or MDR-TB: Percentage of patients with RR and/or MDR-TB successfully treated</v>
      </c>
      <c r="L1964" s="384"/>
      <c r="M1964" s="384"/>
      <c r="N1964" s="388"/>
      <c r="O1964" s="384" t="s">
        <v>2767</v>
      </c>
    </row>
    <row r="1965" spans="1:15" x14ac:dyDescent="0.3">
      <c r="A1965" s="384" t="b">
        <v>0</v>
      </c>
      <c r="B1965" s="384"/>
      <c r="C1965" s="384" t="s">
        <v>3591</v>
      </c>
      <c r="D1965" s="389">
        <v>24</v>
      </c>
      <c r="E1965" s="386"/>
      <c r="F1965" s="388"/>
      <c r="G1965" s="387"/>
      <c r="H1965" s="387"/>
      <c r="I1965" s="388"/>
      <c r="J1965" s="388"/>
      <c r="K1965" s="384" t="str">
        <f ca="1">IFERROR(VLOOKUP(C1965,' Disaggregation - Section E '!A$618:J2291,3,0),"")</f>
        <v>DRTB-9 Treatment success rate of RR-TB and/or MDR-TB: Percentage of patients with RR and/or MDR-TB successfully treated</v>
      </c>
      <c r="L1965" s="384"/>
      <c r="M1965" s="384"/>
      <c r="N1965" s="388"/>
      <c r="O1965" s="384" t="s">
        <v>2767</v>
      </c>
    </row>
    <row r="1966" spans="1:15" x14ac:dyDescent="0.3">
      <c r="A1966" s="384" t="b">
        <v>0</v>
      </c>
      <c r="B1966" s="384"/>
      <c r="C1966" s="384" t="s">
        <v>3592</v>
      </c>
      <c r="D1966" s="389">
        <v>24</v>
      </c>
      <c r="E1966" s="386"/>
      <c r="F1966" s="388"/>
      <c r="G1966" s="387"/>
      <c r="H1966" s="387"/>
      <c r="I1966" s="388"/>
      <c r="J1966" s="388"/>
      <c r="K1966" s="384" t="str">
        <f ca="1">IFERROR(VLOOKUP(C1966,' Disaggregation - Section E '!A$618:J2292,3,0),"")</f>
        <v>DRTB-9 Treatment success rate of RR-TB and/or MDR-TB: Percentage of patients with RR and/or MDR-TB successfully treated</v>
      </c>
      <c r="L1966" s="384"/>
      <c r="M1966" s="384"/>
      <c r="N1966" s="388"/>
      <c r="O1966" s="384" t="s">
        <v>2767</v>
      </c>
    </row>
    <row r="1967" spans="1:15" x14ac:dyDescent="0.3">
      <c r="A1967" s="384" t="b">
        <v>0</v>
      </c>
      <c r="B1967" s="384"/>
      <c r="C1967" s="384" t="s">
        <v>3593</v>
      </c>
      <c r="D1967" s="389">
        <v>24</v>
      </c>
      <c r="E1967" s="386"/>
      <c r="F1967" s="388"/>
      <c r="G1967" s="387"/>
      <c r="H1967" s="387"/>
      <c r="I1967" s="388"/>
      <c r="J1967" s="388"/>
      <c r="K1967" s="384" t="str">
        <f ca="1">IFERROR(VLOOKUP(C1967,' Disaggregation - Section E '!A$618:J2293,3,0),"")</f>
        <v>DRTB-9 Treatment success rate of RR-TB and/or MDR-TB: Percentage of patients with RR and/or MDR-TB successfully treated</v>
      </c>
      <c r="L1967" s="384"/>
      <c r="M1967" s="384"/>
      <c r="N1967" s="388"/>
      <c r="O1967" s="384" t="s">
        <v>2767</v>
      </c>
    </row>
    <row r="1968" spans="1:15" x14ac:dyDescent="0.3">
      <c r="A1968" s="384" t="b">
        <v>0</v>
      </c>
      <c r="B1968" s="384"/>
      <c r="C1968" s="384" t="s">
        <v>3594</v>
      </c>
      <c r="D1968" s="389">
        <v>24</v>
      </c>
      <c r="E1968" s="386"/>
      <c r="F1968" s="388"/>
      <c r="G1968" s="387"/>
      <c r="H1968" s="387"/>
      <c r="I1968" s="388"/>
      <c r="J1968" s="388"/>
      <c r="K1968" s="384" t="str">
        <f ca="1">IFERROR(VLOOKUP(C1968,' Disaggregation - Section E '!A$618:J2294,3,0),"")</f>
        <v>DRTB-9 Treatment success rate of RR-TB and/or MDR-TB: Percentage of patients with RR and/or MDR-TB successfully treated</v>
      </c>
      <c r="L1968" s="384"/>
      <c r="M1968" s="384"/>
      <c r="N1968" s="388"/>
      <c r="O1968" s="384" t="s">
        <v>2767</v>
      </c>
    </row>
    <row r="1969" spans="1:15" x14ac:dyDescent="0.3">
      <c r="A1969" s="384" t="b">
        <v>0</v>
      </c>
      <c r="B1969" s="384"/>
      <c r="C1969" s="384" t="s">
        <v>3595</v>
      </c>
      <c r="D1969" s="389">
        <v>24</v>
      </c>
      <c r="E1969" s="386"/>
      <c r="F1969" s="388"/>
      <c r="G1969" s="387"/>
      <c r="H1969" s="387"/>
      <c r="I1969" s="388"/>
      <c r="J1969" s="388"/>
      <c r="K1969" s="384" t="str">
        <f ca="1">IFERROR(VLOOKUP(C1969,' Disaggregation - Section E '!A$618:J2295,3,0),"")</f>
        <v>DRTB-9 Treatment success rate of RR-TB and/or MDR-TB: Percentage of patients with RR and/or MDR-TB successfully treated</v>
      </c>
      <c r="L1969" s="384"/>
      <c r="M1969" s="384"/>
      <c r="N1969" s="388"/>
      <c r="O1969" s="384" t="s">
        <v>2767</v>
      </c>
    </row>
    <row r="1970" spans="1:15" x14ac:dyDescent="0.3">
      <c r="A1970" s="384" t="b">
        <v>0</v>
      </c>
      <c r="B1970" s="384"/>
      <c r="C1970" s="384" t="s">
        <v>3596</v>
      </c>
      <c r="D1970" s="389">
        <v>24</v>
      </c>
      <c r="E1970" s="386"/>
      <c r="F1970" s="388"/>
      <c r="G1970" s="387"/>
      <c r="H1970" s="387"/>
      <c r="I1970" s="388"/>
      <c r="J1970" s="388"/>
      <c r="K1970" s="384" t="str">
        <f ca="1">IFERROR(VLOOKUP(C1970,' Disaggregation - Section E '!A$618:J2296,3,0),"")</f>
        <v>DRTB-9 Treatment success rate of RR-TB and/or MDR-TB: Percentage of patients with RR and/or MDR-TB successfully treated</v>
      </c>
      <c r="L1970" s="384"/>
      <c r="M1970" s="384"/>
      <c r="N1970" s="388"/>
      <c r="O1970" s="384" t="s">
        <v>2767</v>
      </c>
    </row>
    <row r="1971" spans="1:15" x14ac:dyDescent="0.3">
      <c r="A1971" s="384" t="b">
        <v>0</v>
      </c>
      <c r="B1971" s="384"/>
      <c r="C1971" s="384" t="s">
        <v>3597</v>
      </c>
      <c r="D1971" s="389">
        <v>24</v>
      </c>
      <c r="E1971" s="386"/>
      <c r="F1971" s="388"/>
      <c r="G1971" s="387"/>
      <c r="H1971" s="387"/>
      <c r="I1971" s="388"/>
      <c r="J1971" s="388"/>
      <c r="K1971" s="384" t="str">
        <f ca="1">IFERROR(VLOOKUP(C1971,' Disaggregation - Section E '!A$618:J2297,3,0),"")</f>
        <v>DRTB-9 Treatment success rate of RR-TB and/or MDR-TB: Percentage of patients with RR and/or MDR-TB successfully treated</v>
      </c>
      <c r="L1971" s="384"/>
      <c r="M1971" s="384"/>
      <c r="N1971" s="388"/>
      <c r="O1971" s="384" t="s">
        <v>2767</v>
      </c>
    </row>
    <row r="1972" spans="1:15" x14ac:dyDescent="0.3">
      <c r="A1972" s="384" t="b">
        <v>0</v>
      </c>
      <c r="B1972" s="384"/>
      <c r="C1972" s="384" t="s">
        <v>3598</v>
      </c>
      <c r="D1972" s="389">
        <v>24</v>
      </c>
      <c r="E1972" s="386"/>
      <c r="F1972" s="388"/>
      <c r="G1972" s="387"/>
      <c r="H1972" s="387"/>
      <c r="I1972" s="388"/>
      <c r="J1972" s="388"/>
      <c r="K1972" s="384" t="str">
        <f ca="1">IFERROR(VLOOKUP(C1972,' Disaggregation - Section E '!A$618:J2298,3,0),"")</f>
        <v>DRTB-9 Treatment success rate of RR-TB and/or MDR-TB: Percentage of patients with RR and/or MDR-TB successfully treated</v>
      </c>
      <c r="L1972" s="384"/>
      <c r="M1972" s="384"/>
      <c r="N1972" s="388"/>
      <c r="O1972" s="384" t="s">
        <v>2767</v>
      </c>
    </row>
    <row r="1973" spans="1:15" x14ac:dyDescent="0.3">
      <c r="A1973" s="384" t="b">
        <v>0</v>
      </c>
      <c r="B1973" s="384"/>
      <c r="C1973" s="384" t="s">
        <v>3599</v>
      </c>
      <c r="D1973" s="389">
        <v>24</v>
      </c>
      <c r="E1973" s="386"/>
      <c r="F1973" s="388"/>
      <c r="G1973" s="387"/>
      <c r="H1973" s="387"/>
      <c r="I1973" s="388"/>
      <c r="J1973" s="388"/>
      <c r="K1973" s="384" t="str">
        <f ca="1">IFERROR(VLOOKUP(C1973,' Disaggregation - Section E '!A$618:J2299,3,0),"")</f>
        <v>DRTB-9 Treatment success rate of RR-TB and/or MDR-TB: Percentage of patients with RR and/or MDR-TB successfully treated</v>
      </c>
      <c r="L1973" s="384"/>
      <c r="M1973" s="384"/>
      <c r="N1973" s="388"/>
      <c r="O1973" s="384" t="s">
        <v>2767</v>
      </c>
    </row>
    <row r="1974" spans="1:15" x14ac:dyDescent="0.3">
      <c r="A1974" s="384" t="b">
        <v>0</v>
      </c>
      <c r="B1974" s="384"/>
      <c r="C1974" s="384" t="s">
        <v>3600</v>
      </c>
      <c r="D1974" s="389">
        <v>24</v>
      </c>
      <c r="E1974" s="386"/>
      <c r="F1974" s="388"/>
      <c r="G1974" s="387"/>
      <c r="H1974" s="387"/>
      <c r="I1974" s="388"/>
      <c r="J1974" s="388"/>
      <c r="K1974" s="384" t="str">
        <f ca="1">IFERROR(VLOOKUP(C1974,' Disaggregation - Section E '!A$618:J2300,3,0),"")</f>
        <v>DRTB-9 Treatment success rate of RR-TB and/or MDR-TB: Percentage of patients with RR and/or MDR-TB successfully treated</v>
      </c>
      <c r="L1974" s="384"/>
      <c r="M1974" s="384"/>
      <c r="N1974" s="388"/>
      <c r="O1974" s="384" t="s">
        <v>2767</v>
      </c>
    </row>
    <row r="1975" spans="1:15" x14ac:dyDescent="0.3">
      <c r="A1975" s="384" t="b">
        <v>0</v>
      </c>
      <c r="B1975" s="384"/>
      <c r="C1975" s="384" t="s">
        <v>3601</v>
      </c>
      <c r="D1975" s="389">
        <v>25</v>
      </c>
      <c r="E1975" s="386"/>
      <c r="F1975" s="388"/>
      <c r="G1975" s="387"/>
      <c r="H1975" s="387"/>
      <c r="I1975" s="388"/>
      <c r="J1975" s="388"/>
      <c r="K1975" s="384" t="str">
        <f ca="1">IFERROR(VLOOKUP(C1975,' Disaggregation - Section E '!A$618:J2301,3,0),"")</f>
        <v/>
      </c>
      <c r="L1975" s="384"/>
      <c r="M1975" s="384"/>
      <c r="N1975" s="388"/>
      <c r="O1975" s="384" t="s">
        <v>2774</v>
      </c>
    </row>
    <row r="1976" spans="1:15" x14ac:dyDescent="0.3">
      <c r="A1976" s="384" t="b">
        <v>0</v>
      </c>
      <c r="B1976" s="384"/>
      <c r="C1976" s="384" t="s">
        <v>3602</v>
      </c>
      <c r="D1976" s="389">
        <v>25</v>
      </c>
      <c r="E1976" s="386"/>
      <c r="F1976" s="388"/>
      <c r="G1976" s="387"/>
      <c r="H1976" s="387"/>
      <c r="I1976" s="388"/>
      <c r="J1976" s="388"/>
      <c r="K1976" s="384" t="str">
        <f ca="1">IFERROR(VLOOKUP(C1976,' Disaggregation - Section E '!A$618:J2302,3,0),"")</f>
        <v/>
      </c>
      <c r="L1976" s="384"/>
      <c r="M1976" s="384"/>
      <c r="N1976" s="388"/>
      <c r="O1976" s="384" t="s">
        <v>2774</v>
      </c>
    </row>
    <row r="1977" spans="1:15" x14ac:dyDescent="0.3">
      <c r="A1977" s="384" t="b">
        <v>0</v>
      </c>
      <c r="B1977" s="384"/>
      <c r="C1977" s="384" t="s">
        <v>3603</v>
      </c>
      <c r="D1977" s="389">
        <v>25</v>
      </c>
      <c r="E1977" s="386"/>
      <c r="F1977" s="388"/>
      <c r="G1977" s="387"/>
      <c r="H1977" s="387"/>
      <c r="I1977" s="388"/>
      <c r="J1977" s="388"/>
      <c r="K1977" s="384" t="str">
        <f ca="1">IFERROR(VLOOKUP(C1977,' Disaggregation - Section E '!A$618:J2303,3,0),"")</f>
        <v/>
      </c>
      <c r="L1977" s="384"/>
      <c r="M1977" s="384"/>
      <c r="N1977" s="388"/>
      <c r="O1977" s="384" t="s">
        <v>2774</v>
      </c>
    </row>
    <row r="1978" spans="1:15" x14ac:dyDescent="0.3">
      <c r="A1978" s="384" t="b">
        <v>0</v>
      </c>
      <c r="B1978" s="384"/>
      <c r="C1978" s="384" t="s">
        <v>3604</v>
      </c>
      <c r="D1978" s="389">
        <v>25</v>
      </c>
      <c r="E1978" s="386"/>
      <c r="F1978" s="388"/>
      <c r="G1978" s="387"/>
      <c r="H1978" s="387"/>
      <c r="I1978" s="388"/>
      <c r="J1978" s="388"/>
      <c r="K1978" s="384" t="str">
        <f ca="1">IFERROR(VLOOKUP(C1978,' Disaggregation - Section E '!A$618:J2304,3,0),"")</f>
        <v/>
      </c>
      <c r="L1978" s="384"/>
      <c r="M1978" s="384"/>
      <c r="N1978" s="388"/>
      <c r="O1978" s="384" t="s">
        <v>2774</v>
      </c>
    </row>
    <row r="1979" spans="1:15" x14ac:dyDescent="0.3">
      <c r="A1979" s="384" t="b">
        <v>0</v>
      </c>
      <c r="B1979" s="384"/>
      <c r="C1979" s="384" t="s">
        <v>3605</v>
      </c>
      <c r="D1979" s="389">
        <v>25</v>
      </c>
      <c r="E1979" s="386"/>
      <c r="F1979" s="388"/>
      <c r="G1979" s="387"/>
      <c r="H1979" s="387"/>
      <c r="I1979" s="388"/>
      <c r="J1979" s="388"/>
      <c r="K1979" s="384" t="str">
        <f ca="1">IFERROR(VLOOKUP(C1979,' Disaggregation - Section E '!A$618:J2305,3,0),"")</f>
        <v/>
      </c>
      <c r="L1979" s="384"/>
      <c r="M1979" s="384"/>
      <c r="N1979" s="388"/>
      <c r="O1979" s="384" t="s">
        <v>2774</v>
      </c>
    </row>
    <row r="1980" spans="1:15" x14ac:dyDescent="0.3">
      <c r="A1980" s="384" t="b">
        <v>0</v>
      </c>
      <c r="B1980" s="384"/>
      <c r="C1980" s="384" t="s">
        <v>3606</v>
      </c>
      <c r="D1980" s="389">
        <v>25</v>
      </c>
      <c r="E1980" s="386"/>
      <c r="F1980" s="388"/>
      <c r="G1980" s="387"/>
      <c r="H1980" s="387"/>
      <c r="I1980" s="388"/>
      <c r="J1980" s="388"/>
      <c r="K1980" s="384" t="str">
        <f ca="1">IFERROR(VLOOKUP(C1980,' Disaggregation - Section E '!A$618:J2306,3,0),"")</f>
        <v/>
      </c>
      <c r="L1980" s="384"/>
      <c r="M1980" s="384"/>
      <c r="N1980" s="388"/>
      <c r="O1980" s="384" t="s">
        <v>2774</v>
      </c>
    </row>
    <row r="1981" spans="1:15" x14ac:dyDescent="0.3">
      <c r="A1981" s="384" t="b">
        <v>0</v>
      </c>
      <c r="B1981" s="384"/>
      <c r="C1981" s="384" t="s">
        <v>3607</v>
      </c>
      <c r="D1981" s="389">
        <v>25</v>
      </c>
      <c r="E1981" s="386"/>
      <c r="F1981" s="388"/>
      <c r="G1981" s="387"/>
      <c r="H1981" s="387"/>
      <c r="I1981" s="388"/>
      <c r="J1981" s="388"/>
      <c r="K1981" s="384" t="str">
        <f ca="1">IFERROR(VLOOKUP(C1981,' Disaggregation - Section E '!A$618:J2307,3,0),"")</f>
        <v/>
      </c>
      <c r="L1981" s="384"/>
      <c r="M1981" s="384"/>
      <c r="N1981" s="388"/>
      <c r="O1981" s="384" t="s">
        <v>2774</v>
      </c>
    </row>
    <row r="1982" spans="1:15" x14ac:dyDescent="0.3">
      <c r="A1982" s="384" t="b">
        <v>0</v>
      </c>
      <c r="B1982" s="384"/>
      <c r="C1982" s="384" t="s">
        <v>3608</v>
      </c>
      <c r="D1982" s="389">
        <v>25</v>
      </c>
      <c r="E1982" s="386"/>
      <c r="F1982" s="388"/>
      <c r="G1982" s="387"/>
      <c r="H1982" s="387"/>
      <c r="I1982" s="388"/>
      <c r="J1982" s="388"/>
      <c r="K1982" s="384" t="str">
        <f ca="1">IFERROR(VLOOKUP(C1982,' Disaggregation - Section E '!A$618:J2308,3,0),"")</f>
        <v/>
      </c>
      <c r="L1982" s="384"/>
      <c r="M1982" s="384"/>
      <c r="N1982" s="388"/>
      <c r="O1982" s="384" t="s">
        <v>2774</v>
      </c>
    </row>
    <row r="1983" spans="1:15" x14ac:dyDescent="0.3">
      <c r="A1983" s="384" t="b">
        <v>0</v>
      </c>
      <c r="B1983" s="384"/>
      <c r="C1983" s="384" t="s">
        <v>3609</v>
      </c>
      <c r="D1983" s="389">
        <v>25</v>
      </c>
      <c r="E1983" s="386"/>
      <c r="F1983" s="388"/>
      <c r="G1983" s="387"/>
      <c r="H1983" s="387"/>
      <c r="I1983" s="388"/>
      <c r="J1983" s="388"/>
      <c r="K1983" s="384" t="str">
        <f ca="1">IFERROR(VLOOKUP(C1983,' Disaggregation - Section E '!A$618:J2309,3,0),"")</f>
        <v/>
      </c>
      <c r="L1983" s="384"/>
      <c r="M1983" s="384"/>
      <c r="N1983" s="388"/>
      <c r="O1983" s="384" t="s">
        <v>2774</v>
      </c>
    </row>
    <row r="1984" spans="1:15" x14ac:dyDescent="0.3">
      <c r="A1984" s="384" t="b">
        <v>0</v>
      </c>
      <c r="B1984" s="384"/>
      <c r="C1984" s="384" t="s">
        <v>3610</v>
      </c>
      <c r="D1984" s="389">
        <v>25</v>
      </c>
      <c r="E1984" s="386"/>
      <c r="F1984" s="388"/>
      <c r="G1984" s="387"/>
      <c r="H1984" s="387"/>
      <c r="I1984" s="388"/>
      <c r="J1984" s="388"/>
      <c r="K1984" s="384" t="str">
        <f ca="1">IFERROR(VLOOKUP(C1984,' Disaggregation - Section E '!A$618:J2310,3,0),"")</f>
        <v/>
      </c>
      <c r="L1984" s="384"/>
      <c r="M1984" s="384"/>
      <c r="N1984" s="388"/>
      <c r="O1984" s="384" t="s">
        <v>2774</v>
      </c>
    </row>
    <row r="1985" spans="1:15" x14ac:dyDescent="0.3">
      <c r="A1985" s="384" t="b">
        <v>0</v>
      </c>
      <c r="B1985" s="384"/>
      <c r="C1985" s="384" t="s">
        <v>3611</v>
      </c>
      <c r="D1985" s="389">
        <v>25</v>
      </c>
      <c r="E1985" s="386"/>
      <c r="F1985" s="388"/>
      <c r="G1985" s="387"/>
      <c r="H1985" s="387"/>
      <c r="I1985" s="388"/>
      <c r="J1985" s="388"/>
      <c r="K1985" s="384" t="str">
        <f ca="1">IFERROR(VLOOKUP(C1985,' Disaggregation - Section E '!A$618:J2311,3,0),"")</f>
        <v/>
      </c>
      <c r="L1985" s="384"/>
      <c r="M1985" s="384"/>
      <c r="N1985" s="388"/>
      <c r="O1985" s="384" t="s">
        <v>2774</v>
      </c>
    </row>
    <row r="1986" spans="1:15" x14ac:dyDescent="0.3">
      <c r="A1986" s="384" t="b">
        <v>0</v>
      </c>
      <c r="B1986" s="384"/>
      <c r="C1986" s="384" t="s">
        <v>3612</v>
      </c>
      <c r="D1986" s="389">
        <v>25</v>
      </c>
      <c r="E1986" s="386"/>
      <c r="F1986" s="388"/>
      <c r="G1986" s="387"/>
      <c r="H1986" s="387"/>
      <c r="I1986" s="388"/>
      <c r="J1986" s="388"/>
      <c r="K1986" s="384" t="str">
        <f ca="1">IFERROR(VLOOKUP(C1986,' Disaggregation - Section E '!A$618:J2312,3,0),"")</f>
        <v/>
      </c>
      <c r="L1986" s="384"/>
      <c r="M1986" s="384"/>
      <c r="N1986" s="388"/>
      <c r="O1986" s="384" t="s">
        <v>2774</v>
      </c>
    </row>
    <row r="1987" spans="1:15" x14ac:dyDescent="0.3">
      <c r="A1987" s="384" t="b">
        <v>0</v>
      </c>
      <c r="B1987" s="384"/>
      <c r="C1987" s="384" t="s">
        <v>3613</v>
      </c>
      <c r="D1987" s="389">
        <v>25</v>
      </c>
      <c r="E1987" s="386"/>
      <c r="F1987" s="388"/>
      <c r="G1987" s="387"/>
      <c r="H1987" s="387"/>
      <c r="I1987" s="388"/>
      <c r="J1987" s="388"/>
      <c r="K1987" s="384" t="str">
        <f ca="1">IFERROR(VLOOKUP(C1987,' Disaggregation - Section E '!A$618:J2313,3,0),"")</f>
        <v/>
      </c>
      <c r="L1987" s="384"/>
      <c r="M1987" s="384"/>
      <c r="N1987" s="388"/>
      <c r="O1987" s="384" t="s">
        <v>2774</v>
      </c>
    </row>
    <row r="1988" spans="1:15" x14ac:dyDescent="0.3">
      <c r="A1988" s="384" t="b">
        <v>0</v>
      </c>
      <c r="B1988" s="384"/>
      <c r="C1988" s="384" t="s">
        <v>3614</v>
      </c>
      <c r="D1988" s="389">
        <v>25</v>
      </c>
      <c r="E1988" s="386"/>
      <c r="F1988" s="388"/>
      <c r="G1988" s="387"/>
      <c r="H1988" s="387"/>
      <c r="I1988" s="388"/>
      <c r="J1988" s="388"/>
      <c r="K1988" s="384" t="str">
        <f ca="1">IFERROR(VLOOKUP(C1988,' Disaggregation - Section E '!A$618:J2314,3,0),"")</f>
        <v/>
      </c>
      <c r="L1988" s="384"/>
      <c r="M1988" s="384"/>
      <c r="N1988" s="388"/>
      <c r="O1988" s="384" t="s">
        <v>2774</v>
      </c>
    </row>
    <row r="1989" spans="1:15" x14ac:dyDescent="0.3">
      <c r="A1989" s="384" t="b">
        <v>0</v>
      </c>
      <c r="B1989" s="384"/>
      <c r="C1989" s="384" t="s">
        <v>3615</v>
      </c>
      <c r="D1989" s="389">
        <v>25</v>
      </c>
      <c r="E1989" s="386"/>
      <c r="F1989" s="388"/>
      <c r="G1989" s="387"/>
      <c r="H1989" s="387"/>
      <c r="I1989" s="388"/>
      <c r="J1989" s="388"/>
      <c r="K1989" s="384" t="str">
        <f ca="1">IFERROR(VLOOKUP(C1989,' Disaggregation - Section E '!A$618:J2315,3,0),"")</f>
        <v/>
      </c>
      <c r="L1989" s="384"/>
      <c r="M1989" s="384"/>
      <c r="N1989" s="388"/>
      <c r="O1989" s="384" t="s">
        <v>2774</v>
      </c>
    </row>
    <row r="1990" spans="1:15" x14ac:dyDescent="0.3">
      <c r="A1990" s="384" t="b">
        <v>0</v>
      </c>
      <c r="B1990" s="384"/>
      <c r="C1990" s="384" t="s">
        <v>3616</v>
      </c>
      <c r="D1990" s="389">
        <v>25</v>
      </c>
      <c r="E1990" s="386"/>
      <c r="F1990" s="388"/>
      <c r="G1990" s="387"/>
      <c r="H1990" s="387"/>
      <c r="I1990" s="388"/>
      <c r="J1990" s="388"/>
      <c r="K1990" s="384" t="str">
        <f ca="1">IFERROR(VLOOKUP(C1990,' Disaggregation - Section E '!A$618:J2316,3,0),"")</f>
        <v/>
      </c>
      <c r="L1990" s="384"/>
      <c r="M1990" s="384"/>
      <c r="N1990" s="388"/>
      <c r="O1990" s="384" t="s">
        <v>2774</v>
      </c>
    </row>
    <row r="1991" spans="1:15" x14ac:dyDescent="0.3">
      <c r="A1991" s="384" t="b">
        <v>0</v>
      </c>
      <c r="B1991" s="384"/>
      <c r="C1991" s="384" t="s">
        <v>3617</v>
      </c>
      <c r="D1991" s="389">
        <v>25</v>
      </c>
      <c r="E1991" s="386"/>
      <c r="F1991" s="388"/>
      <c r="G1991" s="387"/>
      <c r="H1991" s="387"/>
      <c r="I1991" s="388"/>
      <c r="J1991" s="388"/>
      <c r="K1991" s="384" t="str">
        <f ca="1">IFERROR(VLOOKUP(C1991,' Disaggregation - Section E '!A$618:J2317,3,0),"")</f>
        <v/>
      </c>
      <c r="L1991" s="384"/>
      <c r="M1991" s="384"/>
      <c r="N1991" s="388"/>
      <c r="O1991" s="384" t="s">
        <v>2774</v>
      </c>
    </row>
    <row r="1992" spans="1:15" x14ac:dyDescent="0.3">
      <c r="A1992" s="384" t="b">
        <v>0</v>
      </c>
      <c r="B1992" s="384"/>
      <c r="C1992" s="384" t="s">
        <v>3618</v>
      </c>
      <c r="D1992" s="389">
        <v>25</v>
      </c>
      <c r="E1992" s="386"/>
      <c r="F1992" s="388"/>
      <c r="G1992" s="387"/>
      <c r="H1992" s="387"/>
      <c r="I1992" s="388"/>
      <c r="J1992" s="388"/>
      <c r="K1992" s="384" t="str">
        <f ca="1">IFERROR(VLOOKUP(C1992,' Disaggregation - Section E '!A$618:J2318,3,0),"")</f>
        <v/>
      </c>
      <c r="L1992" s="384"/>
      <c r="M1992" s="384"/>
      <c r="N1992" s="388"/>
      <c r="O1992" s="384" t="s">
        <v>2774</v>
      </c>
    </row>
    <row r="1993" spans="1:15" x14ac:dyDescent="0.3">
      <c r="A1993" s="384" t="b">
        <v>0</v>
      </c>
      <c r="B1993" s="384"/>
      <c r="C1993" s="384" t="s">
        <v>3619</v>
      </c>
      <c r="D1993" s="389">
        <v>25</v>
      </c>
      <c r="E1993" s="386"/>
      <c r="F1993" s="388"/>
      <c r="G1993" s="387"/>
      <c r="H1993" s="387"/>
      <c r="I1993" s="388"/>
      <c r="J1993" s="388"/>
      <c r="K1993" s="384" t="str">
        <f ca="1">IFERROR(VLOOKUP(C1993,' Disaggregation - Section E '!A$618:J2319,3,0),"")</f>
        <v/>
      </c>
      <c r="L1993" s="384"/>
      <c r="M1993" s="384"/>
      <c r="N1993" s="388"/>
      <c r="O1993" s="384" t="s">
        <v>2774</v>
      </c>
    </row>
    <row r="1994" spans="1:15" x14ac:dyDescent="0.3">
      <c r="A1994" s="384" t="b">
        <v>0</v>
      </c>
      <c r="B1994" s="384"/>
      <c r="C1994" s="384" t="s">
        <v>3620</v>
      </c>
      <c r="D1994" s="389">
        <v>25</v>
      </c>
      <c r="E1994" s="386"/>
      <c r="F1994" s="388"/>
      <c r="G1994" s="387"/>
      <c r="H1994" s="387"/>
      <c r="I1994" s="388"/>
      <c r="J1994" s="388"/>
      <c r="K1994" s="384" t="str">
        <f ca="1">IFERROR(VLOOKUP(C1994,' Disaggregation - Section E '!A$618:J2320,3,0),"")</f>
        <v/>
      </c>
      <c r="L1994" s="384"/>
      <c r="M1994" s="384"/>
      <c r="N1994" s="388"/>
      <c r="O1994" s="384" t="s">
        <v>2774</v>
      </c>
    </row>
    <row r="1995" spans="1:15" x14ac:dyDescent="0.3">
      <c r="A1995" s="384" t="b">
        <v>0</v>
      </c>
      <c r="B1995" s="384"/>
      <c r="C1995" s="384" t="s">
        <v>3621</v>
      </c>
      <c r="D1995" s="389">
        <v>26</v>
      </c>
      <c r="E1995" s="386"/>
      <c r="F1995" s="388"/>
      <c r="G1995" s="387"/>
      <c r="H1995" s="387"/>
      <c r="I1995" s="388"/>
      <c r="J1995" s="388"/>
      <c r="K1995" s="384" t="str">
        <f ca="1">IFERROR(VLOOKUP(C1995,' Disaggregation - Section E '!A$618:J2321,3,0),"")</f>
        <v/>
      </c>
      <c r="L1995" s="384"/>
      <c r="M1995" s="384"/>
      <c r="N1995" s="388"/>
      <c r="O1995" s="384" t="s">
        <v>2781</v>
      </c>
    </row>
    <row r="1996" spans="1:15" x14ac:dyDescent="0.3">
      <c r="A1996" s="384" t="b">
        <v>0</v>
      </c>
      <c r="B1996" s="384"/>
      <c r="C1996" s="384" t="s">
        <v>3622</v>
      </c>
      <c r="D1996" s="389">
        <v>26</v>
      </c>
      <c r="E1996" s="386"/>
      <c r="F1996" s="388"/>
      <c r="G1996" s="387"/>
      <c r="H1996" s="387"/>
      <c r="I1996" s="388"/>
      <c r="J1996" s="388"/>
      <c r="K1996" s="384" t="str">
        <f ca="1">IFERROR(VLOOKUP(C1996,' Disaggregation - Section E '!A$618:J2322,3,0),"")</f>
        <v/>
      </c>
      <c r="L1996" s="384"/>
      <c r="M1996" s="384"/>
      <c r="N1996" s="388"/>
      <c r="O1996" s="384" t="s">
        <v>2781</v>
      </c>
    </row>
    <row r="1997" spans="1:15" x14ac:dyDescent="0.3">
      <c r="A1997" s="384" t="b">
        <v>0</v>
      </c>
      <c r="B1997" s="384"/>
      <c r="C1997" s="384" t="s">
        <v>3623</v>
      </c>
      <c r="D1997" s="389">
        <v>26</v>
      </c>
      <c r="E1997" s="386"/>
      <c r="F1997" s="388"/>
      <c r="G1997" s="387"/>
      <c r="H1997" s="387"/>
      <c r="I1997" s="388"/>
      <c r="J1997" s="388"/>
      <c r="K1997" s="384" t="str">
        <f ca="1">IFERROR(VLOOKUP(C1997,' Disaggregation - Section E '!A$618:J2323,3,0),"")</f>
        <v/>
      </c>
      <c r="L1997" s="384"/>
      <c r="M1997" s="384"/>
      <c r="N1997" s="388"/>
      <c r="O1997" s="384" t="s">
        <v>2781</v>
      </c>
    </row>
    <row r="1998" spans="1:15" x14ac:dyDescent="0.3">
      <c r="A1998" s="384" t="b">
        <v>0</v>
      </c>
      <c r="B1998" s="384"/>
      <c r="C1998" s="384" t="s">
        <v>3624</v>
      </c>
      <c r="D1998" s="389">
        <v>26</v>
      </c>
      <c r="E1998" s="386"/>
      <c r="F1998" s="388"/>
      <c r="G1998" s="387"/>
      <c r="H1998" s="387"/>
      <c r="I1998" s="388"/>
      <c r="J1998" s="388"/>
      <c r="K1998" s="384" t="str">
        <f ca="1">IFERROR(VLOOKUP(C1998,' Disaggregation - Section E '!A$618:J2324,3,0),"")</f>
        <v/>
      </c>
      <c r="L1998" s="384"/>
      <c r="M1998" s="384"/>
      <c r="N1998" s="388"/>
      <c r="O1998" s="384" t="s">
        <v>2781</v>
      </c>
    </row>
    <row r="1999" spans="1:15" x14ac:dyDescent="0.3">
      <c r="A1999" s="384" t="b">
        <v>0</v>
      </c>
      <c r="B1999" s="384"/>
      <c r="C1999" s="384" t="s">
        <v>3625</v>
      </c>
      <c r="D1999" s="389">
        <v>26</v>
      </c>
      <c r="E1999" s="386"/>
      <c r="F1999" s="388"/>
      <c r="G1999" s="387"/>
      <c r="H1999" s="387"/>
      <c r="I1999" s="388"/>
      <c r="J1999" s="388"/>
      <c r="K1999" s="384" t="str">
        <f ca="1">IFERROR(VLOOKUP(C1999,' Disaggregation - Section E '!A$618:J2325,3,0),"")</f>
        <v/>
      </c>
      <c r="L1999" s="384"/>
      <c r="M1999" s="384"/>
      <c r="N1999" s="388"/>
      <c r="O1999" s="384" t="s">
        <v>2781</v>
      </c>
    </row>
    <row r="2000" spans="1:15" x14ac:dyDescent="0.3">
      <c r="A2000" s="384" t="b">
        <v>0</v>
      </c>
      <c r="B2000" s="384"/>
      <c r="C2000" s="384" t="s">
        <v>3626</v>
      </c>
      <c r="D2000" s="389">
        <v>26</v>
      </c>
      <c r="E2000" s="386"/>
      <c r="F2000" s="388"/>
      <c r="G2000" s="387"/>
      <c r="H2000" s="387"/>
      <c r="I2000" s="388"/>
      <c r="J2000" s="388"/>
      <c r="K2000" s="384" t="str">
        <f ca="1">IFERROR(VLOOKUP(C2000,' Disaggregation - Section E '!A$618:J2326,3,0),"")</f>
        <v/>
      </c>
      <c r="L2000" s="384"/>
      <c r="M2000" s="384"/>
      <c r="N2000" s="388"/>
      <c r="O2000" s="384" t="s">
        <v>2781</v>
      </c>
    </row>
    <row r="2001" spans="1:15" x14ac:dyDescent="0.3">
      <c r="A2001" s="384" t="b">
        <v>0</v>
      </c>
      <c r="B2001" s="384"/>
      <c r="C2001" s="384" t="s">
        <v>3627</v>
      </c>
      <c r="D2001" s="389">
        <v>26</v>
      </c>
      <c r="E2001" s="386"/>
      <c r="F2001" s="388"/>
      <c r="G2001" s="387"/>
      <c r="H2001" s="387"/>
      <c r="I2001" s="388"/>
      <c r="J2001" s="388"/>
      <c r="K2001" s="384" t="str">
        <f ca="1">IFERROR(VLOOKUP(C2001,' Disaggregation - Section E '!A$618:J2327,3,0),"")</f>
        <v/>
      </c>
      <c r="L2001" s="384"/>
      <c r="M2001" s="384"/>
      <c r="N2001" s="388"/>
      <c r="O2001" s="384" t="s">
        <v>2781</v>
      </c>
    </row>
    <row r="2002" spans="1:15" x14ac:dyDescent="0.3">
      <c r="A2002" s="384" t="b">
        <v>0</v>
      </c>
      <c r="B2002" s="384"/>
      <c r="C2002" s="384" t="s">
        <v>3628</v>
      </c>
      <c r="D2002" s="389">
        <v>26</v>
      </c>
      <c r="E2002" s="386"/>
      <c r="F2002" s="388"/>
      <c r="G2002" s="387"/>
      <c r="H2002" s="387"/>
      <c r="I2002" s="388"/>
      <c r="J2002" s="388"/>
      <c r="K2002" s="384" t="str">
        <f ca="1">IFERROR(VLOOKUP(C2002,' Disaggregation - Section E '!A$618:J2328,3,0),"")</f>
        <v/>
      </c>
      <c r="L2002" s="384"/>
      <c r="M2002" s="384"/>
      <c r="N2002" s="388"/>
      <c r="O2002" s="384" t="s">
        <v>2781</v>
      </c>
    </row>
    <row r="2003" spans="1:15" x14ac:dyDescent="0.3">
      <c r="A2003" s="384" t="b">
        <v>0</v>
      </c>
      <c r="B2003" s="384"/>
      <c r="C2003" s="384" t="s">
        <v>3629</v>
      </c>
      <c r="D2003" s="389">
        <v>26</v>
      </c>
      <c r="E2003" s="386"/>
      <c r="F2003" s="388"/>
      <c r="G2003" s="387"/>
      <c r="H2003" s="387"/>
      <c r="I2003" s="388"/>
      <c r="J2003" s="388"/>
      <c r="K2003" s="384" t="str">
        <f ca="1">IFERROR(VLOOKUP(C2003,' Disaggregation - Section E '!A$618:J2329,3,0),"")</f>
        <v/>
      </c>
      <c r="L2003" s="384"/>
      <c r="M2003" s="384"/>
      <c r="N2003" s="388"/>
      <c r="O2003" s="384" t="s">
        <v>2781</v>
      </c>
    </row>
    <row r="2004" spans="1:15" x14ac:dyDescent="0.3">
      <c r="A2004" s="384" t="b">
        <v>0</v>
      </c>
      <c r="B2004" s="384"/>
      <c r="C2004" s="384" t="s">
        <v>3630</v>
      </c>
      <c r="D2004" s="389">
        <v>26</v>
      </c>
      <c r="E2004" s="386"/>
      <c r="F2004" s="388"/>
      <c r="G2004" s="387"/>
      <c r="H2004" s="387"/>
      <c r="I2004" s="388"/>
      <c r="J2004" s="388"/>
      <c r="K2004" s="384" t="str">
        <f ca="1">IFERROR(VLOOKUP(C2004,' Disaggregation - Section E '!A$618:J2330,3,0),"")</f>
        <v/>
      </c>
      <c r="L2004" s="384"/>
      <c r="M2004" s="384"/>
      <c r="N2004" s="388"/>
      <c r="O2004" s="384" t="s">
        <v>2781</v>
      </c>
    </row>
    <row r="2005" spans="1:15" x14ac:dyDescent="0.3">
      <c r="A2005" s="384" t="b">
        <v>0</v>
      </c>
      <c r="B2005" s="384"/>
      <c r="C2005" s="384" t="s">
        <v>3631</v>
      </c>
      <c r="D2005" s="389">
        <v>26</v>
      </c>
      <c r="E2005" s="386"/>
      <c r="F2005" s="388"/>
      <c r="G2005" s="387"/>
      <c r="H2005" s="387"/>
      <c r="I2005" s="388"/>
      <c r="J2005" s="388"/>
      <c r="K2005" s="384" t="str">
        <f ca="1">IFERROR(VLOOKUP(C2005,' Disaggregation - Section E '!A$618:J2331,3,0),"")</f>
        <v/>
      </c>
      <c r="L2005" s="384"/>
      <c r="M2005" s="384"/>
      <c r="N2005" s="388"/>
      <c r="O2005" s="384" t="s">
        <v>2781</v>
      </c>
    </row>
    <row r="2006" spans="1:15" x14ac:dyDescent="0.3">
      <c r="A2006" s="384" t="b">
        <v>0</v>
      </c>
      <c r="B2006" s="384"/>
      <c r="C2006" s="384" t="s">
        <v>3632</v>
      </c>
      <c r="D2006" s="389">
        <v>26</v>
      </c>
      <c r="E2006" s="386"/>
      <c r="F2006" s="388"/>
      <c r="G2006" s="387"/>
      <c r="H2006" s="387"/>
      <c r="I2006" s="388"/>
      <c r="J2006" s="388"/>
      <c r="K2006" s="384" t="str">
        <f ca="1">IFERROR(VLOOKUP(C2006,' Disaggregation - Section E '!A$618:J2332,3,0),"")</f>
        <v/>
      </c>
      <c r="L2006" s="384"/>
      <c r="M2006" s="384"/>
      <c r="N2006" s="388"/>
      <c r="O2006" s="384" t="s">
        <v>2781</v>
      </c>
    </row>
    <row r="2007" spans="1:15" x14ac:dyDescent="0.3">
      <c r="A2007" s="384" t="b">
        <v>0</v>
      </c>
      <c r="B2007" s="384"/>
      <c r="C2007" s="384" t="s">
        <v>3633</v>
      </c>
      <c r="D2007" s="389">
        <v>26</v>
      </c>
      <c r="E2007" s="386"/>
      <c r="F2007" s="388"/>
      <c r="G2007" s="387"/>
      <c r="H2007" s="387"/>
      <c r="I2007" s="388"/>
      <c r="J2007" s="388"/>
      <c r="K2007" s="384" t="str">
        <f ca="1">IFERROR(VLOOKUP(C2007,' Disaggregation - Section E '!A$618:J2333,3,0),"")</f>
        <v/>
      </c>
      <c r="L2007" s="384"/>
      <c r="M2007" s="384"/>
      <c r="N2007" s="388"/>
      <c r="O2007" s="384" t="s">
        <v>2781</v>
      </c>
    </row>
    <row r="2008" spans="1:15" x14ac:dyDescent="0.3">
      <c r="A2008" s="384" t="b">
        <v>0</v>
      </c>
      <c r="B2008" s="384"/>
      <c r="C2008" s="384" t="s">
        <v>3634</v>
      </c>
      <c r="D2008" s="389">
        <v>26</v>
      </c>
      <c r="E2008" s="386"/>
      <c r="F2008" s="388"/>
      <c r="G2008" s="387"/>
      <c r="H2008" s="387"/>
      <c r="I2008" s="388"/>
      <c r="J2008" s="388"/>
      <c r="K2008" s="384" t="str">
        <f ca="1">IFERROR(VLOOKUP(C2008,' Disaggregation - Section E '!A$618:J2334,3,0),"")</f>
        <v/>
      </c>
      <c r="L2008" s="384"/>
      <c r="M2008" s="384"/>
      <c r="N2008" s="388"/>
      <c r="O2008" s="384" t="s">
        <v>2781</v>
      </c>
    </row>
    <row r="2009" spans="1:15" x14ac:dyDescent="0.3">
      <c r="A2009" s="384" t="b">
        <v>0</v>
      </c>
      <c r="B2009" s="384"/>
      <c r="C2009" s="384" t="s">
        <v>3635</v>
      </c>
      <c r="D2009" s="389">
        <v>26</v>
      </c>
      <c r="E2009" s="386"/>
      <c r="F2009" s="388"/>
      <c r="G2009" s="387"/>
      <c r="H2009" s="387"/>
      <c r="I2009" s="388"/>
      <c r="J2009" s="388"/>
      <c r="K2009" s="384" t="str">
        <f ca="1">IFERROR(VLOOKUP(C2009,' Disaggregation - Section E '!A$618:J2335,3,0),"")</f>
        <v/>
      </c>
      <c r="L2009" s="384"/>
      <c r="M2009" s="384"/>
      <c r="N2009" s="388"/>
      <c r="O2009" s="384" t="s">
        <v>2781</v>
      </c>
    </row>
    <row r="2010" spans="1:15" x14ac:dyDescent="0.3">
      <c r="A2010" s="384" t="b">
        <v>0</v>
      </c>
      <c r="B2010" s="384"/>
      <c r="C2010" s="384" t="s">
        <v>3636</v>
      </c>
      <c r="D2010" s="389">
        <v>26</v>
      </c>
      <c r="E2010" s="386"/>
      <c r="F2010" s="388"/>
      <c r="G2010" s="387"/>
      <c r="H2010" s="387"/>
      <c r="I2010" s="388"/>
      <c r="J2010" s="388"/>
      <c r="K2010" s="384" t="str">
        <f ca="1">IFERROR(VLOOKUP(C2010,' Disaggregation - Section E '!A$618:J2336,3,0),"")</f>
        <v/>
      </c>
      <c r="L2010" s="384"/>
      <c r="M2010" s="384"/>
      <c r="N2010" s="388"/>
      <c r="O2010" s="384" t="s">
        <v>2781</v>
      </c>
    </row>
    <row r="2011" spans="1:15" x14ac:dyDescent="0.3">
      <c r="A2011" s="384" t="b">
        <v>0</v>
      </c>
      <c r="B2011" s="384"/>
      <c r="C2011" s="384" t="s">
        <v>3637</v>
      </c>
      <c r="D2011" s="389">
        <v>26</v>
      </c>
      <c r="E2011" s="386"/>
      <c r="F2011" s="388"/>
      <c r="G2011" s="387"/>
      <c r="H2011" s="387"/>
      <c r="I2011" s="388"/>
      <c r="J2011" s="388"/>
      <c r="K2011" s="384" t="str">
        <f ca="1">IFERROR(VLOOKUP(C2011,' Disaggregation - Section E '!A$618:J2337,3,0),"")</f>
        <v/>
      </c>
      <c r="L2011" s="384"/>
      <c r="M2011" s="384"/>
      <c r="N2011" s="388"/>
      <c r="O2011" s="384" t="s">
        <v>2781</v>
      </c>
    </row>
    <row r="2012" spans="1:15" x14ac:dyDescent="0.3">
      <c r="A2012" s="384" t="b">
        <v>0</v>
      </c>
      <c r="B2012" s="384"/>
      <c r="C2012" s="384" t="s">
        <v>3638</v>
      </c>
      <c r="D2012" s="389">
        <v>26</v>
      </c>
      <c r="E2012" s="386"/>
      <c r="F2012" s="388"/>
      <c r="G2012" s="387"/>
      <c r="H2012" s="387"/>
      <c r="I2012" s="388"/>
      <c r="J2012" s="388"/>
      <c r="K2012" s="384" t="str">
        <f ca="1">IFERROR(VLOOKUP(C2012,' Disaggregation - Section E '!A$618:J2338,3,0),"")</f>
        <v/>
      </c>
      <c r="L2012" s="384"/>
      <c r="M2012" s="384"/>
      <c r="N2012" s="388"/>
      <c r="O2012" s="384" t="s">
        <v>2781</v>
      </c>
    </row>
    <row r="2013" spans="1:15" x14ac:dyDescent="0.3">
      <c r="A2013" s="384" t="b">
        <v>0</v>
      </c>
      <c r="B2013" s="384"/>
      <c r="C2013" s="384" t="s">
        <v>3639</v>
      </c>
      <c r="D2013" s="389">
        <v>26</v>
      </c>
      <c r="E2013" s="386"/>
      <c r="F2013" s="388"/>
      <c r="G2013" s="387"/>
      <c r="H2013" s="387"/>
      <c r="I2013" s="388"/>
      <c r="J2013" s="388"/>
      <c r="K2013" s="384" t="str">
        <f ca="1">IFERROR(VLOOKUP(C2013,' Disaggregation - Section E '!A$618:J2339,3,0),"")</f>
        <v/>
      </c>
      <c r="L2013" s="384"/>
      <c r="M2013" s="384"/>
      <c r="N2013" s="388"/>
      <c r="O2013" s="384" t="s">
        <v>2781</v>
      </c>
    </row>
    <row r="2014" spans="1:15" x14ac:dyDescent="0.3">
      <c r="A2014" s="384" t="b">
        <v>0</v>
      </c>
      <c r="B2014" s="384"/>
      <c r="C2014" s="384" t="s">
        <v>3640</v>
      </c>
      <c r="D2014" s="389">
        <v>26</v>
      </c>
      <c r="E2014" s="386"/>
      <c r="F2014" s="388"/>
      <c r="G2014" s="387"/>
      <c r="H2014" s="387"/>
      <c r="I2014" s="388"/>
      <c r="J2014" s="388"/>
      <c r="K2014" s="384" t="str">
        <f ca="1">IFERROR(VLOOKUP(C2014,' Disaggregation - Section E '!A$618:J2340,3,0),"")</f>
        <v/>
      </c>
      <c r="L2014" s="384"/>
      <c r="M2014" s="384"/>
      <c r="N2014" s="388"/>
      <c r="O2014" s="384" t="s">
        <v>2781</v>
      </c>
    </row>
    <row r="2015" spans="1:15" x14ac:dyDescent="0.3">
      <c r="A2015" s="384" t="b">
        <v>0</v>
      </c>
      <c r="B2015" s="384"/>
      <c r="C2015" s="384" t="s">
        <v>3641</v>
      </c>
      <c r="D2015" s="389">
        <v>27</v>
      </c>
      <c r="E2015" s="386"/>
      <c r="F2015" s="388"/>
      <c r="G2015" s="387"/>
      <c r="H2015" s="387"/>
      <c r="I2015" s="388"/>
      <c r="J2015" s="388"/>
      <c r="K2015" s="384" t="str">
        <f ca="1">IFERROR(VLOOKUP(C2015,' Disaggregation - Section E '!A$618:J2341,3,0),"")</f>
        <v/>
      </c>
      <c r="L2015" s="384"/>
      <c r="M2015" s="384"/>
      <c r="N2015" s="388"/>
      <c r="O2015" s="384" t="s">
        <v>2788</v>
      </c>
    </row>
    <row r="2016" spans="1:15" x14ac:dyDescent="0.3">
      <c r="A2016" s="384" t="b">
        <v>0</v>
      </c>
      <c r="B2016" s="384"/>
      <c r="C2016" s="384" t="s">
        <v>3642</v>
      </c>
      <c r="D2016" s="389">
        <v>27</v>
      </c>
      <c r="E2016" s="386"/>
      <c r="F2016" s="388"/>
      <c r="G2016" s="387"/>
      <c r="H2016" s="387"/>
      <c r="I2016" s="388"/>
      <c r="J2016" s="388"/>
      <c r="K2016" s="384" t="str">
        <f ca="1">IFERROR(VLOOKUP(C2016,' Disaggregation - Section E '!A$618:J2342,3,0),"")</f>
        <v/>
      </c>
      <c r="L2016" s="384"/>
      <c r="M2016" s="384"/>
      <c r="N2016" s="388"/>
      <c r="O2016" s="384" t="s">
        <v>2788</v>
      </c>
    </row>
    <row r="2017" spans="1:15" x14ac:dyDescent="0.3">
      <c r="A2017" s="384" t="b">
        <v>0</v>
      </c>
      <c r="B2017" s="384"/>
      <c r="C2017" s="384" t="s">
        <v>3643</v>
      </c>
      <c r="D2017" s="389">
        <v>27</v>
      </c>
      <c r="E2017" s="386"/>
      <c r="F2017" s="388"/>
      <c r="G2017" s="387"/>
      <c r="H2017" s="387"/>
      <c r="I2017" s="388"/>
      <c r="J2017" s="388"/>
      <c r="K2017" s="384" t="str">
        <f ca="1">IFERROR(VLOOKUP(C2017,' Disaggregation - Section E '!A$618:J2343,3,0),"")</f>
        <v/>
      </c>
      <c r="L2017" s="384"/>
      <c r="M2017" s="384"/>
      <c r="N2017" s="388"/>
      <c r="O2017" s="384" t="s">
        <v>2788</v>
      </c>
    </row>
    <row r="2018" spans="1:15" x14ac:dyDescent="0.3">
      <c r="A2018" s="384" t="b">
        <v>0</v>
      </c>
      <c r="B2018" s="384"/>
      <c r="C2018" s="384" t="s">
        <v>3644</v>
      </c>
      <c r="D2018" s="389">
        <v>27</v>
      </c>
      <c r="E2018" s="386"/>
      <c r="F2018" s="388"/>
      <c r="G2018" s="387"/>
      <c r="H2018" s="387"/>
      <c r="I2018" s="388"/>
      <c r="J2018" s="388"/>
      <c r="K2018" s="384" t="str">
        <f ca="1">IFERROR(VLOOKUP(C2018,' Disaggregation - Section E '!A$618:J2344,3,0),"")</f>
        <v/>
      </c>
      <c r="L2018" s="384"/>
      <c r="M2018" s="384"/>
      <c r="N2018" s="388"/>
      <c r="O2018" s="384" t="s">
        <v>2788</v>
      </c>
    </row>
    <row r="2019" spans="1:15" x14ac:dyDescent="0.3">
      <c r="A2019" s="384" t="b">
        <v>0</v>
      </c>
      <c r="B2019" s="384"/>
      <c r="C2019" s="384" t="s">
        <v>3645</v>
      </c>
      <c r="D2019" s="389">
        <v>27</v>
      </c>
      <c r="E2019" s="386"/>
      <c r="F2019" s="388"/>
      <c r="G2019" s="387"/>
      <c r="H2019" s="387"/>
      <c r="I2019" s="388"/>
      <c r="J2019" s="388"/>
      <c r="K2019" s="384" t="str">
        <f ca="1">IFERROR(VLOOKUP(C2019,' Disaggregation - Section E '!A$618:J2345,3,0),"")</f>
        <v/>
      </c>
      <c r="L2019" s="384"/>
      <c r="M2019" s="384"/>
      <c r="N2019" s="388"/>
      <c r="O2019" s="384" t="s">
        <v>2788</v>
      </c>
    </row>
    <row r="2020" spans="1:15" x14ac:dyDescent="0.3">
      <c r="A2020" s="384" t="b">
        <v>0</v>
      </c>
      <c r="B2020" s="384"/>
      <c r="C2020" s="384" t="s">
        <v>3646</v>
      </c>
      <c r="D2020" s="389">
        <v>27</v>
      </c>
      <c r="E2020" s="386"/>
      <c r="F2020" s="388"/>
      <c r="G2020" s="387"/>
      <c r="H2020" s="387"/>
      <c r="I2020" s="388"/>
      <c r="J2020" s="388"/>
      <c r="K2020" s="384" t="str">
        <f ca="1">IFERROR(VLOOKUP(C2020,' Disaggregation - Section E '!A$618:J2346,3,0),"")</f>
        <v/>
      </c>
      <c r="L2020" s="384"/>
      <c r="M2020" s="384"/>
      <c r="N2020" s="388"/>
      <c r="O2020" s="384" t="s">
        <v>2788</v>
      </c>
    </row>
    <row r="2021" spans="1:15" x14ac:dyDescent="0.3">
      <c r="A2021" s="384" t="b">
        <v>0</v>
      </c>
      <c r="B2021" s="384"/>
      <c r="C2021" s="384" t="s">
        <v>3647</v>
      </c>
      <c r="D2021" s="389">
        <v>27</v>
      </c>
      <c r="E2021" s="386"/>
      <c r="F2021" s="388"/>
      <c r="G2021" s="387"/>
      <c r="H2021" s="387"/>
      <c r="I2021" s="388"/>
      <c r="J2021" s="388"/>
      <c r="K2021" s="384" t="str">
        <f ca="1">IFERROR(VLOOKUP(C2021,' Disaggregation - Section E '!A$618:J2347,3,0),"")</f>
        <v/>
      </c>
      <c r="L2021" s="384"/>
      <c r="M2021" s="384"/>
      <c r="N2021" s="388"/>
      <c r="O2021" s="384" t="s">
        <v>2788</v>
      </c>
    </row>
    <row r="2022" spans="1:15" x14ac:dyDescent="0.3">
      <c r="A2022" s="384" t="b">
        <v>0</v>
      </c>
      <c r="B2022" s="384"/>
      <c r="C2022" s="384" t="s">
        <v>3648</v>
      </c>
      <c r="D2022" s="389">
        <v>27</v>
      </c>
      <c r="E2022" s="386"/>
      <c r="F2022" s="388"/>
      <c r="G2022" s="387"/>
      <c r="H2022" s="387"/>
      <c r="I2022" s="388"/>
      <c r="J2022" s="388"/>
      <c r="K2022" s="384" t="str">
        <f ca="1">IFERROR(VLOOKUP(C2022,' Disaggregation - Section E '!A$618:J2348,3,0),"")</f>
        <v/>
      </c>
      <c r="L2022" s="384"/>
      <c r="M2022" s="384"/>
      <c r="N2022" s="388"/>
      <c r="O2022" s="384" t="s">
        <v>2788</v>
      </c>
    </row>
    <row r="2023" spans="1:15" x14ac:dyDescent="0.3">
      <c r="A2023" s="384" t="b">
        <v>0</v>
      </c>
      <c r="B2023" s="384"/>
      <c r="C2023" s="384" t="s">
        <v>3649</v>
      </c>
      <c r="D2023" s="389">
        <v>27</v>
      </c>
      <c r="E2023" s="386"/>
      <c r="F2023" s="388"/>
      <c r="G2023" s="387"/>
      <c r="H2023" s="387"/>
      <c r="I2023" s="388"/>
      <c r="J2023" s="388"/>
      <c r="K2023" s="384" t="str">
        <f ca="1">IFERROR(VLOOKUP(C2023,' Disaggregation - Section E '!A$618:J2349,3,0),"")</f>
        <v/>
      </c>
      <c r="L2023" s="384"/>
      <c r="M2023" s="384"/>
      <c r="N2023" s="388"/>
      <c r="O2023" s="384" t="s">
        <v>2788</v>
      </c>
    </row>
    <row r="2024" spans="1:15" x14ac:dyDescent="0.3">
      <c r="A2024" s="384" t="b">
        <v>0</v>
      </c>
      <c r="B2024" s="384"/>
      <c r="C2024" s="384" t="s">
        <v>3650</v>
      </c>
      <c r="D2024" s="389">
        <v>27</v>
      </c>
      <c r="E2024" s="386"/>
      <c r="F2024" s="388"/>
      <c r="G2024" s="387"/>
      <c r="H2024" s="387"/>
      <c r="I2024" s="388"/>
      <c r="J2024" s="388"/>
      <c r="K2024" s="384" t="str">
        <f ca="1">IFERROR(VLOOKUP(C2024,' Disaggregation - Section E '!A$618:J2350,3,0),"")</f>
        <v/>
      </c>
      <c r="L2024" s="384"/>
      <c r="M2024" s="384"/>
      <c r="N2024" s="388"/>
      <c r="O2024" s="384" t="s">
        <v>2788</v>
      </c>
    </row>
    <row r="2025" spans="1:15" x14ac:dyDescent="0.3">
      <c r="A2025" s="384" t="b">
        <v>0</v>
      </c>
      <c r="B2025" s="384"/>
      <c r="C2025" s="384" t="s">
        <v>3651</v>
      </c>
      <c r="D2025" s="389">
        <v>27</v>
      </c>
      <c r="E2025" s="386"/>
      <c r="F2025" s="388"/>
      <c r="G2025" s="387"/>
      <c r="H2025" s="387"/>
      <c r="I2025" s="388"/>
      <c r="J2025" s="388"/>
      <c r="K2025" s="384" t="str">
        <f ca="1">IFERROR(VLOOKUP(C2025,' Disaggregation - Section E '!A$618:J2351,3,0),"")</f>
        <v/>
      </c>
      <c r="L2025" s="384"/>
      <c r="M2025" s="384"/>
      <c r="N2025" s="388"/>
      <c r="O2025" s="384" t="s">
        <v>2788</v>
      </c>
    </row>
    <row r="2026" spans="1:15" x14ac:dyDescent="0.3">
      <c r="A2026" s="384" t="b">
        <v>0</v>
      </c>
      <c r="B2026" s="384"/>
      <c r="C2026" s="384" t="s">
        <v>3652</v>
      </c>
      <c r="D2026" s="389">
        <v>27</v>
      </c>
      <c r="E2026" s="386"/>
      <c r="F2026" s="388"/>
      <c r="G2026" s="387"/>
      <c r="H2026" s="387"/>
      <c r="I2026" s="388"/>
      <c r="J2026" s="388"/>
      <c r="K2026" s="384" t="str">
        <f ca="1">IFERROR(VLOOKUP(C2026,' Disaggregation - Section E '!A$618:J2352,3,0),"")</f>
        <v/>
      </c>
      <c r="L2026" s="384"/>
      <c r="M2026" s="384"/>
      <c r="N2026" s="388"/>
      <c r="O2026" s="384" t="s">
        <v>2788</v>
      </c>
    </row>
    <row r="2027" spans="1:15" x14ac:dyDescent="0.3">
      <c r="A2027" s="384" t="b">
        <v>0</v>
      </c>
      <c r="B2027" s="384"/>
      <c r="C2027" s="384" t="s">
        <v>3653</v>
      </c>
      <c r="D2027" s="389">
        <v>27</v>
      </c>
      <c r="E2027" s="386"/>
      <c r="F2027" s="388"/>
      <c r="G2027" s="387"/>
      <c r="H2027" s="387"/>
      <c r="I2027" s="388"/>
      <c r="J2027" s="388"/>
      <c r="K2027" s="384" t="str">
        <f ca="1">IFERROR(VLOOKUP(C2027,' Disaggregation - Section E '!A$618:J2353,3,0),"")</f>
        <v/>
      </c>
      <c r="L2027" s="384"/>
      <c r="M2027" s="384"/>
      <c r="N2027" s="388"/>
      <c r="O2027" s="384" t="s">
        <v>2788</v>
      </c>
    </row>
    <row r="2028" spans="1:15" x14ac:dyDescent="0.3">
      <c r="A2028" s="384" t="b">
        <v>0</v>
      </c>
      <c r="B2028" s="384"/>
      <c r="C2028" s="384" t="s">
        <v>3654</v>
      </c>
      <c r="D2028" s="389">
        <v>27</v>
      </c>
      <c r="E2028" s="386"/>
      <c r="F2028" s="388"/>
      <c r="G2028" s="387"/>
      <c r="H2028" s="387"/>
      <c r="I2028" s="388"/>
      <c r="J2028" s="388"/>
      <c r="K2028" s="384" t="str">
        <f ca="1">IFERROR(VLOOKUP(C2028,' Disaggregation - Section E '!A$618:J2354,3,0),"")</f>
        <v/>
      </c>
      <c r="L2028" s="384"/>
      <c r="M2028" s="384"/>
      <c r="N2028" s="388"/>
      <c r="O2028" s="384" t="s">
        <v>2788</v>
      </c>
    </row>
    <row r="2029" spans="1:15" x14ac:dyDescent="0.3">
      <c r="A2029" s="384" t="b">
        <v>0</v>
      </c>
      <c r="B2029" s="384"/>
      <c r="C2029" s="384" t="s">
        <v>3655</v>
      </c>
      <c r="D2029" s="389">
        <v>27</v>
      </c>
      <c r="E2029" s="386"/>
      <c r="F2029" s="388"/>
      <c r="G2029" s="387"/>
      <c r="H2029" s="387"/>
      <c r="I2029" s="388"/>
      <c r="J2029" s="388"/>
      <c r="K2029" s="384" t="str">
        <f ca="1">IFERROR(VLOOKUP(C2029,' Disaggregation - Section E '!A$618:J2355,3,0),"")</f>
        <v/>
      </c>
      <c r="L2029" s="384"/>
      <c r="M2029" s="384"/>
      <c r="N2029" s="388"/>
      <c r="O2029" s="384" t="s">
        <v>2788</v>
      </c>
    </row>
    <row r="2030" spans="1:15" x14ac:dyDescent="0.3">
      <c r="A2030" s="384" t="b">
        <v>0</v>
      </c>
      <c r="B2030" s="384"/>
      <c r="C2030" s="384" t="s">
        <v>3656</v>
      </c>
      <c r="D2030" s="389">
        <v>27</v>
      </c>
      <c r="E2030" s="386"/>
      <c r="F2030" s="388"/>
      <c r="G2030" s="387"/>
      <c r="H2030" s="387"/>
      <c r="I2030" s="388"/>
      <c r="J2030" s="388"/>
      <c r="K2030" s="384" t="str">
        <f ca="1">IFERROR(VLOOKUP(C2030,' Disaggregation - Section E '!A$618:J2356,3,0),"")</f>
        <v/>
      </c>
      <c r="L2030" s="384"/>
      <c r="M2030" s="384"/>
      <c r="N2030" s="388"/>
      <c r="O2030" s="384" t="s">
        <v>2788</v>
      </c>
    </row>
    <row r="2031" spans="1:15" x14ac:dyDescent="0.3">
      <c r="A2031" s="384" t="b">
        <v>0</v>
      </c>
      <c r="B2031" s="384"/>
      <c r="C2031" s="384" t="s">
        <v>3657</v>
      </c>
      <c r="D2031" s="389">
        <v>27</v>
      </c>
      <c r="E2031" s="386"/>
      <c r="F2031" s="388"/>
      <c r="G2031" s="387"/>
      <c r="H2031" s="387"/>
      <c r="I2031" s="388"/>
      <c r="J2031" s="388"/>
      <c r="K2031" s="384" t="str">
        <f ca="1">IFERROR(VLOOKUP(C2031,' Disaggregation - Section E '!A$618:J2357,3,0),"")</f>
        <v/>
      </c>
      <c r="L2031" s="384"/>
      <c r="M2031" s="384"/>
      <c r="N2031" s="388"/>
      <c r="O2031" s="384" t="s">
        <v>2788</v>
      </c>
    </row>
    <row r="2032" spans="1:15" x14ac:dyDescent="0.3">
      <c r="A2032" s="384" t="b">
        <v>0</v>
      </c>
      <c r="B2032" s="384"/>
      <c r="C2032" s="384" t="s">
        <v>3658</v>
      </c>
      <c r="D2032" s="389">
        <v>27</v>
      </c>
      <c r="E2032" s="386"/>
      <c r="F2032" s="388"/>
      <c r="G2032" s="387"/>
      <c r="H2032" s="387"/>
      <c r="I2032" s="388"/>
      <c r="J2032" s="388"/>
      <c r="K2032" s="384" t="str">
        <f ca="1">IFERROR(VLOOKUP(C2032,' Disaggregation - Section E '!A$618:J2358,3,0),"")</f>
        <v/>
      </c>
      <c r="L2032" s="384"/>
      <c r="M2032" s="384"/>
      <c r="N2032" s="388"/>
      <c r="O2032" s="384" t="s">
        <v>2788</v>
      </c>
    </row>
    <row r="2033" spans="1:15" x14ac:dyDescent="0.3">
      <c r="A2033" s="384" t="b">
        <v>0</v>
      </c>
      <c r="B2033" s="384"/>
      <c r="C2033" s="384" t="s">
        <v>3659</v>
      </c>
      <c r="D2033" s="389">
        <v>27</v>
      </c>
      <c r="E2033" s="386"/>
      <c r="F2033" s="388"/>
      <c r="G2033" s="387"/>
      <c r="H2033" s="387"/>
      <c r="I2033" s="388"/>
      <c r="J2033" s="388"/>
      <c r="K2033" s="384" t="str">
        <f ca="1">IFERROR(VLOOKUP(C2033,' Disaggregation - Section E '!A$618:J2359,3,0),"")</f>
        <v/>
      </c>
      <c r="L2033" s="384"/>
      <c r="M2033" s="384"/>
      <c r="N2033" s="388"/>
      <c r="O2033" s="384" t="s">
        <v>2788</v>
      </c>
    </row>
    <row r="2034" spans="1:15" x14ac:dyDescent="0.3">
      <c r="A2034" s="384" t="b">
        <v>0</v>
      </c>
      <c r="B2034" s="384"/>
      <c r="C2034" s="384" t="s">
        <v>3660</v>
      </c>
      <c r="D2034" s="389">
        <v>27</v>
      </c>
      <c r="E2034" s="386"/>
      <c r="F2034" s="388"/>
      <c r="G2034" s="387"/>
      <c r="H2034" s="387"/>
      <c r="I2034" s="388"/>
      <c r="J2034" s="388"/>
      <c r="K2034" s="384" t="str">
        <f ca="1">IFERROR(VLOOKUP(C2034,' Disaggregation - Section E '!A$618:J2360,3,0),"")</f>
        <v/>
      </c>
      <c r="L2034" s="384"/>
      <c r="M2034" s="384"/>
      <c r="N2034" s="388"/>
      <c r="O2034" s="384" t="s">
        <v>2788</v>
      </c>
    </row>
    <row r="2035" spans="1:15" x14ac:dyDescent="0.3">
      <c r="A2035" s="384" t="b">
        <v>0</v>
      </c>
      <c r="B2035" s="384"/>
      <c r="C2035" s="384" t="s">
        <v>3661</v>
      </c>
      <c r="D2035" s="389">
        <v>28</v>
      </c>
      <c r="E2035" s="386"/>
      <c r="F2035" s="388"/>
      <c r="G2035" s="387"/>
      <c r="H2035" s="387"/>
      <c r="I2035" s="388"/>
      <c r="J2035" s="388"/>
      <c r="K2035" s="384" t="str">
        <f ca="1">IFERROR(VLOOKUP(C2035,' Disaggregation - Section E '!A$618:J2361,3,0),"")</f>
        <v/>
      </c>
      <c r="L2035" s="384"/>
      <c r="M2035" s="384"/>
      <c r="N2035" s="388"/>
      <c r="O2035" s="384" t="s">
        <v>2795</v>
      </c>
    </row>
    <row r="2036" spans="1:15" x14ac:dyDescent="0.3">
      <c r="A2036" s="384" t="b">
        <v>0</v>
      </c>
      <c r="B2036" s="384"/>
      <c r="C2036" s="384" t="s">
        <v>3662</v>
      </c>
      <c r="D2036" s="389">
        <v>28</v>
      </c>
      <c r="E2036" s="386"/>
      <c r="F2036" s="388"/>
      <c r="G2036" s="387"/>
      <c r="H2036" s="387"/>
      <c r="I2036" s="388"/>
      <c r="J2036" s="388"/>
      <c r="K2036" s="384" t="str">
        <f ca="1">IFERROR(VLOOKUP(C2036,' Disaggregation - Section E '!A$618:J2362,3,0),"")</f>
        <v/>
      </c>
      <c r="L2036" s="384"/>
      <c r="M2036" s="384"/>
      <c r="N2036" s="388"/>
      <c r="O2036" s="384" t="s">
        <v>2795</v>
      </c>
    </row>
    <row r="2037" spans="1:15" x14ac:dyDescent="0.3">
      <c r="A2037" s="384" t="b">
        <v>0</v>
      </c>
      <c r="B2037" s="384"/>
      <c r="C2037" s="384" t="s">
        <v>3663</v>
      </c>
      <c r="D2037" s="389">
        <v>28</v>
      </c>
      <c r="E2037" s="386"/>
      <c r="F2037" s="388"/>
      <c r="G2037" s="387"/>
      <c r="H2037" s="387"/>
      <c r="I2037" s="388"/>
      <c r="J2037" s="388"/>
      <c r="K2037" s="384" t="str">
        <f ca="1">IFERROR(VLOOKUP(C2037,' Disaggregation - Section E '!A$618:J2363,3,0),"")</f>
        <v/>
      </c>
      <c r="L2037" s="384"/>
      <c r="M2037" s="384"/>
      <c r="N2037" s="388"/>
      <c r="O2037" s="384" t="s">
        <v>2795</v>
      </c>
    </row>
    <row r="2038" spans="1:15" x14ac:dyDescent="0.3">
      <c r="A2038" s="384" t="b">
        <v>0</v>
      </c>
      <c r="B2038" s="384"/>
      <c r="C2038" s="384" t="s">
        <v>3664</v>
      </c>
      <c r="D2038" s="389">
        <v>28</v>
      </c>
      <c r="E2038" s="386"/>
      <c r="F2038" s="388"/>
      <c r="G2038" s="387"/>
      <c r="H2038" s="387"/>
      <c r="I2038" s="388"/>
      <c r="J2038" s="388"/>
      <c r="K2038" s="384" t="str">
        <f ca="1">IFERROR(VLOOKUP(C2038,' Disaggregation - Section E '!A$618:J2364,3,0),"")</f>
        <v/>
      </c>
      <c r="L2038" s="384"/>
      <c r="M2038" s="384"/>
      <c r="N2038" s="388"/>
      <c r="O2038" s="384" t="s">
        <v>2795</v>
      </c>
    </row>
    <row r="2039" spans="1:15" x14ac:dyDescent="0.3">
      <c r="A2039" s="384" t="b">
        <v>0</v>
      </c>
      <c r="B2039" s="384"/>
      <c r="C2039" s="384" t="s">
        <v>3665</v>
      </c>
      <c r="D2039" s="389">
        <v>28</v>
      </c>
      <c r="E2039" s="386"/>
      <c r="F2039" s="388"/>
      <c r="G2039" s="387"/>
      <c r="H2039" s="387"/>
      <c r="I2039" s="388"/>
      <c r="J2039" s="388"/>
      <c r="K2039" s="384" t="str">
        <f ca="1">IFERROR(VLOOKUP(C2039,' Disaggregation - Section E '!A$618:J2365,3,0),"")</f>
        <v/>
      </c>
      <c r="L2039" s="384"/>
      <c r="M2039" s="384"/>
      <c r="N2039" s="388"/>
      <c r="O2039" s="384" t="s">
        <v>2795</v>
      </c>
    </row>
    <row r="2040" spans="1:15" x14ac:dyDescent="0.3">
      <c r="A2040" s="384" t="b">
        <v>0</v>
      </c>
      <c r="B2040" s="384"/>
      <c r="C2040" s="384" t="s">
        <v>3666</v>
      </c>
      <c r="D2040" s="389">
        <v>28</v>
      </c>
      <c r="E2040" s="386"/>
      <c r="F2040" s="388"/>
      <c r="G2040" s="387"/>
      <c r="H2040" s="387"/>
      <c r="I2040" s="388"/>
      <c r="J2040" s="388"/>
      <c r="K2040" s="384" t="str">
        <f ca="1">IFERROR(VLOOKUP(C2040,' Disaggregation - Section E '!A$618:J2366,3,0),"")</f>
        <v/>
      </c>
      <c r="L2040" s="384"/>
      <c r="M2040" s="384"/>
      <c r="N2040" s="388"/>
      <c r="O2040" s="384" t="s">
        <v>2795</v>
      </c>
    </row>
    <row r="2041" spans="1:15" x14ac:dyDescent="0.3">
      <c r="A2041" s="384" t="b">
        <v>0</v>
      </c>
      <c r="B2041" s="384"/>
      <c r="C2041" s="384" t="s">
        <v>3667</v>
      </c>
      <c r="D2041" s="389">
        <v>28</v>
      </c>
      <c r="E2041" s="386"/>
      <c r="F2041" s="388"/>
      <c r="G2041" s="387"/>
      <c r="H2041" s="387"/>
      <c r="I2041" s="388"/>
      <c r="J2041" s="388"/>
      <c r="K2041" s="384" t="str">
        <f ca="1">IFERROR(VLOOKUP(C2041,' Disaggregation - Section E '!A$618:J2367,3,0),"")</f>
        <v/>
      </c>
      <c r="L2041" s="384"/>
      <c r="M2041" s="384"/>
      <c r="N2041" s="388"/>
      <c r="O2041" s="384" t="s">
        <v>2795</v>
      </c>
    </row>
    <row r="2042" spans="1:15" x14ac:dyDescent="0.3">
      <c r="A2042" s="384" t="b">
        <v>0</v>
      </c>
      <c r="B2042" s="384"/>
      <c r="C2042" s="384" t="s">
        <v>3668</v>
      </c>
      <c r="D2042" s="389">
        <v>28</v>
      </c>
      <c r="E2042" s="386"/>
      <c r="F2042" s="388"/>
      <c r="G2042" s="387"/>
      <c r="H2042" s="387"/>
      <c r="I2042" s="388"/>
      <c r="J2042" s="388"/>
      <c r="K2042" s="384" t="str">
        <f ca="1">IFERROR(VLOOKUP(C2042,' Disaggregation - Section E '!A$618:J2368,3,0),"")</f>
        <v/>
      </c>
      <c r="L2042" s="384"/>
      <c r="M2042" s="384"/>
      <c r="N2042" s="388"/>
      <c r="O2042" s="384" t="s">
        <v>2795</v>
      </c>
    </row>
    <row r="2043" spans="1:15" x14ac:dyDescent="0.3">
      <c r="A2043" s="384" t="b">
        <v>0</v>
      </c>
      <c r="B2043" s="384"/>
      <c r="C2043" s="384" t="s">
        <v>3669</v>
      </c>
      <c r="D2043" s="389">
        <v>28</v>
      </c>
      <c r="E2043" s="386"/>
      <c r="F2043" s="388"/>
      <c r="G2043" s="387"/>
      <c r="H2043" s="387"/>
      <c r="I2043" s="388"/>
      <c r="J2043" s="388"/>
      <c r="K2043" s="384" t="str">
        <f ca="1">IFERROR(VLOOKUP(C2043,' Disaggregation - Section E '!A$618:J2369,3,0),"")</f>
        <v/>
      </c>
      <c r="L2043" s="384"/>
      <c r="M2043" s="384"/>
      <c r="N2043" s="388"/>
      <c r="O2043" s="384" t="s">
        <v>2795</v>
      </c>
    </row>
    <row r="2044" spans="1:15" x14ac:dyDescent="0.3">
      <c r="A2044" s="384" t="b">
        <v>0</v>
      </c>
      <c r="B2044" s="384"/>
      <c r="C2044" s="384" t="s">
        <v>3670</v>
      </c>
      <c r="D2044" s="389">
        <v>28</v>
      </c>
      <c r="E2044" s="386"/>
      <c r="F2044" s="388"/>
      <c r="G2044" s="387"/>
      <c r="H2044" s="387"/>
      <c r="I2044" s="388"/>
      <c r="J2044" s="388"/>
      <c r="K2044" s="384" t="str">
        <f ca="1">IFERROR(VLOOKUP(C2044,' Disaggregation - Section E '!A$618:J2370,3,0),"")</f>
        <v/>
      </c>
      <c r="L2044" s="384"/>
      <c r="M2044" s="384"/>
      <c r="N2044" s="388"/>
      <c r="O2044" s="384" t="s">
        <v>2795</v>
      </c>
    </row>
    <row r="2045" spans="1:15" x14ac:dyDescent="0.3">
      <c r="A2045" s="384" t="b">
        <v>0</v>
      </c>
      <c r="B2045" s="384"/>
      <c r="C2045" s="384" t="s">
        <v>3671</v>
      </c>
      <c r="D2045" s="389">
        <v>28</v>
      </c>
      <c r="E2045" s="386"/>
      <c r="F2045" s="388"/>
      <c r="G2045" s="387"/>
      <c r="H2045" s="387"/>
      <c r="I2045" s="388"/>
      <c r="J2045" s="388"/>
      <c r="K2045" s="384" t="str">
        <f ca="1">IFERROR(VLOOKUP(C2045,' Disaggregation - Section E '!A$618:J2371,3,0),"")</f>
        <v/>
      </c>
      <c r="L2045" s="384"/>
      <c r="M2045" s="384"/>
      <c r="N2045" s="388"/>
      <c r="O2045" s="384" t="s">
        <v>2795</v>
      </c>
    </row>
    <row r="2046" spans="1:15" x14ac:dyDescent="0.3">
      <c r="A2046" s="384" t="b">
        <v>0</v>
      </c>
      <c r="B2046" s="384"/>
      <c r="C2046" s="384" t="s">
        <v>3672</v>
      </c>
      <c r="D2046" s="389">
        <v>28</v>
      </c>
      <c r="E2046" s="386"/>
      <c r="F2046" s="388"/>
      <c r="G2046" s="387"/>
      <c r="H2046" s="387"/>
      <c r="I2046" s="388"/>
      <c r="J2046" s="388"/>
      <c r="K2046" s="384" t="str">
        <f ca="1">IFERROR(VLOOKUP(C2046,' Disaggregation - Section E '!A$618:J2372,3,0),"")</f>
        <v/>
      </c>
      <c r="L2046" s="384"/>
      <c r="M2046" s="384"/>
      <c r="N2046" s="388"/>
      <c r="O2046" s="384" t="s">
        <v>2795</v>
      </c>
    </row>
    <row r="2047" spans="1:15" x14ac:dyDescent="0.3">
      <c r="A2047" s="384" t="b">
        <v>0</v>
      </c>
      <c r="B2047" s="384"/>
      <c r="C2047" s="384" t="s">
        <v>3673</v>
      </c>
      <c r="D2047" s="389">
        <v>28</v>
      </c>
      <c r="E2047" s="386"/>
      <c r="F2047" s="388"/>
      <c r="G2047" s="387"/>
      <c r="H2047" s="387"/>
      <c r="I2047" s="388"/>
      <c r="J2047" s="388"/>
      <c r="K2047" s="384" t="str">
        <f ca="1">IFERROR(VLOOKUP(C2047,' Disaggregation - Section E '!A$618:J2373,3,0),"")</f>
        <v/>
      </c>
      <c r="L2047" s="384"/>
      <c r="M2047" s="384"/>
      <c r="N2047" s="388"/>
      <c r="O2047" s="384" t="s">
        <v>2795</v>
      </c>
    </row>
    <row r="2048" spans="1:15" x14ac:dyDescent="0.3">
      <c r="A2048" s="384" t="b">
        <v>0</v>
      </c>
      <c r="B2048" s="384"/>
      <c r="C2048" s="384" t="s">
        <v>3674</v>
      </c>
      <c r="D2048" s="389">
        <v>28</v>
      </c>
      <c r="E2048" s="386"/>
      <c r="F2048" s="388"/>
      <c r="G2048" s="387"/>
      <c r="H2048" s="387"/>
      <c r="I2048" s="388"/>
      <c r="J2048" s="388"/>
      <c r="K2048" s="384" t="str">
        <f ca="1">IFERROR(VLOOKUP(C2048,' Disaggregation - Section E '!A$618:J2374,3,0),"")</f>
        <v/>
      </c>
      <c r="L2048" s="384"/>
      <c r="M2048" s="384"/>
      <c r="N2048" s="388"/>
      <c r="O2048" s="384" t="s">
        <v>2795</v>
      </c>
    </row>
    <row r="2049" spans="1:15" x14ac:dyDescent="0.3">
      <c r="A2049" s="384" t="b">
        <v>0</v>
      </c>
      <c r="B2049" s="384"/>
      <c r="C2049" s="384" t="s">
        <v>3675</v>
      </c>
      <c r="D2049" s="389">
        <v>28</v>
      </c>
      <c r="E2049" s="386"/>
      <c r="F2049" s="388"/>
      <c r="G2049" s="387"/>
      <c r="H2049" s="387"/>
      <c r="I2049" s="388"/>
      <c r="J2049" s="388"/>
      <c r="K2049" s="384" t="str">
        <f ca="1">IFERROR(VLOOKUP(C2049,' Disaggregation - Section E '!A$618:J2375,3,0),"")</f>
        <v/>
      </c>
      <c r="L2049" s="384"/>
      <c r="M2049" s="384"/>
      <c r="N2049" s="388"/>
      <c r="O2049" s="384" t="s">
        <v>2795</v>
      </c>
    </row>
    <row r="2050" spans="1:15" x14ac:dyDescent="0.3">
      <c r="A2050" s="384" t="b">
        <v>0</v>
      </c>
      <c r="B2050" s="384"/>
      <c r="C2050" s="384" t="s">
        <v>3676</v>
      </c>
      <c r="D2050" s="389">
        <v>28</v>
      </c>
      <c r="E2050" s="386"/>
      <c r="F2050" s="388"/>
      <c r="G2050" s="387"/>
      <c r="H2050" s="387"/>
      <c r="I2050" s="388"/>
      <c r="J2050" s="388"/>
      <c r="K2050" s="384" t="str">
        <f ca="1">IFERROR(VLOOKUP(C2050,' Disaggregation - Section E '!A$618:J2376,3,0),"")</f>
        <v/>
      </c>
      <c r="L2050" s="384"/>
      <c r="M2050" s="384"/>
      <c r="N2050" s="388"/>
      <c r="O2050" s="384" t="s">
        <v>2795</v>
      </c>
    </row>
    <row r="2051" spans="1:15" x14ac:dyDescent="0.3">
      <c r="A2051" s="384" t="b">
        <v>0</v>
      </c>
      <c r="B2051" s="384"/>
      <c r="C2051" s="384" t="s">
        <v>3677</v>
      </c>
      <c r="D2051" s="389">
        <v>28</v>
      </c>
      <c r="E2051" s="386"/>
      <c r="F2051" s="388"/>
      <c r="G2051" s="387"/>
      <c r="H2051" s="387"/>
      <c r="I2051" s="388"/>
      <c r="J2051" s="388"/>
      <c r="K2051" s="384" t="str">
        <f ca="1">IFERROR(VLOOKUP(C2051,' Disaggregation - Section E '!A$618:J2377,3,0),"")</f>
        <v/>
      </c>
      <c r="L2051" s="384"/>
      <c r="M2051" s="384"/>
      <c r="N2051" s="388"/>
      <c r="O2051" s="384" t="s">
        <v>2795</v>
      </c>
    </row>
    <row r="2052" spans="1:15" x14ac:dyDescent="0.3">
      <c r="A2052" s="384" t="b">
        <v>0</v>
      </c>
      <c r="B2052" s="384"/>
      <c r="C2052" s="384" t="s">
        <v>3678</v>
      </c>
      <c r="D2052" s="389">
        <v>28</v>
      </c>
      <c r="E2052" s="386"/>
      <c r="F2052" s="388"/>
      <c r="G2052" s="387"/>
      <c r="H2052" s="387"/>
      <c r="I2052" s="388"/>
      <c r="J2052" s="388"/>
      <c r="K2052" s="384" t="str">
        <f ca="1">IFERROR(VLOOKUP(C2052,' Disaggregation - Section E '!A$618:J2378,3,0),"")</f>
        <v/>
      </c>
      <c r="L2052" s="384"/>
      <c r="M2052" s="384"/>
      <c r="N2052" s="388"/>
      <c r="O2052" s="384" t="s">
        <v>2795</v>
      </c>
    </row>
    <row r="2053" spans="1:15" x14ac:dyDescent="0.3">
      <c r="A2053" s="384" t="b">
        <v>0</v>
      </c>
      <c r="B2053" s="384"/>
      <c r="C2053" s="384" t="s">
        <v>3679</v>
      </c>
      <c r="D2053" s="389">
        <v>28</v>
      </c>
      <c r="E2053" s="386"/>
      <c r="F2053" s="388"/>
      <c r="G2053" s="387"/>
      <c r="H2053" s="387"/>
      <c r="I2053" s="388"/>
      <c r="J2053" s="388"/>
      <c r="K2053" s="384" t="str">
        <f ca="1">IFERROR(VLOOKUP(C2053,' Disaggregation - Section E '!A$618:J2379,3,0),"")</f>
        <v/>
      </c>
      <c r="L2053" s="384"/>
      <c r="M2053" s="384"/>
      <c r="N2053" s="388"/>
      <c r="O2053" s="384" t="s">
        <v>2795</v>
      </c>
    </row>
    <row r="2054" spans="1:15" x14ac:dyDescent="0.3">
      <c r="A2054" s="384" t="b">
        <v>0</v>
      </c>
      <c r="B2054" s="384"/>
      <c r="C2054" s="384" t="s">
        <v>3680</v>
      </c>
      <c r="D2054" s="389">
        <v>28</v>
      </c>
      <c r="E2054" s="386"/>
      <c r="F2054" s="388"/>
      <c r="G2054" s="387"/>
      <c r="H2054" s="387"/>
      <c r="I2054" s="388"/>
      <c r="J2054" s="388"/>
      <c r="K2054" s="384" t="str">
        <f ca="1">IFERROR(VLOOKUP(C2054,' Disaggregation - Section E '!A$618:J2380,3,0),"")</f>
        <v/>
      </c>
      <c r="L2054" s="384"/>
      <c r="M2054" s="384"/>
      <c r="N2054" s="388"/>
      <c r="O2054" s="384" t="s">
        <v>2795</v>
      </c>
    </row>
    <row r="2055" spans="1:15" x14ac:dyDescent="0.3">
      <c r="A2055" s="384" t="b">
        <v>0</v>
      </c>
      <c r="B2055" s="384"/>
      <c r="C2055" s="384" t="s">
        <v>3681</v>
      </c>
      <c r="D2055" s="389">
        <v>29</v>
      </c>
      <c r="E2055" s="386"/>
      <c r="F2055" s="388"/>
      <c r="G2055" s="387"/>
      <c r="H2055" s="387"/>
      <c r="I2055" s="388"/>
      <c r="J2055" s="388"/>
      <c r="K2055" s="384" t="str">
        <f ca="1">IFERROR(VLOOKUP(C2055,' Disaggregation - Section E '!A$618:J2381,3,0),"")</f>
        <v/>
      </c>
      <c r="L2055" s="384"/>
      <c r="M2055" s="384"/>
      <c r="N2055" s="388"/>
      <c r="O2055" s="384" t="s">
        <v>2802</v>
      </c>
    </row>
    <row r="2056" spans="1:15" x14ac:dyDescent="0.3">
      <c r="A2056" s="384" t="b">
        <v>0</v>
      </c>
      <c r="B2056" s="384"/>
      <c r="C2056" s="384" t="s">
        <v>3682</v>
      </c>
      <c r="D2056" s="389">
        <v>29</v>
      </c>
      <c r="E2056" s="386"/>
      <c r="F2056" s="388"/>
      <c r="G2056" s="387"/>
      <c r="H2056" s="387"/>
      <c r="I2056" s="388"/>
      <c r="J2056" s="388"/>
      <c r="K2056" s="384" t="str">
        <f ca="1">IFERROR(VLOOKUP(C2056,' Disaggregation - Section E '!A$618:J2382,3,0),"")</f>
        <v/>
      </c>
      <c r="L2056" s="384"/>
      <c r="M2056" s="384"/>
      <c r="N2056" s="388"/>
      <c r="O2056" s="384" t="s">
        <v>2802</v>
      </c>
    </row>
    <row r="2057" spans="1:15" x14ac:dyDescent="0.3">
      <c r="A2057" s="384" t="b">
        <v>0</v>
      </c>
      <c r="B2057" s="384"/>
      <c r="C2057" s="384" t="s">
        <v>3683</v>
      </c>
      <c r="D2057" s="389">
        <v>29</v>
      </c>
      <c r="E2057" s="386"/>
      <c r="F2057" s="388"/>
      <c r="G2057" s="387"/>
      <c r="H2057" s="387"/>
      <c r="I2057" s="388"/>
      <c r="J2057" s="388"/>
      <c r="K2057" s="384" t="str">
        <f ca="1">IFERROR(VLOOKUP(C2057,' Disaggregation - Section E '!A$618:J2383,3,0),"")</f>
        <v/>
      </c>
      <c r="L2057" s="384"/>
      <c r="M2057" s="384"/>
      <c r="N2057" s="388"/>
      <c r="O2057" s="384" t="s">
        <v>2802</v>
      </c>
    </row>
    <row r="2058" spans="1:15" x14ac:dyDescent="0.3">
      <c r="A2058" s="384" t="b">
        <v>0</v>
      </c>
      <c r="B2058" s="384"/>
      <c r="C2058" s="384" t="s">
        <v>3684</v>
      </c>
      <c r="D2058" s="389">
        <v>29</v>
      </c>
      <c r="E2058" s="386"/>
      <c r="F2058" s="388"/>
      <c r="G2058" s="387"/>
      <c r="H2058" s="387"/>
      <c r="I2058" s="388"/>
      <c r="J2058" s="388"/>
      <c r="K2058" s="384" t="str">
        <f ca="1">IFERROR(VLOOKUP(C2058,' Disaggregation - Section E '!A$618:J2384,3,0),"")</f>
        <v/>
      </c>
      <c r="L2058" s="384"/>
      <c r="M2058" s="384"/>
      <c r="N2058" s="388"/>
      <c r="O2058" s="384" t="s">
        <v>2802</v>
      </c>
    </row>
    <row r="2059" spans="1:15" x14ac:dyDescent="0.3">
      <c r="A2059" s="384" t="b">
        <v>0</v>
      </c>
      <c r="B2059" s="384"/>
      <c r="C2059" s="384" t="s">
        <v>3685</v>
      </c>
      <c r="D2059" s="389">
        <v>29</v>
      </c>
      <c r="E2059" s="386"/>
      <c r="F2059" s="388"/>
      <c r="G2059" s="387"/>
      <c r="H2059" s="387"/>
      <c r="I2059" s="388"/>
      <c r="J2059" s="388"/>
      <c r="K2059" s="384" t="str">
        <f ca="1">IFERROR(VLOOKUP(C2059,' Disaggregation - Section E '!A$618:J2385,3,0),"")</f>
        <v/>
      </c>
      <c r="L2059" s="384"/>
      <c r="M2059" s="384"/>
      <c r="N2059" s="388"/>
      <c r="O2059" s="384" t="s">
        <v>2802</v>
      </c>
    </row>
    <row r="2060" spans="1:15" x14ac:dyDescent="0.3">
      <c r="A2060" s="384" t="b">
        <v>0</v>
      </c>
      <c r="B2060" s="384"/>
      <c r="C2060" s="384" t="s">
        <v>3686</v>
      </c>
      <c r="D2060" s="389">
        <v>29</v>
      </c>
      <c r="E2060" s="386"/>
      <c r="F2060" s="388"/>
      <c r="G2060" s="387"/>
      <c r="H2060" s="387"/>
      <c r="I2060" s="388"/>
      <c r="J2060" s="388"/>
      <c r="K2060" s="384" t="str">
        <f ca="1">IFERROR(VLOOKUP(C2060,' Disaggregation - Section E '!A$618:J2386,3,0),"")</f>
        <v/>
      </c>
      <c r="L2060" s="384"/>
      <c r="M2060" s="384"/>
      <c r="N2060" s="388"/>
      <c r="O2060" s="384" t="s">
        <v>2802</v>
      </c>
    </row>
    <row r="2061" spans="1:15" x14ac:dyDescent="0.3">
      <c r="A2061" s="384" t="b">
        <v>0</v>
      </c>
      <c r="B2061" s="384"/>
      <c r="C2061" s="384" t="s">
        <v>3687</v>
      </c>
      <c r="D2061" s="389">
        <v>29</v>
      </c>
      <c r="E2061" s="386"/>
      <c r="F2061" s="388"/>
      <c r="G2061" s="387"/>
      <c r="H2061" s="387"/>
      <c r="I2061" s="388"/>
      <c r="J2061" s="388"/>
      <c r="K2061" s="384" t="str">
        <f ca="1">IFERROR(VLOOKUP(C2061,' Disaggregation - Section E '!A$618:J2387,3,0),"")</f>
        <v/>
      </c>
      <c r="L2061" s="384"/>
      <c r="M2061" s="384"/>
      <c r="N2061" s="388"/>
      <c r="O2061" s="384" t="s">
        <v>2802</v>
      </c>
    </row>
    <row r="2062" spans="1:15" x14ac:dyDescent="0.3">
      <c r="A2062" s="384" t="b">
        <v>0</v>
      </c>
      <c r="B2062" s="384"/>
      <c r="C2062" s="384" t="s">
        <v>3688</v>
      </c>
      <c r="D2062" s="389">
        <v>29</v>
      </c>
      <c r="E2062" s="386"/>
      <c r="F2062" s="388"/>
      <c r="G2062" s="387"/>
      <c r="H2062" s="387"/>
      <c r="I2062" s="388"/>
      <c r="J2062" s="388"/>
      <c r="K2062" s="384" t="str">
        <f ca="1">IFERROR(VLOOKUP(C2062,' Disaggregation - Section E '!A$618:J2388,3,0),"")</f>
        <v/>
      </c>
      <c r="L2062" s="384"/>
      <c r="M2062" s="384"/>
      <c r="N2062" s="388"/>
      <c r="O2062" s="384" t="s">
        <v>2802</v>
      </c>
    </row>
    <row r="2063" spans="1:15" x14ac:dyDescent="0.3">
      <c r="A2063" s="384" t="b">
        <v>0</v>
      </c>
      <c r="B2063" s="384"/>
      <c r="C2063" s="384" t="s">
        <v>3689</v>
      </c>
      <c r="D2063" s="389">
        <v>29</v>
      </c>
      <c r="E2063" s="386"/>
      <c r="F2063" s="388"/>
      <c r="G2063" s="387"/>
      <c r="H2063" s="387"/>
      <c r="I2063" s="388"/>
      <c r="J2063" s="388"/>
      <c r="K2063" s="384" t="str">
        <f ca="1">IFERROR(VLOOKUP(C2063,' Disaggregation - Section E '!A$618:J2389,3,0),"")</f>
        <v/>
      </c>
      <c r="L2063" s="384"/>
      <c r="M2063" s="384"/>
      <c r="N2063" s="388"/>
      <c r="O2063" s="384" t="s">
        <v>2802</v>
      </c>
    </row>
    <row r="2064" spans="1:15" x14ac:dyDescent="0.3">
      <c r="A2064" s="384" t="b">
        <v>0</v>
      </c>
      <c r="B2064" s="384"/>
      <c r="C2064" s="384" t="s">
        <v>3690</v>
      </c>
      <c r="D2064" s="389">
        <v>29</v>
      </c>
      <c r="E2064" s="386"/>
      <c r="F2064" s="388"/>
      <c r="G2064" s="387"/>
      <c r="H2064" s="387"/>
      <c r="I2064" s="388"/>
      <c r="J2064" s="388"/>
      <c r="K2064" s="384" t="str">
        <f ca="1">IFERROR(VLOOKUP(C2064,' Disaggregation - Section E '!A$618:J2390,3,0),"")</f>
        <v/>
      </c>
      <c r="L2064" s="384"/>
      <c r="M2064" s="384"/>
      <c r="N2064" s="388"/>
      <c r="O2064" s="384" t="s">
        <v>2802</v>
      </c>
    </row>
    <row r="2065" spans="1:15" x14ac:dyDescent="0.3">
      <c r="A2065" s="384" t="b">
        <v>0</v>
      </c>
      <c r="B2065" s="384"/>
      <c r="C2065" s="384" t="s">
        <v>3691</v>
      </c>
      <c r="D2065" s="389">
        <v>29</v>
      </c>
      <c r="E2065" s="386"/>
      <c r="F2065" s="388"/>
      <c r="G2065" s="387"/>
      <c r="H2065" s="387"/>
      <c r="I2065" s="388"/>
      <c r="J2065" s="388"/>
      <c r="K2065" s="384" t="str">
        <f ca="1">IFERROR(VLOOKUP(C2065,' Disaggregation - Section E '!A$618:J2391,3,0),"")</f>
        <v/>
      </c>
      <c r="L2065" s="384"/>
      <c r="M2065" s="384"/>
      <c r="N2065" s="388"/>
      <c r="O2065" s="384" t="s">
        <v>2802</v>
      </c>
    </row>
    <row r="2066" spans="1:15" x14ac:dyDescent="0.3">
      <c r="A2066" s="384" t="b">
        <v>0</v>
      </c>
      <c r="B2066" s="384"/>
      <c r="C2066" s="384" t="s">
        <v>3692</v>
      </c>
      <c r="D2066" s="389">
        <v>29</v>
      </c>
      <c r="E2066" s="386"/>
      <c r="F2066" s="388"/>
      <c r="G2066" s="387"/>
      <c r="H2066" s="387"/>
      <c r="I2066" s="388"/>
      <c r="J2066" s="388"/>
      <c r="K2066" s="384" t="str">
        <f ca="1">IFERROR(VLOOKUP(C2066,' Disaggregation - Section E '!A$618:J2392,3,0),"")</f>
        <v/>
      </c>
      <c r="L2066" s="384"/>
      <c r="M2066" s="384"/>
      <c r="N2066" s="388"/>
      <c r="O2066" s="384" t="s">
        <v>2802</v>
      </c>
    </row>
    <row r="2067" spans="1:15" x14ac:dyDescent="0.3">
      <c r="A2067" s="384" t="b">
        <v>0</v>
      </c>
      <c r="B2067" s="384"/>
      <c r="C2067" s="384" t="s">
        <v>3693</v>
      </c>
      <c r="D2067" s="389">
        <v>29</v>
      </c>
      <c r="E2067" s="386"/>
      <c r="F2067" s="388"/>
      <c r="G2067" s="387"/>
      <c r="H2067" s="387"/>
      <c r="I2067" s="388"/>
      <c r="J2067" s="388"/>
      <c r="K2067" s="384" t="str">
        <f ca="1">IFERROR(VLOOKUP(C2067,' Disaggregation - Section E '!A$618:J2393,3,0),"")</f>
        <v/>
      </c>
      <c r="L2067" s="384"/>
      <c r="M2067" s="384"/>
      <c r="N2067" s="388"/>
      <c r="O2067" s="384" t="s">
        <v>2802</v>
      </c>
    </row>
    <row r="2068" spans="1:15" x14ac:dyDescent="0.3">
      <c r="A2068" s="384" t="b">
        <v>0</v>
      </c>
      <c r="B2068" s="384"/>
      <c r="C2068" s="384" t="s">
        <v>3694</v>
      </c>
      <c r="D2068" s="389">
        <v>29</v>
      </c>
      <c r="E2068" s="386"/>
      <c r="F2068" s="388"/>
      <c r="G2068" s="387"/>
      <c r="H2068" s="387"/>
      <c r="I2068" s="388"/>
      <c r="J2068" s="388"/>
      <c r="K2068" s="384" t="str">
        <f ca="1">IFERROR(VLOOKUP(C2068,' Disaggregation - Section E '!A$618:J2394,3,0),"")</f>
        <v/>
      </c>
      <c r="L2068" s="384"/>
      <c r="M2068" s="384"/>
      <c r="N2068" s="388"/>
      <c r="O2068" s="384" t="s">
        <v>2802</v>
      </c>
    </row>
    <row r="2069" spans="1:15" x14ac:dyDescent="0.3">
      <c r="A2069" s="384" t="b">
        <v>0</v>
      </c>
      <c r="B2069" s="384"/>
      <c r="C2069" s="384" t="s">
        <v>3695</v>
      </c>
      <c r="D2069" s="389">
        <v>29</v>
      </c>
      <c r="E2069" s="386"/>
      <c r="F2069" s="388"/>
      <c r="G2069" s="387"/>
      <c r="H2069" s="387"/>
      <c r="I2069" s="388"/>
      <c r="J2069" s="388"/>
      <c r="K2069" s="384" t="str">
        <f ca="1">IFERROR(VLOOKUP(C2069,' Disaggregation - Section E '!A$618:J2395,3,0),"")</f>
        <v/>
      </c>
      <c r="L2069" s="384"/>
      <c r="M2069" s="384"/>
      <c r="N2069" s="388"/>
      <c r="O2069" s="384" t="s">
        <v>2802</v>
      </c>
    </row>
    <row r="2070" spans="1:15" x14ac:dyDescent="0.3">
      <c r="A2070" s="384" t="b">
        <v>0</v>
      </c>
      <c r="B2070" s="384"/>
      <c r="C2070" s="384" t="s">
        <v>3696</v>
      </c>
      <c r="D2070" s="389">
        <v>29</v>
      </c>
      <c r="E2070" s="386"/>
      <c r="F2070" s="388"/>
      <c r="G2070" s="387"/>
      <c r="H2070" s="387"/>
      <c r="I2070" s="388"/>
      <c r="J2070" s="388"/>
      <c r="K2070" s="384" t="str">
        <f ca="1">IFERROR(VLOOKUP(C2070,' Disaggregation - Section E '!A$618:J2396,3,0),"")</f>
        <v/>
      </c>
      <c r="L2070" s="384"/>
      <c r="M2070" s="384"/>
      <c r="N2070" s="388"/>
      <c r="O2070" s="384" t="s">
        <v>2802</v>
      </c>
    </row>
    <row r="2071" spans="1:15" x14ac:dyDescent="0.3">
      <c r="A2071" s="384" t="b">
        <v>0</v>
      </c>
      <c r="B2071" s="384"/>
      <c r="C2071" s="384" t="s">
        <v>3697</v>
      </c>
      <c r="D2071" s="389">
        <v>29</v>
      </c>
      <c r="E2071" s="386"/>
      <c r="F2071" s="388"/>
      <c r="G2071" s="387"/>
      <c r="H2071" s="387"/>
      <c r="I2071" s="388"/>
      <c r="J2071" s="388"/>
      <c r="K2071" s="384" t="str">
        <f ca="1">IFERROR(VLOOKUP(C2071,' Disaggregation - Section E '!A$618:J2397,3,0),"")</f>
        <v/>
      </c>
      <c r="L2071" s="384"/>
      <c r="M2071" s="384"/>
      <c r="N2071" s="388"/>
      <c r="O2071" s="384" t="s">
        <v>2802</v>
      </c>
    </row>
    <row r="2072" spans="1:15" x14ac:dyDescent="0.3">
      <c r="A2072" s="384" t="b">
        <v>0</v>
      </c>
      <c r="B2072" s="384"/>
      <c r="C2072" s="384" t="s">
        <v>3698</v>
      </c>
      <c r="D2072" s="389">
        <v>29</v>
      </c>
      <c r="E2072" s="386"/>
      <c r="F2072" s="388"/>
      <c r="G2072" s="387"/>
      <c r="H2072" s="387"/>
      <c r="I2072" s="388"/>
      <c r="J2072" s="388"/>
      <c r="K2072" s="384" t="str">
        <f ca="1">IFERROR(VLOOKUP(C2072,' Disaggregation - Section E '!A$618:J2398,3,0),"")</f>
        <v/>
      </c>
      <c r="L2072" s="384"/>
      <c r="M2072" s="384"/>
      <c r="N2072" s="388"/>
      <c r="O2072" s="384" t="s">
        <v>2802</v>
      </c>
    </row>
    <row r="2073" spans="1:15" x14ac:dyDescent="0.3">
      <c r="A2073" s="384" t="b">
        <v>0</v>
      </c>
      <c r="B2073" s="384"/>
      <c r="C2073" s="384" t="s">
        <v>3699</v>
      </c>
      <c r="D2073" s="389">
        <v>29</v>
      </c>
      <c r="E2073" s="386"/>
      <c r="F2073" s="388"/>
      <c r="G2073" s="387"/>
      <c r="H2073" s="387"/>
      <c r="I2073" s="388"/>
      <c r="J2073" s="388"/>
      <c r="K2073" s="384" t="str">
        <f ca="1">IFERROR(VLOOKUP(C2073,' Disaggregation - Section E '!A$618:J2399,3,0),"")</f>
        <v/>
      </c>
      <c r="L2073" s="384"/>
      <c r="M2073" s="384"/>
      <c r="N2073" s="388"/>
      <c r="O2073" s="384" t="s">
        <v>2802</v>
      </c>
    </row>
    <row r="2074" spans="1:15" x14ac:dyDescent="0.3">
      <c r="A2074" s="384" t="b">
        <v>0</v>
      </c>
      <c r="B2074" s="384"/>
      <c r="C2074" s="384" t="s">
        <v>3700</v>
      </c>
      <c r="D2074" s="389">
        <v>29</v>
      </c>
      <c r="E2074" s="386"/>
      <c r="F2074" s="388"/>
      <c r="G2074" s="387"/>
      <c r="H2074" s="387"/>
      <c r="I2074" s="388"/>
      <c r="J2074" s="388"/>
      <c r="K2074" s="384" t="str">
        <f ca="1">IFERROR(VLOOKUP(C2074,' Disaggregation - Section E '!A$618:J2400,3,0),"")</f>
        <v/>
      </c>
      <c r="L2074" s="384"/>
      <c r="M2074" s="384"/>
      <c r="N2074" s="388"/>
      <c r="O2074" s="384" t="s">
        <v>2802</v>
      </c>
    </row>
    <row r="2075" spans="1:15" x14ac:dyDescent="0.3">
      <c r="A2075" s="384" t="b">
        <v>0</v>
      </c>
      <c r="B2075" s="384"/>
      <c r="C2075" s="384" t="s">
        <v>3701</v>
      </c>
      <c r="D2075" s="389">
        <v>30</v>
      </c>
      <c r="E2075" s="386"/>
      <c r="F2075" s="388"/>
      <c r="G2075" s="387"/>
      <c r="H2075" s="387"/>
      <c r="I2075" s="388"/>
      <c r="J2075" s="388"/>
      <c r="K2075" s="384" t="str">
        <f ca="1">IFERROR(VLOOKUP(C2075,' Disaggregation - Section E '!A$618:J2401,3,0),"")</f>
        <v/>
      </c>
      <c r="L2075" s="384"/>
      <c r="M2075" s="384"/>
      <c r="N2075" s="388"/>
      <c r="O2075" s="384" t="s">
        <v>2809</v>
      </c>
    </row>
    <row r="2076" spans="1:15" x14ac:dyDescent="0.3">
      <c r="A2076" s="384" t="b">
        <v>0</v>
      </c>
      <c r="B2076" s="384"/>
      <c r="C2076" s="384" t="s">
        <v>3702</v>
      </c>
      <c r="D2076" s="389">
        <v>30</v>
      </c>
      <c r="E2076" s="386"/>
      <c r="F2076" s="388"/>
      <c r="G2076" s="387"/>
      <c r="H2076" s="387"/>
      <c r="I2076" s="388"/>
      <c r="J2076" s="388"/>
      <c r="K2076" s="384" t="str">
        <f ca="1">IFERROR(VLOOKUP(C2076,' Disaggregation - Section E '!A$618:J2402,3,0),"")</f>
        <v/>
      </c>
      <c r="L2076" s="384"/>
      <c r="M2076" s="384"/>
      <c r="N2076" s="388"/>
      <c r="O2076" s="384" t="s">
        <v>2809</v>
      </c>
    </row>
    <row r="2077" spans="1:15" x14ac:dyDescent="0.3">
      <c r="A2077" s="384" t="b">
        <v>0</v>
      </c>
      <c r="B2077" s="384"/>
      <c r="C2077" s="384" t="s">
        <v>3703</v>
      </c>
      <c r="D2077" s="389">
        <v>30</v>
      </c>
      <c r="E2077" s="386"/>
      <c r="F2077" s="388"/>
      <c r="G2077" s="387"/>
      <c r="H2077" s="387"/>
      <c r="I2077" s="388"/>
      <c r="J2077" s="388"/>
      <c r="K2077" s="384" t="str">
        <f ca="1">IFERROR(VLOOKUP(C2077,' Disaggregation - Section E '!A$618:J2403,3,0),"")</f>
        <v/>
      </c>
      <c r="L2077" s="384"/>
      <c r="M2077" s="384"/>
      <c r="N2077" s="388"/>
      <c r="O2077" s="384" t="s">
        <v>2809</v>
      </c>
    </row>
    <row r="2078" spans="1:15" x14ac:dyDescent="0.3">
      <c r="A2078" s="384" t="b">
        <v>0</v>
      </c>
      <c r="B2078" s="384"/>
      <c r="C2078" s="384" t="s">
        <v>3704</v>
      </c>
      <c r="D2078" s="389">
        <v>30</v>
      </c>
      <c r="E2078" s="386"/>
      <c r="F2078" s="388"/>
      <c r="G2078" s="387"/>
      <c r="H2078" s="387"/>
      <c r="I2078" s="388"/>
      <c r="J2078" s="388"/>
      <c r="K2078" s="384" t="str">
        <f ca="1">IFERROR(VLOOKUP(C2078,' Disaggregation - Section E '!A$618:J2404,3,0),"")</f>
        <v/>
      </c>
      <c r="L2078" s="384"/>
      <c r="M2078" s="384"/>
      <c r="N2078" s="388"/>
      <c r="O2078" s="384" t="s">
        <v>2809</v>
      </c>
    </row>
    <row r="2079" spans="1:15" x14ac:dyDescent="0.3">
      <c r="A2079" s="384" t="b">
        <v>0</v>
      </c>
      <c r="B2079" s="384"/>
      <c r="C2079" s="384" t="s">
        <v>3705</v>
      </c>
      <c r="D2079" s="389">
        <v>30</v>
      </c>
      <c r="E2079" s="386"/>
      <c r="F2079" s="388"/>
      <c r="G2079" s="387"/>
      <c r="H2079" s="387"/>
      <c r="I2079" s="388"/>
      <c r="J2079" s="388"/>
      <c r="K2079" s="384" t="str">
        <f ca="1">IFERROR(VLOOKUP(C2079,' Disaggregation - Section E '!A$618:J2405,3,0),"")</f>
        <v/>
      </c>
      <c r="L2079" s="384"/>
      <c r="M2079" s="384"/>
      <c r="N2079" s="388"/>
      <c r="O2079" s="384" t="s">
        <v>2809</v>
      </c>
    </row>
    <row r="2080" spans="1:15" x14ac:dyDescent="0.3">
      <c r="A2080" s="384" t="b">
        <v>0</v>
      </c>
      <c r="B2080" s="384"/>
      <c r="C2080" s="384" t="s">
        <v>3706</v>
      </c>
      <c r="D2080" s="389">
        <v>30</v>
      </c>
      <c r="E2080" s="386"/>
      <c r="F2080" s="388"/>
      <c r="G2080" s="387"/>
      <c r="H2080" s="387"/>
      <c r="I2080" s="388"/>
      <c r="J2080" s="388"/>
      <c r="K2080" s="384" t="str">
        <f ca="1">IFERROR(VLOOKUP(C2080,' Disaggregation - Section E '!A$618:J2406,3,0),"")</f>
        <v/>
      </c>
      <c r="L2080" s="384"/>
      <c r="M2080" s="384"/>
      <c r="N2080" s="388"/>
      <c r="O2080" s="384" t="s">
        <v>2809</v>
      </c>
    </row>
    <row r="2081" spans="1:15" x14ac:dyDescent="0.3">
      <c r="A2081" s="384" t="b">
        <v>0</v>
      </c>
      <c r="B2081" s="384"/>
      <c r="C2081" s="384" t="s">
        <v>3707</v>
      </c>
      <c r="D2081" s="389">
        <v>30</v>
      </c>
      <c r="E2081" s="386"/>
      <c r="F2081" s="388"/>
      <c r="G2081" s="387"/>
      <c r="H2081" s="387"/>
      <c r="I2081" s="388"/>
      <c r="J2081" s="388"/>
      <c r="K2081" s="384" t="str">
        <f ca="1">IFERROR(VLOOKUP(C2081,' Disaggregation - Section E '!A$618:J2407,3,0),"")</f>
        <v/>
      </c>
      <c r="L2081" s="384"/>
      <c r="M2081" s="384"/>
      <c r="N2081" s="388"/>
      <c r="O2081" s="384" t="s">
        <v>2809</v>
      </c>
    </row>
    <row r="2082" spans="1:15" x14ac:dyDescent="0.3">
      <c r="A2082" s="384" t="b">
        <v>0</v>
      </c>
      <c r="B2082" s="384"/>
      <c r="C2082" s="384" t="s">
        <v>3708</v>
      </c>
      <c r="D2082" s="389">
        <v>30</v>
      </c>
      <c r="E2082" s="386"/>
      <c r="F2082" s="388"/>
      <c r="G2082" s="387"/>
      <c r="H2082" s="387"/>
      <c r="I2082" s="388"/>
      <c r="J2082" s="388"/>
      <c r="K2082" s="384" t="str">
        <f ca="1">IFERROR(VLOOKUP(C2082,' Disaggregation - Section E '!A$618:J2408,3,0),"")</f>
        <v/>
      </c>
      <c r="L2082" s="384"/>
      <c r="M2082" s="384"/>
      <c r="N2082" s="388"/>
      <c r="O2082" s="384" t="s">
        <v>2809</v>
      </c>
    </row>
    <row r="2083" spans="1:15" x14ac:dyDescent="0.3">
      <c r="A2083" s="384" t="b">
        <v>0</v>
      </c>
      <c r="B2083" s="384"/>
      <c r="C2083" s="384" t="s">
        <v>3709</v>
      </c>
      <c r="D2083" s="389">
        <v>30</v>
      </c>
      <c r="E2083" s="386"/>
      <c r="F2083" s="388"/>
      <c r="G2083" s="387"/>
      <c r="H2083" s="387"/>
      <c r="I2083" s="388"/>
      <c r="J2083" s="388"/>
      <c r="K2083" s="384" t="str">
        <f ca="1">IFERROR(VLOOKUP(C2083,' Disaggregation - Section E '!A$618:J2409,3,0),"")</f>
        <v/>
      </c>
      <c r="L2083" s="384"/>
      <c r="M2083" s="384"/>
      <c r="N2083" s="388"/>
      <c r="O2083" s="384" t="s">
        <v>2809</v>
      </c>
    </row>
    <row r="2084" spans="1:15" x14ac:dyDescent="0.3">
      <c r="A2084" s="384" t="b">
        <v>0</v>
      </c>
      <c r="B2084" s="384"/>
      <c r="C2084" s="384" t="s">
        <v>3710</v>
      </c>
      <c r="D2084" s="389">
        <v>30</v>
      </c>
      <c r="E2084" s="386"/>
      <c r="F2084" s="388"/>
      <c r="G2084" s="387"/>
      <c r="H2084" s="387"/>
      <c r="I2084" s="388"/>
      <c r="J2084" s="388"/>
      <c r="K2084" s="384" t="str">
        <f ca="1">IFERROR(VLOOKUP(C2084,' Disaggregation - Section E '!A$618:J2410,3,0),"")</f>
        <v/>
      </c>
      <c r="L2084" s="384"/>
      <c r="M2084" s="384"/>
      <c r="N2084" s="388"/>
      <c r="O2084" s="384" t="s">
        <v>2809</v>
      </c>
    </row>
    <row r="2085" spans="1:15" x14ac:dyDescent="0.3">
      <c r="A2085" s="384" t="b">
        <v>0</v>
      </c>
      <c r="B2085" s="384"/>
      <c r="C2085" s="384" t="s">
        <v>3711</v>
      </c>
      <c r="D2085" s="389">
        <v>30</v>
      </c>
      <c r="E2085" s="386"/>
      <c r="F2085" s="388"/>
      <c r="G2085" s="387"/>
      <c r="H2085" s="387"/>
      <c r="I2085" s="388"/>
      <c r="J2085" s="388"/>
      <c r="K2085" s="384" t="str">
        <f ca="1">IFERROR(VLOOKUP(C2085,' Disaggregation - Section E '!A$618:J2411,3,0),"")</f>
        <v/>
      </c>
      <c r="L2085" s="384"/>
      <c r="M2085" s="384"/>
      <c r="N2085" s="388"/>
      <c r="O2085" s="384" t="s">
        <v>2809</v>
      </c>
    </row>
    <row r="2086" spans="1:15" x14ac:dyDescent="0.3">
      <c r="A2086" s="384" t="b">
        <v>0</v>
      </c>
      <c r="B2086" s="384"/>
      <c r="C2086" s="384" t="s">
        <v>3712</v>
      </c>
      <c r="D2086" s="389">
        <v>30</v>
      </c>
      <c r="E2086" s="386"/>
      <c r="F2086" s="388"/>
      <c r="G2086" s="387"/>
      <c r="H2086" s="387"/>
      <c r="I2086" s="388"/>
      <c r="J2086" s="388"/>
      <c r="K2086" s="384" t="str">
        <f ca="1">IFERROR(VLOOKUP(C2086,' Disaggregation - Section E '!A$618:J2412,3,0),"")</f>
        <v/>
      </c>
      <c r="L2086" s="384"/>
      <c r="M2086" s="384"/>
      <c r="N2086" s="388"/>
      <c r="O2086" s="384" t="s">
        <v>2809</v>
      </c>
    </row>
    <row r="2087" spans="1:15" x14ac:dyDescent="0.3">
      <c r="A2087" s="384" t="b">
        <v>0</v>
      </c>
      <c r="B2087" s="384"/>
      <c r="C2087" s="384" t="s">
        <v>3713</v>
      </c>
      <c r="D2087" s="389">
        <v>30</v>
      </c>
      <c r="E2087" s="386"/>
      <c r="F2087" s="388"/>
      <c r="G2087" s="387"/>
      <c r="H2087" s="387"/>
      <c r="I2087" s="388"/>
      <c r="J2087" s="388"/>
      <c r="K2087" s="384" t="str">
        <f ca="1">IFERROR(VLOOKUP(C2087,' Disaggregation - Section E '!A$618:J2413,3,0),"")</f>
        <v/>
      </c>
      <c r="L2087" s="384"/>
      <c r="M2087" s="384"/>
      <c r="N2087" s="388"/>
      <c r="O2087" s="384" t="s">
        <v>2809</v>
      </c>
    </row>
    <row r="2088" spans="1:15" x14ac:dyDescent="0.3">
      <c r="A2088" s="384" t="b">
        <v>0</v>
      </c>
      <c r="B2088" s="384"/>
      <c r="C2088" s="384" t="s">
        <v>3714</v>
      </c>
      <c r="D2088" s="389">
        <v>30</v>
      </c>
      <c r="E2088" s="386"/>
      <c r="F2088" s="388"/>
      <c r="G2088" s="387"/>
      <c r="H2088" s="387"/>
      <c r="I2088" s="388"/>
      <c r="J2088" s="388"/>
      <c r="K2088" s="384" t="str">
        <f ca="1">IFERROR(VLOOKUP(C2088,' Disaggregation - Section E '!A$618:J2414,3,0),"")</f>
        <v/>
      </c>
      <c r="L2088" s="384"/>
      <c r="M2088" s="384"/>
      <c r="N2088" s="388"/>
      <c r="O2088" s="384" t="s">
        <v>2809</v>
      </c>
    </row>
    <row r="2089" spans="1:15" x14ac:dyDescent="0.3">
      <c r="A2089" s="384" t="b">
        <v>0</v>
      </c>
      <c r="B2089" s="384"/>
      <c r="C2089" s="384" t="s">
        <v>3715</v>
      </c>
      <c r="D2089" s="389">
        <v>30</v>
      </c>
      <c r="E2089" s="386"/>
      <c r="F2089" s="388"/>
      <c r="G2089" s="387"/>
      <c r="H2089" s="387"/>
      <c r="I2089" s="388"/>
      <c r="J2089" s="388"/>
      <c r="K2089" s="384" t="str">
        <f ca="1">IFERROR(VLOOKUP(C2089,' Disaggregation - Section E '!A$618:J2415,3,0),"")</f>
        <v/>
      </c>
      <c r="L2089" s="384"/>
      <c r="M2089" s="384"/>
      <c r="N2089" s="388"/>
      <c r="O2089" s="384" t="s">
        <v>2809</v>
      </c>
    </row>
    <row r="2090" spans="1:15" x14ac:dyDescent="0.3">
      <c r="A2090" s="384" t="b">
        <v>0</v>
      </c>
      <c r="B2090" s="384"/>
      <c r="C2090" s="384" t="s">
        <v>3716</v>
      </c>
      <c r="D2090" s="389">
        <v>30</v>
      </c>
      <c r="E2090" s="386"/>
      <c r="F2090" s="388"/>
      <c r="G2090" s="387"/>
      <c r="H2090" s="387"/>
      <c r="I2090" s="388"/>
      <c r="J2090" s="388"/>
      <c r="K2090" s="384" t="str">
        <f ca="1">IFERROR(VLOOKUP(C2090,' Disaggregation - Section E '!A$618:J2416,3,0),"")</f>
        <v/>
      </c>
      <c r="L2090" s="384"/>
      <c r="M2090" s="384"/>
      <c r="N2090" s="388"/>
      <c r="O2090" s="384" t="s">
        <v>2809</v>
      </c>
    </row>
    <row r="2091" spans="1:15" x14ac:dyDescent="0.3">
      <c r="A2091" s="384" t="b">
        <v>0</v>
      </c>
      <c r="B2091" s="384"/>
      <c r="C2091" s="384" t="s">
        <v>3717</v>
      </c>
      <c r="D2091" s="389">
        <v>30</v>
      </c>
      <c r="E2091" s="386"/>
      <c r="F2091" s="388"/>
      <c r="G2091" s="387"/>
      <c r="H2091" s="387"/>
      <c r="I2091" s="388"/>
      <c r="J2091" s="388"/>
      <c r="K2091" s="384" t="str">
        <f ca="1">IFERROR(VLOOKUP(C2091,' Disaggregation - Section E '!A$618:J2417,3,0),"")</f>
        <v/>
      </c>
      <c r="L2091" s="384"/>
      <c r="M2091" s="384"/>
      <c r="N2091" s="388"/>
      <c r="O2091" s="384" t="s">
        <v>2809</v>
      </c>
    </row>
    <row r="2092" spans="1:15" x14ac:dyDescent="0.3">
      <c r="A2092" s="384" t="b">
        <v>0</v>
      </c>
      <c r="B2092" s="384"/>
      <c r="C2092" s="384" t="s">
        <v>3718</v>
      </c>
      <c r="D2092" s="389">
        <v>30</v>
      </c>
      <c r="E2092" s="386"/>
      <c r="F2092" s="388"/>
      <c r="G2092" s="387"/>
      <c r="H2092" s="387"/>
      <c r="I2092" s="388"/>
      <c r="J2092" s="388"/>
      <c r="K2092" s="384" t="str">
        <f ca="1">IFERROR(VLOOKUP(C2092,' Disaggregation - Section E '!A$618:J2418,3,0),"")</f>
        <v/>
      </c>
      <c r="L2092" s="384"/>
      <c r="M2092" s="384"/>
      <c r="N2092" s="388"/>
      <c r="O2092" s="384" t="s">
        <v>2809</v>
      </c>
    </row>
    <row r="2093" spans="1:15" x14ac:dyDescent="0.3">
      <c r="A2093" s="384" t="b">
        <v>0</v>
      </c>
      <c r="B2093" s="384"/>
      <c r="C2093" s="384" t="s">
        <v>3719</v>
      </c>
      <c r="D2093" s="389">
        <v>30</v>
      </c>
      <c r="E2093" s="386"/>
      <c r="F2093" s="388"/>
      <c r="G2093" s="387"/>
      <c r="H2093" s="387"/>
      <c r="I2093" s="388"/>
      <c r="J2093" s="388"/>
      <c r="K2093" s="384" t="str">
        <f ca="1">IFERROR(VLOOKUP(C2093,' Disaggregation - Section E '!A$618:J2419,3,0),"")</f>
        <v/>
      </c>
      <c r="L2093" s="384"/>
      <c r="M2093" s="384"/>
      <c r="N2093" s="388"/>
      <c r="O2093" s="384" t="s">
        <v>2809</v>
      </c>
    </row>
    <row r="2094" spans="1:15" x14ac:dyDescent="0.3">
      <c r="A2094" s="384" t="b">
        <v>0</v>
      </c>
      <c r="B2094" s="384"/>
      <c r="C2094" s="384" t="s">
        <v>3720</v>
      </c>
      <c r="D2094" s="389">
        <v>30</v>
      </c>
      <c r="E2094" s="386"/>
      <c r="F2094" s="388"/>
      <c r="G2094" s="387"/>
      <c r="H2094" s="387"/>
      <c r="I2094" s="388"/>
      <c r="J2094" s="388"/>
      <c r="K2094" s="384" t="str">
        <f ca="1">IFERROR(VLOOKUP(C2094,' Disaggregation - Section E '!A$618:J2420,3,0),"")</f>
        <v/>
      </c>
      <c r="L2094" s="384"/>
      <c r="M2094" s="384"/>
      <c r="N2094" s="388"/>
      <c r="O2094" s="384" t="s">
        <v>2809</v>
      </c>
    </row>
    <row r="2095" spans="1:15" x14ac:dyDescent="0.3">
      <c r="A2095" s="384" t="b">
        <f t="shared" ref="A2095:A2158" ca="1" si="135">IF(M2095&lt;&gt;"",TRUE,FALSE)</f>
        <v>1</v>
      </c>
      <c r="B2095" s="384"/>
      <c r="C2095" s="393" t="str">
        <f ca="1">IF(COUNTA(O$1493:O2095)=1,"",OFFSET(B2093,-COUNTA(O$1493:O2095)+3,1))</f>
        <v>a16Dm000000LZZWIA4</v>
      </c>
      <c r="D2095" s="389"/>
      <c r="E2095" s="386" t="str">
        <f ca="1">IFERROR(IF(VLOOKUP(C2095,' Disaggregation - Section E '!A$618:J2421,7,0)="","",VLOOKUP(C2095,' Disaggregation - Section E '!A$618:J2421,7,0)*100),"")</f>
        <v/>
      </c>
      <c r="F2095" s="388" t="str">
        <f ca="1">IFERROR(VLOOKUP(C2095,' Disaggregation - Section E '!A$618:J2421,5,0),"")</f>
        <v>25+</v>
      </c>
      <c r="G2095" s="387">
        <f ca="1">IFERROR(IF(VLOOKUP(C2095,' Disaggregation - Section E '!A$618:J2421,6,0)="","",VLOOKUP(C2095,' Disaggregation - Section E '!A$618:J2421,6,0)),"")</f>
        <v>10585</v>
      </c>
      <c r="H2095" s="387" t="str">
        <f ca="1">IFERROR(IF(INDEX(' Disaggregation - Section E '!F$618:F2421,MATCH(C2095,' Disaggregation - Section E '!A$618:A2421,0)+1,1)&lt;&gt;0,INDEX(' Disaggregation - Section E '!F$618:F2421,MATCH(C2095,' Disaggregation - Section E '!A$618:A2421,0)+1,1),""),"")</f>
        <v/>
      </c>
      <c r="I2095" s="388">
        <f ca="1">IFERROR(IF(VLOOKUP(C2095,' Disaggregation - Section E '!A$618:J2421,8,0)=0,"",VLOOKUP(C2095,' Disaggregation - Section E '!A$618:J2421,8,0)),"")</f>
        <v>2022</v>
      </c>
      <c r="J2095" s="388" t="str">
        <f ca="1">IFERROR(IF(VLOOKUP(C2095,' Disaggregation - Section E '!A$618:J2421,9,0)="","",VLOOKUP(C2095,' Disaggregation - Section E '!A$618:J2421,9,0)),"")</f>
        <v>Admistrative report</v>
      </c>
      <c r="K2095" s="384" t="str">
        <f ca="1">IFERROR(VLOOKUP(C2095,' Disaggregation - Section E '!A$618:J2421,3,0),"")</f>
        <v>KP-1a⁽ᴹ⁾ Percentage of men who have sex with men reached with HIV prevention programs - defined package of services</v>
      </c>
      <c r="L2095" s="384"/>
      <c r="M2095" s="384" t="str">
        <f ca="1">IFERROR(IF(VLOOKUP(C2095,' Disaggregation - Section E '!A$618:O1224,15,0)=0,"",VLOOKUP(C2095,' Disaggregation - Section E '!A$618:O1224,15,0)),"")</f>
        <v>IDR-01165</v>
      </c>
      <c r="N2095" s="388" t="str">
        <f ca="1">IFERROR(IF(VLOOKUP(C2095,' Disaggregation - Section E '!A$618:J2421,10,0)=0,"",VLOOKUP(C2095,' Disaggregation - Section E '!A$618:J2421,10,0)),"")</f>
        <v>The last IBBS among MSM was conducted in the country in 2021 with the technical support of the CDC in Bishkek and Osh, in the south the sample was not reached. The estimated number of MSM according to the results of the study is presented only for Bishkek. There is no breakdown of MSM population estimates by age group.</v>
      </c>
      <c r="O2095" s="384"/>
    </row>
    <row r="2096" spans="1:15" x14ac:dyDescent="0.3">
      <c r="A2096" s="384" t="b">
        <f t="shared" ca="1" si="135"/>
        <v>1</v>
      </c>
      <c r="B2096" s="384"/>
      <c r="C2096" s="393" t="str">
        <f ca="1">IF(COUNTA(O$1493:O2096)=1,"",OFFSET(B2094,-COUNTA(O$1493:O2096)+3,1))</f>
        <v>a16Dm000000LZZXIA4</v>
      </c>
      <c r="D2096" s="389"/>
      <c r="E2096" s="386" t="str">
        <f ca="1">IFERROR(IF(VLOOKUP(C2096,' Disaggregation - Section E '!A$618:J2422,7,0)="","",VLOOKUP(C2096,' Disaggregation - Section E '!A$618:J2422,7,0)*100),"")</f>
        <v/>
      </c>
      <c r="F2096" s="388" t="str">
        <f ca="1">IFERROR(VLOOKUP(C2096,' Disaggregation - Section E '!A$618:J2422,5,0),"")</f>
        <v>20-24</v>
      </c>
      <c r="G2096" s="387">
        <f ca="1">IFERROR(IF(VLOOKUP(C2096,' Disaggregation - Section E '!A$618:J2422,6,0)="","",VLOOKUP(C2096,' Disaggregation - Section E '!A$618:J2422,6,0)),"")</f>
        <v>3506</v>
      </c>
      <c r="H2096" s="387" t="str">
        <f ca="1">IFERROR(IF(INDEX(' Disaggregation - Section E '!F$618:F2422,MATCH(C2096,' Disaggregation - Section E '!A$618:A2422,0)+1,1)&lt;&gt;0,INDEX(' Disaggregation - Section E '!F$618:F2422,MATCH(C2096,' Disaggregation - Section E '!A$618:A2422,0)+1,1),""),"")</f>
        <v/>
      </c>
      <c r="I2096" s="388">
        <f ca="1">IFERROR(IF(VLOOKUP(C2096,' Disaggregation - Section E '!A$618:J2422,8,0)=0,"",VLOOKUP(C2096,' Disaggregation - Section E '!A$618:J2422,8,0)),"")</f>
        <v>2022</v>
      </c>
      <c r="J2096" s="388" t="str">
        <f ca="1">IFERROR(IF(VLOOKUP(C2096,' Disaggregation - Section E '!A$618:J2422,9,0)="","",VLOOKUP(C2096,' Disaggregation - Section E '!A$618:J2422,9,0)),"")</f>
        <v>Admistrative report</v>
      </c>
      <c r="K2096" s="384" t="str">
        <f ca="1">IFERROR(VLOOKUP(C2096,' Disaggregation - Section E '!A$618:J2422,3,0),"")</f>
        <v>KP-1a⁽ᴹ⁾ Percentage of men who have sex with men reached with HIV prevention programs - defined package of services</v>
      </c>
      <c r="L2096" s="384"/>
      <c r="M2096" s="384" t="str">
        <f ca="1">IFERROR(IF(VLOOKUP(C2096,' Disaggregation - Section E '!A$618:O1225,15,0)=0,"",VLOOKUP(C2096,' Disaggregation - Section E '!A$618:O1225,15,0)),"")</f>
        <v>IDR-01164</v>
      </c>
      <c r="N2096" s="388" t="str">
        <f ca="1">IFERROR(IF(VLOOKUP(C2096,' Disaggregation - Section E '!A$618:J2422,10,0)=0,"",VLOOKUP(C2096,' Disaggregation - Section E '!A$618:J2422,10,0)),"")</f>
        <v>The last IBBS among MSM was conducted in the country in 2021 with the technical support of the CDC in Bishkek and Osh, in the south the sample was not reached. The estimated number of MSM according to the results of the study is presented only for Bishkek. There is no breakdown of MSM population estimates by age group.</v>
      </c>
      <c r="O2096" s="384"/>
    </row>
    <row r="2097" spans="1:15" x14ac:dyDescent="0.3">
      <c r="A2097" s="384" t="b">
        <f t="shared" ca="1" si="135"/>
        <v>1</v>
      </c>
      <c r="B2097" s="384"/>
      <c r="C2097" s="393" t="str">
        <f ca="1">IF(COUNTA(O$1493:O2097)=1,"",OFFSET(B2095,-COUNTA(O$1493:O2097)+3,1))</f>
        <v>a16Dm000000LZZYIA4</v>
      </c>
      <c r="D2097" s="389"/>
      <c r="E2097" s="386" t="str">
        <f ca="1">IFERROR(IF(VLOOKUP(C2097,' Disaggregation - Section E '!A$618:J2423,7,0)="","",VLOOKUP(C2097,' Disaggregation - Section E '!A$618:J2423,7,0)*100),"")</f>
        <v/>
      </c>
      <c r="F2097" s="388" t="str">
        <f ca="1">IFERROR(VLOOKUP(C2097,' Disaggregation - Section E '!A$618:J2423,5,0),"")</f>
        <v>15-19</v>
      </c>
      <c r="G2097" s="387">
        <f ca="1">IFERROR(IF(VLOOKUP(C2097,' Disaggregation - Section E '!A$618:J2423,6,0)="","",VLOOKUP(C2097,' Disaggregation - Section E '!A$618:J2423,6,0)),"")</f>
        <v>286</v>
      </c>
      <c r="H2097" s="387" t="str">
        <f ca="1">IFERROR(IF(INDEX(' Disaggregation - Section E '!F$618:F2423,MATCH(C2097,' Disaggregation - Section E '!A$618:A2423,0)+1,1)&lt;&gt;0,INDEX(' Disaggregation - Section E '!F$618:F2423,MATCH(C2097,' Disaggregation - Section E '!A$618:A2423,0)+1,1),""),"")</f>
        <v/>
      </c>
      <c r="I2097" s="388">
        <f ca="1">IFERROR(IF(VLOOKUP(C2097,' Disaggregation - Section E '!A$618:J2423,8,0)=0,"",VLOOKUP(C2097,' Disaggregation - Section E '!A$618:J2423,8,0)),"")</f>
        <v>2022</v>
      </c>
      <c r="J2097" s="388" t="str">
        <f ca="1">IFERROR(IF(VLOOKUP(C2097,' Disaggregation - Section E '!A$618:J2423,9,0)="","",VLOOKUP(C2097,' Disaggregation - Section E '!A$618:J2423,9,0)),"")</f>
        <v>Admistrative report</v>
      </c>
      <c r="K2097" s="384" t="str">
        <f ca="1">IFERROR(VLOOKUP(C2097,' Disaggregation - Section E '!A$618:J2423,3,0),"")</f>
        <v>KP-1a⁽ᴹ⁾ Percentage of men who have sex with men reached with HIV prevention programs - defined package of services</v>
      </c>
      <c r="L2097" s="384"/>
      <c r="M2097" s="384" t="str">
        <f ca="1">IFERROR(IF(VLOOKUP(C2097,' Disaggregation - Section E '!A$618:O1226,15,0)=0,"",VLOOKUP(C2097,' Disaggregation - Section E '!A$618:O1226,15,0)),"")</f>
        <v>IDR-01163</v>
      </c>
      <c r="N2097" s="388" t="str">
        <f ca="1">IFERROR(IF(VLOOKUP(C2097,' Disaggregation - Section E '!A$618:J2423,10,0)=0,"",VLOOKUP(C2097,' Disaggregation - Section E '!A$618:J2423,10,0)),"")</f>
        <v>The last IBBS among MSM was conducted in the country in 2021 with the technical support of the CDC in Bishkek and Osh, in the south the sample was not reached. The estimated number of MSM according to the results of the study is presented only for Bishkek. There is no breakdown of MSM population estimates by age group.</v>
      </c>
      <c r="O2097" s="384"/>
    </row>
    <row r="2098" spans="1:15" x14ac:dyDescent="0.3">
      <c r="A2098" s="384" t="b">
        <f t="shared" ca="1" si="135"/>
        <v>0</v>
      </c>
      <c r="B2098" s="384"/>
      <c r="C2098" s="393" t="str">
        <f ca="1">IF(COUNTA(O$1493:O2098)=1,"",OFFSET(B2096,-COUNTA(O$1493:O2098)+3,1))</f>
        <v>a16Dm000000LZZZIA4</v>
      </c>
      <c r="D2098" s="389"/>
      <c r="E2098" s="386" t="str">
        <f ca="1">IFERROR(IF(VLOOKUP(C2098,' Disaggregation - Section E '!A$618:J2424,7,0)="","",VLOOKUP(C2098,' Disaggregation - Section E '!A$618:J2424,7,0)*100),"")</f>
        <v/>
      </c>
      <c r="F2098" s="388" t="str">
        <f ca="1">IFERROR(VLOOKUP(C2098,' Disaggregation - Section E '!A$618:J2424,5,0),"")</f>
        <v/>
      </c>
      <c r="G2098" s="387" t="str">
        <f ca="1">IFERROR(IF(VLOOKUP(C2098,' Disaggregation - Section E '!A$618:J2424,6,0)="","",VLOOKUP(C2098,' Disaggregation - Section E '!A$618:J2424,6,0)),"")</f>
        <v/>
      </c>
      <c r="H2098" s="387" t="str">
        <f ca="1">IFERROR(IF(INDEX(' Disaggregation - Section E '!F$618:F2424,MATCH(C2098,' Disaggregation - Section E '!A$618:A2424,0)+1,1)&lt;&gt;0,INDEX(' Disaggregation - Section E '!F$618:F2424,MATCH(C2098,' Disaggregation - Section E '!A$618:A2424,0)+1,1),""),"")</f>
        <v/>
      </c>
      <c r="I2098" s="388" t="str">
        <f ca="1">IFERROR(IF(VLOOKUP(C2098,' Disaggregation - Section E '!A$618:J2424,8,0)=0,"",VLOOKUP(C2098,' Disaggregation - Section E '!A$618:J2424,8,0)),"")</f>
        <v/>
      </c>
      <c r="J2098" s="388" t="str">
        <f ca="1">IFERROR(IF(VLOOKUP(C2098,' Disaggregation - Section E '!A$618:J2424,9,0)="","",VLOOKUP(C2098,' Disaggregation - Section E '!A$618:J2424,9,0)),"")</f>
        <v/>
      </c>
      <c r="K2098" s="384" t="str">
        <f ca="1">IFERROR(VLOOKUP(C2098,' Disaggregation - Section E '!A$618:J2424,3,0),"")</f>
        <v>KP-1a⁽ᴹ⁾ Percentage of men who have sex with men reached with HIV prevention programs - defined package of services</v>
      </c>
      <c r="L2098" s="384"/>
      <c r="M2098" s="384" t="str">
        <f ca="1">IFERROR(IF(VLOOKUP(C2098,' Disaggregation - Section E '!A$618:O1227,15,0)=0,"",VLOOKUP(C2098,' Disaggregation - Section E '!A$618:O1227,15,0)),"")</f>
        <v/>
      </c>
      <c r="N2098" s="388" t="str">
        <f ca="1">IFERROR(IF(VLOOKUP(C2098,' Disaggregation - Section E '!A$618:J2424,10,0)=0,"",VLOOKUP(C2098,' Disaggregation - Section E '!A$618:J2424,10,0)),"")</f>
        <v/>
      </c>
      <c r="O2098" s="384"/>
    </row>
    <row r="2099" spans="1:15" x14ac:dyDescent="0.3">
      <c r="A2099" s="384" t="b">
        <f t="shared" ca="1" si="135"/>
        <v>0</v>
      </c>
      <c r="B2099" s="384"/>
      <c r="C2099" s="393" t="str">
        <f ca="1">IF(COUNTA(O$1493:O2099)=1,"",OFFSET(B2097,-COUNTA(O$1493:O2099)+3,1))</f>
        <v>a16Dm000000LZZaIAO</v>
      </c>
      <c r="D2099" s="389"/>
      <c r="E2099" s="386" t="str">
        <f ca="1">IFERROR(IF(VLOOKUP(C2099,' Disaggregation - Section E '!A$618:J2425,7,0)="","",VLOOKUP(C2099,' Disaggregation - Section E '!A$618:J2425,7,0)*100),"")</f>
        <v/>
      </c>
      <c r="F2099" s="388" t="str">
        <f ca="1">IFERROR(VLOOKUP(C2099,' Disaggregation - Section E '!A$618:J2425,5,0),"")</f>
        <v/>
      </c>
      <c r="G2099" s="387" t="str">
        <f ca="1">IFERROR(IF(VLOOKUP(C2099,' Disaggregation - Section E '!A$618:J2425,6,0)="","",VLOOKUP(C2099,' Disaggregation - Section E '!A$618:J2425,6,0)),"")</f>
        <v/>
      </c>
      <c r="H2099" s="387" t="str">
        <f ca="1">IFERROR(IF(INDEX(' Disaggregation - Section E '!F$618:F2425,MATCH(C2099,' Disaggregation - Section E '!A$618:A2425,0)+1,1)&lt;&gt;0,INDEX(' Disaggregation - Section E '!F$618:F2425,MATCH(C2099,' Disaggregation - Section E '!A$618:A2425,0)+1,1),""),"")</f>
        <v/>
      </c>
      <c r="I2099" s="388" t="str">
        <f ca="1">IFERROR(IF(VLOOKUP(C2099,' Disaggregation - Section E '!A$618:J2425,8,0)=0,"",VLOOKUP(C2099,' Disaggregation - Section E '!A$618:J2425,8,0)),"")</f>
        <v/>
      </c>
      <c r="J2099" s="388" t="str">
        <f ca="1">IFERROR(IF(VLOOKUP(C2099,' Disaggregation - Section E '!A$618:J2425,9,0)="","",VLOOKUP(C2099,' Disaggregation - Section E '!A$618:J2425,9,0)),"")</f>
        <v/>
      </c>
      <c r="K2099" s="384" t="str">
        <f ca="1">IFERROR(VLOOKUP(C2099,' Disaggregation - Section E '!A$618:J2425,3,0),"")</f>
        <v>KP-1a⁽ᴹ⁾ Percentage of men who have sex with men reached with HIV prevention programs - defined package of services</v>
      </c>
      <c r="L2099" s="384"/>
      <c r="M2099" s="384" t="str">
        <f ca="1">IFERROR(IF(VLOOKUP(C2099,' Disaggregation - Section E '!A$618:O1228,15,0)=0,"",VLOOKUP(C2099,' Disaggregation - Section E '!A$618:O1228,15,0)),"")</f>
        <v/>
      </c>
      <c r="N2099" s="388" t="str">
        <f ca="1">IFERROR(IF(VLOOKUP(C2099,' Disaggregation - Section E '!A$618:J2425,10,0)=0,"",VLOOKUP(C2099,' Disaggregation - Section E '!A$618:J2425,10,0)),"")</f>
        <v/>
      </c>
      <c r="O2099" s="384"/>
    </row>
    <row r="2100" spans="1:15" x14ac:dyDescent="0.3">
      <c r="A2100" s="384" t="b">
        <f t="shared" ca="1" si="135"/>
        <v>0</v>
      </c>
      <c r="B2100" s="384"/>
      <c r="C2100" s="393" t="str">
        <f ca="1">IF(COUNTA(O$1493:O2100)=1,"",OFFSET(B2098,-COUNTA(O$1493:O2100)+3,1))</f>
        <v>a16Dm000000LZZbIAO</v>
      </c>
      <c r="D2100" s="389"/>
      <c r="E2100" s="386" t="str">
        <f ca="1">IFERROR(IF(VLOOKUP(C2100,' Disaggregation - Section E '!A$618:J2426,7,0)="","",VLOOKUP(C2100,' Disaggregation - Section E '!A$618:J2426,7,0)*100),"")</f>
        <v/>
      </c>
      <c r="F2100" s="388" t="str">
        <f ca="1">IFERROR(VLOOKUP(C2100,' Disaggregation - Section E '!A$618:J2426,5,0),"")</f>
        <v/>
      </c>
      <c r="G2100" s="387" t="str">
        <f ca="1">IFERROR(IF(VLOOKUP(C2100,' Disaggregation - Section E '!A$618:J2426,6,0)="","",VLOOKUP(C2100,' Disaggregation - Section E '!A$618:J2426,6,0)),"")</f>
        <v/>
      </c>
      <c r="H2100" s="387" t="str">
        <f ca="1">IFERROR(IF(INDEX(' Disaggregation - Section E '!F$618:F2426,MATCH(C2100,' Disaggregation - Section E '!A$618:A2426,0)+1,1)&lt;&gt;0,INDEX(' Disaggregation - Section E '!F$618:F2426,MATCH(C2100,' Disaggregation - Section E '!A$618:A2426,0)+1,1),""),"")</f>
        <v/>
      </c>
      <c r="I2100" s="388" t="str">
        <f ca="1">IFERROR(IF(VLOOKUP(C2100,' Disaggregation - Section E '!A$618:J2426,8,0)=0,"",VLOOKUP(C2100,' Disaggregation - Section E '!A$618:J2426,8,0)),"")</f>
        <v/>
      </c>
      <c r="J2100" s="388" t="str">
        <f ca="1">IFERROR(IF(VLOOKUP(C2100,' Disaggregation - Section E '!A$618:J2426,9,0)="","",VLOOKUP(C2100,' Disaggregation - Section E '!A$618:J2426,9,0)),"")</f>
        <v/>
      </c>
      <c r="K2100" s="384" t="str">
        <f ca="1">IFERROR(VLOOKUP(C2100,' Disaggregation - Section E '!A$618:J2426,3,0),"")</f>
        <v>KP-1a⁽ᴹ⁾ Percentage of men who have sex with men reached with HIV prevention programs - defined package of services</v>
      </c>
      <c r="L2100" s="384"/>
      <c r="M2100" s="384" t="str">
        <f ca="1">IFERROR(IF(VLOOKUP(C2100,' Disaggregation - Section E '!A$618:O1229,15,0)=0,"",VLOOKUP(C2100,' Disaggregation - Section E '!A$618:O1229,15,0)),"")</f>
        <v/>
      </c>
      <c r="N2100" s="388" t="str">
        <f ca="1">IFERROR(IF(VLOOKUP(C2100,' Disaggregation - Section E '!A$618:J2426,10,0)=0,"",VLOOKUP(C2100,' Disaggregation - Section E '!A$618:J2426,10,0)),"")</f>
        <v/>
      </c>
      <c r="O2100" s="384"/>
    </row>
    <row r="2101" spans="1:15" x14ac:dyDescent="0.3">
      <c r="A2101" s="384" t="b">
        <f t="shared" ca="1" si="135"/>
        <v>0</v>
      </c>
      <c r="B2101" s="384"/>
      <c r="C2101" s="393" t="str">
        <f ca="1">IF(COUNTA(O$1493:O2101)=1,"",OFFSET(B2099,-COUNTA(O$1493:O2101)+3,1))</f>
        <v>a16Dm000000LZZcIAO</v>
      </c>
      <c r="D2101" s="389"/>
      <c r="E2101" s="386" t="str">
        <f ca="1">IFERROR(IF(VLOOKUP(C2101,' Disaggregation - Section E '!A$618:J2427,7,0)="","",VLOOKUP(C2101,' Disaggregation - Section E '!A$618:J2427,7,0)*100),"")</f>
        <v/>
      </c>
      <c r="F2101" s="388" t="str">
        <f ca="1">IFERROR(VLOOKUP(C2101,' Disaggregation - Section E '!A$618:J2427,5,0),"")</f>
        <v/>
      </c>
      <c r="G2101" s="387" t="str">
        <f ca="1">IFERROR(IF(VLOOKUP(C2101,' Disaggregation - Section E '!A$618:J2427,6,0)="","",VLOOKUP(C2101,' Disaggregation - Section E '!A$618:J2427,6,0)),"")</f>
        <v/>
      </c>
      <c r="H2101" s="387" t="str">
        <f ca="1">IFERROR(IF(INDEX(' Disaggregation - Section E '!F$618:F2427,MATCH(C2101,' Disaggregation - Section E '!A$618:A2427,0)+1,1)&lt;&gt;0,INDEX(' Disaggregation - Section E '!F$618:F2427,MATCH(C2101,' Disaggregation - Section E '!A$618:A2427,0)+1,1),""),"")</f>
        <v/>
      </c>
      <c r="I2101" s="388" t="str">
        <f ca="1">IFERROR(IF(VLOOKUP(C2101,' Disaggregation - Section E '!A$618:J2427,8,0)=0,"",VLOOKUP(C2101,' Disaggregation - Section E '!A$618:J2427,8,0)),"")</f>
        <v/>
      </c>
      <c r="J2101" s="388" t="str">
        <f ca="1">IFERROR(IF(VLOOKUP(C2101,' Disaggregation - Section E '!A$618:J2427,9,0)="","",VLOOKUP(C2101,' Disaggregation - Section E '!A$618:J2427,9,0)),"")</f>
        <v/>
      </c>
      <c r="K2101" s="384" t="str">
        <f ca="1">IFERROR(VLOOKUP(C2101,' Disaggregation - Section E '!A$618:J2427,3,0),"")</f>
        <v>KP-1a⁽ᴹ⁾ Percentage of men who have sex with men reached with HIV prevention programs - defined package of services</v>
      </c>
      <c r="L2101" s="384"/>
      <c r="M2101" s="384" t="str">
        <f ca="1">IFERROR(IF(VLOOKUP(C2101,' Disaggregation - Section E '!A$618:O1230,15,0)=0,"",VLOOKUP(C2101,' Disaggregation - Section E '!A$618:O1230,15,0)),"")</f>
        <v/>
      </c>
      <c r="N2101" s="388" t="str">
        <f ca="1">IFERROR(IF(VLOOKUP(C2101,' Disaggregation - Section E '!A$618:J2427,10,0)=0,"",VLOOKUP(C2101,' Disaggregation - Section E '!A$618:J2427,10,0)),"")</f>
        <v/>
      </c>
      <c r="O2101" s="384"/>
    </row>
    <row r="2102" spans="1:15" x14ac:dyDescent="0.3">
      <c r="A2102" s="384" t="b">
        <f t="shared" ca="1" si="135"/>
        <v>0</v>
      </c>
      <c r="B2102" s="384"/>
      <c r="C2102" s="393" t="str">
        <f ca="1">IF(COUNTA(O$1493:O2102)=1,"",OFFSET(B2100,-COUNTA(O$1493:O2102)+3,1))</f>
        <v>a16Dm000000LZZdIAO</v>
      </c>
      <c r="D2102" s="389"/>
      <c r="E2102" s="386" t="str">
        <f ca="1">IFERROR(IF(VLOOKUP(C2102,' Disaggregation - Section E '!A$618:J2428,7,0)="","",VLOOKUP(C2102,' Disaggregation - Section E '!A$618:J2428,7,0)*100),"")</f>
        <v/>
      </c>
      <c r="F2102" s="388" t="str">
        <f ca="1">IFERROR(VLOOKUP(C2102,' Disaggregation - Section E '!A$618:J2428,5,0),"")</f>
        <v/>
      </c>
      <c r="G2102" s="387" t="str">
        <f ca="1">IFERROR(IF(VLOOKUP(C2102,' Disaggregation - Section E '!A$618:J2428,6,0)="","",VLOOKUP(C2102,' Disaggregation - Section E '!A$618:J2428,6,0)),"")</f>
        <v/>
      </c>
      <c r="H2102" s="387" t="str">
        <f ca="1">IFERROR(IF(INDEX(' Disaggregation - Section E '!F$618:F2428,MATCH(C2102,' Disaggregation - Section E '!A$618:A2428,0)+1,1)&lt;&gt;0,INDEX(' Disaggregation - Section E '!F$618:F2428,MATCH(C2102,' Disaggregation - Section E '!A$618:A2428,0)+1,1),""),"")</f>
        <v/>
      </c>
      <c r="I2102" s="388" t="str">
        <f ca="1">IFERROR(IF(VLOOKUP(C2102,' Disaggregation - Section E '!A$618:J2428,8,0)=0,"",VLOOKUP(C2102,' Disaggregation - Section E '!A$618:J2428,8,0)),"")</f>
        <v/>
      </c>
      <c r="J2102" s="388" t="str">
        <f ca="1">IFERROR(IF(VLOOKUP(C2102,' Disaggregation - Section E '!A$618:J2428,9,0)="","",VLOOKUP(C2102,' Disaggregation - Section E '!A$618:J2428,9,0)),"")</f>
        <v/>
      </c>
      <c r="K2102" s="384" t="str">
        <f ca="1">IFERROR(VLOOKUP(C2102,' Disaggregation - Section E '!A$618:J2428,3,0),"")</f>
        <v>KP-1a⁽ᴹ⁾ Percentage of men who have sex with men reached with HIV prevention programs - defined package of services</v>
      </c>
      <c r="L2102" s="384"/>
      <c r="M2102" s="384" t="str">
        <f ca="1">IFERROR(IF(VLOOKUP(C2102,' Disaggregation - Section E '!A$618:O1231,15,0)=0,"",VLOOKUP(C2102,' Disaggregation - Section E '!A$618:O1231,15,0)),"")</f>
        <v/>
      </c>
      <c r="N2102" s="388" t="str">
        <f ca="1">IFERROR(IF(VLOOKUP(C2102,' Disaggregation - Section E '!A$618:J2428,10,0)=0,"",VLOOKUP(C2102,' Disaggregation - Section E '!A$618:J2428,10,0)),"")</f>
        <v/>
      </c>
      <c r="O2102" s="384"/>
    </row>
    <row r="2103" spans="1:15" x14ac:dyDescent="0.3">
      <c r="A2103" s="384" t="b">
        <f t="shared" ca="1" si="135"/>
        <v>0</v>
      </c>
      <c r="B2103" s="384"/>
      <c r="C2103" s="393" t="str">
        <f ca="1">IF(COUNTA(O$1493:O2103)=1,"",OFFSET(B2101,-COUNTA(O$1493:O2103)+3,1))</f>
        <v>a16Dm000000LZZeIAO</v>
      </c>
      <c r="D2103" s="389"/>
      <c r="E2103" s="386" t="str">
        <f ca="1">IFERROR(IF(VLOOKUP(C2103,' Disaggregation - Section E '!A$618:J2429,7,0)="","",VLOOKUP(C2103,' Disaggregation - Section E '!A$618:J2429,7,0)*100),"")</f>
        <v/>
      </c>
      <c r="F2103" s="388" t="str">
        <f ca="1">IFERROR(VLOOKUP(C2103,' Disaggregation - Section E '!A$618:J2429,5,0),"")</f>
        <v/>
      </c>
      <c r="G2103" s="387" t="str">
        <f ca="1">IFERROR(IF(VLOOKUP(C2103,' Disaggregation - Section E '!A$618:J2429,6,0)="","",VLOOKUP(C2103,' Disaggregation - Section E '!A$618:J2429,6,0)),"")</f>
        <v/>
      </c>
      <c r="H2103" s="387" t="str">
        <f ca="1">IFERROR(IF(INDEX(' Disaggregation - Section E '!F$618:F2429,MATCH(C2103,' Disaggregation - Section E '!A$618:A2429,0)+1,1)&lt;&gt;0,INDEX(' Disaggregation - Section E '!F$618:F2429,MATCH(C2103,' Disaggregation - Section E '!A$618:A2429,0)+1,1),""),"")</f>
        <v/>
      </c>
      <c r="I2103" s="388" t="str">
        <f ca="1">IFERROR(IF(VLOOKUP(C2103,' Disaggregation - Section E '!A$618:J2429,8,0)=0,"",VLOOKUP(C2103,' Disaggregation - Section E '!A$618:J2429,8,0)),"")</f>
        <v/>
      </c>
      <c r="J2103" s="388" t="str">
        <f ca="1">IFERROR(IF(VLOOKUP(C2103,' Disaggregation - Section E '!A$618:J2429,9,0)="","",VLOOKUP(C2103,' Disaggregation - Section E '!A$618:J2429,9,0)),"")</f>
        <v/>
      </c>
      <c r="K2103" s="384" t="str">
        <f ca="1">IFERROR(VLOOKUP(C2103,' Disaggregation - Section E '!A$618:J2429,3,0),"")</f>
        <v>KP-1a⁽ᴹ⁾ Percentage of men who have sex with men reached with HIV prevention programs - defined package of services</v>
      </c>
      <c r="L2103" s="384"/>
      <c r="M2103" s="384" t="str">
        <f ca="1">IFERROR(IF(VLOOKUP(C2103,' Disaggregation - Section E '!A$618:O1232,15,0)=0,"",VLOOKUP(C2103,' Disaggregation - Section E '!A$618:O1232,15,0)),"")</f>
        <v/>
      </c>
      <c r="N2103" s="388" t="str">
        <f ca="1">IFERROR(IF(VLOOKUP(C2103,' Disaggregation - Section E '!A$618:J2429,10,0)=0,"",VLOOKUP(C2103,' Disaggregation - Section E '!A$618:J2429,10,0)),"")</f>
        <v/>
      </c>
      <c r="O2103" s="384"/>
    </row>
    <row r="2104" spans="1:15" x14ac:dyDescent="0.3">
      <c r="A2104" s="384" t="b">
        <f t="shared" ca="1" si="135"/>
        <v>0</v>
      </c>
      <c r="B2104" s="384"/>
      <c r="C2104" s="393" t="str">
        <f ca="1">IF(COUNTA(O$1493:O2104)=1,"",OFFSET(B2102,-COUNTA(O$1493:O2104)+3,1))</f>
        <v>a16Dm000000LZZfIAO</v>
      </c>
      <c r="D2104" s="389"/>
      <c r="E2104" s="386" t="str">
        <f ca="1">IFERROR(IF(VLOOKUP(C2104,' Disaggregation - Section E '!A$618:J2430,7,0)="","",VLOOKUP(C2104,' Disaggregation - Section E '!A$618:J2430,7,0)*100),"")</f>
        <v/>
      </c>
      <c r="F2104" s="388" t="str">
        <f ca="1">IFERROR(VLOOKUP(C2104,' Disaggregation - Section E '!A$618:J2430,5,0),"")</f>
        <v/>
      </c>
      <c r="G2104" s="387" t="str">
        <f ca="1">IFERROR(IF(VLOOKUP(C2104,' Disaggregation - Section E '!A$618:J2430,6,0)="","",VLOOKUP(C2104,' Disaggregation - Section E '!A$618:J2430,6,0)),"")</f>
        <v/>
      </c>
      <c r="H2104" s="387" t="str">
        <f ca="1">IFERROR(IF(INDEX(' Disaggregation - Section E '!F$618:F2430,MATCH(C2104,' Disaggregation - Section E '!A$618:A2430,0)+1,1)&lt;&gt;0,INDEX(' Disaggregation - Section E '!F$618:F2430,MATCH(C2104,' Disaggregation - Section E '!A$618:A2430,0)+1,1),""),"")</f>
        <v/>
      </c>
      <c r="I2104" s="388" t="str">
        <f ca="1">IFERROR(IF(VLOOKUP(C2104,' Disaggregation - Section E '!A$618:J2430,8,0)=0,"",VLOOKUP(C2104,' Disaggregation - Section E '!A$618:J2430,8,0)),"")</f>
        <v/>
      </c>
      <c r="J2104" s="388" t="str">
        <f ca="1">IFERROR(IF(VLOOKUP(C2104,' Disaggregation - Section E '!A$618:J2430,9,0)="","",VLOOKUP(C2104,' Disaggregation - Section E '!A$618:J2430,9,0)),"")</f>
        <v/>
      </c>
      <c r="K2104" s="384" t="str">
        <f ca="1">IFERROR(VLOOKUP(C2104,' Disaggregation - Section E '!A$618:J2430,3,0),"")</f>
        <v>KP-1a⁽ᴹ⁾ Percentage of men who have sex with men reached with HIV prevention programs - defined package of services</v>
      </c>
      <c r="L2104" s="384"/>
      <c r="M2104" s="384" t="str">
        <f ca="1">IFERROR(IF(VLOOKUP(C2104,' Disaggregation - Section E '!A$618:O1233,15,0)=0,"",VLOOKUP(C2104,' Disaggregation - Section E '!A$618:O1233,15,0)),"")</f>
        <v/>
      </c>
      <c r="N2104" s="388" t="str">
        <f ca="1">IFERROR(IF(VLOOKUP(C2104,' Disaggregation - Section E '!A$618:J2430,10,0)=0,"",VLOOKUP(C2104,' Disaggregation - Section E '!A$618:J2430,10,0)),"")</f>
        <v/>
      </c>
      <c r="O2104" s="384"/>
    </row>
    <row r="2105" spans="1:15" x14ac:dyDescent="0.3">
      <c r="A2105" s="384" t="b">
        <f t="shared" ca="1" si="135"/>
        <v>0</v>
      </c>
      <c r="B2105" s="384"/>
      <c r="C2105" s="393" t="str">
        <f ca="1">IF(COUNTA(O$1493:O2105)=1,"",OFFSET(B2103,-COUNTA(O$1493:O2105)+3,1))</f>
        <v>a16Dm000000LZZgIAO</v>
      </c>
      <c r="D2105" s="389"/>
      <c r="E2105" s="386" t="str">
        <f ca="1">IFERROR(IF(VLOOKUP(C2105,' Disaggregation - Section E '!A$618:J2431,7,0)="","",VLOOKUP(C2105,' Disaggregation - Section E '!A$618:J2431,7,0)*100),"")</f>
        <v/>
      </c>
      <c r="F2105" s="388" t="str">
        <f ca="1">IFERROR(VLOOKUP(C2105,' Disaggregation - Section E '!A$618:J2431,5,0),"")</f>
        <v/>
      </c>
      <c r="G2105" s="387" t="str">
        <f ca="1">IFERROR(IF(VLOOKUP(C2105,' Disaggregation - Section E '!A$618:J2431,6,0)="","",VLOOKUP(C2105,' Disaggregation - Section E '!A$618:J2431,6,0)),"")</f>
        <v/>
      </c>
      <c r="H2105" s="387" t="str">
        <f ca="1">IFERROR(IF(INDEX(' Disaggregation - Section E '!F$618:F2431,MATCH(C2105,' Disaggregation - Section E '!A$618:A2431,0)+1,1)&lt;&gt;0,INDEX(' Disaggregation - Section E '!F$618:F2431,MATCH(C2105,' Disaggregation - Section E '!A$618:A2431,0)+1,1),""),"")</f>
        <v/>
      </c>
      <c r="I2105" s="388" t="str">
        <f ca="1">IFERROR(IF(VLOOKUP(C2105,' Disaggregation - Section E '!A$618:J2431,8,0)=0,"",VLOOKUP(C2105,' Disaggregation - Section E '!A$618:J2431,8,0)),"")</f>
        <v/>
      </c>
      <c r="J2105" s="388" t="str">
        <f ca="1">IFERROR(IF(VLOOKUP(C2105,' Disaggregation - Section E '!A$618:J2431,9,0)="","",VLOOKUP(C2105,' Disaggregation - Section E '!A$618:J2431,9,0)),"")</f>
        <v/>
      </c>
      <c r="K2105" s="384" t="str">
        <f ca="1">IFERROR(VLOOKUP(C2105,' Disaggregation - Section E '!A$618:J2431,3,0),"")</f>
        <v>KP-1a⁽ᴹ⁾ Percentage of men who have sex with men reached with HIV prevention programs - defined package of services</v>
      </c>
      <c r="L2105" s="384"/>
      <c r="M2105" s="384" t="str">
        <f ca="1">IFERROR(IF(VLOOKUP(C2105,' Disaggregation - Section E '!A$618:O1234,15,0)=0,"",VLOOKUP(C2105,' Disaggregation - Section E '!A$618:O1234,15,0)),"")</f>
        <v/>
      </c>
      <c r="N2105" s="388" t="str">
        <f ca="1">IFERROR(IF(VLOOKUP(C2105,' Disaggregation - Section E '!A$618:J2431,10,0)=0,"",VLOOKUP(C2105,' Disaggregation - Section E '!A$618:J2431,10,0)),"")</f>
        <v/>
      </c>
      <c r="O2105" s="384"/>
    </row>
    <row r="2106" spans="1:15" x14ac:dyDescent="0.3">
      <c r="A2106" s="384" t="b">
        <f t="shared" ca="1" si="135"/>
        <v>0</v>
      </c>
      <c r="B2106" s="384"/>
      <c r="C2106" s="393" t="str">
        <f ca="1">IF(COUNTA(O$1493:O2106)=1,"",OFFSET(B2104,-COUNTA(O$1493:O2106)+3,1))</f>
        <v>a16Dm000000LZZhIAO</v>
      </c>
      <c r="D2106" s="389"/>
      <c r="E2106" s="386" t="str">
        <f ca="1">IFERROR(IF(VLOOKUP(C2106,' Disaggregation - Section E '!A$618:J2432,7,0)="","",VLOOKUP(C2106,' Disaggregation - Section E '!A$618:J2432,7,0)*100),"")</f>
        <v/>
      </c>
      <c r="F2106" s="388" t="str">
        <f ca="1">IFERROR(VLOOKUP(C2106,' Disaggregation - Section E '!A$618:J2432,5,0),"")</f>
        <v/>
      </c>
      <c r="G2106" s="387" t="str">
        <f ca="1">IFERROR(IF(VLOOKUP(C2106,' Disaggregation - Section E '!A$618:J2432,6,0)="","",VLOOKUP(C2106,' Disaggregation - Section E '!A$618:J2432,6,0)),"")</f>
        <v/>
      </c>
      <c r="H2106" s="387" t="str">
        <f ca="1">IFERROR(IF(INDEX(' Disaggregation - Section E '!F$618:F2432,MATCH(C2106,' Disaggregation - Section E '!A$618:A2432,0)+1,1)&lt;&gt;0,INDEX(' Disaggregation - Section E '!F$618:F2432,MATCH(C2106,' Disaggregation - Section E '!A$618:A2432,0)+1,1),""),"")</f>
        <v/>
      </c>
      <c r="I2106" s="388" t="str">
        <f ca="1">IFERROR(IF(VLOOKUP(C2106,' Disaggregation - Section E '!A$618:J2432,8,0)=0,"",VLOOKUP(C2106,' Disaggregation - Section E '!A$618:J2432,8,0)),"")</f>
        <v/>
      </c>
      <c r="J2106" s="388" t="str">
        <f ca="1">IFERROR(IF(VLOOKUP(C2106,' Disaggregation - Section E '!A$618:J2432,9,0)="","",VLOOKUP(C2106,' Disaggregation - Section E '!A$618:J2432,9,0)),"")</f>
        <v/>
      </c>
      <c r="K2106" s="384" t="str">
        <f ca="1">IFERROR(VLOOKUP(C2106,' Disaggregation - Section E '!A$618:J2432,3,0),"")</f>
        <v>KP-1a⁽ᴹ⁾ Percentage of men who have sex with men reached with HIV prevention programs - defined package of services</v>
      </c>
      <c r="L2106" s="384"/>
      <c r="M2106" s="384" t="str">
        <f ca="1">IFERROR(IF(VLOOKUP(C2106,' Disaggregation - Section E '!A$618:O1235,15,0)=0,"",VLOOKUP(C2106,' Disaggregation - Section E '!A$618:O1235,15,0)),"")</f>
        <v/>
      </c>
      <c r="N2106" s="388" t="str">
        <f ca="1">IFERROR(IF(VLOOKUP(C2106,' Disaggregation - Section E '!A$618:J2432,10,0)=0,"",VLOOKUP(C2106,' Disaggregation - Section E '!A$618:J2432,10,0)),"")</f>
        <v/>
      </c>
      <c r="O2106" s="384"/>
    </row>
    <row r="2107" spans="1:15" x14ac:dyDescent="0.3">
      <c r="A2107" s="384" t="b">
        <f t="shared" ca="1" si="135"/>
        <v>0</v>
      </c>
      <c r="B2107" s="384"/>
      <c r="C2107" s="393" t="str">
        <f ca="1">IF(COUNTA(O$1493:O2107)=1,"",OFFSET(B2105,-COUNTA(O$1493:O2107)+3,1))</f>
        <v>a16Dm000000LZZiIAO</v>
      </c>
      <c r="D2107" s="389"/>
      <c r="E2107" s="386" t="str">
        <f ca="1">IFERROR(IF(VLOOKUP(C2107,' Disaggregation - Section E '!A$618:J2433,7,0)="","",VLOOKUP(C2107,' Disaggregation - Section E '!A$618:J2433,7,0)*100),"")</f>
        <v/>
      </c>
      <c r="F2107" s="388" t="str">
        <f ca="1">IFERROR(VLOOKUP(C2107,' Disaggregation - Section E '!A$618:J2433,5,0),"")</f>
        <v/>
      </c>
      <c r="G2107" s="387" t="str">
        <f ca="1">IFERROR(IF(VLOOKUP(C2107,' Disaggregation - Section E '!A$618:J2433,6,0)="","",VLOOKUP(C2107,' Disaggregation - Section E '!A$618:J2433,6,0)),"")</f>
        <v/>
      </c>
      <c r="H2107" s="387" t="str">
        <f ca="1">IFERROR(IF(INDEX(' Disaggregation - Section E '!F$618:F2433,MATCH(C2107,' Disaggregation - Section E '!A$618:A2433,0)+1,1)&lt;&gt;0,INDEX(' Disaggregation - Section E '!F$618:F2433,MATCH(C2107,' Disaggregation - Section E '!A$618:A2433,0)+1,1),""),"")</f>
        <v/>
      </c>
      <c r="I2107" s="388" t="str">
        <f ca="1">IFERROR(IF(VLOOKUP(C2107,' Disaggregation - Section E '!A$618:J2433,8,0)=0,"",VLOOKUP(C2107,' Disaggregation - Section E '!A$618:J2433,8,0)),"")</f>
        <v/>
      </c>
      <c r="J2107" s="388" t="str">
        <f ca="1">IFERROR(IF(VLOOKUP(C2107,' Disaggregation - Section E '!A$618:J2433,9,0)="","",VLOOKUP(C2107,' Disaggregation - Section E '!A$618:J2433,9,0)),"")</f>
        <v/>
      </c>
      <c r="K2107" s="384" t="str">
        <f ca="1">IFERROR(VLOOKUP(C2107,' Disaggregation - Section E '!A$618:J2433,3,0),"")</f>
        <v>KP-1a⁽ᴹ⁾ Percentage of men who have sex with men reached with HIV prevention programs - defined package of services</v>
      </c>
      <c r="L2107" s="384"/>
      <c r="M2107" s="384" t="str">
        <f ca="1">IFERROR(IF(VLOOKUP(C2107,' Disaggregation - Section E '!A$618:O1236,15,0)=0,"",VLOOKUP(C2107,' Disaggregation - Section E '!A$618:O1236,15,0)),"")</f>
        <v/>
      </c>
      <c r="N2107" s="388" t="str">
        <f ca="1">IFERROR(IF(VLOOKUP(C2107,' Disaggregation - Section E '!A$618:J2433,10,0)=0,"",VLOOKUP(C2107,' Disaggregation - Section E '!A$618:J2433,10,0)),"")</f>
        <v/>
      </c>
      <c r="O2107" s="384"/>
    </row>
    <row r="2108" spans="1:15" x14ac:dyDescent="0.3">
      <c r="A2108" s="384" t="b">
        <f t="shared" ca="1" si="135"/>
        <v>0</v>
      </c>
      <c r="B2108" s="384"/>
      <c r="C2108" s="393" t="str">
        <f ca="1">IF(COUNTA(O$1493:O2108)=1,"",OFFSET(B2106,-COUNTA(O$1493:O2108)+3,1))</f>
        <v>a16Dm000000LZZjIAO</v>
      </c>
      <c r="D2108" s="389"/>
      <c r="E2108" s="386" t="str">
        <f ca="1">IFERROR(IF(VLOOKUP(C2108,' Disaggregation - Section E '!A$618:J2434,7,0)="","",VLOOKUP(C2108,' Disaggregation - Section E '!A$618:J2434,7,0)*100),"")</f>
        <v/>
      </c>
      <c r="F2108" s="388" t="str">
        <f ca="1">IFERROR(VLOOKUP(C2108,' Disaggregation - Section E '!A$618:J2434,5,0),"")</f>
        <v/>
      </c>
      <c r="G2108" s="387" t="str">
        <f ca="1">IFERROR(IF(VLOOKUP(C2108,' Disaggregation - Section E '!A$618:J2434,6,0)="","",VLOOKUP(C2108,' Disaggregation - Section E '!A$618:J2434,6,0)),"")</f>
        <v/>
      </c>
      <c r="H2108" s="387" t="str">
        <f ca="1">IFERROR(IF(INDEX(' Disaggregation - Section E '!F$618:F2434,MATCH(C2108,' Disaggregation - Section E '!A$618:A2434,0)+1,1)&lt;&gt;0,INDEX(' Disaggregation - Section E '!F$618:F2434,MATCH(C2108,' Disaggregation - Section E '!A$618:A2434,0)+1,1),""),"")</f>
        <v/>
      </c>
      <c r="I2108" s="388" t="str">
        <f ca="1">IFERROR(IF(VLOOKUP(C2108,' Disaggregation - Section E '!A$618:J2434,8,0)=0,"",VLOOKUP(C2108,' Disaggregation - Section E '!A$618:J2434,8,0)),"")</f>
        <v/>
      </c>
      <c r="J2108" s="388" t="str">
        <f ca="1">IFERROR(IF(VLOOKUP(C2108,' Disaggregation - Section E '!A$618:J2434,9,0)="","",VLOOKUP(C2108,' Disaggregation - Section E '!A$618:J2434,9,0)),"")</f>
        <v/>
      </c>
      <c r="K2108" s="384" t="str">
        <f ca="1">IFERROR(VLOOKUP(C2108,' Disaggregation - Section E '!A$618:J2434,3,0),"")</f>
        <v>KP-1a⁽ᴹ⁾ Percentage of men who have sex with men reached with HIV prevention programs - defined package of services</v>
      </c>
      <c r="L2108" s="384"/>
      <c r="M2108" s="384" t="str">
        <f ca="1">IFERROR(IF(VLOOKUP(C2108,' Disaggregation - Section E '!A$618:O1237,15,0)=0,"",VLOOKUP(C2108,' Disaggregation - Section E '!A$618:O1237,15,0)),"")</f>
        <v/>
      </c>
      <c r="N2108" s="388" t="str">
        <f ca="1">IFERROR(IF(VLOOKUP(C2108,' Disaggregation - Section E '!A$618:J2434,10,0)=0,"",VLOOKUP(C2108,' Disaggregation - Section E '!A$618:J2434,10,0)),"")</f>
        <v/>
      </c>
      <c r="O2108" s="384"/>
    </row>
    <row r="2109" spans="1:15" x14ac:dyDescent="0.3">
      <c r="A2109" s="384" t="b">
        <f t="shared" ca="1" si="135"/>
        <v>0</v>
      </c>
      <c r="B2109" s="384"/>
      <c r="C2109" s="393" t="str">
        <f ca="1">IF(COUNTA(O$1493:O2109)=1,"",OFFSET(B2107,-COUNTA(O$1493:O2109)+3,1))</f>
        <v>a16Dm000000LZZkIAO</v>
      </c>
      <c r="D2109" s="389"/>
      <c r="E2109" s="386" t="str">
        <f ca="1">IFERROR(IF(VLOOKUP(C2109,' Disaggregation - Section E '!A$618:J2435,7,0)="","",VLOOKUP(C2109,' Disaggregation - Section E '!A$618:J2435,7,0)*100),"")</f>
        <v/>
      </c>
      <c r="F2109" s="388" t="str">
        <f ca="1">IFERROR(VLOOKUP(C2109,' Disaggregation - Section E '!A$618:J2435,5,0),"")</f>
        <v/>
      </c>
      <c r="G2109" s="387" t="str">
        <f ca="1">IFERROR(IF(VLOOKUP(C2109,' Disaggregation - Section E '!A$618:J2435,6,0)="","",VLOOKUP(C2109,' Disaggregation - Section E '!A$618:J2435,6,0)),"")</f>
        <v/>
      </c>
      <c r="H2109" s="387" t="str">
        <f ca="1">IFERROR(IF(INDEX(' Disaggregation - Section E '!F$618:F2435,MATCH(C2109,' Disaggregation - Section E '!A$618:A2435,0)+1,1)&lt;&gt;0,INDEX(' Disaggregation - Section E '!F$618:F2435,MATCH(C2109,' Disaggregation - Section E '!A$618:A2435,0)+1,1),""),"")</f>
        <v/>
      </c>
      <c r="I2109" s="388" t="str">
        <f ca="1">IFERROR(IF(VLOOKUP(C2109,' Disaggregation - Section E '!A$618:J2435,8,0)=0,"",VLOOKUP(C2109,' Disaggregation - Section E '!A$618:J2435,8,0)),"")</f>
        <v/>
      </c>
      <c r="J2109" s="388" t="str">
        <f ca="1">IFERROR(IF(VLOOKUP(C2109,' Disaggregation - Section E '!A$618:J2435,9,0)="","",VLOOKUP(C2109,' Disaggregation - Section E '!A$618:J2435,9,0)),"")</f>
        <v/>
      </c>
      <c r="K2109" s="384" t="str">
        <f ca="1">IFERROR(VLOOKUP(C2109,' Disaggregation - Section E '!A$618:J2435,3,0),"")</f>
        <v>KP-1a⁽ᴹ⁾ Percentage of men who have sex with men reached with HIV prevention programs - defined package of services</v>
      </c>
      <c r="L2109" s="384"/>
      <c r="M2109" s="384" t="str">
        <f ca="1">IFERROR(IF(VLOOKUP(C2109,' Disaggregation - Section E '!A$618:O1238,15,0)=0,"",VLOOKUP(C2109,' Disaggregation - Section E '!A$618:O1238,15,0)),"")</f>
        <v/>
      </c>
      <c r="N2109" s="388" t="str">
        <f ca="1">IFERROR(IF(VLOOKUP(C2109,' Disaggregation - Section E '!A$618:J2435,10,0)=0,"",VLOOKUP(C2109,' Disaggregation - Section E '!A$618:J2435,10,0)),"")</f>
        <v/>
      </c>
      <c r="O2109" s="384"/>
    </row>
    <row r="2110" spans="1:15" x14ac:dyDescent="0.3">
      <c r="A2110" s="384" t="b">
        <f t="shared" ca="1" si="135"/>
        <v>0</v>
      </c>
      <c r="B2110" s="384"/>
      <c r="C2110" s="393" t="str">
        <f ca="1">IF(COUNTA(O$1493:O2110)=1,"",OFFSET(B2108,-COUNTA(O$1493:O2110)+3,1))</f>
        <v>a16Dm000000LZZlIAO</v>
      </c>
      <c r="D2110" s="389"/>
      <c r="E2110" s="386" t="str">
        <f ca="1">IFERROR(IF(VLOOKUP(C2110,' Disaggregation - Section E '!A$618:J2436,7,0)="","",VLOOKUP(C2110,' Disaggregation - Section E '!A$618:J2436,7,0)*100),"")</f>
        <v/>
      </c>
      <c r="F2110" s="388" t="str">
        <f ca="1">IFERROR(VLOOKUP(C2110,' Disaggregation - Section E '!A$618:J2436,5,0),"")</f>
        <v/>
      </c>
      <c r="G2110" s="387" t="str">
        <f ca="1">IFERROR(IF(VLOOKUP(C2110,' Disaggregation - Section E '!A$618:J2436,6,0)="","",VLOOKUP(C2110,' Disaggregation - Section E '!A$618:J2436,6,0)),"")</f>
        <v/>
      </c>
      <c r="H2110" s="387" t="str">
        <f ca="1">IFERROR(IF(INDEX(' Disaggregation - Section E '!F$618:F2436,MATCH(C2110,' Disaggregation - Section E '!A$618:A2436,0)+1,1)&lt;&gt;0,INDEX(' Disaggregation - Section E '!F$618:F2436,MATCH(C2110,' Disaggregation - Section E '!A$618:A2436,0)+1,1),""),"")</f>
        <v/>
      </c>
      <c r="I2110" s="388" t="str">
        <f ca="1">IFERROR(IF(VLOOKUP(C2110,' Disaggregation - Section E '!A$618:J2436,8,0)=0,"",VLOOKUP(C2110,' Disaggregation - Section E '!A$618:J2436,8,0)),"")</f>
        <v/>
      </c>
      <c r="J2110" s="388" t="str">
        <f ca="1">IFERROR(IF(VLOOKUP(C2110,' Disaggregation - Section E '!A$618:J2436,9,0)="","",VLOOKUP(C2110,' Disaggregation - Section E '!A$618:J2436,9,0)),"")</f>
        <v/>
      </c>
      <c r="K2110" s="384" t="str">
        <f ca="1">IFERROR(VLOOKUP(C2110,' Disaggregation - Section E '!A$618:J2436,3,0),"")</f>
        <v>KP-1a⁽ᴹ⁾ Percentage of men who have sex with men reached with HIV prevention programs - defined package of services</v>
      </c>
      <c r="L2110" s="384"/>
      <c r="M2110" s="384" t="str">
        <f ca="1">IFERROR(IF(VLOOKUP(C2110,' Disaggregation - Section E '!A$618:O1239,15,0)=0,"",VLOOKUP(C2110,' Disaggregation - Section E '!A$618:O1239,15,0)),"")</f>
        <v/>
      </c>
      <c r="N2110" s="388" t="str">
        <f ca="1">IFERROR(IF(VLOOKUP(C2110,' Disaggregation - Section E '!A$618:J2436,10,0)=0,"",VLOOKUP(C2110,' Disaggregation - Section E '!A$618:J2436,10,0)),"")</f>
        <v/>
      </c>
      <c r="O2110" s="384"/>
    </row>
    <row r="2111" spans="1:15" x14ac:dyDescent="0.3">
      <c r="A2111" s="384" t="b">
        <f t="shared" ca="1" si="135"/>
        <v>0</v>
      </c>
      <c r="B2111" s="384"/>
      <c r="C2111" s="393" t="str">
        <f ca="1">IF(COUNTA(O$1493:O2111)=1,"",OFFSET(B2109,-COUNTA(O$1493:O2111)+3,1))</f>
        <v>a16Dm000000LZZmIAO</v>
      </c>
      <c r="D2111" s="389"/>
      <c r="E2111" s="386" t="str">
        <f ca="1">IFERROR(IF(VLOOKUP(C2111,' Disaggregation - Section E '!A$618:J2437,7,0)="","",VLOOKUP(C2111,' Disaggregation - Section E '!A$618:J2437,7,0)*100),"")</f>
        <v/>
      </c>
      <c r="F2111" s="388" t="str">
        <f ca="1">IFERROR(VLOOKUP(C2111,' Disaggregation - Section E '!A$618:J2437,5,0),"")</f>
        <v/>
      </c>
      <c r="G2111" s="387" t="str">
        <f ca="1">IFERROR(IF(VLOOKUP(C2111,' Disaggregation - Section E '!A$618:J2437,6,0)="","",VLOOKUP(C2111,' Disaggregation - Section E '!A$618:J2437,6,0)),"")</f>
        <v/>
      </c>
      <c r="H2111" s="387" t="str">
        <f ca="1">IFERROR(IF(INDEX(' Disaggregation - Section E '!F$618:F2437,MATCH(C2111,' Disaggregation - Section E '!A$618:A2437,0)+1,1)&lt;&gt;0,INDEX(' Disaggregation - Section E '!F$618:F2437,MATCH(C2111,' Disaggregation - Section E '!A$618:A2437,0)+1,1),""),"")</f>
        <v/>
      </c>
      <c r="I2111" s="388" t="str">
        <f ca="1">IFERROR(IF(VLOOKUP(C2111,' Disaggregation - Section E '!A$618:J2437,8,0)=0,"",VLOOKUP(C2111,' Disaggregation - Section E '!A$618:J2437,8,0)),"")</f>
        <v/>
      </c>
      <c r="J2111" s="388" t="str">
        <f ca="1">IFERROR(IF(VLOOKUP(C2111,' Disaggregation - Section E '!A$618:J2437,9,0)="","",VLOOKUP(C2111,' Disaggregation - Section E '!A$618:J2437,9,0)),"")</f>
        <v/>
      </c>
      <c r="K2111" s="384" t="str">
        <f ca="1">IFERROR(VLOOKUP(C2111,' Disaggregation - Section E '!A$618:J2437,3,0),"")</f>
        <v>KP-1a⁽ᴹ⁾ Percentage of men who have sex with men reached with HIV prevention programs - defined package of services</v>
      </c>
      <c r="L2111" s="384"/>
      <c r="M2111" s="384" t="str">
        <f ca="1">IFERROR(IF(VLOOKUP(C2111,' Disaggregation - Section E '!A$618:O1240,15,0)=0,"",VLOOKUP(C2111,' Disaggregation - Section E '!A$618:O1240,15,0)),"")</f>
        <v/>
      </c>
      <c r="N2111" s="388" t="str">
        <f ca="1">IFERROR(IF(VLOOKUP(C2111,' Disaggregation - Section E '!A$618:J2437,10,0)=0,"",VLOOKUP(C2111,' Disaggregation - Section E '!A$618:J2437,10,0)),"")</f>
        <v/>
      </c>
      <c r="O2111" s="384"/>
    </row>
    <row r="2112" spans="1:15" x14ac:dyDescent="0.3">
      <c r="A2112" s="384" t="b">
        <f t="shared" ca="1" si="135"/>
        <v>0</v>
      </c>
      <c r="B2112" s="384"/>
      <c r="C2112" s="393" t="str">
        <f ca="1">IF(COUNTA(O$1493:O2112)=1,"",OFFSET(B2110,-COUNTA(O$1493:O2112)+3,1))</f>
        <v>a16Dm000000LZZnIAO</v>
      </c>
      <c r="D2112" s="389"/>
      <c r="E2112" s="386" t="str">
        <f ca="1">IFERROR(IF(VLOOKUP(C2112,' Disaggregation - Section E '!A$618:J2438,7,0)="","",VLOOKUP(C2112,' Disaggregation - Section E '!A$618:J2438,7,0)*100),"")</f>
        <v/>
      </c>
      <c r="F2112" s="388" t="str">
        <f ca="1">IFERROR(VLOOKUP(C2112,' Disaggregation - Section E '!A$618:J2438,5,0),"")</f>
        <v/>
      </c>
      <c r="G2112" s="387" t="str">
        <f ca="1">IFERROR(IF(VLOOKUP(C2112,' Disaggregation - Section E '!A$618:J2438,6,0)="","",VLOOKUP(C2112,' Disaggregation - Section E '!A$618:J2438,6,0)),"")</f>
        <v/>
      </c>
      <c r="H2112" s="387" t="str">
        <f ca="1">IFERROR(IF(INDEX(' Disaggregation - Section E '!F$618:F2438,MATCH(C2112,' Disaggregation - Section E '!A$618:A2438,0)+1,1)&lt;&gt;0,INDEX(' Disaggregation - Section E '!F$618:F2438,MATCH(C2112,' Disaggregation - Section E '!A$618:A2438,0)+1,1),""),"")</f>
        <v/>
      </c>
      <c r="I2112" s="388" t="str">
        <f ca="1">IFERROR(IF(VLOOKUP(C2112,' Disaggregation - Section E '!A$618:J2438,8,0)=0,"",VLOOKUP(C2112,' Disaggregation - Section E '!A$618:J2438,8,0)),"")</f>
        <v/>
      </c>
      <c r="J2112" s="388" t="str">
        <f ca="1">IFERROR(IF(VLOOKUP(C2112,' Disaggregation - Section E '!A$618:J2438,9,0)="","",VLOOKUP(C2112,' Disaggregation - Section E '!A$618:J2438,9,0)),"")</f>
        <v/>
      </c>
      <c r="K2112" s="384" t="str">
        <f ca="1">IFERROR(VLOOKUP(C2112,' Disaggregation - Section E '!A$618:J2438,3,0),"")</f>
        <v>KP-1a⁽ᴹ⁾ Percentage of men who have sex with men reached with HIV prevention programs - defined package of services</v>
      </c>
      <c r="L2112" s="384"/>
      <c r="M2112" s="384" t="str">
        <f ca="1">IFERROR(IF(VLOOKUP(C2112,' Disaggregation - Section E '!A$618:O1241,15,0)=0,"",VLOOKUP(C2112,' Disaggregation - Section E '!A$618:O1241,15,0)),"")</f>
        <v/>
      </c>
      <c r="N2112" s="388" t="str">
        <f ca="1">IFERROR(IF(VLOOKUP(C2112,' Disaggregation - Section E '!A$618:J2438,10,0)=0,"",VLOOKUP(C2112,' Disaggregation - Section E '!A$618:J2438,10,0)),"")</f>
        <v/>
      </c>
      <c r="O2112" s="384"/>
    </row>
    <row r="2113" spans="1:15" x14ac:dyDescent="0.3">
      <c r="A2113" s="384" t="b">
        <f t="shared" ca="1" si="135"/>
        <v>0</v>
      </c>
      <c r="B2113" s="384"/>
      <c r="C2113" s="393" t="str">
        <f ca="1">IF(COUNTA(O$1493:O2113)=1,"",OFFSET(B2111,-COUNTA(O$1493:O2113)+3,1))</f>
        <v>a16Dm000000LZZoIAO</v>
      </c>
      <c r="D2113" s="389"/>
      <c r="E2113" s="386" t="str">
        <f ca="1">IFERROR(IF(VLOOKUP(C2113,' Disaggregation - Section E '!A$618:J2439,7,0)="","",VLOOKUP(C2113,' Disaggregation - Section E '!A$618:J2439,7,0)*100),"")</f>
        <v/>
      </c>
      <c r="F2113" s="388" t="str">
        <f ca="1">IFERROR(VLOOKUP(C2113,' Disaggregation - Section E '!A$618:J2439,5,0),"")</f>
        <v/>
      </c>
      <c r="G2113" s="387" t="str">
        <f ca="1">IFERROR(IF(VLOOKUP(C2113,' Disaggregation - Section E '!A$618:J2439,6,0)="","",VLOOKUP(C2113,' Disaggregation - Section E '!A$618:J2439,6,0)),"")</f>
        <v/>
      </c>
      <c r="H2113" s="387" t="str">
        <f ca="1">IFERROR(IF(INDEX(' Disaggregation - Section E '!F$618:F2439,MATCH(C2113,' Disaggregation - Section E '!A$618:A2439,0)+1,1)&lt;&gt;0,INDEX(' Disaggregation - Section E '!F$618:F2439,MATCH(C2113,' Disaggregation - Section E '!A$618:A2439,0)+1,1),""),"")</f>
        <v/>
      </c>
      <c r="I2113" s="388" t="str">
        <f ca="1">IFERROR(IF(VLOOKUP(C2113,' Disaggregation - Section E '!A$618:J2439,8,0)=0,"",VLOOKUP(C2113,' Disaggregation - Section E '!A$618:J2439,8,0)),"")</f>
        <v/>
      </c>
      <c r="J2113" s="388" t="str">
        <f ca="1">IFERROR(IF(VLOOKUP(C2113,' Disaggregation - Section E '!A$618:J2439,9,0)="","",VLOOKUP(C2113,' Disaggregation - Section E '!A$618:J2439,9,0)),"")</f>
        <v/>
      </c>
      <c r="K2113" s="384" t="str">
        <f ca="1">IFERROR(VLOOKUP(C2113,' Disaggregation - Section E '!A$618:J2439,3,0),"")</f>
        <v>KP-1a⁽ᴹ⁾ Percentage of men who have sex with men reached with HIV prevention programs - defined package of services</v>
      </c>
      <c r="L2113" s="384"/>
      <c r="M2113" s="384" t="str">
        <f ca="1">IFERROR(IF(VLOOKUP(C2113,' Disaggregation - Section E '!A$618:O1242,15,0)=0,"",VLOOKUP(C2113,' Disaggregation - Section E '!A$618:O1242,15,0)),"")</f>
        <v/>
      </c>
      <c r="N2113" s="388" t="str">
        <f ca="1">IFERROR(IF(VLOOKUP(C2113,' Disaggregation - Section E '!A$618:J2439,10,0)=0,"",VLOOKUP(C2113,' Disaggregation - Section E '!A$618:J2439,10,0)),"")</f>
        <v/>
      </c>
      <c r="O2113" s="384"/>
    </row>
    <row r="2114" spans="1:15" x14ac:dyDescent="0.3">
      <c r="A2114" s="384" t="b">
        <f t="shared" ca="1" si="135"/>
        <v>0</v>
      </c>
      <c r="B2114" s="384"/>
      <c r="C2114" s="393" t="str">
        <f ca="1">IF(COUNTA(O$1493:O2114)=1,"",OFFSET(B2112,-COUNTA(O$1493:O2114)+3,1))</f>
        <v>a16Dm000000LZZpIAO</v>
      </c>
      <c r="D2114" s="389"/>
      <c r="E2114" s="386" t="str">
        <f ca="1">IFERROR(IF(VLOOKUP(C2114,' Disaggregation - Section E '!A$618:J2440,7,0)="","",VLOOKUP(C2114,' Disaggregation - Section E '!A$618:J2440,7,0)*100),"")</f>
        <v/>
      </c>
      <c r="F2114" s="388" t="str">
        <f ca="1">IFERROR(VLOOKUP(C2114,' Disaggregation - Section E '!A$618:J2440,5,0),"")</f>
        <v/>
      </c>
      <c r="G2114" s="387" t="str">
        <f ca="1">IFERROR(IF(VLOOKUP(C2114,' Disaggregation - Section E '!A$618:J2440,6,0)="","",VLOOKUP(C2114,' Disaggregation - Section E '!A$618:J2440,6,0)),"")</f>
        <v/>
      </c>
      <c r="H2114" s="387" t="str">
        <f ca="1">IFERROR(IF(INDEX(' Disaggregation - Section E '!F$618:F2440,MATCH(C2114,' Disaggregation - Section E '!A$618:A2440,0)+1,1)&lt;&gt;0,INDEX(' Disaggregation - Section E '!F$618:F2440,MATCH(C2114,' Disaggregation - Section E '!A$618:A2440,0)+1,1),""),"")</f>
        <v/>
      </c>
      <c r="I2114" s="388" t="str">
        <f ca="1">IFERROR(IF(VLOOKUP(C2114,' Disaggregation - Section E '!A$618:J2440,8,0)=0,"",VLOOKUP(C2114,' Disaggregation - Section E '!A$618:J2440,8,0)),"")</f>
        <v/>
      </c>
      <c r="J2114" s="388" t="str">
        <f ca="1">IFERROR(IF(VLOOKUP(C2114,' Disaggregation - Section E '!A$618:J2440,9,0)="","",VLOOKUP(C2114,' Disaggregation - Section E '!A$618:J2440,9,0)),"")</f>
        <v/>
      </c>
      <c r="K2114" s="384" t="str">
        <f ca="1">IFERROR(VLOOKUP(C2114,' Disaggregation - Section E '!A$618:J2440,3,0),"")</f>
        <v>KP-1a⁽ᴹ⁾ Percentage of men who have sex with men reached with HIV prevention programs - defined package of services</v>
      </c>
      <c r="L2114" s="384"/>
      <c r="M2114" s="384" t="str">
        <f ca="1">IFERROR(IF(VLOOKUP(C2114,' Disaggregation - Section E '!A$618:O1243,15,0)=0,"",VLOOKUP(C2114,' Disaggregation - Section E '!A$618:O1243,15,0)),"")</f>
        <v/>
      </c>
      <c r="N2114" s="388" t="str">
        <f ca="1">IFERROR(IF(VLOOKUP(C2114,' Disaggregation - Section E '!A$618:J2440,10,0)=0,"",VLOOKUP(C2114,' Disaggregation - Section E '!A$618:J2440,10,0)),"")</f>
        <v/>
      </c>
      <c r="O2114" s="384"/>
    </row>
    <row r="2115" spans="1:15" x14ac:dyDescent="0.3">
      <c r="A2115" s="384" t="b">
        <f t="shared" ca="1" si="135"/>
        <v>1</v>
      </c>
      <c r="B2115" s="384"/>
      <c r="C2115" s="393" t="str">
        <f ca="1">IF(COUNTA(O$1493:O2115)=1,"",OFFSET(B2113,-COUNTA(O$1493:O2115)+3,1))</f>
        <v>a16Dm000000LZZqIAO</v>
      </c>
      <c r="D2115" s="389"/>
      <c r="E2115" s="386" t="str">
        <f ca="1">IFERROR(IF(VLOOKUP(C2115,' Disaggregation - Section E '!A$618:J2441,7,0)="","",VLOOKUP(C2115,' Disaggregation - Section E '!A$618:J2441,7,0)*100),"")</f>
        <v/>
      </c>
      <c r="F2115" s="388" t="str">
        <f ca="1">IFERROR(VLOOKUP(C2115,' Disaggregation - Section E '!A$618:J2441,5,0),"")</f>
        <v>25+</v>
      </c>
      <c r="G2115" s="387">
        <f ca="1">IFERROR(IF(VLOOKUP(C2115,' Disaggregation - Section E '!A$618:J2441,6,0)="","",VLOOKUP(C2115,' Disaggregation - Section E '!A$618:J2441,6,0)),"")</f>
        <v>4014</v>
      </c>
      <c r="H2115" s="387" t="str">
        <f ca="1">IFERROR(IF(INDEX(' Disaggregation - Section E '!F$618:F2441,MATCH(C2115,' Disaggregation - Section E '!A$618:A2441,0)+1,1)&lt;&gt;0,INDEX(' Disaggregation - Section E '!F$618:F2441,MATCH(C2115,' Disaggregation - Section E '!A$618:A2441,0)+1,1),""),"")</f>
        <v/>
      </c>
      <c r="I2115" s="388">
        <f ca="1">IFERROR(IF(VLOOKUP(C2115,' Disaggregation - Section E '!A$618:J2441,8,0)=0,"",VLOOKUP(C2115,' Disaggregation - Section E '!A$618:J2441,8,0)),"")</f>
        <v>2022</v>
      </c>
      <c r="J2115" s="388" t="str">
        <f ca="1">IFERROR(IF(VLOOKUP(C2115,' Disaggregation - Section E '!A$618:J2441,9,0)="","",VLOOKUP(C2115,' Disaggregation - Section E '!A$618:J2441,9,0)),"")</f>
        <v>Admistrative report</v>
      </c>
      <c r="K2115" s="384" t="str">
        <f ca="1">IFERROR(VLOOKUP(C2115,' Disaggregation - Section E '!A$618:J2441,3,0),"")</f>
        <v>KP-1c⁽ᴹ⁾ Percentage of sex workers reached with HIV prevention programs - defined package of services</v>
      </c>
      <c r="L2115" s="384"/>
      <c r="M2115" s="384" t="str">
        <f ca="1">IFERROR(IF(VLOOKUP(C2115,' Disaggregation - Section E '!A$618:O1244,15,0)=0,"",VLOOKUP(C2115,' Disaggregation - Section E '!A$618:O1244,15,0)),"")</f>
        <v>IDR-01202</v>
      </c>
      <c r="N2115" s="388" t="str">
        <f ca="1">IFERROR(IF(VLOOKUP(C2115,' Disaggregation - Section E '!A$618:J2441,10,0)=0,"",VLOOKUP(C2115,' Disaggregation - Section E '!A$618:J2441,10,0)),"")</f>
        <v>IBBS among SW began in 2022, and at the moment of PUDR submission, data analysis is not finalized. According to preliminary data, - HIV prevalence among SWs is 3.38%.There is no data on the estimated number of SW by age group</v>
      </c>
      <c r="O2115" s="384"/>
    </row>
    <row r="2116" spans="1:15" x14ac:dyDescent="0.3">
      <c r="A2116" s="384" t="b">
        <f t="shared" ca="1" si="135"/>
        <v>1</v>
      </c>
      <c r="B2116" s="384"/>
      <c r="C2116" s="393" t="str">
        <f ca="1">IF(COUNTA(O$1493:O2116)=1,"",OFFSET(B2114,-COUNTA(O$1493:O2116)+3,1))</f>
        <v>a16Dm000000LZZrIAO</v>
      </c>
      <c r="D2116" s="389"/>
      <c r="E2116" s="386" t="str">
        <f ca="1">IFERROR(IF(VLOOKUP(C2116,' Disaggregation - Section E '!A$618:J2442,7,0)="","",VLOOKUP(C2116,' Disaggregation - Section E '!A$618:J2442,7,0)*100),"")</f>
        <v/>
      </c>
      <c r="F2116" s="388" t="str">
        <f ca="1">IFERROR(VLOOKUP(C2116,' Disaggregation - Section E '!A$618:J2442,5,0),"")</f>
        <v>20-24</v>
      </c>
      <c r="G2116" s="387">
        <f ca="1">IFERROR(IF(VLOOKUP(C2116,' Disaggregation - Section E '!A$618:J2442,6,0)="","",VLOOKUP(C2116,' Disaggregation - Section E '!A$618:J2442,6,0)),"")</f>
        <v>558</v>
      </c>
      <c r="H2116" s="387" t="str">
        <f ca="1">IFERROR(IF(INDEX(' Disaggregation - Section E '!F$618:F2442,MATCH(C2116,' Disaggregation - Section E '!A$618:A2442,0)+1,1)&lt;&gt;0,INDEX(' Disaggregation - Section E '!F$618:F2442,MATCH(C2116,' Disaggregation - Section E '!A$618:A2442,0)+1,1),""),"")</f>
        <v/>
      </c>
      <c r="I2116" s="388">
        <f ca="1">IFERROR(IF(VLOOKUP(C2116,' Disaggregation - Section E '!A$618:J2442,8,0)=0,"",VLOOKUP(C2116,' Disaggregation - Section E '!A$618:J2442,8,0)),"")</f>
        <v>2022</v>
      </c>
      <c r="J2116" s="388" t="str">
        <f ca="1">IFERROR(IF(VLOOKUP(C2116,' Disaggregation - Section E '!A$618:J2442,9,0)="","",VLOOKUP(C2116,' Disaggregation - Section E '!A$618:J2442,9,0)),"")</f>
        <v>Admistrative report</v>
      </c>
      <c r="K2116" s="384" t="str">
        <f ca="1">IFERROR(VLOOKUP(C2116,' Disaggregation - Section E '!A$618:J2442,3,0),"")</f>
        <v>KP-1c⁽ᴹ⁾ Percentage of sex workers reached with HIV prevention programs - defined package of services</v>
      </c>
      <c r="L2116" s="384"/>
      <c r="M2116" s="384" t="str">
        <f ca="1">IFERROR(IF(VLOOKUP(C2116,' Disaggregation - Section E '!A$618:O1245,15,0)=0,"",VLOOKUP(C2116,' Disaggregation - Section E '!A$618:O1245,15,0)),"")</f>
        <v>IDR-01201</v>
      </c>
      <c r="N2116" s="388" t="str">
        <f ca="1">IFERROR(IF(VLOOKUP(C2116,' Disaggregation - Section E '!A$618:J2442,10,0)=0,"",VLOOKUP(C2116,' Disaggregation - Section E '!A$618:J2442,10,0)),"")</f>
        <v>IBBS among SW began in 2022, and at the moment of PUDR submission, data analysis is not finalized. According to preliminary data, - HIV prevalence among SWs is 3.38%.There is no data on the estimated number of SW by age group</v>
      </c>
      <c r="O2116" s="384"/>
    </row>
    <row r="2117" spans="1:15" x14ac:dyDescent="0.3">
      <c r="A2117" s="384" t="b">
        <f t="shared" ca="1" si="135"/>
        <v>1</v>
      </c>
      <c r="B2117" s="384"/>
      <c r="C2117" s="393" t="str">
        <f ca="1">IF(COUNTA(O$1493:O2117)=1,"",OFFSET(B2115,-COUNTA(O$1493:O2117)+3,1))</f>
        <v>a16Dm000000LZZsIAO</v>
      </c>
      <c r="D2117" s="389"/>
      <c r="E2117" s="386" t="str">
        <f ca="1">IFERROR(IF(VLOOKUP(C2117,' Disaggregation - Section E '!A$618:J2443,7,0)="","",VLOOKUP(C2117,' Disaggregation - Section E '!A$618:J2443,7,0)*100),"")</f>
        <v/>
      </c>
      <c r="F2117" s="388" t="str">
        <f ca="1">IFERROR(VLOOKUP(C2117,' Disaggregation - Section E '!A$618:J2443,5,0),"")</f>
        <v>15-19</v>
      </c>
      <c r="G2117" s="387">
        <f ca="1">IFERROR(IF(VLOOKUP(C2117,' Disaggregation - Section E '!A$618:J2443,6,0)="","",VLOOKUP(C2117,' Disaggregation - Section E '!A$618:J2443,6,0)),"")</f>
        <v>53</v>
      </c>
      <c r="H2117" s="387" t="str">
        <f ca="1">IFERROR(IF(INDEX(' Disaggregation - Section E '!F$618:F2443,MATCH(C2117,' Disaggregation - Section E '!A$618:A2443,0)+1,1)&lt;&gt;0,INDEX(' Disaggregation - Section E '!F$618:F2443,MATCH(C2117,' Disaggregation - Section E '!A$618:A2443,0)+1,1),""),"")</f>
        <v/>
      </c>
      <c r="I2117" s="388">
        <f ca="1">IFERROR(IF(VLOOKUP(C2117,' Disaggregation - Section E '!A$618:J2443,8,0)=0,"",VLOOKUP(C2117,' Disaggregation - Section E '!A$618:J2443,8,0)),"")</f>
        <v>2022</v>
      </c>
      <c r="J2117" s="388" t="str">
        <f ca="1">IFERROR(IF(VLOOKUP(C2117,' Disaggregation - Section E '!A$618:J2443,9,0)="","",VLOOKUP(C2117,' Disaggregation - Section E '!A$618:J2443,9,0)),"")</f>
        <v>Admistrative report</v>
      </c>
      <c r="K2117" s="384" t="str">
        <f ca="1">IFERROR(VLOOKUP(C2117,' Disaggregation - Section E '!A$618:J2443,3,0),"")</f>
        <v>KP-1c⁽ᴹ⁾ Percentage of sex workers reached with HIV prevention programs - defined package of services</v>
      </c>
      <c r="L2117" s="384"/>
      <c r="M2117" s="384" t="str">
        <f ca="1">IFERROR(IF(VLOOKUP(C2117,' Disaggregation - Section E '!A$618:O1246,15,0)=0,"",VLOOKUP(C2117,' Disaggregation - Section E '!A$618:O1246,15,0)),"")</f>
        <v>IDR-01200</v>
      </c>
      <c r="N2117" s="388" t="str">
        <f ca="1">IFERROR(IF(VLOOKUP(C2117,' Disaggregation - Section E '!A$618:J2443,10,0)=0,"",VLOOKUP(C2117,' Disaggregation - Section E '!A$618:J2443,10,0)),"")</f>
        <v>IBBS among SW began in 2022, and at the moment of PUDR submission, data analysis is not finalized. According to preliminary data, - HIV prevalence among SWs is 3.38%.There is no data on the estimated number of SW by age group</v>
      </c>
      <c r="O2117" s="384"/>
    </row>
    <row r="2118" spans="1:15" x14ac:dyDescent="0.3">
      <c r="A2118" s="384" t="b">
        <f t="shared" ca="1" si="135"/>
        <v>1</v>
      </c>
      <c r="B2118" s="384"/>
      <c r="C2118" s="393" t="str">
        <f ca="1">IF(COUNTA(O$1493:O2118)=1,"",OFFSET(B2116,-COUNTA(O$1493:O2118)+3,1))</f>
        <v>a16Dm000000LZZtIAO</v>
      </c>
      <c r="D2118" s="389"/>
      <c r="E2118" s="386" t="str">
        <f ca="1">IFERROR(IF(VLOOKUP(C2118,' Disaggregation - Section E '!A$618:J2444,7,0)="","",VLOOKUP(C2118,' Disaggregation - Section E '!A$618:J2444,7,0)*100),"")</f>
        <v/>
      </c>
      <c r="F2118" s="388" t="str">
        <f ca="1">IFERROR(VLOOKUP(C2118,' Disaggregation - Section E '!A$618:J2444,5,0),"")</f>
        <v>Transgender</v>
      </c>
      <c r="G2118" s="387">
        <f ca="1">IFERROR(IF(VLOOKUP(C2118,' Disaggregation - Section E '!A$618:J2444,6,0)="","",VLOOKUP(C2118,' Disaggregation - Section E '!A$618:J2444,6,0)),"")</f>
        <v>18</v>
      </c>
      <c r="H2118" s="387" t="str">
        <f ca="1">IFERROR(IF(INDEX(' Disaggregation - Section E '!F$618:F2444,MATCH(C2118,' Disaggregation - Section E '!A$618:A2444,0)+1,1)&lt;&gt;0,INDEX(' Disaggregation - Section E '!F$618:F2444,MATCH(C2118,' Disaggregation - Section E '!A$618:A2444,0)+1,1),""),"")</f>
        <v/>
      </c>
      <c r="I2118" s="388">
        <f ca="1">IFERROR(IF(VLOOKUP(C2118,' Disaggregation - Section E '!A$618:J2444,8,0)=0,"",VLOOKUP(C2118,' Disaggregation - Section E '!A$618:J2444,8,0)),"")</f>
        <v>2022</v>
      </c>
      <c r="J2118" s="388" t="str">
        <f ca="1">IFERROR(IF(VLOOKUP(C2118,' Disaggregation - Section E '!A$618:J2444,9,0)="","",VLOOKUP(C2118,' Disaggregation - Section E '!A$618:J2444,9,0)),"")</f>
        <v>Admistrative report</v>
      </c>
      <c r="K2118" s="384" t="str">
        <f ca="1">IFERROR(VLOOKUP(C2118,' Disaggregation - Section E '!A$618:J2444,3,0),"")</f>
        <v>KP-1c⁽ᴹ⁾ Percentage of sex workers reached with HIV prevention programs - defined package of services</v>
      </c>
      <c r="L2118" s="384"/>
      <c r="M2118" s="384" t="str">
        <f ca="1">IFERROR(IF(VLOOKUP(C2118,' Disaggregation - Section E '!A$618:O1247,15,0)=0,"",VLOOKUP(C2118,' Disaggregation - Section E '!A$618:O1247,15,0)),"")</f>
        <v>IDR-01199</v>
      </c>
      <c r="N2118" s="388" t="str">
        <f ca="1">IFERROR(IF(VLOOKUP(C2118,' Disaggregation - Section E '!A$618:J2444,10,0)=0,"",VLOOKUP(C2118,' Disaggregation - Section E '!A$618:J2444,10,0)),"")</f>
        <v>IBBS among SW began in 2022, and at the moment of PUDR submission, data analysis is not finalized. According to preliminary data, - HIV prevalence among SWs is 3.38%.There is no data on the estimated number of SW by age group</v>
      </c>
      <c r="O2118" s="384"/>
    </row>
    <row r="2119" spans="1:15" x14ac:dyDescent="0.3">
      <c r="A2119" s="384" t="b">
        <f t="shared" ca="1" si="135"/>
        <v>1</v>
      </c>
      <c r="B2119" s="384"/>
      <c r="C2119" s="393" t="str">
        <f ca="1">IF(COUNTA(O$1493:O2119)=1,"",OFFSET(B2117,-COUNTA(O$1493:O2119)+3,1))</f>
        <v>a16Dm000000LZZuIAO</v>
      </c>
      <c r="D2119" s="389"/>
      <c r="E2119" s="386" t="str">
        <f ca="1">IFERROR(IF(VLOOKUP(C2119,' Disaggregation - Section E '!A$618:J2445,7,0)="","",VLOOKUP(C2119,' Disaggregation - Section E '!A$618:J2445,7,0)*100),"")</f>
        <v/>
      </c>
      <c r="F2119" s="388" t="str">
        <f ca="1">IFERROR(VLOOKUP(C2119,' Disaggregation - Section E '!A$618:J2445,5,0),"")</f>
        <v>Male</v>
      </c>
      <c r="G2119" s="387">
        <f ca="1">IFERROR(IF(VLOOKUP(C2119,' Disaggregation - Section E '!A$618:J2445,6,0)="","",VLOOKUP(C2119,' Disaggregation - Section E '!A$618:J2445,6,0)),"")</f>
        <v>21</v>
      </c>
      <c r="H2119" s="387" t="str">
        <f ca="1">IFERROR(IF(INDEX(' Disaggregation - Section E '!F$618:F2445,MATCH(C2119,' Disaggregation - Section E '!A$618:A2445,0)+1,1)&lt;&gt;0,INDEX(' Disaggregation - Section E '!F$618:F2445,MATCH(C2119,' Disaggregation - Section E '!A$618:A2445,0)+1,1),""),"")</f>
        <v/>
      </c>
      <c r="I2119" s="388">
        <f ca="1">IFERROR(IF(VLOOKUP(C2119,' Disaggregation - Section E '!A$618:J2445,8,0)=0,"",VLOOKUP(C2119,' Disaggregation - Section E '!A$618:J2445,8,0)),"")</f>
        <v>2022</v>
      </c>
      <c r="J2119" s="388" t="str">
        <f ca="1">IFERROR(IF(VLOOKUP(C2119,' Disaggregation - Section E '!A$618:J2445,9,0)="","",VLOOKUP(C2119,' Disaggregation - Section E '!A$618:J2445,9,0)),"")</f>
        <v>Admistrative report</v>
      </c>
      <c r="K2119" s="384" t="str">
        <f ca="1">IFERROR(VLOOKUP(C2119,' Disaggregation - Section E '!A$618:J2445,3,0),"")</f>
        <v>KP-1c⁽ᴹ⁾ Percentage of sex workers reached with HIV prevention programs - defined package of services</v>
      </c>
      <c r="L2119" s="384"/>
      <c r="M2119" s="384" t="str">
        <f ca="1">IFERROR(IF(VLOOKUP(C2119,' Disaggregation - Section E '!A$618:O1248,15,0)=0,"",VLOOKUP(C2119,' Disaggregation - Section E '!A$618:O1248,15,0)),"")</f>
        <v>IDR-01198</v>
      </c>
      <c r="N2119" s="388" t="str">
        <f ca="1">IFERROR(IF(VLOOKUP(C2119,' Disaggregation - Section E '!A$618:J2445,10,0)=0,"",VLOOKUP(C2119,' Disaggregation - Section E '!A$618:J2445,10,0)),"")</f>
        <v>IBBS among SW began in 2022, and at the moment of PUDR submission, data analysis is not finalized. According to preliminary data, - HIV prevalence among SWs is 3.38%.There is no data on the estimated number of SW by age group</v>
      </c>
      <c r="O2119" s="384"/>
    </row>
    <row r="2120" spans="1:15" x14ac:dyDescent="0.3">
      <c r="A2120" s="384" t="b">
        <f t="shared" ca="1" si="135"/>
        <v>1</v>
      </c>
      <c r="B2120" s="384"/>
      <c r="C2120" s="393" t="str">
        <f ca="1">IF(COUNTA(O$1493:O2120)=1,"",OFFSET(B2118,-COUNTA(O$1493:O2120)+3,1))</f>
        <v>a16Dm000000LZZvIAO</v>
      </c>
      <c r="D2120" s="389"/>
      <c r="E2120" s="386" t="str">
        <f ca="1">IFERROR(IF(VLOOKUP(C2120,' Disaggregation - Section E '!A$618:J2446,7,0)="","",VLOOKUP(C2120,' Disaggregation - Section E '!A$618:J2446,7,0)*100),"")</f>
        <v/>
      </c>
      <c r="F2120" s="388" t="str">
        <f ca="1">IFERROR(VLOOKUP(C2120,' Disaggregation - Section E '!A$618:J2446,5,0),"")</f>
        <v>Female</v>
      </c>
      <c r="G2120" s="387">
        <f ca="1">IFERROR(IF(VLOOKUP(C2120,' Disaggregation - Section E '!A$618:J2446,6,0)="","",VLOOKUP(C2120,' Disaggregation - Section E '!A$618:J2446,6,0)),"")</f>
        <v>4586</v>
      </c>
      <c r="H2120" s="387" t="str">
        <f ca="1">IFERROR(IF(INDEX(' Disaggregation - Section E '!F$618:F2446,MATCH(C2120,' Disaggregation - Section E '!A$618:A2446,0)+1,1)&lt;&gt;0,INDEX(' Disaggregation - Section E '!F$618:F2446,MATCH(C2120,' Disaggregation - Section E '!A$618:A2446,0)+1,1),""),"")</f>
        <v/>
      </c>
      <c r="I2120" s="388">
        <f ca="1">IFERROR(IF(VLOOKUP(C2120,' Disaggregation - Section E '!A$618:J2446,8,0)=0,"",VLOOKUP(C2120,' Disaggregation - Section E '!A$618:J2446,8,0)),"")</f>
        <v>2022</v>
      </c>
      <c r="J2120" s="388" t="str">
        <f ca="1">IFERROR(IF(VLOOKUP(C2120,' Disaggregation - Section E '!A$618:J2446,9,0)="","",VLOOKUP(C2120,' Disaggregation - Section E '!A$618:J2446,9,0)),"")</f>
        <v>Admistrative report</v>
      </c>
      <c r="K2120" s="384" t="str">
        <f ca="1">IFERROR(VLOOKUP(C2120,' Disaggregation - Section E '!A$618:J2446,3,0),"")</f>
        <v>KP-1c⁽ᴹ⁾ Percentage of sex workers reached with HIV prevention programs - defined package of services</v>
      </c>
      <c r="L2120" s="384"/>
      <c r="M2120" s="384" t="str">
        <f ca="1">IFERROR(IF(VLOOKUP(C2120,' Disaggregation - Section E '!A$618:O1249,15,0)=0,"",VLOOKUP(C2120,' Disaggregation - Section E '!A$618:O1249,15,0)),"")</f>
        <v>IDR-01197</v>
      </c>
      <c r="N2120" s="388" t="str">
        <f ca="1">IFERROR(IF(VLOOKUP(C2120,' Disaggregation - Section E '!A$618:J2446,10,0)=0,"",VLOOKUP(C2120,' Disaggregation - Section E '!A$618:J2446,10,0)),"")</f>
        <v>IBBS among SW began in 2022, and at the moment of PUDR submission, data analysis is not finalized. According to preliminary data, - HIV prevalence among SWs is 3.38%.There is no data on the estimated number of SW by age group</v>
      </c>
      <c r="O2120" s="384"/>
    </row>
    <row r="2121" spans="1:15" x14ac:dyDescent="0.3">
      <c r="A2121" s="384" t="b">
        <f t="shared" ca="1" si="135"/>
        <v>0</v>
      </c>
      <c r="B2121" s="384"/>
      <c r="C2121" s="393" t="str">
        <f ca="1">IF(COUNTA(O$1493:O2121)=1,"",OFFSET(B2119,-COUNTA(O$1493:O2121)+3,1))</f>
        <v>a16Dm000000LZZwIAO</v>
      </c>
      <c r="D2121" s="389"/>
      <c r="E2121" s="386" t="str">
        <f ca="1">IFERROR(IF(VLOOKUP(C2121,' Disaggregation - Section E '!A$618:J2447,7,0)="","",VLOOKUP(C2121,' Disaggregation - Section E '!A$618:J2447,7,0)*100),"")</f>
        <v/>
      </c>
      <c r="F2121" s="388" t="str">
        <f ca="1">IFERROR(VLOOKUP(C2121,' Disaggregation - Section E '!A$618:J2447,5,0),"")</f>
        <v/>
      </c>
      <c r="G2121" s="387" t="str">
        <f ca="1">IFERROR(IF(VLOOKUP(C2121,' Disaggregation - Section E '!A$618:J2447,6,0)="","",VLOOKUP(C2121,' Disaggregation - Section E '!A$618:J2447,6,0)),"")</f>
        <v/>
      </c>
      <c r="H2121" s="387" t="str">
        <f ca="1">IFERROR(IF(INDEX(' Disaggregation - Section E '!F$618:F2447,MATCH(C2121,' Disaggregation - Section E '!A$618:A2447,0)+1,1)&lt;&gt;0,INDEX(' Disaggregation - Section E '!F$618:F2447,MATCH(C2121,' Disaggregation - Section E '!A$618:A2447,0)+1,1),""),"")</f>
        <v/>
      </c>
      <c r="I2121" s="388" t="str">
        <f ca="1">IFERROR(IF(VLOOKUP(C2121,' Disaggregation - Section E '!A$618:J2447,8,0)=0,"",VLOOKUP(C2121,' Disaggregation - Section E '!A$618:J2447,8,0)),"")</f>
        <v/>
      </c>
      <c r="J2121" s="388" t="str">
        <f ca="1">IFERROR(IF(VLOOKUP(C2121,' Disaggregation - Section E '!A$618:J2447,9,0)="","",VLOOKUP(C2121,' Disaggregation - Section E '!A$618:J2447,9,0)),"")</f>
        <v/>
      </c>
      <c r="K2121" s="384" t="str">
        <f ca="1">IFERROR(VLOOKUP(C2121,' Disaggregation - Section E '!A$618:J2447,3,0),"")</f>
        <v>KP-1c⁽ᴹ⁾ Percentage of sex workers reached with HIV prevention programs - defined package of services</v>
      </c>
      <c r="L2121" s="384"/>
      <c r="M2121" s="384" t="str">
        <f ca="1">IFERROR(IF(VLOOKUP(C2121,' Disaggregation - Section E '!A$618:O1250,15,0)=0,"",VLOOKUP(C2121,' Disaggregation - Section E '!A$618:O1250,15,0)),"")</f>
        <v/>
      </c>
      <c r="N2121" s="388" t="str">
        <f ca="1">IFERROR(IF(VLOOKUP(C2121,' Disaggregation - Section E '!A$618:J2447,10,0)=0,"",VLOOKUP(C2121,' Disaggregation - Section E '!A$618:J2447,10,0)),"")</f>
        <v/>
      </c>
      <c r="O2121" s="384"/>
    </row>
    <row r="2122" spans="1:15" x14ac:dyDescent="0.3">
      <c r="A2122" s="384" t="b">
        <f t="shared" ca="1" si="135"/>
        <v>0</v>
      </c>
      <c r="B2122" s="384"/>
      <c r="C2122" s="393" t="str">
        <f ca="1">IF(COUNTA(O$1493:O2122)=1,"",OFFSET(B2120,-COUNTA(O$1493:O2122)+3,1))</f>
        <v>a16Dm000000LZZxIAO</v>
      </c>
      <c r="D2122" s="389"/>
      <c r="E2122" s="386" t="str">
        <f ca="1">IFERROR(IF(VLOOKUP(C2122,' Disaggregation - Section E '!A$618:J2448,7,0)="","",VLOOKUP(C2122,' Disaggregation - Section E '!A$618:J2448,7,0)*100),"")</f>
        <v/>
      </c>
      <c r="F2122" s="388" t="str">
        <f ca="1">IFERROR(VLOOKUP(C2122,' Disaggregation - Section E '!A$618:J2448,5,0),"")</f>
        <v/>
      </c>
      <c r="G2122" s="387" t="str">
        <f ca="1">IFERROR(IF(VLOOKUP(C2122,' Disaggregation - Section E '!A$618:J2448,6,0)="","",VLOOKUP(C2122,' Disaggregation - Section E '!A$618:J2448,6,0)),"")</f>
        <v/>
      </c>
      <c r="H2122" s="387" t="str">
        <f ca="1">IFERROR(IF(INDEX(' Disaggregation - Section E '!F$618:F2448,MATCH(C2122,' Disaggregation - Section E '!A$618:A2448,0)+1,1)&lt;&gt;0,INDEX(' Disaggregation - Section E '!F$618:F2448,MATCH(C2122,' Disaggregation - Section E '!A$618:A2448,0)+1,1),""),"")</f>
        <v/>
      </c>
      <c r="I2122" s="388" t="str">
        <f ca="1">IFERROR(IF(VLOOKUP(C2122,' Disaggregation - Section E '!A$618:J2448,8,0)=0,"",VLOOKUP(C2122,' Disaggregation - Section E '!A$618:J2448,8,0)),"")</f>
        <v/>
      </c>
      <c r="J2122" s="388" t="str">
        <f ca="1">IFERROR(IF(VLOOKUP(C2122,' Disaggregation - Section E '!A$618:J2448,9,0)="","",VLOOKUP(C2122,' Disaggregation - Section E '!A$618:J2448,9,0)),"")</f>
        <v/>
      </c>
      <c r="K2122" s="384" t="str">
        <f ca="1">IFERROR(VLOOKUP(C2122,' Disaggregation - Section E '!A$618:J2448,3,0),"")</f>
        <v>KP-1c⁽ᴹ⁾ Percentage of sex workers reached with HIV prevention programs - defined package of services</v>
      </c>
      <c r="L2122" s="384"/>
      <c r="M2122" s="384" t="str">
        <f ca="1">IFERROR(IF(VLOOKUP(C2122,' Disaggregation - Section E '!A$618:O1251,15,0)=0,"",VLOOKUP(C2122,' Disaggregation - Section E '!A$618:O1251,15,0)),"")</f>
        <v/>
      </c>
      <c r="N2122" s="388" t="str">
        <f ca="1">IFERROR(IF(VLOOKUP(C2122,' Disaggregation - Section E '!A$618:J2448,10,0)=0,"",VLOOKUP(C2122,' Disaggregation - Section E '!A$618:J2448,10,0)),"")</f>
        <v/>
      </c>
      <c r="O2122" s="384"/>
    </row>
    <row r="2123" spans="1:15" x14ac:dyDescent="0.3">
      <c r="A2123" s="384" t="b">
        <f t="shared" ca="1" si="135"/>
        <v>0</v>
      </c>
      <c r="B2123" s="384"/>
      <c r="C2123" s="393" t="str">
        <f ca="1">IF(COUNTA(O$1493:O2123)=1,"",OFFSET(B2121,-COUNTA(O$1493:O2123)+3,1))</f>
        <v>a16Dm000000LZZyIAO</v>
      </c>
      <c r="D2123" s="389"/>
      <c r="E2123" s="386" t="str">
        <f ca="1">IFERROR(IF(VLOOKUP(C2123,' Disaggregation - Section E '!A$618:J2449,7,0)="","",VLOOKUP(C2123,' Disaggregation - Section E '!A$618:J2449,7,0)*100),"")</f>
        <v/>
      </c>
      <c r="F2123" s="388" t="str">
        <f ca="1">IFERROR(VLOOKUP(C2123,' Disaggregation - Section E '!A$618:J2449,5,0),"")</f>
        <v/>
      </c>
      <c r="G2123" s="387" t="str">
        <f ca="1">IFERROR(IF(VLOOKUP(C2123,' Disaggregation - Section E '!A$618:J2449,6,0)="","",VLOOKUP(C2123,' Disaggregation - Section E '!A$618:J2449,6,0)),"")</f>
        <v/>
      </c>
      <c r="H2123" s="387" t="str">
        <f ca="1">IFERROR(IF(INDEX(' Disaggregation - Section E '!F$618:F2449,MATCH(C2123,' Disaggregation - Section E '!A$618:A2449,0)+1,1)&lt;&gt;0,INDEX(' Disaggregation - Section E '!F$618:F2449,MATCH(C2123,' Disaggregation - Section E '!A$618:A2449,0)+1,1),""),"")</f>
        <v/>
      </c>
      <c r="I2123" s="388" t="str">
        <f ca="1">IFERROR(IF(VLOOKUP(C2123,' Disaggregation - Section E '!A$618:J2449,8,0)=0,"",VLOOKUP(C2123,' Disaggregation - Section E '!A$618:J2449,8,0)),"")</f>
        <v/>
      </c>
      <c r="J2123" s="388" t="str">
        <f ca="1">IFERROR(IF(VLOOKUP(C2123,' Disaggregation - Section E '!A$618:J2449,9,0)="","",VLOOKUP(C2123,' Disaggregation - Section E '!A$618:J2449,9,0)),"")</f>
        <v/>
      </c>
      <c r="K2123" s="384" t="str">
        <f ca="1">IFERROR(VLOOKUP(C2123,' Disaggregation - Section E '!A$618:J2449,3,0),"")</f>
        <v>KP-1c⁽ᴹ⁾ Percentage of sex workers reached with HIV prevention programs - defined package of services</v>
      </c>
      <c r="L2123" s="384"/>
      <c r="M2123" s="384" t="str">
        <f ca="1">IFERROR(IF(VLOOKUP(C2123,' Disaggregation - Section E '!A$618:O1252,15,0)=0,"",VLOOKUP(C2123,' Disaggregation - Section E '!A$618:O1252,15,0)),"")</f>
        <v/>
      </c>
      <c r="N2123" s="388" t="str">
        <f ca="1">IFERROR(IF(VLOOKUP(C2123,' Disaggregation - Section E '!A$618:J2449,10,0)=0,"",VLOOKUP(C2123,' Disaggregation - Section E '!A$618:J2449,10,0)),"")</f>
        <v/>
      </c>
      <c r="O2123" s="384"/>
    </row>
    <row r="2124" spans="1:15" x14ac:dyDescent="0.3">
      <c r="A2124" s="384" t="b">
        <f t="shared" ca="1" si="135"/>
        <v>0</v>
      </c>
      <c r="B2124" s="384"/>
      <c r="C2124" s="393" t="str">
        <f ca="1">IF(COUNTA(O$1493:O2124)=1,"",OFFSET(B2122,-COUNTA(O$1493:O2124)+3,1))</f>
        <v>a16Dm000000LZZzIAO</v>
      </c>
      <c r="D2124" s="389"/>
      <c r="E2124" s="386" t="str">
        <f ca="1">IFERROR(IF(VLOOKUP(C2124,' Disaggregation - Section E '!A$618:J2450,7,0)="","",VLOOKUP(C2124,' Disaggregation - Section E '!A$618:J2450,7,0)*100),"")</f>
        <v/>
      </c>
      <c r="F2124" s="388" t="str">
        <f ca="1">IFERROR(VLOOKUP(C2124,' Disaggregation - Section E '!A$618:J2450,5,0),"")</f>
        <v/>
      </c>
      <c r="G2124" s="387" t="str">
        <f ca="1">IFERROR(IF(VLOOKUP(C2124,' Disaggregation - Section E '!A$618:J2450,6,0)="","",VLOOKUP(C2124,' Disaggregation - Section E '!A$618:J2450,6,0)),"")</f>
        <v/>
      </c>
      <c r="H2124" s="387" t="str">
        <f ca="1">IFERROR(IF(INDEX(' Disaggregation - Section E '!F$618:F2450,MATCH(C2124,' Disaggregation - Section E '!A$618:A2450,0)+1,1)&lt;&gt;0,INDEX(' Disaggregation - Section E '!F$618:F2450,MATCH(C2124,' Disaggregation - Section E '!A$618:A2450,0)+1,1),""),"")</f>
        <v/>
      </c>
      <c r="I2124" s="388" t="str">
        <f ca="1">IFERROR(IF(VLOOKUP(C2124,' Disaggregation - Section E '!A$618:J2450,8,0)=0,"",VLOOKUP(C2124,' Disaggregation - Section E '!A$618:J2450,8,0)),"")</f>
        <v/>
      </c>
      <c r="J2124" s="388" t="str">
        <f ca="1">IFERROR(IF(VLOOKUP(C2124,' Disaggregation - Section E '!A$618:J2450,9,0)="","",VLOOKUP(C2124,' Disaggregation - Section E '!A$618:J2450,9,0)),"")</f>
        <v/>
      </c>
      <c r="K2124" s="384" t="str">
        <f ca="1">IFERROR(VLOOKUP(C2124,' Disaggregation - Section E '!A$618:J2450,3,0),"")</f>
        <v>KP-1c⁽ᴹ⁾ Percentage of sex workers reached with HIV prevention programs - defined package of services</v>
      </c>
      <c r="L2124" s="384"/>
      <c r="M2124" s="384" t="str">
        <f ca="1">IFERROR(IF(VLOOKUP(C2124,' Disaggregation - Section E '!A$618:O1253,15,0)=0,"",VLOOKUP(C2124,' Disaggregation - Section E '!A$618:O1253,15,0)),"")</f>
        <v/>
      </c>
      <c r="N2124" s="388" t="str">
        <f ca="1">IFERROR(IF(VLOOKUP(C2124,' Disaggregation - Section E '!A$618:J2450,10,0)=0,"",VLOOKUP(C2124,' Disaggregation - Section E '!A$618:J2450,10,0)),"")</f>
        <v/>
      </c>
      <c r="O2124" s="384"/>
    </row>
    <row r="2125" spans="1:15" x14ac:dyDescent="0.3">
      <c r="A2125" s="384" t="b">
        <f t="shared" ca="1" si="135"/>
        <v>0</v>
      </c>
      <c r="B2125" s="384"/>
      <c r="C2125" s="393" t="str">
        <f ca="1">IF(COUNTA(O$1493:O2125)=1,"",OFFSET(B2123,-COUNTA(O$1493:O2125)+3,1))</f>
        <v>a16Dm000000LZa0IAG</v>
      </c>
      <c r="D2125" s="389"/>
      <c r="E2125" s="386" t="str">
        <f ca="1">IFERROR(IF(VLOOKUP(C2125,' Disaggregation - Section E '!A$618:J2451,7,0)="","",VLOOKUP(C2125,' Disaggregation - Section E '!A$618:J2451,7,0)*100),"")</f>
        <v/>
      </c>
      <c r="F2125" s="388" t="str">
        <f ca="1">IFERROR(VLOOKUP(C2125,' Disaggregation - Section E '!A$618:J2451,5,0),"")</f>
        <v/>
      </c>
      <c r="G2125" s="387" t="str">
        <f ca="1">IFERROR(IF(VLOOKUP(C2125,' Disaggregation - Section E '!A$618:J2451,6,0)="","",VLOOKUP(C2125,' Disaggregation - Section E '!A$618:J2451,6,0)),"")</f>
        <v/>
      </c>
      <c r="H2125" s="387" t="str">
        <f ca="1">IFERROR(IF(INDEX(' Disaggregation - Section E '!F$618:F2451,MATCH(C2125,' Disaggregation - Section E '!A$618:A2451,0)+1,1)&lt;&gt;0,INDEX(' Disaggregation - Section E '!F$618:F2451,MATCH(C2125,' Disaggregation - Section E '!A$618:A2451,0)+1,1),""),"")</f>
        <v/>
      </c>
      <c r="I2125" s="388" t="str">
        <f ca="1">IFERROR(IF(VLOOKUP(C2125,' Disaggregation - Section E '!A$618:J2451,8,0)=0,"",VLOOKUP(C2125,' Disaggregation - Section E '!A$618:J2451,8,0)),"")</f>
        <v/>
      </c>
      <c r="J2125" s="388" t="str">
        <f ca="1">IFERROR(IF(VLOOKUP(C2125,' Disaggregation - Section E '!A$618:J2451,9,0)="","",VLOOKUP(C2125,' Disaggregation - Section E '!A$618:J2451,9,0)),"")</f>
        <v/>
      </c>
      <c r="K2125" s="384" t="str">
        <f ca="1">IFERROR(VLOOKUP(C2125,' Disaggregation - Section E '!A$618:J2451,3,0),"")</f>
        <v>KP-1c⁽ᴹ⁾ Percentage of sex workers reached with HIV prevention programs - defined package of services</v>
      </c>
      <c r="L2125" s="384"/>
      <c r="M2125" s="384" t="str">
        <f ca="1">IFERROR(IF(VLOOKUP(C2125,' Disaggregation - Section E '!A$618:O1254,15,0)=0,"",VLOOKUP(C2125,' Disaggregation - Section E '!A$618:O1254,15,0)),"")</f>
        <v/>
      </c>
      <c r="N2125" s="388" t="str">
        <f ca="1">IFERROR(IF(VLOOKUP(C2125,' Disaggregation - Section E '!A$618:J2451,10,0)=0,"",VLOOKUP(C2125,' Disaggregation - Section E '!A$618:J2451,10,0)),"")</f>
        <v/>
      </c>
      <c r="O2125" s="384"/>
    </row>
    <row r="2126" spans="1:15" x14ac:dyDescent="0.3">
      <c r="A2126" s="384" t="b">
        <f t="shared" ca="1" si="135"/>
        <v>0</v>
      </c>
      <c r="B2126" s="384"/>
      <c r="C2126" s="393" t="str">
        <f ca="1">IF(COUNTA(O$1493:O2126)=1,"",OFFSET(B2124,-COUNTA(O$1493:O2126)+3,1))</f>
        <v>a16Dm000000LZa1IAG</v>
      </c>
      <c r="D2126" s="389"/>
      <c r="E2126" s="386" t="str">
        <f ca="1">IFERROR(IF(VLOOKUP(C2126,' Disaggregation - Section E '!A$618:J2452,7,0)="","",VLOOKUP(C2126,' Disaggregation - Section E '!A$618:J2452,7,0)*100),"")</f>
        <v/>
      </c>
      <c r="F2126" s="388" t="str">
        <f ca="1">IFERROR(VLOOKUP(C2126,' Disaggregation - Section E '!A$618:J2452,5,0),"")</f>
        <v/>
      </c>
      <c r="G2126" s="387" t="str">
        <f ca="1">IFERROR(IF(VLOOKUP(C2126,' Disaggregation - Section E '!A$618:J2452,6,0)="","",VLOOKUP(C2126,' Disaggregation - Section E '!A$618:J2452,6,0)),"")</f>
        <v/>
      </c>
      <c r="H2126" s="387" t="str">
        <f ca="1">IFERROR(IF(INDEX(' Disaggregation - Section E '!F$618:F2452,MATCH(C2126,' Disaggregation - Section E '!A$618:A2452,0)+1,1)&lt;&gt;0,INDEX(' Disaggregation - Section E '!F$618:F2452,MATCH(C2126,' Disaggregation - Section E '!A$618:A2452,0)+1,1),""),"")</f>
        <v/>
      </c>
      <c r="I2126" s="388" t="str">
        <f ca="1">IFERROR(IF(VLOOKUP(C2126,' Disaggregation - Section E '!A$618:J2452,8,0)=0,"",VLOOKUP(C2126,' Disaggregation - Section E '!A$618:J2452,8,0)),"")</f>
        <v/>
      </c>
      <c r="J2126" s="388" t="str">
        <f ca="1">IFERROR(IF(VLOOKUP(C2126,' Disaggregation - Section E '!A$618:J2452,9,0)="","",VLOOKUP(C2126,' Disaggregation - Section E '!A$618:J2452,9,0)),"")</f>
        <v/>
      </c>
      <c r="K2126" s="384" t="str">
        <f ca="1">IFERROR(VLOOKUP(C2126,' Disaggregation - Section E '!A$618:J2452,3,0),"")</f>
        <v>KP-1c⁽ᴹ⁾ Percentage of sex workers reached with HIV prevention programs - defined package of services</v>
      </c>
      <c r="L2126" s="384"/>
      <c r="M2126" s="384" t="str">
        <f ca="1">IFERROR(IF(VLOOKUP(C2126,' Disaggregation - Section E '!A$618:O1255,15,0)=0,"",VLOOKUP(C2126,' Disaggregation - Section E '!A$618:O1255,15,0)),"")</f>
        <v/>
      </c>
      <c r="N2126" s="388" t="str">
        <f ca="1">IFERROR(IF(VLOOKUP(C2126,' Disaggregation - Section E '!A$618:J2452,10,0)=0,"",VLOOKUP(C2126,' Disaggregation - Section E '!A$618:J2452,10,0)),"")</f>
        <v/>
      </c>
      <c r="O2126" s="384"/>
    </row>
    <row r="2127" spans="1:15" x14ac:dyDescent="0.3">
      <c r="A2127" s="384" t="b">
        <f t="shared" ca="1" si="135"/>
        <v>0</v>
      </c>
      <c r="B2127" s="384"/>
      <c r="C2127" s="393" t="str">
        <f ca="1">IF(COUNTA(O$1493:O2127)=1,"",OFFSET(B2125,-COUNTA(O$1493:O2127)+3,1))</f>
        <v>a16Dm000000LZa2IAG</v>
      </c>
      <c r="D2127" s="389"/>
      <c r="E2127" s="386" t="str">
        <f ca="1">IFERROR(IF(VLOOKUP(C2127,' Disaggregation - Section E '!A$618:J2453,7,0)="","",VLOOKUP(C2127,' Disaggregation - Section E '!A$618:J2453,7,0)*100),"")</f>
        <v/>
      </c>
      <c r="F2127" s="388" t="str">
        <f ca="1">IFERROR(VLOOKUP(C2127,' Disaggregation - Section E '!A$618:J2453,5,0),"")</f>
        <v/>
      </c>
      <c r="G2127" s="387" t="str">
        <f ca="1">IFERROR(IF(VLOOKUP(C2127,' Disaggregation - Section E '!A$618:J2453,6,0)="","",VLOOKUP(C2127,' Disaggregation - Section E '!A$618:J2453,6,0)),"")</f>
        <v/>
      </c>
      <c r="H2127" s="387" t="str">
        <f ca="1">IFERROR(IF(INDEX(' Disaggregation - Section E '!F$618:F2453,MATCH(C2127,' Disaggregation - Section E '!A$618:A2453,0)+1,1)&lt;&gt;0,INDEX(' Disaggregation - Section E '!F$618:F2453,MATCH(C2127,' Disaggregation - Section E '!A$618:A2453,0)+1,1),""),"")</f>
        <v/>
      </c>
      <c r="I2127" s="388" t="str">
        <f ca="1">IFERROR(IF(VLOOKUP(C2127,' Disaggregation - Section E '!A$618:J2453,8,0)=0,"",VLOOKUP(C2127,' Disaggregation - Section E '!A$618:J2453,8,0)),"")</f>
        <v/>
      </c>
      <c r="J2127" s="388" t="str">
        <f ca="1">IFERROR(IF(VLOOKUP(C2127,' Disaggregation - Section E '!A$618:J2453,9,0)="","",VLOOKUP(C2127,' Disaggregation - Section E '!A$618:J2453,9,0)),"")</f>
        <v/>
      </c>
      <c r="K2127" s="384" t="str">
        <f ca="1">IFERROR(VLOOKUP(C2127,' Disaggregation - Section E '!A$618:J2453,3,0),"")</f>
        <v>KP-1c⁽ᴹ⁾ Percentage of sex workers reached with HIV prevention programs - defined package of services</v>
      </c>
      <c r="L2127" s="384"/>
      <c r="M2127" s="384" t="str">
        <f ca="1">IFERROR(IF(VLOOKUP(C2127,' Disaggregation - Section E '!A$618:O1256,15,0)=0,"",VLOOKUP(C2127,' Disaggregation - Section E '!A$618:O1256,15,0)),"")</f>
        <v/>
      </c>
      <c r="N2127" s="388" t="str">
        <f ca="1">IFERROR(IF(VLOOKUP(C2127,' Disaggregation - Section E '!A$618:J2453,10,0)=0,"",VLOOKUP(C2127,' Disaggregation - Section E '!A$618:J2453,10,0)),"")</f>
        <v/>
      </c>
      <c r="O2127" s="384"/>
    </row>
    <row r="2128" spans="1:15" x14ac:dyDescent="0.3">
      <c r="A2128" s="384" t="b">
        <f t="shared" ca="1" si="135"/>
        <v>0</v>
      </c>
      <c r="B2128" s="384"/>
      <c r="C2128" s="393" t="str">
        <f ca="1">IF(COUNTA(O$1493:O2128)=1,"",OFFSET(B2126,-COUNTA(O$1493:O2128)+3,1))</f>
        <v>a16Dm000000LZa3IAG</v>
      </c>
      <c r="D2128" s="389"/>
      <c r="E2128" s="386" t="str">
        <f ca="1">IFERROR(IF(VLOOKUP(C2128,' Disaggregation - Section E '!A$618:J2454,7,0)="","",VLOOKUP(C2128,' Disaggregation - Section E '!A$618:J2454,7,0)*100),"")</f>
        <v/>
      </c>
      <c r="F2128" s="388" t="str">
        <f ca="1">IFERROR(VLOOKUP(C2128,' Disaggregation - Section E '!A$618:J2454,5,0),"")</f>
        <v/>
      </c>
      <c r="G2128" s="387" t="str">
        <f ca="1">IFERROR(IF(VLOOKUP(C2128,' Disaggregation - Section E '!A$618:J2454,6,0)="","",VLOOKUP(C2128,' Disaggregation - Section E '!A$618:J2454,6,0)),"")</f>
        <v/>
      </c>
      <c r="H2128" s="387" t="str">
        <f ca="1">IFERROR(IF(INDEX(' Disaggregation - Section E '!F$618:F2454,MATCH(C2128,' Disaggregation - Section E '!A$618:A2454,0)+1,1)&lt;&gt;0,INDEX(' Disaggregation - Section E '!F$618:F2454,MATCH(C2128,' Disaggregation - Section E '!A$618:A2454,0)+1,1),""),"")</f>
        <v/>
      </c>
      <c r="I2128" s="388" t="str">
        <f ca="1">IFERROR(IF(VLOOKUP(C2128,' Disaggregation - Section E '!A$618:J2454,8,0)=0,"",VLOOKUP(C2128,' Disaggregation - Section E '!A$618:J2454,8,0)),"")</f>
        <v/>
      </c>
      <c r="J2128" s="388" t="str">
        <f ca="1">IFERROR(IF(VLOOKUP(C2128,' Disaggregation - Section E '!A$618:J2454,9,0)="","",VLOOKUP(C2128,' Disaggregation - Section E '!A$618:J2454,9,0)),"")</f>
        <v/>
      </c>
      <c r="K2128" s="384" t="str">
        <f ca="1">IFERROR(VLOOKUP(C2128,' Disaggregation - Section E '!A$618:J2454,3,0),"")</f>
        <v>KP-1c⁽ᴹ⁾ Percentage of sex workers reached with HIV prevention programs - defined package of services</v>
      </c>
      <c r="L2128" s="384"/>
      <c r="M2128" s="384" t="str">
        <f ca="1">IFERROR(IF(VLOOKUP(C2128,' Disaggregation - Section E '!A$618:O1257,15,0)=0,"",VLOOKUP(C2128,' Disaggregation - Section E '!A$618:O1257,15,0)),"")</f>
        <v/>
      </c>
      <c r="N2128" s="388" t="str">
        <f ca="1">IFERROR(IF(VLOOKUP(C2128,' Disaggregation - Section E '!A$618:J2454,10,0)=0,"",VLOOKUP(C2128,' Disaggregation - Section E '!A$618:J2454,10,0)),"")</f>
        <v/>
      </c>
      <c r="O2128" s="384"/>
    </row>
    <row r="2129" spans="1:15" x14ac:dyDescent="0.3">
      <c r="A2129" s="384" t="b">
        <f t="shared" ca="1" si="135"/>
        <v>0</v>
      </c>
      <c r="B2129" s="384"/>
      <c r="C2129" s="393" t="str">
        <f ca="1">IF(COUNTA(O$1493:O2129)=1,"",OFFSET(B2127,-COUNTA(O$1493:O2129)+3,1))</f>
        <v>a16Dm000000LZa4IAG</v>
      </c>
      <c r="D2129" s="389"/>
      <c r="E2129" s="386" t="str">
        <f ca="1">IFERROR(IF(VLOOKUP(C2129,' Disaggregation - Section E '!A$618:J2455,7,0)="","",VLOOKUP(C2129,' Disaggregation - Section E '!A$618:J2455,7,0)*100),"")</f>
        <v/>
      </c>
      <c r="F2129" s="388" t="str">
        <f ca="1">IFERROR(VLOOKUP(C2129,' Disaggregation - Section E '!A$618:J2455,5,0),"")</f>
        <v/>
      </c>
      <c r="G2129" s="387" t="str">
        <f ca="1">IFERROR(IF(VLOOKUP(C2129,' Disaggregation - Section E '!A$618:J2455,6,0)="","",VLOOKUP(C2129,' Disaggregation - Section E '!A$618:J2455,6,0)),"")</f>
        <v/>
      </c>
      <c r="H2129" s="387" t="str">
        <f ca="1">IFERROR(IF(INDEX(' Disaggregation - Section E '!F$618:F2455,MATCH(C2129,' Disaggregation - Section E '!A$618:A2455,0)+1,1)&lt;&gt;0,INDEX(' Disaggregation - Section E '!F$618:F2455,MATCH(C2129,' Disaggregation - Section E '!A$618:A2455,0)+1,1),""),"")</f>
        <v/>
      </c>
      <c r="I2129" s="388" t="str">
        <f ca="1">IFERROR(IF(VLOOKUP(C2129,' Disaggregation - Section E '!A$618:J2455,8,0)=0,"",VLOOKUP(C2129,' Disaggregation - Section E '!A$618:J2455,8,0)),"")</f>
        <v/>
      </c>
      <c r="J2129" s="388" t="str">
        <f ca="1">IFERROR(IF(VLOOKUP(C2129,' Disaggregation - Section E '!A$618:J2455,9,0)="","",VLOOKUP(C2129,' Disaggregation - Section E '!A$618:J2455,9,0)),"")</f>
        <v/>
      </c>
      <c r="K2129" s="384" t="str">
        <f ca="1">IFERROR(VLOOKUP(C2129,' Disaggregation - Section E '!A$618:J2455,3,0),"")</f>
        <v>KP-1c⁽ᴹ⁾ Percentage of sex workers reached with HIV prevention programs - defined package of services</v>
      </c>
      <c r="L2129" s="384"/>
      <c r="M2129" s="384" t="str">
        <f ca="1">IFERROR(IF(VLOOKUP(C2129,' Disaggregation - Section E '!A$618:O1258,15,0)=0,"",VLOOKUP(C2129,' Disaggregation - Section E '!A$618:O1258,15,0)),"")</f>
        <v/>
      </c>
      <c r="N2129" s="388" t="str">
        <f ca="1">IFERROR(IF(VLOOKUP(C2129,' Disaggregation - Section E '!A$618:J2455,10,0)=0,"",VLOOKUP(C2129,' Disaggregation - Section E '!A$618:J2455,10,0)),"")</f>
        <v/>
      </c>
      <c r="O2129" s="384"/>
    </row>
    <row r="2130" spans="1:15" x14ac:dyDescent="0.3">
      <c r="A2130" s="384" t="b">
        <f t="shared" ca="1" si="135"/>
        <v>0</v>
      </c>
      <c r="B2130" s="384"/>
      <c r="C2130" s="393" t="str">
        <f ca="1">IF(COUNTA(O$1493:O2130)=1,"",OFFSET(B2128,-COUNTA(O$1493:O2130)+3,1))</f>
        <v>a16Dm000000LZa5IAG</v>
      </c>
      <c r="D2130" s="389"/>
      <c r="E2130" s="386" t="str">
        <f ca="1">IFERROR(IF(VLOOKUP(C2130,' Disaggregation - Section E '!A$618:J2456,7,0)="","",VLOOKUP(C2130,' Disaggregation - Section E '!A$618:J2456,7,0)*100),"")</f>
        <v/>
      </c>
      <c r="F2130" s="388" t="str">
        <f ca="1">IFERROR(VLOOKUP(C2130,' Disaggregation - Section E '!A$618:J2456,5,0),"")</f>
        <v/>
      </c>
      <c r="G2130" s="387" t="str">
        <f ca="1">IFERROR(IF(VLOOKUP(C2130,' Disaggregation - Section E '!A$618:J2456,6,0)="","",VLOOKUP(C2130,' Disaggregation - Section E '!A$618:J2456,6,0)),"")</f>
        <v/>
      </c>
      <c r="H2130" s="387" t="str">
        <f ca="1">IFERROR(IF(INDEX(' Disaggregation - Section E '!F$618:F2456,MATCH(C2130,' Disaggregation - Section E '!A$618:A2456,0)+1,1)&lt;&gt;0,INDEX(' Disaggregation - Section E '!F$618:F2456,MATCH(C2130,' Disaggregation - Section E '!A$618:A2456,0)+1,1),""),"")</f>
        <v/>
      </c>
      <c r="I2130" s="388" t="str">
        <f ca="1">IFERROR(IF(VLOOKUP(C2130,' Disaggregation - Section E '!A$618:J2456,8,0)=0,"",VLOOKUP(C2130,' Disaggregation - Section E '!A$618:J2456,8,0)),"")</f>
        <v/>
      </c>
      <c r="J2130" s="388" t="str">
        <f ca="1">IFERROR(IF(VLOOKUP(C2130,' Disaggregation - Section E '!A$618:J2456,9,0)="","",VLOOKUP(C2130,' Disaggregation - Section E '!A$618:J2456,9,0)),"")</f>
        <v/>
      </c>
      <c r="K2130" s="384" t="str">
        <f ca="1">IFERROR(VLOOKUP(C2130,' Disaggregation - Section E '!A$618:J2456,3,0),"")</f>
        <v>KP-1c⁽ᴹ⁾ Percentage of sex workers reached with HIV prevention programs - defined package of services</v>
      </c>
      <c r="L2130" s="384"/>
      <c r="M2130" s="384" t="str">
        <f ca="1">IFERROR(IF(VLOOKUP(C2130,' Disaggregation - Section E '!A$618:O1259,15,0)=0,"",VLOOKUP(C2130,' Disaggregation - Section E '!A$618:O1259,15,0)),"")</f>
        <v/>
      </c>
      <c r="N2130" s="388" t="str">
        <f ca="1">IFERROR(IF(VLOOKUP(C2130,' Disaggregation - Section E '!A$618:J2456,10,0)=0,"",VLOOKUP(C2130,' Disaggregation - Section E '!A$618:J2456,10,0)),"")</f>
        <v/>
      </c>
      <c r="O2130" s="384"/>
    </row>
    <row r="2131" spans="1:15" x14ac:dyDescent="0.3">
      <c r="A2131" s="384" t="b">
        <f t="shared" ca="1" si="135"/>
        <v>0</v>
      </c>
      <c r="B2131" s="384"/>
      <c r="C2131" s="393" t="str">
        <f ca="1">IF(COUNTA(O$1493:O2131)=1,"",OFFSET(B2129,-COUNTA(O$1493:O2131)+3,1))</f>
        <v>a16Dm000000LZa6IAG</v>
      </c>
      <c r="D2131" s="389"/>
      <c r="E2131" s="386" t="str">
        <f ca="1">IFERROR(IF(VLOOKUP(C2131,' Disaggregation - Section E '!A$618:J2457,7,0)="","",VLOOKUP(C2131,' Disaggregation - Section E '!A$618:J2457,7,0)*100),"")</f>
        <v/>
      </c>
      <c r="F2131" s="388" t="str">
        <f ca="1">IFERROR(VLOOKUP(C2131,' Disaggregation - Section E '!A$618:J2457,5,0),"")</f>
        <v/>
      </c>
      <c r="G2131" s="387" t="str">
        <f ca="1">IFERROR(IF(VLOOKUP(C2131,' Disaggregation - Section E '!A$618:J2457,6,0)="","",VLOOKUP(C2131,' Disaggregation - Section E '!A$618:J2457,6,0)),"")</f>
        <v/>
      </c>
      <c r="H2131" s="387" t="str">
        <f ca="1">IFERROR(IF(INDEX(' Disaggregation - Section E '!F$618:F2457,MATCH(C2131,' Disaggregation - Section E '!A$618:A2457,0)+1,1)&lt;&gt;0,INDEX(' Disaggregation - Section E '!F$618:F2457,MATCH(C2131,' Disaggregation - Section E '!A$618:A2457,0)+1,1),""),"")</f>
        <v/>
      </c>
      <c r="I2131" s="388" t="str">
        <f ca="1">IFERROR(IF(VLOOKUP(C2131,' Disaggregation - Section E '!A$618:J2457,8,0)=0,"",VLOOKUP(C2131,' Disaggregation - Section E '!A$618:J2457,8,0)),"")</f>
        <v/>
      </c>
      <c r="J2131" s="388" t="str">
        <f ca="1">IFERROR(IF(VLOOKUP(C2131,' Disaggregation - Section E '!A$618:J2457,9,0)="","",VLOOKUP(C2131,' Disaggregation - Section E '!A$618:J2457,9,0)),"")</f>
        <v/>
      </c>
      <c r="K2131" s="384" t="str">
        <f ca="1">IFERROR(VLOOKUP(C2131,' Disaggregation - Section E '!A$618:J2457,3,0),"")</f>
        <v>KP-1c⁽ᴹ⁾ Percentage of sex workers reached with HIV prevention programs - defined package of services</v>
      </c>
      <c r="L2131" s="384"/>
      <c r="M2131" s="384" t="str">
        <f ca="1">IFERROR(IF(VLOOKUP(C2131,' Disaggregation - Section E '!A$618:O1260,15,0)=0,"",VLOOKUP(C2131,' Disaggregation - Section E '!A$618:O1260,15,0)),"")</f>
        <v/>
      </c>
      <c r="N2131" s="388" t="str">
        <f ca="1">IFERROR(IF(VLOOKUP(C2131,' Disaggregation - Section E '!A$618:J2457,10,0)=0,"",VLOOKUP(C2131,' Disaggregation - Section E '!A$618:J2457,10,0)),"")</f>
        <v/>
      </c>
      <c r="O2131" s="384"/>
    </row>
    <row r="2132" spans="1:15" x14ac:dyDescent="0.3">
      <c r="A2132" s="384" t="b">
        <f t="shared" ca="1" si="135"/>
        <v>0</v>
      </c>
      <c r="B2132" s="384"/>
      <c r="C2132" s="393" t="str">
        <f ca="1">IF(COUNTA(O$1493:O2132)=1,"",OFFSET(B2130,-COUNTA(O$1493:O2132)+3,1))</f>
        <v>a16Dm000000LZa7IAG</v>
      </c>
      <c r="D2132" s="389"/>
      <c r="E2132" s="386" t="str">
        <f ca="1">IFERROR(IF(VLOOKUP(C2132,' Disaggregation - Section E '!A$618:J2458,7,0)="","",VLOOKUP(C2132,' Disaggregation - Section E '!A$618:J2458,7,0)*100),"")</f>
        <v/>
      </c>
      <c r="F2132" s="388" t="str">
        <f ca="1">IFERROR(VLOOKUP(C2132,' Disaggregation - Section E '!A$618:J2458,5,0),"")</f>
        <v/>
      </c>
      <c r="G2132" s="387" t="str">
        <f ca="1">IFERROR(IF(VLOOKUP(C2132,' Disaggregation - Section E '!A$618:J2458,6,0)="","",VLOOKUP(C2132,' Disaggregation - Section E '!A$618:J2458,6,0)),"")</f>
        <v/>
      </c>
      <c r="H2132" s="387" t="str">
        <f ca="1">IFERROR(IF(INDEX(' Disaggregation - Section E '!F$618:F2458,MATCH(C2132,' Disaggregation - Section E '!A$618:A2458,0)+1,1)&lt;&gt;0,INDEX(' Disaggregation - Section E '!F$618:F2458,MATCH(C2132,' Disaggregation - Section E '!A$618:A2458,0)+1,1),""),"")</f>
        <v/>
      </c>
      <c r="I2132" s="388" t="str">
        <f ca="1">IFERROR(IF(VLOOKUP(C2132,' Disaggregation - Section E '!A$618:J2458,8,0)=0,"",VLOOKUP(C2132,' Disaggregation - Section E '!A$618:J2458,8,0)),"")</f>
        <v/>
      </c>
      <c r="J2132" s="388" t="str">
        <f ca="1">IFERROR(IF(VLOOKUP(C2132,' Disaggregation - Section E '!A$618:J2458,9,0)="","",VLOOKUP(C2132,' Disaggregation - Section E '!A$618:J2458,9,0)),"")</f>
        <v/>
      </c>
      <c r="K2132" s="384" t="str">
        <f ca="1">IFERROR(VLOOKUP(C2132,' Disaggregation - Section E '!A$618:J2458,3,0),"")</f>
        <v>KP-1c⁽ᴹ⁾ Percentage of sex workers reached with HIV prevention programs - defined package of services</v>
      </c>
      <c r="L2132" s="384"/>
      <c r="M2132" s="384" t="str">
        <f ca="1">IFERROR(IF(VLOOKUP(C2132,' Disaggregation - Section E '!A$618:O1261,15,0)=0,"",VLOOKUP(C2132,' Disaggregation - Section E '!A$618:O1261,15,0)),"")</f>
        <v/>
      </c>
      <c r="N2132" s="388" t="str">
        <f ca="1">IFERROR(IF(VLOOKUP(C2132,' Disaggregation - Section E '!A$618:J2458,10,0)=0,"",VLOOKUP(C2132,' Disaggregation - Section E '!A$618:J2458,10,0)),"")</f>
        <v/>
      </c>
      <c r="O2132" s="384"/>
    </row>
    <row r="2133" spans="1:15" x14ac:dyDescent="0.3">
      <c r="A2133" s="384" t="b">
        <f t="shared" ca="1" si="135"/>
        <v>0</v>
      </c>
      <c r="B2133" s="384"/>
      <c r="C2133" s="393" t="str">
        <f ca="1">IF(COUNTA(O$1493:O2133)=1,"",OFFSET(B2131,-COUNTA(O$1493:O2133)+3,1))</f>
        <v>a16Dm000000LZa8IAG</v>
      </c>
      <c r="D2133" s="389"/>
      <c r="E2133" s="386" t="str">
        <f ca="1">IFERROR(IF(VLOOKUP(C2133,' Disaggregation - Section E '!A$618:J2459,7,0)="","",VLOOKUP(C2133,' Disaggregation - Section E '!A$618:J2459,7,0)*100),"")</f>
        <v/>
      </c>
      <c r="F2133" s="388" t="str">
        <f ca="1">IFERROR(VLOOKUP(C2133,' Disaggregation - Section E '!A$618:J2459,5,0),"")</f>
        <v/>
      </c>
      <c r="G2133" s="387" t="str">
        <f ca="1">IFERROR(IF(VLOOKUP(C2133,' Disaggregation - Section E '!A$618:J2459,6,0)="","",VLOOKUP(C2133,' Disaggregation - Section E '!A$618:J2459,6,0)),"")</f>
        <v/>
      </c>
      <c r="H2133" s="387" t="str">
        <f ca="1">IFERROR(IF(INDEX(' Disaggregation - Section E '!F$618:F2459,MATCH(C2133,' Disaggregation - Section E '!A$618:A2459,0)+1,1)&lt;&gt;0,INDEX(' Disaggregation - Section E '!F$618:F2459,MATCH(C2133,' Disaggregation - Section E '!A$618:A2459,0)+1,1),""),"")</f>
        <v/>
      </c>
      <c r="I2133" s="388" t="str">
        <f ca="1">IFERROR(IF(VLOOKUP(C2133,' Disaggregation - Section E '!A$618:J2459,8,0)=0,"",VLOOKUP(C2133,' Disaggregation - Section E '!A$618:J2459,8,0)),"")</f>
        <v/>
      </c>
      <c r="J2133" s="388" t="str">
        <f ca="1">IFERROR(IF(VLOOKUP(C2133,' Disaggregation - Section E '!A$618:J2459,9,0)="","",VLOOKUP(C2133,' Disaggregation - Section E '!A$618:J2459,9,0)),"")</f>
        <v/>
      </c>
      <c r="K2133" s="384" t="str">
        <f ca="1">IFERROR(VLOOKUP(C2133,' Disaggregation - Section E '!A$618:J2459,3,0),"")</f>
        <v>KP-1c⁽ᴹ⁾ Percentage of sex workers reached with HIV prevention programs - defined package of services</v>
      </c>
      <c r="L2133" s="384"/>
      <c r="M2133" s="384" t="str">
        <f ca="1">IFERROR(IF(VLOOKUP(C2133,' Disaggregation - Section E '!A$618:O1262,15,0)=0,"",VLOOKUP(C2133,' Disaggregation - Section E '!A$618:O1262,15,0)),"")</f>
        <v/>
      </c>
      <c r="N2133" s="388" t="str">
        <f ca="1">IFERROR(IF(VLOOKUP(C2133,' Disaggregation - Section E '!A$618:J2459,10,0)=0,"",VLOOKUP(C2133,' Disaggregation - Section E '!A$618:J2459,10,0)),"")</f>
        <v/>
      </c>
      <c r="O2133" s="384"/>
    </row>
    <row r="2134" spans="1:15" x14ac:dyDescent="0.3">
      <c r="A2134" s="384" t="b">
        <f t="shared" ca="1" si="135"/>
        <v>0</v>
      </c>
      <c r="B2134" s="384"/>
      <c r="C2134" s="393" t="str">
        <f ca="1">IF(COUNTA(O$1493:O2134)=1,"",OFFSET(B2132,-COUNTA(O$1493:O2134)+3,1))</f>
        <v>a16Dm000000LZa9IAG</v>
      </c>
      <c r="D2134" s="389"/>
      <c r="E2134" s="386" t="str">
        <f ca="1">IFERROR(IF(VLOOKUP(C2134,' Disaggregation - Section E '!A$618:J2460,7,0)="","",VLOOKUP(C2134,' Disaggregation - Section E '!A$618:J2460,7,0)*100),"")</f>
        <v/>
      </c>
      <c r="F2134" s="388" t="str">
        <f ca="1">IFERROR(VLOOKUP(C2134,' Disaggregation - Section E '!A$618:J2460,5,0),"")</f>
        <v/>
      </c>
      <c r="G2134" s="387" t="str">
        <f ca="1">IFERROR(IF(VLOOKUP(C2134,' Disaggregation - Section E '!A$618:J2460,6,0)="","",VLOOKUP(C2134,' Disaggregation - Section E '!A$618:J2460,6,0)),"")</f>
        <v/>
      </c>
      <c r="H2134" s="387" t="str">
        <f ca="1">IFERROR(IF(INDEX(' Disaggregation - Section E '!F$618:F2460,MATCH(C2134,' Disaggregation - Section E '!A$618:A2460,0)+1,1)&lt;&gt;0,INDEX(' Disaggregation - Section E '!F$618:F2460,MATCH(C2134,' Disaggregation - Section E '!A$618:A2460,0)+1,1),""),"")</f>
        <v/>
      </c>
      <c r="I2134" s="388" t="str">
        <f ca="1">IFERROR(IF(VLOOKUP(C2134,' Disaggregation - Section E '!A$618:J2460,8,0)=0,"",VLOOKUP(C2134,' Disaggregation - Section E '!A$618:J2460,8,0)),"")</f>
        <v/>
      </c>
      <c r="J2134" s="388" t="str">
        <f ca="1">IFERROR(IF(VLOOKUP(C2134,' Disaggregation - Section E '!A$618:J2460,9,0)="","",VLOOKUP(C2134,' Disaggregation - Section E '!A$618:J2460,9,0)),"")</f>
        <v/>
      </c>
      <c r="K2134" s="384" t="str">
        <f ca="1">IFERROR(VLOOKUP(C2134,' Disaggregation - Section E '!A$618:J2460,3,0),"")</f>
        <v>KP-1c⁽ᴹ⁾ Percentage of sex workers reached with HIV prevention programs - defined package of services</v>
      </c>
      <c r="L2134" s="384"/>
      <c r="M2134" s="384" t="str">
        <f ca="1">IFERROR(IF(VLOOKUP(C2134,' Disaggregation - Section E '!A$618:O1263,15,0)=0,"",VLOOKUP(C2134,' Disaggregation - Section E '!A$618:O1263,15,0)),"")</f>
        <v/>
      </c>
      <c r="N2134" s="388" t="str">
        <f ca="1">IFERROR(IF(VLOOKUP(C2134,' Disaggregation - Section E '!A$618:J2460,10,0)=0,"",VLOOKUP(C2134,' Disaggregation - Section E '!A$618:J2460,10,0)),"")</f>
        <v/>
      </c>
      <c r="O2134" s="384"/>
    </row>
    <row r="2135" spans="1:15" x14ac:dyDescent="0.3">
      <c r="A2135" s="384" t="b">
        <f t="shared" ca="1" si="135"/>
        <v>1</v>
      </c>
      <c r="B2135" s="384"/>
      <c r="C2135" s="393" t="str">
        <f ca="1">IF(COUNTA(O$1493:O2135)=1,"",OFFSET(B2133,-COUNTA(O$1493:O2135)+3,1))</f>
        <v>a16Dm000000LZaAIAW</v>
      </c>
      <c r="D2135" s="389"/>
      <c r="E2135" s="386" t="str">
        <f ca="1">IFERROR(IF(VLOOKUP(C2135,' Disaggregation - Section E '!A$618:J2461,7,0)="","",VLOOKUP(C2135,' Disaggregation - Section E '!A$618:J2461,7,0)*100),"")</f>
        <v/>
      </c>
      <c r="F2135" s="388" t="str">
        <f ca="1">IFERROR(VLOOKUP(C2135,' Disaggregation - Section E '!A$618:J2461,5,0),"")</f>
        <v>25+</v>
      </c>
      <c r="G2135" s="387">
        <f ca="1">IFERROR(IF(VLOOKUP(C2135,' Disaggregation - Section E '!A$618:J2461,6,0)="","",VLOOKUP(C2135,' Disaggregation - Section E '!A$618:J2461,6,0)),"")</f>
        <v>163</v>
      </c>
      <c r="H2135" s="387" t="str">
        <f ca="1">IFERROR(IF(INDEX(' Disaggregation - Section E '!F$618:F2461,MATCH(C2135,' Disaggregation - Section E '!A$618:A2461,0)+1,1)&lt;&gt;0,INDEX(' Disaggregation - Section E '!F$618:F2461,MATCH(C2135,' Disaggregation - Section E '!A$618:A2461,0)+1,1),""),"")</f>
        <v/>
      </c>
      <c r="I2135" s="388">
        <f ca="1">IFERROR(IF(VLOOKUP(C2135,' Disaggregation - Section E '!A$618:J2461,8,0)=0,"",VLOOKUP(C2135,' Disaggregation - Section E '!A$618:J2461,8,0)),"")</f>
        <v>2022</v>
      </c>
      <c r="J2135" s="388" t="str">
        <f ca="1">IFERROR(IF(VLOOKUP(C2135,' Disaggregation - Section E '!A$618:J2461,9,0)="","",VLOOKUP(C2135,' Disaggregation - Section E '!A$618:J2461,9,0)),"")</f>
        <v>Admistrative report</v>
      </c>
      <c r="K2135" s="384" t="str">
        <f ca="1">IFERROR(VLOOKUP(C2135,' Disaggregation - Section E '!A$618:J2461,3,0),"")</f>
        <v>KP-1b⁽ᴹ⁾ Percentage of transgender people reached with HIV prevention programs - defined package of services</v>
      </c>
      <c r="L2135" s="384"/>
      <c r="M2135" s="384" t="str">
        <f ca="1">IFERROR(IF(VLOOKUP(C2135,' Disaggregation - Section E '!A$618:O1264,15,0)=0,"",VLOOKUP(C2135,' Disaggregation - Section E '!A$618:O1264,15,0)),"")</f>
        <v>IDR-01181</v>
      </c>
      <c r="N2135" s="388" t="str">
        <f ca="1">IFERROR(IF(VLOOKUP(C2135,' Disaggregation - Section E '!A$618:J2461,10,0)=0,"",VLOOKUP(C2135,' Disaggregation - Section E '!A$618:J2461,10,0)),"")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135" s="384"/>
    </row>
    <row r="2136" spans="1:15" x14ac:dyDescent="0.3">
      <c r="A2136" s="384" t="b">
        <f t="shared" ca="1" si="135"/>
        <v>1</v>
      </c>
      <c r="B2136" s="384"/>
      <c r="C2136" s="393" t="str">
        <f ca="1">IF(COUNTA(O$1493:O2136)=1,"",OFFSET(B2134,-COUNTA(O$1493:O2136)+3,1))</f>
        <v>a16Dm000000LZaBIAW</v>
      </c>
      <c r="D2136" s="389"/>
      <c r="E2136" s="386" t="str">
        <f ca="1">IFERROR(IF(VLOOKUP(C2136,' Disaggregation - Section E '!A$618:J2462,7,0)="","",VLOOKUP(C2136,' Disaggregation - Section E '!A$618:J2462,7,0)*100),"")</f>
        <v/>
      </c>
      <c r="F2136" s="388" t="str">
        <f ca="1">IFERROR(VLOOKUP(C2136,' Disaggregation - Section E '!A$618:J2462,5,0),"")</f>
        <v>20-24</v>
      </c>
      <c r="G2136" s="387">
        <f ca="1">IFERROR(IF(VLOOKUP(C2136,' Disaggregation - Section E '!A$618:J2462,6,0)="","",VLOOKUP(C2136,' Disaggregation - Section E '!A$618:J2462,6,0)),"")</f>
        <v>127</v>
      </c>
      <c r="H2136" s="387" t="str">
        <f ca="1">IFERROR(IF(INDEX(' Disaggregation - Section E '!F$618:F2462,MATCH(C2136,' Disaggregation - Section E '!A$618:A2462,0)+1,1)&lt;&gt;0,INDEX(' Disaggregation - Section E '!F$618:F2462,MATCH(C2136,' Disaggregation - Section E '!A$618:A2462,0)+1,1),""),"")</f>
        <v/>
      </c>
      <c r="I2136" s="388">
        <f ca="1">IFERROR(IF(VLOOKUP(C2136,' Disaggregation - Section E '!A$618:J2462,8,0)=0,"",VLOOKUP(C2136,' Disaggregation - Section E '!A$618:J2462,8,0)),"")</f>
        <v>2022</v>
      </c>
      <c r="J2136" s="388" t="str">
        <f ca="1">IFERROR(IF(VLOOKUP(C2136,' Disaggregation - Section E '!A$618:J2462,9,0)="","",VLOOKUP(C2136,' Disaggregation - Section E '!A$618:J2462,9,0)),"")</f>
        <v>Admistrative report</v>
      </c>
      <c r="K2136" s="384" t="str">
        <f ca="1">IFERROR(VLOOKUP(C2136,' Disaggregation - Section E '!A$618:J2462,3,0),"")</f>
        <v>KP-1b⁽ᴹ⁾ Percentage of transgender people reached with HIV prevention programs - defined package of services</v>
      </c>
      <c r="L2136" s="384"/>
      <c r="M2136" s="384" t="str">
        <f ca="1">IFERROR(IF(VLOOKUP(C2136,' Disaggregation - Section E '!A$618:O1265,15,0)=0,"",VLOOKUP(C2136,' Disaggregation - Section E '!A$618:O1265,15,0)),"")</f>
        <v>IDR-01180</v>
      </c>
      <c r="N2136" s="388" t="str">
        <f ca="1">IFERROR(IF(VLOOKUP(C2136,' Disaggregation - Section E '!A$618:J2462,10,0)=0,"",VLOOKUP(C2136,' Disaggregation - Section E '!A$618:J2462,10,0)),"")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136" s="384"/>
    </row>
    <row r="2137" spans="1:15" x14ac:dyDescent="0.3">
      <c r="A2137" s="384" t="b">
        <f t="shared" ca="1" si="135"/>
        <v>1</v>
      </c>
      <c r="B2137" s="384"/>
      <c r="C2137" s="393" t="str">
        <f ca="1">IF(COUNTA(O$1493:O2137)=1,"",OFFSET(B2135,-COUNTA(O$1493:O2137)+3,1))</f>
        <v>a16Dm000000LZaCIAW</v>
      </c>
      <c r="D2137" s="389"/>
      <c r="E2137" s="386" t="str">
        <f ca="1">IFERROR(IF(VLOOKUP(C2137,' Disaggregation - Section E '!A$618:J2463,7,0)="","",VLOOKUP(C2137,' Disaggregation - Section E '!A$618:J2463,7,0)*100),"")</f>
        <v/>
      </c>
      <c r="F2137" s="388" t="str">
        <f ca="1">IFERROR(VLOOKUP(C2137,' Disaggregation - Section E '!A$618:J2463,5,0),"")</f>
        <v>Transwomen</v>
      </c>
      <c r="G2137" s="387">
        <f ca="1">IFERROR(IF(VLOOKUP(C2137,' Disaggregation - Section E '!A$618:J2463,6,0)="","",VLOOKUP(C2137,' Disaggregation - Section E '!A$618:J2463,6,0)),"")</f>
        <v>175</v>
      </c>
      <c r="H2137" s="387" t="str">
        <f ca="1">IFERROR(IF(INDEX(' Disaggregation - Section E '!F$618:F2463,MATCH(C2137,' Disaggregation - Section E '!A$618:A2463,0)+1,1)&lt;&gt;0,INDEX(' Disaggregation - Section E '!F$618:F2463,MATCH(C2137,' Disaggregation - Section E '!A$618:A2463,0)+1,1),""),"")</f>
        <v/>
      </c>
      <c r="I2137" s="388">
        <f ca="1">IFERROR(IF(VLOOKUP(C2137,' Disaggregation - Section E '!A$618:J2463,8,0)=0,"",VLOOKUP(C2137,' Disaggregation - Section E '!A$618:J2463,8,0)),"")</f>
        <v>2022</v>
      </c>
      <c r="J2137" s="388" t="str">
        <f ca="1">IFERROR(IF(VLOOKUP(C2137,' Disaggregation - Section E '!A$618:J2463,9,0)="","",VLOOKUP(C2137,' Disaggregation - Section E '!A$618:J2463,9,0)),"")</f>
        <v>Admistrative report</v>
      </c>
      <c r="K2137" s="384" t="str">
        <f ca="1">IFERROR(VLOOKUP(C2137,' Disaggregation - Section E '!A$618:J2463,3,0),"")</f>
        <v>KP-1b⁽ᴹ⁾ Percentage of transgender people reached with HIV prevention programs - defined package of services</v>
      </c>
      <c r="L2137" s="384"/>
      <c r="M2137" s="384" t="str">
        <f ca="1">IFERROR(IF(VLOOKUP(C2137,' Disaggregation - Section E '!A$618:O1266,15,0)=0,"",VLOOKUP(C2137,' Disaggregation - Section E '!A$618:O1266,15,0)),"")</f>
        <v>IDR-01179</v>
      </c>
      <c r="N2137" s="388" t="str">
        <f ca="1">IFERROR(IF(VLOOKUP(C2137,' Disaggregation - Section E '!A$618:J2463,10,0)=0,"",VLOOKUP(C2137,' Disaggregation - Section E '!A$618:J2463,10,0)),"")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137" s="384"/>
    </row>
    <row r="2138" spans="1:15" x14ac:dyDescent="0.3">
      <c r="A2138" s="384" t="b">
        <f t="shared" ca="1" si="135"/>
        <v>1</v>
      </c>
      <c r="B2138" s="384"/>
      <c r="C2138" s="393" t="str">
        <f ca="1">IF(COUNTA(O$1493:O2138)=1,"",OFFSET(B2136,-COUNTA(O$1493:O2138)+3,1))</f>
        <v>a16Dm000000LZaDIAW</v>
      </c>
      <c r="D2138" s="389"/>
      <c r="E2138" s="386" t="str">
        <f ca="1">IFERROR(IF(VLOOKUP(C2138,' Disaggregation - Section E '!A$618:J2464,7,0)="","",VLOOKUP(C2138,' Disaggregation - Section E '!A$618:J2464,7,0)*100),"")</f>
        <v/>
      </c>
      <c r="F2138" s="388" t="str">
        <f ca="1">IFERROR(VLOOKUP(C2138,' Disaggregation - Section E '!A$618:J2464,5,0),"")</f>
        <v>Transmen</v>
      </c>
      <c r="G2138" s="387">
        <f ca="1">IFERROR(IF(VLOOKUP(C2138,' Disaggregation - Section E '!A$618:J2464,6,0)="","",VLOOKUP(C2138,' Disaggregation - Section E '!A$618:J2464,6,0)),"")</f>
        <v>122</v>
      </c>
      <c r="H2138" s="387" t="str">
        <f ca="1">IFERROR(IF(INDEX(' Disaggregation - Section E '!F$618:F2464,MATCH(C2138,' Disaggregation - Section E '!A$618:A2464,0)+1,1)&lt;&gt;0,INDEX(' Disaggregation - Section E '!F$618:F2464,MATCH(C2138,' Disaggregation - Section E '!A$618:A2464,0)+1,1),""),"")</f>
        <v/>
      </c>
      <c r="I2138" s="388">
        <f ca="1">IFERROR(IF(VLOOKUP(C2138,' Disaggregation - Section E '!A$618:J2464,8,0)=0,"",VLOOKUP(C2138,' Disaggregation - Section E '!A$618:J2464,8,0)),"")</f>
        <v>2022</v>
      </c>
      <c r="J2138" s="388" t="str">
        <f ca="1">IFERROR(IF(VLOOKUP(C2138,' Disaggregation - Section E '!A$618:J2464,9,0)="","",VLOOKUP(C2138,' Disaggregation - Section E '!A$618:J2464,9,0)),"")</f>
        <v>Admistrative report</v>
      </c>
      <c r="K2138" s="384" t="str">
        <f ca="1">IFERROR(VLOOKUP(C2138,' Disaggregation - Section E '!A$618:J2464,3,0),"")</f>
        <v>KP-1b⁽ᴹ⁾ Percentage of transgender people reached with HIV prevention programs - defined package of services</v>
      </c>
      <c r="L2138" s="384"/>
      <c r="M2138" s="384" t="str">
        <f ca="1">IFERROR(IF(VLOOKUP(C2138,' Disaggregation - Section E '!A$618:O1267,15,0)=0,"",VLOOKUP(C2138,' Disaggregation - Section E '!A$618:O1267,15,0)),"")</f>
        <v>IDR-01178</v>
      </c>
      <c r="N2138" s="388" t="str">
        <f ca="1">IFERROR(IF(VLOOKUP(C2138,' Disaggregation - Section E '!A$618:J2464,10,0)=0,"",VLOOKUP(C2138,' Disaggregation - Section E '!A$618:J2464,10,0)),"")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138" s="384"/>
    </row>
    <row r="2139" spans="1:15" x14ac:dyDescent="0.3">
      <c r="A2139" s="384" t="b">
        <f t="shared" ca="1" si="135"/>
        <v>1</v>
      </c>
      <c r="B2139" s="384"/>
      <c r="C2139" s="393" t="str">
        <f ca="1">IF(COUNTA(O$1493:O2139)=1,"",OFFSET(B2137,-COUNTA(O$1493:O2139)+3,1))</f>
        <v>a16Dm000000LZaEIAW</v>
      </c>
      <c r="D2139" s="389"/>
      <c r="E2139" s="386" t="str">
        <f ca="1">IFERROR(IF(VLOOKUP(C2139,' Disaggregation - Section E '!A$618:J2465,7,0)="","",VLOOKUP(C2139,' Disaggregation - Section E '!A$618:J2465,7,0)*100),"")</f>
        <v/>
      </c>
      <c r="F2139" s="388" t="str">
        <f ca="1">IFERROR(VLOOKUP(C2139,' Disaggregation - Section E '!A$618:J2465,5,0),"")</f>
        <v>15-19</v>
      </c>
      <c r="G2139" s="387">
        <f ca="1">IFERROR(IF(VLOOKUP(C2139,' Disaggregation - Section E '!A$618:J2465,6,0)="","",VLOOKUP(C2139,' Disaggregation - Section E '!A$618:J2465,6,0)),"")</f>
        <v>7</v>
      </c>
      <c r="H2139" s="387" t="str">
        <f ca="1">IFERROR(IF(INDEX(' Disaggregation - Section E '!F$618:F2465,MATCH(C2139,' Disaggregation - Section E '!A$618:A2465,0)+1,1)&lt;&gt;0,INDEX(' Disaggregation - Section E '!F$618:F2465,MATCH(C2139,' Disaggregation - Section E '!A$618:A2465,0)+1,1),""),"")</f>
        <v/>
      </c>
      <c r="I2139" s="388">
        <f ca="1">IFERROR(IF(VLOOKUP(C2139,' Disaggregation - Section E '!A$618:J2465,8,0)=0,"",VLOOKUP(C2139,' Disaggregation - Section E '!A$618:J2465,8,0)),"")</f>
        <v>2022</v>
      </c>
      <c r="J2139" s="388" t="str">
        <f ca="1">IFERROR(IF(VLOOKUP(C2139,' Disaggregation - Section E '!A$618:J2465,9,0)="","",VLOOKUP(C2139,' Disaggregation - Section E '!A$618:J2465,9,0)),"")</f>
        <v>Admistrative report</v>
      </c>
      <c r="K2139" s="384" t="str">
        <f ca="1">IFERROR(VLOOKUP(C2139,' Disaggregation - Section E '!A$618:J2465,3,0),"")</f>
        <v>KP-1b⁽ᴹ⁾ Percentage of transgender people reached with HIV prevention programs - defined package of services</v>
      </c>
      <c r="L2139" s="384"/>
      <c r="M2139" s="384" t="str">
        <f ca="1">IFERROR(IF(VLOOKUP(C2139,' Disaggregation - Section E '!A$618:O1268,15,0)=0,"",VLOOKUP(C2139,' Disaggregation - Section E '!A$618:O1268,15,0)),"")</f>
        <v>IDR-01177</v>
      </c>
      <c r="N2139" s="388" t="str">
        <f ca="1">IFERROR(IF(VLOOKUP(C2139,' Disaggregation - Section E '!A$618:J2465,10,0)=0,"",VLOOKUP(C2139,' Disaggregation - Section E '!A$618:J2465,10,0)),"")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139" s="384"/>
    </row>
    <row r="2140" spans="1:15" x14ac:dyDescent="0.3">
      <c r="A2140" s="384" t="b">
        <f t="shared" ca="1" si="135"/>
        <v>0</v>
      </c>
      <c r="B2140" s="384"/>
      <c r="C2140" s="393" t="str">
        <f ca="1">IF(COUNTA(O$1493:O2140)=1,"",OFFSET(B2138,-COUNTA(O$1493:O2140)+3,1))</f>
        <v>a16Dm000000LZaFIAW</v>
      </c>
      <c r="D2140" s="389"/>
      <c r="E2140" s="386" t="str">
        <f ca="1">IFERROR(IF(VLOOKUP(C2140,' Disaggregation - Section E '!A$618:J2466,7,0)="","",VLOOKUP(C2140,' Disaggregation - Section E '!A$618:J2466,7,0)*100),"")</f>
        <v/>
      </c>
      <c r="F2140" s="388" t="str">
        <f ca="1">IFERROR(VLOOKUP(C2140,' Disaggregation - Section E '!A$618:J2466,5,0),"")</f>
        <v/>
      </c>
      <c r="G2140" s="387" t="str">
        <f ca="1">IFERROR(IF(VLOOKUP(C2140,' Disaggregation - Section E '!A$618:J2466,6,0)="","",VLOOKUP(C2140,' Disaggregation - Section E '!A$618:J2466,6,0)),"")</f>
        <v/>
      </c>
      <c r="H2140" s="387" t="str">
        <f ca="1">IFERROR(IF(INDEX(' Disaggregation - Section E '!F$618:F2466,MATCH(C2140,' Disaggregation - Section E '!A$618:A2466,0)+1,1)&lt;&gt;0,INDEX(' Disaggregation - Section E '!F$618:F2466,MATCH(C2140,' Disaggregation - Section E '!A$618:A2466,0)+1,1),""),"")</f>
        <v/>
      </c>
      <c r="I2140" s="388" t="str">
        <f ca="1">IFERROR(IF(VLOOKUP(C2140,' Disaggregation - Section E '!A$618:J2466,8,0)=0,"",VLOOKUP(C2140,' Disaggregation - Section E '!A$618:J2466,8,0)),"")</f>
        <v/>
      </c>
      <c r="J2140" s="388" t="str">
        <f ca="1">IFERROR(IF(VLOOKUP(C2140,' Disaggregation - Section E '!A$618:J2466,9,0)="","",VLOOKUP(C2140,' Disaggregation - Section E '!A$618:J2466,9,0)),"")</f>
        <v/>
      </c>
      <c r="K2140" s="384" t="str">
        <f ca="1">IFERROR(VLOOKUP(C2140,' Disaggregation - Section E '!A$618:J2466,3,0),"")</f>
        <v>KP-1b⁽ᴹ⁾ Percentage of transgender people reached with HIV prevention programs - defined package of services</v>
      </c>
      <c r="L2140" s="384"/>
      <c r="M2140" s="384" t="str">
        <f ca="1">IFERROR(IF(VLOOKUP(C2140,' Disaggregation - Section E '!A$618:O1269,15,0)=0,"",VLOOKUP(C2140,' Disaggregation - Section E '!A$618:O1269,15,0)),"")</f>
        <v/>
      </c>
      <c r="N2140" s="388" t="str">
        <f ca="1">IFERROR(IF(VLOOKUP(C2140,' Disaggregation - Section E '!A$618:J2466,10,0)=0,"",VLOOKUP(C2140,' Disaggregation - Section E '!A$618:J2466,10,0)),"")</f>
        <v/>
      </c>
      <c r="O2140" s="384"/>
    </row>
    <row r="2141" spans="1:15" x14ac:dyDescent="0.3">
      <c r="A2141" s="384" t="b">
        <f t="shared" ca="1" si="135"/>
        <v>0</v>
      </c>
      <c r="B2141" s="384"/>
      <c r="C2141" s="393" t="str">
        <f ca="1">IF(COUNTA(O$1493:O2141)=1,"",OFFSET(B2139,-COUNTA(O$1493:O2141)+3,1))</f>
        <v>a16Dm000000LZaGIAW</v>
      </c>
      <c r="D2141" s="389"/>
      <c r="E2141" s="386" t="str">
        <f ca="1">IFERROR(IF(VLOOKUP(C2141,' Disaggregation - Section E '!A$618:J2467,7,0)="","",VLOOKUP(C2141,' Disaggregation - Section E '!A$618:J2467,7,0)*100),"")</f>
        <v/>
      </c>
      <c r="F2141" s="388" t="str">
        <f ca="1">IFERROR(VLOOKUP(C2141,' Disaggregation - Section E '!A$618:J2467,5,0),"")</f>
        <v/>
      </c>
      <c r="G2141" s="387" t="str">
        <f ca="1">IFERROR(IF(VLOOKUP(C2141,' Disaggregation - Section E '!A$618:J2467,6,0)="","",VLOOKUP(C2141,' Disaggregation - Section E '!A$618:J2467,6,0)),"")</f>
        <v/>
      </c>
      <c r="H2141" s="387" t="str">
        <f ca="1">IFERROR(IF(INDEX(' Disaggregation - Section E '!F$618:F2467,MATCH(C2141,' Disaggregation - Section E '!A$618:A2467,0)+1,1)&lt;&gt;0,INDEX(' Disaggregation - Section E '!F$618:F2467,MATCH(C2141,' Disaggregation - Section E '!A$618:A2467,0)+1,1),""),"")</f>
        <v/>
      </c>
      <c r="I2141" s="388" t="str">
        <f ca="1">IFERROR(IF(VLOOKUP(C2141,' Disaggregation - Section E '!A$618:J2467,8,0)=0,"",VLOOKUP(C2141,' Disaggregation - Section E '!A$618:J2467,8,0)),"")</f>
        <v/>
      </c>
      <c r="J2141" s="388" t="str">
        <f ca="1">IFERROR(IF(VLOOKUP(C2141,' Disaggregation - Section E '!A$618:J2467,9,0)="","",VLOOKUP(C2141,' Disaggregation - Section E '!A$618:J2467,9,0)),"")</f>
        <v/>
      </c>
      <c r="K2141" s="384" t="str">
        <f ca="1">IFERROR(VLOOKUP(C2141,' Disaggregation - Section E '!A$618:J2467,3,0),"")</f>
        <v>KP-1b⁽ᴹ⁾ Percentage of transgender people reached with HIV prevention programs - defined package of services</v>
      </c>
      <c r="L2141" s="384"/>
      <c r="M2141" s="384" t="str">
        <f ca="1">IFERROR(IF(VLOOKUP(C2141,' Disaggregation - Section E '!A$618:O1270,15,0)=0,"",VLOOKUP(C2141,' Disaggregation - Section E '!A$618:O1270,15,0)),"")</f>
        <v/>
      </c>
      <c r="N2141" s="388" t="str">
        <f ca="1">IFERROR(IF(VLOOKUP(C2141,' Disaggregation - Section E '!A$618:J2467,10,0)=0,"",VLOOKUP(C2141,' Disaggregation - Section E '!A$618:J2467,10,0)),"")</f>
        <v/>
      </c>
      <c r="O2141" s="384"/>
    </row>
    <row r="2142" spans="1:15" x14ac:dyDescent="0.3">
      <c r="A2142" s="384" t="b">
        <f t="shared" ca="1" si="135"/>
        <v>0</v>
      </c>
      <c r="B2142" s="384"/>
      <c r="C2142" s="393" t="str">
        <f ca="1">IF(COUNTA(O$1493:O2142)=1,"",OFFSET(B2140,-COUNTA(O$1493:O2142)+3,1))</f>
        <v>a16Dm000000LZaHIAW</v>
      </c>
      <c r="D2142" s="389"/>
      <c r="E2142" s="386" t="str">
        <f ca="1">IFERROR(IF(VLOOKUP(C2142,' Disaggregation - Section E '!A$618:J2468,7,0)="","",VLOOKUP(C2142,' Disaggregation - Section E '!A$618:J2468,7,0)*100),"")</f>
        <v/>
      </c>
      <c r="F2142" s="388" t="str">
        <f ca="1">IFERROR(VLOOKUP(C2142,' Disaggregation - Section E '!A$618:J2468,5,0),"")</f>
        <v/>
      </c>
      <c r="G2142" s="387" t="str">
        <f ca="1">IFERROR(IF(VLOOKUP(C2142,' Disaggregation - Section E '!A$618:J2468,6,0)="","",VLOOKUP(C2142,' Disaggregation - Section E '!A$618:J2468,6,0)),"")</f>
        <v/>
      </c>
      <c r="H2142" s="387" t="str">
        <f ca="1">IFERROR(IF(INDEX(' Disaggregation - Section E '!F$618:F2468,MATCH(C2142,' Disaggregation - Section E '!A$618:A2468,0)+1,1)&lt;&gt;0,INDEX(' Disaggregation - Section E '!F$618:F2468,MATCH(C2142,' Disaggregation - Section E '!A$618:A2468,0)+1,1),""),"")</f>
        <v/>
      </c>
      <c r="I2142" s="388" t="str">
        <f ca="1">IFERROR(IF(VLOOKUP(C2142,' Disaggregation - Section E '!A$618:J2468,8,0)=0,"",VLOOKUP(C2142,' Disaggregation - Section E '!A$618:J2468,8,0)),"")</f>
        <v/>
      </c>
      <c r="J2142" s="388" t="str">
        <f ca="1">IFERROR(IF(VLOOKUP(C2142,' Disaggregation - Section E '!A$618:J2468,9,0)="","",VLOOKUP(C2142,' Disaggregation - Section E '!A$618:J2468,9,0)),"")</f>
        <v/>
      </c>
      <c r="K2142" s="384" t="str">
        <f ca="1">IFERROR(VLOOKUP(C2142,' Disaggregation - Section E '!A$618:J2468,3,0),"")</f>
        <v>KP-1b⁽ᴹ⁾ Percentage of transgender people reached with HIV prevention programs - defined package of services</v>
      </c>
      <c r="L2142" s="384"/>
      <c r="M2142" s="384" t="str">
        <f ca="1">IFERROR(IF(VLOOKUP(C2142,' Disaggregation - Section E '!A$618:O1271,15,0)=0,"",VLOOKUP(C2142,' Disaggregation - Section E '!A$618:O1271,15,0)),"")</f>
        <v/>
      </c>
      <c r="N2142" s="388" t="str">
        <f ca="1">IFERROR(IF(VLOOKUP(C2142,' Disaggregation - Section E '!A$618:J2468,10,0)=0,"",VLOOKUP(C2142,' Disaggregation - Section E '!A$618:J2468,10,0)),"")</f>
        <v/>
      </c>
      <c r="O2142" s="384"/>
    </row>
    <row r="2143" spans="1:15" x14ac:dyDescent="0.3">
      <c r="A2143" s="384" t="b">
        <f t="shared" ca="1" si="135"/>
        <v>0</v>
      </c>
      <c r="B2143" s="384"/>
      <c r="C2143" s="393" t="str">
        <f ca="1">IF(COUNTA(O$1493:O2143)=1,"",OFFSET(B2141,-COUNTA(O$1493:O2143)+3,1))</f>
        <v>a16Dm000000LZaIIAW</v>
      </c>
      <c r="D2143" s="389"/>
      <c r="E2143" s="386" t="str">
        <f ca="1">IFERROR(IF(VLOOKUP(C2143,' Disaggregation - Section E '!A$618:J2469,7,0)="","",VLOOKUP(C2143,' Disaggregation - Section E '!A$618:J2469,7,0)*100),"")</f>
        <v/>
      </c>
      <c r="F2143" s="388" t="str">
        <f ca="1">IFERROR(VLOOKUP(C2143,' Disaggregation - Section E '!A$618:J2469,5,0),"")</f>
        <v/>
      </c>
      <c r="G2143" s="387" t="str">
        <f ca="1">IFERROR(IF(VLOOKUP(C2143,' Disaggregation - Section E '!A$618:J2469,6,0)="","",VLOOKUP(C2143,' Disaggregation - Section E '!A$618:J2469,6,0)),"")</f>
        <v/>
      </c>
      <c r="H2143" s="387" t="str">
        <f ca="1">IFERROR(IF(INDEX(' Disaggregation - Section E '!F$618:F2469,MATCH(C2143,' Disaggregation - Section E '!A$618:A2469,0)+1,1)&lt;&gt;0,INDEX(' Disaggregation - Section E '!F$618:F2469,MATCH(C2143,' Disaggregation - Section E '!A$618:A2469,0)+1,1),""),"")</f>
        <v/>
      </c>
      <c r="I2143" s="388" t="str">
        <f ca="1">IFERROR(IF(VLOOKUP(C2143,' Disaggregation - Section E '!A$618:J2469,8,0)=0,"",VLOOKUP(C2143,' Disaggregation - Section E '!A$618:J2469,8,0)),"")</f>
        <v/>
      </c>
      <c r="J2143" s="388" t="str">
        <f ca="1">IFERROR(IF(VLOOKUP(C2143,' Disaggregation - Section E '!A$618:J2469,9,0)="","",VLOOKUP(C2143,' Disaggregation - Section E '!A$618:J2469,9,0)),"")</f>
        <v/>
      </c>
      <c r="K2143" s="384" t="str">
        <f ca="1">IFERROR(VLOOKUP(C2143,' Disaggregation - Section E '!A$618:J2469,3,0),"")</f>
        <v>KP-1b⁽ᴹ⁾ Percentage of transgender people reached with HIV prevention programs - defined package of services</v>
      </c>
      <c r="L2143" s="384"/>
      <c r="M2143" s="384" t="str">
        <f ca="1">IFERROR(IF(VLOOKUP(C2143,' Disaggregation - Section E '!A$618:O1272,15,0)=0,"",VLOOKUP(C2143,' Disaggregation - Section E '!A$618:O1272,15,0)),"")</f>
        <v/>
      </c>
      <c r="N2143" s="388" t="str">
        <f ca="1">IFERROR(IF(VLOOKUP(C2143,' Disaggregation - Section E '!A$618:J2469,10,0)=0,"",VLOOKUP(C2143,' Disaggregation - Section E '!A$618:J2469,10,0)),"")</f>
        <v/>
      </c>
      <c r="O2143" s="384"/>
    </row>
    <row r="2144" spans="1:15" x14ac:dyDescent="0.3">
      <c r="A2144" s="384" t="b">
        <f t="shared" ca="1" si="135"/>
        <v>0</v>
      </c>
      <c r="B2144" s="384"/>
      <c r="C2144" s="393" t="str">
        <f ca="1">IF(COUNTA(O$1493:O2144)=1,"",OFFSET(B2142,-COUNTA(O$1493:O2144)+3,1))</f>
        <v>a16Dm000000LZaJIAW</v>
      </c>
      <c r="D2144" s="389"/>
      <c r="E2144" s="386" t="str">
        <f ca="1">IFERROR(IF(VLOOKUP(C2144,' Disaggregation - Section E '!A$618:J2470,7,0)="","",VLOOKUP(C2144,' Disaggregation - Section E '!A$618:J2470,7,0)*100),"")</f>
        <v/>
      </c>
      <c r="F2144" s="388" t="str">
        <f ca="1">IFERROR(VLOOKUP(C2144,' Disaggregation - Section E '!A$618:J2470,5,0),"")</f>
        <v/>
      </c>
      <c r="G2144" s="387" t="str">
        <f ca="1">IFERROR(IF(VLOOKUP(C2144,' Disaggregation - Section E '!A$618:J2470,6,0)="","",VLOOKUP(C2144,' Disaggregation - Section E '!A$618:J2470,6,0)),"")</f>
        <v/>
      </c>
      <c r="H2144" s="387" t="str">
        <f ca="1">IFERROR(IF(INDEX(' Disaggregation - Section E '!F$618:F2470,MATCH(C2144,' Disaggregation - Section E '!A$618:A2470,0)+1,1)&lt;&gt;0,INDEX(' Disaggregation - Section E '!F$618:F2470,MATCH(C2144,' Disaggregation - Section E '!A$618:A2470,0)+1,1),""),"")</f>
        <v/>
      </c>
      <c r="I2144" s="388" t="str">
        <f ca="1">IFERROR(IF(VLOOKUP(C2144,' Disaggregation - Section E '!A$618:J2470,8,0)=0,"",VLOOKUP(C2144,' Disaggregation - Section E '!A$618:J2470,8,0)),"")</f>
        <v/>
      </c>
      <c r="J2144" s="388" t="str">
        <f ca="1">IFERROR(IF(VLOOKUP(C2144,' Disaggregation - Section E '!A$618:J2470,9,0)="","",VLOOKUP(C2144,' Disaggregation - Section E '!A$618:J2470,9,0)),"")</f>
        <v/>
      </c>
      <c r="K2144" s="384" t="str">
        <f ca="1">IFERROR(VLOOKUP(C2144,' Disaggregation - Section E '!A$618:J2470,3,0),"")</f>
        <v>KP-1b⁽ᴹ⁾ Percentage of transgender people reached with HIV prevention programs - defined package of services</v>
      </c>
      <c r="L2144" s="384"/>
      <c r="M2144" s="384" t="str">
        <f ca="1">IFERROR(IF(VLOOKUP(C2144,' Disaggregation - Section E '!A$618:O1273,15,0)=0,"",VLOOKUP(C2144,' Disaggregation - Section E '!A$618:O1273,15,0)),"")</f>
        <v/>
      </c>
      <c r="N2144" s="388" t="str">
        <f ca="1">IFERROR(IF(VLOOKUP(C2144,' Disaggregation - Section E '!A$618:J2470,10,0)=0,"",VLOOKUP(C2144,' Disaggregation - Section E '!A$618:J2470,10,0)),"")</f>
        <v/>
      </c>
      <c r="O2144" s="384"/>
    </row>
    <row r="2145" spans="1:15" x14ac:dyDescent="0.3">
      <c r="A2145" s="384" t="b">
        <f t="shared" ca="1" si="135"/>
        <v>0</v>
      </c>
      <c r="B2145" s="384"/>
      <c r="C2145" s="393" t="str">
        <f ca="1">IF(COUNTA(O$1493:O2145)=1,"",OFFSET(B2143,-COUNTA(O$1493:O2145)+3,1))</f>
        <v>a16Dm000000LZaKIAW</v>
      </c>
      <c r="D2145" s="389"/>
      <c r="E2145" s="386" t="str">
        <f ca="1">IFERROR(IF(VLOOKUP(C2145,' Disaggregation - Section E '!A$618:J2471,7,0)="","",VLOOKUP(C2145,' Disaggregation - Section E '!A$618:J2471,7,0)*100),"")</f>
        <v/>
      </c>
      <c r="F2145" s="388" t="str">
        <f ca="1">IFERROR(VLOOKUP(C2145,' Disaggregation - Section E '!A$618:J2471,5,0),"")</f>
        <v/>
      </c>
      <c r="G2145" s="387" t="str">
        <f ca="1">IFERROR(IF(VLOOKUP(C2145,' Disaggregation - Section E '!A$618:J2471,6,0)="","",VLOOKUP(C2145,' Disaggregation - Section E '!A$618:J2471,6,0)),"")</f>
        <v/>
      </c>
      <c r="H2145" s="387" t="str">
        <f ca="1">IFERROR(IF(INDEX(' Disaggregation - Section E '!F$618:F2471,MATCH(C2145,' Disaggregation - Section E '!A$618:A2471,0)+1,1)&lt;&gt;0,INDEX(' Disaggregation - Section E '!F$618:F2471,MATCH(C2145,' Disaggregation - Section E '!A$618:A2471,0)+1,1),""),"")</f>
        <v/>
      </c>
      <c r="I2145" s="388" t="str">
        <f ca="1">IFERROR(IF(VLOOKUP(C2145,' Disaggregation - Section E '!A$618:J2471,8,0)=0,"",VLOOKUP(C2145,' Disaggregation - Section E '!A$618:J2471,8,0)),"")</f>
        <v/>
      </c>
      <c r="J2145" s="388" t="str">
        <f ca="1">IFERROR(IF(VLOOKUP(C2145,' Disaggregation - Section E '!A$618:J2471,9,0)="","",VLOOKUP(C2145,' Disaggregation - Section E '!A$618:J2471,9,0)),"")</f>
        <v/>
      </c>
      <c r="K2145" s="384" t="str">
        <f ca="1">IFERROR(VLOOKUP(C2145,' Disaggregation - Section E '!A$618:J2471,3,0),"")</f>
        <v>KP-1b⁽ᴹ⁾ Percentage of transgender people reached with HIV prevention programs - defined package of services</v>
      </c>
      <c r="L2145" s="384"/>
      <c r="M2145" s="384" t="str">
        <f ca="1">IFERROR(IF(VLOOKUP(C2145,' Disaggregation - Section E '!A$618:O1274,15,0)=0,"",VLOOKUP(C2145,' Disaggregation - Section E '!A$618:O1274,15,0)),"")</f>
        <v/>
      </c>
      <c r="N2145" s="388" t="str">
        <f ca="1">IFERROR(IF(VLOOKUP(C2145,' Disaggregation - Section E '!A$618:J2471,10,0)=0,"",VLOOKUP(C2145,' Disaggregation - Section E '!A$618:J2471,10,0)),"")</f>
        <v/>
      </c>
      <c r="O2145" s="384"/>
    </row>
    <row r="2146" spans="1:15" x14ac:dyDescent="0.3">
      <c r="A2146" s="384" t="b">
        <f t="shared" ca="1" si="135"/>
        <v>0</v>
      </c>
      <c r="B2146" s="384"/>
      <c r="C2146" s="393" t="str">
        <f ca="1">IF(COUNTA(O$1493:O2146)=1,"",OFFSET(B2144,-COUNTA(O$1493:O2146)+3,1))</f>
        <v>a16Dm000000LZaLIAW</v>
      </c>
      <c r="D2146" s="389"/>
      <c r="E2146" s="386" t="str">
        <f ca="1">IFERROR(IF(VLOOKUP(C2146,' Disaggregation - Section E '!A$618:J2472,7,0)="","",VLOOKUP(C2146,' Disaggregation - Section E '!A$618:J2472,7,0)*100),"")</f>
        <v/>
      </c>
      <c r="F2146" s="388" t="str">
        <f ca="1">IFERROR(VLOOKUP(C2146,' Disaggregation - Section E '!A$618:J2472,5,0),"")</f>
        <v/>
      </c>
      <c r="G2146" s="387" t="str">
        <f ca="1">IFERROR(IF(VLOOKUP(C2146,' Disaggregation - Section E '!A$618:J2472,6,0)="","",VLOOKUP(C2146,' Disaggregation - Section E '!A$618:J2472,6,0)),"")</f>
        <v/>
      </c>
      <c r="H2146" s="387" t="str">
        <f ca="1">IFERROR(IF(INDEX(' Disaggregation - Section E '!F$618:F2472,MATCH(C2146,' Disaggregation - Section E '!A$618:A2472,0)+1,1)&lt;&gt;0,INDEX(' Disaggregation - Section E '!F$618:F2472,MATCH(C2146,' Disaggregation - Section E '!A$618:A2472,0)+1,1),""),"")</f>
        <v/>
      </c>
      <c r="I2146" s="388" t="str">
        <f ca="1">IFERROR(IF(VLOOKUP(C2146,' Disaggregation - Section E '!A$618:J2472,8,0)=0,"",VLOOKUP(C2146,' Disaggregation - Section E '!A$618:J2472,8,0)),"")</f>
        <v/>
      </c>
      <c r="J2146" s="388" t="str">
        <f ca="1">IFERROR(IF(VLOOKUP(C2146,' Disaggregation - Section E '!A$618:J2472,9,0)="","",VLOOKUP(C2146,' Disaggregation - Section E '!A$618:J2472,9,0)),"")</f>
        <v/>
      </c>
      <c r="K2146" s="384" t="str">
        <f ca="1">IFERROR(VLOOKUP(C2146,' Disaggregation - Section E '!A$618:J2472,3,0),"")</f>
        <v>KP-1b⁽ᴹ⁾ Percentage of transgender people reached with HIV prevention programs - defined package of services</v>
      </c>
      <c r="L2146" s="384"/>
      <c r="M2146" s="384" t="str">
        <f ca="1">IFERROR(IF(VLOOKUP(C2146,' Disaggregation - Section E '!A$618:O1275,15,0)=0,"",VLOOKUP(C2146,' Disaggregation - Section E '!A$618:O1275,15,0)),"")</f>
        <v/>
      </c>
      <c r="N2146" s="388" t="str">
        <f ca="1">IFERROR(IF(VLOOKUP(C2146,' Disaggregation - Section E '!A$618:J2472,10,0)=0,"",VLOOKUP(C2146,' Disaggregation - Section E '!A$618:J2472,10,0)),"")</f>
        <v/>
      </c>
      <c r="O2146" s="384"/>
    </row>
    <row r="2147" spans="1:15" x14ac:dyDescent="0.3">
      <c r="A2147" s="384" t="b">
        <f t="shared" ca="1" si="135"/>
        <v>0</v>
      </c>
      <c r="B2147" s="384"/>
      <c r="C2147" s="393" t="str">
        <f ca="1">IF(COUNTA(O$1493:O2147)=1,"",OFFSET(B2145,-COUNTA(O$1493:O2147)+3,1))</f>
        <v>a16Dm000000LZaMIAW</v>
      </c>
      <c r="D2147" s="389"/>
      <c r="E2147" s="386" t="str">
        <f ca="1">IFERROR(IF(VLOOKUP(C2147,' Disaggregation - Section E '!A$618:J2473,7,0)="","",VLOOKUP(C2147,' Disaggregation - Section E '!A$618:J2473,7,0)*100),"")</f>
        <v/>
      </c>
      <c r="F2147" s="388" t="str">
        <f ca="1">IFERROR(VLOOKUP(C2147,' Disaggregation - Section E '!A$618:J2473,5,0),"")</f>
        <v/>
      </c>
      <c r="G2147" s="387" t="str">
        <f ca="1">IFERROR(IF(VLOOKUP(C2147,' Disaggregation - Section E '!A$618:J2473,6,0)="","",VLOOKUP(C2147,' Disaggregation - Section E '!A$618:J2473,6,0)),"")</f>
        <v/>
      </c>
      <c r="H2147" s="387" t="str">
        <f ca="1">IFERROR(IF(INDEX(' Disaggregation - Section E '!F$618:F2473,MATCH(C2147,' Disaggregation - Section E '!A$618:A2473,0)+1,1)&lt;&gt;0,INDEX(' Disaggregation - Section E '!F$618:F2473,MATCH(C2147,' Disaggregation - Section E '!A$618:A2473,0)+1,1),""),"")</f>
        <v/>
      </c>
      <c r="I2147" s="388" t="str">
        <f ca="1">IFERROR(IF(VLOOKUP(C2147,' Disaggregation - Section E '!A$618:J2473,8,0)=0,"",VLOOKUP(C2147,' Disaggregation - Section E '!A$618:J2473,8,0)),"")</f>
        <v/>
      </c>
      <c r="J2147" s="388" t="str">
        <f ca="1">IFERROR(IF(VLOOKUP(C2147,' Disaggregation - Section E '!A$618:J2473,9,0)="","",VLOOKUP(C2147,' Disaggregation - Section E '!A$618:J2473,9,0)),"")</f>
        <v/>
      </c>
      <c r="K2147" s="384" t="str">
        <f ca="1">IFERROR(VLOOKUP(C2147,' Disaggregation - Section E '!A$618:J2473,3,0),"")</f>
        <v>KP-1b⁽ᴹ⁾ Percentage of transgender people reached with HIV prevention programs - defined package of services</v>
      </c>
      <c r="L2147" s="384"/>
      <c r="M2147" s="384" t="str">
        <f ca="1">IFERROR(IF(VLOOKUP(C2147,' Disaggregation - Section E '!A$618:O1276,15,0)=0,"",VLOOKUP(C2147,' Disaggregation - Section E '!A$618:O1276,15,0)),"")</f>
        <v/>
      </c>
      <c r="N2147" s="388" t="str">
        <f ca="1">IFERROR(IF(VLOOKUP(C2147,' Disaggregation - Section E '!A$618:J2473,10,0)=0,"",VLOOKUP(C2147,' Disaggregation - Section E '!A$618:J2473,10,0)),"")</f>
        <v/>
      </c>
      <c r="O2147" s="384"/>
    </row>
    <row r="2148" spans="1:15" x14ac:dyDescent="0.3">
      <c r="A2148" s="384" t="b">
        <f t="shared" ca="1" si="135"/>
        <v>0</v>
      </c>
      <c r="B2148" s="384"/>
      <c r="C2148" s="393" t="str">
        <f ca="1">IF(COUNTA(O$1493:O2148)=1,"",OFFSET(B2146,-COUNTA(O$1493:O2148)+3,1))</f>
        <v>a16Dm000000LZaNIAW</v>
      </c>
      <c r="D2148" s="389"/>
      <c r="E2148" s="386" t="str">
        <f ca="1">IFERROR(IF(VLOOKUP(C2148,' Disaggregation - Section E '!A$618:J2474,7,0)="","",VLOOKUP(C2148,' Disaggregation - Section E '!A$618:J2474,7,0)*100),"")</f>
        <v/>
      </c>
      <c r="F2148" s="388" t="str">
        <f ca="1">IFERROR(VLOOKUP(C2148,' Disaggregation - Section E '!A$618:J2474,5,0),"")</f>
        <v/>
      </c>
      <c r="G2148" s="387" t="str">
        <f ca="1">IFERROR(IF(VLOOKUP(C2148,' Disaggregation - Section E '!A$618:J2474,6,0)="","",VLOOKUP(C2148,' Disaggregation - Section E '!A$618:J2474,6,0)),"")</f>
        <v/>
      </c>
      <c r="H2148" s="387" t="str">
        <f ca="1">IFERROR(IF(INDEX(' Disaggregation - Section E '!F$618:F2474,MATCH(C2148,' Disaggregation - Section E '!A$618:A2474,0)+1,1)&lt;&gt;0,INDEX(' Disaggregation - Section E '!F$618:F2474,MATCH(C2148,' Disaggregation - Section E '!A$618:A2474,0)+1,1),""),"")</f>
        <v/>
      </c>
      <c r="I2148" s="388" t="str">
        <f ca="1">IFERROR(IF(VLOOKUP(C2148,' Disaggregation - Section E '!A$618:J2474,8,0)=0,"",VLOOKUP(C2148,' Disaggregation - Section E '!A$618:J2474,8,0)),"")</f>
        <v/>
      </c>
      <c r="J2148" s="388" t="str">
        <f ca="1">IFERROR(IF(VLOOKUP(C2148,' Disaggregation - Section E '!A$618:J2474,9,0)="","",VLOOKUP(C2148,' Disaggregation - Section E '!A$618:J2474,9,0)),"")</f>
        <v/>
      </c>
      <c r="K2148" s="384" t="str">
        <f ca="1">IFERROR(VLOOKUP(C2148,' Disaggregation - Section E '!A$618:J2474,3,0),"")</f>
        <v>KP-1b⁽ᴹ⁾ Percentage of transgender people reached with HIV prevention programs - defined package of services</v>
      </c>
      <c r="L2148" s="384"/>
      <c r="M2148" s="384" t="str">
        <f ca="1">IFERROR(IF(VLOOKUP(C2148,' Disaggregation - Section E '!A$618:O1277,15,0)=0,"",VLOOKUP(C2148,' Disaggregation - Section E '!A$618:O1277,15,0)),"")</f>
        <v/>
      </c>
      <c r="N2148" s="388" t="str">
        <f ca="1">IFERROR(IF(VLOOKUP(C2148,' Disaggregation - Section E '!A$618:J2474,10,0)=0,"",VLOOKUP(C2148,' Disaggregation - Section E '!A$618:J2474,10,0)),"")</f>
        <v/>
      </c>
      <c r="O2148" s="384"/>
    </row>
    <row r="2149" spans="1:15" x14ac:dyDescent="0.3">
      <c r="A2149" s="384" t="b">
        <f t="shared" ca="1" si="135"/>
        <v>0</v>
      </c>
      <c r="B2149" s="384"/>
      <c r="C2149" s="393" t="str">
        <f ca="1">IF(COUNTA(O$1493:O2149)=1,"",OFFSET(B2147,-COUNTA(O$1493:O2149)+3,1))</f>
        <v>a16Dm000000LZaOIAW</v>
      </c>
      <c r="D2149" s="389"/>
      <c r="E2149" s="386" t="str">
        <f ca="1">IFERROR(IF(VLOOKUP(C2149,' Disaggregation - Section E '!A$618:J2475,7,0)="","",VLOOKUP(C2149,' Disaggregation - Section E '!A$618:J2475,7,0)*100),"")</f>
        <v/>
      </c>
      <c r="F2149" s="388" t="str">
        <f ca="1">IFERROR(VLOOKUP(C2149,' Disaggregation - Section E '!A$618:J2475,5,0),"")</f>
        <v/>
      </c>
      <c r="G2149" s="387" t="str">
        <f ca="1">IFERROR(IF(VLOOKUP(C2149,' Disaggregation - Section E '!A$618:J2475,6,0)="","",VLOOKUP(C2149,' Disaggregation - Section E '!A$618:J2475,6,0)),"")</f>
        <v/>
      </c>
      <c r="H2149" s="387" t="str">
        <f ca="1">IFERROR(IF(INDEX(' Disaggregation - Section E '!F$618:F2475,MATCH(C2149,' Disaggregation - Section E '!A$618:A2475,0)+1,1)&lt;&gt;0,INDEX(' Disaggregation - Section E '!F$618:F2475,MATCH(C2149,' Disaggregation - Section E '!A$618:A2475,0)+1,1),""),"")</f>
        <v/>
      </c>
      <c r="I2149" s="388" t="str">
        <f ca="1">IFERROR(IF(VLOOKUP(C2149,' Disaggregation - Section E '!A$618:J2475,8,0)=0,"",VLOOKUP(C2149,' Disaggregation - Section E '!A$618:J2475,8,0)),"")</f>
        <v/>
      </c>
      <c r="J2149" s="388" t="str">
        <f ca="1">IFERROR(IF(VLOOKUP(C2149,' Disaggregation - Section E '!A$618:J2475,9,0)="","",VLOOKUP(C2149,' Disaggregation - Section E '!A$618:J2475,9,0)),"")</f>
        <v/>
      </c>
      <c r="K2149" s="384" t="str">
        <f ca="1">IFERROR(VLOOKUP(C2149,' Disaggregation - Section E '!A$618:J2475,3,0),"")</f>
        <v>KP-1b⁽ᴹ⁾ Percentage of transgender people reached with HIV prevention programs - defined package of services</v>
      </c>
      <c r="L2149" s="384"/>
      <c r="M2149" s="384" t="str">
        <f ca="1">IFERROR(IF(VLOOKUP(C2149,' Disaggregation - Section E '!A$618:O1278,15,0)=0,"",VLOOKUP(C2149,' Disaggregation - Section E '!A$618:O1278,15,0)),"")</f>
        <v/>
      </c>
      <c r="N2149" s="388" t="str">
        <f ca="1">IFERROR(IF(VLOOKUP(C2149,' Disaggregation - Section E '!A$618:J2475,10,0)=0,"",VLOOKUP(C2149,' Disaggregation - Section E '!A$618:J2475,10,0)),"")</f>
        <v/>
      </c>
      <c r="O2149" s="384"/>
    </row>
    <row r="2150" spans="1:15" x14ac:dyDescent="0.3">
      <c r="A2150" s="384" t="b">
        <f t="shared" ca="1" si="135"/>
        <v>0</v>
      </c>
      <c r="B2150" s="384"/>
      <c r="C2150" s="393" t="str">
        <f ca="1">IF(COUNTA(O$1493:O2150)=1,"",OFFSET(B2148,-COUNTA(O$1493:O2150)+3,1))</f>
        <v>a16Dm000000LZaPIAW</v>
      </c>
      <c r="D2150" s="389"/>
      <c r="E2150" s="386" t="str">
        <f ca="1">IFERROR(IF(VLOOKUP(C2150,' Disaggregation - Section E '!A$618:J2476,7,0)="","",VLOOKUP(C2150,' Disaggregation - Section E '!A$618:J2476,7,0)*100),"")</f>
        <v/>
      </c>
      <c r="F2150" s="388" t="str">
        <f ca="1">IFERROR(VLOOKUP(C2150,' Disaggregation - Section E '!A$618:J2476,5,0),"")</f>
        <v/>
      </c>
      <c r="G2150" s="387" t="str">
        <f ca="1">IFERROR(IF(VLOOKUP(C2150,' Disaggregation - Section E '!A$618:J2476,6,0)="","",VLOOKUP(C2150,' Disaggregation - Section E '!A$618:J2476,6,0)),"")</f>
        <v/>
      </c>
      <c r="H2150" s="387" t="str">
        <f ca="1">IFERROR(IF(INDEX(' Disaggregation - Section E '!F$618:F2476,MATCH(C2150,' Disaggregation - Section E '!A$618:A2476,0)+1,1)&lt;&gt;0,INDEX(' Disaggregation - Section E '!F$618:F2476,MATCH(C2150,' Disaggregation - Section E '!A$618:A2476,0)+1,1),""),"")</f>
        <v/>
      </c>
      <c r="I2150" s="388" t="str">
        <f ca="1">IFERROR(IF(VLOOKUP(C2150,' Disaggregation - Section E '!A$618:J2476,8,0)=0,"",VLOOKUP(C2150,' Disaggregation - Section E '!A$618:J2476,8,0)),"")</f>
        <v/>
      </c>
      <c r="J2150" s="388" t="str">
        <f ca="1">IFERROR(IF(VLOOKUP(C2150,' Disaggregation - Section E '!A$618:J2476,9,0)="","",VLOOKUP(C2150,' Disaggregation - Section E '!A$618:J2476,9,0)),"")</f>
        <v/>
      </c>
      <c r="K2150" s="384" t="str">
        <f ca="1">IFERROR(VLOOKUP(C2150,' Disaggregation - Section E '!A$618:J2476,3,0),"")</f>
        <v>KP-1b⁽ᴹ⁾ Percentage of transgender people reached with HIV prevention programs - defined package of services</v>
      </c>
      <c r="L2150" s="384"/>
      <c r="M2150" s="384" t="str">
        <f ca="1">IFERROR(IF(VLOOKUP(C2150,' Disaggregation - Section E '!A$618:O1279,15,0)=0,"",VLOOKUP(C2150,' Disaggregation - Section E '!A$618:O1279,15,0)),"")</f>
        <v/>
      </c>
      <c r="N2150" s="388" t="str">
        <f ca="1">IFERROR(IF(VLOOKUP(C2150,' Disaggregation - Section E '!A$618:J2476,10,0)=0,"",VLOOKUP(C2150,' Disaggregation - Section E '!A$618:J2476,10,0)),"")</f>
        <v/>
      </c>
      <c r="O2150" s="384"/>
    </row>
    <row r="2151" spans="1:15" x14ac:dyDescent="0.3">
      <c r="A2151" s="384" t="b">
        <f t="shared" ca="1" si="135"/>
        <v>0</v>
      </c>
      <c r="B2151" s="384"/>
      <c r="C2151" s="393" t="str">
        <f ca="1">IF(COUNTA(O$1493:O2151)=1,"",OFFSET(B2149,-COUNTA(O$1493:O2151)+3,1))</f>
        <v>a16Dm000000LZaQIAW</v>
      </c>
      <c r="D2151" s="389"/>
      <c r="E2151" s="386" t="str">
        <f ca="1">IFERROR(IF(VLOOKUP(C2151,' Disaggregation - Section E '!A$618:J2477,7,0)="","",VLOOKUP(C2151,' Disaggregation - Section E '!A$618:J2477,7,0)*100),"")</f>
        <v/>
      </c>
      <c r="F2151" s="388" t="str">
        <f ca="1">IFERROR(VLOOKUP(C2151,' Disaggregation - Section E '!A$618:J2477,5,0),"")</f>
        <v/>
      </c>
      <c r="G2151" s="387" t="str">
        <f ca="1">IFERROR(IF(VLOOKUP(C2151,' Disaggregation - Section E '!A$618:J2477,6,0)="","",VLOOKUP(C2151,' Disaggregation - Section E '!A$618:J2477,6,0)),"")</f>
        <v/>
      </c>
      <c r="H2151" s="387" t="str">
        <f ca="1">IFERROR(IF(INDEX(' Disaggregation - Section E '!F$618:F2477,MATCH(C2151,' Disaggregation - Section E '!A$618:A2477,0)+1,1)&lt;&gt;0,INDEX(' Disaggregation - Section E '!F$618:F2477,MATCH(C2151,' Disaggregation - Section E '!A$618:A2477,0)+1,1),""),"")</f>
        <v/>
      </c>
      <c r="I2151" s="388" t="str">
        <f ca="1">IFERROR(IF(VLOOKUP(C2151,' Disaggregation - Section E '!A$618:J2477,8,0)=0,"",VLOOKUP(C2151,' Disaggregation - Section E '!A$618:J2477,8,0)),"")</f>
        <v/>
      </c>
      <c r="J2151" s="388" t="str">
        <f ca="1">IFERROR(IF(VLOOKUP(C2151,' Disaggregation - Section E '!A$618:J2477,9,0)="","",VLOOKUP(C2151,' Disaggregation - Section E '!A$618:J2477,9,0)),"")</f>
        <v/>
      </c>
      <c r="K2151" s="384" t="str">
        <f ca="1">IFERROR(VLOOKUP(C2151,' Disaggregation - Section E '!A$618:J2477,3,0),"")</f>
        <v>KP-1b⁽ᴹ⁾ Percentage of transgender people reached with HIV prevention programs - defined package of services</v>
      </c>
      <c r="L2151" s="384"/>
      <c r="M2151" s="384" t="str">
        <f ca="1">IFERROR(IF(VLOOKUP(C2151,' Disaggregation - Section E '!A$618:O1280,15,0)=0,"",VLOOKUP(C2151,' Disaggregation - Section E '!A$618:O1280,15,0)),"")</f>
        <v/>
      </c>
      <c r="N2151" s="388" t="str">
        <f ca="1">IFERROR(IF(VLOOKUP(C2151,' Disaggregation - Section E '!A$618:J2477,10,0)=0,"",VLOOKUP(C2151,' Disaggregation - Section E '!A$618:J2477,10,0)),"")</f>
        <v/>
      </c>
      <c r="O2151" s="384"/>
    </row>
    <row r="2152" spans="1:15" x14ac:dyDescent="0.3">
      <c r="A2152" s="384" t="b">
        <f t="shared" ca="1" si="135"/>
        <v>0</v>
      </c>
      <c r="B2152" s="384"/>
      <c r="C2152" s="393" t="str">
        <f ca="1">IF(COUNTA(O$1493:O2152)=1,"",OFFSET(B2150,-COUNTA(O$1493:O2152)+3,1))</f>
        <v>a16Dm000000LZaRIAW</v>
      </c>
      <c r="D2152" s="389"/>
      <c r="E2152" s="386" t="str">
        <f ca="1">IFERROR(IF(VLOOKUP(C2152,' Disaggregation - Section E '!A$618:J2478,7,0)="","",VLOOKUP(C2152,' Disaggregation - Section E '!A$618:J2478,7,0)*100),"")</f>
        <v/>
      </c>
      <c r="F2152" s="388" t="str">
        <f ca="1">IFERROR(VLOOKUP(C2152,' Disaggregation - Section E '!A$618:J2478,5,0),"")</f>
        <v/>
      </c>
      <c r="G2152" s="387" t="str">
        <f ca="1">IFERROR(IF(VLOOKUP(C2152,' Disaggregation - Section E '!A$618:J2478,6,0)="","",VLOOKUP(C2152,' Disaggregation - Section E '!A$618:J2478,6,0)),"")</f>
        <v/>
      </c>
      <c r="H2152" s="387" t="str">
        <f ca="1">IFERROR(IF(INDEX(' Disaggregation - Section E '!F$618:F2478,MATCH(C2152,' Disaggregation - Section E '!A$618:A2478,0)+1,1)&lt;&gt;0,INDEX(' Disaggregation - Section E '!F$618:F2478,MATCH(C2152,' Disaggregation - Section E '!A$618:A2478,0)+1,1),""),"")</f>
        <v/>
      </c>
      <c r="I2152" s="388" t="str">
        <f ca="1">IFERROR(IF(VLOOKUP(C2152,' Disaggregation - Section E '!A$618:J2478,8,0)=0,"",VLOOKUP(C2152,' Disaggregation - Section E '!A$618:J2478,8,0)),"")</f>
        <v/>
      </c>
      <c r="J2152" s="388" t="str">
        <f ca="1">IFERROR(IF(VLOOKUP(C2152,' Disaggregation - Section E '!A$618:J2478,9,0)="","",VLOOKUP(C2152,' Disaggregation - Section E '!A$618:J2478,9,0)),"")</f>
        <v/>
      </c>
      <c r="K2152" s="384" t="str">
        <f ca="1">IFERROR(VLOOKUP(C2152,' Disaggregation - Section E '!A$618:J2478,3,0),"")</f>
        <v>KP-1b⁽ᴹ⁾ Percentage of transgender people reached with HIV prevention programs - defined package of services</v>
      </c>
      <c r="L2152" s="384"/>
      <c r="M2152" s="384" t="str">
        <f ca="1">IFERROR(IF(VLOOKUP(C2152,' Disaggregation - Section E '!A$618:O1281,15,0)=0,"",VLOOKUP(C2152,' Disaggregation - Section E '!A$618:O1281,15,0)),"")</f>
        <v/>
      </c>
      <c r="N2152" s="388" t="str">
        <f ca="1">IFERROR(IF(VLOOKUP(C2152,' Disaggregation - Section E '!A$618:J2478,10,0)=0,"",VLOOKUP(C2152,' Disaggregation - Section E '!A$618:J2478,10,0)),"")</f>
        <v/>
      </c>
      <c r="O2152" s="384"/>
    </row>
    <row r="2153" spans="1:15" x14ac:dyDescent="0.3">
      <c r="A2153" s="384" t="b">
        <f t="shared" ca="1" si="135"/>
        <v>0</v>
      </c>
      <c r="B2153" s="384"/>
      <c r="C2153" s="393" t="str">
        <f ca="1">IF(COUNTA(O$1493:O2153)=1,"",OFFSET(B2151,-COUNTA(O$1493:O2153)+3,1))</f>
        <v>a16Dm000000LZaSIAW</v>
      </c>
      <c r="D2153" s="389"/>
      <c r="E2153" s="386" t="str">
        <f ca="1">IFERROR(IF(VLOOKUP(C2153,' Disaggregation - Section E '!A$618:J2479,7,0)="","",VLOOKUP(C2153,' Disaggregation - Section E '!A$618:J2479,7,0)*100),"")</f>
        <v/>
      </c>
      <c r="F2153" s="388" t="str">
        <f ca="1">IFERROR(VLOOKUP(C2153,' Disaggregation - Section E '!A$618:J2479,5,0),"")</f>
        <v/>
      </c>
      <c r="G2153" s="387" t="str">
        <f ca="1">IFERROR(IF(VLOOKUP(C2153,' Disaggregation - Section E '!A$618:J2479,6,0)="","",VLOOKUP(C2153,' Disaggregation - Section E '!A$618:J2479,6,0)),"")</f>
        <v/>
      </c>
      <c r="H2153" s="387" t="str">
        <f ca="1">IFERROR(IF(INDEX(' Disaggregation - Section E '!F$618:F2479,MATCH(C2153,' Disaggregation - Section E '!A$618:A2479,0)+1,1)&lt;&gt;0,INDEX(' Disaggregation - Section E '!F$618:F2479,MATCH(C2153,' Disaggregation - Section E '!A$618:A2479,0)+1,1),""),"")</f>
        <v/>
      </c>
      <c r="I2153" s="388" t="str">
        <f ca="1">IFERROR(IF(VLOOKUP(C2153,' Disaggregation - Section E '!A$618:J2479,8,0)=0,"",VLOOKUP(C2153,' Disaggregation - Section E '!A$618:J2479,8,0)),"")</f>
        <v/>
      </c>
      <c r="J2153" s="388" t="str">
        <f ca="1">IFERROR(IF(VLOOKUP(C2153,' Disaggregation - Section E '!A$618:J2479,9,0)="","",VLOOKUP(C2153,' Disaggregation - Section E '!A$618:J2479,9,0)),"")</f>
        <v/>
      </c>
      <c r="K2153" s="384" t="str">
        <f ca="1">IFERROR(VLOOKUP(C2153,' Disaggregation - Section E '!A$618:J2479,3,0),"")</f>
        <v>KP-1b⁽ᴹ⁾ Percentage of transgender people reached with HIV prevention programs - defined package of services</v>
      </c>
      <c r="L2153" s="384"/>
      <c r="M2153" s="384" t="str">
        <f ca="1">IFERROR(IF(VLOOKUP(C2153,' Disaggregation - Section E '!A$618:O1282,15,0)=0,"",VLOOKUP(C2153,' Disaggregation - Section E '!A$618:O1282,15,0)),"")</f>
        <v/>
      </c>
      <c r="N2153" s="388" t="str">
        <f ca="1">IFERROR(IF(VLOOKUP(C2153,' Disaggregation - Section E '!A$618:J2479,10,0)=0,"",VLOOKUP(C2153,' Disaggregation - Section E '!A$618:J2479,10,0)),"")</f>
        <v/>
      </c>
      <c r="O2153" s="384"/>
    </row>
    <row r="2154" spans="1:15" x14ac:dyDescent="0.3">
      <c r="A2154" s="384" t="b">
        <f t="shared" ca="1" si="135"/>
        <v>0</v>
      </c>
      <c r="B2154" s="384"/>
      <c r="C2154" s="393" t="str">
        <f ca="1">IF(COUNTA(O$1493:O2154)=1,"",OFFSET(B2152,-COUNTA(O$1493:O2154)+3,1))</f>
        <v>a16Dm000000LZaTIAW</v>
      </c>
      <c r="D2154" s="389"/>
      <c r="E2154" s="386" t="str">
        <f ca="1">IFERROR(IF(VLOOKUP(C2154,' Disaggregation - Section E '!A$618:J2480,7,0)="","",VLOOKUP(C2154,' Disaggregation - Section E '!A$618:J2480,7,0)*100),"")</f>
        <v/>
      </c>
      <c r="F2154" s="388" t="str">
        <f ca="1">IFERROR(VLOOKUP(C2154,' Disaggregation - Section E '!A$618:J2480,5,0),"")</f>
        <v/>
      </c>
      <c r="G2154" s="387" t="str">
        <f ca="1">IFERROR(IF(VLOOKUP(C2154,' Disaggregation - Section E '!A$618:J2480,6,0)="","",VLOOKUP(C2154,' Disaggregation - Section E '!A$618:J2480,6,0)),"")</f>
        <v/>
      </c>
      <c r="H2154" s="387" t="str">
        <f ca="1">IFERROR(IF(INDEX(' Disaggregation - Section E '!F$618:F2480,MATCH(C2154,' Disaggregation - Section E '!A$618:A2480,0)+1,1)&lt;&gt;0,INDEX(' Disaggregation - Section E '!F$618:F2480,MATCH(C2154,' Disaggregation - Section E '!A$618:A2480,0)+1,1),""),"")</f>
        <v/>
      </c>
      <c r="I2154" s="388" t="str">
        <f ca="1">IFERROR(IF(VLOOKUP(C2154,' Disaggregation - Section E '!A$618:J2480,8,0)=0,"",VLOOKUP(C2154,' Disaggregation - Section E '!A$618:J2480,8,0)),"")</f>
        <v/>
      </c>
      <c r="J2154" s="388" t="str">
        <f ca="1">IFERROR(IF(VLOOKUP(C2154,' Disaggregation - Section E '!A$618:J2480,9,0)="","",VLOOKUP(C2154,' Disaggregation - Section E '!A$618:J2480,9,0)),"")</f>
        <v/>
      </c>
      <c r="K2154" s="384" t="str">
        <f ca="1">IFERROR(VLOOKUP(C2154,' Disaggregation - Section E '!A$618:J2480,3,0),"")</f>
        <v>KP-1b⁽ᴹ⁾ Percentage of transgender people reached with HIV prevention programs - defined package of services</v>
      </c>
      <c r="L2154" s="384"/>
      <c r="M2154" s="384" t="str">
        <f ca="1">IFERROR(IF(VLOOKUP(C2154,' Disaggregation - Section E '!A$618:O1283,15,0)=0,"",VLOOKUP(C2154,' Disaggregation - Section E '!A$618:O1283,15,0)),"")</f>
        <v/>
      </c>
      <c r="N2154" s="388" t="str">
        <f ca="1">IFERROR(IF(VLOOKUP(C2154,' Disaggregation - Section E '!A$618:J2480,10,0)=0,"",VLOOKUP(C2154,' Disaggregation - Section E '!A$618:J2480,10,0)),"")</f>
        <v/>
      </c>
      <c r="O2154" s="384"/>
    </row>
    <row r="2155" spans="1:15" x14ac:dyDescent="0.3">
      <c r="A2155" s="384" t="b">
        <f t="shared" ca="1" si="135"/>
        <v>1</v>
      </c>
      <c r="B2155" s="384"/>
      <c r="C2155" s="393" t="str">
        <f ca="1">IF(COUNTA(O$1493:O2155)=1,"",OFFSET(B2153,-COUNTA(O$1493:O2155)+3,1))</f>
        <v>a16Dm000000LZaUIAW</v>
      </c>
      <c r="D2155" s="389"/>
      <c r="E2155" s="386" t="str">
        <f ca="1">IFERROR(IF(VLOOKUP(C2155,' Disaggregation - Section E '!A$618:J2481,7,0)="","",VLOOKUP(C2155,' Disaggregation - Section E '!A$618:J2481,7,0)*100),"")</f>
        <v/>
      </c>
      <c r="F2155" s="388" t="str">
        <f ca="1">IFERROR(VLOOKUP(C2155,' Disaggregation - Section E '!A$618:J2481,5,0),"")</f>
        <v>25+</v>
      </c>
      <c r="G2155" s="387">
        <f ca="1">IFERROR(IF(VLOOKUP(C2155,' Disaggregation - Section E '!A$618:J2481,6,0)="","",VLOOKUP(C2155,' Disaggregation - Section E '!A$618:J2481,6,0)),"")</f>
        <v>17010</v>
      </c>
      <c r="H2155" s="387" t="str">
        <f ca="1">IFERROR(IF(INDEX(' Disaggregation - Section E '!F$618:F2481,MATCH(C2155,' Disaggregation - Section E '!A$618:A2481,0)+1,1)&lt;&gt;0,INDEX(' Disaggregation - Section E '!F$618:F2481,MATCH(C2155,' Disaggregation - Section E '!A$618:A2481,0)+1,1),""),"")</f>
        <v/>
      </c>
      <c r="I2155" s="388">
        <f ca="1">IFERROR(IF(VLOOKUP(C2155,' Disaggregation - Section E '!A$618:J2481,8,0)=0,"",VLOOKUP(C2155,' Disaggregation - Section E '!A$618:J2481,8,0)),"")</f>
        <v>2022</v>
      </c>
      <c r="J2155" s="388" t="str">
        <f ca="1">IFERROR(IF(VLOOKUP(C2155,' Disaggregation - Section E '!A$618:J2481,9,0)="","",VLOOKUP(C2155,' Disaggregation - Section E '!A$618:J2481,9,0)),"")</f>
        <v>Admistrative report</v>
      </c>
      <c r="K2155" s="384" t="str">
        <f ca="1">IFERROR(VLOOKUP(C2155,' Disaggregation - Section E '!A$618:J2481,3,0),"")</f>
        <v>KP-1d⁽ᴹ⁾ Percentage of people who inject drugs reached with HIV prevention programs - defined package of services</v>
      </c>
      <c r="L2155" s="384"/>
      <c r="M2155" s="384" t="str">
        <f ca="1">IFERROR(IF(VLOOKUP(C2155,' Disaggregation - Section E '!A$618:O1284,15,0)=0,"",VLOOKUP(C2155,' Disaggregation - Section E '!A$618:O1284,15,0)),"")</f>
        <v>IDR-01224</v>
      </c>
      <c r="N2155" s="388" t="str">
        <f ca="1">IFERROR(IF(VLOOKUP(C2155,' Disaggregation - Section E '!A$618:J2481,10,0)=0,"",VLOOKUP(C2155,' Disaggregation - Section E '!A$618:J2481,10,0)),"")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155" s="384"/>
    </row>
    <row r="2156" spans="1:15" x14ac:dyDescent="0.3">
      <c r="A2156" s="384" t="b">
        <f t="shared" ca="1" si="135"/>
        <v>1</v>
      </c>
      <c r="B2156" s="384"/>
      <c r="C2156" s="393" t="str">
        <f ca="1">IF(COUNTA(O$1493:O2156)=1,"",OFFSET(B2154,-COUNTA(O$1493:O2156)+3,1))</f>
        <v>a16Dm000000LZaVIAW</v>
      </c>
      <c r="D2156" s="389"/>
      <c r="E2156" s="386" t="str">
        <f ca="1">IFERROR(IF(VLOOKUP(C2156,' Disaggregation - Section E '!A$618:J2482,7,0)="","",VLOOKUP(C2156,' Disaggregation - Section E '!A$618:J2482,7,0)*100),"")</f>
        <v/>
      </c>
      <c r="F2156" s="388" t="str">
        <f ca="1">IFERROR(VLOOKUP(C2156,' Disaggregation - Section E '!A$618:J2482,5,0),"")</f>
        <v>20-24</v>
      </c>
      <c r="G2156" s="387">
        <f ca="1">IFERROR(IF(VLOOKUP(C2156,' Disaggregation - Section E '!A$618:J2482,6,0)="","",VLOOKUP(C2156,' Disaggregation - Section E '!A$618:J2482,6,0)),"")</f>
        <v>369</v>
      </c>
      <c r="H2156" s="387" t="str">
        <f ca="1">IFERROR(IF(INDEX(' Disaggregation - Section E '!F$618:F2482,MATCH(C2156,' Disaggregation - Section E '!A$618:A2482,0)+1,1)&lt;&gt;0,INDEX(' Disaggregation - Section E '!F$618:F2482,MATCH(C2156,' Disaggregation - Section E '!A$618:A2482,0)+1,1),""),"")</f>
        <v/>
      </c>
      <c r="I2156" s="388">
        <f ca="1">IFERROR(IF(VLOOKUP(C2156,' Disaggregation - Section E '!A$618:J2482,8,0)=0,"",VLOOKUP(C2156,' Disaggregation - Section E '!A$618:J2482,8,0)),"")</f>
        <v>2022</v>
      </c>
      <c r="J2156" s="388" t="str">
        <f ca="1">IFERROR(IF(VLOOKUP(C2156,' Disaggregation - Section E '!A$618:J2482,9,0)="","",VLOOKUP(C2156,' Disaggregation - Section E '!A$618:J2482,9,0)),"")</f>
        <v>Admistrative report</v>
      </c>
      <c r="K2156" s="384" t="str">
        <f ca="1">IFERROR(VLOOKUP(C2156,' Disaggregation - Section E '!A$618:J2482,3,0),"")</f>
        <v>KP-1d⁽ᴹ⁾ Percentage of people who inject drugs reached with HIV prevention programs - defined package of services</v>
      </c>
      <c r="L2156" s="384"/>
      <c r="M2156" s="384" t="str">
        <f ca="1">IFERROR(IF(VLOOKUP(C2156,' Disaggregation - Section E '!A$618:O1285,15,0)=0,"",VLOOKUP(C2156,' Disaggregation - Section E '!A$618:O1285,15,0)),"")</f>
        <v>IDR-01223</v>
      </c>
      <c r="N2156" s="388" t="str">
        <f ca="1">IFERROR(IF(VLOOKUP(C2156,' Disaggregation - Section E '!A$618:J2482,10,0)=0,"",VLOOKUP(C2156,' Disaggregation - Section E '!A$618:J2482,10,0)),"")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156" s="384"/>
    </row>
    <row r="2157" spans="1:15" x14ac:dyDescent="0.3">
      <c r="A2157" s="384" t="b">
        <f t="shared" ca="1" si="135"/>
        <v>1</v>
      </c>
      <c r="B2157" s="384"/>
      <c r="C2157" s="393" t="str">
        <f ca="1">IF(COUNTA(O$1493:O2157)=1,"",OFFSET(B2155,-COUNTA(O$1493:O2157)+3,1))</f>
        <v>a16Dm000000LZaWIAW</v>
      </c>
      <c r="D2157" s="389"/>
      <c r="E2157" s="386" t="str">
        <f ca="1">IFERROR(IF(VLOOKUP(C2157,' Disaggregation - Section E '!A$618:J2483,7,0)="","",VLOOKUP(C2157,' Disaggregation - Section E '!A$618:J2483,7,0)*100),"")</f>
        <v/>
      </c>
      <c r="F2157" s="388" t="str">
        <f ca="1">IFERROR(VLOOKUP(C2157,' Disaggregation - Section E '!A$618:J2483,5,0),"")</f>
        <v>15-19</v>
      </c>
      <c r="G2157" s="387">
        <f ca="1">IFERROR(IF(VLOOKUP(C2157,' Disaggregation - Section E '!A$618:J2483,6,0)="","",VLOOKUP(C2157,' Disaggregation - Section E '!A$618:J2483,6,0)),"")</f>
        <v>19</v>
      </c>
      <c r="H2157" s="387" t="str">
        <f ca="1">IFERROR(IF(INDEX(' Disaggregation - Section E '!F$618:F2483,MATCH(C2157,' Disaggregation - Section E '!A$618:A2483,0)+1,1)&lt;&gt;0,INDEX(' Disaggregation - Section E '!F$618:F2483,MATCH(C2157,' Disaggregation - Section E '!A$618:A2483,0)+1,1),""),"")</f>
        <v/>
      </c>
      <c r="I2157" s="388">
        <f ca="1">IFERROR(IF(VLOOKUP(C2157,' Disaggregation - Section E '!A$618:J2483,8,0)=0,"",VLOOKUP(C2157,' Disaggregation - Section E '!A$618:J2483,8,0)),"")</f>
        <v>2022</v>
      </c>
      <c r="J2157" s="388" t="str">
        <f ca="1">IFERROR(IF(VLOOKUP(C2157,' Disaggregation - Section E '!A$618:J2483,9,0)="","",VLOOKUP(C2157,' Disaggregation - Section E '!A$618:J2483,9,0)),"")</f>
        <v>Admistrative report</v>
      </c>
      <c r="K2157" s="384" t="str">
        <f ca="1">IFERROR(VLOOKUP(C2157,' Disaggregation - Section E '!A$618:J2483,3,0),"")</f>
        <v>KP-1d⁽ᴹ⁾ Percentage of people who inject drugs reached with HIV prevention programs - defined package of services</v>
      </c>
      <c r="L2157" s="384"/>
      <c r="M2157" s="384" t="str">
        <f ca="1">IFERROR(IF(VLOOKUP(C2157,' Disaggregation - Section E '!A$618:O1286,15,0)=0,"",VLOOKUP(C2157,' Disaggregation - Section E '!A$618:O1286,15,0)),"")</f>
        <v>IDR-01222</v>
      </c>
      <c r="N2157" s="388" t="str">
        <f ca="1">IFERROR(IF(VLOOKUP(C2157,' Disaggregation - Section E '!A$618:J2483,10,0)=0,"",VLOOKUP(C2157,' Disaggregation - Section E '!A$618:J2483,10,0)),"")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157" s="384"/>
    </row>
    <row r="2158" spans="1:15" x14ac:dyDescent="0.3">
      <c r="A2158" s="384" t="b">
        <f t="shared" ca="1" si="135"/>
        <v>1</v>
      </c>
      <c r="B2158" s="384"/>
      <c r="C2158" s="393" t="str">
        <f ca="1">IF(COUNTA(O$1493:O2158)=1,"",OFFSET(B2156,-COUNTA(O$1493:O2158)+3,1))</f>
        <v>a16Dm000000LZaXIAW</v>
      </c>
      <c r="D2158" s="389"/>
      <c r="E2158" s="386" t="str">
        <f ca="1">IFERROR(IF(VLOOKUP(C2158,' Disaggregation - Section E '!A$618:J2484,7,0)="","",VLOOKUP(C2158,' Disaggregation - Section E '!A$618:J2484,7,0)*100),"")</f>
        <v/>
      </c>
      <c r="F2158" s="388" t="str">
        <f ca="1">IFERROR(VLOOKUP(C2158,' Disaggregation - Section E '!A$618:J2484,5,0),"")</f>
        <v>Male</v>
      </c>
      <c r="G2158" s="387">
        <f ca="1">IFERROR(IF(VLOOKUP(C2158,' Disaggregation - Section E '!A$618:J2484,6,0)="","",VLOOKUP(C2158,' Disaggregation - Section E '!A$618:J2484,6,0)),"")</f>
        <v>14840</v>
      </c>
      <c r="H2158" s="387" t="str">
        <f ca="1">IFERROR(IF(INDEX(' Disaggregation - Section E '!F$618:F2484,MATCH(C2158,' Disaggregation - Section E '!A$618:A2484,0)+1,1)&lt;&gt;0,INDEX(' Disaggregation - Section E '!F$618:F2484,MATCH(C2158,' Disaggregation - Section E '!A$618:A2484,0)+1,1),""),"")</f>
        <v/>
      </c>
      <c r="I2158" s="388">
        <f ca="1">IFERROR(IF(VLOOKUP(C2158,' Disaggregation - Section E '!A$618:J2484,8,0)=0,"",VLOOKUP(C2158,' Disaggregation - Section E '!A$618:J2484,8,0)),"")</f>
        <v>2022</v>
      </c>
      <c r="J2158" s="388" t="str">
        <f ca="1">IFERROR(IF(VLOOKUP(C2158,' Disaggregation - Section E '!A$618:J2484,9,0)="","",VLOOKUP(C2158,' Disaggregation - Section E '!A$618:J2484,9,0)),"")</f>
        <v>Admistrative report</v>
      </c>
      <c r="K2158" s="384" t="str">
        <f ca="1">IFERROR(VLOOKUP(C2158,' Disaggregation - Section E '!A$618:J2484,3,0),"")</f>
        <v>KP-1d⁽ᴹ⁾ Percentage of people who inject drugs reached with HIV prevention programs - defined package of services</v>
      </c>
      <c r="L2158" s="384"/>
      <c r="M2158" s="384" t="str">
        <f ca="1">IFERROR(IF(VLOOKUP(C2158,' Disaggregation - Section E '!A$618:O1287,15,0)=0,"",VLOOKUP(C2158,' Disaggregation - Section E '!A$618:O1287,15,0)),"")</f>
        <v>IDR-01221</v>
      </c>
      <c r="N2158" s="388" t="str">
        <f ca="1">IFERROR(IF(VLOOKUP(C2158,' Disaggregation - Section E '!A$618:J2484,10,0)=0,"",VLOOKUP(C2158,' Disaggregation - Section E '!A$618:J2484,10,0)),"")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158" s="384"/>
    </row>
    <row r="2159" spans="1:15" x14ac:dyDescent="0.3">
      <c r="A2159" s="384" t="b">
        <f t="shared" ref="A2159:A2222" ca="1" si="136">IF(M2159&lt;&gt;"",TRUE,FALSE)</f>
        <v>1</v>
      </c>
      <c r="B2159" s="384"/>
      <c r="C2159" s="393" t="str">
        <f ca="1">IF(COUNTA(O$1493:O2159)=1,"",OFFSET(B2157,-COUNTA(O$1493:O2159)+3,1))</f>
        <v>a16Dm000000LZaYIAW</v>
      </c>
      <c r="D2159" s="389"/>
      <c r="E2159" s="386" t="str">
        <f ca="1">IFERROR(IF(VLOOKUP(C2159,' Disaggregation - Section E '!A$618:J2485,7,0)="","",VLOOKUP(C2159,' Disaggregation - Section E '!A$618:J2485,7,0)*100),"")</f>
        <v/>
      </c>
      <c r="F2159" s="388" t="str">
        <f ca="1">IFERROR(VLOOKUP(C2159,' Disaggregation - Section E '!A$618:J2485,5,0),"")</f>
        <v>Female</v>
      </c>
      <c r="G2159" s="387">
        <f ca="1">IFERROR(IF(VLOOKUP(C2159,' Disaggregation - Section E '!A$618:J2485,6,0)="","",VLOOKUP(C2159,' Disaggregation - Section E '!A$618:J2485,6,0)),"")</f>
        <v>2539</v>
      </c>
      <c r="H2159" s="387" t="str">
        <f ca="1">IFERROR(IF(INDEX(' Disaggregation - Section E '!F$618:F2485,MATCH(C2159,' Disaggregation - Section E '!A$618:A2485,0)+1,1)&lt;&gt;0,INDEX(' Disaggregation - Section E '!F$618:F2485,MATCH(C2159,' Disaggregation - Section E '!A$618:A2485,0)+1,1),""),"")</f>
        <v/>
      </c>
      <c r="I2159" s="388">
        <f ca="1">IFERROR(IF(VLOOKUP(C2159,' Disaggregation - Section E '!A$618:J2485,8,0)=0,"",VLOOKUP(C2159,' Disaggregation - Section E '!A$618:J2485,8,0)),"")</f>
        <v>2022</v>
      </c>
      <c r="J2159" s="388" t="str">
        <f ca="1">IFERROR(IF(VLOOKUP(C2159,' Disaggregation - Section E '!A$618:J2485,9,0)="","",VLOOKUP(C2159,' Disaggregation - Section E '!A$618:J2485,9,0)),"")</f>
        <v>Admistrative report</v>
      </c>
      <c r="K2159" s="384" t="str">
        <f ca="1">IFERROR(VLOOKUP(C2159,' Disaggregation - Section E '!A$618:J2485,3,0),"")</f>
        <v>KP-1d⁽ᴹ⁾ Percentage of people who inject drugs reached with HIV prevention programs - defined package of services</v>
      </c>
      <c r="L2159" s="384"/>
      <c r="M2159" s="384" t="str">
        <f ca="1">IFERROR(IF(VLOOKUP(C2159,' Disaggregation - Section E '!A$618:O1288,15,0)=0,"",VLOOKUP(C2159,' Disaggregation - Section E '!A$618:O1288,15,0)),"")</f>
        <v>IDR-01220</v>
      </c>
      <c r="N2159" s="388" t="str">
        <f ca="1">IFERROR(IF(VLOOKUP(C2159,' Disaggregation - Section E '!A$618:J2485,10,0)=0,"",VLOOKUP(C2159,' Disaggregation - Section E '!A$618:J2485,10,0)),"")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159" s="384"/>
    </row>
    <row r="2160" spans="1:15" x14ac:dyDescent="0.3">
      <c r="A2160" s="384" t="b">
        <f t="shared" ca="1" si="136"/>
        <v>0</v>
      </c>
      <c r="B2160" s="384"/>
      <c r="C2160" s="393" t="str">
        <f ca="1">IF(COUNTA(O$1493:O2160)=1,"",OFFSET(B2158,-COUNTA(O$1493:O2160)+3,1))</f>
        <v>a16Dm000000LZaZIAW</v>
      </c>
      <c r="D2160" s="389"/>
      <c r="E2160" s="386" t="str">
        <f ca="1">IFERROR(IF(VLOOKUP(C2160,' Disaggregation - Section E '!A$618:J2486,7,0)="","",VLOOKUP(C2160,' Disaggregation - Section E '!A$618:J2486,7,0)*100),"")</f>
        <v/>
      </c>
      <c r="F2160" s="388" t="str">
        <f ca="1">IFERROR(VLOOKUP(C2160,' Disaggregation - Section E '!A$618:J2486,5,0),"")</f>
        <v/>
      </c>
      <c r="G2160" s="387" t="str">
        <f ca="1">IFERROR(IF(VLOOKUP(C2160,' Disaggregation - Section E '!A$618:J2486,6,0)="","",VLOOKUP(C2160,' Disaggregation - Section E '!A$618:J2486,6,0)),"")</f>
        <v/>
      </c>
      <c r="H2160" s="387" t="str">
        <f ca="1">IFERROR(IF(INDEX(' Disaggregation - Section E '!F$618:F2486,MATCH(C2160,' Disaggregation - Section E '!A$618:A2486,0)+1,1)&lt;&gt;0,INDEX(' Disaggregation - Section E '!F$618:F2486,MATCH(C2160,' Disaggregation - Section E '!A$618:A2486,0)+1,1),""),"")</f>
        <v/>
      </c>
      <c r="I2160" s="388" t="str">
        <f ca="1">IFERROR(IF(VLOOKUP(C2160,' Disaggregation - Section E '!A$618:J2486,8,0)=0,"",VLOOKUP(C2160,' Disaggregation - Section E '!A$618:J2486,8,0)),"")</f>
        <v/>
      </c>
      <c r="J2160" s="388" t="str">
        <f ca="1">IFERROR(IF(VLOOKUP(C2160,' Disaggregation - Section E '!A$618:J2486,9,0)="","",VLOOKUP(C2160,' Disaggregation - Section E '!A$618:J2486,9,0)),"")</f>
        <v/>
      </c>
      <c r="K2160" s="384" t="str">
        <f ca="1">IFERROR(VLOOKUP(C2160,' Disaggregation - Section E '!A$618:J2486,3,0),"")</f>
        <v>KP-1d⁽ᴹ⁾ Percentage of people who inject drugs reached with HIV prevention programs - defined package of services</v>
      </c>
      <c r="L2160" s="384"/>
      <c r="M2160" s="384" t="str">
        <f ca="1">IFERROR(IF(VLOOKUP(C2160,' Disaggregation - Section E '!A$618:O1289,15,0)=0,"",VLOOKUP(C2160,' Disaggregation - Section E '!A$618:O1289,15,0)),"")</f>
        <v/>
      </c>
      <c r="N2160" s="388" t="str">
        <f ca="1">IFERROR(IF(VLOOKUP(C2160,' Disaggregation - Section E '!A$618:J2486,10,0)=0,"",VLOOKUP(C2160,' Disaggregation - Section E '!A$618:J2486,10,0)),"")</f>
        <v/>
      </c>
      <c r="O2160" s="384"/>
    </row>
    <row r="2161" spans="1:15" x14ac:dyDescent="0.3">
      <c r="A2161" s="384" t="b">
        <f t="shared" ca="1" si="136"/>
        <v>0</v>
      </c>
      <c r="B2161" s="384"/>
      <c r="C2161" s="393" t="str">
        <f ca="1">IF(COUNTA(O$1493:O2161)=1,"",OFFSET(B2159,-COUNTA(O$1493:O2161)+3,1))</f>
        <v>a16Dm000000LZaaIAG</v>
      </c>
      <c r="D2161" s="389"/>
      <c r="E2161" s="386" t="str">
        <f ca="1">IFERROR(IF(VLOOKUP(C2161,' Disaggregation - Section E '!A$618:J2487,7,0)="","",VLOOKUP(C2161,' Disaggregation - Section E '!A$618:J2487,7,0)*100),"")</f>
        <v/>
      </c>
      <c r="F2161" s="388" t="str">
        <f ca="1">IFERROR(VLOOKUP(C2161,' Disaggregation - Section E '!A$618:J2487,5,0),"")</f>
        <v/>
      </c>
      <c r="G2161" s="387" t="str">
        <f ca="1">IFERROR(IF(VLOOKUP(C2161,' Disaggregation - Section E '!A$618:J2487,6,0)="","",VLOOKUP(C2161,' Disaggregation - Section E '!A$618:J2487,6,0)),"")</f>
        <v/>
      </c>
      <c r="H2161" s="387" t="str">
        <f ca="1">IFERROR(IF(INDEX(' Disaggregation - Section E '!F$618:F2487,MATCH(C2161,' Disaggregation - Section E '!A$618:A2487,0)+1,1)&lt;&gt;0,INDEX(' Disaggregation - Section E '!F$618:F2487,MATCH(C2161,' Disaggregation - Section E '!A$618:A2487,0)+1,1),""),"")</f>
        <v/>
      </c>
      <c r="I2161" s="388" t="str">
        <f ca="1">IFERROR(IF(VLOOKUP(C2161,' Disaggregation - Section E '!A$618:J2487,8,0)=0,"",VLOOKUP(C2161,' Disaggregation - Section E '!A$618:J2487,8,0)),"")</f>
        <v/>
      </c>
      <c r="J2161" s="388" t="str">
        <f ca="1">IFERROR(IF(VLOOKUP(C2161,' Disaggregation - Section E '!A$618:J2487,9,0)="","",VLOOKUP(C2161,' Disaggregation - Section E '!A$618:J2487,9,0)),"")</f>
        <v/>
      </c>
      <c r="K2161" s="384" t="str">
        <f ca="1">IFERROR(VLOOKUP(C2161,' Disaggregation - Section E '!A$618:J2487,3,0),"")</f>
        <v>KP-1d⁽ᴹ⁾ Percentage of people who inject drugs reached with HIV prevention programs - defined package of services</v>
      </c>
      <c r="L2161" s="384"/>
      <c r="M2161" s="384" t="str">
        <f ca="1">IFERROR(IF(VLOOKUP(C2161,' Disaggregation - Section E '!A$618:O1290,15,0)=0,"",VLOOKUP(C2161,' Disaggregation - Section E '!A$618:O1290,15,0)),"")</f>
        <v/>
      </c>
      <c r="N2161" s="388" t="str">
        <f ca="1">IFERROR(IF(VLOOKUP(C2161,' Disaggregation - Section E '!A$618:J2487,10,0)=0,"",VLOOKUP(C2161,' Disaggregation - Section E '!A$618:J2487,10,0)),"")</f>
        <v/>
      </c>
      <c r="O2161" s="384"/>
    </row>
    <row r="2162" spans="1:15" x14ac:dyDescent="0.3">
      <c r="A2162" s="384" t="b">
        <f t="shared" ca="1" si="136"/>
        <v>0</v>
      </c>
      <c r="B2162" s="384"/>
      <c r="C2162" s="393" t="str">
        <f ca="1">IF(COUNTA(O$1493:O2162)=1,"",OFFSET(B2160,-COUNTA(O$1493:O2162)+3,1))</f>
        <v>a16Dm000000LZabIAG</v>
      </c>
      <c r="D2162" s="389"/>
      <c r="E2162" s="386" t="str">
        <f ca="1">IFERROR(IF(VLOOKUP(C2162,' Disaggregation - Section E '!A$618:J2488,7,0)="","",VLOOKUP(C2162,' Disaggregation - Section E '!A$618:J2488,7,0)*100),"")</f>
        <v/>
      </c>
      <c r="F2162" s="388" t="str">
        <f ca="1">IFERROR(VLOOKUP(C2162,' Disaggregation - Section E '!A$618:J2488,5,0),"")</f>
        <v/>
      </c>
      <c r="G2162" s="387" t="str">
        <f ca="1">IFERROR(IF(VLOOKUP(C2162,' Disaggregation - Section E '!A$618:J2488,6,0)="","",VLOOKUP(C2162,' Disaggregation - Section E '!A$618:J2488,6,0)),"")</f>
        <v/>
      </c>
      <c r="H2162" s="387" t="str">
        <f ca="1">IFERROR(IF(INDEX(' Disaggregation - Section E '!F$618:F2488,MATCH(C2162,' Disaggregation - Section E '!A$618:A2488,0)+1,1)&lt;&gt;0,INDEX(' Disaggregation - Section E '!F$618:F2488,MATCH(C2162,' Disaggregation - Section E '!A$618:A2488,0)+1,1),""),"")</f>
        <v/>
      </c>
      <c r="I2162" s="388" t="str">
        <f ca="1">IFERROR(IF(VLOOKUP(C2162,' Disaggregation - Section E '!A$618:J2488,8,0)=0,"",VLOOKUP(C2162,' Disaggregation - Section E '!A$618:J2488,8,0)),"")</f>
        <v/>
      </c>
      <c r="J2162" s="388" t="str">
        <f ca="1">IFERROR(IF(VLOOKUP(C2162,' Disaggregation - Section E '!A$618:J2488,9,0)="","",VLOOKUP(C2162,' Disaggregation - Section E '!A$618:J2488,9,0)),"")</f>
        <v/>
      </c>
      <c r="K2162" s="384" t="str">
        <f ca="1">IFERROR(VLOOKUP(C2162,' Disaggregation - Section E '!A$618:J2488,3,0),"")</f>
        <v>KP-1d⁽ᴹ⁾ Percentage of people who inject drugs reached with HIV prevention programs - defined package of services</v>
      </c>
      <c r="L2162" s="384"/>
      <c r="M2162" s="384" t="str">
        <f ca="1">IFERROR(IF(VLOOKUP(C2162,' Disaggregation - Section E '!A$618:O1291,15,0)=0,"",VLOOKUP(C2162,' Disaggregation - Section E '!A$618:O1291,15,0)),"")</f>
        <v/>
      </c>
      <c r="N2162" s="388" t="str">
        <f ca="1">IFERROR(IF(VLOOKUP(C2162,' Disaggregation - Section E '!A$618:J2488,10,0)=0,"",VLOOKUP(C2162,' Disaggregation - Section E '!A$618:J2488,10,0)),"")</f>
        <v/>
      </c>
      <c r="O2162" s="384"/>
    </row>
    <row r="2163" spans="1:15" x14ac:dyDescent="0.3">
      <c r="A2163" s="384" t="b">
        <f t="shared" ca="1" si="136"/>
        <v>0</v>
      </c>
      <c r="B2163" s="384"/>
      <c r="C2163" s="393" t="str">
        <f ca="1">IF(COUNTA(O$1493:O2163)=1,"",OFFSET(B2161,-COUNTA(O$1493:O2163)+3,1))</f>
        <v>a16Dm000000LZacIAG</v>
      </c>
      <c r="D2163" s="389"/>
      <c r="E2163" s="386" t="str">
        <f ca="1">IFERROR(IF(VLOOKUP(C2163,' Disaggregation - Section E '!A$618:J2489,7,0)="","",VLOOKUP(C2163,' Disaggregation - Section E '!A$618:J2489,7,0)*100),"")</f>
        <v/>
      </c>
      <c r="F2163" s="388" t="str">
        <f ca="1">IFERROR(VLOOKUP(C2163,' Disaggregation - Section E '!A$618:J2489,5,0),"")</f>
        <v/>
      </c>
      <c r="G2163" s="387" t="str">
        <f ca="1">IFERROR(IF(VLOOKUP(C2163,' Disaggregation - Section E '!A$618:J2489,6,0)="","",VLOOKUP(C2163,' Disaggregation - Section E '!A$618:J2489,6,0)),"")</f>
        <v/>
      </c>
      <c r="H2163" s="387" t="str">
        <f ca="1">IFERROR(IF(INDEX(' Disaggregation - Section E '!F$618:F2489,MATCH(C2163,' Disaggregation - Section E '!A$618:A2489,0)+1,1)&lt;&gt;0,INDEX(' Disaggregation - Section E '!F$618:F2489,MATCH(C2163,' Disaggregation - Section E '!A$618:A2489,0)+1,1),""),"")</f>
        <v/>
      </c>
      <c r="I2163" s="388" t="str">
        <f ca="1">IFERROR(IF(VLOOKUP(C2163,' Disaggregation - Section E '!A$618:J2489,8,0)=0,"",VLOOKUP(C2163,' Disaggregation - Section E '!A$618:J2489,8,0)),"")</f>
        <v/>
      </c>
      <c r="J2163" s="388" t="str">
        <f ca="1">IFERROR(IF(VLOOKUP(C2163,' Disaggregation - Section E '!A$618:J2489,9,0)="","",VLOOKUP(C2163,' Disaggregation - Section E '!A$618:J2489,9,0)),"")</f>
        <v/>
      </c>
      <c r="K2163" s="384" t="str">
        <f ca="1">IFERROR(VLOOKUP(C2163,' Disaggregation - Section E '!A$618:J2489,3,0),"")</f>
        <v>KP-1d⁽ᴹ⁾ Percentage of people who inject drugs reached with HIV prevention programs - defined package of services</v>
      </c>
      <c r="L2163" s="384"/>
      <c r="M2163" s="384" t="str">
        <f ca="1">IFERROR(IF(VLOOKUP(C2163,' Disaggregation - Section E '!A$618:O1292,15,0)=0,"",VLOOKUP(C2163,' Disaggregation - Section E '!A$618:O1292,15,0)),"")</f>
        <v/>
      </c>
      <c r="N2163" s="388" t="str">
        <f ca="1">IFERROR(IF(VLOOKUP(C2163,' Disaggregation - Section E '!A$618:J2489,10,0)=0,"",VLOOKUP(C2163,' Disaggregation - Section E '!A$618:J2489,10,0)),"")</f>
        <v/>
      </c>
      <c r="O2163" s="384"/>
    </row>
    <row r="2164" spans="1:15" x14ac:dyDescent="0.3">
      <c r="A2164" s="384" t="b">
        <f t="shared" ca="1" si="136"/>
        <v>0</v>
      </c>
      <c r="B2164" s="384"/>
      <c r="C2164" s="393" t="str">
        <f ca="1">IF(COUNTA(O$1493:O2164)=1,"",OFFSET(B2162,-COUNTA(O$1493:O2164)+3,1))</f>
        <v>a16Dm000000LZadIAG</v>
      </c>
      <c r="D2164" s="389"/>
      <c r="E2164" s="386" t="str">
        <f ca="1">IFERROR(IF(VLOOKUP(C2164,' Disaggregation - Section E '!A$618:J2490,7,0)="","",VLOOKUP(C2164,' Disaggregation - Section E '!A$618:J2490,7,0)*100),"")</f>
        <v/>
      </c>
      <c r="F2164" s="388" t="str">
        <f ca="1">IFERROR(VLOOKUP(C2164,' Disaggregation - Section E '!A$618:J2490,5,0),"")</f>
        <v/>
      </c>
      <c r="G2164" s="387" t="str">
        <f ca="1">IFERROR(IF(VLOOKUP(C2164,' Disaggregation - Section E '!A$618:J2490,6,0)="","",VLOOKUP(C2164,' Disaggregation - Section E '!A$618:J2490,6,0)),"")</f>
        <v/>
      </c>
      <c r="H2164" s="387" t="str">
        <f ca="1">IFERROR(IF(INDEX(' Disaggregation - Section E '!F$618:F2490,MATCH(C2164,' Disaggregation - Section E '!A$618:A2490,0)+1,1)&lt;&gt;0,INDEX(' Disaggregation - Section E '!F$618:F2490,MATCH(C2164,' Disaggregation - Section E '!A$618:A2490,0)+1,1),""),"")</f>
        <v/>
      </c>
      <c r="I2164" s="388" t="str">
        <f ca="1">IFERROR(IF(VLOOKUP(C2164,' Disaggregation - Section E '!A$618:J2490,8,0)=0,"",VLOOKUP(C2164,' Disaggregation - Section E '!A$618:J2490,8,0)),"")</f>
        <v/>
      </c>
      <c r="J2164" s="388" t="str">
        <f ca="1">IFERROR(IF(VLOOKUP(C2164,' Disaggregation - Section E '!A$618:J2490,9,0)="","",VLOOKUP(C2164,' Disaggregation - Section E '!A$618:J2490,9,0)),"")</f>
        <v/>
      </c>
      <c r="K2164" s="384" t="str">
        <f ca="1">IFERROR(VLOOKUP(C2164,' Disaggregation - Section E '!A$618:J2490,3,0),"")</f>
        <v>KP-1d⁽ᴹ⁾ Percentage of people who inject drugs reached with HIV prevention programs - defined package of services</v>
      </c>
      <c r="L2164" s="384"/>
      <c r="M2164" s="384" t="str">
        <f ca="1">IFERROR(IF(VLOOKUP(C2164,' Disaggregation - Section E '!A$618:O1293,15,0)=0,"",VLOOKUP(C2164,' Disaggregation - Section E '!A$618:O1293,15,0)),"")</f>
        <v/>
      </c>
      <c r="N2164" s="388" t="str">
        <f ca="1">IFERROR(IF(VLOOKUP(C2164,' Disaggregation - Section E '!A$618:J2490,10,0)=0,"",VLOOKUP(C2164,' Disaggregation - Section E '!A$618:J2490,10,0)),"")</f>
        <v/>
      </c>
      <c r="O2164" s="384"/>
    </row>
    <row r="2165" spans="1:15" x14ac:dyDescent="0.3">
      <c r="A2165" s="384" t="b">
        <f t="shared" ca="1" si="136"/>
        <v>0</v>
      </c>
      <c r="B2165" s="384"/>
      <c r="C2165" s="393" t="str">
        <f ca="1">IF(COUNTA(O$1493:O2165)=1,"",OFFSET(B2163,-COUNTA(O$1493:O2165)+3,1))</f>
        <v>a16Dm000000LZaeIAG</v>
      </c>
      <c r="D2165" s="389"/>
      <c r="E2165" s="386" t="str">
        <f ca="1">IFERROR(IF(VLOOKUP(C2165,' Disaggregation - Section E '!A$618:J2491,7,0)="","",VLOOKUP(C2165,' Disaggregation - Section E '!A$618:J2491,7,0)*100),"")</f>
        <v/>
      </c>
      <c r="F2165" s="388" t="str">
        <f ca="1">IFERROR(VLOOKUP(C2165,' Disaggregation - Section E '!A$618:J2491,5,0),"")</f>
        <v/>
      </c>
      <c r="G2165" s="387" t="str">
        <f ca="1">IFERROR(IF(VLOOKUP(C2165,' Disaggregation - Section E '!A$618:J2491,6,0)="","",VLOOKUP(C2165,' Disaggregation - Section E '!A$618:J2491,6,0)),"")</f>
        <v/>
      </c>
      <c r="H2165" s="387" t="str">
        <f ca="1">IFERROR(IF(INDEX(' Disaggregation - Section E '!F$618:F2491,MATCH(C2165,' Disaggregation - Section E '!A$618:A2491,0)+1,1)&lt;&gt;0,INDEX(' Disaggregation - Section E '!F$618:F2491,MATCH(C2165,' Disaggregation - Section E '!A$618:A2491,0)+1,1),""),"")</f>
        <v/>
      </c>
      <c r="I2165" s="388" t="str">
        <f ca="1">IFERROR(IF(VLOOKUP(C2165,' Disaggregation - Section E '!A$618:J2491,8,0)=0,"",VLOOKUP(C2165,' Disaggregation - Section E '!A$618:J2491,8,0)),"")</f>
        <v/>
      </c>
      <c r="J2165" s="388" t="str">
        <f ca="1">IFERROR(IF(VLOOKUP(C2165,' Disaggregation - Section E '!A$618:J2491,9,0)="","",VLOOKUP(C2165,' Disaggregation - Section E '!A$618:J2491,9,0)),"")</f>
        <v/>
      </c>
      <c r="K2165" s="384" t="str">
        <f ca="1">IFERROR(VLOOKUP(C2165,' Disaggregation - Section E '!A$618:J2491,3,0),"")</f>
        <v>KP-1d⁽ᴹ⁾ Percentage of people who inject drugs reached with HIV prevention programs - defined package of services</v>
      </c>
      <c r="L2165" s="384"/>
      <c r="M2165" s="384" t="str">
        <f ca="1">IFERROR(IF(VLOOKUP(C2165,' Disaggregation - Section E '!A$618:O1294,15,0)=0,"",VLOOKUP(C2165,' Disaggregation - Section E '!A$618:O1294,15,0)),"")</f>
        <v/>
      </c>
      <c r="N2165" s="388" t="str">
        <f ca="1">IFERROR(IF(VLOOKUP(C2165,' Disaggregation - Section E '!A$618:J2491,10,0)=0,"",VLOOKUP(C2165,' Disaggregation - Section E '!A$618:J2491,10,0)),"")</f>
        <v/>
      </c>
      <c r="O2165" s="384"/>
    </row>
    <row r="2166" spans="1:15" x14ac:dyDescent="0.3">
      <c r="A2166" s="384" t="b">
        <f t="shared" ca="1" si="136"/>
        <v>0</v>
      </c>
      <c r="B2166" s="384"/>
      <c r="C2166" s="393" t="str">
        <f ca="1">IF(COUNTA(O$1493:O2166)=1,"",OFFSET(B2164,-COUNTA(O$1493:O2166)+3,1))</f>
        <v>a16Dm000000LZafIAG</v>
      </c>
      <c r="D2166" s="389"/>
      <c r="E2166" s="386" t="str">
        <f ca="1">IFERROR(IF(VLOOKUP(C2166,' Disaggregation - Section E '!A$618:J2492,7,0)="","",VLOOKUP(C2166,' Disaggregation - Section E '!A$618:J2492,7,0)*100),"")</f>
        <v/>
      </c>
      <c r="F2166" s="388" t="str">
        <f ca="1">IFERROR(VLOOKUP(C2166,' Disaggregation - Section E '!A$618:J2492,5,0),"")</f>
        <v/>
      </c>
      <c r="G2166" s="387" t="str">
        <f ca="1">IFERROR(IF(VLOOKUP(C2166,' Disaggregation - Section E '!A$618:J2492,6,0)="","",VLOOKUP(C2166,' Disaggregation - Section E '!A$618:J2492,6,0)),"")</f>
        <v/>
      </c>
      <c r="H2166" s="387" t="str">
        <f ca="1">IFERROR(IF(INDEX(' Disaggregation - Section E '!F$618:F2492,MATCH(C2166,' Disaggregation - Section E '!A$618:A2492,0)+1,1)&lt;&gt;0,INDEX(' Disaggregation - Section E '!F$618:F2492,MATCH(C2166,' Disaggregation - Section E '!A$618:A2492,0)+1,1),""),"")</f>
        <v/>
      </c>
      <c r="I2166" s="388" t="str">
        <f ca="1">IFERROR(IF(VLOOKUP(C2166,' Disaggregation - Section E '!A$618:J2492,8,0)=0,"",VLOOKUP(C2166,' Disaggregation - Section E '!A$618:J2492,8,0)),"")</f>
        <v/>
      </c>
      <c r="J2166" s="388" t="str">
        <f ca="1">IFERROR(IF(VLOOKUP(C2166,' Disaggregation - Section E '!A$618:J2492,9,0)="","",VLOOKUP(C2166,' Disaggregation - Section E '!A$618:J2492,9,0)),"")</f>
        <v/>
      </c>
      <c r="K2166" s="384" t="str">
        <f ca="1">IFERROR(VLOOKUP(C2166,' Disaggregation - Section E '!A$618:J2492,3,0),"")</f>
        <v>KP-1d⁽ᴹ⁾ Percentage of people who inject drugs reached with HIV prevention programs - defined package of services</v>
      </c>
      <c r="L2166" s="384"/>
      <c r="M2166" s="384" t="str">
        <f ca="1">IFERROR(IF(VLOOKUP(C2166,' Disaggregation - Section E '!A$618:O1295,15,0)=0,"",VLOOKUP(C2166,' Disaggregation - Section E '!A$618:O1295,15,0)),"")</f>
        <v/>
      </c>
      <c r="N2166" s="388" t="str">
        <f ca="1">IFERROR(IF(VLOOKUP(C2166,' Disaggregation - Section E '!A$618:J2492,10,0)=0,"",VLOOKUP(C2166,' Disaggregation - Section E '!A$618:J2492,10,0)),"")</f>
        <v/>
      </c>
      <c r="O2166" s="384"/>
    </row>
    <row r="2167" spans="1:15" x14ac:dyDescent="0.3">
      <c r="A2167" s="384" t="b">
        <f t="shared" ca="1" si="136"/>
        <v>0</v>
      </c>
      <c r="B2167" s="384"/>
      <c r="C2167" s="393" t="str">
        <f ca="1">IF(COUNTA(O$1493:O2167)=1,"",OFFSET(B2165,-COUNTA(O$1493:O2167)+3,1))</f>
        <v>a16Dm000000LZagIAG</v>
      </c>
      <c r="D2167" s="389"/>
      <c r="E2167" s="386" t="str">
        <f ca="1">IFERROR(IF(VLOOKUP(C2167,' Disaggregation - Section E '!A$618:J2493,7,0)="","",VLOOKUP(C2167,' Disaggregation - Section E '!A$618:J2493,7,0)*100),"")</f>
        <v/>
      </c>
      <c r="F2167" s="388" t="str">
        <f ca="1">IFERROR(VLOOKUP(C2167,' Disaggregation - Section E '!A$618:J2493,5,0),"")</f>
        <v/>
      </c>
      <c r="G2167" s="387" t="str">
        <f ca="1">IFERROR(IF(VLOOKUP(C2167,' Disaggregation - Section E '!A$618:J2493,6,0)="","",VLOOKUP(C2167,' Disaggregation - Section E '!A$618:J2493,6,0)),"")</f>
        <v/>
      </c>
      <c r="H2167" s="387" t="str">
        <f ca="1">IFERROR(IF(INDEX(' Disaggregation - Section E '!F$618:F2493,MATCH(C2167,' Disaggregation - Section E '!A$618:A2493,0)+1,1)&lt;&gt;0,INDEX(' Disaggregation - Section E '!F$618:F2493,MATCH(C2167,' Disaggregation - Section E '!A$618:A2493,0)+1,1),""),"")</f>
        <v/>
      </c>
      <c r="I2167" s="388" t="str">
        <f ca="1">IFERROR(IF(VLOOKUP(C2167,' Disaggregation - Section E '!A$618:J2493,8,0)=0,"",VLOOKUP(C2167,' Disaggregation - Section E '!A$618:J2493,8,0)),"")</f>
        <v/>
      </c>
      <c r="J2167" s="388" t="str">
        <f ca="1">IFERROR(IF(VLOOKUP(C2167,' Disaggregation - Section E '!A$618:J2493,9,0)="","",VLOOKUP(C2167,' Disaggregation - Section E '!A$618:J2493,9,0)),"")</f>
        <v/>
      </c>
      <c r="K2167" s="384" t="str">
        <f ca="1">IFERROR(VLOOKUP(C2167,' Disaggregation - Section E '!A$618:J2493,3,0),"")</f>
        <v>KP-1d⁽ᴹ⁾ Percentage of people who inject drugs reached with HIV prevention programs - defined package of services</v>
      </c>
      <c r="L2167" s="384"/>
      <c r="M2167" s="384" t="str">
        <f ca="1">IFERROR(IF(VLOOKUP(C2167,' Disaggregation - Section E '!A$618:O1296,15,0)=0,"",VLOOKUP(C2167,' Disaggregation - Section E '!A$618:O1296,15,0)),"")</f>
        <v/>
      </c>
      <c r="N2167" s="388" t="str">
        <f ca="1">IFERROR(IF(VLOOKUP(C2167,' Disaggregation - Section E '!A$618:J2493,10,0)=0,"",VLOOKUP(C2167,' Disaggregation - Section E '!A$618:J2493,10,0)),"")</f>
        <v/>
      </c>
      <c r="O2167" s="384"/>
    </row>
    <row r="2168" spans="1:15" x14ac:dyDescent="0.3">
      <c r="A2168" s="384" t="b">
        <f t="shared" ca="1" si="136"/>
        <v>0</v>
      </c>
      <c r="B2168" s="384"/>
      <c r="C2168" s="393" t="str">
        <f ca="1">IF(COUNTA(O$1493:O2168)=1,"",OFFSET(B2166,-COUNTA(O$1493:O2168)+3,1))</f>
        <v>a16Dm000000LZahIAG</v>
      </c>
      <c r="D2168" s="389"/>
      <c r="E2168" s="386" t="str">
        <f ca="1">IFERROR(IF(VLOOKUP(C2168,' Disaggregation - Section E '!A$618:J2494,7,0)="","",VLOOKUP(C2168,' Disaggregation - Section E '!A$618:J2494,7,0)*100),"")</f>
        <v/>
      </c>
      <c r="F2168" s="388" t="str">
        <f ca="1">IFERROR(VLOOKUP(C2168,' Disaggregation - Section E '!A$618:J2494,5,0),"")</f>
        <v/>
      </c>
      <c r="G2168" s="387" t="str">
        <f ca="1">IFERROR(IF(VLOOKUP(C2168,' Disaggregation - Section E '!A$618:J2494,6,0)="","",VLOOKUP(C2168,' Disaggregation - Section E '!A$618:J2494,6,0)),"")</f>
        <v/>
      </c>
      <c r="H2168" s="387" t="str">
        <f ca="1">IFERROR(IF(INDEX(' Disaggregation - Section E '!F$618:F2494,MATCH(C2168,' Disaggregation - Section E '!A$618:A2494,0)+1,1)&lt;&gt;0,INDEX(' Disaggregation - Section E '!F$618:F2494,MATCH(C2168,' Disaggregation - Section E '!A$618:A2494,0)+1,1),""),"")</f>
        <v/>
      </c>
      <c r="I2168" s="388" t="str">
        <f ca="1">IFERROR(IF(VLOOKUP(C2168,' Disaggregation - Section E '!A$618:J2494,8,0)=0,"",VLOOKUP(C2168,' Disaggregation - Section E '!A$618:J2494,8,0)),"")</f>
        <v/>
      </c>
      <c r="J2168" s="388" t="str">
        <f ca="1">IFERROR(IF(VLOOKUP(C2168,' Disaggregation - Section E '!A$618:J2494,9,0)="","",VLOOKUP(C2168,' Disaggregation - Section E '!A$618:J2494,9,0)),"")</f>
        <v/>
      </c>
      <c r="K2168" s="384" t="str">
        <f ca="1">IFERROR(VLOOKUP(C2168,' Disaggregation - Section E '!A$618:J2494,3,0),"")</f>
        <v>KP-1d⁽ᴹ⁾ Percentage of people who inject drugs reached with HIV prevention programs - defined package of services</v>
      </c>
      <c r="L2168" s="384"/>
      <c r="M2168" s="384" t="str">
        <f ca="1">IFERROR(IF(VLOOKUP(C2168,' Disaggregation - Section E '!A$618:O1297,15,0)=0,"",VLOOKUP(C2168,' Disaggregation - Section E '!A$618:O1297,15,0)),"")</f>
        <v/>
      </c>
      <c r="N2168" s="388" t="str">
        <f ca="1">IFERROR(IF(VLOOKUP(C2168,' Disaggregation - Section E '!A$618:J2494,10,0)=0,"",VLOOKUP(C2168,' Disaggregation - Section E '!A$618:J2494,10,0)),"")</f>
        <v/>
      </c>
      <c r="O2168" s="384"/>
    </row>
    <row r="2169" spans="1:15" x14ac:dyDescent="0.3">
      <c r="A2169" s="384" t="b">
        <f t="shared" ca="1" si="136"/>
        <v>0</v>
      </c>
      <c r="B2169" s="384"/>
      <c r="C2169" s="393" t="str">
        <f ca="1">IF(COUNTA(O$1493:O2169)=1,"",OFFSET(B2167,-COUNTA(O$1493:O2169)+3,1))</f>
        <v>a16Dm000000LZaiIAG</v>
      </c>
      <c r="D2169" s="389"/>
      <c r="E2169" s="386" t="str">
        <f ca="1">IFERROR(IF(VLOOKUP(C2169,' Disaggregation - Section E '!A$618:J2495,7,0)="","",VLOOKUP(C2169,' Disaggregation - Section E '!A$618:J2495,7,0)*100),"")</f>
        <v/>
      </c>
      <c r="F2169" s="388" t="str">
        <f ca="1">IFERROR(VLOOKUP(C2169,' Disaggregation - Section E '!A$618:J2495,5,0),"")</f>
        <v/>
      </c>
      <c r="G2169" s="387" t="str">
        <f ca="1">IFERROR(IF(VLOOKUP(C2169,' Disaggregation - Section E '!A$618:J2495,6,0)="","",VLOOKUP(C2169,' Disaggregation - Section E '!A$618:J2495,6,0)),"")</f>
        <v/>
      </c>
      <c r="H2169" s="387" t="str">
        <f ca="1">IFERROR(IF(INDEX(' Disaggregation - Section E '!F$618:F2495,MATCH(C2169,' Disaggregation - Section E '!A$618:A2495,0)+1,1)&lt;&gt;0,INDEX(' Disaggregation - Section E '!F$618:F2495,MATCH(C2169,' Disaggregation - Section E '!A$618:A2495,0)+1,1),""),"")</f>
        <v/>
      </c>
      <c r="I2169" s="388" t="str">
        <f ca="1">IFERROR(IF(VLOOKUP(C2169,' Disaggregation - Section E '!A$618:J2495,8,0)=0,"",VLOOKUP(C2169,' Disaggregation - Section E '!A$618:J2495,8,0)),"")</f>
        <v/>
      </c>
      <c r="J2169" s="388" t="str">
        <f ca="1">IFERROR(IF(VLOOKUP(C2169,' Disaggregation - Section E '!A$618:J2495,9,0)="","",VLOOKUP(C2169,' Disaggregation - Section E '!A$618:J2495,9,0)),"")</f>
        <v/>
      </c>
      <c r="K2169" s="384" t="str">
        <f ca="1">IFERROR(VLOOKUP(C2169,' Disaggregation - Section E '!A$618:J2495,3,0),"")</f>
        <v>KP-1d⁽ᴹ⁾ Percentage of people who inject drugs reached with HIV prevention programs - defined package of services</v>
      </c>
      <c r="L2169" s="384"/>
      <c r="M2169" s="384" t="str">
        <f ca="1">IFERROR(IF(VLOOKUP(C2169,' Disaggregation - Section E '!A$618:O1298,15,0)=0,"",VLOOKUP(C2169,' Disaggregation - Section E '!A$618:O1298,15,0)),"")</f>
        <v/>
      </c>
      <c r="N2169" s="388" t="str">
        <f ca="1">IFERROR(IF(VLOOKUP(C2169,' Disaggregation - Section E '!A$618:J2495,10,0)=0,"",VLOOKUP(C2169,' Disaggregation - Section E '!A$618:J2495,10,0)),"")</f>
        <v/>
      </c>
      <c r="O2169" s="384"/>
    </row>
    <row r="2170" spans="1:15" x14ac:dyDescent="0.3">
      <c r="A2170" s="384" t="b">
        <f t="shared" ca="1" si="136"/>
        <v>0</v>
      </c>
      <c r="B2170" s="384"/>
      <c r="C2170" s="393" t="str">
        <f ca="1">IF(COUNTA(O$1493:O2170)=1,"",OFFSET(B2168,-COUNTA(O$1493:O2170)+3,1))</f>
        <v>a16Dm000000LZajIAG</v>
      </c>
      <c r="D2170" s="389"/>
      <c r="E2170" s="386" t="str">
        <f ca="1">IFERROR(IF(VLOOKUP(C2170,' Disaggregation - Section E '!A$618:J2496,7,0)="","",VLOOKUP(C2170,' Disaggregation - Section E '!A$618:J2496,7,0)*100),"")</f>
        <v/>
      </c>
      <c r="F2170" s="388" t="str">
        <f ca="1">IFERROR(VLOOKUP(C2170,' Disaggregation - Section E '!A$618:J2496,5,0),"")</f>
        <v/>
      </c>
      <c r="G2170" s="387" t="str">
        <f ca="1">IFERROR(IF(VLOOKUP(C2170,' Disaggregation - Section E '!A$618:J2496,6,0)="","",VLOOKUP(C2170,' Disaggregation - Section E '!A$618:J2496,6,0)),"")</f>
        <v/>
      </c>
      <c r="H2170" s="387" t="str">
        <f ca="1">IFERROR(IF(INDEX(' Disaggregation - Section E '!F$618:F2496,MATCH(C2170,' Disaggregation - Section E '!A$618:A2496,0)+1,1)&lt;&gt;0,INDEX(' Disaggregation - Section E '!F$618:F2496,MATCH(C2170,' Disaggregation - Section E '!A$618:A2496,0)+1,1),""),"")</f>
        <v/>
      </c>
      <c r="I2170" s="388" t="str">
        <f ca="1">IFERROR(IF(VLOOKUP(C2170,' Disaggregation - Section E '!A$618:J2496,8,0)=0,"",VLOOKUP(C2170,' Disaggregation - Section E '!A$618:J2496,8,0)),"")</f>
        <v/>
      </c>
      <c r="J2170" s="388" t="str">
        <f ca="1">IFERROR(IF(VLOOKUP(C2170,' Disaggregation - Section E '!A$618:J2496,9,0)="","",VLOOKUP(C2170,' Disaggregation - Section E '!A$618:J2496,9,0)),"")</f>
        <v/>
      </c>
      <c r="K2170" s="384" t="str">
        <f ca="1">IFERROR(VLOOKUP(C2170,' Disaggregation - Section E '!A$618:J2496,3,0),"")</f>
        <v>KP-1d⁽ᴹ⁾ Percentage of people who inject drugs reached with HIV prevention programs - defined package of services</v>
      </c>
      <c r="L2170" s="384"/>
      <c r="M2170" s="384" t="str">
        <f ca="1">IFERROR(IF(VLOOKUP(C2170,' Disaggregation - Section E '!A$618:O1299,15,0)=0,"",VLOOKUP(C2170,' Disaggregation - Section E '!A$618:O1299,15,0)),"")</f>
        <v/>
      </c>
      <c r="N2170" s="388" t="str">
        <f ca="1">IFERROR(IF(VLOOKUP(C2170,' Disaggregation - Section E '!A$618:J2496,10,0)=0,"",VLOOKUP(C2170,' Disaggregation - Section E '!A$618:J2496,10,0)),"")</f>
        <v/>
      </c>
      <c r="O2170" s="384"/>
    </row>
    <row r="2171" spans="1:15" x14ac:dyDescent="0.3">
      <c r="A2171" s="384" t="b">
        <f t="shared" ca="1" si="136"/>
        <v>0</v>
      </c>
      <c r="B2171" s="384"/>
      <c r="C2171" s="393" t="str">
        <f ca="1">IF(COUNTA(O$1493:O2171)=1,"",OFFSET(B2169,-COUNTA(O$1493:O2171)+3,1))</f>
        <v>a16Dm000000LZakIAG</v>
      </c>
      <c r="D2171" s="389"/>
      <c r="E2171" s="386" t="str">
        <f ca="1">IFERROR(IF(VLOOKUP(C2171,' Disaggregation - Section E '!A$618:J2497,7,0)="","",VLOOKUP(C2171,' Disaggregation - Section E '!A$618:J2497,7,0)*100),"")</f>
        <v/>
      </c>
      <c r="F2171" s="388" t="str">
        <f ca="1">IFERROR(VLOOKUP(C2171,' Disaggregation - Section E '!A$618:J2497,5,0),"")</f>
        <v/>
      </c>
      <c r="G2171" s="387" t="str">
        <f ca="1">IFERROR(IF(VLOOKUP(C2171,' Disaggregation - Section E '!A$618:J2497,6,0)="","",VLOOKUP(C2171,' Disaggregation - Section E '!A$618:J2497,6,0)),"")</f>
        <v/>
      </c>
      <c r="H2171" s="387" t="str">
        <f ca="1">IFERROR(IF(INDEX(' Disaggregation - Section E '!F$618:F2497,MATCH(C2171,' Disaggregation - Section E '!A$618:A2497,0)+1,1)&lt;&gt;0,INDEX(' Disaggregation - Section E '!F$618:F2497,MATCH(C2171,' Disaggregation - Section E '!A$618:A2497,0)+1,1),""),"")</f>
        <v/>
      </c>
      <c r="I2171" s="388" t="str">
        <f ca="1">IFERROR(IF(VLOOKUP(C2171,' Disaggregation - Section E '!A$618:J2497,8,0)=0,"",VLOOKUP(C2171,' Disaggregation - Section E '!A$618:J2497,8,0)),"")</f>
        <v/>
      </c>
      <c r="J2171" s="388" t="str">
        <f ca="1">IFERROR(IF(VLOOKUP(C2171,' Disaggregation - Section E '!A$618:J2497,9,0)="","",VLOOKUP(C2171,' Disaggregation - Section E '!A$618:J2497,9,0)),"")</f>
        <v/>
      </c>
      <c r="K2171" s="384" t="str">
        <f ca="1">IFERROR(VLOOKUP(C2171,' Disaggregation - Section E '!A$618:J2497,3,0),"")</f>
        <v>KP-1d⁽ᴹ⁾ Percentage of people who inject drugs reached with HIV prevention programs - defined package of services</v>
      </c>
      <c r="L2171" s="384"/>
      <c r="M2171" s="384" t="str">
        <f ca="1">IFERROR(IF(VLOOKUP(C2171,' Disaggregation - Section E '!A$618:O1300,15,0)=0,"",VLOOKUP(C2171,' Disaggregation - Section E '!A$618:O1300,15,0)),"")</f>
        <v/>
      </c>
      <c r="N2171" s="388" t="str">
        <f ca="1">IFERROR(IF(VLOOKUP(C2171,' Disaggregation - Section E '!A$618:J2497,10,0)=0,"",VLOOKUP(C2171,' Disaggregation - Section E '!A$618:J2497,10,0)),"")</f>
        <v/>
      </c>
      <c r="O2171" s="384"/>
    </row>
    <row r="2172" spans="1:15" x14ac:dyDescent="0.3">
      <c r="A2172" s="384" t="b">
        <f t="shared" ca="1" si="136"/>
        <v>0</v>
      </c>
      <c r="B2172" s="384"/>
      <c r="C2172" s="393" t="str">
        <f ca="1">IF(COUNTA(O$1493:O2172)=1,"",OFFSET(B2170,-COUNTA(O$1493:O2172)+3,1))</f>
        <v>a16Dm000000LZalIAG</v>
      </c>
      <c r="D2172" s="389"/>
      <c r="E2172" s="386" t="str">
        <f ca="1">IFERROR(IF(VLOOKUP(C2172,' Disaggregation - Section E '!A$618:J2498,7,0)="","",VLOOKUP(C2172,' Disaggregation - Section E '!A$618:J2498,7,0)*100),"")</f>
        <v/>
      </c>
      <c r="F2172" s="388" t="str">
        <f ca="1">IFERROR(VLOOKUP(C2172,' Disaggregation - Section E '!A$618:J2498,5,0),"")</f>
        <v/>
      </c>
      <c r="G2172" s="387" t="str">
        <f ca="1">IFERROR(IF(VLOOKUP(C2172,' Disaggregation - Section E '!A$618:J2498,6,0)="","",VLOOKUP(C2172,' Disaggregation - Section E '!A$618:J2498,6,0)),"")</f>
        <v/>
      </c>
      <c r="H2172" s="387" t="str">
        <f ca="1">IFERROR(IF(INDEX(' Disaggregation - Section E '!F$618:F2498,MATCH(C2172,' Disaggregation - Section E '!A$618:A2498,0)+1,1)&lt;&gt;0,INDEX(' Disaggregation - Section E '!F$618:F2498,MATCH(C2172,' Disaggregation - Section E '!A$618:A2498,0)+1,1),""),"")</f>
        <v/>
      </c>
      <c r="I2172" s="388" t="str">
        <f ca="1">IFERROR(IF(VLOOKUP(C2172,' Disaggregation - Section E '!A$618:J2498,8,0)=0,"",VLOOKUP(C2172,' Disaggregation - Section E '!A$618:J2498,8,0)),"")</f>
        <v/>
      </c>
      <c r="J2172" s="388" t="str">
        <f ca="1">IFERROR(IF(VLOOKUP(C2172,' Disaggregation - Section E '!A$618:J2498,9,0)="","",VLOOKUP(C2172,' Disaggregation - Section E '!A$618:J2498,9,0)),"")</f>
        <v/>
      </c>
      <c r="K2172" s="384" t="str">
        <f ca="1">IFERROR(VLOOKUP(C2172,' Disaggregation - Section E '!A$618:J2498,3,0),"")</f>
        <v>KP-1d⁽ᴹ⁾ Percentage of people who inject drugs reached with HIV prevention programs - defined package of services</v>
      </c>
      <c r="L2172" s="384"/>
      <c r="M2172" s="384" t="str">
        <f ca="1">IFERROR(IF(VLOOKUP(C2172,' Disaggregation - Section E '!A$618:O1301,15,0)=0,"",VLOOKUP(C2172,' Disaggregation - Section E '!A$618:O1301,15,0)),"")</f>
        <v/>
      </c>
      <c r="N2172" s="388" t="str">
        <f ca="1">IFERROR(IF(VLOOKUP(C2172,' Disaggregation - Section E '!A$618:J2498,10,0)=0,"",VLOOKUP(C2172,' Disaggregation - Section E '!A$618:J2498,10,0)),"")</f>
        <v/>
      </c>
      <c r="O2172" s="384"/>
    </row>
    <row r="2173" spans="1:15" x14ac:dyDescent="0.3">
      <c r="A2173" s="384" t="b">
        <f t="shared" ca="1" si="136"/>
        <v>0</v>
      </c>
      <c r="B2173" s="384"/>
      <c r="C2173" s="393" t="str">
        <f ca="1">IF(COUNTA(O$1493:O2173)=1,"",OFFSET(B2171,-COUNTA(O$1493:O2173)+3,1))</f>
        <v>a16Dm000000LZamIAG</v>
      </c>
      <c r="D2173" s="389"/>
      <c r="E2173" s="386" t="str">
        <f ca="1">IFERROR(IF(VLOOKUP(C2173,' Disaggregation - Section E '!A$618:J2499,7,0)="","",VLOOKUP(C2173,' Disaggregation - Section E '!A$618:J2499,7,0)*100),"")</f>
        <v/>
      </c>
      <c r="F2173" s="388" t="str">
        <f ca="1">IFERROR(VLOOKUP(C2173,' Disaggregation - Section E '!A$618:J2499,5,0),"")</f>
        <v/>
      </c>
      <c r="G2173" s="387" t="str">
        <f ca="1">IFERROR(IF(VLOOKUP(C2173,' Disaggregation - Section E '!A$618:J2499,6,0)="","",VLOOKUP(C2173,' Disaggregation - Section E '!A$618:J2499,6,0)),"")</f>
        <v/>
      </c>
      <c r="H2173" s="387" t="str">
        <f ca="1">IFERROR(IF(INDEX(' Disaggregation - Section E '!F$618:F2499,MATCH(C2173,' Disaggregation - Section E '!A$618:A2499,0)+1,1)&lt;&gt;0,INDEX(' Disaggregation - Section E '!F$618:F2499,MATCH(C2173,' Disaggregation - Section E '!A$618:A2499,0)+1,1),""),"")</f>
        <v/>
      </c>
      <c r="I2173" s="388" t="str">
        <f ca="1">IFERROR(IF(VLOOKUP(C2173,' Disaggregation - Section E '!A$618:J2499,8,0)=0,"",VLOOKUP(C2173,' Disaggregation - Section E '!A$618:J2499,8,0)),"")</f>
        <v/>
      </c>
      <c r="J2173" s="388" t="str">
        <f ca="1">IFERROR(IF(VLOOKUP(C2173,' Disaggregation - Section E '!A$618:J2499,9,0)="","",VLOOKUP(C2173,' Disaggregation - Section E '!A$618:J2499,9,0)),"")</f>
        <v/>
      </c>
      <c r="K2173" s="384" t="str">
        <f ca="1">IFERROR(VLOOKUP(C2173,' Disaggregation - Section E '!A$618:J2499,3,0),"")</f>
        <v>KP-1d⁽ᴹ⁾ Percentage of people who inject drugs reached with HIV prevention programs - defined package of services</v>
      </c>
      <c r="L2173" s="384"/>
      <c r="M2173" s="384" t="str">
        <f ca="1">IFERROR(IF(VLOOKUP(C2173,' Disaggregation - Section E '!A$618:O1302,15,0)=0,"",VLOOKUP(C2173,' Disaggregation - Section E '!A$618:O1302,15,0)),"")</f>
        <v/>
      </c>
      <c r="N2173" s="388" t="str">
        <f ca="1">IFERROR(IF(VLOOKUP(C2173,' Disaggregation - Section E '!A$618:J2499,10,0)=0,"",VLOOKUP(C2173,' Disaggregation - Section E '!A$618:J2499,10,0)),"")</f>
        <v/>
      </c>
      <c r="O2173" s="384"/>
    </row>
    <row r="2174" spans="1:15" x14ac:dyDescent="0.3">
      <c r="A2174" s="384" t="b">
        <f t="shared" ca="1" si="136"/>
        <v>0</v>
      </c>
      <c r="B2174" s="384"/>
      <c r="C2174" s="393" t="str">
        <f ca="1">IF(COUNTA(O$1493:O2174)=1,"",OFFSET(B2172,-COUNTA(O$1493:O2174)+3,1))</f>
        <v>a16Dm000000LZanIAG</v>
      </c>
      <c r="D2174" s="389"/>
      <c r="E2174" s="386" t="str">
        <f ca="1">IFERROR(IF(VLOOKUP(C2174,' Disaggregation - Section E '!A$618:J2500,7,0)="","",VLOOKUP(C2174,' Disaggregation - Section E '!A$618:J2500,7,0)*100),"")</f>
        <v/>
      </c>
      <c r="F2174" s="388" t="str">
        <f ca="1">IFERROR(VLOOKUP(C2174,' Disaggregation - Section E '!A$618:J2500,5,0),"")</f>
        <v/>
      </c>
      <c r="G2174" s="387" t="str">
        <f ca="1">IFERROR(IF(VLOOKUP(C2174,' Disaggregation - Section E '!A$618:J2500,6,0)="","",VLOOKUP(C2174,' Disaggregation - Section E '!A$618:J2500,6,0)),"")</f>
        <v/>
      </c>
      <c r="H2174" s="387" t="str">
        <f ca="1">IFERROR(IF(INDEX(' Disaggregation - Section E '!F$618:F2500,MATCH(C2174,' Disaggregation - Section E '!A$618:A2500,0)+1,1)&lt;&gt;0,INDEX(' Disaggregation - Section E '!F$618:F2500,MATCH(C2174,' Disaggregation - Section E '!A$618:A2500,0)+1,1),""),"")</f>
        <v/>
      </c>
      <c r="I2174" s="388" t="str">
        <f ca="1">IFERROR(IF(VLOOKUP(C2174,' Disaggregation - Section E '!A$618:J2500,8,0)=0,"",VLOOKUP(C2174,' Disaggregation - Section E '!A$618:J2500,8,0)),"")</f>
        <v/>
      </c>
      <c r="J2174" s="388" t="str">
        <f ca="1">IFERROR(IF(VLOOKUP(C2174,' Disaggregation - Section E '!A$618:J2500,9,0)="","",VLOOKUP(C2174,' Disaggregation - Section E '!A$618:J2500,9,0)),"")</f>
        <v/>
      </c>
      <c r="K2174" s="384" t="str">
        <f ca="1">IFERROR(VLOOKUP(C2174,' Disaggregation - Section E '!A$618:J2500,3,0),"")</f>
        <v>KP-1d⁽ᴹ⁾ Percentage of people who inject drugs reached with HIV prevention programs - defined package of services</v>
      </c>
      <c r="L2174" s="384"/>
      <c r="M2174" s="384" t="str">
        <f ca="1">IFERROR(IF(VLOOKUP(C2174,' Disaggregation - Section E '!A$618:O1303,15,0)=0,"",VLOOKUP(C2174,' Disaggregation - Section E '!A$618:O1303,15,0)),"")</f>
        <v/>
      </c>
      <c r="N2174" s="388" t="str">
        <f ca="1">IFERROR(IF(VLOOKUP(C2174,' Disaggregation - Section E '!A$618:J2500,10,0)=0,"",VLOOKUP(C2174,' Disaggregation - Section E '!A$618:J2500,10,0)),"")</f>
        <v/>
      </c>
      <c r="O2174" s="384"/>
    </row>
    <row r="2175" spans="1:15" x14ac:dyDescent="0.3">
      <c r="A2175" s="384" t="b">
        <f t="shared" ca="1" si="136"/>
        <v>1</v>
      </c>
      <c r="B2175" s="384"/>
      <c r="C2175" s="393" t="str">
        <f ca="1">IF(COUNTA(O$1493:O2175)=1,"",OFFSET(B2173,-COUNTA(O$1493:O2175)+3,1))</f>
        <v>a16Dm000000LZaoIAG</v>
      </c>
      <c r="D2175" s="389"/>
      <c r="E2175" s="386">
        <f ca="1">IFERROR(IF(VLOOKUP(C2175,' Disaggregation - Section E '!A$618:J2501,7,0)="","",VLOOKUP(C2175,' Disaggregation - Section E '!A$618:J2501,7,0)*100),"")</f>
        <v>48.979591836734691</v>
      </c>
      <c r="F2175" s="388" t="str">
        <f ca="1">IFERROR(VLOOKUP(C2175,' Disaggregation - Section E '!A$618:J2501,5,0),"")</f>
        <v>25+</v>
      </c>
      <c r="G2175" s="387">
        <f ca="1">IFERROR(IF(VLOOKUP(C2175,' Disaggregation - Section E '!A$618:J2501,6,0)="","",VLOOKUP(C2175,' Disaggregation - Section E '!A$618:J2501,6,0)),"")</f>
        <v>72</v>
      </c>
      <c r="H2175" s="387">
        <f ca="1">IFERROR(IF(INDEX(' Disaggregation - Section E '!F$618:F2501,MATCH(C2175,' Disaggregation - Section E '!A$618:A2501,0)+1,1)&lt;&gt;0,INDEX(' Disaggregation - Section E '!F$618:F2501,MATCH(C2175,' Disaggregation - Section E '!A$618:A2501,0)+1,1),""),"")</f>
        <v>147</v>
      </c>
      <c r="I2175" s="388">
        <f ca="1">IFERROR(IF(VLOOKUP(C2175,' Disaggregation - Section E '!A$618:J2501,8,0)=0,"",VLOOKUP(C2175,' Disaggregation - Section E '!A$618:J2501,8,0)),"")</f>
        <v>2022</v>
      </c>
      <c r="J2175" s="388" t="str">
        <f ca="1">IFERROR(IF(VLOOKUP(C2175,' Disaggregation - Section E '!A$618:J2501,9,0)="","",VLOOKUP(C2175,' Disaggregation - Section E '!A$618:J2501,9,0)),"")</f>
        <v>Electronic HIV Case Tracking System and RCHV&amp;HIV report</v>
      </c>
      <c r="K2175" s="384" t="str">
        <f ca="1">IFERROR(VLOOKUP(C2175,' Disaggregation - Section E '!A$618:J2501,3,0),"")</f>
        <v>KP-6a Number of MSM who received any PrEP product at least once during the reporting period</v>
      </c>
      <c r="L2175" s="384"/>
      <c r="M2175" s="384" t="str">
        <f ca="1">IFERROR(IF(VLOOKUP(C2175,' Disaggregation - Section E '!A$618:O1304,15,0)=0,"",VLOOKUP(C2175,' Disaggregation - Section E '!A$618:O1304,15,0)),"")</f>
        <v>IDR-01171</v>
      </c>
      <c r="N2175" s="388" t="str">
        <f ca="1">IFERROR(IF(VLOOKUP(C2175,' Disaggregation - Section E '!A$618:J2501,10,0)=0,"",VLOOKUP(C2175,' Disaggregation - Section E '!A$618:J2501,10,0)),"")</f>
        <v>In the previous cycle, the target for MSM pre-exposure prophylaxis coverage was 150 MSM per year, this indicator was new for the country; disaggregated by age, earn more in the 25 and older age group and less in the 15-19 age group. The country uses only the tablet form of the drug.</v>
      </c>
      <c r="O2175" s="384"/>
    </row>
    <row r="2176" spans="1:15" x14ac:dyDescent="0.3">
      <c r="A2176" s="384" t="b">
        <f t="shared" ca="1" si="136"/>
        <v>1</v>
      </c>
      <c r="B2176" s="384"/>
      <c r="C2176" s="393" t="str">
        <f ca="1">IF(COUNTA(O$1493:O2176)=1,"",OFFSET(B2174,-COUNTA(O$1493:O2176)+3,1))</f>
        <v>a16Dm000000LZapIAG</v>
      </c>
      <c r="D2176" s="389"/>
      <c r="E2176" s="386">
        <f ca="1">IFERROR(IF(VLOOKUP(C2176,' Disaggregation - Section E '!A$618:J2502,7,0)="","",VLOOKUP(C2176,' Disaggregation - Section E '!A$618:J2502,7,0)*100),"")</f>
        <v>40.816326530612244</v>
      </c>
      <c r="F2176" s="388" t="str">
        <f ca="1">IFERROR(VLOOKUP(C2176,' Disaggregation - Section E '!A$618:J2502,5,0),"")</f>
        <v>20-24</v>
      </c>
      <c r="G2176" s="387">
        <f ca="1">IFERROR(IF(VLOOKUP(C2176,' Disaggregation - Section E '!A$618:J2502,6,0)="","",VLOOKUP(C2176,' Disaggregation - Section E '!A$618:J2502,6,0)),"")</f>
        <v>60</v>
      </c>
      <c r="H2176" s="387">
        <f ca="1">IFERROR(IF(INDEX(' Disaggregation - Section E '!F$618:F2502,MATCH(C2176,' Disaggregation - Section E '!A$618:A2502,0)+1,1)&lt;&gt;0,INDEX(' Disaggregation - Section E '!F$618:F2502,MATCH(C2176,' Disaggregation - Section E '!A$618:A2502,0)+1,1),""),"")</f>
        <v>147</v>
      </c>
      <c r="I2176" s="388">
        <f ca="1">IFERROR(IF(VLOOKUP(C2176,' Disaggregation - Section E '!A$618:J2502,8,0)=0,"",VLOOKUP(C2176,' Disaggregation - Section E '!A$618:J2502,8,0)),"")</f>
        <v>2022</v>
      </c>
      <c r="J2176" s="388" t="str">
        <f ca="1">IFERROR(IF(VLOOKUP(C2176,' Disaggregation - Section E '!A$618:J2502,9,0)="","",VLOOKUP(C2176,' Disaggregation - Section E '!A$618:J2502,9,0)),"")</f>
        <v>Electronic HIV Case Tracking System and RCHV&amp;HIV report</v>
      </c>
      <c r="K2176" s="384" t="str">
        <f ca="1">IFERROR(VLOOKUP(C2176,' Disaggregation - Section E '!A$618:J2502,3,0),"")</f>
        <v>KP-6a Number of MSM who received any PrEP product at least once during the reporting period</v>
      </c>
      <c r="L2176" s="384"/>
      <c r="M2176" s="384" t="str">
        <f ca="1">IFERROR(IF(VLOOKUP(C2176,' Disaggregation - Section E '!A$618:O1305,15,0)=0,"",VLOOKUP(C2176,' Disaggregation - Section E '!A$618:O1305,15,0)),"")</f>
        <v>IDR-01170</v>
      </c>
      <c r="N2176" s="388" t="str">
        <f ca="1">IFERROR(IF(VLOOKUP(C2176,' Disaggregation - Section E '!A$618:J2502,10,0)=0,"",VLOOKUP(C2176,' Disaggregation - Section E '!A$618:J2502,10,0)),"")</f>
        <v>In the previous cycle, the target for MSM pre-exposure prophylaxis coverage was 150 MSM per year, this indicator was new for the country; disaggregated by age, earn more in the 25 and older age group and less in the 15-19 age group. The country uses only the tablet form of the drug.</v>
      </c>
      <c r="O2176" s="384"/>
    </row>
    <row r="2177" spans="1:15" x14ac:dyDescent="0.3">
      <c r="A2177" s="384" t="b">
        <f t="shared" ca="1" si="136"/>
        <v>1</v>
      </c>
      <c r="B2177" s="384"/>
      <c r="C2177" s="393" t="str">
        <f ca="1">IF(COUNTA(O$1493:O2177)=1,"",OFFSET(B2175,-COUNTA(O$1493:O2177)+3,1))</f>
        <v>a16Dm000000LZaqIAG</v>
      </c>
      <c r="D2177" s="389"/>
      <c r="E2177" s="386">
        <f ca="1">IFERROR(IF(VLOOKUP(C2177,' Disaggregation - Section E '!A$618:J2503,7,0)="","",VLOOKUP(C2177,' Disaggregation - Section E '!A$618:J2503,7,0)*100),"")</f>
        <v>10.204081632653061</v>
      </c>
      <c r="F2177" s="388" t="str">
        <f ca="1">IFERROR(VLOOKUP(C2177,' Disaggregation - Section E '!A$618:J2503,5,0),"")</f>
        <v>15-19</v>
      </c>
      <c r="G2177" s="387">
        <f ca="1">IFERROR(IF(VLOOKUP(C2177,' Disaggregation - Section E '!A$618:J2503,6,0)="","",VLOOKUP(C2177,' Disaggregation - Section E '!A$618:J2503,6,0)),"")</f>
        <v>15</v>
      </c>
      <c r="H2177" s="387">
        <f ca="1">IFERROR(IF(INDEX(' Disaggregation - Section E '!F$618:F2503,MATCH(C2177,' Disaggregation - Section E '!A$618:A2503,0)+1,1)&lt;&gt;0,INDEX(' Disaggregation - Section E '!F$618:F2503,MATCH(C2177,' Disaggregation - Section E '!A$618:A2503,0)+1,1),""),"")</f>
        <v>147</v>
      </c>
      <c r="I2177" s="388">
        <f ca="1">IFERROR(IF(VLOOKUP(C2177,' Disaggregation - Section E '!A$618:J2503,8,0)=0,"",VLOOKUP(C2177,' Disaggregation - Section E '!A$618:J2503,8,0)),"")</f>
        <v>2022</v>
      </c>
      <c r="J2177" s="388" t="str">
        <f ca="1">IFERROR(IF(VLOOKUP(C2177,' Disaggregation - Section E '!A$618:J2503,9,0)="","",VLOOKUP(C2177,' Disaggregation - Section E '!A$618:J2503,9,0)),"")</f>
        <v>Electronic HIV Case Tracking System and RCHV&amp;HIV report</v>
      </c>
      <c r="K2177" s="384" t="str">
        <f ca="1">IFERROR(VLOOKUP(C2177,' Disaggregation - Section E '!A$618:J2503,3,0),"")</f>
        <v>KP-6a Number of MSM who received any PrEP product at least once during the reporting period</v>
      </c>
      <c r="L2177" s="384"/>
      <c r="M2177" s="384" t="str">
        <f ca="1">IFERROR(IF(VLOOKUP(C2177,' Disaggregation - Section E '!A$618:O1306,15,0)=0,"",VLOOKUP(C2177,' Disaggregation - Section E '!A$618:O1306,15,0)),"")</f>
        <v>IDR-01169</v>
      </c>
      <c r="N2177" s="388" t="str">
        <f ca="1">IFERROR(IF(VLOOKUP(C2177,' Disaggregation - Section E '!A$618:J2503,10,0)=0,"",VLOOKUP(C2177,' Disaggregation - Section E '!A$618:J2503,10,0)),"")</f>
        <v>In the previous cycle, the target for MSM pre-exposure prophylaxis coverage was 150 MSM per year, this indicator was new for the country; disaggregated by age, earn more in the 25 and older age group and less in the 15-19 age group. The country uses only the tablet form of the drug.</v>
      </c>
      <c r="O2177" s="384"/>
    </row>
    <row r="2178" spans="1:15" x14ac:dyDescent="0.3">
      <c r="A2178" s="384" t="b">
        <f t="shared" ca="1" si="136"/>
        <v>1</v>
      </c>
      <c r="B2178" s="384"/>
      <c r="C2178" s="393" t="str">
        <f ca="1">IF(COUNTA(O$1493:O2178)=1,"",OFFSET(B2176,-COUNTA(O$1493:O2178)+3,1))</f>
        <v>a16Dm000000LZarIAG</v>
      </c>
      <c r="D2178" s="389"/>
      <c r="E2178" s="386" t="str">
        <f ca="1">IFERROR(IF(VLOOKUP(C2178,' Disaggregation - Section E '!A$618:J2504,7,0)="","",VLOOKUP(C2178,' Disaggregation - Section E '!A$618:J2504,7,0)*100),"")</f>
        <v/>
      </c>
      <c r="F2178" s="388" t="str">
        <f ca="1">IFERROR(VLOOKUP(C2178,' Disaggregation - Section E '!A$618:J2504,5,0),"")</f>
        <v>DPV-VR</v>
      </c>
      <c r="G2178" s="387">
        <f ca="1">IFERROR(IF(VLOOKUP(C2178,' Disaggregation - Section E '!A$618:J2504,6,0)="","",VLOOKUP(C2178,' Disaggregation - Section E '!A$618:J2504,6,0)),"")</f>
        <v>0</v>
      </c>
      <c r="H2178" s="387" t="str">
        <f ca="1">IFERROR(IF(INDEX(' Disaggregation - Section E '!F$618:F2504,MATCH(C2178,' Disaggregation - Section E '!A$618:A2504,0)+1,1)&lt;&gt;0,INDEX(' Disaggregation - Section E '!F$618:F2504,MATCH(C2178,' Disaggregation - Section E '!A$618:A2504,0)+1,1),""),"")</f>
        <v/>
      </c>
      <c r="I2178" s="388">
        <f ca="1">IFERROR(IF(VLOOKUP(C2178,' Disaggregation - Section E '!A$618:J2504,8,0)=0,"",VLOOKUP(C2178,' Disaggregation - Section E '!A$618:J2504,8,0)),"")</f>
        <v>2022</v>
      </c>
      <c r="J2178" s="388" t="str">
        <f ca="1">IFERROR(IF(VLOOKUP(C2178,' Disaggregation - Section E '!A$618:J2504,9,0)="","",VLOOKUP(C2178,' Disaggregation - Section E '!A$618:J2504,9,0)),"")</f>
        <v>Electronic HIV Case Tracking System and RCHV&amp;HIV report</v>
      </c>
      <c r="K2178" s="384" t="str">
        <f ca="1">IFERROR(VLOOKUP(C2178,' Disaggregation - Section E '!A$618:J2504,3,0),"")</f>
        <v>KP-6a Number of MSM who received any PrEP product at least once during the reporting period</v>
      </c>
      <c r="L2178" s="384"/>
      <c r="M2178" s="384" t="str">
        <f ca="1">IFERROR(IF(VLOOKUP(C2178,' Disaggregation - Section E '!A$618:O1307,15,0)=0,"",VLOOKUP(C2178,' Disaggregation - Section E '!A$618:O1307,15,0)),"")</f>
        <v>IDR-01168</v>
      </c>
      <c r="N2178" s="388" t="str">
        <f ca="1">IFERROR(IF(VLOOKUP(C2178,' Disaggregation - Section E '!A$618:J2504,10,0)=0,"",VLOOKUP(C2178,' Disaggregation - Section E '!A$618:J2504,10,0)),"")</f>
        <v/>
      </c>
      <c r="O2178" s="384"/>
    </row>
    <row r="2179" spans="1:15" x14ac:dyDescent="0.3">
      <c r="A2179" s="384" t="b">
        <f t="shared" ca="1" si="136"/>
        <v>1</v>
      </c>
      <c r="B2179" s="384"/>
      <c r="C2179" s="393" t="str">
        <f ca="1">IF(COUNTA(O$1493:O2179)=1,"",OFFSET(B2177,-COUNTA(O$1493:O2179)+3,1))</f>
        <v>a16Dm000000LZasIAG</v>
      </c>
      <c r="D2179" s="389"/>
      <c r="E2179" s="386" t="str">
        <f ca="1">IFERROR(IF(VLOOKUP(C2179,' Disaggregation - Section E '!A$618:J2505,7,0)="","",VLOOKUP(C2179,' Disaggregation - Section E '!A$618:J2505,7,0)*100),"")</f>
        <v/>
      </c>
      <c r="F2179" s="388" t="str">
        <f ca="1">IFERROR(VLOOKUP(C2179,' Disaggregation - Section E '!A$618:J2505,5,0),"")</f>
        <v>Injectable PrEP</v>
      </c>
      <c r="G2179" s="387">
        <f ca="1">IFERROR(IF(VLOOKUP(C2179,' Disaggregation - Section E '!A$618:J2505,6,0)="","",VLOOKUP(C2179,' Disaggregation - Section E '!A$618:J2505,6,0)),"")</f>
        <v>0</v>
      </c>
      <c r="H2179" s="387" t="str">
        <f ca="1">IFERROR(IF(INDEX(' Disaggregation - Section E '!F$618:F2505,MATCH(C2179,' Disaggregation - Section E '!A$618:A2505,0)+1,1)&lt;&gt;0,INDEX(' Disaggregation - Section E '!F$618:F2505,MATCH(C2179,' Disaggregation - Section E '!A$618:A2505,0)+1,1),""),"")</f>
        <v/>
      </c>
      <c r="I2179" s="388">
        <f ca="1">IFERROR(IF(VLOOKUP(C2179,' Disaggregation - Section E '!A$618:J2505,8,0)=0,"",VLOOKUP(C2179,' Disaggregation - Section E '!A$618:J2505,8,0)),"")</f>
        <v>2022</v>
      </c>
      <c r="J2179" s="388" t="str">
        <f ca="1">IFERROR(IF(VLOOKUP(C2179,' Disaggregation - Section E '!A$618:J2505,9,0)="","",VLOOKUP(C2179,' Disaggregation - Section E '!A$618:J2505,9,0)),"")</f>
        <v>Electronic HIV Case Tracking System and RCHV&amp;HIV report</v>
      </c>
      <c r="K2179" s="384" t="str">
        <f ca="1">IFERROR(VLOOKUP(C2179,' Disaggregation - Section E '!A$618:J2505,3,0),"")</f>
        <v>KP-6a Number of MSM who received any PrEP product at least once during the reporting period</v>
      </c>
      <c r="L2179" s="384"/>
      <c r="M2179" s="384" t="str">
        <f ca="1">IFERROR(IF(VLOOKUP(C2179,' Disaggregation - Section E '!A$618:O1308,15,0)=0,"",VLOOKUP(C2179,' Disaggregation - Section E '!A$618:O1308,15,0)),"")</f>
        <v>IDR-01167</v>
      </c>
      <c r="N2179" s="388" t="str">
        <f ca="1">IFERROR(IF(VLOOKUP(C2179,' Disaggregation - Section E '!A$618:J2505,10,0)=0,"",VLOOKUP(C2179,' Disaggregation - Section E '!A$618:J2505,10,0)),"")</f>
        <v/>
      </c>
      <c r="O2179" s="384"/>
    </row>
    <row r="2180" spans="1:15" x14ac:dyDescent="0.3">
      <c r="A2180" s="384" t="b">
        <f t="shared" ca="1" si="136"/>
        <v>1</v>
      </c>
      <c r="B2180" s="384"/>
      <c r="C2180" s="393" t="str">
        <f ca="1">IF(COUNTA(O$1493:O2180)=1,"",OFFSET(B2178,-COUNTA(O$1493:O2180)+3,1))</f>
        <v>a16Dm000000LZatIAG</v>
      </c>
      <c r="D2180" s="389"/>
      <c r="E2180" s="386">
        <f ca="1">IFERROR(IF(VLOOKUP(C2180,' Disaggregation - Section E '!A$618:J2506,7,0)="","",VLOOKUP(C2180,' Disaggregation - Section E '!A$618:J2506,7,0)*100),"")</f>
        <v>100</v>
      </c>
      <c r="F2180" s="388" t="str">
        <f ca="1">IFERROR(VLOOKUP(C2180,' Disaggregation - Section E '!A$618:J2506,5,0),"")</f>
        <v>Oral PrEP</v>
      </c>
      <c r="G2180" s="387">
        <f ca="1">IFERROR(IF(VLOOKUP(C2180,' Disaggregation - Section E '!A$618:J2506,6,0)="","",VLOOKUP(C2180,' Disaggregation - Section E '!A$618:J2506,6,0)),"")</f>
        <v>147</v>
      </c>
      <c r="H2180" s="387">
        <f ca="1">IFERROR(IF(INDEX(' Disaggregation - Section E '!F$618:F2506,MATCH(C2180,' Disaggregation - Section E '!A$618:A2506,0)+1,1)&lt;&gt;0,INDEX(' Disaggregation - Section E '!F$618:F2506,MATCH(C2180,' Disaggregation - Section E '!A$618:A2506,0)+1,1),""),"")</f>
        <v>147</v>
      </c>
      <c r="I2180" s="388">
        <f ca="1">IFERROR(IF(VLOOKUP(C2180,' Disaggregation - Section E '!A$618:J2506,8,0)=0,"",VLOOKUP(C2180,' Disaggregation - Section E '!A$618:J2506,8,0)),"")</f>
        <v>2022</v>
      </c>
      <c r="J2180" s="388" t="str">
        <f ca="1">IFERROR(IF(VLOOKUP(C2180,' Disaggregation - Section E '!A$618:J2506,9,0)="","",VLOOKUP(C2180,' Disaggregation - Section E '!A$618:J2506,9,0)),"")</f>
        <v>Electronic HIV Case Tracking System and RCHV&amp;HIV report</v>
      </c>
      <c r="K2180" s="384" t="str">
        <f ca="1">IFERROR(VLOOKUP(C2180,' Disaggregation - Section E '!A$618:J2506,3,0),"")</f>
        <v>KP-6a Number of MSM who received any PrEP product at least once during the reporting period</v>
      </c>
      <c r="L2180" s="384"/>
      <c r="M2180" s="384" t="str">
        <f ca="1">IFERROR(IF(VLOOKUP(C2180,' Disaggregation - Section E '!A$618:O1309,15,0)=0,"",VLOOKUP(C2180,' Disaggregation - Section E '!A$618:O1309,15,0)),"")</f>
        <v>IDR-01166</v>
      </c>
      <c r="N2180" s="388" t="str">
        <f ca="1">IFERROR(IF(VLOOKUP(C2180,' Disaggregation - Section E '!A$618:J2506,10,0)=0,"",VLOOKUP(C2180,' Disaggregation - Section E '!A$618:J2506,10,0)),"")</f>
        <v>In the previous cycle, the target for MSM pre-exposure prophylaxis coverage was 150 MSM per year, this indicator was new for the country; disaggregated by age, earn more in the 25 and older age group and less in the 15-19 age group. The country uses only the tablet form of the drug.</v>
      </c>
      <c r="O2180" s="384"/>
    </row>
    <row r="2181" spans="1:15" x14ac:dyDescent="0.3">
      <c r="A2181" s="384" t="b">
        <f t="shared" ca="1" si="136"/>
        <v>0</v>
      </c>
      <c r="B2181" s="384"/>
      <c r="C2181" s="393" t="str">
        <f ca="1">IF(COUNTA(O$1493:O2181)=1,"",OFFSET(B2179,-COUNTA(O$1493:O2181)+3,1))</f>
        <v>a16Dm000000LZauIAG</v>
      </c>
      <c r="D2181" s="389"/>
      <c r="E2181" s="386" t="str">
        <f ca="1">IFERROR(IF(VLOOKUP(C2181,' Disaggregation - Section E '!A$618:J2507,7,0)="","",VLOOKUP(C2181,' Disaggregation - Section E '!A$618:J2507,7,0)*100),"")</f>
        <v/>
      </c>
      <c r="F2181" s="388" t="str">
        <f ca="1">IFERROR(VLOOKUP(C2181,' Disaggregation - Section E '!A$618:J2507,5,0),"")</f>
        <v/>
      </c>
      <c r="G2181" s="387" t="str">
        <f ca="1">IFERROR(IF(VLOOKUP(C2181,' Disaggregation - Section E '!A$618:J2507,6,0)="","",VLOOKUP(C2181,' Disaggregation - Section E '!A$618:J2507,6,0)),"")</f>
        <v/>
      </c>
      <c r="H2181" s="387" t="str">
        <f ca="1">IFERROR(IF(INDEX(' Disaggregation - Section E '!F$618:F2507,MATCH(C2181,' Disaggregation - Section E '!A$618:A2507,0)+1,1)&lt;&gt;0,INDEX(' Disaggregation - Section E '!F$618:F2507,MATCH(C2181,' Disaggregation - Section E '!A$618:A2507,0)+1,1),""),"")</f>
        <v/>
      </c>
      <c r="I2181" s="388" t="str">
        <f ca="1">IFERROR(IF(VLOOKUP(C2181,' Disaggregation - Section E '!A$618:J2507,8,0)=0,"",VLOOKUP(C2181,' Disaggregation - Section E '!A$618:J2507,8,0)),"")</f>
        <v/>
      </c>
      <c r="J2181" s="388" t="str">
        <f ca="1">IFERROR(IF(VLOOKUP(C2181,' Disaggregation - Section E '!A$618:J2507,9,0)="","",VLOOKUP(C2181,' Disaggregation - Section E '!A$618:J2507,9,0)),"")</f>
        <v/>
      </c>
      <c r="K2181" s="384" t="str">
        <f ca="1">IFERROR(VLOOKUP(C2181,' Disaggregation - Section E '!A$618:J2507,3,0),"")</f>
        <v>KP-6a Number of MSM who received any PrEP product at least once during the reporting period</v>
      </c>
      <c r="L2181" s="384"/>
      <c r="M2181" s="384" t="str">
        <f ca="1">IFERROR(IF(VLOOKUP(C2181,' Disaggregation - Section E '!A$618:O1310,15,0)=0,"",VLOOKUP(C2181,' Disaggregation - Section E '!A$618:O1310,15,0)),"")</f>
        <v/>
      </c>
      <c r="N2181" s="388" t="str">
        <f ca="1">IFERROR(IF(VLOOKUP(C2181,' Disaggregation - Section E '!A$618:J2507,10,0)=0,"",VLOOKUP(C2181,' Disaggregation - Section E '!A$618:J2507,10,0)),"")</f>
        <v/>
      </c>
      <c r="O2181" s="384"/>
    </row>
    <row r="2182" spans="1:15" x14ac:dyDescent="0.3">
      <c r="A2182" s="384" t="b">
        <f t="shared" ca="1" si="136"/>
        <v>0</v>
      </c>
      <c r="B2182" s="384"/>
      <c r="C2182" s="393" t="str">
        <f ca="1">IF(COUNTA(O$1493:O2182)=1,"",OFFSET(B2180,-COUNTA(O$1493:O2182)+3,1))</f>
        <v>a16Dm000000LZavIAG</v>
      </c>
      <c r="D2182" s="389"/>
      <c r="E2182" s="386" t="str">
        <f ca="1">IFERROR(IF(VLOOKUP(C2182,' Disaggregation - Section E '!A$618:J2508,7,0)="","",VLOOKUP(C2182,' Disaggregation - Section E '!A$618:J2508,7,0)*100),"")</f>
        <v/>
      </c>
      <c r="F2182" s="388" t="str">
        <f ca="1">IFERROR(VLOOKUP(C2182,' Disaggregation - Section E '!A$618:J2508,5,0),"")</f>
        <v/>
      </c>
      <c r="G2182" s="387" t="str">
        <f ca="1">IFERROR(IF(VLOOKUP(C2182,' Disaggregation - Section E '!A$618:J2508,6,0)="","",VLOOKUP(C2182,' Disaggregation - Section E '!A$618:J2508,6,0)),"")</f>
        <v/>
      </c>
      <c r="H2182" s="387" t="str">
        <f ca="1">IFERROR(IF(INDEX(' Disaggregation - Section E '!F$618:F2508,MATCH(C2182,' Disaggregation - Section E '!A$618:A2508,0)+1,1)&lt;&gt;0,INDEX(' Disaggregation - Section E '!F$618:F2508,MATCH(C2182,' Disaggregation - Section E '!A$618:A2508,0)+1,1),""),"")</f>
        <v/>
      </c>
      <c r="I2182" s="388" t="str">
        <f ca="1">IFERROR(IF(VLOOKUP(C2182,' Disaggregation - Section E '!A$618:J2508,8,0)=0,"",VLOOKUP(C2182,' Disaggregation - Section E '!A$618:J2508,8,0)),"")</f>
        <v/>
      </c>
      <c r="J2182" s="388" t="str">
        <f ca="1">IFERROR(IF(VLOOKUP(C2182,' Disaggregation - Section E '!A$618:J2508,9,0)="","",VLOOKUP(C2182,' Disaggregation - Section E '!A$618:J2508,9,0)),"")</f>
        <v/>
      </c>
      <c r="K2182" s="384" t="str">
        <f ca="1">IFERROR(VLOOKUP(C2182,' Disaggregation - Section E '!A$618:J2508,3,0),"")</f>
        <v>KP-6a Number of MSM who received any PrEP product at least once during the reporting period</v>
      </c>
      <c r="L2182" s="384"/>
      <c r="M2182" s="384" t="str">
        <f ca="1">IFERROR(IF(VLOOKUP(C2182,' Disaggregation - Section E '!A$618:O1311,15,0)=0,"",VLOOKUP(C2182,' Disaggregation - Section E '!A$618:O1311,15,0)),"")</f>
        <v/>
      </c>
      <c r="N2182" s="388" t="str">
        <f ca="1">IFERROR(IF(VLOOKUP(C2182,' Disaggregation - Section E '!A$618:J2508,10,0)=0,"",VLOOKUP(C2182,' Disaggregation - Section E '!A$618:J2508,10,0)),"")</f>
        <v/>
      </c>
      <c r="O2182" s="384"/>
    </row>
    <row r="2183" spans="1:15" x14ac:dyDescent="0.3">
      <c r="A2183" s="384" t="b">
        <f t="shared" ca="1" si="136"/>
        <v>0</v>
      </c>
      <c r="B2183" s="384"/>
      <c r="C2183" s="393" t="str">
        <f ca="1">IF(COUNTA(O$1493:O2183)=1,"",OFFSET(B2181,-COUNTA(O$1493:O2183)+3,1))</f>
        <v>a16Dm000000LZawIAG</v>
      </c>
      <c r="D2183" s="389"/>
      <c r="E2183" s="386" t="str">
        <f ca="1">IFERROR(IF(VLOOKUP(C2183,' Disaggregation - Section E '!A$618:J2509,7,0)="","",VLOOKUP(C2183,' Disaggregation - Section E '!A$618:J2509,7,0)*100),"")</f>
        <v/>
      </c>
      <c r="F2183" s="388" t="str">
        <f ca="1">IFERROR(VLOOKUP(C2183,' Disaggregation - Section E '!A$618:J2509,5,0),"")</f>
        <v/>
      </c>
      <c r="G2183" s="387" t="str">
        <f ca="1">IFERROR(IF(VLOOKUP(C2183,' Disaggregation - Section E '!A$618:J2509,6,0)="","",VLOOKUP(C2183,' Disaggregation - Section E '!A$618:J2509,6,0)),"")</f>
        <v/>
      </c>
      <c r="H2183" s="387" t="str">
        <f ca="1">IFERROR(IF(INDEX(' Disaggregation - Section E '!F$618:F2509,MATCH(C2183,' Disaggregation - Section E '!A$618:A2509,0)+1,1)&lt;&gt;0,INDEX(' Disaggregation - Section E '!F$618:F2509,MATCH(C2183,' Disaggregation - Section E '!A$618:A2509,0)+1,1),""),"")</f>
        <v/>
      </c>
      <c r="I2183" s="388" t="str">
        <f ca="1">IFERROR(IF(VLOOKUP(C2183,' Disaggregation - Section E '!A$618:J2509,8,0)=0,"",VLOOKUP(C2183,' Disaggregation - Section E '!A$618:J2509,8,0)),"")</f>
        <v/>
      </c>
      <c r="J2183" s="388" t="str">
        <f ca="1">IFERROR(IF(VLOOKUP(C2183,' Disaggregation - Section E '!A$618:J2509,9,0)="","",VLOOKUP(C2183,' Disaggregation - Section E '!A$618:J2509,9,0)),"")</f>
        <v/>
      </c>
      <c r="K2183" s="384" t="str">
        <f ca="1">IFERROR(VLOOKUP(C2183,' Disaggregation - Section E '!A$618:J2509,3,0),"")</f>
        <v>KP-6a Number of MSM who received any PrEP product at least once during the reporting period</v>
      </c>
      <c r="L2183" s="384"/>
      <c r="M2183" s="384" t="str">
        <f ca="1">IFERROR(IF(VLOOKUP(C2183,' Disaggregation - Section E '!A$618:O1312,15,0)=0,"",VLOOKUP(C2183,' Disaggregation - Section E '!A$618:O1312,15,0)),"")</f>
        <v/>
      </c>
      <c r="N2183" s="388" t="str">
        <f ca="1">IFERROR(IF(VLOOKUP(C2183,' Disaggregation - Section E '!A$618:J2509,10,0)=0,"",VLOOKUP(C2183,' Disaggregation - Section E '!A$618:J2509,10,0)),"")</f>
        <v/>
      </c>
      <c r="O2183" s="384"/>
    </row>
    <row r="2184" spans="1:15" x14ac:dyDescent="0.3">
      <c r="A2184" s="384" t="b">
        <f t="shared" ca="1" si="136"/>
        <v>0</v>
      </c>
      <c r="B2184" s="384"/>
      <c r="C2184" s="393" t="str">
        <f ca="1">IF(COUNTA(O$1493:O2184)=1,"",OFFSET(B2182,-COUNTA(O$1493:O2184)+3,1))</f>
        <v>a16Dm000000LZaxIAG</v>
      </c>
      <c r="D2184" s="389"/>
      <c r="E2184" s="386" t="str">
        <f ca="1">IFERROR(IF(VLOOKUP(C2184,' Disaggregation - Section E '!A$618:J2510,7,0)="","",VLOOKUP(C2184,' Disaggregation - Section E '!A$618:J2510,7,0)*100),"")</f>
        <v/>
      </c>
      <c r="F2184" s="388" t="str">
        <f ca="1">IFERROR(VLOOKUP(C2184,' Disaggregation - Section E '!A$618:J2510,5,0),"")</f>
        <v/>
      </c>
      <c r="G2184" s="387" t="str">
        <f ca="1">IFERROR(IF(VLOOKUP(C2184,' Disaggregation - Section E '!A$618:J2510,6,0)="","",VLOOKUP(C2184,' Disaggregation - Section E '!A$618:J2510,6,0)),"")</f>
        <v/>
      </c>
      <c r="H2184" s="387" t="str">
        <f ca="1">IFERROR(IF(INDEX(' Disaggregation - Section E '!F$618:F2510,MATCH(C2184,' Disaggregation - Section E '!A$618:A2510,0)+1,1)&lt;&gt;0,INDEX(' Disaggregation - Section E '!F$618:F2510,MATCH(C2184,' Disaggregation - Section E '!A$618:A2510,0)+1,1),""),"")</f>
        <v/>
      </c>
      <c r="I2184" s="388" t="str">
        <f ca="1">IFERROR(IF(VLOOKUP(C2184,' Disaggregation - Section E '!A$618:J2510,8,0)=0,"",VLOOKUP(C2184,' Disaggregation - Section E '!A$618:J2510,8,0)),"")</f>
        <v/>
      </c>
      <c r="J2184" s="388" t="str">
        <f ca="1">IFERROR(IF(VLOOKUP(C2184,' Disaggregation - Section E '!A$618:J2510,9,0)="","",VLOOKUP(C2184,' Disaggregation - Section E '!A$618:J2510,9,0)),"")</f>
        <v/>
      </c>
      <c r="K2184" s="384" t="str">
        <f ca="1">IFERROR(VLOOKUP(C2184,' Disaggregation - Section E '!A$618:J2510,3,0),"")</f>
        <v>KP-6a Number of MSM who received any PrEP product at least once during the reporting period</v>
      </c>
      <c r="L2184" s="384"/>
      <c r="M2184" s="384" t="str">
        <f ca="1">IFERROR(IF(VLOOKUP(C2184,' Disaggregation - Section E '!A$618:O1313,15,0)=0,"",VLOOKUP(C2184,' Disaggregation - Section E '!A$618:O1313,15,0)),"")</f>
        <v/>
      </c>
      <c r="N2184" s="388" t="str">
        <f ca="1">IFERROR(IF(VLOOKUP(C2184,' Disaggregation - Section E '!A$618:J2510,10,0)=0,"",VLOOKUP(C2184,' Disaggregation - Section E '!A$618:J2510,10,0)),"")</f>
        <v/>
      </c>
      <c r="O2184" s="384"/>
    </row>
    <row r="2185" spans="1:15" x14ac:dyDescent="0.3">
      <c r="A2185" s="384" t="b">
        <f t="shared" ca="1" si="136"/>
        <v>0</v>
      </c>
      <c r="B2185" s="384"/>
      <c r="C2185" s="393" t="str">
        <f ca="1">IF(COUNTA(O$1493:O2185)=1,"",OFFSET(B2183,-COUNTA(O$1493:O2185)+3,1))</f>
        <v>a16Dm000000LZayIAG</v>
      </c>
      <c r="D2185" s="389"/>
      <c r="E2185" s="386" t="str">
        <f ca="1">IFERROR(IF(VLOOKUP(C2185,' Disaggregation - Section E '!A$618:J2511,7,0)="","",VLOOKUP(C2185,' Disaggregation - Section E '!A$618:J2511,7,0)*100),"")</f>
        <v/>
      </c>
      <c r="F2185" s="388" t="str">
        <f ca="1">IFERROR(VLOOKUP(C2185,' Disaggregation - Section E '!A$618:J2511,5,0),"")</f>
        <v/>
      </c>
      <c r="G2185" s="387" t="str">
        <f ca="1">IFERROR(IF(VLOOKUP(C2185,' Disaggregation - Section E '!A$618:J2511,6,0)="","",VLOOKUP(C2185,' Disaggregation - Section E '!A$618:J2511,6,0)),"")</f>
        <v/>
      </c>
      <c r="H2185" s="387" t="str">
        <f ca="1">IFERROR(IF(INDEX(' Disaggregation - Section E '!F$618:F2511,MATCH(C2185,' Disaggregation - Section E '!A$618:A2511,0)+1,1)&lt;&gt;0,INDEX(' Disaggregation - Section E '!F$618:F2511,MATCH(C2185,' Disaggregation - Section E '!A$618:A2511,0)+1,1),""),"")</f>
        <v/>
      </c>
      <c r="I2185" s="388" t="str">
        <f ca="1">IFERROR(IF(VLOOKUP(C2185,' Disaggregation - Section E '!A$618:J2511,8,0)=0,"",VLOOKUP(C2185,' Disaggregation - Section E '!A$618:J2511,8,0)),"")</f>
        <v/>
      </c>
      <c r="J2185" s="388" t="str">
        <f ca="1">IFERROR(IF(VLOOKUP(C2185,' Disaggregation - Section E '!A$618:J2511,9,0)="","",VLOOKUP(C2185,' Disaggregation - Section E '!A$618:J2511,9,0)),"")</f>
        <v/>
      </c>
      <c r="K2185" s="384" t="str">
        <f ca="1">IFERROR(VLOOKUP(C2185,' Disaggregation - Section E '!A$618:J2511,3,0),"")</f>
        <v>KP-6a Number of MSM who received any PrEP product at least once during the reporting period</v>
      </c>
      <c r="L2185" s="384"/>
      <c r="M2185" s="384" t="str">
        <f ca="1">IFERROR(IF(VLOOKUP(C2185,' Disaggregation - Section E '!A$618:O1314,15,0)=0,"",VLOOKUP(C2185,' Disaggregation - Section E '!A$618:O1314,15,0)),"")</f>
        <v/>
      </c>
      <c r="N2185" s="388" t="str">
        <f ca="1">IFERROR(IF(VLOOKUP(C2185,' Disaggregation - Section E '!A$618:J2511,10,0)=0,"",VLOOKUP(C2185,' Disaggregation - Section E '!A$618:J2511,10,0)),"")</f>
        <v/>
      </c>
      <c r="O2185" s="384"/>
    </row>
    <row r="2186" spans="1:15" x14ac:dyDescent="0.3">
      <c r="A2186" s="384" t="b">
        <f t="shared" ca="1" si="136"/>
        <v>0</v>
      </c>
      <c r="B2186" s="384"/>
      <c r="C2186" s="393" t="str">
        <f ca="1">IF(COUNTA(O$1493:O2186)=1,"",OFFSET(B2184,-COUNTA(O$1493:O2186)+3,1))</f>
        <v>a16Dm000000LZazIAG</v>
      </c>
      <c r="D2186" s="389"/>
      <c r="E2186" s="386" t="str">
        <f ca="1">IFERROR(IF(VLOOKUP(C2186,' Disaggregation - Section E '!A$618:J2512,7,0)="","",VLOOKUP(C2186,' Disaggregation - Section E '!A$618:J2512,7,0)*100),"")</f>
        <v/>
      </c>
      <c r="F2186" s="388" t="str">
        <f ca="1">IFERROR(VLOOKUP(C2186,' Disaggregation - Section E '!A$618:J2512,5,0),"")</f>
        <v/>
      </c>
      <c r="G2186" s="387" t="str">
        <f ca="1">IFERROR(IF(VLOOKUP(C2186,' Disaggregation - Section E '!A$618:J2512,6,0)="","",VLOOKUP(C2186,' Disaggregation - Section E '!A$618:J2512,6,0)),"")</f>
        <v/>
      </c>
      <c r="H2186" s="387" t="str">
        <f ca="1">IFERROR(IF(INDEX(' Disaggregation - Section E '!F$618:F2512,MATCH(C2186,' Disaggregation - Section E '!A$618:A2512,0)+1,1)&lt;&gt;0,INDEX(' Disaggregation - Section E '!F$618:F2512,MATCH(C2186,' Disaggregation - Section E '!A$618:A2512,0)+1,1),""),"")</f>
        <v/>
      </c>
      <c r="I2186" s="388" t="str">
        <f ca="1">IFERROR(IF(VLOOKUP(C2186,' Disaggregation - Section E '!A$618:J2512,8,0)=0,"",VLOOKUP(C2186,' Disaggregation - Section E '!A$618:J2512,8,0)),"")</f>
        <v/>
      </c>
      <c r="J2186" s="388" t="str">
        <f ca="1">IFERROR(IF(VLOOKUP(C2186,' Disaggregation - Section E '!A$618:J2512,9,0)="","",VLOOKUP(C2186,' Disaggregation - Section E '!A$618:J2512,9,0)),"")</f>
        <v/>
      </c>
      <c r="K2186" s="384" t="str">
        <f ca="1">IFERROR(VLOOKUP(C2186,' Disaggregation - Section E '!A$618:J2512,3,0),"")</f>
        <v>KP-6a Number of MSM who received any PrEP product at least once during the reporting period</v>
      </c>
      <c r="L2186" s="384"/>
      <c r="M2186" s="384" t="str">
        <f ca="1">IFERROR(IF(VLOOKUP(C2186,' Disaggregation - Section E '!A$618:O1315,15,0)=0,"",VLOOKUP(C2186,' Disaggregation - Section E '!A$618:O1315,15,0)),"")</f>
        <v/>
      </c>
      <c r="N2186" s="388" t="str">
        <f ca="1">IFERROR(IF(VLOOKUP(C2186,' Disaggregation - Section E '!A$618:J2512,10,0)=0,"",VLOOKUP(C2186,' Disaggregation - Section E '!A$618:J2512,10,0)),"")</f>
        <v/>
      </c>
      <c r="O2186" s="384"/>
    </row>
    <row r="2187" spans="1:15" x14ac:dyDescent="0.3">
      <c r="A2187" s="384" t="b">
        <f t="shared" ca="1" si="136"/>
        <v>0</v>
      </c>
      <c r="B2187" s="384"/>
      <c r="C2187" s="393" t="str">
        <f ca="1">IF(COUNTA(O$1493:O2187)=1,"",OFFSET(B2185,-COUNTA(O$1493:O2187)+3,1))</f>
        <v>a16Dm000000LZb0IAG</v>
      </c>
      <c r="D2187" s="389"/>
      <c r="E2187" s="386" t="str">
        <f ca="1">IFERROR(IF(VLOOKUP(C2187,' Disaggregation - Section E '!A$618:J2513,7,0)="","",VLOOKUP(C2187,' Disaggregation - Section E '!A$618:J2513,7,0)*100),"")</f>
        <v/>
      </c>
      <c r="F2187" s="388" t="str">
        <f ca="1">IFERROR(VLOOKUP(C2187,' Disaggregation - Section E '!A$618:J2513,5,0),"")</f>
        <v/>
      </c>
      <c r="G2187" s="387" t="str">
        <f ca="1">IFERROR(IF(VLOOKUP(C2187,' Disaggregation - Section E '!A$618:J2513,6,0)="","",VLOOKUP(C2187,' Disaggregation - Section E '!A$618:J2513,6,0)),"")</f>
        <v/>
      </c>
      <c r="H2187" s="387" t="str">
        <f ca="1">IFERROR(IF(INDEX(' Disaggregation - Section E '!F$618:F2513,MATCH(C2187,' Disaggregation - Section E '!A$618:A2513,0)+1,1)&lt;&gt;0,INDEX(' Disaggregation - Section E '!F$618:F2513,MATCH(C2187,' Disaggregation - Section E '!A$618:A2513,0)+1,1),""),"")</f>
        <v/>
      </c>
      <c r="I2187" s="388" t="str">
        <f ca="1">IFERROR(IF(VLOOKUP(C2187,' Disaggregation - Section E '!A$618:J2513,8,0)=0,"",VLOOKUP(C2187,' Disaggregation - Section E '!A$618:J2513,8,0)),"")</f>
        <v/>
      </c>
      <c r="J2187" s="388" t="str">
        <f ca="1">IFERROR(IF(VLOOKUP(C2187,' Disaggregation - Section E '!A$618:J2513,9,0)="","",VLOOKUP(C2187,' Disaggregation - Section E '!A$618:J2513,9,0)),"")</f>
        <v/>
      </c>
      <c r="K2187" s="384" t="str">
        <f ca="1">IFERROR(VLOOKUP(C2187,' Disaggregation - Section E '!A$618:J2513,3,0),"")</f>
        <v>KP-6a Number of MSM who received any PrEP product at least once during the reporting period</v>
      </c>
      <c r="L2187" s="384"/>
      <c r="M2187" s="384" t="str">
        <f ca="1">IFERROR(IF(VLOOKUP(C2187,' Disaggregation - Section E '!A$618:O1316,15,0)=0,"",VLOOKUP(C2187,' Disaggregation - Section E '!A$618:O1316,15,0)),"")</f>
        <v/>
      </c>
      <c r="N2187" s="388" t="str">
        <f ca="1">IFERROR(IF(VLOOKUP(C2187,' Disaggregation - Section E '!A$618:J2513,10,0)=0,"",VLOOKUP(C2187,' Disaggregation - Section E '!A$618:J2513,10,0)),"")</f>
        <v/>
      </c>
      <c r="O2187" s="384"/>
    </row>
    <row r="2188" spans="1:15" x14ac:dyDescent="0.3">
      <c r="A2188" s="384" t="b">
        <f t="shared" ca="1" si="136"/>
        <v>0</v>
      </c>
      <c r="B2188" s="384"/>
      <c r="C2188" s="393" t="str">
        <f ca="1">IF(COUNTA(O$1493:O2188)=1,"",OFFSET(B2186,-COUNTA(O$1493:O2188)+3,1))</f>
        <v>a16Dm000000LZb1IAG</v>
      </c>
      <c r="D2188" s="389"/>
      <c r="E2188" s="386" t="str">
        <f ca="1">IFERROR(IF(VLOOKUP(C2188,' Disaggregation - Section E '!A$618:J2514,7,0)="","",VLOOKUP(C2188,' Disaggregation - Section E '!A$618:J2514,7,0)*100),"")</f>
        <v/>
      </c>
      <c r="F2188" s="388" t="str">
        <f ca="1">IFERROR(VLOOKUP(C2188,' Disaggregation - Section E '!A$618:J2514,5,0),"")</f>
        <v/>
      </c>
      <c r="G2188" s="387" t="str">
        <f ca="1">IFERROR(IF(VLOOKUP(C2188,' Disaggregation - Section E '!A$618:J2514,6,0)="","",VLOOKUP(C2188,' Disaggregation - Section E '!A$618:J2514,6,0)),"")</f>
        <v/>
      </c>
      <c r="H2188" s="387" t="str">
        <f ca="1">IFERROR(IF(INDEX(' Disaggregation - Section E '!F$618:F2514,MATCH(C2188,' Disaggregation - Section E '!A$618:A2514,0)+1,1)&lt;&gt;0,INDEX(' Disaggregation - Section E '!F$618:F2514,MATCH(C2188,' Disaggregation - Section E '!A$618:A2514,0)+1,1),""),"")</f>
        <v/>
      </c>
      <c r="I2188" s="388" t="str">
        <f ca="1">IFERROR(IF(VLOOKUP(C2188,' Disaggregation - Section E '!A$618:J2514,8,0)=0,"",VLOOKUP(C2188,' Disaggregation - Section E '!A$618:J2514,8,0)),"")</f>
        <v/>
      </c>
      <c r="J2188" s="388" t="str">
        <f ca="1">IFERROR(IF(VLOOKUP(C2188,' Disaggregation - Section E '!A$618:J2514,9,0)="","",VLOOKUP(C2188,' Disaggregation - Section E '!A$618:J2514,9,0)),"")</f>
        <v/>
      </c>
      <c r="K2188" s="384" t="str">
        <f ca="1">IFERROR(VLOOKUP(C2188,' Disaggregation - Section E '!A$618:J2514,3,0),"")</f>
        <v>KP-6a Number of MSM who received any PrEP product at least once during the reporting period</v>
      </c>
      <c r="L2188" s="384"/>
      <c r="M2188" s="384" t="str">
        <f ca="1">IFERROR(IF(VLOOKUP(C2188,' Disaggregation - Section E '!A$618:O1317,15,0)=0,"",VLOOKUP(C2188,' Disaggregation - Section E '!A$618:O1317,15,0)),"")</f>
        <v/>
      </c>
      <c r="N2188" s="388" t="str">
        <f ca="1">IFERROR(IF(VLOOKUP(C2188,' Disaggregation - Section E '!A$618:J2514,10,0)=0,"",VLOOKUP(C2188,' Disaggregation - Section E '!A$618:J2514,10,0)),"")</f>
        <v/>
      </c>
      <c r="O2188" s="384"/>
    </row>
    <row r="2189" spans="1:15" x14ac:dyDescent="0.3">
      <c r="A2189" s="384" t="b">
        <f t="shared" ca="1" si="136"/>
        <v>0</v>
      </c>
      <c r="B2189" s="384"/>
      <c r="C2189" s="393" t="str">
        <f ca="1">IF(COUNTA(O$1493:O2189)=1,"",OFFSET(B2187,-COUNTA(O$1493:O2189)+3,1))</f>
        <v>a16Dm000000LZb2IAG</v>
      </c>
      <c r="D2189" s="389"/>
      <c r="E2189" s="386" t="str">
        <f ca="1">IFERROR(IF(VLOOKUP(C2189,' Disaggregation - Section E '!A$618:J2515,7,0)="","",VLOOKUP(C2189,' Disaggregation - Section E '!A$618:J2515,7,0)*100),"")</f>
        <v/>
      </c>
      <c r="F2189" s="388" t="str">
        <f ca="1">IFERROR(VLOOKUP(C2189,' Disaggregation - Section E '!A$618:J2515,5,0),"")</f>
        <v/>
      </c>
      <c r="G2189" s="387" t="str">
        <f ca="1">IFERROR(IF(VLOOKUP(C2189,' Disaggregation - Section E '!A$618:J2515,6,0)="","",VLOOKUP(C2189,' Disaggregation - Section E '!A$618:J2515,6,0)),"")</f>
        <v/>
      </c>
      <c r="H2189" s="387" t="str">
        <f ca="1">IFERROR(IF(INDEX(' Disaggregation - Section E '!F$618:F2515,MATCH(C2189,' Disaggregation - Section E '!A$618:A2515,0)+1,1)&lt;&gt;0,INDEX(' Disaggregation - Section E '!F$618:F2515,MATCH(C2189,' Disaggregation - Section E '!A$618:A2515,0)+1,1),""),"")</f>
        <v/>
      </c>
      <c r="I2189" s="388" t="str">
        <f ca="1">IFERROR(IF(VLOOKUP(C2189,' Disaggregation - Section E '!A$618:J2515,8,0)=0,"",VLOOKUP(C2189,' Disaggregation - Section E '!A$618:J2515,8,0)),"")</f>
        <v/>
      </c>
      <c r="J2189" s="388" t="str">
        <f ca="1">IFERROR(IF(VLOOKUP(C2189,' Disaggregation - Section E '!A$618:J2515,9,0)="","",VLOOKUP(C2189,' Disaggregation - Section E '!A$618:J2515,9,0)),"")</f>
        <v/>
      </c>
      <c r="K2189" s="384" t="str">
        <f ca="1">IFERROR(VLOOKUP(C2189,' Disaggregation - Section E '!A$618:J2515,3,0),"")</f>
        <v>KP-6a Number of MSM who received any PrEP product at least once during the reporting period</v>
      </c>
      <c r="L2189" s="384"/>
      <c r="M2189" s="384" t="str">
        <f ca="1">IFERROR(IF(VLOOKUP(C2189,' Disaggregation - Section E '!A$618:O1318,15,0)=0,"",VLOOKUP(C2189,' Disaggregation - Section E '!A$618:O1318,15,0)),"")</f>
        <v/>
      </c>
      <c r="N2189" s="388" t="str">
        <f ca="1">IFERROR(IF(VLOOKUP(C2189,' Disaggregation - Section E '!A$618:J2515,10,0)=0,"",VLOOKUP(C2189,' Disaggregation - Section E '!A$618:J2515,10,0)),"")</f>
        <v/>
      </c>
      <c r="O2189" s="384"/>
    </row>
    <row r="2190" spans="1:15" x14ac:dyDescent="0.3">
      <c r="A2190" s="384" t="b">
        <f t="shared" ca="1" si="136"/>
        <v>0</v>
      </c>
      <c r="B2190" s="384"/>
      <c r="C2190" s="393" t="str">
        <f ca="1">IF(COUNTA(O$1493:O2190)=1,"",OFFSET(B2188,-COUNTA(O$1493:O2190)+3,1))</f>
        <v>a16Dm000000LZb3IAG</v>
      </c>
      <c r="D2190" s="389"/>
      <c r="E2190" s="386" t="str">
        <f ca="1">IFERROR(IF(VLOOKUP(C2190,' Disaggregation - Section E '!A$618:J2516,7,0)="","",VLOOKUP(C2190,' Disaggregation - Section E '!A$618:J2516,7,0)*100),"")</f>
        <v/>
      </c>
      <c r="F2190" s="388" t="str">
        <f ca="1">IFERROR(VLOOKUP(C2190,' Disaggregation - Section E '!A$618:J2516,5,0),"")</f>
        <v/>
      </c>
      <c r="G2190" s="387" t="str">
        <f ca="1">IFERROR(IF(VLOOKUP(C2190,' Disaggregation - Section E '!A$618:J2516,6,0)="","",VLOOKUP(C2190,' Disaggregation - Section E '!A$618:J2516,6,0)),"")</f>
        <v/>
      </c>
      <c r="H2190" s="387" t="str">
        <f ca="1">IFERROR(IF(INDEX(' Disaggregation - Section E '!F$618:F2516,MATCH(C2190,' Disaggregation - Section E '!A$618:A2516,0)+1,1)&lt;&gt;0,INDEX(' Disaggregation - Section E '!F$618:F2516,MATCH(C2190,' Disaggregation - Section E '!A$618:A2516,0)+1,1),""),"")</f>
        <v/>
      </c>
      <c r="I2190" s="388" t="str">
        <f ca="1">IFERROR(IF(VLOOKUP(C2190,' Disaggregation - Section E '!A$618:J2516,8,0)=0,"",VLOOKUP(C2190,' Disaggregation - Section E '!A$618:J2516,8,0)),"")</f>
        <v/>
      </c>
      <c r="J2190" s="388" t="str">
        <f ca="1">IFERROR(IF(VLOOKUP(C2190,' Disaggregation - Section E '!A$618:J2516,9,0)="","",VLOOKUP(C2190,' Disaggregation - Section E '!A$618:J2516,9,0)),"")</f>
        <v/>
      </c>
      <c r="K2190" s="384" t="str">
        <f ca="1">IFERROR(VLOOKUP(C2190,' Disaggregation - Section E '!A$618:J2516,3,0),"")</f>
        <v>KP-6a Number of MSM who received any PrEP product at least once during the reporting period</v>
      </c>
      <c r="L2190" s="384"/>
      <c r="M2190" s="384" t="str">
        <f ca="1">IFERROR(IF(VLOOKUP(C2190,' Disaggregation - Section E '!A$618:O1319,15,0)=0,"",VLOOKUP(C2190,' Disaggregation - Section E '!A$618:O1319,15,0)),"")</f>
        <v/>
      </c>
      <c r="N2190" s="388" t="str">
        <f ca="1">IFERROR(IF(VLOOKUP(C2190,' Disaggregation - Section E '!A$618:J2516,10,0)=0,"",VLOOKUP(C2190,' Disaggregation - Section E '!A$618:J2516,10,0)),"")</f>
        <v/>
      </c>
      <c r="O2190" s="384"/>
    </row>
    <row r="2191" spans="1:15" x14ac:dyDescent="0.3">
      <c r="A2191" s="384" t="b">
        <f t="shared" ca="1" si="136"/>
        <v>0</v>
      </c>
      <c r="B2191" s="384"/>
      <c r="C2191" s="393" t="str">
        <f ca="1">IF(COUNTA(O$1493:O2191)=1,"",OFFSET(B2189,-COUNTA(O$1493:O2191)+3,1))</f>
        <v>a16Dm000000LZb4IAG</v>
      </c>
      <c r="D2191" s="389"/>
      <c r="E2191" s="386" t="str">
        <f ca="1">IFERROR(IF(VLOOKUP(C2191,' Disaggregation - Section E '!A$618:J2517,7,0)="","",VLOOKUP(C2191,' Disaggregation - Section E '!A$618:J2517,7,0)*100),"")</f>
        <v/>
      </c>
      <c r="F2191" s="388" t="str">
        <f ca="1">IFERROR(VLOOKUP(C2191,' Disaggregation - Section E '!A$618:J2517,5,0),"")</f>
        <v/>
      </c>
      <c r="G2191" s="387" t="str">
        <f ca="1">IFERROR(IF(VLOOKUP(C2191,' Disaggregation - Section E '!A$618:J2517,6,0)="","",VLOOKUP(C2191,' Disaggregation - Section E '!A$618:J2517,6,0)),"")</f>
        <v/>
      </c>
      <c r="H2191" s="387" t="str">
        <f ca="1">IFERROR(IF(INDEX(' Disaggregation - Section E '!F$618:F2517,MATCH(C2191,' Disaggregation - Section E '!A$618:A2517,0)+1,1)&lt;&gt;0,INDEX(' Disaggregation - Section E '!F$618:F2517,MATCH(C2191,' Disaggregation - Section E '!A$618:A2517,0)+1,1),""),"")</f>
        <v/>
      </c>
      <c r="I2191" s="388" t="str">
        <f ca="1">IFERROR(IF(VLOOKUP(C2191,' Disaggregation - Section E '!A$618:J2517,8,0)=0,"",VLOOKUP(C2191,' Disaggregation - Section E '!A$618:J2517,8,0)),"")</f>
        <v/>
      </c>
      <c r="J2191" s="388" t="str">
        <f ca="1">IFERROR(IF(VLOOKUP(C2191,' Disaggregation - Section E '!A$618:J2517,9,0)="","",VLOOKUP(C2191,' Disaggregation - Section E '!A$618:J2517,9,0)),"")</f>
        <v/>
      </c>
      <c r="K2191" s="384" t="str">
        <f ca="1">IFERROR(VLOOKUP(C2191,' Disaggregation - Section E '!A$618:J2517,3,0),"")</f>
        <v>KP-6a Number of MSM who received any PrEP product at least once during the reporting period</v>
      </c>
      <c r="L2191" s="384"/>
      <c r="M2191" s="384" t="str">
        <f ca="1">IFERROR(IF(VLOOKUP(C2191,' Disaggregation - Section E '!A$618:O1320,15,0)=0,"",VLOOKUP(C2191,' Disaggregation - Section E '!A$618:O1320,15,0)),"")</f>
        <v/>
      </c>
      <c r="N2191" s="388" t="str">
        <f ca="1">IFERROR(IF(VLOOKUP(C2191,' Disaggregation - Section E '!A$618:J2517,10,0)=0,"",VLOOKUP(C2191,' Disaggregation - Section E '!A$618:J2517,10,0)),"")</f>
        <v/>
      </c>
      <c r="O2191" s="384"/>
    </row>
    <row r="2192" spans="1:15" x14ac:dyDescent="0.3">
      <c r="A2192" s="384" t="b">
        <f t="shared" ca="1" si="136"/>
        <v>0</v>
      </c>
      <c r="B2192" s="384"/>
      <c r="C2192" s="393" t="str">
        <f ca="1">IF(COUNTA(O$1493:O2192)=1,"",OFFSET(B2190,-COUNTA(O$1493:O2192)+3,1))</f>
        <v>a16Dm000000LZb5IAG</v>
      </c>
      <c r="D2192" s="389"/>
      <c r="E2192" s="386" t="str">
        <f ca="1">IFERROR(IF(VLOOKUP(C2192,' Disaggregation - Section E '!A$618:J2518,7,0)="","",VLOOKUP(C2192,' Disaggregation - Section E '!A$618:J2518,7,0)*100),"")</f>
        <v/>
      </c>
      <c r="F2192" s="388" t="str">
        <f ca="1">IFERROR(VLOOKUP(C2192,' Disaggregation - Section E '!A$618:J2518,5,0),"")</f>
        <v/>
      </c>
      <c r="G2192" s="387" t="str">
        <f ca="1">IFERROR(IF(VLOOKUP(C2192,' Disaggregation - Section E '!A$618:J2518,6,0)="","",VLOOKUP(C2192,' Disaggregation - Section E '!A$618:J2518,6,0)),"")</f>
        <v/>
      </c>
      <c r="H2192" s="387" t="str">
        <f ca="1">IFERROR(IF(INDEX(' Disaggregation - Section E '!F$618:F2518,MATCH(C2192,' Disaggregation - Section E '!A$618:A2518,0)+1,1)&lt;&gt;0,INDEX(' Disaggregation - Section E '!F$618:F2518,MATCH(C2192,' Disaggregation - Section E '!A$618:A2518,0)+1,1),""),"")</f>
        <v/>
      </c>
      <c r="I2192" s="388" t="str">
        <f ca="1">IFERROR(IF(VLOOKUP(C2192,' Disaggregation - Section E '!A$618:J2518,8,0)=0,"",VLOOKUP(C2192,' Disaggregation - Section E '!A$618:J2518,8,0)),"")</f>
        <v/>
      </c>
      <c r="J2192" s="388" t="str">
        <f ca="1">IFERROR(IF(VLOOKUP(C2192,' Disaggregation - Section E '!A$618:J2518,9,0)="","",VLOOKUP(C2192,' Disaggregation - Section E '!A$618:J2518,9,0)),"")</f>
        <v/>
      </c>
      <c r="K2192" s="384" t="str">
        <f ca="1">IFERROR(VLOOKUP(C2192,' Disaggregation - Section E '!A$618:J2518,3,0),"")</f>
        <v>KP-6a Number of MSM who received any PrEP product at least once during the reporting period</v>
      </c>
      <c r="L2192" s="384"/>
      <c r="M2192" s="384" t="str">
        <f ca="1">IFERROR(IF(VLOOKUP(C2192,' Disaggregation - Section E '!A$618:O1321,15,0)=0,"",VLOOKUP(C2192,' Disaggregation - Section E '!A$618:O1321,15,0)),"")</f>
        <v/>
      </c>
      <c r="N2192" s="388" t="str">
        <f ca="1">IFERROR(IF(VLOOKUP(C2192,' Disaggregation - Section E '!A$618:J2518,10,0)=0,"",VLOOKUP(C2192,' Disaggregation - Section E '!A$618:J2518,10,0)),"")</f>
        <v/>
      </c>
      <c r="O2192" s="384"/>
    </row>
    <row r="2193" spans="1:15" x14ac:dyDescent="0.3">
      <c r="A2193" s="384" t="b">
        <f t="shared" ca="1" si="136"/>
        <v>0</v>
      </c>
      <c r="B2193" s="384"/>
      <c r="C2193" s="393" t="str">
        <f ca="1">IF(COUNTA(O$1493:O2193)=1,"",OFFSET(B2191,-COUNTA(O$1493:O2193)+3,1))</f>
        <v>a16Dm000000LZb6IAG</v>
      </c>
      <c r="D2193" s="389"/>
      <c r="E2193" s="386" t="str">
        <f ca="1">IFERROR(IF(VLOOKUP(C2193,' Disaggregation - Section E '!A$618:J2519,7,0)="","",VLOOKUP(C2193,' Disaggregation - Section E '!A$618:J2519,7,0)*100),"")</f>
        <v/>
      </c>
      <c r="F2193" s="388" t="str">
        <f ca="1">IFERROR(VLOOKUP(C2193,' Disaggregation - Section E '!A$618:J2519,5,0),"")</f>
        <v/>
      </c>
      <c r="G2193" s="387" t="str">
        <f ca="1">IFERROR(IF(VLOOKUP(C2193,' Disaggregation - Section E '!A$618:J2519,6,0)="","",VLOOKUP(C2193,' Disaggregation - Section E '!A$618:J2519,6,0)),"")</f>
        <v/>
      </c>
      <c r="H2193" s="387" t="str">
        <f ca="1">IFERROR(IF(INDEX(' Disaggregation - Section E '!F$618:F2519,MATCH(C2193,' Disaggregation - Section E '!A$618:A2519,0)+1,1)&lt;&gt;0,INDEX(' Disaggregation - Section E '!F$618:F2519,MATCH(C2193,' Disaggregation - Section E '!A$618:A2519,0)+1,1),""),"")</f>
        <v/>
      </c>
      <c r="I2193" s="388" t="str">
        <f ca="1">IFERROR(IF(VLOOKUP(C2193,' Disaggregation - Section E '!A$618:J2519,8,0)=0,"",VLOOKUP(C2193,' Disaggregation - Section E '!A$618:J2519,8,0)),"")</f>
        <v/>
      </c>
      <c r="J2193" s="388" t="str">
        <f ca="1">IFERROR(IF(VLOOKUP(C2193,' Disaggregation - Section E '!A$618:J2519,9,0)="","",VLOOKUP(C2193,' Disaggregation - Section E '!A$618:J2519,9,0)),"")</f>
        <v/>
      </c>
      <c r="K2193" s="384" t="str">
        <f ca="1">IFERROR(VLOOKUP(C2193,' Disaggregation - Section E '!A$618:J2519,3,0),"")</f>
        <v>KP-6a Number of MSM who received any PrEP product at least once during the reporting period</v>
      </c>
      <c r="L2193" s="384"/>
      <c r="M2193" s="384" t="str">
        <f ca="1">IFERROR(IF(VLOOKUP(C2193,' Disaggregation - Section E '!A$618:O1322,15,0)=0,"",VLOOKUP(C2193,' Disaggregation - Section E '!A$618:O1322,15,0)),"")</f>
        <v/>
      </c>
      <c r="N2193" s="388" t="str">
        <f ca="1">IFERROR(IF(VLOOKUP(C2193,' Disaggregation - Section E '!A$618:J2519,10,0)=0,"",VLOOKUP(C2193,' Disaggregation - Section E '!A$618:J2519,10,0)),"")</f>
        <v/>
      </c>
      <c r="O2193" s="384"/>
    </row>
    <row r="2194" spans="1:15" x14ac:dyDescent="0.3">
      <c r="A2194" s="384" t="b">
        <f t="shared" ca="1" si="136"/>
        <v>0</v>
      </c>
      <c r="B2194" s="384"/>
      <c r="C2194" s="393" t="str">
        <f ca="1">IF(COUNTA(O$1493:O2194)=1,"",OFFSET(B2192,-COUNTA(O$1493:O2194)+3,1))</f>
        <v>a16Dm000000LZb7IAG</v>
      </c>
      <c r="D2194" s="389"/>
      <c r="E2194" s="386" t="str">
        <f ca="1">IFERROR(IF(VLOOKUP(C2194,' Disaggregation - Section E '!A$618:J2520,7,0)="","",VLOOKUP(C2194,' Disaggregation - Section E '!A$618:J2520,7,0)*100),"")</f>
        <v/>
      </c>
      <c r="F2194" s="388" t="str">
        <f ca="1">IFERROR(VLOOKUP(C2194,' Disaggregation - Section E '!A$618:J2520,5,0),"")</f>
        <v/>
      </c>
      <c r="G2194" s="387" t="str">
        <f ca="1">IFERROR(IF(VLOOKUP(C2194,' Disaggregation - Section E '!A$618:J2520,6,0)="","",VLOOKUP(C2194,' Disaggregation - Section E '!A$618:J2520,6,0)),"")</f>
        <v/>
      </c>
      <c r="H2194" s="387" t="str">
        <f ca="1">IFERROR(IF(INDEX(' Disaggregation - Section E '!F$618:F2520,MATCH(C2194,' Disaggregation - Section E '!A$618:A2520,0)+1,1)&lt;&gt;0,INDEX(' Disaggregation - Section E '!F$618:F2520,MATCH(C2194,' Disaggregation - Section E '!A$618:A2520,0)+1,1),""),"")</f>
        <v/>
      </c>
      <c r="I2194" s="388" t="str">
        <f ca="1">IFERROR(IF(VLOOKUP(C2194,' Disaggregation - Section E '!A$618:J2520,8,0)=0,"",VLOOKUP(C2194,' Disaggregation - Section E '!A$618:J2520,8,0)),"")</f>
        <v/>
      </c>
      <c r="J2194" s="388" t="str">
        <f ca="1">IFERROR(IF(VLOOKUP(C2194,' Disaggregation - Section E '!A$618:J2520,9,0)="","",VLOOKUP(C2194,' Disaggregation - Section E '!A$618:J2520,9,0)),"")</f>
        <v/>
      </c>
      <c r="K2194" s="384" t="str">
        <f ca="1">IFERROR(VLOOKUP(C2194,' Disaggregation - Section E '!A$618:J2520,3,0),"")</f>
        <v>KP-6a Number of MSM who received any PrEP product at least once during the reporting period</v>
      </c>
      <c r="L2194" s="384"/>
      <c r="M2194" s="384" t="str">
        <f ca="1">IFERROR(IF(VLOOKUP(C2194,' Disaggregation - Section E '!A$618:O1323,15,0)=0,"",VLOOKUP(C2194,' Disaggregation - Section E '!A$618:O1323,15,0)),"")</f>
        <v/>
      </c>
      <c r="N2194" s="388" t="str">
        <f ca="1">IFERROR(IF(VLOOKUP(C2194,' Disaggregation - Section E '!A$618:J2520,10,0)=0,"",VLOOKUP(C2194,' Disaggregation - Section E '!A$618:J2520,10,0)),"")</f>
        <v/>
      </c>
      <c r="O2194" s="384"/>
    </row>
    <row r="2195" spans="1:15" x14ac:dyDescent="0.3">
      <c r="A2195" s="384" t="b">
        <f t="shared" ca="1" si="136"/>
        <v>1</v>
      </c>
      <c r="B2195" s="384"/>
      <c r="C2195" s="393" t="str">
        <f ca="1">IF(COUNTA(O$1493:O2195)=1,"",OFFSET(B2193,-COUNTA(O$1493:O2195)+3,1))</f>
        <v>a16Dm000000LZb8IAG</v>
      </c>
      <c r="D2195" s="389"/>
      <c r="E2195" s="386" t="str">
        <f ca="1">IFERROR(IF(VLOOKUP(C2195,' Disaggregation - Section E '!A$618:J2521,7,0)="","",VLOOKUP(C2195,' Disaggregation - Section E '!A$618:J2521,7,0)*100),"")</f>
        <v/>
      </c>
      <c r="F2195" s="388" t="str">
        <f ca="1">IFERROR(VLOOKUP(C2195,' Disaggregation - Section E '!A$618:J2521,5,0),"")</f>
        <v>25+</v>
      </c>
      <c r="G2195" s="387">
        <f ca="1">IFERROR(IF(VLOOKUP(C2195,' Disaggregation - Section E '!A$618:J2521,6,0)="","",VLOOKUP(C2195,' Disaggregation - Section E '!A$618:J2521,6,0)),"")</f>
        <v>7569</v>
      </c>
      <c r="H2195" s="387" t="str">
        <f ca="1">IFERROR(IF(INDEX(' Disaggregation - Section E '!F$618:F2521,MATCH(C2195,' Disaggregation - Section E '!A$618:A2521,0)+1,1)&lt;&gt;0,INDEX(' Disaggregation - Section E '!F$618:F2521,MATCH(C2195,' Disaggregation - Section E '!A$618:A2521,0)+1,1),""),"")</f>
        <v/>
      </c>
      <c r="I2195" s="388">
        <f ca="1">IFERROR(IF(VLOOKUP(C2195,' Disaggregation - Section E '!A$618:J2521,8,0)=0,"",VLOOKUP(C2195,' Disaggregation - Section E '!A$618:J2521,8,0)),"")</f>
        <v>2022</v>
      </c>
      <c r="J2195" s="388" t="str">
        <f ca="1">IFERROR(IF(VLOOKUP(C2195,' Disaggregation - Section E '!A$618:J2521,9,0)="","",VLOOKUP(C2195,' Disaggregation - Section E '!A$618:J2521,9,0)),"")</f>
        <v>Admistrative report</v>
      </c>
      <c r="K2195" s="384" t="str">
        <f ca="1">IFERROR(VLOOKUP(C2195,' Disaggregation - Section E '!A$618:J2521,3,0),"")</f>
        <v>HTS-3a⁽ᴹ⁾ Percentage of MSM that have received an HIV test during the reporting period in KP-specific programs and know their results</v>
      </c>
      <c r="L2195" s="384"/>
      <c r="M2195" s="384" t="str">
        <f ca="1">IFERROR(IF(VLOOKUP(C2195,' Disaggregation - Section E '!A$618:O1324,15,0)=0,"",VLOOKUP(C2195,' Disaggregation - Section E '!A$618:O1324,15,0)),"")</f>
        <v>IDR-01270</v>
      </c>
      <c r="N2195" s="388" t="str">
        <f ca="1">IFERROR(IF(VLOOKUP(C2195,' Disaggregation - Section E '!A$618:J2521,10,0)=0,"",VLOOKUP(C2195,' Disaggregation - Section E '!A$618:J2521,10,0)),"")</f>
        <v>The last IBBS among MSM was conducted in the country in 2021 with the technical support of the CDC in Bishkek and Osh, in the south the sample was not reached. The estimated number of MSM according to the results of the study is presented only for Bishkek. There is no breakdown of MSM population estimates by age group.</v>
      </c>
      <c r="O2195" s="384"/>
    </row>
    <row r="2196" spans="1:15" x14ac:dyDescent="0.3">
      <c r="A2196" s="384" t="b">
        <f t="shared" ca="1" si="136"/>
        <v>1</v>
      </c>
      <c r="B2196" s="384"/>
      <c r="C2196" s="393" t="str">
        <f ca="1">IF(COUNTA(O$1493:O2196)=1,"",OFFSET(B2194,-COUNTA(O$1493:O2196)+3,1))</f>
        <v>a16Dm000000LZb9IAG</v>
      </c>
      <c r="D2196" s="389"/>
      <c r="E2196" s="386" t="str">
        <f ca="1">IFERROR(IF(VLOOKUP(C2196,' Disaggregation - Section E '!A$618:J2522,7,0)="","",VLOOKUP(C2196,' Disaggregation - Section E '!A$618:J2522,7,0)*100),"")</f>
        <v/>
      </c>
      <c r="F2196" s="388" t="str">
        <f ca="1">IFERROR(VLOOKUP(C2196,' Disaggregation - Section E '!A$618:J2522,5,0),"")</f>
        <v>20-24</v>
      </c>
      <c r="G2196" s="387">
        <f ca="1">IFERROR(IF(VLOOKUP(C2196,' Disaggregation - Section E '!A$618:J2522,6,0)="","",VLOOKUP(C2196,' Disaggregation - Section E '!A$618:J2522,6,0)),"")</f>
        <v>2482</v>
      </c>
      <c r="H2196" s="387" t="str">
        <f ca="1">IFERROR(IF(INDEX(' Disaggregation - Section E '!F$618:F2522,MATCH(C2196,' Disaggregation - Section E '!A$618:A2522,0)+1,1)&lt;&gt;0,INDEX(' Disaggregation - Section E '!F$618:F2522,MATCH(C2196,' Disaggregation - Section E '!A$618:A2522,0)+1,1),""),"")</f>
        <v/>
      </c>
      <c r="I2196" s="388">
        <f ca="1">IFERROR(IF(VLOOKUP(C2196,' Disaggregation - Section E '!A$618:J2522,8,0)=0,"",VLOOKUP(C2196,' Disaggregation - Section E '!A$618:J2522,8,0)),"")</f>
        <v>2022</v>
      </c>
      <c r="J2196" s="388" t="str">
        <f ca="1">IFERROR(IF(VLOOKUP(C2196,' Disaggregation - Section E '!A$618:J2522,9,0)="","",VLOOKUP(C2196,' Disaggregation - Section E '!A$618:J2522,9,0)),"")</f>
        <v>Admistrative report</v>
      </c>
      <c r="K2196" s="384" t="str">
        <f ca="1">IFERROR(VLOOKUP(C2196,' Disaggregation - Section E '!A$618:J2522,3,0),"")</f>
        <v>HTS-3a⁽ᴹ⁾ Percentage of MSM that have received an HIV test during the reporting period in KP-specific programs and know their results</v>
      </c>
      <c r="L2196" s="384"/>
      <c r="M2196" s="384" t="str">
        <f ca="1">IFERROR(IF(VLOOKUP(C2196,' Disaggregation - Section E '!A$618:O1325,15,0)=0,"",VLOOKUP(C2196,' Disaggregation - Section E '!A$618:O1325,15,0)),"")</f>
        <v>IDR-01269</v>
      </c>
      <c r="N2196" s="388" t="str">
        <f ca="1">IFERROR(IF(VLOOKUP(C2196,' Disaggregation - Section E '!A$618:J2522,10,0)=0,"",VLOOKUP(C2196,' Disaggregation - Section E '!A$618:J2522,10,0)),"")</f>
        <v>The last IBBS among MSM was conducted in the country in 2021 with the technical support of the CDC in Bishkek and Osh, in the south the sample was not reached. The estimated number of MSM according to the results of the study is presented only for Bishkek. There is no breakdown of MSM population estimates by age group.</v>
      </c>
      <c r="O2196" s="384"/>
    </row>
    <row r="2197" spans="1:15" x14ac:dyDescent="0.3">
      <c r="A2197" s="384" t="b">
        <f t="shared" ca="1" si="136"/>
        <v>1</v>
      </c>
      <c r="B2197" s="384"/>
      <c r="C2197" s="393" t="str">
        <f ca="1">IF(COUNTA(O$1493:O2197)=1,"",OFFSET(B2195,-COUNTA(O$1493:O2197)+3,1))</f>
        <v>a16Dm000000LZbAIAW</v>
      </c>
      <c r="D2197" s="389"/>
      <c r="E2197" s="386" t="str">
        <f ca="1">IFERROR(IF(VLOOKUP(C2197,' Disaggregation - Section E '!A$618:J2523,7,0)="","",VLOOKUP(C2197,' Disaggregation - Section E '!A$618:J2523,7,0)*100),"")</f>
        <v/>
      </c>
      <c r="F2197" s="388" t="str">
        <f ca="1">IFERROR(VLOOKUP(C2197,' Disaggregation - Section E '!A$618:J2523,5,0),"")</f>
        <v>15-19</v>
      </c>
      <c r="G2197" s="387">
        <f ca="1">IFERROR(IF(VLOOKUP(C2197,' Disaggregation - Section E '!A$618:J2523,6,0)="","",VLOOKUP(C2197,' Disaggregation - Section E '!A$618:J2523,6,0)),"")</f>
        <v>257</v>
      </c>
      <c r="H2197" s="387" t="str">
        <f ca="1">IFERROR(IF(INDEX(' Disaggregation - Section E '!F$618:F2523,MATCH(C2197,' Disaggregation - Section E '!A$618:A2523,0)+1,1)&lt;&gt;0,INDEX(' Disaggregation - Section E '!F$618:F2523,MATCH(C2197,' Disaggregation - Section E '!A$618:A2523,0)+1,1),""),"")</f>
        <v/>
      </c>
      <c r="I2197" s="388">
        <f ca="1">IFERROR(IF(VLOOKUP(C2197,' Disaggregation - Section E '!A$618:J2523,8,0)=0,"",VLOOKUP(C2197,' Disaggregation - Section E '!A$618:J2523,8,0)),"")</f>
        <v>2022</v>
      </c>
      <c r="J2197" s="388" t="str">
        <f ca="1">IFERROR(IF(VLOOKUP(C2197,' Disaggregation - Section E '!A$618:J2523,9,0)="","",VLOOKUP(C2197,' Disaggregation - Section E '!A$618:J2523,9,0)),"")</f>
        <v>Admistrative report</v>
      </c>
      <c r="K2197" s="384" t="str">
        <f ca="1">IFERROR(VLOOKUP(C2197,' Disaggregation - Section E '!A$618:J2523,3,0),"")</f>
        <v>HTS-3a⁽ᴹ⁾ Percentage of MSM that have received an HIV test during the reporting period in KP-specific programs and know their results</v>
      </c>
      <c r="L2197" s="384"/>
      <c r="M2197" s="384" t="str">
        <f ca="1">IFERROR(IF(VLOOKUP(C2197,' Disaggregation - Section E '!A$618:O1326,15,0)=0,"",VLOOKUP(C2197,' Disaggregation - Section E '!A$618:O1326,15,0)),"")</f>
        <v>IDR-01268</v>
      </c>
      <c r="N2197" s="388" t="str">
        <f ca="1">IFERROR(IF(VLOOKUP(C2197,' Disaggregation - Section E '!A$618:J2523,10,0)=0,"",VLOOKUP(C2197,' Disaggregation - Section E '!A$618:J2523,10,0)),"")</f>
        <v>The last IBBS among MSM was conducted in the country in 2021 with the technical support of the CDC in Bishkek and Osh, in the south the sample was not reached. The estimated number of MSM according to the results of the study is presented only for Bishkek. There is no breakdown of MSM population estimates by age group.</v>
      </c>
      <c r="O2197" s="384"/>
    </row>
    <row r="2198" spans="1:15" x14ac:dyDescent="0.3">
      <c r="A2198" s="384" t="b">
        <f t="shared" ca="1" si="136"/>
        <v>0</v>
      </c>
      <c r="B2198" s="384"/>
      <c r="C2198" s="393" t="str">
        <f ca="1">IF(COUNTA(O$1493:O2198)=1,"",OFFSET(B2196,-COUNTA(O$1493:O2198)+3,1))</f>
        <v>a16Dm000000LZbBIAW</v>
      </c>
      <c r="D2198" s="389"/>
      <c r="E2198" s="386" t="str">
        <f ca="1">IFERROR(IF(VLOOKUP(C2198,' Disaggregation - Section E '!A$618:J2524,7,0)="","",VLOOKUP(C2198,' Disaggregation - Section E '!A$618:J2524,7,0)*100),"")</f>
        <v/>
      </c>
      <c r="F2198" s="388" t="str">
        <f ca="1">IFERROR(VLOOKUP(C2198,' Disaggregation - Section E '!A$618:J2524,5,0),"")</f>
        <v/>
      </c>
      <c r="G2198" s="387" t="str">
        <f ca="1">IFERROR(IF(VLOOKUP(C2198,' Disaggregation - Section E '!A$618:J2524,6,0)="","",VLOOKUP(C2198,' Disaggregation - Section E '!A$618:J2524,6,0)),"")</f>
        <v/>
      </c>
      <c r="H2198" s="387" t="str">
        <f ca="1">IFERROR(IF(INDEX(' Disaggregation - Section E '!F$618:F2524,MATCH(C2198,' Disaggregation - Section E '!A$618:A2524,0)+1,1)&lt;&gt;0,INDEX(' Disaggregation - Section E '!F$618:F2524,MATCH(C2198,' Disaggregation - Section E '!A$618:A2524,0)+1,1),""),"")</f>
        <v/>
      </c>
      <c r="I2198" s="388" t="str">
        <f ca="1">IFERROR(IF(VLOOKUP(C2198,' Disaggregation - Section E '!A$618:J2524,8,0)=0,"",VLOOKUP(C2198,' Disaggregation - Section E '!A$618:J2524,8,0)),"")</f>
        <v/>
      </c>
      <c r="J2198" s="388" t="str">
        <f ca="1">IFERROR(IF(VLOOKUP(C2198,' Disaggregation - Section E '!A$618:J2524,9,0)="","",VLOOKUP(C2198,' Disaggregation - Section E '!A$618:J2524,9,0)),"")</f>
        <v/>
      </c>
      <c r="K2198" s="384" t="str">
        <f ca="1">IFERROR(VLOOKUP(C2198,' Disaggregation - Section E '!A$618:J2524,3,0),"")</f>
        <v>HTS-3a⁽ᴹ⁾ Percentage of MSM that have received an HIV test during the reporting period in KP-specific programs and know their results</v>
      </c>
      <c r="L2198" s="384"/>
      <c r="M2198" s="384" t="str">
        <f ca="1">IFERROR(IF(VLOOKUP(C2198,' Disaggregation - Section E '!A$618:O1327,15,0)=0,"",VLOOKUP(C2198,' Disaggregation - Section E '!A$618:O1327,15,0)),"")</f>
        <v/>
      </c>
      <c r="N2198" s="388" t="str">
        <f ca="1">IFERROR(IF(VLOOKUP(C2198,' Disaggregation - Section E '!A$618:J2524,10,0)=0,"",VLOOKUP(C2198,' Disaggregation - Section E '!A$618:J2524,10,0)),"")</f>
        <v/>
      </c>
      <c r="O2198" s="384"/>
    </row>
    <row r="2199" spans="1:15" x14ac:dyDescent="0.3">
      <c r="A2199" s="384" t="b">
        <f t="shared" ca="1" si="136"/>
        <v>0</v>
      </c>
      <c r="B2199" s="384"/>
      <c r="C2199" s="393" t="str">
        <f ca="1">IF(COUNTA(O$1493:O2199)=1,"",OFFSET(B2197,-COUNTA(O$1493:O2199)+3,1))</f>
        <v>a16Dm000000LZbCIAW</v>
      </c>
      <c r="D2199" s="389"/>
      <c r="E2199" s="386" t="str">
        <f ca="1">IFERROR(IF(VLOOKUP(C2199,' Disaggregation - Section E '!A$618:J2525,7,0)="","",VLOOKUP(C2199,' Disaggregation - Section E '!A$618:J2525,7,0)*100),"")</f>
        <v/>
      </c>
      <c r="F2199" s="388" t="str">
        <f ca="1">IFERROR(VLOOKUP(C2199,' Disaggregation - Section E '!A$618:J2525,5,0),"")</f>
        <v/>
      </c>
      <c r="G2199" s="387" t="str">
        <f ca="1">IFERROR(IF(VLOOKUP(C2199,' Disaggregation - Section E '!A$618:J2525,6,0)="","",VLOOKUP(C2199,' Disaggregation - Section E '!A$618:J2525,6,0)),"")</f>
        <v/>
      </c>
      <c r="H2199" s="387" t="str">
        <f ca="1">IFERROR(IF(INDEX(' Disaggregation - Section E '!F$618:F2525,MATCH(C2199,' Disaggregation - Section E '!A$618:A2525,0)+1,1)&lt;&gt;0,INDEX(' Disaggregation - Section E '!F$618:F2525,MATCH(C2199,' Disaggregation - Section E '!A$618:A2525,0)+1,1),""),"")</f>
        <v/>
      </c>
      <c r="I2199" s="388" t="str">
        <f ca="1">IFERROR(IF(VLOOKUP(C2199,' Disaggregation - Section E '!A$618:J2525,8,0)=0,"",VLOOKUP(C2199,' Disaggregation - Section E '!A$618:J2525,8,0)),"")</f>
        <v/>
      </c>
      <c r="J2199" s="388" t="str">
        <f ca="1">IFERROR(IF(VLOOKUP(C2199,' Disaggregation - Section E '!A$618:J2525,9,0)="","",VLOOKUP(C2199,' Disaggregation - Section E '!A$618:J2525,9,0)),"")</f>
        <v/>
      </c>
      <c r="K2199" s="384" t="str">
        <f ca="1">IFERROR(VLOOKUP(C2199,' Disaggregation - Section E '!A$618:J2525,3,0),"")</f>
        <v>HTS-3a⁽ᴹ⁾ Percentage of MSM that have received an HIV test during the reporting period in KP-specific programs and know their results</v>
      </c>
      <c r="L2199" s="384"/>
      <c r="M2199" s="384" t="str">
        <f ca="1">IFERROR(IF(VLOOKUP(C2199,' Disaggregation - Section E '!A$618:O1328,15,0)=0,"",VLOOKUP(C2199,' Disaggregation - Section E '!A$618:O1328,15,0)),"")</f>
        <v/>
      </c>
      <c r="N2199" s="388" t="str">
        <f ca="1">IFERROR(IF(VLOOKUP(C2199,' Disaggregation - Section E '!A$618:J2525,10,0)=0,"",VLOOKUP(C2199,' Disaggregation - Section E '!A$618:J2525,10,0)),"")</f>
        <v/>
      </c>
      <c r="O2199" s="384"/>
    </row>
    <row r="2200" spans="1:15" x14ac:dyDescent="0.3">
      <c r="A2200" s="384" t="b">
        <f t="shared" ca="1" si="136"/>
        <v>0</v>
      </c>
      <c r="B2200" s="384"/>
      <c r="C2200" s="393" t="str">
        <f ca="1">IF(COUNTA(O$1493:O2200)=1,"",OFFSET(B2198,-COUNTA(O$1493:O2200)+3,1))</f>
        <v>a16Dm000000LZbDIAW</v>
      </c>
      <c r="D2200" s="389"/>
      <c r="E2200" s="386" t="str">
        <f ca="1">IFERROR(IF(VLOOKUP(C2200,' Disaggregation - Section E '!A$618:J2526,7,0)="","",VLOOKUP(C2200,' Disaggregation - Section E '!A$618:J2526,7,0)*100),"")</f>
        <v/>
      </c>
      <c r="F2200" s="388" t="str">
        <f ca="1">IFERROR(VLOOKUP(C2200,' Disaggregation - Section E '!A$618:J2526,5,0),"")</f>
        <v/>
      </c>
      <c r="G2200" s="387" t="str">
        <f ca="1">IFERROR(IF(VLOOKUP(C2200,' Disaggregation - Section E '!A$618:J2526,6,0)="","",VLOOKUP(C2200,' Disaggregation - Section E '!A$618:J2526,6,0)),"")</f>
        <v/>
      </c>
      <c r="H2200" s="387" t="str">
        <f ca="1">IFERROR(IF(INDEX(' Disaggregation - Section E '!F$618:F2526,MATCH(C2200,' Disaggregation - Section E '!A$618:A2526,0)+1,1)&lt;&gt;0,INDEX(' Disaggregation - Section E '!F$618:F2526,MATCH(C2200,' Disaggregation - Section E '!A$618:A2526,0)+1,1),""),"")</f>
        <v/>
      </c>
      <c r="I2200" s="388" t="str">
        <f ca="1">IFERROR(IF(VLOOKUP(C2200,' Disaggregation - Section E '!A$618:J2526,8,0)=0,"",VLOOKUP(C2200,' Disaggregation - Section E '!A$618:J2526,8,0)),"")</f>
        <v/>
      </c>
      <c r="J2200" s="388" t="str">
        <f ca="1">IFERROR(IF(VLOOKUP(C2200,' Disaggregation - Section E '!A$618:J2526,9,0)="","",VLOOKUP(C2200,' Disaggregation - Section E '!A$618:J2526,9,0)),"")</f>
        <v/>
      </c>
      <c r="K2200" s="384" t="str">
        <f ca="1">IFERROR(VLOOKUP(C2200,' Disaggregation - Section E '!A$618:J2526,3,0),"")</f>
        <v>HTS-3a⁽ᴹ⁾ Percentage of MSM that have received an HIV test during the reporting period in KP-specific programs and know their results</v>
      </c>
      <c r="L2200" s="384"/>
      <c r="M2200" s="384" t="str">
        <f ca="1">IFERROR(IF(VLOOKUP(C2200,' Disaggregation - Section E '!A$618:O1329,15,0)=0,"",VLOOKUP(C2200,' Disaggregation - Section E '!A$618:O1329,15,0)),"")</f>
        <v/>
      </c>
      <c r="N2200" s="388" t="str">
        <f ca="1">IFERROR(IF(VLOOKUP(C2200,' Disaggregation - Section E '!A$618:J2526,10,0)=0,"",VLOOKUP(C2200,' Disaggregation - Section E '!A$618:J2526,10,0)),"")</f>
        <v/>
      </c>
      <c r="O2200" s="384"/>
    </row>
    <row r="2201" spans="1:15" x14ac:dyDescent="0.3">
      <c r="A2201" s="384" t="b">
        <f t="shared" ca="1" si="136"/>
        <v>0</v>
      </c>
      <c r="B2201" s="384"/>
      <c r="C2201" s="393" t="str">
        <f ca="1">IF(COUNTA(O$1493:O2201)=1,"",OFFSET(B2199,-COUNTA(O$1493:O2201)+3,1))</f>
        <v>a16Dm000000LZbEIAW</v>
      </c>
      <c r="D2201" s="389"/>
      <c r="E2201" s="386" t="str">
        <f ca="1">IFERROR(IF(VLOOKUP(C2201,' Disaggregation - Section E '!A$618:J2527,7,0)="","",VLOOKUP(C2201,' Disaggregation - Section E '!A$618:J2527,7,0)*100),"")</f>
        <v/>
      </c>
      <c r="F2201" s="388" t="str">
        <f ca="1">IFERROR(VLOOKUP(C2201,' Disaggregation - Section E '!A$618:J2527,5,0),"")</f>
        <v/>
      </c>
      <c r="G2201" s="387" t="str">
        <f ca="1">IFERROR(IF(VLOOKUP(C2201,' Disaggregation - Section E '!A$618:J2527,6,0)="","",VLOOKUP(C2201,' Disaggregation - Section E '!A$618:J2527,6,0)),"")</f>
        <v/>
      </c>
      <c r="H2201" s="387" t="str">
        <f ca="1">IFERROR(IF(INDEX(' Disaggregation - Section E '!F$618:F2527,MATCH(C2201,' Disaggregation - Section E '!A$618:A2527,0)+1,1)&lt;&gt;0,INDEX(' Disaggregation - Section E '!F$618:F2527,MATCH(C2201,' Disaggregation - Section E '!A$618:A2527,0)+1,1),""),"")</f>
        <v/>
      </c>
      <c r="I2201" s="388" t="str">
        <f ca="1">IFERROR(IF(VLOOKUP(C2201,' Disaggregation - Section E '!A$618:J2527,8,0)=0,"",VLOOKUP(C2201,' Disaggregation - Section E '!A$618:J2527,8,0)),"")</f>
        <v/>
      </c>
      <c r="J2201" s="388" t="str">
        <f ca="1">IFERROR(IF(VLOOKUP(C2201,' Disaggregation - Section E '!A$618:J2527,9,0)="","",VLOOKUP(C2201,' Disaggregation - Section E '!A$618:J2527,9,0)),"")</f>
        <v/>
      </c>
      <c r="K2201" s="384" t="str">
        <f ca="1">IFERROR(VLOOKUP(C2201,' Disaggregation - Section E '!A$618:J2527,3,0),"")</f>
        <v>HTS-3a⁽ᴹ⁾ Percentage of MSM that have received an HIV test during the reporting period in KP-specific programs and know their results</v>
      </c>
      <c r="L2201" s="384"/>
      <c r="M2201" s="384" t="str">
        <f ca="1">IFERROR(IF(VLOOKUP(C2201,' Disaggregation - Section E '!A$618:O1330,15,0)=0,"",VLOOKUP(C2201,' Disaggregation - Section E '!A$618:O1330,15,0)),"")</f>
        <v/>
      </c>
      <c r="N2201" s="388" t="str">
        <f ca="1">IFERROR(IF(VLOOKUP(C2201,' Disaggregation - Section E '!A$618:J2527,10,0)=0,"",VLOOKUP(C2201,' Disaggregation - Section E '!A$618:J2527,10,0)),"")</f>
        <v/>
      </c>
      <c r="O2201" s="384"/>
    </row>
    <row r="2202" spans="1:15" x14ac:dyDescent="0.3">
      <c r="A2202" s="384" t="b">
        <f t="shared" ca="1" si="136"/>
        <v>0</v>
      </c>
      <c r="B2202" s="384"/>
      <c r="C2202" s="393" t="str">
        <f ca="1">IF(COUNTA(O$1493:O2202)=1,"",OFFSET(B2200,-COUNTA(O$1493:O2202)+3,1))</f>
        <v>a16Dm000000LZbFIAW</v>
      </c>
      <c r="D2202" s="389"/>
      <c r="E2202" s="386" t="str">
        <f ca="1">IFERROR(IF(VLOOKUP(C2202,' Disaggregation - Section E '!A$618:J2528,7,0)="","",VLOOKUP(C2202,' Disaggregation - Section E '!A$618:J2528,7,0)*100),"")</f>
        <v/>
      </c>
      <c r="F2202" s="388" t="str">
        <f ca="1">IFERROR(VLOOKUP(C2202,' Disaggregation - Section E '!A$618:J2528,5,0),"")</f>
        <v/>
      </c>
      <c r="G2202" s="387" t="str">
        <f ca="1">IFERROR(IF(VLOOKUP(C2202,' Disaggregation - Section E '!A$618:J2528,6,0)="","",VLOOKUP(C2202,' Disaggregation - Section E '!A$618:J2528,6,0)),"")</f>
        <v/>
      </c>
      <c r="H2202" s="387" t="str">
        <f ca="1">IFERROR(IF(INDEX(' Disaggregation - Section E '!F$618:F2528,MATCH(C2202,' Disaggregation - Section E '!A$618:A2528,0)+1,1)&lt;&gt;0,INDEX(' Disaggregation - Section E '!F$618:F2528,MATCH(C2202,' Disaggregation - Section E '!A$618:A2528,0)+1,1),""),"")</f>
        <v/>
      </c>
      <c r="I2202" s="388" t="str">
        <f ca="1">IFERROR(IF(VLOOKUP(C2202,' Disaggregation - Section E '!A$618:J2528,8,0)=0,"",VLOOKUP(C2202,' Disaggregation - Section E '!A$618:J2528,8,0)),"")</f>
        <v/>
      </c>
      <c r="J2202" s="388" t="str">
        <f ca="1">IFERROR(IF(VLOOKUP(C2202,' Disaggregation - Section E '!A$618:J2528,9,0)="","",VLOOKUP(C2202,' Disaggregation - Section E '!A$618:J2528,9,0)),"")</f>
        <v/>
      </c>
      <c r="K2202" s="384" t="str">
        <f ca="1">IFERROR(VLOOKUP(C2202,' Disaggregation - Section E '!A$618:J2528,3,0),"")</f>
        <v>HTS-3a⁽ᴹ⁾ Percentage of MSM that have received an HIV test during the reporting period in KP-specific programs and know their results</v>
      </c>
      <c r="L2202" s="384"/>
      <c r="M2202" s="384" t="str">
        <f ca="1">IFERROR(IF(VLOOKUP(C2202,' Disaggregation - Section E '!A$618:O1331,15,0)=0,"",VLOOKUP(C2202,' Disaggregation - Section E '!A$618:O1331,15,0)),"")</f>
        <v/>
      </c>
      <c r="N2202" s="388" t="str">
        <f ca="1">IFERROR(IF(VLOOKUP(C2202,' Disaggregation - Section E '!A$618:J2528,10,0)=0,"",VLOOKUP(C2202,' Disaggregation - Section E '!A$618:J2528,10,0)),"")</f>
        <v/>
      </c>
      <c r="O2202" s="384"/>
    </row>
    <row r="2203" spans="1:15" x14ac:dyDescent="0.3">
      <c r="A2203" s="384" t="b">
        <f t="shared" ca="1" si="136"/>
        <v>0</v>
      </c>
      <c r="B2203" s="384"/>
      <c r="C2203" s="393" t="str">
        <f ca="1">IF(COUNTA(O$1493:O2203)=1,"",OFFSET(B2201,-COUNTA(O$1493:O2203)+3,1))</f>
        <v>a16Dm000000LZbGIAW</v>
      </c>
      <c r="D2203" s="389"/>
      <c r="E2203" s="386" t="str">
        <f ca="1">IFERROR(IF(VLOOKUP(C2203,' Disaggregation - Section E '!A$618:J2529,7,0)="","",VLOOKUP(C2203,' Disaggregation - Section E '!A$618:J2529,7,0)*100),"")</f>
        <v/>
      </c>
      <c r="F2203" s="388" t="str">
        <f ca="1">IFERROR(VLOOKUP(C2203,' Disaggregation - Section E '!A$618:J2529,5,0),"")</f>
        <v/>
      </c>
      <c r="G2203" s="387" t="str">
        <f ca="1">IFERROR(IF(VLOOKUP(C2203,' Disaggregation - Section E '!A$618:J2529,6,0)="","",VLOOKUP(C2203,' Disaggregation - Section E '!A$618:J2529,6,0)),"")</f>
        <v/>
      </c>
      <c r="H2203" s="387" t="str">
        <f ca="1">IFERROR(IF(INDEX(' Disaggregation - Section E '!F$618:F2529,MATCH(C2203,' Disaggregation - Section E '!A$618:A2529,0)+1,1)&lt;&gt;0,INDEX(' Disaggregation - Section E '!F$618:F2529,MATCH(C2203,' Disaggregation - Section E '!A$618:A2529,0)+1,1),""),"")</f>
        <v/>
      </c>
      <c r="I2203" s="388" t="str">
        <f ca="1">IFERROR(IF(VLOOKUP(C2203,' Disaggregation - Section E '!A$618:J2529,8,0)=0,"",VLOOKUP(C2203,' Disaggregation - Section E '!A$618:J2529,8,0)),"")</f>
        <v/>
      </c>
      <c r="J2203" s="388" t="str">
        <f ca="1">IFERROR(IF(VLOOKUP(C2203,' Disaggregation - Section E '!A$618:J2529,9,0)="","",VLOOKUP(C2203,' Disaggregation - Section E '!A$618:J2529,9,0)),"")</f>
        <v/>
      </c>
      <c r="K2203" s="384" t="str">
        <f ca="1">IFERROR(VLOOKUP(C2203,' Disaggregation - Section E '!A$618:J2529,3,0),"")</f>
        <v>HTS-3a⁽ᴹ⁾ Percentage of MSM that have received an HIV test during the reporting period in KP-specific programs and know their results</v>
      </c>
      <c r="L2203" s="384"/>
      <c r="M2203" s="384" t="str">
        <f ca="1">IFERROR(IF(VLOOKUP(C2203,' Disaggregation - Section E '!A$618:O1332,15,0)=0,"",VLOOKUP(C2203,' Disaggregation - Section E '!A$618:O1332,15,0)),"")</f>
        <v/>
      </c>
      <c r="N2203" s="388" t="str">
        <f ca="1">IFERROR(IF(VLOOKUP(C2203,' Disaggregation - Section E '!A$618:J2529,10,0)=0,"",VLOOKUP(C2203,' Disaggregation - Section E '!A$618:J2529,10,0)),"")</f>
        <v/>
      </c>
      <c r="O2203" s="384"/>
    </row>
    <row r="2204" spans="1:15" x14ac:dyDescent="0.3">
      <c r="A2204" s="384" t="b">
        <f t="shared" ca="1" si="136"/>
        <v>0</v>
      </c>
      <c r="B2204" s="384"/>
      <c r="C2204" s="393" t="str">
        <f ca="1">IF(COUNTA(O$1493:O2204)=1,"",OFFSET(B2202,-COUNTA(O$1493:O2204)+3,1))</f>
        <v>a16Dm000000LZbHIAW</v>
      </c>
      <c r="D2204" s="389"/>
      <c r="E2204" s="386" t="str">
        <f ca="1">IFERROR(IF(VLOOKUP(C2204,' Disaggregation - Section E '!A$618:J2530,7,0)="","",VLOOKUP(C2204,' Disaggregation - Section E '!A$618:J2530,7,0)*100),"")</f>
        <v/>
      </c>
      <c r="F2204" s="388" t="str">
        <f ca="1">IFERROR(VLOOKUP(C2204,' Disaggregation - Section E '!A$618:J2530,5,0),"")</f>
        <v/>
      </c>
      <c r="G2204" s="387" t="str">
        <f ca="1">IFERROR(IF(VLOOKUP(C2204,' Disaggregation - Section E '!A$618:J2530,6,0)="","",VLOOKUP(C2204,' Disaggregation - Section E '!A$618:J2530,6,0)),"")</f>
        <v/>
      </c>
      <c r="H2204" s="387" t="str">
        <f ca="1">IFERROR(IF(INDEX(' Disaggregation - Section E '!F$618:F2530,MATCH(C2204,' Disaggregation - Section E '!A$618:A2530,0)+1,1)&lt;&gt;0,INDEX(' Disaggregation - Section E '!F$618:F2530,MATCH(C2204,' Disaggregation - Section E '!A$618:A2530,0)+1,1),""),"")</f>
        <v/>
      </c>
      <c r="I2204" s="388" t="str">
        <f ca="1">IFERROR(IF(VLOOKUP(C2204,' Disaggregation - Section E '!A$618:J2530,8,0)=0,"",VLOOKUP(C2204,' Disaggregation - Section E '!A$618:J2530,8,0)),"")</f>
        <v/>
      </c>
      <c r="J2204" s="388" t="str">
        <f ca="1">IFERROR(IF(VLOOKUP(C2204,' Disaggregation - Section E '!A$618:J2530,9,0)="","",VLOOKUP(C2204,' Disaggregation - Section E '!A$618:J2530,9,0)),"")</f>
        <v/>
      </c>
      <c r="K2204" s="384" t="str">
        <f ca="1">IFERROR(VLOOKUP(C2204,' Disaggregation - Section E '!A$618:J2530,3,0),"")</f>
        <v>HTS-3a⁽ᴹ⁾ Percentage of MSM that have received an HIV test during the reporting period in KP-specific programs and know their results</v>
      </c>
      <c r="L2204" s="384"/>
      <c r="M2204" s="384" t="str">
        <f ca="1">IFERROR(IF(VLOOKUP(C2204,' Disaggregation - Section E '!A$618:O1333,15,0)=0,"",VLOOKUP(C2204,' Disaggregation - Section E '!A$618:O1333,15,0)),"")</f>
        <v/>
      </c>
      <c r="N2204" s="388" t="str">
        <f ca="1">IFERROR(IF(VLOOKUP(C2204,' Disaggregation - Section E '!A$618:J2530,10,0)=0,"",VLOOKUP(C2204,' Disaggregation - Section E '!A$618:J2530,10,0)),"")</f>
        <v/>
      </c>
      <c r="O2204" s="384"/>
    </row>
    <row r="2205" spans="1:15" x14ac:dyDescent="0.3">
      <c r="A2205" s="384" t="b">
        <f t="shared" ca="1" si="136"/>
        <v>0</v>
      </c>
      <c r="B2205" s="384"/>
      <c r="C2205" s="393" t="str">
        <f ca="1">IF(COUNTA(O$1493:O2205)=1,"",OFFSET(B2203,-COUNTA(O$1493:O2205)+3,1))</f>
        <v>a16Dm000000LZbIIAW</v>
      </c>
      <c r="D2205" s="389"/>
      <c r="E2205" s="386" t="str">
        <f ca="1">IFERROR(IF(VLOOKUP(C2205,' Disaggregation - Section E '!A$618:J2531,7,0)="","",VLOOKUP(C2205,' Disaggregation - Section E '!A$618:J2531,7,0)*100),"")</f>
        <v/>
      </c>
      <c r="F2205" s="388" t="str">
        <f ca="1">IFERROR(VLOOKUP(C2205,' Disaggregation - Section E '!A$618:J2531,5,0),"")</f>
        <v/>
      </c>
      <c r="G2205" s="387" t="str">
        <f ca="1">IFERROR(IF(VLOOKUP(C2205,' Disaggregation - Section E '!A$618:J2531,6,0)="","",VLOOKUP(C2205,' Disaggregation - Section E '!A$618:J2531,6,0)),"")</f>
        <v/>
      </c>
      <c r="H2205" s="387" t="str">
        <f ca="1">IFERROR(IF(INDEX(' Disaggregation - Section E '!F$618:F2531,MATCH(C2205,' Disaggregation - Section E '!A$618:A2531,0)+1,1)&lt;&gt;0,INDEX(' Disaggregation - Section E '!F$618:F2531,MATCH(C2205,' Disaggregation - Section E '!A$618:A2531,0)+1,1),""),"")</f>
        <v/>
      </c>
      <c r="I2205" s="388" t="str">
        <f ca="1">IFERROR(IF(VLOOKUP(C2205,' Disaggregation - Section E '!A$618:J2531,8,0)=0,"",VLOOKUP(C2205,' Disaggregation - Section E '!A$618:J2531,8,0)),"")</f>
        <v/>
      </c>
      <c r="J2205" s="388" t="str">
        <f ca="1">IFERROR(IF(VLOOKUP(C2205,' Disaggregation - Section E '!A$618:J2531,9,0)="","",VLOOKUP(C2205,' Disaggregation - Section E '!A$618:J2531,9,0)),"")</f>
        <v/>
      </c>
      <c r="K2205" s="384" t="str">
        <f ca="1">IFERROR(VLOOKUP(C2205,' Disaggregation - Section E '!A$618:J2531,3,0),"")</f>
        <v>HTS-3a⁽ᴹ⁾ Percentage of MSM that have received an HIV test during the reporting period in KP-specific programs and know their results</v>
      </c>
      <c r="L2205" s="384"/>
      <c r="M2205" s="384" t="str">
        <f ca="1">IFERROR(IF(VLOOKUP(C2205,' Disaggregation - Section E '!A$618:O1334,15,0)=0,"",VLOOKUP(C2205,' Disaggregation - Section E '!A$618:O1334,15,0)),"")</f>
        <v/>
      </c>
      <c r="N2205" s="388" t="str">
        <f ca="1">IFERROR(IF(VLOOKUP(C2205,' Disaggregation - Section E '!A$618:J2531,10,0)=0,"",VLOOKUP(C2205,' Disaggregation - Section E '!A$618:J2531,10,0)),"")</f>
        <v/>
      </c>
      <c r="O2205" s="384"/>
    </row>
    <row r="2206" spans="1:15" x14ac:dyDescent="0.3">
      <c r="A2206" s="384" t="b">
        <f t="shared" ca="1" si="136"/>
        <v>0</v>
      </c>
      <c r="B2206" s="384"/>
      <c r="C2206" s="393" t="str">
        <f ca="1">IF(COUNTA(O$1493:O2206)=1,"",OFFSET(B2204,-COUNTA(O$1493:O2206)+3,1))</f>
        <v>a16Dm000000LZbJIAW</v>
      </c>
      <c r="D2206" s="389"/>
      <c r="E2206" s="386" t="str">
        <f ca="1">IFERROR(IF(VLOOKUP(C2206,' Disaggregation - Section E '!A$618:J2532,7,0)="","",VLOOKUP(C2206,' Disaggregation - Section E '!A$618:J2532,7,0)*100),"")</f>
        <v/>
      </c>
      <c r="F2206" s="388" t="str">
        <f ca="1">IFERROR(VLOOKUP(C2206,' Disaggregation - Section E '!A$618:J2532,5,0),"")</f>
        <v/>
      </c>
      <c r="G2206" s="387" t="str">
        <f ca="1">IFERROR(IF(VLOOKUP(C2206,' Disaggregation - Section E '!A$618:J2532,6,0)="","",VLOOKUP(C2206,' Disaggregation - Section E '!A$618:J2532,6,0)),"")</f>
        <v/>
      </c>
      <c r="H2206" s="387" t="str">
        <f ca="1">IFERROR(IF(INDEX(' Disaggregation - Section E '!F$618:F2532,MATCH(C2206,' Disaggregation - Section E '!A$618:A2532,0)+1,1)&lt;&gt;0,INDEX(' Disaggregation - Section E '!F$618:F2532,MATCH(C2206,' Disaggregation - Section E '!A$618:A2532,0)+1,1),""),"")</f>
        <v/>
      </c>
      <c r="I2206" s="388" t="str">
        <f ca="1">IFERROR(IF(VLOOKUP(C2206,' Disaggregation - Section E '!A$618:J2532,8,0)=0,"",VLOOKUP(C2206,' Disaggregation - Section E '!A$618:J2532,8,0)),"")</f>
        <v/>
      </c>
      <c r="J2206" s="388" t="str">
        <f ca="1">IFERROR(IF(VLOOKUP(C2206,' Disaggregation - Section E '!A$618:J2532,9,0)="","",VLOOKUP(C2206,' Disaggregation - Section E '!A$618:J2532,9,0)),"")</f>
        <v/>
      </c>
      <c r="K2206" s="384" t="str">
        <f ca="1">IFERROR(VLOOKUP(C2206,' Disaggregation - Section E '!A$618:J2532,3,0),"")</f>
        <v>HTS-3a⁽ᴹ⁾ Percentage of MSM that have received an HIV test during the reporting period in KP-specific programs and know their results</v>
      </c>
      <c r="L2206" s="384"/>
      <c r="M2206" s="384" t="str">
        <f ca="1">IFERROR(IF(VLOOKUP(C2206,' Disaggregation - Section E '!A$618:O1335,15,0)=0,"",VLOOKUP(C2206,' Disaggregation - Section E '!A$618:O1335,15,0)),"")</f>
        <v/>
      </c>
      <c r="N2206" s="388" t="str">
        <f ca="1">IFERROR(IF(VLOOKUP(C2206,' Disaggregation - Section E '!A$618:J2532,10,0)=0,"",VLOOKUP(C2206,' Disaggregation - Section E '!A$618:J2532,10,0)),"")</f>
        <v/>
      </c>
      <c r="O2206" s="384"/>
    </row>
    <row r="2207" spans="1:15" x14ac:dyDescent="0.3">
      <c r="A2207" s="384" t="b">
        <f t="shared" ca="1" si="136"/>
        <v>0</v>
      </c>
      <c r="B2207" s="384"/>
      <c r="C2207" s="393" t="str">
        <f ca="1">IF(COUNTA(O$1493:O2207)=1,"",OFFSET(B2205,-COUNTA(O$1493:O2207)+3,1))</f>
        <v>a16Dm000000LZbKIAW</v>
      </c>
      <c r="D2207" s="389"/>
      <c r="E2207" s="386" t="str">
        <f ca="1">IFERROR(IF(VLOOKUP(C2207,' Disaggregation - Section E '!A$618:J2533,7,0)="","",VLOOKUP(C2207,' Disaggregation - Section E '!A$618:J2533,7,0)*100),"")</f>
        <v/>
      </c>
      <c r="F2207" s="388" t="str">
        <f ca="1">IFERROR(VLOOKUP(C2207,' Disaggregation - Section E '!A$618:J2533,5,0),"")</f>
        <v/>
      </c>
      <c r="G2207" s="387" t="str">
        <f ca="1">IFERROR(IF(VLOOKUP(C2207,' Disaggregation - Section E '!A$618:J2533,6,0)="","",VLOOKUP(C2207,' Disaggregation - Section E '!A$618:J2533,6,0)),"")</f>
        <v/>
      </c>
      <c r="H2207" s="387" t="str">
        <f ca="1">IFERROR(IF(INDEX(' Disaggregation - Section E '!F$618:F2533,MATCH(C2207,' Disaggregation - Section E '!A$618:A2533,0)+1,1)&lt;&gt;0,INDEX(' Disaggregation - Section E '!F$618:F2533,MATCH(C2207,' Disaggregation - Section E '!A$618:A2533,0)+1,1),""),"")</f>
        <v/>
      </c>
      <c r="I2207" s="388" t="str">
        <f ca="1">IFERROR(IF(VLOOKUP(C2207,' Disaggregation - Section E '!A$618:J2533,8,0)=0,"",VLOOKUP(C2207,' Disaggregation - Section E '!A$618:J2533,8,0)),"")</f>
        <v/>
      </c>
      <c r="J2207" s="388" t="str">
        <f ca="1">IFERROR(IF(VLOOKUP(C2207,' Disaggregation - Section E '!A$618:J2533,9,0)="","",VLOOKUP(C2207,' Disaggregation - Section E '!A$618:J2533,9,0)),"")</f>
        <v/>
      </c>
      <c r="K2207" s="384" t="str">
        <f ca="1">IFERROR(VLOOKUP(C2207,' Disaggregation - Section E '!A$618:J2533,3,0),"")</f>
        <v>HTS-3a⁽ᴹ⁾ Percentage of MSM that have received an HIV test during the reporting period in KP-specific programs and know their results</v>
      </c>
      <c r="L2207" s="384"/>
      <c r="M2207" s="384" t="str">
        <f ca="1">IFERROR(IF(VLOOKUP(C2207,' Disaggregation - Section E '!A$618:O1336,15,0)=0,"",VLOOKUP(C2207,' Disaggregation - Section E '!A$618:O1336,15,0)),"")</f>
        <v/>
      </c>
      <c r="N2207" s="388" t="str">
        <f ca="1">IFERROR(IF(VLOOKUP(C2207,' Disaggregation - Section E '!A$618:J2533,10,0)=0,"",VLOOKUP(C2207,' Disaggregation - Section E '!A$618:J2533,10,0)),"")</f>
        <v/>
      </c>
      <c r="O2207" s="384"/>
    </row>
    <row r="2208" spans="1:15" x14ac:dyDescent="0.3">
      <c r="A2208" s="384" t="b">
        <f t="shared" ca="1" si="136"/>
        <v>0</v>
      </c>
      <c r="B2208" s="384"/>
      <c r="C2208" s="393" t="str">
        <f ca="1">IF(COUNTA(O$1493:O2208)=1,"",OFFSET(B2206,-COUNTA(O$1493:O2208)+3,1))</f>
        <v>a16Dm000000LZbLIAW</v>
      </c>
      <c r="D2208" s="389"/>
      <c r="E2208" s="386" t="str">
        <f ca="1">IFERROR(IF(VLOOKUP(C2208,' Disaggregation - Section E '!A$618:J2534,7,0)="","",VLOOKUP(C2208,' Disaggregation - Section E '!A$618:J2534,7,0)*100),"")</f>
        <v/>
      </c>
      <c r="F2208" s="388" t="str">
        <f ca="1">IFERROR(VLOOKUP(C2208,' Disaggregation - Section E '!A$618:J2534,5,0),"")</f>
        <v/>
      </c>
      <c r="G2208" s="387" t="str">
        <f ca="1">IFERROR(IF(VLOOKUP(C2208,' Disaggregation - Section E '!A$618:J2534,6,0)="","",VLOOKUP(C2208,' Disaggregation - Section E '!A$618:J2534,6,0)),"")</f>
        <v/>
      </c>
      <c r="H2208" s="387" t="str">
        <f ca="1">IFERROR(IF(INDEX(' Disaggregation - Section E '!F$618:F2534,MATCH(C2208,' Disaggregation - Section E '!A$618:A2534,0)+1,1)&lt;&gt;0,INDEX(' Disaggregation - Section E '!F$618:F2534,MATCH(C2208,' Disaggregation - Section E '!A$618:A2534,0)+1,1),""),"")</f>
        <v/>
      </c>
      <c r="I2208" s="388" t="str">
        <f ca="1">IFERROR(IF(VLOOKUP(C2208,' Disaggregation - Section E '!A$618:J2534,8,0)=0,"",VLOOKUP(C2208,' Disaggregation - Section E '!A$618:J2534,8,0)),"")</f>
        <v/>
      </c>
      <c r="J2208" s="388" t="str">
        <f ca="1">IFERROR(IF(VLOOKUP(C2208,' Disaggregation - Section E '!A$618:J2534,9,0)="","",VLOOKUP(C2208,' Disaggregation - Section E '!A$618:J2534,9,0)),"")</f>
        <v/>
      </c>
      <c r="K2208" s="384" t="str">
        <f ca="1">IFERROR(VLOOKUP(C2208,' Disaggregation - Section E '!A$618:J2534,3,0),"")</f>
        <v>HTS-3a⁽ᴹ⁾ Percentage of MSM that have received an HIV test during the reporting period in KP-specific programs and know their results</v>
      </c>
      <c r="L2208" s="384"/>
      <c r="M2208" s="384" t="str">
        <f ca="1">IFERROR(IF(VLOOKUP(C2208,' Disaggregation - Section E '!A$618:O1337,15,0)=0,"",VLOOKUP(C2208,' Disaggregation - Section E '!A$618:O1337,15,0)),"")</f>
        <v/>
      </c>
      <c r="N2208" s="388" t="str">
        <f ca="1">IFERROR(IF(VLOOKUP(C2208,' Disaggregation - Section E '!A$618:J2534,10,0)=0,"",VLOOKUP(C2208,' Disaggregation - Section E '!A$618:J2534,10,0)),"")</f>
        <v/>
      </c>
      <c r="O2208" s="384"/>
    </row>
    <row r="2209" spans="1:15" x14ac:dyDescent="0.3">
      <c r="A2209" s="384" t="b">
        <f t="shared" ca="1" si="136"/>
        <v>0</v>
      </c>
      <c r="B2209" s="384"/>
      <c r="C2209" s="393" t="str">
        <f ca="1">IF(COUNTA(O$1493:O2209)=1,"",OFFSET(B2207,-COUNTA(O$1493:O2209)+3,1))</f>
        <v>a16Dm000000LZbMIAW</v>
      </c>
      <c r="D2209" s="389"/>
      <c r="E2209" s="386" t="str">
        <f ca="1">IFERROR(IF(VLOOKUP(C2209,' Disaggregation - Section E '!A$618:J2535,7,0)="","",VLOOKUP(C2209,' Disaggregation - Section E '!A$618:J2535,7,0)*100),"")</f>
        <v/>
      </c>
      <c r="F2209" s="388" t="str">
        <f ca="1">IFERROR(VLOOKUP(C2209,' Disaggregation - Section E '!A$618:J2535,5,0),"")</f>
        <v/>
      </c>
      <c r="G2209" s="387" t="str">
        <f ca="1">IFERROR(IF(VLOOKUP(C2209,' Disaggregation - Section E '!A$618:J2535,6,0)="","",VLOOKUP(C2209,' Disaggregation - Section E '!A$618:J2535,6,0)),"")</f>
        <v/>
      </c>
      <c r="H2209" s="387" t="str">
        <f ca="1">IFERROR(IF(INDEX(' Disaggregation - Section E '!F$618:F2535,MATCH(C2209,' Disaggregation - Section E '!A$618:A2535,0)+1,1)&lt;&gt;0,INDEX(' Disaggregation - Section E '!F$618:F2535,MATCH(C2209,' Disaggregation - Section E '!A$618:A2535,0)+1,1),""),"")</f>
        <v/>
      </c>
      <c r="I2209" s="388" t="str">
        <f ca="1">IFERROR(IF(VLOOKUP(C2209,' Disaggregation - Section E '!A$618:J2535,8,0)=0,"",VLOOKUP(C2209,' Disaggregation - Section E '!A$618:J2535,8,0)),"")</f>
        <v/>
      </c>
      <c r="J2209" s="388" t="str">
        <f ca="1">IFERROR(IF(VLOOKUP(C2209,' Disaggregation - Section E '!A$618:J2535,9,0)="","",VLOOKUP(C2209,' Disaggregation - Section E '!A$618:J2535,9,0)),"")</f>
        <v/>
      </c>
      <c r="K2209" s="384" t="str">
        <f ca="1">IFERROR(VLOOKUP(C2209,' Disaggregation - Section E '!A$618:J2535,3,0),"")</f>
        <v>HTS-3a⁽ᴹ⁾ Percentage of MSM that have received an HIV test during the reporting period in KP-specific programs and know their results</v>
      </c>
      <c r="L2209" s="384"/>
      <c r="M2209" s="384" t="str">
        <f ca="1">IFERROR(IF(VLOOKUP(C2209,' Disaggregation - Section E '!A$618:O1338,15,0)=0,"",VLOOKUP(C2209,' Disaggregation - Section E '!A$618:O1338,15,0)),"")</f>
        <v/>
      </c>
      <c r="N2209" s="388" t="str">
        <f ca="1">IFERROR(IF(VLOOKUP(C2209,' Disaggregation - Section E '!A$618:J2535,10,0)=0,"",VLOOKUP(C2209,' Disaggregation - Section E '!A$618:J2535,10,0)),"")</f>
        <v/>
      </c>
      <c r="O2209" s="384"/>
    </row>
    <row r="2210" spans="1:15" x14ac:dyDescent="0.3">
      <c r="A2210" s="384" t="b">
        <f t="shared" ca="1" si="136"/>
        <v>0</v>
      </c>
      <c r="B2210" s="384"/>
      <c r="C2210" s="393" t="str">
        <f ca="1">IF(COUNTA(O$1493:O2210)=1,"",OFFSET(B2208,-COUNTA(O$1493:O2210)+3,1))</f>
        <v>a16Dm000000LZbNIAW</v>
      </c>
      <c r="D2210" s="389"/>
      <c r="E2210" s="386" t="str">
        <f ca="1">IFERROR(IF(VLOOKUP(C2210,' Disaggregation - Section E '!A$618:J2536,7,0)="","",VLOOKUP(C2210,' Disaggregation - Section E '!A$618:J2536,7,0)*100),"")</f>
        <v/>
      </c>
      <c r="F2210" s="388" t="str">
        <f ca="1">IFERROR(VLOOKUP(C2210,' Disaggregation - Section E '!A$618:J2536,5,0),"")</f>
        <v/>
      </c>
      <c r="G2210" s="387" t="str">
        <f ca="1">IFERROR(IF(VLOOKUP(C2210,' Disaggregation - Section E '!A$618:J2536,6,0)="","",VLOOKUP(C2210,' Disaggregation - Section E '!A$618:J2536,6,0)),"")</f>
        <v/>
      </c>
      <c r="H2210" s="387" t="str">
        <f ca="1">IFERROR(IF(INDEX(' Disaggregation - Section E '!F$618:F2536,MATCH(C2210,' Disaggregation - Section E '!A$618:A2536,0)+1,1)&lt;&gt;0,INDEX(' Disaggregation - Section E '!F$618:F2536,MATCH(C2210,' Disaggregation - Section E '!A$618:A2536,0)+1,1),""),"")</f>
        <v/>
      </c>
      <c r="I2210" s="388" t="str">
        <f ca="1">IFERROR(IF(VLOOKUP(C2210,' Disaggregation - Section E '!A$618:J2536,8,0)=0,"",VLOOKUP(C2210,' Disaggregation - Section E '!A$618:J2536,8,0)),"")</f>
        <v/>
      </c>
      <c r="J2210" s="388" t="str">
        <f ca="1">IFERROR(IF(VLOOKUP(C2210,' Disaggregation - Section E '!A$618:J2536,9,0)="","",VLOOKUP(C2210,' Disaggregation - Section E '!A$618:J2536,9,0)),"")</f>
        <v/>
      </c>
      <c r="K2210" s="384" t="str">
        <f ca="1">IFERROR(VLOOKUP(C2210,' Disaggregation - Section E '!A$618:J2536,3,0),"")</f>
        <v>HTS-3a⁽ᴹ⁾ Percentage of MSM that have received an HIV test during the reporting period in KP-specific programs and know their results</v>
      </c>
      <c r="L2210" s="384"/>
      <c r="M2210" s="384" t="str">
        <f ca="1">IFERROR(IF(VLOOKUP(C2210,' Disaggregation - Section E '!A$618:O1339,15,0)=0,"",VLOOKUP(C2210,' Disaggregation - Section E '!A$618:O1339,15,0)),"")</f>
        <v/>
      </c>
      <c r="N2210" s="388" t="str">
        <f ca="1">IFERROR(IF(VLOOKUP(C2210,' Disaggregation - Section E '!A$618:J2536,10,0)=0,"",VLOOKUP(C2210,' Disaggregation - Section E '!A$618:J2536,10,0)),"")</f>
        <v/>
      </c>
      <c r="O2210" s="384"/>
    </row>
    <row r="2211" spans="1:15" x14ac:dyDescent="0.3">
      <c r="A2211" s="384" t="b">
        <f t="shared" ca="1" si="136"/>
        <v>0</v>
      </c>
      <c r="B2211" s="384"/>
      <c r="C2211" s="393" t="str">
        <f ca="1">IF(COUNTA(O$1493:O2211)=1,"",OFFSET(B2209,-COUNTA(O$1493:O2211)+3,1))</f>
        <v>a16Dm000000LZbOIAW</v>
      </c>
      <c r="D2211" s="389"/>
      <c r="E2211" s="386" t="str">
        <f ca="1">IFERROR(IF(VLOOKUP(C2211,' Disaggregation - Section E '!A$618:J2537,7,0)="","",VLOOKUP(C2211,' Disaggregation - Section E '!A$618:J2537,7,0)*100),"")</f>
        <v/>
      </c>
      <c r="F2211" s="388" t="str">
        <f ca="1">IFERROR(VLOOKUP(C2211,' Disaggregation - Section E '!A$618:J2537,5,0),"")</f>
        <v/>
      </c>
      <c r="G2211" s="387" t="str">
        <f ca="1">IFERROR(IF(VLOOKUP(C2211,' Disaggregation - Section E '!A$618:J2537,6,0)="","",VLOOKUP(C2211,' Disaggregation - Section E '!A$618:J2537,6,0)),"")</f>
        <v/>
      </c>
      <c r="H2211" s="387" t="str">
        <f ca="1">IFERROR(IF(INDEX(' Disaggregation - Section E '!F$618:F2537,MATCH(C2211,' Disaggregation - Section E '!A$618:A2537,0)+1,1)&lt;&gt;0,INDEX(' Disaggregation - Section E '!F$618:F2537,MATCH(C2211,' Disaggregation - Section E '!A$618:A2537,0)+1,1),""),"")</f>
        <v/>
      </c>
      <c r="I2211" s="388" t="str">
        <f ca="1">IFERROR(IF(VLOOKUP(C2211,' Disaggregation - Section E '!A$618:J2537,8,0)=0,"",VLOOKUP(C2211,' Disaggregation - Section E '!A$618:J2537,8,0)),"")</f>
        <v/>
      </c>
      <c r="J2211" s="388" t="str">
        <f ca="1">IFERROR(IF(VLOOKUP(C2211,' Disaggregation - Section E '!A$618:J2537,9,0)="","",VLOOKUP(C2211,' Disaggregation - Section E '!A$618:J2537,9,0)),"")</f>
        <v/>
      </c>
      <c r="K2211" s="384" t="str">
        <f ca="1">IFERROR(VLOOKUP(C2211,' Disaggregation - Section E '!A$618:J2537,3,0),"")</f>
        <v>HTS-3a⁽ᴹ⁾ Percentage of MSM that have received an HIV test during the reporting period in KP-specific programs and know their results</v>
      </c>
      <c r="L2211" s="384"/>
      <c r="M2211" s="384" t="str">
        <f ca="1">IFERROR(IF(VLOOKUP(C2211,' Disaggregation - Section E '!A$618:O1340,15,0)=0,"",VLOOKUP(C2211,' Disaggregation - Section E '!A$618:O1340,15,0)),"")</f>
        <v/>
      </c>
      <c r="N2211" s="388" t="str">
        <f ca="1">IFERROR(IF(VLOOKUP(C2211,' Disaggregation - Section E '!A$618:J2537,10,0)=0,"",VLOOKUP(C2211,' Disaggregation - Section E '!A$618:J2537,10,0)),"")</f>
        <v/>
      </c>
      <c r="O2211" s="384"/>
    </row>
    <row r="2212" spans="1:15" x14ac:dyDescent="0.3">
      <c r="A2212" s="384" t="b">
        <f t="shared" ca="1" si="136"/>
        <v>0</v>
      </c>
      <c r="B2212" s="384"/>
      <c r="C2212" s="393" t="str">
        <f ca="1">IF(COUNTA(O$1493:O2212)=1,"",OFFSET(B2210,-COUNTA(O$1493:O2212)+3,1))</f>
        <v>a16Dm000000LZbPIAW</v>
      </c>
      <c r="D2212" s="389"/>
      <c r="E2212" s="386" t="str">
        <f ca="1">IFERROR(IF(VLOOKUP(C2212,' Disaggregation - Section E '!A$618:J2538,7,0)="","",VLOOKUP(C2212,' Disaggregation - Section E '!A$618:J2538,7,0)*100),"")</f>
        <v/>
      </c>
      <c r="F2212" s="388" t="str">
        <f ca="1">IFERROR(VLOOKUP(C2212,' Disaggregation - Section E '!A$618:J2538,5,0),"")</f>
        <v/>
      </c>
      <c r="G2212" s="387" t="str">
        <f ca="1">IFERROR(IF(VLOOKUP(C2212,' Disaggregation - Section E '!A$618:J2538,6,0)="","",VLOOKUP(C2212,' Disaggregation - Section E '!A$618:J2538,6,0)),"")</f>
        <v/>
      </c>
      <c r="H2212" s="387" t="str">
        <f ca="1">IFERROR(IF(INDEX(' Disaggregation - Section E '!F$618:F2538,MATCH(C2212,' Disaggregation - Section E '!A$618:A2538,0)+1,1)&lt;&gt;0,INDEX(' Disaggregation - Section E '!F$618:F2538,MATCH(C2212,' Disaggregation - Section E '!A$618:A2538,0)+1,1),""),"")</f>
        <v/>
      </c>
      <c r="I2212" s="388" t="str">
        <f ca="1">IFERROR(IF(VLOOKUP(C2212,' Disaggregation - Section E '!A$618:J2538,8,0)=0,"",VLOOKUP(C2212,' Disaggregation - Section E '!A$618:J2538,8,0)),"")</f>
        <v/>
      </c>
      <c r="J2212" s="388" t="str">
        <f ca="1">IFERROR(IF(VLOOKUP(C2212,' Disaggregation - Section E '!A$618:J2538,9,0)="","",VLOOKUP(C2212,' Disaggregation - Section E '!A$618:J2538,9,0)),"")</f>
        <v/>
      </c>
      <c r="K2212" s="384" t="str">
        <f ca="1">IFERROR(VLOOKUP(C2212,' Disaggregation - Section E '!A$618:J2538,3,0),"")</f>
        <v>HTS-3a⁽ᴹ⁾ Percentage of MSM that have received an HIV test during the reporting period in KP-specific programs and know their results</v>
      </c>
      <c r="L2212" s="384"/>
      <c r="M2212" s="384" t="str">
        <f ca="1">IFERROR(IF(VLOOKUP(C2212,' Disaggregation - Section E '!A$618:O1341,15,0)=0,"",VLOOKUP(C2212,' Disaggregation - Section E '!A$618:O1341,15,0)),"")</f>
        <v/>
      </c>
      <c r="N2212" s="388" t="str">
        <f ca="1">IFERROR(IF(VLOOKUP(C2212,' Disaggregation - Section E '!A$618:J2538,10,0)=0,"",VLOOKUP(C2212,' Disaggregation - Section E '!A$618:J2538,10,0)),"")</f>
        <v/>
      </c>
      <c r="O2212" s="384"/>
    </row>
    <row r="2213" spans="1:15" x14ac:dyDescent="0.3">
      <c r="A2213" s="384" t="b">
        <f t="shared" ca="1" si="136"/>
        <v>0</v>
      </c>
      <c r="B2213" s="384"/>
      <c r="C2213" s="393" t="str">
        <f ca="1">IF(COUNTA(O$1493:O2213)=1,"",OFFSET(B2211,-COUNTA(O$1493:O2213)+3,1))</f>
        <v>a16Dm000000LZbQIAW</v>
      </c>
      <c r="D2213" s="389"/>
      <c r="E2213" s="386" t="str">
        <f ca="1">IFERROR(IF(VLOOKUP(C2213,' Disaggregation - Section E '!A$618:J2539,7,0)="","",VLOOKUP(C2213,' Disaggregation - Section E '!A$618:J2539,7,0)*100),"")</f>
        <v/>
      </c>
      <c r="F2213" s="388" t="str">
        <f ca="1">IFERROR(VLOOKUP(C2213,' Disaggregation - Section E '!A$618:J2539,5,0),"")</f>
        <v/>
      </c>
      <c r="G2213" s="387" t="str">
        <f ca="1">IFERROR(IF(VLOOKUP(C2213,' Disaggregation - Section E '!A$618:J2539,6,0)="","",VLOOKUP(C2213,' Disaggregation - Section E '!A$618:J2539,6,0)),"")</f>
        <v/>
      </c>
      <c r="H2213" s="387" t="str">
        <f ca="1">IFERROR(IF(INDEX(' Disaggregation - Section E '!F$618:F2539,MATCH(C2213,' Disaggregation - Section E '!A$618:A2539,0)+1,1)&lt;&gt;0,INDEX(' Disaggregation - Section E '!F$618:F2539,MATCH(C2213,' Disaggregation - Section E '!A$618:A2539,0)+1,1),""),"")</f>
        <v/>
      </c>
      <c r="I2213" s="388" t="str">
        <f ca="1">IFERROR(IF(VLOOKUP(C2213,' Disaggregation - Section E '!A$618:J2539,8,0)=0,"",VLOOKUP(C2213,' Disaggregation - Section E '!A$618:J2539,8,0)),"")</f>
        <v/>
      </c>
      <c r="J2213" s="388" t="str">
        <f ca="1">IFERROR(IF(VLOOKUP(C2213,' Disaggregation - Section E '!A$618:J2539,9,0)="","",VLOOKUP(C2213,' Disaggregation - Section E '!A$618:J2539,9,0)),"")</f>
        <v/>
      </c>
      <c r="K2213" s="384" t="str">
        <f ca="1">IFERROR(VLOOKUP(C2213,' Disaggregation - Section E '!A$618:J2539,3,0),"")</f>
        <v>HTS-3a⁽ᴹ⁾ Percentage of MSM that have received an HIV test during the reporting period in KP-specific programs and know their results</v>
      </c>
      <c r="L2213" s="384"/>
      <c r="M2213" s="384" t="str">
        <f ca="1">IFERROR(IF(VLOOKUP(C2213,' Disaggregation - Section E '!A$618:O1342,15,0)=0,"",VLOOKUP(C2213,' Disaggregation - Section E '!A$618:O1342,15,0)),"")</f>
        <v/>
      </c>
      <c r="N2213" s="388" t="str">
        <f ca="1">IFERROR(IF(VLOOKUP(C2213,' Disaggregation - Section E '!A$618:J2539,10,0)=0,"",VLOOKUP(C2213,' Disaggregation - Section E '!A$618:J2539,10,0)),"")</f>
        <v/>
      </c>
      <c r="O2213" s="384"/>
    </row>
    <row r="2214" spans="1:15" x14ac:dyDescent="0.3">
      <c r="A2214" s="384" t="b">
        <f t="shared" ca="1" si="136"/>
        <v>0</v>
      </c>
      <c r="B2214" s="384"/>
      <c r="C2214" s="393" t="str">
        <f ca="1">IF(COUNTA(O$1493:O2214)=1,"",OFFSET(B2212,-COUNTA(O$1493:O2214)+3,1))</f>
        <v>a16Dm000000LZbRIAW</v>
      </c>
      <c r="D2214" s="389"/>
      <c r="E2214" s="386" t="str">
        <f ca="1">IFERROR(IF(VLOOKUP(C2214,' Disaggregation - Section E '!A$618:J2540,7,0)="","",VLOOKUP(C2214,' Disaggregation - Section E '!A$618:J2540,7,0)*100),"")</f>
        <v/>
      </c>
      <c r="F2214" s="388" t="str">
        <f ca="1">IFERROR(VLOOKUP(C2214,' Disaggregation - Section E '!A$618:J2540,5,0),"")</f>
        <v/>
      </c>
      <c r="G2214" s="387" t="str">
        <f ca="1">IFERROR(IF(VLOOKUP(C2214,' Disaggregation - Section E '!A$618:J2540,6,0)="","",VLOOKUP(C2214,' Disaggregation - Section E '!A$618:J2540,6,0)),"")</f>
        <v/>
      </c>
      <c r="H2214" s="387" t="str">
        <f ca="1">IFERROR(IF(INDEX(' Disaggregation - Section E '!F$618:F2540,MATCH(C2214,' Disaggregation - Section E '!A$618:A2540,0)+1,1)&lt;&gt;0,INDEX(' Disaggregation - Section E '!F$618:F2540,MATCH(C2214,' Disaggregation - Section E '!A$618:A2540,0)+1,1),""),"")</f>
        <v/>
      </c>
      <c r="I2214" s="388" t="str">
        <f ca="1">IFERROR(IF(VLOOKUP(C2214,' Disaggregation - Section E '!A$618:J2540,8,0)=0,"",VLOOKUP(C2214,' Disaggregation - Section E '!A$618:J2540,8,0)),"")</f>
        <v/>
      </c>
      <c r="J2214" s="388" t="str">
        <f ca="1">IFERROR(IF(VLOOKUP(C2214,' Disaggregation - Section E '!A$618:J2540,9,0)="","",VLOOKUP(C2214,' Disaggregation - Section E '!A$618:J2540,9,0)),"")</f>
        <v/>
      </c>
      <c r="K2214" s="384" t="str">
        <f ca="1">IFERROR(VLOOKUP(C2214,' Disaggregation - Section E '!A$618:J2540,3,0),"")</f>
        <v>HTS-3a⁽ᴹ⁾ Percentage of MSM that have received an HIV test during the reporting period in KP-specific programs and know their results</v>
      </c>
      <c r="L2214" s="384"/>
      <c r="M2214" s="384" t="str">
        <f ca="1">IFERROR(IF(VLOOKUP(C2214,' Disaggregation - Section E '!A$618:O1343,15,0)=0,"",VLOOKUP(C2214,' Disaggregation - Section E '!A$618:O1343,15,0)),"")</f>
        <v/>
      </c>
      <c r="N2214" s="388" t="str">
        <f ca="1">IFERROR(IF(VLOOKUP(C2214,' Disaggregation - Section E '!A$618:J2540,10,0)=0,"",VLOOKUP(C2214,' Disaggregation - Section E '!A$618:J2540,10,0)),"")</f>
        <v/>
      </c>
      <c r="O2214" s="384"/>
    </row>
    <row r="2215" spans="1:15" x14ac:dyDescent="0.3">
      <c r="A2215" s="384" t="b">
        <f t="shared" ca="1" si="136"/>
        <v>1</v>
      </c>
      <c r="B2215" s="384"/>
      <c r="C2215" s="393" t="str">
        <f ca="1">IF(COUNTA(O$1493:O2215)=1,"",OFFSET(B2213,-COUNTA(O$1493:O2215)+3,1))</f>
        <v>a16Dm000000LZbSIAW</v>
      </c>
      <c r="D2215" s="389"/>
      <c r="E2215" s="386" t="str">
        <f ca="1">IFERROR(IF(VLOOKUP(C2215,' Disaggregation - Section E '!A$618:J2541,7,0)="","",VLOOKUP(C2215,' Disaggregation - Section E '!A$618:J2541,7,0)*100),"")</f>
        <v/>
      </c>
      <c r="F2215" s="388" t="str">
        <f ca="1">IFERROR(VLOOKUP(C2215,' Disaggregation - Section E '!A$618:J2541,5,0),"")</f>
        <v>25+</v>
      </c>
      <c r="G2215" s="387">
        <f ca="1">IFERROR(IF(VLOOKUP(C2215,' Disaggregation - Section E '!A$618:J2541,6,0)="","",VLOOKUP(C2215,' Disaggregation - Section E '!A$618:J2541,6,0)),"")</f>
        <v>3304</v>
      </c>
      <c r="H2215" s="387" t="str">
        <f ca="1">IFERROR(IF(INDEX(' Disaggregation - Section E '!F$618:F2541,MATCH(C2215,' Disaggregation - Section E '!A$618:A2541,0)+1,1)&lt;&gt;0,INDEX(' Disaggregation - Section E '!F$618:F2541,MATCH(C2215,' Disaggregation - Section E '!A$618:A2541,0)+1,1),""),"")</f>
        <v/>
      </c>
      <c r="I2215" s="388">
        <f ca="1">IFERROR(IF(VLOOKUP(C2215,' Disaggregation - Section E '!A$618:J2541,8,0)=0,"",VLOOKUP(C2215,' Disaggregation - Section E '!A$618:J2541,8,0)),"")</f>
        <v>2022</v>
      </c>
      <c r="J2215" s="388" t="str">
        <f ca="1">IFERROR(IF(VLOOKUP(C2215,' Disaggregation - Section E '!A$618:J2541,9,0)="","",VLOOKUP(C2215,' Disaggregation - Section E '!A$618:J2541,9,0)),"")</f>
        <v>Admistrative report</v>
      </c>
      <c r="K2215" s="384" t="str">
        <f ca="1">IFERROR(VLOOKUP(C2215,' Disaggregation - Section E '!A$618:J2541,3,0),"")</f>
        <v>HTS-3c⁽ᴹ⁾ Percentage of sex workers that have received an HIV test during the reporting period in KP-specific programs and know their results</v>
      </c>
      <c r="L2215" s="384"/>
      <c r="M2215" s="384" t="str">
        <f ca="1">IFERROR(IF(VLOOKUP(C2215,' Disaggregation - Section E '!A$618:O1344,15,0)=0,"",VLOOKUP(C2215,' Disaggregation - Section E '!A$618:O1344,15,0)),"")</f>
        <v>IDR-01281</v>
      </c>
      <c r="N2215" s="388" t="str">
        <f ca="1">IFERROR(IF(VLOOKUP(C2215,' Disaggregation - Section E '!A$618:J2541,10,0)=0,"",VLOOKUP(C2215,' Disaggregation - Section E '!A$618:J2541,10,0)),"")</f>
        <v>The last IBBS among SWs is held in the country in 2022 with the technical support of the Global Fund in Bishkek and Osh. At the time of preparation of the application, there is no final report and estimate of the number of SWs by country and age groups.</v>
      </c>
      <c r="O2215" s="384"/>
    </row>
    <row r="2216" spans="1:15" x14ac:dyDescent="0.3">
      <c r="A2216" s="384" t="b">
        <f t="shared" ca="1" si="136"/>
        <v>1</v>
      </c>
      <c r="B2216" s="384"/>
      <c r="C2216" s="393" t="str">
        <f ca="1">IF(COUNTA(O$1493:O2216)=1,"",OFFSET(B2214,-COUNTA(O$1493:O2216)+3,1))</f>
        <v>a16Dm000000LZbTIAW</v>
      </c>
      <c r="D2216" s="389"/>
      <c r="E2216" s="386" t="str">
        <f ca="1">IFERROR(IF(VLOOKUP(C2216,' Disaggregation - Section E '!A$618:J2542,7,0)="","",VLOOKUP(C2216,' Disaggregation - Section E '!A$618:J2542,7,0)*100),"")</f>
        <v/>
      </c>
      <c r="F2216" s="388" t="str">
        <f ca="1">IFERROR(VLOOKUP(C2216,' Disaggregation - Section E '!A$618:J2542,5,0),"")</f>
        <v>20-24</v>
      </c>
      <c r="G2216" s="387">
        <f ca="1">IFERROR(IF(VLOOKUP(C2216,' Disaggregation - Section E '!A$618:J2542,6,0)="","",VLOOKUP(C2216,' Disaggregation - Section E '!A$618:J2542,6,0)),"")</f>
        <v>491</v>
      </c>
      <c r="H2216" s="387" t="str">
        <f ca="1">IFERROR(IF(INDEX(' Disaggregation - Section E '!F$618:F2542,MATCH(C2216,' Disaggregation - Section E '!A$618:A2542,0)+1,1)&lt;&gt;0,INDEX(' Disaggregation - Section E '!F$618:F2542,MATCH(C2216,' Disaggregation - Section E '!A$618:A2542,0)+1,1),""),"")</f>
        <v/>
      </c>
      <c r="I2216" s="388">
        <f ca="1">IFERROR(IF(VLOOKUP(C2216,' Disaggregation - Section E '!A$618:J2542,8,0)=0,"",VLOOKUP(C2216,' Disaggregation - Section E '!A$618:J2542,8,0)),"")</f>
        <v>2022</v>
      </c>
      <c r="J2216" s="388" t="str">
        <f ca="1">IFERROR(IF(VLOOKUP(C2216,' Disaggregation - Section E '!A$618:J2542,9,0)="","",VLOOKUP(C2216,' Disaggregation - Section E '!A$618:J2542,9,0)),"")</f>
        <v>Admistrative report</v>
      </c>
      <c r="K2216" s="384" t="str">
        <f ca="1">IFERROR(VLOOKUP(C2216,' Disaggregation - Section E '!A$618:J2542,3,0),"")</f>
        <v>HTS-3c⁽ᴹ⁾ Percentage of sex workers that have received an HIV test during the reporting period in KP-specific programs and know their results</v>
      </c>
      <c r="L2216" s="384"/>
      <c r="M2216" s="384" t="str">
        <f ca="1">IFERROR(IF(VLOOKUP(C2216,' Disaggregation - Section E '!A$618:O1345,15,0)=0,"",VLOOKUP(C2216,' Disaggregation - Section E '!A$618:O1345,15,0)),"")</f>
        <v>IDR-01280</v>
      </c>
      <c r="N2216" s="388" t="str">
        <f ca="1">IFERROR(IF(VLOOKUP(C2216,' Disaggregation - Section E '!A$618:J2542,10,0)=0,"",VLOOKUP(C2216,' Disaggregation - Section E '!A$618:J2542,10,0)),"")</f>
        <v>The last IBBS among SWs is held in the country in 2022 with the technical support of the Global Fund in Bishkek and Osh. At the time of preparation of the application, there is no final report and estimate of the number of SWs by country and age groups.</v>
      </c>
      <c r="O2216" s="384"/>
    </row>
    <row r="2217" spans="1:15" x14ac:dyDescent="0.3">
      <c r="A2217" s="384" t="b">
        <f t="shared" ca="1" si="136"/>
        <v>1</v>
      </c>
      <c r="B2217" s="384"/>
      <c r="C2217" s="393" t="str">
        <f ca="1">IF(COUNTA(O$1493:O2217)=1,"",OFFSET(B2215,-COUNTA(O$1493:O2217)+3,1))</f>
        <v>a16Dm000000LZbUIAW</v>
      </c>
      <c r="D2217" s="389"/>
      <c r="E2217" s="386" t="str">
        <f ca="1">IFERROR(IF(VLOOKUP(C2217,' Disaggregation - Section E '!A$618:J2543,7,0)="","",VLOOKUP(C2217,' Disaggregation - Section E '!A$618:J2543,7,0)*100),"")</f>
        <v/>
      </c>
      <c r="F2217" s="388" t="str">
        <f ca="1">IFERROR(VLOOKUP(C2217,' Disaggregation - Section E '!A$618:J2543,5,0),"")</f>
        <v>15-19</v>
      </c>
      <c r="G2217" s="387">
        <f ca="1">IFERROR(IF(VLOOKUP(C2217,' Disaggregation - Section E '!A$618:J2543,6,0)="","",VLOOKUP(C2217,' Disaggregation - Section E '!A$618:J2543,6,0)),"")</f>
        <v>48</v>
      </c>
      <c r="H2217" s="387" t="str">
        <f ca="1">IFERROR(IF(INDEX(' Disaggregation - Section E '!F$618:F2543,MATCH(C2217,' Disaggregation - Section E '!A$618:A2543,0)+1,1)&lt;&gt;0,INDEX(' Disaggregation - Section E '!F$618:F2543,MATCH(C2217,' Disaggregation - Section E '!A$618:A2543,0)+1,1),""),"")</f>
        <v/>
      </c>
      <c r="I2217" s="388">
        <f ca="1">IFERROR(IF(VLOOKUP(C2217,' Disaggregation - Section E '!A$618:J2543,8,0)=0,"",VLOOKUP(C2217,' Disaggregation - Section E '!A$618:J2543,8,0)),"")</f>
        <v>2022</v>
      </c>
      <c r="J2217" s="388" t="str">
        <f ca="1">IFERROR(IF(VLOOKUP(C2217,' Disaggregation - Section E '!A$618:J2543,9,0)="","",VLOOKUP(C2217,' Disaggregation - Section E '!A$618:J2543,9,0)),"")</f>
        <v>Admistrative report</v>
      </c>
      <c r="K2217" s="384" t="str">
        <f ca="1">IFERROR(VLOOKUP(C2217,' Disaggregation - Section E '!A$618:J2543,3,0),"")</f>
        <v>HTS-3c⁽ᴹ⁾ Percentage of sex workers that have received an HIV test during the reporting period in KP-specific programs and know their results</v>
      </c>
      <c r="L2217" s="384"/>
      <c r="M2217" s="384" t="str">
        <f ca="1">IFERROR(IF(VLOOKUP(C2217,' Disaggregation - Section E '!A$618:O1346,15,0)=0,"",VLOOKUP(C2217,' Disaggregation - Section E '!A$618:O1346,15,0)),"")</f>
        <v>IDR-01279</v>
      </c>
      <c r="N2217" s="388" t="str">
        <f ca="1">IFERROR(IF(VLOOKUP(C2217,' Disaggregation - Section E '!A$618:J2543,10,0)=0,"",VLOOKUP(C2217,' Disaggregation - Section E '!A$618:J2543,10,0)),"")</f>
        <v>The last IBBS among SWs is held in the country in 2022 with the technical support of the Global Fund in Bishkek and Osh. At the time of preparation of the application, there is no final report and estimate of the number of SWs by country and age groups.</v>
      </c>
      <c r="O2217" s="384"/>
    </row>
    <row r="2218" spans="1:15" x14ac:dyDescent="0.3">
      <c r="A2218" s="384" t="b">
        <f t="shared" ca="1" si="136"/>
        <v>1</v>
      </c>
      <c r="B2218" s="384"/>
      <c r="C2218" s="393" t="str">
        <f ca="1">IF(COUNTA(O$1493:O2218)=1,"",OFFSET(B2216,-COUNTA(O$1493:O2218)+3,1))</f>
        <v>a16Dm000000LZbVIAW</v>
      </c>
      <c r="D2218" s="389"/>
      <c r="E2218" s="386" t="str">
        <f ca="1">IFERROR(IF(VLOOKUP(C2218,' Disaggregation - Section E '!A$618:J2544,7,0)="","",VLOOKUP(C2218,' Disaggregation - Section E '!A$618:J2544,7,0)*100),"")</f>
        <v/>
      </c>
      <c r="F2218" s="388" t="str">
        <f ca="1">IFERROR(VLOOKUP(C2218,' Disaggregation - Section E '!A$618:J2544,5,0),"")</f>
        <v>Transgender</v>
      </c>
      <c r="G2218" s="387">
        <f ca="1">IFERROR(IF(VLOOKUP(C2218,' Disaggregation - Section E '!A$618:J2544,6,0)="","",VLOOKUP(C2218,' Disaggregation - Section E '!A$618:J2544,6,0)),"")</f>
        <v>10</v>
      </c>
      <c r="H2218" s="387" t="str">
        <f ca="1">IFERROR(IF(INDEX(' Disaggregation - Section E '!F$618:F2544,MATCH(C2218,' Disaggregation - Section E '!A$618:A2544,0)+1,1)&lt;&gt;0,INDEX(' Disaggregation - Section E '!F$618:F2544,MATCH(C2218,' Disaggregation - Section E '!A$618:A2544,0)+1,1),""),"")</f>
        <v/>
      </c>
      <c r="I2218" s="388">
        <f ca="1">IFERROR(IF(VLOOKUP(C2218,' Disaggregation - Section E '!A$618:J2544,8,0)=0,"",VLOOKUP(C2218,' Disaggregation - Section E '!A$618:J2544,8,0)),"")</f>
        <v>2022</v>
      </c>
      <c r="J2218" s="388" t="str">
        <f ca="1">IFERROR(IF(VLOOKUP(C2218,' Disaggregation - Section E '!A$618:J2544,9,0)="","",VLOOKUP(C2218,' Disaggregation - Section E '!A$618:J2544,9,0)),"")</f>
        <v>Admistrative report</v>
      </c>
      <c r="K2218" s="384" t="str">
        <f ca="1">IFERROR(VLOOKUP(C2218,' Disaggregation - Section E '!A$618:J2544,3,0),"")</f>
        <v>HTS-3c⁽ᴹ⁾ Percentage of sex workers that have received an HIV test during the reporting period in KP-specific programs and know their results</v>
      </c>
      <c r="L2218" s="384"/>
      <c r="M2218" s="384" t="str">
        <f ca="1">IFERROR(IF(VLOOKUP(C2218,' Disaggregation - Section E '!A$618:O1347,15,0)=0,"",VLOOKUP(C2218,' Disaggregation - Section E '!A$618:O1347,15,0)),"")</f>
        <v>IDR-01278</v>
      </c>
      <c r="N2218" s="388" t="str">
        <f ca="1">IFERROR(IF(VLOOKUP(C2218,' Disaggregation - Section E '!A$618:J2544,10,0)=0,"",VLOOKUP(C2218,' Disaggregation - Section E '!A$618:J2544,10,0)),"")</f>
        <v>The last IBBS among SWs is held in the country in 2022 with the technical support of the Global Fund in Bishkek and Osh. At the time of preparation of the application, there is no final report and estimate of the number of SWs by country and age groups.</v>
      </c>
      <c r="O2218" s="384"/>
    </row>
    <row r="2219" spans="1:15" x14ac:dyDescent="0.3">
      <c r="A2219" s="384" t="b">
        <f t="shared" ca="1" si="136"/>
        <v>1</v>
      </c>
      <c r="B2219" s="384"/>
      <c r="C2219" s="393" t="str">
        <f ca="1">IF(COUNTA(O$1493:O2219)=1,"",OFFSET(B2217,-COUNTA(O$1493:O2219)+3,1))</f>
        <v>a16Dm000000LZbWIAW</v>
      </c>
      <c r="D2219" s="389"/>
      <c r="E2219" s="386" t="str">
        <f ca="1">IFERROR(IF(VLOOKUP(C2219,' Disaggregation - Section E '!A$618:J2545,7,0)="","",VLOOKUP(C2219,' Disaggregation - Section E '!A$618:J2545,7,0)*100),"")</f>
        <v/>
      </c>
      <c r="F2219" s="388" t="str">
        <f ca="1">IFERROR(VLOOKUP(C2219,' Disaggregation - Section E '!A$618:J2545,5,0),"")</f>
        <v>Male</v>
      </c>
      <c r="G2219" s="387">
        <f ca="1">IFERROR(IF(VLOOKUP(C2219,' Disaggregation - Section E '!A$618:J2545,6,0)="","",VLOOKUP(C2219,' Disaggregation - Section E '!A$618:J2545,6,0)),"")</f>
        <v>17</v>
      </c>
      <c r="H2219" s="387" t="str">
        <f ca="1">IFERROR(IF(INDEX(' Disaggregation - Section E '!F$618:F2545,MATCH(C2219,' Disaggregation - Section E '!A$618:A2545,0)+1,1)&lt;&gt;0,INDEX(' Disaggregation - Section E '!F$618:F2545,MATCH(C2219,' Disaggregation - Section E '!A$618:A2545,0)+1,1),""),"")</f>
        <v/>
      </c>
      <c r="I2219" s="388">
        <f ca="1">IFERROR(IF(VLOOKUP(C2219,' Disaggregation - Section E '!A$618:J2545,8,0)=0,"",VLOOKUP(C2219,' Disaggregation - Section E '!A$618:J2545,8,0)),"")</f>
        <v>2022</v>
      </c>
      <c r="J2219" s="388" t="str">
        <f ca="1">IFERROR(IF(VLOOKUP(C2219,' Disaggregation - Section E '!A$618:J2545,9,0)="","",VLOOKUP(C2219,' Disaggregation - Section E '!A$618:J2545,9,0)),"")</f>
        <v>Admistrative report</v>
      </c>
      <c r="K2219" s="384" t="str">
        <f ca="1">IFERROR(VLOOKUP(C2219,' Disaggregation - Section E '!A$618:J2545,3,0),"")</f>
        <v>HTS-3c⁽ᴹ⁾ Percentage of sex workers that have received an HIV test during the reporting period in KP-specific programs and know their results</v>
      </c>
      <c r="L2219" s="384"/>
      <c r="M2219" s="384" t="str">
        <f ca="1">IFERROR(IF(VLOOKUP(C2219,' Disaggregation - Section E '!A$618:O1348,15,0)=0,"",VLOOKUP(C2219,' Disaggregation - Section E '!A$618:O1348,15,0)),"")</f>
        <v>IDR-01277</v>
      </c>
      <c r="N2219" s="388" t="str">
        <f ca="1">IFERROR(IF(VLOOKUP(C2219,' Disaggregation - Section E '!A$618:J2545,10,0)=0,"",VLOOKUP(C2219,' Disaggregation - Section E '!A$618:J2545,10,0)),"")</f>
        <v>The last IBBS among SWs is held in the country in 2022 with the technical support of the Global Fund in Bishkek and Osh. At the time of preparation of the application, there is no final report and estimate of the number of SWs by country and age groups.</v>
      </c>
      <c r="O2219" s="384"/>
    </row>
    <row r="2220" spans="1:15" x14ac:dyDescent="0.3">
      <c r="A2220" s="384" t="b">
        <f t="shared" ca="1" si="136"/>
        <v>1</v>
      </c>
      <c r="B2220" s="384"/>
      <c r="C2220" s="393" t="str">
        <f ca="1">IF(COUNTA(O$1493:O2220)=1,"",OFFSET(B2218,-COUNTA(O$1493:O2220)+3,1))</f>
        <v>a16Dm000000LZbXIAW</v>
      </c>
      <c r="D2220" s="389"/>
      <c r="E2220" s="386" t="str">
        <f ca="1">IFERROR(IF(VLOOKUP(C2220,' Disaggregation - Section E '!A$618:J2546,7,0)="","",VLOOKUP(C2220,' Disaggregation - Section E '!A$618:J2546,7,0)*100),"")</f>
        <v/>
      </c>
      <c r="F2220" s="388" t="str">
        <f ca="1">IFERROR(VLOOKUP(C2220,' Disaggregation - Section E '!A$618:J2546,5,0),"")</f>
        <v>Female</v>
      </c>
      <c r="G2220" s="387">
        <f ca="1">IFERROR(IF(VLOOKUP(C2220,' Disaggregation - Section E '!A$618:J2546,6,0)="","",VLOOKUP(C2220,' Disaggregation - Section E '!A$618:J2546,6,0)),"")</f>
        <v>3816</v>
      </c>
      <c r="H2220" s="387" t="str">
        <f ca="1">IFERROR(IF(INDEX(' Disaggregation - Section E '!F$618:F2546,MATCH(C2220,' Disaggregation - Section E '!A$618:A2546,0)+1,1)&lt;&gt;0,INDEX(' Disaggregation - Section E '!F$618:F2546,MATCH(C2220,' Disaggregation - Section E '!A$618:A2546,0)+1,1),""),"")</f>
        <v/>
      </c>
      <c r="I2220" s="388">
        <f ca="1">IFERROR(IF(VLOOKUP(C2220,' Disaggregation - Section E '!A$618:J2546,8,0)=0,"",VLOOKUP(C2220,' Disaggregation - Section E '!A$618:J2546,8,0)),"")</f>
        <v>2022</v>
      </c>
      <c r="J2220" s="388" t="str">
        <f ca="1">IFERROR(IF(VLOOKUP(C2220,' Disaggregation - Section E '!A$618:J2546,9,0)="","",VLOOKUP(C2220,' Disaggregation - Section E '!A$618:J2546,9,0)),"")</f>
        <v>Admistrative report</v>
      </c>
      <c r="K2220" s="384" t="str">
        <f ca="1">IFERROR(VLOOKUP(C2220,' Disaggregation - Section E '!A$618:J2546,3,0),"")</f>
        <v>HTS-3c⁽ᴹ⁾ Percentage of sex workers that have received an HIV test during the reporting period in KP-specific programs and know their results</v>
      </c>
      <c r="L2220" s="384"/>
      <c r="M2220" s="384" t="str">
        <f ca="1">IFERROR(IF(VLOOKUP(C2220,' Disaggregation - Section E '!A$618:O1349,15,0)=0,"",VLOOKUP(C2220,' Disaggregation - Section E '!A$618:O1349,15,0)),"")</f>
        <v>IDR-01276</v>
      </c>
      <c r="N2220" s="388" t="str">
        <f ca="1">IFERROR(IF(VLOOKUP(C2220,' Disaggregation - Section E '!A$618:J2546,10,0)=0,"",VLOOKUP(C2220,' Disaggregation - Section E '!A$618:J2546,10,0)),"")</f>
        <v>The last IBBS among SWs is held in the country in 2022 with the technical support of the Global Fund in Bishkek and Osh. At the time of preparation of the application, there is no final report and estimate of the number of SWs by country and age groups.</v>
      </c>
      <c r="O2220" s="384"/>
    </row>
    <row r="2221" spans="1:15" x14ac:dyDescent="0.3">
      <c r="A2221" s="384" t="b">
        <f t="shared" ca="1" si="136"/>
        <v>0</v>
      </c>
      <c r="B2221" s="384"/>
      <c r="C2221" s="393" t="str">
        <f ca="1">IF(COUNTA(O$1493:O2221)=1,"",OFFSET(B2219,-COUNTA(O$1493:O2221)+3,1))</f>
        <v>a16Dm000000LZbYIAW</v>
      </c>
      <c r="D2221" s="389"/>
      <c r="E2221" s="386" t="str">
        <f ca="1">IFERROR(IF(VLOOKUP(C2221,' Disaggregation - Section E '!A$618:J2547,7,0)="","",VLOOKUP(C2221,' Disaggregation - Section E '!A$618:J2547,7,0)*100),"")</f>
        <v/>
      </c>
      <c r="F2221" s="388" t="str">
        <f ca="1">IFERROR(VLOOKUP(C2221,' Disaggregation - Section E '!A$618:J2547,5,0),"")</f>
        <v/>
      </c>
      <c r="G2221" s="387" t="str">
        <f ca="1">IFERROR(IF(VLOOKUP(C2221,' Disaggregation - Section E '!A$618:J2547,6,0)="","",VLOOKUP(C2221,' Disaggregation - Section E '!A$618:J2547,6,0)),"")</f>
        <v/>
      </c>
      <c r="H2221" s="387" t="str">
        <f ca="1">IFERROR(IF(INDEX(' Disaggregation - Section E '!F$618:F2547,MATCH(C2221,' Disaggregation - Section E '!A$618:A2547,0)+1,1)&lt;&gt;0,INDEX(' Disaggregation - Section E '!F$618:F2547,MATCH(C2221,' Disaggregation - Section E '!A$618:A2547,0)+1,1),""),"")</f>
        <v/>
      </c>
      <c r="I2221" s="388" t="str">
        <f ca="1">IFERROR(IF(VLOOKUP(C2221,' Disaggregation - Section E '!A$618:J2547,8,0)=0,"",VLOOKUP(C2221,' Disaggregation - Section E '!A$618:J2547,8,0)),"")</f>
        <v/>
      </c>
      <c r="J2221" s="388" t="str">
        <f ca="1">IFERROR(IF(VLOOKUP(C2221,' Disaggregation - Section E '!A$618:J2547,9,0)="","",VLOOKUP(C2221,' Disaggregation - Section E '!A$618:J2547,9,0)),"")</f>
        <v/>
      </c>
      <c r="K2221" s="384" t="str">
        <f ca="1">IFERROR(VLOOKUP(C2221,' Disaggregation - Section E '!A$618:J2547,3,0),"")</f>
        <v>HTS-3c⁽ᴹ⁾ Percentage of sex workers that have received an HIV test during the reporting period in KP-specific programs and know their results</v>
      </c>
      <c r="L2221" s="384"/>
      <c r="M2221" s="384" t="str">
        <f ca="1">IFERROR(IF(VLOOKUP(C2221,' Disaggregation - Section E '!A$618:O1350,15,0)=0,"",VLOOKUP(C2221,' Disaggregation - Section E '!A$618:O1350,15,0)),"")</f>
        <v/>
      </c>
      <c r="N2221" s="388" t="str">
        <f ca="1">IFERROR(IF(VLOOKUP(C2221,' Disaggregation - Section E '!A$618:J2547,10,0)=0,"",VLOOKUP(C2221,' Disaggregation - Section E '!A$618:J2547,10,0)),"")</f>
        <v/>
      </c>
      <c r="O2221" s="384"/>
    </row>
    <row r="2222" spans="1:15" x14ac:dyDescent="0.3">
      <c r="A2222" s="384" t="b">
        <f t="shared" ca="1" si="136"/>
        <v>0</v>
      </c>
      <c r="B2222" s="384"/>
      <c r="C2222" s="393" t="str">
        <f ca="1">IF(COUNTA(O$1493:O2222)=1,"",OFFSET(B2220,-COUNTA(O$1493:O2222)+3,1))</f>
        <v>a16Dm000000LZbZIAW</v>
      </c>
      <c r="D2222" s="389"/>
      <c r="E2222" s="386" t="str">
        <f ca="1">IFERROR(IF(VLOOKUP(C2222,' Disaggregation - Section E '!A$618:J2548,7,0)="","",VLOOKUP(C2222,' Disaggregation - Section E '!A$618:J2548,7,0)*100),"")</f>
        <v/>
      </c>
      <c r="F2222" s="388" t="str">
        <f ca="1">IFERROR(VLOOKUP(C2222,' Disaggregation - Section E '!A$618:J2548,5,0),"")</f>
        <v/>
      </c>
      <c r="G2222" s="387" t="str">
        <f ca="1">IFERROR(IF(VLOOKUP(C2222,' Disaggregation - Section E '!A$618:J2548,6,0)="","",VLOOKUP(C2222,' Disaggregation - Section E '!A$618:J2548,6,0)),"")</f>
        <v/>
      </c>
      <c r="H2222" s="387" t="str">
        <f ca="1">IFERROR(IF(INDEX(' Disaggregation - Section E '!F$618:F2548,MATCH(C2222,' Disaggregation - Section E '!A$618:A2548,0)+1,1)&lt;&gt;0,INDEX(' Disaggregation - Section E '!F$618:F2548,MATCH(C2222,' Disaggregation - Section E '!A$618:A2548,0)+1,1),""),"")</f>
        <v/>
      </c>
      <c r="I2222" s="388" t="str">
        <f ca="1">IFERROR(IF(VLOOKUP(C2222,' Disaggregation - Section E '!A$618:J2548,8,0)=0,"",VLOOKUP(C2222,' Disaggregation - Section E '!A$618:J2548,8,0)),"")</f>
        <v/>
      </c>
      <c r="J2222" s="388" t="str">
        <f ca="1">IFERROR(IF(VLOOKUP(C2222,' Disaggregation - Section E '!A$618:J2548,9,0)="","",VLOOKUP(C2222,' Disaggregation - Section E '!A$618:J2548,9,0)),"")</f>
        <v/>
      </c>
      <c r="K2222" s="384" t="str">
        <f ca="1">IFERROR(VLOOKUP(C2222,' Disaggregation - Section E '!A$618:J2548,3,0),"")</f>
        <v>HTS-3c⁽ᴹ⁾ Percentage of sex workers that have received an HIV test during the reporting period in KP-specific programs and know their results</v>
      </c>
      <c r="L2222" s="384"/>
      <c r="M2222" s="384" t="str">
        <f ca="1">IFERROR(IF(VLOOKUP(C2222,' Disaggregation - Section E '!A$618:O1351,15,0)=0,"",VLOOKUP(C2222,' Disaggregation - Section E '!A$618:O1351,15,0)),"")</f>
        <v/>
      </c>
      <c r="N2222" s="388" t="str">
        <f ca="1">IFERROR(IF(VLOOKUP(C2222,' Disaggregation - Section E '!A$618:J2548,10,0)=0,"",VLOOKUP(C2222,' Disaggregation - Section E '!A$618:J2548,10,0)),"")</f>
        <v/>
      </c>
      <c r="O2222" s="384"/>
    </row>
    <row r="2223" spans="1:15" x14ac:dyDescent="0.3">
      <c r="A2223" s="384" t="b">
        <f t="shared" ref="A2223:A2286" ca="1" si="137">IF(M2223&lt;&gt;"",TRUE,FALSE)</f>
        <v>0</v>
      </c>
      <c r="B2223" s="384"/>
      <c r="C2223" s="393" t="str">
        <f ca="1">IF(COUNTA(O$1493:O2223)=1,"",OFFSET(B2221,-COUNTA(O$1493:O2223)+3,1))</f>
        <v>a16Dm000000LZbaIAG</v>
      </c>
      <c r="D2223" s="389"/>
      <c r="E2223" s="386" t="str">
        <f ca="1">IFERROR(IF(VLOOKUP(C2223,' Disaggregation - Section E '!A$618:J2549,7,0)="","",VLOOKUP(C2223,' Disaggregation - Section E '!A$618:J2549,7,0)*100),"")</f>
        <v/>
      </c>
      <c r="F2223" s="388" t="str">
        <f ca="1">IFERROR(VLOOKUP(C2223,' Disaggregation - Section E '!A$618:J2549,5,0),"")</f>
        <v/>
      </c>
      <c r="G2223" s="387" t="str">
        <f ca="1">IFERROR(IF(VLOOKUP(C2223,' Disaggregation - Section E '!A$618:J2549,6,0)="","",VLOOKUP(C2223,' Disaggregation - Section E '!A$618:J2549,6,0)),"")</f>
        <v/>
      </c>
      <c r="H2223" s="387" t="str">
        <f ca="1">IFERROR(IF(INDEX(' Disaggregation - Section E '!F$618:F2549,MATCH(C2223,' Disaggregation - Section E '!A$618:A2549,0)+1,1)&lt;&gt;0,INDEX(' Disaggregation - Section E '!F$618:F2549,MATCH(C2223,' Disaggregation - Section E '!A$618:A2549,0)+1,1),""),"")</f>
        <v/>
      </c>
      <c r="I2223" s="388" t="str">
        <f ca="1">IFERROR(IF(VLOOKUP(C2223,' Disaggregation - Section E '!A$618:J2549,8,0)=0,"",VLOOKUP(C2223,' Disaggregation - Section E '!A$618:J2549,8,0)),"")</f>
        <v/>
      </c>
      <c r="J2223" s="388" t="str">
        <f ca="1">IFERROR(IF(VLOOKUP(C2223,' Disaggregation - Section E '!A$618:J2549,9,0)="","",VLOOKUP(C2223,' Disaggregation - Section E '!A$618:J2549,9,0)),"")</f>
        <v/>
      </c>
      <c r="K2223" s="384" t="str">
        <f ca="1">IFERROR(VLOOKUP(C2223,' Disaggregation - Section E '!A$618:J2549,3,0),"")</f>
        <v>HTS-3c⁽ᴹ⁾ Percentage of sex workers that have received an HIV test during the reporting period in KP-specific programs and know their results</v>
      </c>
      <c r="L2223" s="384"/>
      <c r="M2223" s="384" t="str">
        <f ca="1">IFERROR(IF(VLOOKUP(C2223,' Disaggregation - Section E '!A$618:O1352,15,0)=0,"",VLOOKUP(C2223,' Disaggregation - Section E '!A$618:O1352,15,0)),"")</f>
        <v/>
      </c>
      <c r="N2223" s="388" t="str">
        <f ca="1">IFERROR(IF(VLOOKUP(C2223,' Disaggregation - Section E '!A$618:J2549,10,0)=0,"",VLOOKUP(C2223,' Disaggregation - Section E '!A$618:J2549,10,0)),"")</f>
        <v/>
      </c>
      <c r="O2223" s="384"/>
    </row>
    <row r="2224" spans="1:15" x14ac:dyDescent="0.3">
      <c r="A2224" s="384" t="b">
        <f t="shared" ca="1" si="137"/>
        <v>0</v>
      </c>
      <c r="B2224" s="384"/>
      <c r="C2224" s="393" t="str">
        <f ca="1">IF(COUNTA(O$1493:O2224)=1,"",OFFSET(B2222,-COUNTA(O$1493:O2224)+3,1))</f>
        <v>a16Dm000000LZbbIAG</v>
      </c>
      <c r="D2224" s="389"/>
      <c r="E2224" s="386" t="str">
        <f ca="1">IFERROR(IF(VLOOKUP(C2224,' Disaggregation - Section E '!A$618:J2550,7,0)="","",VLOOKUP(C2224,' Disaggregation - Section E '!A$618:J2550,7,0)*100),"")</f>
        <v/>
      </c>
      <c r="F2224" s="388" t="str">
        <f ca="1">IFERROR(VLOOKUP(C2224,' Disaggregation - Section E '!A$618:J2550,5,0),"")</f>
        <v/>
      </c>
      <c r="G2224" s="387" t="str">
        <f ca="1">IFERROR(IF(VLOOKUP(C2224,' Disaggregation - Section E '!A$618:J2550,6,0)="","",VLOOKUP(C2224,' Disaggregation - Section E '!A$618:J2550,6,0)),"")</f>
        <v/>
      </c>
      <c r="H2224" s="387" t="str">
        <f ca="1">IFERROR(IF(INDEX(' Disaggregation - Section E '!F$618:F2550,MATCH(C2224,' Disaggregation - Section E '!A$618:A2550,0)+1,1)&lt;&gt;0,INDEX(' Disaggregation - Section E '!F$618:F2550,MATCH(C2224,' Disaggregation - Section E '!A$618:A2550,0)+1,1),""),"")</f>
        <v/>
      </c>
      <c r="I2224" s="388" t="str">
        <f ca="1">IFERROR(IF(VLOOKUP(C2224,' Disaggregation - Section E '!A$618:J2550,8,0)=0,"",VLOOKUP(C2224,' Disaggregation - Section E '!A$618:J2550,8,0)),"")</f>
        <v/>
      </c>
      <c r="J2224" s="388" t="str">
        <f ca="1">IFERROR(IF(VLOOKUP(C2224,' Disaggregation - Section E '!A$618:J2550,9,0)="","",VLOOKUP(C2224,' Disaggregation - Section E '!A$618:J2550,9,0)),"")</f>
        <v/>
      </c>
      <c r="K2224" s="384" t="str">
        <f ca="1">IFERROR(VLOOKUP(C2224,' Disaggregation - Section E '!A$618:J2550,3,0),"")</f>
        <v>HTS-3c⁽ᴹ⁾ Percentage of sex workers that have received an HIV test during the reporting period in KP-specific programs and know their results</v>
      </c>
      <c r="L2224" s="384"/>
      <c r="M2224" s="384" t="str">
        <f ca="1">IFERROR(IF(VLOOKUP(C2224,' Disaggregation - Section E '!A$618:O1353,15,0)=0,"",VLOOKUP(C2224,' Disaggregation - Section E '!A$618:O1353,15,0)),"")</f>
        <v/>
      </c>
      <c r="N2224" s="388" t="str">
        <f ca="1">IFERROR(IF(VLOOKUP(C2224,' Disaggregation - Section E '!A$618:J2550,10,0)=0,"",VLOOKUP(C2224,' Disaggregation - Section E '!A$618:J2550,10,0)),"")</f>
        <v/>
      </c>
      <c r="O2224" s="384"/>
    </row>
    <row r="2225" spans="1:15" x14ac:dyDescent="0.3">
      <c r="A2225" s="384" t="b">
        <f t="shared" ca="1" si="137"/>
        <v>0</v>
      </c>
      <c r="B2225" s="384"/>
      <c r="C2225" s="393" t="str">
        <f ca="1">IF(COUNTA(O$1493:O2225)=1,"",OFFSET(B2223,-COUNTA(O$1493:O2225)+3,1))</f>
        <v>a16Dm000000LZbcIAG</v>
      </c>
      <c r="D2225" s="389"/>
      <c r="E2225" s="386" t="str">
        <f ca="1">IFERROR(IF(VLOOKUP(C2225,' Disaggregation - Section E '!A$618:J2551,7,0)="","",VLOOKUP(C2225,' Disaggregation - Section E '!A$618:J2551,7,0)*100),"")</f>
        <v/>
      </c>
      <c r="F2225" s="388" t="str">
        <f ca="1">IFERROR(VLOOKUP(C2225,' Disaggregation - Section E '!A$618:J2551,5,0),"")</f>
        <v/>
      </c>
      <c r="G2225" s="387" t="str">
        <f ca="1">IFERROR(IF(VLOOKUP(C2225,' Disaggregation - Section E '!A$618:J2551,6,0)="","",VLOOKUP(C2225,' Disaggregation - Section E '!A$618:J2551,6,0)),"")</f>
        <v/>
      </c>
      <c r="H2225" s="387" t="str">
        <f ca="1">IFERROR(IF(INDEX(' Disaggregation - Section E '!F$618:F2551,MATCH(C2225,' Disaggregation - Section E '!A$618:A2551,0)+1,1)&lt;&gt;0,INDEX(' Disaggregation - Section E '!F$618:F2551,MATCH(C2225,' Disaggregation - Section E '!A$618:A2551,0)+1,1),""),"")</f>
        <v/>
      </c>
      <c r="I2225" s="388" t="str">
        <f ca="1">IFERROR(IF(VLOOKUP(C2225,' Disaggregation - Section E '!A$618:J2551,8,0)=0,"",VLOOKUP(C2225,' Disaggregation - Section E '!A$618:J2551,8,0)),"")</f>
        <v/>
      </c>
      <c r="J2225" s="388" t="str">
        <f ca="1">IFERROR(IF(VLOOKUP(C2225,' Disaggregation - Section E '!A$618:J2551,9,0)="","",VLOOKUP(C2225,' Disaggregation - Section E '!A$618:J2551,9,0)),"")</f>
        <v/>
      </c>
      <c r="K2225" s="384" t="str">
        <f ca="1">IFERROR(VLOOKUP(C2225,' Disaggregation - Section E '!A$618:J2551,3,0),"")</f>
        <v>HTS-3c⁽ᴹ⁾ Percentage of sex workers that have received an HIV test during the reporting period in KP-specific programs and know their results</v>
      </c>
      <c r="L2225" s="384"/>
      <c r="M2225" s="384" t="str">
        <f ca="1">IFERROR(IF(VLOOKUP(C2225,' Disaggregation - Section E '!A$618:O1354,15,0)=0,"",VLOOKUP(C2225,' Disaggregation - Section E '!A$618:O1354,15,0)),"")</f>
        <v/>
      </c>
      <c r="N2225" s="388" t="str">
        <f ca="1">IFERROR(IF(VLOOKUP(C2225,' Disaggregation - Section E '!A$618:J2551,10,0)=0,"",VLOOKUP(C2225,' Disaggregation - Section E '!A$618:J2551,10,0)),"")</f>
        <v/>
      </c>
      <c r="O2225" s="384"/>
    </row>
    <row r="2226" spans="1:15" x14ac:dyDescent="0.3">
      <c r="A2226" s="384" t="b">
        <f t="shared" ca="1" si="137"/>
        <v>0</v>
      </c>
      <c r="B2226" s="384"/>
      <c r="C2226" s="393" t="str">
        <f ca="1">IF(COUNTA(O$1493:O2226)=1,"",OFFSET(B2224,-COUNTA(O$1493:O2226)+3,1))</f>
        <v>a16Dm000000LZbdIAG</v>
      </c>
      <c r="D2226" s="389"/>
      <c r="E2226" s="386" t="str">
        <f ca="1">IFERROR(IF(VLOOKUP(C2226,' Disaggregation - Section E '!A$618:J2552,7,0)="","",VLOOKUP(C2226,' Disaggregation - Section E '!A$618:J2552,7,0)*100),"")</f>
        <v/>
      </c>
      <c r="F2226" s="388" t="str">
        <f ca="1">IFERROR(VLOOKUP(C2226,' Disaggregation - Section E '!A$618:J2552,5,0),"")</f>
        <v/>
      </c>
      <c r="G2226" s="387" t="str">
        <f ca="1">IFERROR(IF(VLOOKUP(C2226,' Disaggregation - Section E '!A$618:J2552,6,0)="","",VLOOKUP(C2226,' Disaggregation - Section E '!A$618:J2552,6,0)),"")</f>
        <v/>
      </c>
      <c r="H2226" s="387" t="str">
        <f ca="1">IFERROR(IF(INDEX(' Disaggregation - Section E '!F$618:F2552,MATCH(C2226,' Disaggregation - Section E '!A$618:A2552,0)+1,1)&lt;&gt;0,INDEX(' Disaggregation - Section E '!F$618:F2552,MATCH(C2226,' Disaggregation - Section E '!A$618:A2552,0)+1,1),""),"")</f>
        <v/>
      </c>
      <c r="I2226" s="388" t="str">
        <f ca="1">IFERROR(IF(VLOOKUP(C2226,' Disaggregation - Section E '!A$618:J2552,8,0)=0,"",VLOOKUP(C2226,' Disaggregation - Section E '!A$618:J2552,8,0)),"")</f>
        <v/>
      </c>
      <c r="J2226" s="388" t="str">
        <f ca="1">IFERROR(IF(VLOOKUP(C2226,' Disaggregation - Section E '!A$618:J2552,9,0)="","",VLOOKUP(C2226,' Disaggregation - Section E '!A$618:J2552,9,0)),"")</f>
        <v/>
      </c>
      <c r="K2226" s="384" t="str">
        <f ca="1">IFERROR(VLOOKUP(C2226,' Disaggregation - Section E '!A$618:J2552,3,0),"")</f>
        <v>HTS-3c⁽ᴹ⁾ Percentage of sex workers that have received an HIV test during the reporting period in KP-specific programs and know their results</v>
      </c>
      <c r="L2226" s="384"/>
      <c r="M2226" s="384" t="str">
        <f ca="1">IFERROR(IF(VLOOKUP(C2226,' Disaggregation - Section E '!A$618:O1355,15,0)=0,"",VLOOKUP(C2226,' Disaggregation - Section E '!A$618:O1355,15,0)),"")</f>
        <v/>
      </c>
      <c r="N2226" s="388" t="str">
        <f ca="1">IFERROR(IF(VLOOKUP(C2226,' Disaggregation - Section E '!A$618:J2552,10,0)=0,"",VLOOKUP(C2226,' Disaggregation - Section E '!A$618:J2552,10,0)),"")</f>
        <v/>
      </c>
      <c r="O2226" s="384"/>
    </row>
    <row r="2227" spans="1:15" x14ac:dyDescent="0.3">
      <c r="A2227" s="384" t="b">
        <f t="shared" ca="1" si="137"/>
        <v>0</v>
      </c>
      <c r="B2227" s="384"/>
      <c r="C2227" s="393" t="str">
        <f ca="1">IF(COUNTA(O$1493:O2227)=1,"",OFFSET(B2225,-COUNTA(O$1493:O2227)+3,1))</f>
        <v>a16Dm000000LZbeIAG</v>
      </c>
      <c r="D2227" s="389"/>
      <c r="E2227" s="386" t="str">
        <f ca="1">IFERROR(IF(VLOOKUP(C2227,' Disaggregation - Section E '!A$618:J2553,7,0)="","",VLOOKUP(C2227,' Disaggregation - Section E '!A$618:J2553,7,0)*100),"")</f>
        <v/>
      </c>
      <c r="F2227" s="388" t="str">
        <f ca="1">IFERROR(VLOOKUP(C2227,' Disaggregation - Section E '!A$618:J2553,5,0),"")</f>
        <v/>
      </c>
      <c r="G2227" s="387" t="str">
        <f ca="1">IFERROR(IF(VLOOKUP(C2227,' Disaggregation - Section E '!A$618:J2553,6,0)="","",VLOOKUP(C2227,' Disaggregation - Section E '!A$618:J2553,6,0)),"")</f>
        <v/>
      </c>
      <c r="H2227" s="387" t="str">
        <f ca="1">IFERROR(IF(INDEX(' Disaggregation - Section E '!F$618:F2553,MATCH(C2227,' Disaggregation - Section E '!A$618:A2553,0)+1,1)&lt;&gt;0,INDEX(' Disaggregation - Section E '!F$618:F2553,MATCH(C2227,' Disaggregation - Section E '!A$618:A2553,0)+1,1),""),"")</f>
        <v/>
      </c>
      <c r="I2227" s="388" t="str">
        <f ca="1">IFERROR(IF(VLOOKUP(C2227,' Disaggregation - Section E '!A$618:J2553,8,0)=0,"",VLOOKUP(C2227,' Disaggregation - Section E '!A$618:J2553,8,0)),"")</f>
        <v/>
      </c>
      <c r="J2227" s="388" t="str">
        <f ca="1">IFERROR(IF(VLOOKUP(C2227,' Disaggregation - Section E '!A$618:J2553,9,0)="","",VLOOKUP(C2227,' Disaggregation - Section E '!A$618:J2553,9,0)),"")</f>
        <v/>
      </c>
      <c r="K2227" s="384" t="str">
        <f ca="1">IFERROR(VLOOKUP(C2227,' Disaggregation - Section E '!A$618:J2553,3,0),"")</f>
        <v>HTS-3c⁽ᴹ⁾ Percentage of sex workers that have received an HIV test during the reporting period in KP-specific programs and know their results</v>
      </c>
      <c r="L2227" s="384"/>
      <c r="M2227" s="384" t="str">
        <f ca="1">IFERROR(IF(VLOOKUP(C2227,' Disaggregation - Section E '!A$618:O1356,15,0)=0,"",VLOOKUP(C2227,' Disaggregation - Section E '!A$618:O1356,15,0)),"")</f>
        <v/>
      </c>
      <c r="N2227" s="388" t="str">
        <f ca="1">IFERROR(IF(VLOOKUP(C2227,' Disaggregation - Section E '!A$618:J2553,10,0)=0,"",VLOOKUP(C2227,' Disaggregation - Section E '!A$618:J2553,10,0)),"")</f>
        <v/>
      </c>
      <c r="O2227" s="384"/>
    </row>
    <row r="2228" spans="1:15" x14ac:dyDescent="0.3">
      <c r="A2228" s="384" t="b">
        <f t="shared" ca="1" si="137"/>
        <v>0</v>
      </c>
      <c r="B2228" s="384"/>
      <c r="C2228" s="393" t="str">
        <f ca="1">IF(COUNTA(O$1493:O2228)=1,"",OFFSET(B2226,-COUNTA(O$1493:O2228)+3,1))</f>
        <v>a16Dm000000LZbfIAG</v>
      </c>
      <c r="D2228" s="389"/>
      <c r="E2228" s="386" t="str">
        <f ca="1">IFERROR(IF(VLOOKUP(C2228,' Disaggregation - Section E '!A$618:J2554,7,0)="","",VLOOKUP(C2228,' Disaggregation - Section E '!A$618:J2554,7,0)*100),"")</f>
        <v/>
      </c>
      <c r="F2228" s="388" t="str">
        <f ca="1">IFERROR(VLOOKUP(C2228,' Disaggregation - Section E '!A$618:J2554,5,0),"")</f>
        <v/>
      </c>
      <c r="G2228" s="387" t="str">
        <f ca="1">IFERROR(IF(VLOOKUP(C2228,' Disaggregation - Section E '!A$618:J2554,6,0)="","",VLOOKUP(C2228,' Disaggregation - Section E '!A$618:J2554,6,0)),"")</f>
        <v/>
      </c>
      <c r="H2228" s="387" t="str">
        <f ca="1">IFERROR(IF(INDEX(' Disaggregation - Section E '!F$618:F2554,MATCH(C2228,' Disaggregation - Section E '!A$618:A2554,0)+1,1)&lt;&gt;0,INDEX(' Disaggregation - Section E '!F$618:F2554,MATCH(C2228,' Disaggregation - Section E '!A$618:A2554,0)+1,1),""),"")</f>
        <v/>
      </c>
      <c r="I2228" s="388" t="str">
        <f ca="1">IFERROR(IF(VLOOKUP(C2228,' Disaggregation - Section E '!A$618:J2554,8,0)=0,"",VLOOKUP(C2228,' Disaggregation - Section E '!A$618:J2554,8,0)),"")</f>
        <v/>
      </c>
      <c r="J2228" s="388" t="str">
        <f ca="1">IFERROR(IF(VLOOKUP(C2228,' Disaggregation - Section E '!A$618:J2554,9,0)="","",VLOOKUP(C2228,' Disaggregation - Section E '!A$618:J2554,9,0)),"")</f>
        <v/>
      </c>
      <c r="K2228" s="384" t="str">
        <f ca="1">IFERROR(VLOOKUP(C2228,' Disaggregation - Section E '!A$618:J2554,3,0),"")</f>
        <v>HTS-3c⁽ᴹ⁾ Percentage of sex workers that have received an HIV test during the reporting period in KP-specific programs and know their results</v>
      </c>
      <c r="L2228" s="384"/>
      <c r="M2228" s="384" t="str">
        <f ca="1">IFERROR(IF(VLOOKUP(C2228,' Disaggregation - Section E '!A$618:O1357,15,0)=0,"",VLOOKUP(C2228,' Disaggregation - Section E '!A$618:O1357,15,0)),"")</f>
        <v/>
      </c>
      <c r="N2228" s="388" t="str">
        <f ca="1">IFERROR(IF(VLOOKUP(C2228,' Disaggregation - Section E '!A$618:J2554,10,0)=0,"",VLOOKUP(C2228,' Disaggregation - Section E '!A$618:J2554,10,0)),"")</f>
        <v/>
      </c>
      <c r="O2228" s="384"/>
    </row>
    <row r="2229" spans="1:15" x14ac:dyDescent="0.3">
      <c r="A2229" s="384" t="b">
        <f t="shared" ca="1" si="137"/>
        <v>0</v>
      </c>
      <c r="B2229" s="384"/>
      <c r="C2229" s="393" t="str">
        <f ca="1">IF(COUNTA(O$1493:O2229)=1,"",OFFSET(B2227,-COUNTA(O$1493:O2229)+3,1))</f>
        <v>a16Dm000000LZbgIAG</v>
      </c>
      <c r="D2229" s="389"/>
      <c r="E2229" s="386" t="str">
        <f ca="1">IFERROR(IF(VLOOKUP(C2229,' Disaggregation - Section E '!A$618:J2555,7,0)="","",VLOOKUP(C2229,' Disaggregation - Section E '!A$618:J2555,7,0)*100),"")</f>
        <v/>
      </c>
      <c r="F2229" s="388" t="str">
        <f ca="1">IFERROR(VLOOKUP(C2229,' Disaggregation - Section E '!A$618:J2555,5,0),"")</f>
        <v/>
      </c>
      <c r="G2229" s="387" t="str">
        <f ca="1">IFERROR(IF(VLOOKUP(C2229,' Disaggregation - Section E '!A$618:J2555,6,0)="","",VLOOKUP(C2229,' Disaggregation - Section E '!A$618:J2555,6,0)),"")</f>
        <v/>
      </c>
      <c r="H2229" s="387" t="str">
        <f ca="1">IFERROR(IF(INDEX(' Disaggregation - Section E '!F$618:F2555,MATCH(C2229,' Disaggregation - Section E '!A$618:A2555,0)+1,1)&lt;&gt;0,INDEX(' Disaggregation - Section E '!F$618:F2555,MATCH(C2229,' Disaggregation - Section E '!A$618:A2555,0)+1,1),""),"")</f>
        <v/>
      </c>
      <c r="I2229" s="388" t="str">
        <f ca="1">IFERROR(IF(VLOOKUP(C2229,' Disaggregation - Section E '!A$618:J2555,8,0)=0,"",VLOOKUP(C2229,' Disaggregation - Section E '!A$618:J2555,8,0)),"")</f>
        <v/>
      </c>
      <c r="J2229" s="388" t="str">
        <f ca="1">IFERROR(IF(VLOOKUP(C2229,' Disaggregation - Section E '!A$618:J2555,9,0)="","",VLOOKUP(C2229,' Disaggregation - Section E '!A$618:J2555,9,0)),"")</f>
        <v/>
      </c>
      <c r="K2229" s="384" t="str">
        <f ca="1">IFERROR(VLOOKUP(C2229,' Disaggregation - Section E '!A$618:J2555,3,0),"")</f>
        <v>HTS-3c⁽ᴹ⁾ Percentage of sex workers that have received an HIV test during the reporting period in KP-specific programs and know their results</v>
      </c>
      <c r="L2229" s="384"/>
      <c r="M2229" s="384" t="str">
        <f ca="1">IFERROR(IF(VLOOKUP(C2229,' Disaggregation - Section E '!A$618:O1358,15,0)=0,"",VLOOKUP(C2229,' Disaggregation - Section E '!A$618:O1358,15,0)),"")</f>
        <v/>
      </c>
      <c r="N2229" s="388" t="str">
        <f ca="1">IFERROR(IF(VLOOKUP(C2229,' Disaggregation - Section E '!A$618:J2555,10,0)=0,"",VLOOKUP(C2229,' Disaggregation - Section E '!A$618:J2555,10,0)),"")</f>
        <v/>
      </c>
      <c r="O2229" s="384"/>
    </row>
    <row r="2230" spans="1:15" x14ac:dyDescent="0.3">
      <c r="A2230" s="384" t="b">
        <f t="shared" ca="1" si="137"/>
        <v>0</v>
      </c>
      <c r="B2230" s="384"/>
      <c r="C2230" s="393" t="str">
        <f ca="1">IF(COUNTA(O$1493:O2230)=1,"",OFFSET(B2228,-COUNTA(O$1493:O2230)+3,1))</f>
        <v>a16Dm000000LZbhIAG</v>
      </c>
      <c r="D2230" s="389"/>
      <c r="E2230" s="386" t="str">
        <f ca="1">IFERROR(IF(VLOOKUP(C2230,' Disaggregation - Section E '!A$618:J2556,7,0)="","",VLOOKUP(C2230,' Disaggregation - Section E '!A$618:J2556,7,0)*100),"")</f>
        <v/>
      </c>
      <c r="F2230" s="388" t="str">
        <f ca="1">IFERROR(VLOOKUP(C2230,' Disaggregation - Section E '!A$618:J2556,5,0),"")</f>
        <v/>
      </c>
      <c r="G2230" s="387" t="str">
        <f ca="1">IFERROR(IF(VLOOKUP(C2230,' Disaggregation - Section E '!A$618:J2556,6,0)="","",VLOOKUP(C2230,' Disaggregation - Section E '!A$618:J2556,6,0)),"")</f>
        <v/>
      </c>
      <c r="H2230" s="387" t="str">
        <f ca="1">IFERROR(IF(INDEX(' Disaggregation - Section E '!F$618:F2556,MATCH(C2230,' Disaggregation - Section E '!A$618:A2556,0)+1,1)&lt;&gt;0,INDEX(' Disaggregation - Section E '!F$618:F2556,MATCH(C2230,' Disaggregation - Section E '!A$618:A2556,0)+1,1),""),"")</f>
        <v/>
      </c>
      <c r="I2230" s="388" t="str">
        <f ca="1">IFERROR(IF(VLOOKUP(C2230,' Disaggregation - Section E '!A$618:J2556,8,0)=0,"",VLOOKUP(C2230,' Disaggregation - Section E '!A$618:J2556,8,0)),"")</f>
        <v/>
      </c>
      <c r="J2230" s="388" t="str">
        <f ca="1">IFERROR(IF(VLOOKUP(C2230,' Disaggregation - Section E '!A$618:J2556,9,0)="","",VLOOKUP(C2230,' Disaggregation - Section E '!A$618:J2556,9,0)),"")</f>
        <v/>
      </c>
      <c r="K2230" s="384" t="str">
        <f ca="1">IFERROR(VLOOKUP(C2230,' Disaggregation - Section E '!A$618:J2556,3,0),"")</f>
        <v>HTS-3c⁽ᴹ⁾ Percentage of sex workers that have received an HIV test during the reporting period in KP-specific programs and know their results</v>
      </c>
      <c r="L2230" s="384"/>
      <c r="M2230" s="384" t="str">
        <f ca="1">IFERROR(IF(VLOOKUP(C2230,' Disaggregation - Section E '!A$618:O1359,15,0)=0,"",VLOOKUP(C2230,' Disaggregation - Section E '!A$618:O1359,15,0)),"")</f>
        <v/>
      </c>
      <c r="N2230" s="388" t="str">
        <f ca="1">IFERROR(IF(VLOOKUP(C2230,' Disaggregation - Section E '!A$618:J2556,10,0)=0,"",VLOOKUP(C2230,' Disaggregation - Section E '!A$618:J2556,10,0)),"")</f>
        <v/>
      </c>
      <c r="O2230" s="384"/>
    </row>
    <row r="2231" spans="1:15" x14ac:dyDescent="0.3">
      <c r="A2231" s="384" t="b">
        <f t="shared" ca="1" si="137"/>
        <v>0</v>
      </c>
      <c r="B2231" s="384"/>
      <c r="C2231" s="393" t="str">
        <f ca="1">IF(COUNTA(O$1493:O2231)=1,"",OFFSET(B2229,-COUNTA(O$1493:O2231)+3,1))</f>
        <v>a16Dm000000LZbiIAG</v>
      </c>
      <c r="D2231" s="389"/>
      <c r="E2231" s="386" t="str">
        <f ca="1">IFERROR(IF(VLOOKUP(C2231,' Disaggregation - Section E '!A$618:J2557,7,0)="","",VLOOKUP(C2231,' Disaggregation - Section E '!A$618:J2557,7,0)*100),"")</f>
        <v/>
      </c>
      <c r="F2231" s="388" t="str">
        <f ca="1">IFERROR(VLOOKUP(C2231,' Disaggregation - Section E '!A$618:J2557,5,0),"")</f>
        <v/>
      </c>
      <c r="G2231" s="387" t="str">
        <f ca="1">IFERROR(IF(VLOOKUP(C2231,' Disaggregation - Section E '!A$618:J2557,6,0)="","",VLOOKUP(C2231,' Disaggregation - Section E '!A$618:J2557,6,0)),"")</f>
        <v/>
      </c>
      <c r="H2231" s="387" t="str">
        <f ca="1">IFERROR(IF(INDEX(' Disaggregation - Section E '!F$618:F2557,MATCH(C2231,' Disaggregation - Section E '!A$618:A2557,0)+1,1)&lt;&gt;0,INDEX(' Disaggregation - Section E '!F$618:F2557,MATCH(C2231,' Disaggregation - Section E '!A$618:A2557,0)+1,1),""),"")</f>
        <v/>
      </c>
      <c r="I2231" s="388" t="str">
        <f ca="1">IFERROR(IF(VLOOKUP(C2231,' Disaggregation - Section E '!A$618:J2557,8,0)=0,"",VLOOKUP(C2231,' Disaggregation - Section E '!A$618:J2557,8,0)),"")</f>
        <v/>
      </c>
      <c r="J2231" s="388" t="str">
        <f ca="1">IFERROR(IF(VLOOKUP(C2231,' Disaggregation - Section E '!A$618:J2557,9,0)="","",VLOOKUP(C2231,' Disaggregation - Section E '!A$618:J2557,9,0)),"")</f>
        <v/>
      </c>
      <c r="K2231" s="384" t="str">
        <f ca="1">IFERROR(VLOOKUP(C2231,' Disaggregation - Section E '!A$618:J2557,3,0),"")</f>
        <v>HTS-3c⁽ᴹ⁾ Percentage of sex workers that have received an HIV test during the reporting period in KP-specific programs and know their results</v>
      </c>
      <c r="L2231" s="384"/>
      <c r="M2231" s="384" t="str">
        <f ca="1">IFERROR(IF(VLOOKUP(C2231,' Disaggregation - Section E '!A$618:O1360,15,0)=0,"",VLOOKUP(C2231,' Disaggregation - Section E '!A$618:O1360,15,0)),"")</f>
        <v/>
      </c>
      <c r="N2231" s="388" t="str">
        <f ca="1">IFERROR(IF(VLOOKUP(C2231,' Disaggregation - Section E '!A$618:J2557,10,0)=0,"",VLOOKUP(C2231,' Disaggregation - Section E '!A$618:J2557,10,0)),"")</f>
        <v/>
      </c>
      <c r="O2231" s="384"/>
    </row>
    <row r="2232" spans="1:15" x14ac:dyDescent="0.3">
      <c r="A2232" s="384" t="b">
        <f t="shared" ca="1" si="137"/>
        <v>0</v>
      </c>
      <c r="B2232" s="384"/>
      <c r="C2232" s="393" t="str">
        <f ca="1">IF(COUNTA(O$1493:O2232)=1,"",OFFSET(B2230,-COUNTA(O$1493:O2232)+3,1))</f>
        <v>a16Dm000000LZbjIAG</v>
      </c>
      <c r="D2232" s="389"/>
      <c r="E2232" s="386" t="str">
        <f ca="1">IFERROR(IF(VLOOKUP(C2232,' Disaggregation - Section E '!A$618:J2558,7,0)="","",VLOOKUP(C2232,' Disaggregation - Section E '!A$618:J2558,7,0)*100),"")</f>
        <v/>
      </c>
      <c r="F2232" s="388" t="str">
        <f ca="1">IFERROR(VLOOKUP(C2232,' Disaggregation - Section E '!A$618:J2558,5,0),"")</f>
        <v/>
      </c>
      <c r="G2232" s="387" t="str">
        <f ca="1">IFERROR(IF(VLOOKUP(C2232,' Disaggregation - Section E '!A$618:J2558,6,0)="","",VLOOKUP(C2232,' Disaggregation - Section E '!A$618:J2558,6,0)),"")</f>
        <v/>
      </c>
      <c r="H2232" s="387" t="str">
        <f ca="1">IFERROR(IF(INDEX(' Disaggregation - Section E '!F$618:F2558,MATCH(C2232,' Disaggregation - Section E '!A$618:A2558,0)+1,1)&lt;&gt;0,INDEX(' Disaggregation - Section E '!F$618:F2558,MATCH(C2232,' Disaggregation - Section E '!A$618:A2558,0)+1,1),""),"")</f>
        <v/>
      </c>
      <c r="I2232" s="388" t="str">
        <f ca="1">IFERROR(IF(VLOOKUP(C2232,' Disaggregation - Section E '!A$618:J2558,8,0)=0,"",VLOOKUP(C2232,' Disaggregation - Section E '!A$618:J2558,8,0)),"")</f>
        <v/>
      </c>
      <c r="J2232" s="388" t="str">
        <f ca="1">IFERROR(IF(VLOOKUP(C2232,' Disaggregation - Section E '!A$618:J2558,9,0)="","",VLOOKUP(C2232,' Disaggregation - Section E '!A$618:J2558,9,0)),"")</f>
        <v/>
      </c>
      <c r="K2232" s="384" t="str">
        <f ca="1">IFERROR(VLOOKUP(C2232,' Disaggregation - Section E '!A$618:J2558,3,0),"")</f>
        <v>HTS-3c⁽ᴹ⁾ Percentage of sex workers that have received an HIV test during the reporting period in KP-specific programs and know their results</v>
      </c>
      <c r="L2232" s="384"/>
      <c r="M2232" s="384" t="str">
        <f ca="1">IFERROR(IF(VLOOKUP(C2232,' Disaggregation - Section E '!A$618:O1361,15,0)=0,"",VLOOKUP(C2232,' Disaggregation - Section E '!A$618:O1361,15,0)),"")</f>
        <v/>
      </c>
      <c r="N2232" s="388" t="str">
        <f ca="1">IFERROR(IF(VLOOKUP(C2232,' Disaggregation - Section E '!A$618:J2558,10,0)=0,"",VLOOKUP(C2232,' Disaggregation - Section E '!A$618:J2558,10,0)),"")</f>
        <v/>
      </c>
      <c r="O2232" s="384"/>
    </row>
    <row r="2233" spans="1:15" x14ac:dyDescent="0.3">
      <c r="A2233" s="384" t="b">
        <f t="shared" ca="1" si="137"/>
        <v>0</v>
      </c>
      <c r="B2233" s="384"/>
      <c r="C2233" s="393" t="str">
        <f ca="1">IF(COUNTA(O$1493:O2233)=1,"",OFFSET(B2231,-COUNTA(O$1493:O2233)+3,1))</f>
        <v>a16Dm000000LZbkIAG</v>
      </c>
      <c r="D2233" s="389"/>
      <c r="E2233" s="386" t="str">
        <f ca="1">IFERROR(IF(VLOOKUP(C2233,' Disaggregation - Section E '!A$618:J2559,7,0)="","",VLOOKUP(C2233,' Disaggregation - Section E '!A$618:J2559,7,0)*100),"")</f>
        <v/>
      </c>
      <c r="F2233" s="388" t="str">
        <f ca="1">IFERROR(VLOOKUP(C2233,' Disaggregation - Section E '!A$618:J2559,5,0),"")</f>
        <v/>
      </c>
      <c r="G2233" s="387" t="str">
        <f ca="1">IFERROR(IF(VLOOKUP(C2233,' Disaggregation - Section E '!A$618:J2559,6,0)="","",VLOOKUP(C2233,' Disaggregation - Section E '!A$618:J2559,6,0)),"")</f>
        <v/>
      </c>
      <c r="H2233" s="387" t="str">
        <f ca="1">IFERROR(IF(INDEX(' Disaggregation - Section E '!F$618:F2559,MATCH(C2233,' Disaggregation - Section E '!A$618:A2559,0)+1,1)&lt;&gt;0,INDEX(' Disaggregation - Section E '!F$618:F2559,MATCH(C2233,' Disaggregation - Section E '!A$618:A2559,0)+1,1),""),"")</f>
        <v/>
      </c>
      <c r="I2233" s="388" t="str">
        <f ca="1">IFERROR(IF(VLOOKUP(C2233,' Disaggregation - Section E '!A$618:J2559,8,0)=0,"",VLOOKUP(C2233,' Disaggregation - Section E '!A$618:J2559,8,0)),"")</f>
        <v/>
      </c>
      <c r="J2233" s="388" t="str">
        <f ca="1">IFERROR(IF(VLOOKUP(C2233,' Disaggregation - Section E '!A$618:J2559,9,0)="","",VLOOKUP(C2233,' Disaggregation - Section E '!A$618:J2559,9,0)),"")</f>
        <v/>
      </c>
      <c r="K2233" s="384" t="str">
        <f ca="1">IFERROR(VLOOKUP(C2233,' Disaggregation - Section E '!A$618:J2559,3,0),"")</f>
        <v>HTS-3c⁽ᴹ⁾ Percentage of sex workers that have received an HIV test during the reporting period in KP-specific programs and know their results</v>
      </c>
      <c r="L2233" s="384"/>
      <c r="M2233" s="384" t="str">
        <f ca="1">IFERROR(IF(VLOOKUP(C2233,' Disaggregation - Section E '!A$618:O1362,15,0)=0,"",VLOOKUP(C2233,' Disaggregation - Section E '!A$618:O1362,15,0)),"")</f>
        <v/>
      </c>
      <c r="N2233" s="388" t="str">
        <f ca="1">IFERROR(IF(VLOOKUP(C2233,' Disaggregation - Section E '!A$618:J2559,10,0)=0,"",VLOOKUP(C2233,' Disaggregation - Section E '!A$618:J2559,10,0)),"")</f>
        <v/>
      </c>
      <c r="O2233" s="384"/>
    </row>
    <row r="2234" spans="1:15" x14ac:dyDescent="0.3">
      <c r="A2234" s="384" t="b">
        <f t="shared" ca="1" si="137"/>
        <v>0</v>
      </c>
      <c r="B2234" s="384"/>
      <c r="C2234" s="393" t="str">
        <f ca="1">IF(COUNTA(O$1493:O2234)=1,"",OFFSET(B2232,-COUNTA(O$1493:O2234)+3,1))</f>
        <v>a16Dm000000LZblIAG</v>
      </c>
      <c r="D2234" s="389"/>
      <c r="E2234" s="386" t="str">
        <f ca="1">IFERROR(IF(VLOOKUP(C2234,' Disaggregation - Section E '!A$618:J2560,7,0)="","",VLOOKUP(C2234,' Disaggregation - Section E '!A$618:J2560,7,0)*100),"")</f>
        <v/>
      </c>
      <c r="F2234" s="388" t="str">
        <f ca="1">IFERROR(VLOOKUP(C2234,' Disaggregation - Section E '!A$618:J2560,5,0),"")</f>
        <v/>
      </c>
      <c r="G2234" s="387" t="str">
        <f ca="1">IFERROR(IF(VLOOKUP(C2234,' Disaggregation - Section E '!A$618:J2560,6,0)="","",VLOOKUP(C2234,' Disaggregation - Section E '!A$618:J2560,6,0)),"")</f>
        <v/>
      </c>
      <c r="H2234" s="387" t="str">
        <f ca="1">IFERROR(IF(INDEX(' Disaggregation - Section E '!F$618:F2560,MATCH(C2234,' Disaggregation - Section E '!A$618:A2560,0)+1,1)&lt;&gt;0,INDEX(' Disaggregation - Section E '!F$618:F2560,MATCH(C2234,' Disaggregation - Section E '!A$618:A2560,0)+1,1),""),"")</f>
        <v/>
      </c>
      <c r="I2234" s="388" t="str">
        <f ca="1">IFERROR(IF(VLOOKUP(C2234,' Disaggregation - Section E '!A$618:J2560,8,0)=0,"",VLOOKUP(C2234,' Disaggregation - Section E '!A$618:J2560,8,0)),"")</f>
        <v/>
      </c>
      <c r="J2234" s="388" t="str">
        <f ca="1">IFERROR(IF(VLOOKUP(C2234,' Disaggregation - Section E '!A$618:J2560,9,0)="","",VLOOKUP(C2234,' Disaggregation - Section E '!A$618:J2560,9,0)),"")</f>
        <v/>
      </c>
      <c r="K2234" s="384" t="str">
        <f ca="1">IFERROR(VLOOKUP(C2234,' Disaggregation - Section E '!A$618:J2560,3,0),"")</f>
        <v>HTS-3c⁽ᴹ⁾ Percentage of sex workers that have received an HIV test during the reporting period in KP-specific programs and know their results</v>
      </c>
      <c r="L2234" s="384"/>
      <c r="M2234" s="384" t="str">
        <f ca="1">IFERROR(IF(VLOOKUP(C2234,' Disaggregation - Section E '!A$618:O1363,15,0)=0,"",VLOOKUP(C2234,' Disaggregation - Section E '!A$618:O1363,15,0)),"")</f>
        <v/>
      </c>
      <c r="N2234" s="388" t="str">
        <f ca="1">IFERROR(IF(VLOOKUP(C2234,' Disaggregation - Section E '!A$618:J2560,10,0)=0,"",VLOOKUP(C2234,' Disaggregation - Section E '!A$618:J2560,10,0)),"")</f>
        <v/>
      </c>
      <c r="O2234" s="384"/>
    </row>
    <row r="2235" spans="1:15" x14ac:dyDescent="0.3">
      <c r="A2235" s="384" t="b">
        <f t="shared" ca="1" si="137"/>
        <v>1</v>
      </c>
      <c r="B2235" s="384"/>
      <c r="C2235" s="393" t="str">
        <f ca="1">IF(COUNTA(O$1493:O2235)=1,"",OFFSET(B2233,-COUNTA(O$1493:O2235)+3,1))</f>
        <v>a16Dm000000LZbmIAG</v>
      </c>
      <c r="D2235" s="389"/>
      <c r="E2235" s="386" t="str">
        <f ca="1">IFERROR(IF(VLOOKUP(C2235,' Disaggregation - Section E '!A$618:J2561,7,0)="","",VLOOKUP(C2235,' Disaggregation - Section E '!A$618:J2561,7,0)*100),"")</f>
        <v/>
      </c>
      <c r="F2235" s="388" t="str">
        <f ca="1">IFERROR(VLOOKUP(C2235,' Disaggregation - Section E '!A$618:J2561,5,0),"")</f>
        <v>25+</v>
      </c>
      <c r="G2235" s="387">
        <f ca="1">IFERROR(IF(VLOOKUP(C2235,' Disaggregation - Section E '!A$618:J2561,6,0)="","",VLOOKUP(C2235,' Disaggregation - Section E '!A$618:J2561,6,0)),"")</f>
        <v>60</v>
      </c>
      <c r="H2235" s="387" t="str">
        <f ca="1">IFERROR(IF(INDEX(' Disaggregation - Section E '!F$618:F2561,MATCH(C2235,' Disaggregation - Section E '!A$618:A2561,0)+1,1)&lt;&gt;0,INDEX(' Disaggregation - Section E '!F$618:F2561,MATCH(C2235,' Disaggregation - Section E '!A$618:A2561,0)+1,1),""),"")</f>
        <v/>
      </c>
      <c r="I2235" s="388">
        <f ca="1">IFERROR(IF(VLOOKUP(C2235,' Disaggregation - Section E '!A$618:J2561,8,0)=0,"",VLOOKUP(C2235,' Disaggregation - Section E '!A$618:J2561,8,0)),"")</f>
        <v>2022</v>
      </c>
      <c r="J2235" s="388" t="str">
        <f ca="1">IFERROR(IF(VLOOKUP(C2235,' Disaggregation - Section E '!A$618:J2561,9,0)="","",VLOOKUP(C2235,' Disaggregation - Section E '!A$618:J2561,9,0)),"")</f>
        <v>Admistrative report</v>
      </c>
      <c r="K2235" s="384" t="str">
        <f ca="1">IFERROR(VLOOKUP(C2235,' Disaggregation - Section E '!A$618:J2561,3,0),"")</f>
        <v>HTS-3b⁽ᴹ⁾ Percentage of TG that have received an HIV test during the reporting period in KP-specific programs and know their results</v>
      </c>
      <c r="L2235" s="384"/>
      <c r="M2235" s="384" t="str">
        <f ca="1">IFERROR(IF(VLOOKUP(C2235,' Disaggregation - Section E '!A$618:O1364,15,0)=0,"",VLOOKUP(C2235,' Disaggregation - Section E '!A$618:O1364,15,0)),"")</f>
        <v>IDR-01275</v>
      </c>
      <c r="N2235" s="388" t="str">
        <f ca="1">IFERROR(IF(VLOOKUP(C2235,' Disaggregation - Section E '!A$618:J2561,10,0)=0,"",VLOOKUP(C2235,' Disaggregation - Section E '!A$618:J2561,10,0)),"")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235" s="384"/>
    </row>
    <row r="2236" spans="1:15" x14ac:dyDescent="0.3">
      <c r="A2236" s="384" t="b">
        <f t="shared" ca="1" si="137"/>
        <v>1</v>
      </c>
      <c r="B2236" s="384"/>
      <c r="C2236" s="393" t="str">
        <f ca="1">IF(COUNTA(O$1493:O2236)=1,"",OFFSET(B2234,-COUNTA(O$1493:O2236)+3,1))</f>
        <v>a16Dm000000LZbnIAG</v>
      </c>
      <c r="D2236" s="389"/>
      <c r="E2236" s="386" t="str">
        <f ca="1">IFERROR(IF(VLOOKUP(C2236,' Disaggregation - Section E '!A$618:J2562,7,0)="","",VLOOKUP(C2236,' Disaggregation - Section E '!A$618:J2562,7,0)*100),"")</f>
        <v/>
      </c>
      <c r="F2236" s="388" t="str">
        <f ca="1">IFERROR(VLOOKUP(C2236,' Disaggregation - Section E '!A$618:J2562,5,0),"")</f>
        <v>20-24</v>
      </c>
      <c r="G2236" s="387">
        <f ca="1">IFERROR(IF(VLOOKUP(C2236,' Disaggregation - Section E '!A$618:J2562,6,0)="","",VLOOKUP(C2236,' Disaggregation - Section E '!A$618:J2562,6,0)),"")</f>
        <v>61</v>
      </c>
      <c r="H2236" s="387" t="str">
        <f ca="1">IFERROR(IF(INDEX(' Disaggregation - Section E '!F$618:F2562,MATCH(C2236,' Disaggregation - Section E '!A$618:A2562,0)+1,1)&lt;&gt;0,INDEX(' Disaggregation - Section E '!F$618:F2562,MATCH(C2236,' Disaggregation - Section E '!A$618:A2562,0)+1,1),""),"")</f>
        <v/>
      </c>
      <c r="I2236" s="388">
        <f ca="1">IFERROR(IF(VLOOKUP(C2236,' Disaggregation - Section E '!A$618:J2562,8,0)=0,"",VLOOKUP(C2236,' Disaggregation - Section E '!A$618:J2562,8,0)),"")</f>
        <v>2022</v>
      </c>
      <c r="J2236" s="388" t="str">
        <f ca="1">IFERROR(IF(VLOOKUP(C2236,' Disaggregation - Section E '!A$618:J2562,9,0)="","",VLOOKUP(C2236,' Disaggregation - Section E '!A$618:J2562,9,0)),"")</f>
        <v>Admistrative report</v>
      </c>
      <c r="K2236" s="384" t="str">
        <f ca="1">IFERROR(VLOOKUP(C2236,' Disaggregation - Section E '!A$618:J2562,3,0),"")</f>
        <v>HTS-3b⁽ᴹ⁾ Percentage of TG that have received an HIV test during the reporting period in KP-specific programs and know their results</v>
      </c>
      <c r="L2236" s="384"/>
      <c r="M2236" s="384" t="str">
        <f ca="1">IFERROR(IF(VLOOKUP(C2236,' Disaggregation - Section E '!A$618:O1365,15,0)=0,"",VLOOKUP(C2236,' Disaggregation - Section E '!A$618:O1365,15,0)),"")</f>
        <v>IDR-01274</v>
      </c>
      <c r="N2236" s="388" t="str">
        <f ca="1">IFERROR(IF(VLOOKUP(C2236,' Disaggregation - Section E '!A$618:J2562,10,0)=0,"",VLOOKUP(C2236,' Disaggregation - Section E '!A$618:J2562,10,0)),"")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236" s="384"/>
    </row>
    <row r="2237" spans="1:15" x14ac:dyDescent="0.3">
      <c r="A2237" s="384" t="b">
        <f t="shared" ca="1" si="137"/>
        <v>1</v>
      </c>
      <c r="B2237" s="384"/>
      <c r="C2237" s="393" t="str">
        <f ca="1">IF(COUNTA(O$1493:O2237)=1,"",OFFSET(B2235,-COUNTA(O$1493:O2237)+3,1))</f>
        <v>a16Dm000000LZboIAG</v>
      </c>
      <c r="D2237" s="389"/>
      <c r="E2237" s="386" t="str">
        <f ca="1">IFERROR(IF(VLOOKUP(C2237,' Disaggregation - Section E '!A$618:J2563,7,0)="","",VLOOKUP(C2237,' Disaggregation - Section E '!A$618:J2563,7,0)*100),"")</f>
        <v/>
      </c>
      <c r="F2237" s="388" t="str">
        <f ca="1">IFERROR(VLOOKUP(C2237,' Disaggregation - Section E '!A$618:J2563,5,0),"")</f>
        <v>Transwomen</v>
      </c>
      <c r="G2237" s="387">
        <f ca="1">IFERROR(IF(VLOOKUP(C2237,' Disaggregation - Section E '!A$618:J2563,6,0)="","",VLOOKUP(C2237,' Disaggregation - Section E '!A$618:J2563,6,0)),"")</f>
        <v>80</v>
      </c>
      <c r="H2237" s="387" t="str">
        <f ca="1">IFERROR(IF(INDEX(' Disaggregation - Section E '!F$618:F2563,MATCH(C2237,' Disaggregation - Section E '!A$618:A2563,0)+1,1)&lt;&gt;0,INDEX(' Disaggregation - Section E '!F$618:F2563,MATCH(C2237,' Disaggregation - Section E '!A$618:A2563,0)+1,1),""),"")</f>
        <v/>
      </c>
      <c r="I2237" s="388">
        <f ca="1">IFERROR(IF(VLOOKUP(C2237,' Disaggregation - Section E '!A$618:J2563,8,0)=0,"",VLOOKUP(C2237,' Disaggregation - Section E '!A$618:J2563,8,0)),"")</f>
        <v>2022</v>
      </c>
      <c r="J2237" s="388" t="str">
        <f ca="1">IFERROR(IF(VLOOKUP(C2237,' Disaggregation - Section E '!A$618:J2563,9,0)="","",VLOOKUP(C2237,' Disaggregation - Section E '!A$618:J2563,9,0)),"")</f>
        <v>Admistrative report</v>
      </c>
      <c r="K2237" s="384" t="str">
        <f ca="1">IFERROR(VLOOKUP(C2237,' Disaggregation - Section E '!A$618:J2563,3,0),"")</f>
        <v>HTS-3b⁽ᴹ⁾ Percentage of TG that have received an HIV test during the reporting period in KP-specific programs and know their results</v>
      </c>
      <c r="L2237" s="384"/>
      <c r="M2237" s="384" t="str">
        <f ca="1">IFERROR(IF(VLOOKUP(C2237,' Disaggregation - Section E '!A$618:O1366,15,0)=0,"",VLOOKUP(C2237,' Disaggregation - Section E '!A$618:O1366,15,0)),"")</f>
        <v>IDR-01273</v>
      </c>
      <c r="N2237" s="388" t="str">
        <f ca="1">IFERROR(IF(VLOOKUP(C2237,' Disaggregation - Section E '!A$618:J2563,10,0)=0,"",VLOOKUP(C2237,' Disaggregation - Section E '!A$618:J2563,10,0)),"")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237" s="384"/>
    </row>
    <row r="2238" spans="1:15" x14ac:dyDescent="0.3">
      <c r="A2238" s="384" t="b">
        <f t="shared" ca="1" si="137"/>
        <v>1</v>
      </c>
      <c r="B2238" s="384"/>
      <c r="C2238" s="393" t="str">
        <f ca="1">IF(COUNTA(O$1493:O2238)=1,"",OFFSET(B2236,-COUNTA(O$1493:O2238)+3,1))</f>
        <v>a16Dm000000LZbpIAG</v>
      </c>
      <c r="D2238" s="389"/>
      <c r="E2238" s="386" t="str">
        <f ca="1">IFERROR(IF(VLOOKUP(C2238,' Disaggregation - Section E '!A$618:J2564,7,0)="","",VLOOKUP(C2238,' Disaggregation - Section E '!A$618:J2564,7,0)*100),"")</f>
        <v/>
      </c>
      <c r="F2238" s="388" t="str">
        <f ca="1">IFERROR(VLOOKUP(C2238,' Disaggregation - Section E '!A$618:J2564,5,0),"")</f>
        <v>Transmen</v>
      </c>
      <c r="G2238" s="387">
        <f ca="1">IFERROR(IF(VLOOKUP(C2238,' Disaggregation - Section E '!A$618:J2564,6,0)="","",VLOOKUP(C2238,' Disaggregation - Section E '!A$618:J2564,6,0)),"")</f>
        <v>46</v>
      </c>
      <c r="H2238" s="387" t="str">
        <f ca="1">IFERROR(IF(INDEX(' Disaggregation - Section E '!F$618:F2564,MATCH(C2238,' Disaggregation - Section E '!A$618:A2564,0)+1,1)&lt;&gt;0,INDEX(' Disaggregation - Section E '!F$618:F2564,MATCH(C2238,' Disaggregation - Section E '!A$618:A2564,0)+1,1),""),"")</f>
        <v/>
      </c>
      <c r="I2238" s="388">
        <f ca="1">IFERROR(IF(VLOOKUP(C2238,' Disaggregation - Section E '!A$618:J2564,8,0)=0,"",VLOOKUP(C2238,' Disaggregation - Section E '!A$618:J2564,8,0)),"")</f>
        <v>2022</v>
      </c>
      <c r="J2238" s="388" t="str">
        <f ca="1">IFERROR(IF(VLOOKUP(C2238,' Disaggregation - Section E '!A$618:J2564,9,0)="","",VLOOKUP(C2238,' Disaggregation - Section E '!A$618:J2564,9,0)),"")</f>
        <v>Admistrative report</v>
      </c>
      <c r="K2238" s="384" t="str">
        <f ca="1">IFERROR(VLOOKUP(C2238,' Disaggregation - Section E '!A$618:J2564,3,0),"")</f>
        <v>HTS-3b⁽ᴹ⁾ Percentage of TG that have received an HIV test during the reporting period in KP-specific programs and know their results</v>
      </c>
      <c r="L2238" s="384"/>
      <c r="M2238" s="384" t="str">
        <f ca="1">IFERROR(IF(VLOOKUP(C2238,' Disaggregation - Section E '!A$618:O1367,15,0)=0,"",VLOOKUP(C2238,' Disaggregation - Section E '!A$618:O1367,15,0)),"")</f>
        <v>IDR-01272</v>
      </c>
      <c r="N2238" s="388" t="str">
        <f ca="1">IFERROR(IF(VLOOKUP(C2238,' Disaggregation - Section E '!A$618:J2564,10,0)=0,"",VLOOKUP(C2238,' Disaggregation - Section E '!A$618:J2564,10,0)),"")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238" s="384"/>
    </row>
    <row r="2239" spans="1:15" x14ac:dyDescent="0.3">
      <c r="A2239" s="384" t="b">
        <f t="shared" ca="1" si="137"/>
        <v>1</v>
      </c>
      <c r="B2239" s="384"/>
      <c r="C2239" s="393" t="str">
        <f ca="1">IF(COUNTA(O$1493:O2239)=1,"",OFFSET(B2237,-COUNTA(O$1493:O2239)+3,1))</f>
        <v>a16Dm000000LZbqIAG</v>
      </c>
      <c r="D2239" s="389"/>
      <c r="E2239" s="386" t="str">
        <f ca="1">IFERROR(IF(VLOOKUP(C2239,' Disaggregation - Section E '!A$618:J2565,7,0)="","",VLOOKUP(C2239,' Disaggregation - Section E '!A$618:J2565,7,0)*100),"")</f>
        <v/>
      </c>
      <c r="F2239" s="388" t="str">
        <f ca="1">IFERROR(VLOOKUP(C2239,' Disaggregation - Section E '!A$618:J2565,5,0),"")</f>
        <v>15-19</v>
      </c>
      <c r="G2239" s="387">
        <f ca="1">IFERROR(IF(VLOOKUP(C2239,' Disaggregation - Section E '!A$618:J2565,6,0)="","",VLOOKUP(C2239,' Disaggregation - Section E '!A$618:J2565,6,0)),"")</f>
        <v>5</v>
      </c>
      <c r="H2239" s="387" t="str">
        <f ca="1">IFERROR(IF(INDEX(' Disaggregation - Section E '!F$618:F2565,MATCH(C2239,' Disaggregation - Section E '!A$618:A2565,0)+1,1)&lt;&gt;0,INDEX(' Disaggregation - Section E '!F$618:F2565,MATCH(C2239,' Disaggregation - Section E '!A$618:A2565,0)+1,1),""),"")</f>
        <v/>
      </c>
      <c r="I2239" s="388">
        <f ca="1">IFERROR(IF(VLOOKUP(C2239,' Disaggregation - Section E '!A$618:J2565,8,0)=0,"",VLOOKUP(C2239,' Disaggregation - Section E '!A$618:J2565,8,0)),"")</f>
        <v>2022</v>
      </c>
      <c r="J2239" s="388" t="str">
        <f ca="1">IFERROR(IF(VLOOKUP(C2239,' Disaggregation - Section E '!A$618:J2565,9,0)="","",VLOOKUP(C2239,' Disaggregation - Section E '!A$618:J2565,9,0)),"")</f>
        <v>Admistrative report</v>
      </c>
      <c r="K2239" s="384" t="str">
        <f ca="1">IFERROR(VLOOKUP(C2239,' Disaggregation - Section E '!A$618:J2565,3,0),"")</f>
        <v>HTS-3b⁽ᴹ⁾ Percentage of TG that have received an HIV test during the reporting period in KP-specific programs and know their results</v>
      </c>
      <c r="L2239" s="384"/>
      <c r="M2239" s="384" t="str">
        <f ca="1">IFERROR(IF(VLOOKUP(C2239,' Disaggregation - Section E '!A$618:O1368,15,0)=0,"",VLOOKUP(C2239,' Disaggregation - Section E '!A$618:O1368,15,0)),"")</f>
        <v>IDR-01271</v>
      </c>
      <c r="N2239" s="388" t="str">
        <f ca="1">IFERROR(IF(VLOOKUP(C2239,' Disaggregation - Section E '!A$618:J2565,10,0)=0,"",VLOOKUP(C2239,' Disaggregation - Section E '!A$618:J2565,10,0)),"")</f>
        <v>There is no data on the estimated number of TG people by age group and in total, IBBS was conducted for the first time among TG people and the sample did not reach convergence, respectively, the calculations were not made. The breakdown into transmen and transwomen is conditional, since gender in the database is indicated from the words of the project client at the time of the provision of the preventive service.</v>
      </c>
      <c r="O2239" s="384"/>
    </row>
    <row r="2240" spans="1:15" x14ac:dyDescent="0.3">
      <c r="A2240" s="384" t="b">
        <f t="shared" ca="1" si="137"/>
        <v>0</v>
      </c>
      <c r="B2240" s="384"/>
      <c r="C2240" s="393" t="str">
        <f ca="1">IF(COUNTA(O$1493:O2240)=1,"",OFFSET(B2238,-COUNTA(O$1493:O2240)+3,1))</f>
        <v>a16Dm000000LZbrIAG</v>
      </c>
      <c r="D2240" s="389"/>
      <c r="E2240" s="386" t="str">
        <f ca="1">IFERROR(IF(VLOOKUP(C2240,' Disaggregation - Section E '!A$618:J2566,7,0)="","",VLOOKUP(C2240,' Disaggregation - Section E '!A$618:J2566,7,0)*100),"")</f>
        <v/>
      </c>
      <c r="F2240" s="388" t="str">
        <f ca="1">IFERROR(VLOOKUP(C2240,' Disaggregation - Section E '!A$618:J2566,5,0),"")</f>
        <v/>
      </c>
      <c r="G2240" s="387" t="str">
        <f ca="1">IFERROR(IF(VLOOKUP(C2240,' Disaggregation - Section E '!A$618:J2566,6,0)="","",VLOOKUP(C2240,' Disaggregation - Section E '!A$618:J2566,6,0)),"")</f>
        <v/>
      </c>
      <c r="H2240" s="387" t="str">
        <f ca="1">IFERROR(IF(INDEX(' Disaggregation - Section E '!F$618:F2566,MATCH(C2240,' Disaggregation - Section E '!A$618:A2566,0)+1,1)&lt;&gt;0,INDEX(' Disaggregation - Section E '!F$618:F2566,MATCH(C2240,' Disaggregation - Section E '!A$618:A2566,0)+1,1),""),"")</f>
        <v/>
      </c>
      <c r="I2240" s="388" t="str">
        <f ca="1">IFERROR(IF(VLOOKUP(C2240,' Disaggregation - Section E '!A$618:J2566,8,0)=0,"",VLOOKUP(C2240,' Disaggregation - Section E '!A$618:J2566,8,0)),"")</f>
        <v/>
      </c>
      <c r="J2240" s="388" t="str">
        <f ca="1">IFERROR(IF(VLOOKUP(C2240,' Disaggregation - Section E '!A$618:J2566,9,0)="","",VLOOKUP(C2240,' Disaggregation - Section E '!A$618:J2566,9,0)),"")</f>
        <v/>
      </c>
      <c r="K2240" s="384" t="str">
        <f ca="1">IFERROR(VLOOKUP(C2240,' Disaggregation - Section E '!A$618:J2566,3,0),"")</f>
        <v>HTS-3b⁽ᴹ⁾ Percentage of TG that have received an HIV test during the reporting period in KP-specific programs and know their results</v>
      </c>
      <c r="L2240" s="384"/>
      <c r="M2240" s="384" t="str">
        <f ca="1">IFERROR(IF(VLOOKUP(C2240,' Disaggregation - Section E '!A$618:O1369,15,0)=0,"",VLOOKUP(C2240,' Disaggregation - Section E '!A$618:O1369,15,0)),"")</f>
        <v/>
      </c>
      <c r="N2240" s="388" t="str">
        <f ca="1">IFERROR(IF(VLOOKUP(C2240,' Disaggregation - Section E '!A$618:J2566,10,0)=0,"",VLOOKUP(C2240,' Disaggregation - Section E '!A$618:J2566,10,0)),"")</f>
        <v/>
      </c>
      <c r="O2240" s="384"/>
    </row>
    <row r="2241" spans="1:15" x14ac:dyDescent="0.3">
      <c r="A2241" s="384" t="b">
        <f t="shared" ca="1" si="137"/>
        <v>0</v>
      </c>
      <c r="B2241" s="384"/>
      <c r="C2241" s="393" t="str">
        <f ca="1">IF(COUNTA(O$1493:O2241)=1,"",OFFSET(B2239,-COUNTA(O$1493:O2241)+3,1))</f>
        <v>a16Dm000000LZbsIAG</v>
      </c>
      <c r="D2241" s="389"/>
      <c r="E2241" s="386" t="str">
        <f ca="1">IFERROR(IF(VLOOKUP(C2241,' Disaggregation - Section E '!A$618:J2567,7,0)="","",VLOOKUP(C2241,' Disaggregation - Section E '!A$618:J2567,7,0)*100),"")</f>
        <v/>
      </c>
      <c r="F2241" s="388" t="str">
        <f ca="1">IFERROR(VLOOKUP(C2241,' Disaggregation - Section E '!A$618:J2567,5,0),"")</f>
        <v/>
      </c>
      <c r="G2241" s="387" t="str">
        <f ca="1">IFERROR(IF(VLOOKUP(C2241,' Disaggregation - Section E '!A$618:J2567,6,0)="","",VLOOKUP(C2241,' Disaggregation - Section E '!A$618:J2567,6,0)),"")</f>
        <v/>
      </c>
      <c r="H2241" s="387" t="str">
        <f ca="1">IFERROR(IF(INDEX(' Disaggregation - Section E '!F$618:F2567,MATCH(C2241,' Disaggregation - Section E '!A$618:A2567,0)+1,1)&lt;&gt;0,INDEX(' Disaggregation - Section E '!F$618:F2567,MATCH(C2241,' Disaggregation - Section E '!A$618:A2567,0)+1,1),""),"")</f>
        <v/>
      </c>
      <c r="I2241" s="388" t="str">
        <f ca="1">IFERROR(IF(VLOOKUP(C2241,' Disaggregation - Section E '!A$618:J2567,8,0)=0,"",VLOOKUP(C2241,' Disaggregation - Section E '!A$618:J2567,8,0)),"")</f>
        <v/>
      </c>
      <c r="J2241" s="388" t="str">
        <f ca="1">IFERROR(IF(VLOOKUP(C2241,' Disaggregation - Section E '!A$618:J2567,9,0)="","",VLOOKUP(C2241,' Disaggregation - Section E '!A$618:J2567,9,0)),"")</f>
        <v/>
      </c>
      <c r="K2241" s="384" t="str">
        <f ca="1">IFERROR(VLOOKUP(C2241,' Disaggregation - Section E '!A$618:J2567,3,0),"")</f>
        <v>HTS-3b⁽ᴹ⁾ Percentage of TG that have received an HIV test during the reporting period in KP-specific programs and know their results</v>
      </c>
      <c r="L2241" s="384"/>
      <c r="M2241" s="384" t="str">
        <f ca="1">IFERROR(IF(VLOOKUP(C2241,' Disaggregation - Section E '!A$618:O1370,15,0)=0,"",VLOOKUP(C2241,' Disaggregation - Section E '!A$618:O1370,15,0)),"")</f>
        <v/>
      </c>
      <c r="N2241" s="388" t="str">
        <f ca="1">IFERROR(IF(VLOOKUP(C2241,' Disaggregation - Section E '!A$618:J2567,10,0)=0,"",VLOOKUP(C2241,' Disaggregation - Section E '!A$618:J2567,10,0)),"")</f>
        <v/>
      </c>
      <c r="O2241" s="384"/>
    </row>
    <row r="2242" spans="1:15" x14ac:dyDescent="0.3">
      <c r="A2242" s="384" t="b">
        <f t="shared" ca="1" si="137"/>
        <v>0</v>
      </c>
      <c r="B2242" s="384"/>
      <c r="C2242" s="393" t="str">
        <f ca="1">IF(COUNTA(O$1493:O2242)=1,"",OFFSET(B2240,-COUNTA(O$1493:O2242)+3,1))</f>
        <v>a16Dm000000LZbtIAG</v>
      </c>
      <c r="D2242" s="389"/>
      <c r="E2242" s="386" t="str">
        <f ca="1">IFERROR(IF(VLOOKUP(C2242,' Disaggregation - Section E '!A$618:J2568,7,0)="","",VLOOKUP(C2242,' Disaggregation - Section E '!A$618:J2568,7,0)*100),"")</f>
        <v/>
      </c>
      <c r="F2242" s="388" t="str">
        <f ca="1">IFERROR(VLOOKUP(C2242,' Disaggregation - Section E '!A$618:J2568,5,0),"")</f>
        <v/>
      </c>
      <c r="G2242" s="387" t="str">
        <f ca="1">IFERROR(IF(VLOOKUP(C2242,' Disaggregation - Section E '!A$618:J2568,6,0)="","",VLOOKUP(C2242,' Disaggregation - Section E '!A$618:J2568,6,0)),"")</f>
        <v/>
      </c>
      <c r="H2242" s="387" t="str">
        <f ca="1">IFERROR(IF(INDEX(' Disaggregation - Section E '!F$618:F2568,MATCH(C2242,' Disaggregation - Section E '!A$618:A2568,0)+1,1)&lt;&gt;0,INDEX(' Disaggregation - Section E '!F$618:F2568,MATCH(C2242,' Disaggregation - Section E '!A$618:A2568,0)+1,1),""),"")</f>
        <v/>
      </c>
      <c r="I2242" s="388" t="str">
        <f ca="1">IFERROR(IF(VLOOKUP(C2242,' Disaggregation - Section E '!A$618:J2568,8,0)=0,"",VLOOKUP(C2242,' Disaggregation - Section E '!A$618:J2568,8,0)),"")</f>
        <v/>
      </c>
      <c r="J2242" s="388" t="str">
        <f ca="1">IFERROR(IF(VLOOKUP(C2242,' Disaggregation - Section E '!A$618:J2568,9,0)="","",VLOOKUP(C2242,' Disaggregation - Section E '!A$618:J2568,9,0)),"")</f>
        <v/>
      </c>
      <c r="K2242" s="384" t="str">
        <f ca="1">IFERROR(VLOOKUP(C2242,' Disaggregation - Section E '!A$618:J2568,3,0),"")</f>
        <v>HTS-3b⁽ᴹ⁾ Percentage of TG that have received an HIV test during the reporting period in KP-specific programs and know their results</v>
      </c>
      <c r="L2242" s="384"/>
      <c r="M2242" s="384" t="str">
        <f ca="1">IFERROR(IF(VLOOKUP(C2242,' Disaggregation - Section E '!A$618:O1371,15,0)=0,"",VLOOKUP(C2242,' Disaggregation - Section E '!A$618:O1371,15,0)),"")</f>
        <v/>
      </c>
      <c r="N2242" s="388" t="str">
        <f ca="1">IFERROR(IF(VLOOKUP(C2242,' Disaggregation - Section E '!A$618:J2568,10,0)=0,"",VLOOKUP(C2242,' Disaggregation - Section E '!A$618:J2568,10,0)),"")</f>
        <v/>
      </c>
      <c r="O2242" s="384"/>
    </row>
    <row r="2243" spans="1:15" x14ac:dyDescent="0.3">
      <c r="A2243" s="384" t="b">
        <f t="shared" ca="1" si="137"/>
        <v>0</v>
      </c>
      <c r="B2243" s="384"/>
      <c r="C2243" s="393" t="str">
        <f ca="1">IF(COUNTA(O$1493:O2243)=1,"",OFFSET(B2241,-COUNTA(O$1493:O2243)+3,1))</f>
        <v>a16Dm000000LZbuIAG</v>
      </c>
      <c r="D2243" s="389"/>
      <c r="E2243" s="386" t="str">
        <f ca="1">IFERROR(IF(VLOOKUP(C2243,' Disaggregation - Section E '!A$618:J2569,7,0)="","",VLOOKUP(C2243,' Disaggregation - Section E '!A$618:J2569,7,0)*100),"")</f>
        <v/>
      </c>
      <c r="F2243" s="388" t="str">
        <f ca="1">IFERROR(VLOOKUP(C2243,' Disaggregation - Section E '!A$618:J2569,5,0),"")</f>
        <v/>
      </c>
      <c r="G2243" s="387" t="str">
        <f ca="1">IFERROR(IF(VLOOKUP(C2243,' Disaggregation - Section E '!A$618:J2569,6,0)="","",VLOOKUP(C2243,' Disaggregation - Section E '!A$618:J2569,6,0)),"")</f>
        <v/>
      </c>
      <c r="H2243" s="387" t="str">
        <f ca="1">IFERROR(IF(INDEX(' Disaggregation - Section E '!F$618:F2569,MATCH(C2243,' Disaggregation - Section E '!A$618:A2569,0)+1,1)&lt;&gt;0,INDEX(' Disaggregation - Section E '!F$618:F2569,MATCH(C2243,' Disaggregation - Section E '!A$618:A2569,0)+1,1),""),"")</f>
        <v/>
      </c>
      <c r="I2243" s="388" t="str">
        <f ca="1">IFERROR(IF(VLOOKUP(C2243,' Disaggregation - Section E '!A$618:J2569,8,0)=0,"",VLOOKUP(C2243,' Disaggregation - Section E '!A$618:J2569,8,0)),"")</f>
        <v/>
      </c>
      <c r="J2243" s="388" t="str">
        <f ca="1">IFERROR(IF(VLOOKUP(C2243,' Disaggregation - Section E '!A$618:J2569,9,0)="","",VLOOKUP(C2243,' Disaggregation - Section E '!A$618:J2569,9,0)),"")</f>
        <v/>
      </c>
      <c r="K2243" s="384" t="str">
        <f ca="1">IFERROR(VLOOKUP(C2243,' Disaggregation - Section E '!A$618:J2569,3,0),"")</f>
        <v>HTS-3b⁽ᴹ⁾ Percentage of TG that have received an HIV test during the reporting period in KP-specific programs and know their results</v>
      </c>
      <c r="L2243" s="384"/>
      <c r="M2243" s="384" t="str">
        <f ca="1">IFERROR(IF(VLOOKUP(C2243,' Disaggregation - Section E '!A$618:O1372,15,0)=0,"",VLOOKUP(C2243,' Disaggregation - Section E '!A$618:O1372,15,0)),"")</f>
        <v/>
      </c>
      <c r="N2243" s="388" t="str">
        <f ca="1">IFERROR(IF(VLOOKUP(C2243,' Disaggregation - Section E '!A$618:J2569,10,0)=0,"",VLOOKUP(C2243,' Disaggregation - Section E '!A$618:J2569,10,0)),"")</f>
        <v/>
      </c>
      <c r="O2243" s="384"/>
    </row>
    <row r="2244" spans="1:15" x14ac:dyDescent="0.3">
      <c r="A2244" s="384" t="b">
        <f t="shared" ca="1" si="137"/>
        <v>0</v>
      </c>
      <c r="B2244" s="384"/>
      <c r="C2244" s="393" t="str">
        <f ca="1">IF(COUNTA(O$1493:O2244)=1,"",OFFSET(B2242,-COUNTA(O$1493:O2244)+3,1))</f>
        <v>a16Dm000000LZbvIAG</v>
      </c>
      <c r="D2244" s="389"/>
      <c r="E2244" s="386" t="str">
        <f ca="1">IFERROR(IF(VLOOKUP(C2244,' Disaggregation - Section E '!A$618:J2570,7,0)="","",VLOOKUP(C2244,' Disaggregation - Section E '!A$618:J2570,7,0)*100),"")</f>
        <v/>
      </c>
      <c r="F2244" s="388" t="str">
        <f ca="1">IFERROR(VLOOKUP(C2244,' Disaggregation - Section E '!A$618:J2570,5,0),"")</f>
        <v/>
      </c>
      <c r="G2244" s="387" t="str">
        <f ca="1">IFERROR(IF(VLOOKUP(C2244,' Disaggregation - Section E '!A$618:J2570,6,0)="","",VLOOKUP(C2244,' Disaggregation - Section E '!A$618:J2570,6,0)),"")</f>
        <v/>
      </c>
      <c r="H2244" s="387" t="str">
        <f ca="1">IFERROR(IF(INDEX(' Disaggregation - Section E '!F$618:F2570,MATCH(C2244,' Disaggregation - Section E '!A$618:A2570,0)+1,1)&lt;&gt;0,INDEX(' Disaggregation - Section E '!F$618:F2570,MATCH(C2244,' Disaggregation - Section E '!A$618:A2570,0)+1,1),""),"")</f>
        <v/>
      </c>
      <c r="I2244" s="388" t="str">
        <f ca="1">IFERROR(IF(VLOOKUP(C2244,' Disaggregation - Section E '!A$618:J2570,8,0)=0,"",VLOOKUP(C2244,' Disaggregation - Section E '!A$618:J2570,8,0)),"")</f>
        <v/>
      </c>
      <c r="J2244" s="388" t="str">
        <f ca="1">IFERROR(IF(VLOOKUP(C2244,' Disaggregation - Section E '!A$618:J2570,9,0)="","",VLOOKUP(C2244,' Disaggregation - Section E '!A$618:J2570,9,0)),"")</f>
        <v/>
      </c>
      <c r="K2244" s="384" t="str">
        <f ca="1">IFERROR(VLOOKUP(C2244,' Disaggregation - Section E '!A$618:J2570,3,0),"")</f>
        <v>HTS-3b⁽ᴹ⁾ Percentage of TG that have received an HIV test during the reporting period in KP-specific programs and know their results</v>
      </c>
      <c r="L2244" s="384"/>
      <c r="M2244" s="384" t="str">
        <f ca="1">IFERROR(IF(VLOOKUP(C2244,' Disaggregation - Section E '!A$618:O1373,15,0)=0,"",VLOOKUP(C2244,' Disaggregation - Section E '!A$618:O1373,15,0)),"")</f>
        <v/>
      </c>
      <c r="N2244" s="388" t="str">
        <f ca="1">IFERROR(IF(VLOOKUP(C2244,' Disaggregation - Section E '!A$618:J2570,10,0)=0,"",VLOOKUP(C2244,' Disaggregation - Section E '!A$618:J2570,10,0)),"")</f>
        <v/>
      </c>
      <c r="O2244" s="384"/>
    </row>
    <row r="2245" spans="1:15" x14ac:dyDescent="0.3">
      <c r="A2245" s="384" t="b">
        <f t="shared" ca="1" si="137"/>
        <v>0</v>
      </c>
      <c r="B2245" s="384"/>
      <c r="C2245" s="393" t="str">
        <f ca="1">IF(COUNTA(O$1493:O2245)=1,"",OFFSET(B2243,-COUNTA(O$1493:O2245)+3,1))</f>
        <v>a16Dm000000LZbwIAG</v>
      </c>
      <c r="D2245" s="389"/>
      <c r="E2245" s="386" t="str">
        <f ca="1">IFERROR(IF(VLOOKUP(C2245,' Disaggregation - Section E '!A$618:J2571,7,0)="","",VLOOKUP(C2245,' Disaggregation - Section E '!A$618:J2571,7,0)*100),"")</f>
        <v/>
      </c>
      <c r="F2245" s="388" t="str">
        <f ca="1">IFERROR(VLOOKUP(C2245,' Disaggregation - Section E '!A$618:J2571,5,0),"")</f>
        <v/>
      </c>
      <c r="G2245" s="387" t="str">
        <f ca="1">IFERROR(IF(VLOOKUP(C2245,' Disaggregation - Section E '!A$618:J2571,6,0)="","",VLOOKUP(C2245,' Disaggregation - Section E '!A$618:J2571,6,0)),"")</f>
        <v/>
      </c>
      <c r="H2245" s="387" t="str">
        <f ca="1">IFERROR(IF(INDEX(' Disaggregation - Section E '!F$618:F2571,MATCH(C2245,' Disaggregation - Section E '!A$618:A2571,0)+1,1)&lt;&gt;0,INDEX(' Disaggregation - Section E '!F$618:F2571,MATCH(C2245,' Disaggregation - Section E '!A$618:A2571,0)+1,1),""),"")</f>
        <v/>
      </c>
      <c r="I2245" s="388" t="str">
        <f ca="1">IFERROR(IF(VLOOKUP(C2245,' Disaggregation - Section E '!A$618:J2571,8,0)=0,"",VLOOKUP(C2245,' Disaggregation - Section E '!A$618:J2571,8,0)),"")</f>
        <v/>
      </c>
      <c r="J2245" s="388" t="str">
        <f ca="1">IFERROR(IF(VLOOKUP(C2245,' Disaggregation - Section E '!A$618:J2571,9,0)="","",VLOOKUP(C2245,' Disaggregation - Section E '!A$618:J2571,9,0)),"")</f>
        <v/>
      </c>
      <c r="K2245" s="384" t="str">
        <f ca="1">IFERROR(VLOOKUP(C2245,' Disaggregation - Section E '!A$618:J2571,3,0),"")</f>
        <v>HTS-3b⁽ᴹ⁾ Percentage of TG that have received an HIV test during the reporting period in KP-specific programs and know their results</v>
      </c>
      <c r="L2245" s="384"/>
      <c r="M2245" s="384" t="str">
        <f ca="1">IFERROR(IF(VLOOKUP(C2245,' Disaggregation - Section E '!A$618:O1374,15,0)=0,"",VLOOKUP(C2245,' Disaggregation - Section E '!A$618:O1374,15,0)),"")</f>
        <v/>
      </c>
      <c r="N2245" s="388" t="str">
        <f ca="1">IFERROR(IF(VLOOKUP(C2245,' Disaggregation - Section E '!A$618:J2571,10,0)=0,"",VLOOKUP(C2245,' Disaggregation - Section E '!A$618:J2571,10,0)),"")</f>
        <v/>
      </c>
      <c r="O2245" s="384"/>
    </row>
    <row r="2246" spans="1:15" x14ac:dyDescent="0.3">
      <c r="A2246" s="384" t="b">
        <f t="shared" ca="1" si="137"/>
        <v>0</v>
      </c>
      <c r="B2246" s="384"/>
      <c r="C2246" s="393" t="str">
        <f ca="1">IF(COUNTA(O$1493:O2246)=1,"",OFFSET(B2244,-COUNTA(O$1493:O2246)+3,1))</f>
        <v>a16Dm000000LZbxIAG</v>
      </c>
      <c r="D2246" s="389"/>
      <c r="E2246" s="386" t="str">
        <f ca="1">IFERROR(IF(VLOOKUP(C2246,' Disaggregation - Section E '!A$618:J2572,7,0)="","",VLOOKUP(C2246,' Disaggregation - Section E '!A$618:J2572,7,0)*100),"")</f>
        <v/>
      </c>
      <c r="F2246" s="388" t="str">
        <f ca="1">IFERROR(VLOOKUP(C2246,' Disaggregation - Section E '!A$618:J2572,5,0),"")</f>
        <v/>
      </c>
      <c r="G2246" s="387" t="str">
        <f ca="1">IFERROR(IF(VLOOKUP(C2246,' Disaggregation - Section E '!A$618:J2572,6,0)="","",VLOOKUP(C2246,' Disaggregation - Section E '!A$618:J2572,6,0)),"")</f>
        <v/>
      </c>
      <c r="H2246" s="387" t="str">
        <f ca="1">IFERROR(IF(INDEX(' Disaggregation - Section E '!F$618:F2572,MATCH(C2246,' Disaggregation - Section E '!A$618:A2572,0)+1,1)&lt;&gt;0,INDEX(' Disaggregation - Section E '!F$618:F2572,MATCH(C2246,' Disaggregation - Section E '!A$618:A2572,0)+1,1),""),"")</f>
        <v/>
      </c>
      <c r="I2246" s="388" t="str">
        <f ca="1">IFERROR(IF(VLOOKUP(C2246,' Disaggregation - Section E '!A$618:J2572,8,0)=0,"",VLOOKUP(C2246,' Disaggregation - Section E '!A$618:J2572,8,0)),"")</f>
        <v/>
      </c>
      <c r="J2246" s="388" t="str">
        <f ca="1">IFERROR(IF(VLOOKUP(C2246,' Disaggregation - Section E '!A$618:J2572,9,0)="","",VLOOKUP(C2246,' Disaggregation - Section E '!A$618:J2572,9,0)),"")</f>
        <v/>
      </c>
      <c r="K2246" s="384" t="str">
        <f ca="1">IFERROR(VLOOKUP(C2246,' Disaggregation - Section E '!A$618:J2572,3,0),"")</f>
        <v>HTS-3b⁽ᴹ⁾ Percentage of TG that have received an HIV test during the reporting period in KP-specific programs and know their results</v>
      </c>
      <c r="L2246" s="384"/>
      <c r="M2246" s="384" t="str">
        <f ca="1">IFERROR(IF(VLOOKUP(C2246,' Disaggregation - Section E '!A$618:O1375,15,0)=0,"",VLOOKUP(C2246,' Disaggregation - Section E '!A$618:O1375,15,0)),"")</f>
        <v/>
      </c>
      <c r="N2246" s="388" t="str">
        <f ca="1">IFERROR(IF(VLOOKUP(C2246,' Disaggregation - Section E '!A$618:J2572,10,0)=0,"",VLOOKUP(C2246,' Disaggregation - Section E '!A$618:J2572,10,0)),"")</f>
        <v/>
      </c>
      <c r="O2246" s="384"/>
    </row>
    <row r="2247" spans="1:15" x14ac:dyDescent="0.3">
      <c r="A2247" s="384" t="b">
        <f t="shared" ca="1" si="137"/>
        <v>0</v>
      </c>
      <c r="B2247" s="384"/>
      <c r="C2247" s="393" t="str">
        <f ca="1">IF(COUNTA(O$1493:O2247)=1,"",OFFSET(B2245,-COUNTA(O$1493:O2247)+3,1))</f>
        <v>a16Dm000000LZbyIAG</v>
      </c>
      <c r="D2247" s="389"/>
      <c r="E2247" s="386" t="str">
        <f ca="1">IFERROR(IF(VLOOKUP(C2247,' Disaggregation - Section E '!A$618:J2573,7,0)="","",VLOOKUP(C2247,' Disaggregation - Section E '!A$618:J2573,7,0)*100),"")</f>
        <v/>
      </c>
      <c r="F2247" s="388" t="str">
        <f ca="1">IFERROR(VLOOKUP(C2247,' Disaggregation - Section E '!A$618:J2573,5,0),"")</f>
        <v/>
      </c>
      <c r="G2247" s="387" t="str">
        <f ca="1">IFERROR(IF(VLOOKUP(C2247,' Disaggregation - Section E '!A$618:J2573,6,0)="","",VLOOKUP(C2247,' Disaggregation - Section E '!A$618:J2573,6,0)),"")</f>
        <v/>
      </c>
      <c r="H2247" s="387" t="str">
        <f ca="1">IFERROR(IF(INDEX(' Disaggregation - Section E '!F$618:F2573,MATCH(C2247,' Disaggregation - Section E '!A$618:A2573,0)+1,1)&lt;&gt;0,INDEX(' Disaggregation - Section E '!F$618:F2573,MATCH(C2247,' Disaggregation - Section E '!A$618:A2573,0)+1,1),""),"")</f>
        <v/>
      </c>
      <c r="I2247" s="388" t="str">
        <f ca="1">IFERROR(IF(VLOOKUP(C2247,' Disaggregation - Section E '!A$618:J2573,8,0)=0,"",VLOOKUP(C2247,' Disaggregation - Section E '!A$618:J2573,8,0)),"")</f>
        <v/>
      </c>
      <c r="J2247" s="388" t="str">
        <f ca="1">IFERROR(IF(VLOOKUP(C2247,' Disaggregation - Section E '!A$618:J2573,9,0)="","",VLOOKUP(C2247,' Disaggregation - Section E '!A$618:J2573,9,0)),"")</f>
        <v/>
      </c>
      <c r="K2247" s="384" t="str">
        <f ca="1">IFERROR(VLOOKUP(C2247,' Disaggregation - Section E '!A$618:J2573,3,0),"")</f>
        <v>HTS-3b⁽ᴹ⁾ Percentage of TG that have received an HIV test during the reporting period in KP-specific programs and know their results</v>
      </c>
      <c r="L2247" s="384"/>
      <c r="M2247" s="384" t="str">
        <f ca="1">IFERROR(IF(VLOOKUP(C2247,' Disaggregation - Section E '!A$618:O1376,15,0)=0,"",VLOOKUP(C2247,' Disaggregation - Section E '!A$618:O1376,15,0)),"")</f>
        <v/>
      </c>
      <c r="N2247" s="388" t="str">
        <f ca="1">IFERROR(IF(VLOOKUP(C2247,' Disaggregation - Section E '!A$618:J2573,10,0)=0,"",VLOOKUP(C2247,' Disaggregation - Section E '!A$618:J2573,10,0)),"")</f>
        <v/>
      </c>
      <c r="O2247" s="384"/>
    </row>
    <row r="2248" spans="1:15" x14ac:dyDescent="0.3">
      <c r="A2248" s="384" t="b">
        <f t="shared" ca="1" si="137"/>
        <v>0</v>
      </c>
      <c r="B2248" s="384"/>
      <c r="C2248" s="393" t="str">
        <f ca="1">IF(COUNTA(O$1493:O2248)=1,"",OFFSET(B2246,-COUNTA(O$1493:O2248)+3,1))</f>
        <v>a16Dm000000LZbzIAG</v>
      </c>
      <c r="D2248" s="389"/>
      <c r="E2248" s="386" t="str">
        <f ca="1">IFERROR(IF(VLOOKUP(C2248,' Disaggregation - Section E '!A$618:J2574,7,0)="","",VLOOKUP(C2248,' Disaggregation - Section E '!A$618:J2574,7,0)*100),"")</f>
        <v/>
      </c>
      <c r="F2248" s="388" t="str">
        <f ca="1">IFERROR(VLOOKUP(C2248,' Disaggregation - Section E '!A$618:J2574,5,0),"")</f>
        <v/>
      </c>
      <c r="G2248" s="387" t="str">
        <f ca="1">IFERROR(IF(VLOOKUP(C2248,' Disaggregation - Section E '!A$618:J2574,6,0)="","",VLOOKUP(C2248,' Disaggregation - Section E '!A$618:J2574,6,0)),"")</f>
        <v/>
      </c>
      <c r="H2248" s="387" t="str">
        <f ca="1">IFERROR(IF(INDEX(' Disaggregation - Section E '!F$618:F2574,MATCH(C2248,' Disaggregation - Section E '!A$618:A2574,0)+1,1)&lt;&gt;0,INDEX(' Disaggregation - Section E '!F$618:F2574,MATCH(C2248,' Disaggregation - Section E '!A$618:A2574,0)+1,1),""),"")</f>
        <v/>
      </c>
      <c r="I2248" s="388" t="str">
        <f ca="1">IFERROR(IF(VLOOKUP(C2248,' Disaggregation - Section E '!A$618:J2574,8,0)=0,"",VLOOKUP(C2248,' Disaggregation - Section E '!A$618:J2574,8,0)),"")</f>
        <v/>
      </c>
      <c r="J2248" s="388" t="str">
        <f ca="1">IFERROR(IF(VLOOKUP(C2248,' Disaggregation - Section E '!A$618:J2574,9,0)="","",VLOOKUP(C2248,' Disaggregation - Section E '!A$618:J2574,9,0)),"")</f>
        <v/>
      </c>
      <c r="K2248" s="384" t="str">
        <f ca="1">IFERROR(VLOOKUP(C2248,' Disaggregation - Section E '!A$618:J2574,3,0),"")</f>
        <v>HTS-3b⁽ᴹ⁾ Percentage of TG that have received an HIV test during the reporting period in KP-specific programs and know their results</v>
      </c>
      <c r="L2248" s="384"/>
      <c r="M2248" s="384" t="str">
        <f ca="1">IFERROR(IF(VLOOKUP(C2248,' Disaggregation - Section E '!A$618:O1377,15,0)=0,"",VLOOKUP(C2248,' Disaggregation - Section E '!A$618:O1377,15,0)),"")</f>
        <v/>
      </c>
      <c r="N2248" s="388" t="str">
        <f ca="1">IFERROR(IF(VLOOKUP(C2248,' Disaggregation - Section E '!A$618:J2574,10,0)=0,"",VLOOKUP(C2248,' Disaggregation - Section E '!A$618:J2574,10,0)),"")</f>
        <v/>
      </c>
      <c r="O2248" s="384"/>
    </row>
    <row r="2249" spans="1:15" x14ac:dyDescent="0.3">
      <c r="A2249" s="384" t="b">
        <f t="shared" ca="1" si="137"/>
        <v>0</v>
      </c>
      <c r="B2249" s="384"/>
      <c r="C2249" s="393" t="str">
        <f ca="1">IF(COUNTA(O$1493:O2249)=1,"",OFFSET(B2247,-COUNTA(O$1493:O2249)+3,1))</f>
        <v>a16Dm000000LZc0IAG</v>
      </c>
      <c r="D2249" s="389"/>
      <c r="E2249" s="386" t="str">
        <f ca="1">IFERROR(IF(VLOOKUP(C2249,' Disaggregation - Section E '!A$618:J2575,7,0)="","",VLOOKUP(C2249,' Disaggregation - Section E '!A$618:J2575,7,0)*100),"")</f>
        <v/>
      </c>
      <c r="F2249" s="388" t="str">
        <f ca="1">IFERROR(VLOOKUP(C2249,' Disaggregation - Section E '!A$618:J2575,5,0),"")</f>
        <v/>
      </c>
      <c r="G2249" s="387" t="str">
        <f ca="1">IFERROR(IF(VLOOKUP(C2249,' Disaggregation - Section E '!A$618:J2575,6,0)="","",VLOOKUP(C2249,' Disaggregation - Section E '!A$618:J2575,6,0)),"")</f>
        <v/>
      </c>
      <c r="H2249" s="387" t="str">
        <f ca="1">IFERROR(IF(INDEX(' Disaggregation - Section E '!F$618:F2575,MATCH(C2249,' Disaggregation - Section E '!A$618:A2575,0)+1,1)&lt;&gt;0,INDEX(' Disaggregation - Section E '!F$618:F2575,MATCH(C2249,' Disaggregation - Section E '!A$618:A2575,0)+1,1),""),"")</f>
        <v/>
      </c>
      <c r="I2249" s="388" t="str">
        <f ca="1">IFERROR(IF(VLOOKUP(C2249,' Disaggregation - Section E '!A$618:J2575,8,0)=0,"",VLOOKUP(C2249,' Disaggregation - Section E '!A$618:J2575,8,0)),"")</f>
        <v/>
      </c>
      <c r="J2249" s="388" t="str">
        <f ca="1">IFERROR(IF(VLOOKUP(C2249,' Disaggregation - Section E '!A$618:J2575,9,0)="","",VLOOKUP(C2249,' Disaggregation - Section E '!A$618:J2575,9,0)),"")</f>
        <v/>
      </c>
      <c r="K2249" s="384" t="str">
        <f ca="1">IFERROR(VLOOKUP(C2249,' Disaggregation - Section E '!A$618:J2575,3,0),"")</f>
        <v>HTS-3b⁽ᴹ⁾ Percentage of TG that have received an HIV test during the reporting period in KP-specific programs and know their results</v>
      </c>
      <c r="L2249" s="384"/>
      <c r="M2249" s="384" t="str">
        <f ca="1">IFERROR(IF(VLOOKUP(C2249,' Disaggregation - Section E '!A$618:O1378,15,0)=0,"",VLOOKUP(C2249,' Disaggregation - Section E '!A$618:O1378,15,0)),"")</f>
        <v/>
      </c>
      <c r="N2249" s="388" t="str">
        <f ca="1">IFERROR(IF(VLOOKUP(C2249,' Disaggregation - Section E '!A$618:J2575,10,0)=0,"",VLOOKUP(C2249,' Disaggregation - Section E '!A$618:J2575,10,0)),"")</f>
        <v/>
      </c>
      <c r="O2249" s="384"/>
    </row>
    <row r="2250" spans="1:15" x14ac:dyDescent="0.3">
      <c r="A2250" s="384" t="b">
        <f t="shared" ca="1" si="137"/>
        <v>0</v>
      </c>
      <c r="B2250" s="384"/>
      <c r="C2250" s="393" t="str">
        <f ca="1">IF(COUNTA(O$1493:O2250)=1,"",OFFSET(B2248,-COUNTA(O$1493:O2250)+3,1))</f>
        <v>a16Dm000000LZc1IAG</v>
      </c>
      <c r="D2250" s="389"/>
      <c r="E2250" s="386" t="str">
        <f ca="1">IFERROR(IF(VLOOKUP(C2250,' Disaggregation - Section E '!A$618:J2576,7,0)="","",VLOOKUP(C2250,' Disaggregation - Section E '!A$618:J2576,7,0)*100),"")</f>
        <v/>
      </c>
      <c r="F2250" s="388" t="str">
        <f ca="1">IFERROR(VLOOKUP(C2250,' Disaggregation - Section E '!A$618:J2576,5,0),"")</f>
        <v/>
      </c>
      <c r="G2250" s="387" t="str">
        <f ca="1">IFERROR(IF(VLOOKUP(C2250,' Disaggregation - Section E '!A$618:J2576,6,0)="","",VLOOKUP(C2250,' Disaggregation - Section E '!A$618:J2576,6,0)),"")</f>
        <v/>
      </c>
      <c r="H2250" s="387" t="str">
        <f ca="1">IFERROR(IF(INDEX(' Disaggregation - Section E '!F$618:F2576,MATCH(C2250,' Disaggregation - Section E '!A$618:A2576,0)+1,1)&lt;&gt;0,INDEX(' Disaggregation - Section E '!F$618:F2576,MATCH(C2250,' Disaggregation - Section E '!A$618:A2576,0)+1,1),""),"")</f>
        <v/>
      </c>
      <c r="I2250" s="388" t="str">
        <f ca="1">IFERROR(IF(VLOOKUP(C2250,' Disaggregation - Section E '!A$618:J2576,8,0)=0,"",VLOOKUP(C2250,' Disaggregation - Section E '!A$618:J2576,8,0)),"")</f>
        <v/>
      </c>
      <c r="J2250" s="388" t="str">
        <f ca="1">IFERROR(IF(VLOOKUP(C2250,' Disaggregation - Section E '!A$618:J2576,9,0)="","",VLOOKUP(C2250,' Disaggregation - Section E '!A$618:J2576,9,0)),"")</f>
        <v/>
      </c>
      <c r="K2250" s="384" t="str">
        <f ca="1">IFERROR(VLOOKUP(C2250,' Disaggregation - Section E '!A$618:J2576,3,0),"")</f>
        <v>HTS-3b⁽ᴹ⁾ Percentage of TG that have received an HIV test during the reporting period in KP-specific programs and know their results</v>
      </c>
      <c r="L2250" s="384"/>
      <c r="M2250" s="384" t="str">
        <f ca="1">IFERROR(IF(VLOOKUP(C2250,' Disaggregation - Section E '!A$618:O1379,15,0)=0,"",VLOOKUP(C2250,' Disaggregation - Section E '!A$618:O1379,15,0)),"")</f>
        <v/>
      </c>
      <c r="N2250" s="388" t="str">
        <f ca="1">IFERROR(IF(VLOOKUP(C2250,' Disaggregation - Section E '!A$618:J2576,10,0)=0,"",VLOOKUP(C2250,' Disaggregation - Section E '!A$618:J2576,10,0)),"")</f>
        <v/>
      </c>
      <c r="O2250" s="384"/>
    </row>
    <row r="2251" spans="1:15" x14ac:dyDescent="0.3">
      <c r="A2251" s="384" t="b">
        <f t="shared" ca="1" si="137"/>
        <v>0</v>
      </c>
      <c r="B2251" s="384"/>
      <c r="C2251" s="393" t="str">
        <f ca="1">IF(COUNTA(O$1493:O2251)=1,"",OFFSET(B2249,-COUNTA(O$1493:O2251)+3,1))</f>
        <v>a16Dm000000LZc2IAG</v>
      </c>
      <c r="D2251" s="389"/>
      <c r="E2251" s="386" t="str">
        <f ca="1">IFERROR(IF(VLOOKUP(C2251,' Disaggregation - Section E '!A$618:J2577,7,0)="","",VLOOKUP(C2251,' Disaggregation - Section E '!A$618:J2577,7,0)*100),"")</f>
        <v/>
      </c>
      <c r="F2251" s="388" t="str">
        <f ca="1">IFERROR(VLOOKUP(C2251,' Disaggregation - Section E '!A$618:J2577,5,0),"")</f>
        <v/>
      </c>
      <c r="G2251" s="387" t="str">
        <f ca="1">IFERROR(IF(VLOOKUP(C2251,' Disaggregation - Section E '!A$618:J2577,6,0)="","",VLOOKUP(C2251,' Disaggregation - Section E '!A$618:J2577,6,0)),"")</f>
        <v/>
      </c>
      <c r="H2251" s="387" t="str">
        <f ca="1">IFERROR(IF(INDEX(' Disaggregation - Section E '!F$618:F2577,MATCH(C2251,' Disaggregation - Section E '!A$618:A2577,0)+1,1)&lt;&gt;0,INDEX(' Disaggregation - Section E '!F$618:F2577,MATCH(C2251,' Disaggregation - Section E '!A$618:A2577,0)+1,1),""),"")</f>
        <v/>
      </c>
      <c r="I2251" s="388" t="str">
        <f ca="1">IFERROR(IF(VLOOKUP(C2251,' Disaggregation - Section E '!A$618:J2577,8,0)=0,"",VLOOKUP(C2251,' Disaggregation - Section E '!A$618:J2577,8,0)),"")</f>
        <v/>
      </c>
      <c r="J2251" s="388" t="str">
        <f ca="1">IFERROR(IF(VLOOKUP(C2251,' Disaggregation - Section E '!A$618:J2577,9,0)="","",VLOOKUP(C2251,' Disaggregation - Section E '!A$618:J2577,9,0)),"")</f>
        <v/>
      </c>
      <c r="K2251" s="384" t="str">
        <f ca="1">IFERROR(VLOOKUP(C2251,' Disaggregation - Section E '!A$618:J2577,3,0),"")</f>
        <v>HTS-3b⁽ᴹ⁾ Percentage of TG that have received an HIV test during the reporting period in KP-specific programs and know their results</v>
      </c>
      <c r="L2251" s="384"/>
      <c r="M2251" s="384" t="str">
        <f ca="1">IFERROR(IF(VLOOKUP(C2251,' Disaggregation - Section E '!A$618:O1380,15,0)=0,"",VLOOKUP(C2251,' Disaggregation - Section E '!A$618:O1380,15,0)),"")</f>
        <v/>
      </c>
      <c r="N2251" s="388" t="str">
        <f ca="1">IFERROR(IF(VLOOKUP(C2251,' Disaggregation - Section E '!A$618:J2577,10,0)=0,"",VLOOKUP(C2251,' Disaggregation - Section E '!A$618:J2577,10,0)),"")</f>
        <v/>
      </c>
      <c r="O2251" s="384"/>
    </row>
    <row r="2252" spans="1:15" x14ac:dyDescent="0.3">
      <c r="A2252" s="384" t="b">
        <f t="shared" ca="1" si="137"/>
        <v>0</v>
      </c>
      <c r="B2252" s="384"/>
      <c r="C2252" s="393" t="str">
        <f ca="1">IF(COUNTA(O$1493:O2252)=1,"",OFFSET(B2250,-COUNTA(O$1493:O2252)+3,1))</f>
        <v>a16Dm000000LZc3IAG</v>
      </c>
      <c r="D2252" s="389"/>
      <c r="E2252" s="386" t="str">
        <f ca="1">IFERROR(IF(VLOOKUP(C2252,' Disaggregation - Section E '!A$618:J2578,7,0)="","",VLOOKUP(C2252,' Disaggregation - Section E '!A$618:J2578,7,0)*100),"")</f>
        <v/>
      </c>
      <c r="F2252" s="388" t="str">
        <f ca="1">IFERROR(VLOOKUP(C2252,' Disaggregation - Section E '!A$618:J2578,5,0),"")</f>
        <v/>
      </c>
      <c r="G2252" s="387" t="str">
        <f ca="1">IFERROR(IF(VLOOKUP(C2252,' Disaggregation - Section E '!A$618:J2578,6,0)="","",VLOOKUP(C2252,' Disaggregation - Section E '!A$618:J2578,6,0)),"")</f>
        <v/>
      </c>
      <c r="H2252" s="387" t="str">
        <f ca="1">IFERROR(IF(INDEX(' Disaggregation - Section E '!F$618:F2578,MATCH(C2252,' Disaggregation - Section E '!A$618:A2578,0)+1,1)&lt;&gt;0,INDEX(' Disaggregation - Section E '!F$618:F2578,MATCH(C2252,' Disaggregation - Section E '!A$618:A2578,0)+1,1),""),"")</f>
        <v/>
      </c>
      <c r="I2252" s="388" t="str">
        <f ca="1">IFERROR(IF(VLOOKUP(C2252,' Disaggregation - Section E '!A$618:J2578,8,0)=0,"",VLOOKUP(C2252,' Disaggregation - Section E '!A$618:J2578,8,0)),"")</f>
        <v/>
      </c>
      <c r="J2252" s="388" t="str">
        <f ca="1">IFERROR(IF(VLOOKUP(C2252,' Disaggregation - Section E '!A$618:J2578,9,0)="","",VLOOKUP(C2252,' Disaggregation - Section E '!A$618:J2578,9,0)),"")</f>
        <v/>
      </c>
      <c r="K2252" s="384" t="str">
        <f ca="1">IFERROR(VLOOKUP(C2252,' Disaggregation - Section E '!A$618:J2578,3,0),"")</f>
        <v>HTS-3b⁽ᴹ⁾ Percentage of TG that have received an HIV test during the reporting period in KP-specific programs and know their results</v>
      </c>
      <c r="L2252" s="384"/>
      <c r="M2252" s="384" t="str">
        <f ca="1">IFERROR(IF(VLOOKUP(C2252,' Disaggregation - Section E '!A$618:O1381,15,0)=0,"",VLOOKUP(C2252,' Disaggregation - Section E '!A$618:O1381,15,0)),"")</f>
        <v/>
      </c>
      <c r="N2252" s="388" t="str">
        <f ca="1">IFERROR(IF(VLOOKUP(C2252,' Disaggregation - Section E '!A$618:J2578,10,0)=0,"",VLOOKUP(C2252,' Disaggregation - Section E '!A$618:J2578,10,0)),"")</f>
        <v/>
      </c>
      <c r="O2252" s="384"/>
    </row>
    <row r="2253" spans="1:15" x14ac:dyDescent="0.3">
      <c r="A2253" s="384" t="b">
        <f t="shared" ca="1" si="137"/>
        <v>0</v>
      </c>
      <c r="B2253" s="384"/>
      <c r="C2253" s="393" t="str">
        <f ca="1">IF(COUNTA(O$1493:O2253)=1,"",OFFSET(B2251,-COUNTA(O$1493:O2253)+3,1))</f>
        <v>a16Dm000000LZc4IAG</v>
      </c>
      <c r="D2253" s="389"/>
      <c r="E2253" s="386" t="str">
        <f ca="1">IFERROR(IF(VLOOKUP(C2253,' Disaggregation - Section E '!A$618:J2579,7,0)="","",VLOOKUP(C2253,' Disaggregation - Section E '!A$618:J2579,7,0)*100),"")</f>
        <v/>
      </c>
      <c r="F2253" s="388" t="str">
        <f ca="1">IFERROR(VLOOKUP(C2253,' Disaggregation - Section E '!A$618:J2579,5,0),"")</f>
        <v/>
      </c>
      <c r="G2253" s="387" t="str">
        <f ca="1">IFERROR(IF(VLOOKUP(C2253,' Disaggregation - Section E '!A$618:J2579,6,0)="","",VLOOKUP(C2253,' Disaggregation - Section E '!A$618:J2579,6,0)),"")</f>
        <v/>
      </c>
      <c r="H2253" s="387" t="str">
        <f ca="1">IFERROR(IF(INDEX(' Disaggregation - Section E '!F$618:F2579,MATCH(C2253,' Disaggregation - Section E '!A$618:A2579,0)+1,1)&lt;&gt;0,INDEX(' Disaggregation - Section E '!F$618:F2579,MATCH(C2253,' Disaggregation - Section E '!A$618:A2579,0)+1,1),""),"")</f>
        <v/>
      </c>
      <c r="I2253" s="388" t="str">
        <f ca="1">IFERROR(IF(VLOOKUP(C2253,' Disaggregation - Section E '!A$618:J2579,8,0)=0,"",VLOOKUP(C2253,' Disaggregation - Section E '!A$618:J2579,8,0)),"")</f>
        <v/>
      </c>
      <c r="J2253" s="388" t="str">
        <f ca="1">IFERROR(IF(VLOOKUP(C2253,' Disaggregation - Section E '!A$618:J2579,9,0)="","",VLOOKUP(C2253,' Disaggregation - Section E '!A$618:J2579,9,0)),"")</f>
        <v/>
      </c>
      <c r="K2253" s="384" t="str">
        <f ca="1">IFERROR(VLOOKUP(C2253,' Disaggregation - Section E '!A$618:J2579,3,0),"")</f>
        <v>HTS-3b⁽ᴹ⁾ Percentage of TG that have received an HIV test during the reporting period in KP-specific programs and know their results</v>
      </c>
      <c r="L2253" s="384"/>
      <c r="M2253" s="384" t="str">
        <f ca="1">IFERROR(IF(VLOOKUP(C2253,' Disaggregation - Section E '!A$618:O1382,15,0)=0,"",VLOOKUP(C2253,' Disaggregation - Section E '!A$618:O1382,15,0)),"")</f>
        <v/>
      </c>
      <c r="N2253" s="388" t="str">
        <f ca="1">IFERROR(IF(VLOOKUP(C2253,' Disaggregation - Section E '!A$618:J2579,10,0)=0,"",VLOOKUP(C2253,' Disaggregation - Section E '!A$618:J2579,10,0)),"")</f>
        <v/>
      </c>
      <c r="O2253" s="384"/>
    </row>
    <row r="2254" spans="1:15" x14ac:dyDescent="0.3">
      <c r="A2254" s="384" t="b">
        <f t="shared" ca="1" si="137"/>
        <v>0</v>
      </c>
      <c r="B2254" s="384"/>
      <c r="C2254" s="393" t="str">
        <f ca="1">IF(COUNTA(O$1493:O2254)=1,"",OFFSET(B2252,-COUNTA(O$1493:O2254)+3,1))</f>
        <v>a16Dm000000LZc5IAG</v>
      </c>
      <c r="D2254" s="389"/>
      <c r="E2254" s="386" t="str">
        <f ca="1">IFERROR(IF(VLOOKUP(C2254,' Disaggregation - Section E '!A$618:J2580,7,0)="","",VLOOKUP(C2254,' Disaggregation - Section E '!A$618:J2580,7,0)*100),"")</f>
        <v/>
      </c>
      <c r="F2254" s="388" t="str">
        <f ca="1">IFERROR(VLOOKUP(C2254,' Disaggregation - Section E '!A$618:J2580,5,0),"")</f>
        <v/>
      </c>
      <c r="G2254" s="387" t="str">
        <f ca="1">IFERROR(IF(VLOOKUP(C2254,' Disaggregation - Section E '!A$618:J2580,6,0)="","",VLOOKUP(C2254,' Disaggregation - Section E '!A$618:J2580,6,0)),"")</f>
        <v/>
      </c>
      <c r="H2254" s="387" t="str">
        <f ca="1">IFERROR(IF(INDEX(' Disaggregation - Section E '!F$618:F2580,MATCH(C2254,' Disaggregation - Section E '!A$618:A2580,0)+1,1)&lt;&gt;0,INDEX(' Disaggregation - Section E '!F$618:F2580,MATCH(C2254,' Disaggregation - Section E '!A$618:A2580,0)+1,1),""),"")</f>
        <v/>
      </c>
      <c r="I2254" s="388" t="str">
        <f ca="1">IFERROR(IF(VLOOKUP(C2254,' Disaggregation - Section E '!A$618:J2580,8,0)=0,"",VLOOKUP(C2254,' Disaggregation - Section E '!A$618:J2580,8,0)),"")</f>
        <v/>
      </c>
      <c r="J2254" s="388" t="str">
        <f ca="1">IFERROR(IF(VLOOKUP(C2254,' Disaggregation - Section E '!A$618:J2580,9,0)="","",VLOOKUP(C2254,' Disaggregation - Section E '!A$618:J2580,9,0)),"")</f>
        <v/>
      </c>
      <c r="K2254" s="384" t="str">
        <f ca="1">IFERROR(VLOOKUP(C2254,' Disaggregation - Section E '!A$618:J2580,3,0),"")</f>
        <v>HTS-3b⁽ᴹ⁾ Percentage of TG that have received an HIV test during the reporting period in KP-specific programs and know their results</v>
      </c>
      <c r="L2254" s="384"/>
      <c r="M2254" s="384" t="str">
        <f ca="1">IFERROR(IF(VLOOKUP(C2254,' Disaggregation - Section E '!A$618:O1383,15,0)=0,"",VLOOKUP(C2254,' Disaggregation - Section E '!A$618:O1383,15,0)),"")</f>
        <v/>
      </c>
      <c r="N2254" s="388" t="str">
        <f ca="1">IFERROR(IF(VLOOKUP(C2254,' Disaggregation - Section E '!A$618:J2580,10,0)=0,"",VLOOKUP(C2254,' Disaggregation - Section E '!A$618:J2580,10,0)),"")</f>
        <v/>
      </c>
      <c r="O2254" s="384"/>
    </row>
    <row r="2255" spans="1:15" x14ac:dyDescent="0.3">
      <c r="A2255" s="384" t="b">
        <f t="shared" ca="1" si="137"/>
        <v>1</v>
      </c>
      <c r="B2255" s="384"/>
      <c r="C2255" s="393" t="str">
        <f ca="1">IF(COUNTA(O$1493:O2255)=1,"",OFFSET(B2253,-COUNTA(O$1493:O2255)+3,1))</f>
        <v>a16Dm000000LZc6IAG</v>
      </c>
      <c r="D2255" s="389"/>
      <c r="E2255" s="386" t="str">
        <f ca="1">IFERROR(IF(VLOOKUP(C2255,' Disaggregation - Section E '!A$618:J2581,7,0)="","",VLOOKUP(C2255,' Disaggregation - Section E '!A$618:J2581,7,0)*100),"")</f>
        <v/>
      </c>
      <c r="F2255" s="388" t="str">
        <f ca="1">IFERROR(VLOOKUP(C2255,' Disaggregation - Section E '!A$618:J2581,5,0),"")</f>
        <v>25+</v>
      </c>
      <c r="G2255" s="387">
        <f ca="1">IFERROR(IF(VLOOKUP(C2255,' Disaggregation - Section E '!A$618:J2581,6,0)="","",VLOOKUP(C2255,' Disaggregation - Section E '!A$618:J2581,6,0)),"")</f>
        <v>15769</v>
      </c>
      <c r="H2255" s="387" t="str">
        <f ca="1">IFERROR(IF(INDEX(' Disaggregation - Section E '!F$618:F2581,MATCH(C2255,' Disaggregation - Section E '!A$618:A2581,0)+1,1)&lt;&gt;0,INDEX(' Disaggregation - Section E '!F$618:F2581,MATCH(C2255,' Disaggregation - Section E '!A$618:A2581,0)+1,1),""),"")</f>
        <v/>
      </c>
      <c r="I2255" s="388">
        <f ca="1">IFERROR(IF(VLOOKUP(C2255,' Disaggregation - Section E '!A$618:J2581,8,0)=0,"",VLOOKUP(C2255,' Disaggregation - Section E '!A$618:J2581,8,0)),"")</f>
        <v>2022</v>
      </c>
      <c r="J2255" s="388" t="str">
        <f ca="1">IFERROR(IF(VLOOKUP(C2255,' Disaggregation - Section E '!A$618:J2581,9,0)="","",VLOOKUP(C2255,' Disaggregation - Section E '!A$618:J2581,9,0)),"")</f>
        <v>Admistrative report</v>
      </c>
      <c r="K2255" s="384" t="str">
        <f ca="1">IFERROR(VLOOKUP(C2255,' Disaggregation - Section E '!A$618:J2581,3,0),"")</f>
        <v>HTS-3d⁽ᴹ⁾ Percentage of people who inject drugs that have received an HIV test during the reporting period in KP-specific programs and know their results</v>
      </c>
      <c r="L2255" s="384"/>
      <c r="M2255" s="384" t="str">
        <f ca="1">IFERROR(IF(VLOOKUP(C2255,' Disaggregation - Section E '!A$618:O1384,15,0)=0,"",VLOOKUP(C2255,' Disaggregation - Section E '!A$618:O1384,15,0)),"")</f>
        <v>IDR-01286</v>
      </c>
      <c r="N2255" s="388" t="str">
        <f ca="1">IFERROR(IF(VLOOKUP(C2255,' Disaggregation - Section E '!A$618:J2581,10,0)=0,"",VLOOKUP(C2255,' Disaggregation - Section E '!A$618:J2581,10,0)),"")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255" s="384"/>
    </row>
    <row r="2256" spans="1:15" x14ac:dyDescent="0.3">
      <c r="A2256" s="384" t="b">
        <f t="shared" ca="1" si="137"/>
        <v>1</v>
      </c>
      <c r="B2256" s="384"/>
      <c r="C2256" s="393" t="str">
        <f ca="1">IF(COUNTA(O$1493:O2256)=1,"",OFFSET(B2254,-COUNTA(O$1493:O2256)+3,1))</f>
        <v>a16Dm000000LZc7IAG</v>
      </c>
      <c r="D2256" s="389"/>
      <c r="E2256" s="386" t="str">
        <f ca="1">IFERROR(IF(VLOOKUP(C2256,' Disaggregation - Section E '!A$618:J2582,7,0)="","",VLOOKUP(C2256,' Disaggregation - Section E '!A$618:J2582,7,0)*100),"")</f>
        <v/>
      </c>
      <c r="F2256" s="388" t="str">
        <f ca="1">IFERROR(VLOOKUP(C2256,' Disaggregation - Section E '!A$618:J2582,5,0),"")</f>
        <v>20-24</v>
      </c>
      <c r="G2256" s="387">
        <f ca="1">IFERROR(IF(VLOOKUP(C2256,' Disaggregation - Section E '!A$618:J2582,6,0)="","",VLOOKUP(C2256,' Disaggregation - Section E '!A$618:J2582,6,0)),"")</f>
        <v>318</v>
      </c>
      <c r="H2256" s="387" t="str">
        <f ca="1">IFERROR(IF(INDEX(' Disaggregation - Section E '!F$618:F2582,MATCH(C2256,' Disaggregation - Section E '!A$618:A2582,0)+1,1)&lt;&gt;0,INDEX(' Disaggregation - Section E '!F$618:F2582,MATCH(C2256,' Disaggregation - Section E '!A$618:A2582,0)+1,1),""),"")</f>
        <v/>
      </c>
      <c r="I2256" s="388">
        <f ca="1">IFERROR(IF(VLOOKUP(C2256,' Disaggregation - Section E '!A$618:J2582,8,0)=0,"",VLOOKUP(C2256,' Disaggregation - Section E '!A$618:J2582,8,0)),"")</f>
        <v>2022</v>
      </c>
      <c r="J2256" s="388" t="str">
        <f ca="1">IFERROR(IF(VLOOKUP(C2256,' Disaggregation - Section E '!A$618:J2582,9,0)="","",VLOOKUP(C2256,' Disaggregation - Section E '!A$618:J2582,9,0)),"")</f>
        <v>Admistrative report</v>
      </c>
      <c r="K2256" s="384" t="str">
        <f ca="1">IFERROR(VLOOKUP(C2256,' Disaggregation - Section E '!A$618:J2582,3,0),"")</f>
        <v>HTS-3d⁽ᴹ⁾ Percentage of people who inject drugs that have received an HIV test during the reporting period in KP-specific programs and know their results</v>
      </c>
      <c r="L2256" s="384"/>
      <c r="M2256" s="384" t="str">
        <f ca="1">IFERROR(IF(VLOOKUP(C2256,' Disaggregation - Section E '!A$618:O1385,15,0)=0,"",VLOOKUP(C2256,' Disaggregation - Section E '!A$618:O1385,15,0)),"")</f>
        <v>IDR-01285</v>
      </c>
      <c r="N2256" s="388" t="str">
        <f ca="1">IFERROR(IF(VLOOKUP(C2256,' Disaggregation - Section E '!A$618:J2582,10,0)=0,"",VLOOKUP(C2256,' Disaggregation - Section E '!A$618:J2582,10,0)),"")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256" s="384"/>
    </row>
    <row r="2257" spans="1:15" x14ac:dyDescent="0.3">
      <c r="A2257" s="384" t="b">
        <f t="shared" ca="1" si="137"/>
        <v>1</v>
      </c>
      <c r="B2257" s="384"/>
      <c r="C2257" s="393" t="str">
        <f ca="1">IF(COUNTA(O$1493:O2257)=1,"",OFFSET(B2255,-COUNTA(O$1493:O2257)+3,1))</f>
        <v>a16Dm000000LZc8IAG</v>
      </c>
      <c r="D2257" s="389"/>
      <c r="E2257" s="386" t="str">
        <f ca="1">IFERROR(IF(VLOOKUP(C2257,' Disaggregation - Section E '!A$618:J2583,7,0)="","",VLOOKUP(C2257,' Disaggregation - Section E '!A$618:J2583,7,0)*100),"")</f>
        <v/>
      </c>
      <c r="F2257" s="388" t="str">
        <f ca="1">IFERROR(VLOOKUP(C2257,' Disaggregation - Section E '!A$618:J2583,5,0),"")</f>
        <v>15-19</v>
      </c>
      <c r="G2257" s="387">
        <f ca="1">IFERROR(IF(VLOOKUP(C2257,' Disaggregation - Section E '!A$618:J2583,6,0)="","",VLOOKUP(C2257,' Disaggregation - Section E '!A$618:J2583,6,0)),"")</f>
        <v>15</v>
      </c>
      <c r="H2257" s="387" t="str">
        <f ca="1">IFERROR(IF(INDEX(' Disaggregation - Section E '!F$618:F2583,MATCH(C2257,' Disaggregation - Section E '!A$618:A2583,0)+1,1)&lt;&gt;0,INDEX(' Disaggregation - Section E '!F$618:F2583,MATCH(C2257,' Disaggregation - Section E '!A$618:A2583,0)+1,1),""),"")</f>
        <v/>
      </c>
      <c r="I2257" s="388">
        <f ca="1">IFERROR(IF(VLOOKUP(C2257,' Disaggregation - Section E '!A$618:J2583,8,0)=0,"",VLOOKUP(C2257,' Disaggregation - Section E '!A$618:J2583,8,0)),"")</f>
        <v>2022</v>
      </c>
      <c r="J2257" s="388" t="str">
        <f ca="1">IFERROR(IF(VLOOKUP(C2257,' Disaggregation - Section E '!A$618:J2583,9,0)="","",VLOOKUP(C2257,' Disaggregation - Section E '!A$618:J2583,9,0)),"")</f>
        <v>Admistrative report</v>
      </c>
      <c r="K2257" s="384" t="str">
        <f ca="1">IFERROR(VLOOKUP(C2257,' Disaggregation - Section E '!A$618:J2583,3,0),"")</f>
        <v>HTS-3d⁽ᴹ⁾ Percentage of people who inject drugs that have received an HIV test during the reporting period in KP-specific programs and know their results</v>
      </c>
      <c r="L2257" s="384"/>
      <c r="M2257" s="384" t="str">
        <f ca="1">IFERROR(IF(VLOOKUP(C2257,' Disaggregation - Section E '!A$618:O1386,15,0)=0,"",VLOOKUP(C2257,' Disaggregation - Section E '!A$618:O1386,15,0)),"")</f>
        <v>IDR-01284</v>
      </c>
      <c r="N2257" s="388" t="str">
        <f ca="1">IFERROR(IF(VLOOKUP(C2257,' Disaggregation - Section E '!A$618:J2583,10,0)=0,"",VLOOKUP(C2257,' Disaggregation - Section E '!A$618:J2583,10,0)),"")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257" s="384"/>
    </row>
    <row r="2258" spans="1:15" x14ac:dyDescent="0.3">
      <c r="A2258" s="384" t="b">
        <f t="shared" ca="1" si="137"/>
        <v>1</v>
      </c>
      <c r="B2258" s="384"/>
      <c r="C2258" s="393" t="str">
        <f ca="1">IF(COUNTA(O$1493:O2258)=1,"",OFFSET(B2256,-COUNTA(O$1493:O2258)+3,1))</f>
        <v>a16Dm000000LZc9IAG</v>
      </c>
      <c r="D2258" s="389"/>
      <c r="E2258" s="386" t="str">
        <f ca="1">IFERROR(IF(VLOOKUP(C2258,' Disaggregation - Section E '!A$618:J2584,7,0)="","",VLOOKUP(C2258,' Disaggregation - Section E '!A$618:J2584,7,0)*100),"")</f>
        <v/>
      </c>
      <c r="F2258" s="388" t="str">
        <f ca="1">IFERROR(VLOOKUP(C2258,' Disaggregation - Section E '!A$618:J2584,5,0),"")</f>
        <v>Male</v>
      </c>
      <c r="G2258" s="387">
        <f ca="1">IFERROR(IF(VLOOKUP(C2258,' Disaggregation - Section E '!A$618:J2584,6,0)="","",VLOOKUP(C2258,' Disaggregation - Section E '!A$618:J2584,6,0)),"")</f>
        <v>13774</v>
      </c>
      <c r="H2258" s="387" t="str">
        <f ca="1">IFERROR(IF(INDEX(' Disaggregation - Section E '!F$618:F2584,MATCH(C2258,' Disaggregation - Section E '!A$618:A2584,0)+1,1)&lt;&gt;0,INDEX(' Disaggregation - Section E '!F$618:F2584,MATCH(C2258,' Disaggregation - Section E '!A$618:A2584,0)+1,1),""),"")</f>
        <v/>
      </c>
      <c r="I2258" s="388">
        <f ca="1">IFERROR(IF(VLOOKUP(C2258,' Disaggregation - Section E '!A$618:J2584,8,0)=0,"",VLOOKUP(C2258,' Disaggregation - Section E '!A$618:J2584,8,0)),"")</f>
        <v>2022</v>
      </c>
      <c r="J2258" s="388" t="str">
        <f ca="1">IFERROR(IF(VLOOKUP(C2258,' Disaggregation - Section E '!A$618:J2584,9,0)="","",VLOOKUP(C2258,' Disaggregation - Section E '!A$618:J2584,9,0)),"")</f>
        <v>Admistrative report</v>
      </c>
      <c r="K2258" s="384" t="str">
        <f ca="1">IFERROR(VLOOKUP(C2258,' Disaggregation - Section E '!A$618:J2584,3,0),"")</f>
        <v>HTS-3d⁽ᴹ⁾ Percentage of people who inject drugs that have received an HIV test during the reporting period in KP-specific programs and know their results</v>
      </c>
      <c r="L2258" s="384"/>
      <c r="M2258" s="384" t="str">
        <f ca="1">IFERROR(IF(VLOOKUP(C2258,' Disaggregation - Section E '!A$618:O1387,15,0)=0,"",VLOOKUP(C2258,' Disaggregation - Section E '!A$618:O1387,15,0)),"")</f>
        <v>IDR-01283</v>
      </c>
      <c r="N2258" s="388" t="str">
        <f ca="1">IFERROR(IF(VLOOKUP(C2258,' Disaggregation - Section E '!A$618:J2584,10,0)=0,"",VLOOKUP(C2258,' Disaggregation - Section E '!A$618:J2584,10,0)),"")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258" s="384"/>
    </row>
    <row r="2259" spans="1:15" x14ac:dyDescent="0.3">
      <c r="A2259" s="384" t="b">
        <f t="shared" ca="1" si="137"/>
        <v>1</v>
      </c>
      <c r="B2259" s="384"/>
      <c r="C2259" s="393" t="str">
        <f ca="1">IF(COUNTA(O$1493:O2259)=1,"",OFFSET(B2257,-COUNTA(O$1493:O2259)+3,1))</f>
        <v>a16Dm000000LZcAIAW</v>
      </c>
      <c r="D2259" s="389"/>
      <c r="E2259" s="386" t="str">
        <f ca="1">IFERROR(IF(VLOOKUP(C2259,' Disaggregation - Section E '!A$618:J2585,7,0)="","",VLOOKUP(C2259,' Disaggregation - Section E '!A$618:J2585,7,0)*100),"")</f>
        <v/>
      </c>
      <c r="F2259" s="388" t="str">
        <f ca="1">IFERROR(VLOOKUP(C2259,' Disaggregation - Section E '!A$618:J2585,5,0),"")</f>
        <v>Female</v>
      </c>
      <c r="G2259" s="387">
        <f ca="1">IFERROR(IF(VLOOKUP(C2259,' Disaggregation - Section E '!A$618:J2585,6,0)="","",VLOOKUP(C2259,' Disaggregation - Section E '!A$618:J2585,6,0)),"")</f>
        <v>2328</v>
      </c>
      <c r="H2259" s="387" t="str">
        <f ca="1">IFERROR(IF(INDEX(' Disaggregation - Section E '!F$618:F2585,MATCH(C2259,' Disaggregation - Section E '!A$618:A2585,0)+1,1)&lt;&gt;0,INDEX(' Disaggregation - Section E '!F$618:F2585,MATCH(C2259,' Disaggregation - Section E '!A$618:A2585,0)+1,1),""),"")</f>
        <v/>
      </c>
      <c r="I2259" s="388">
        <f ca="1">IFERROR(IF(VLOOKUP(C2259,' Disaggregation - Section E '!A$618:J2585,8,0)=0,"",VLOOKUP(C2259,' Disaggregation - Section E '!A$618:J2585,8,0)),"")</f>
        <v>2022</v>
      </c>
      <c r="J2259" s="388" t="str">
        <f ca="1">IFERROR(IF(VLOOKUP(C2259,' Disaggregation - Section E '!A$618:J2585,9,0)="","",VLOOKUP(C2259,' Disaggregation - Section E '!A$618:J2585,9,0)),"")</f>
        <v>Admistrative report</v>
      </c>
      <c r="K2259" s="384" t="str">
        <f ca="1">IFERROR(VLOOKUP(C2259,' Disaggregation - Section E '!A$618:J2585,3,0),"")</f>
        <v>HTS-3d⁽ᴹ⁾ Percentage of people who inject drugs that have received an HIV test during the reporting period in KP-specific programs and know their results</v>
      </c>
      <c r="L2259" s="384"/>
      <c r="M2259" s="384" t="str">
        <f ca="1">IFERROR(IF(VLOOKUP(C2259,' Disaggregation - Section E '!A$618:O1388,15,0)=0,"",VLOOKUP(C2259,' Disaggregation - Section E '!A$618:O1388,15,0)),"")</f>
        <v>IDR-01282</v>
      </c>
      <c r="N2259" s="388" t="str">
        <f ca="1">IFERROR(IF(VLOOKUP(C2259,' Disaggregation - Section E '!A$618:J2585,10,0)=0,"",VLOOKUP(C2259,' Disaggregation - Section E '!A$618:J2585,10,0)),"")</f>
        <v>The last IBBS among PWID was conducted in the country in 2021 with the technical support of the CDC, the estimated number of PWID based on the results of the study is presented only for the sites where data was collected. After extrapolated to the entire population, the country population of PWID was 11,500, while the program data coverage under the UNDP/GF project was 17,379. There is no breakdown of PWID population estimates by age group.</v>
      </c>
      <c r="O2259" s="384"/>
    </row>
    <row r="2260" spans="1:15" x14ac:dyDescent="0.3">
      <c r="A2260" s="384" t="b">
        <f t="shared" ca="1" si="137"/>
        <v>0</v>
      </c>
      <c r="B2260" s="384"/>
      <c r="C2260" s="393" t="str">
        <f ca="1">IF(COUNTA(O$1493:O2260)=1,"",OFFSET(B2258,-COUNTA(O$1493:O2260)+3,1))</f>
        <v>a16Dm000000LZcBIAW</v>
      </c>
      <c r="D2260" s="389"/>
      <c r="E2260" s="386" t="str">
        <f ca="1">IFERROR(IF(VLOOKUP(C2260,' Disaggregation - Section E '!A$618:J2586,7,0)="","",VLOOKUP(C2260,' Disaggregation - Section E '!A$618:J2586,7,0)*100),"")</f>
        <v/>
      </c>
      <c r="F2260" s="388" t="str">
        <f ca="1">IFERROR(VLOOKUP(C2260,' Disaggregation - Section E '!A$618:J2586,5,0),"")</f>
        <v/>
      </c>
      <c r="G2260" s="387" t="str">
        <f ca="1">IFERROR(IF(VLOOKUP(C2260,' Disaggregation - Section E '!A$618:J2586,6,0)="","",VLOOKUP(C2260,' Disaggregation - Section E '!A$618:J2586,6,0)),"")</f>
        <v/>
      </c>
      <c r="H2260" s="387" t="str">
        <f ca="1">IFERROR(IF(INDEX(' Disaggregation - Section E '!F$618:F2586,MATCH(C2260,' Disaggregation - Section E '!A$618:A2586,0)+1,1)&lt;&gt;0,INDEX(' Disaggregation - Section E '!F$618:F2586,MATCH(C2260,' Disaggregation - Section E '!A$618:A2586,0)+1,1),""),"")</f>
        <v/>
      </c>
      <c r="I2260" s="388" t="str">
        <f ca="1">IFERROR(IF(VLOOKUP(C2260,' Disaggregation - Section E '!A$618:J2586,8,0)=0,"",VLOOKUP(C2260,' Disaggregation - Section E '!A$618:J2586,8,0)),"")</f>
        <v/>
      </c>
      <c r="J2260" s="388" t="str">
        <f ca="1">IFERROR(IF(VLOOKUP(C2260,' Disaggregation - Section E '!A$618:J2586,9,0)="","",VLOOKUP(C2260,' Disaggregation - Section E '!A$618:J2586,9,0)),"")</f>
        <v/>
      </c>
      <c r="K2260" s="384" t="str">
        <f ca="1">IFERROR(VLOOKUP(C2260,' Disaggregation - Section E '!A$618:J2586,3,0),"")</f>
        <v>HTS-3d⁽ᴹ⁾ Percentage of people who inject drugs that have received an HIV test during the reporting period in KP-specific programs and know their results</v>
      </c>
      <c r="L2260" s="384"/>
      <c r="M2260" s="384" t="str">
        <f ca="1">IFERROR(IF(VLOOKUP(C2260,' Disaggregation - Section E '!A$618:O1389,15,0)=0,"",VLOOKUP(C2260,' Disaggregation - Section E '!A$618:O1389,15,0)),"")</f>
        <v/>
      </c>
      <c r="N2260" s="388" t="str">
        <f ca="1">IFERROR(IF(VLOOKUP(C2260,' Disaggregation - Section E '!A$618:J2586,10,0)=0,"",VLOOKUP(C2260,' Disaggregation - Section E '!A$618:J2586,10,0)),"")</f>
        <v/>
      </c>
      <c r="O2260" s="384"/>
    </row>
    <row r="2261" spans="1:15" x14ac:dyDescent="0.3">
      <c r="A2261" s="384" t="b">
        <f t="shared" ca="1" si="137"/>
        <v>0</v>
      </c>
      <c r="B2261" s="384"/>
      <c r="C2261" s="393" t="str">
        <f ca="1">IF(COUNTA(O$1493:O2261)=1,"",OFFSET(B2259,-COUNTA(O$1493:O2261)+3,1))</f>
        <v>a16Dm000000LZcCIAW</v>
      </c>
      <c r="D2261" s="389"/>
      <c r="E2261" s="386" t="str">
        <f ca="1">IFERROR(IF(VLOOKUP(C2261,' Disaggregation - Section E '!A$618:J2587,7,0)="","",VLOOKUP(C2261,' Disaggregation - Section E '!A$618:J2587,7,0)*100),"")</f>
        <v/>
      </c>
      <c r="F2261" s="388" t="str">
        <f ca="1">IFERROR(VLOOKUP(C2261,' Disaggregation - Section E '!A$618:J2587,5,0),"")</f>
        <v/>
      </c>
      <c r="G2261" s="387" t="str">
        <f ca="1">IFERROR(IF(VLOOKUP(C2261,' Disaggregation - Section E '!A$618:J2587,6,0)="","",VLOOKUP(C2261,' Disaggregation - Section E '!A$618:J2587,6,0)),"")</f>
        <v/>
      </c>
      <c r="H2261" s="387" t="str">
        <f ca="1">IFERROR(IF(INDEX(' Disaggregation - Section E '!F$618:F2587,MATCH(C2261,' Disaggregation - Section E '!A$618:A2587,0)+1,1)&lt;&gt;0,INDEX(' Disaggregation - Section E '!F$618:F2587,MATCH(C2261,' Disaggregation - Section E '!A$618:A2587,0)+1,1),""),"")</f>
        <v/>
      </c>
      <c r="I2261" s="388" t="str">
        <f ca="1">IFERROR(IF(VLOOKUP(C2261,' Disaggregation - Section E '!A$618:J2587,8,0)=0,"",VLOOKUP(C2261,' Disaggregation - Section E '!A$618:J2587,8,0)),"")</f>
        <v/>
      </c>
      <c r="J2261" s="388" t="str">
        <f ca="1">IFERROR(IF(VLOOKUP(C2261,' Disaggregation - Section E '!A$618:J2587,9,0)="","",VLOOKUP(C2261,' Disaggregation - Section E '!A$618:J2587,9,0)),"")</f>
        <v/>
      </c>
      <c r="K2261" s="384" t="str">
        <f ca="1">IFERROR(VLOOKUP(C2261,' Disaggregation - Section E '!A$618:J2587,3,0),"")</f>
        <v>HTS-3d⁽ᴹ⁾ Percentage of people who inject drugs that have received an HIV test during the reporting period in KP-specific programs and know their results</v>
      </c>
      <c r="L2261" s="384"/>
      <c r="M2261" s="384" t="str">
        <f ca="1">IFERROR(IF(VLOOKUP(C2261,' Disaggregation - Section E '!A$618:O1390,15,0)=0,"",VLOOKUP(C2261,' Disaggregation - Section E '!A$618:O1390,15,0)),"")</f>
        <v/>
      </c>
      <c r="N2261" s="388" t="str">
        <f ca="1">IFERROR(IF(VLOOKUP(C2261,' Disaggregation - Section E '!A$618:J2587,10,0)=0,"",VLOOKUP(C2261,' Disaggregation - Section E '!A$618:J2587,10,0)),"")</f>
        <v/>
      </c>
      <c r="O2261" s="384"/>
    </row>
    <row r="2262" spans="1:15" x14ac:dyDescent="0.3">
      <c r="A2262" s="384" t="b">
        <f t="shared" ca="1" si="137"/>
        <v>0</v>
      </c>
      <c r="B2262" s="384"/>
      <c r="C2262" s="393" t="str">
        <f ca="1">IF(COUNTA(O$1493:O2262)=1,"",OFFSET(B2260,-COUNTA(O$1493:O2262)+3,1))</f>
        <v>a16Dm000000LZcDIAW</v>
      </c>
      <c r="D2262" s="389"/>
      <c r="E2262" s="386" t="str">
        <f ca="1">IFERROR(IF(VLOOKUP(C2262,' Disaggregation - Section E '!A$618:J2588,7,0)="","",VLOOKUP(C2262,' Disaggregation - Section E '!A$618:J2588,7,0)*100),"")</f>
        <v/>
      </c>
      <c r="F2262" s="388" t="str">
        <f ca="1">IFERROR(VLOOKUP(C2262,' Disaggregation - Section E '!A$618:J2588,5,0),"")</f>
        <v/>
      </c>
      <c r="G2262" s="387" t="str">
        <f ca="1">IFERROR(IF(VLOOKUP(C2262,' Disaggregation - Section E '!A$618:J2588,6,0)="","",VLOOKUP(C2262,' Disaggregation - Section E '!A$618:J2588,6,0)),"")</f>
        <v/>
      </c>
      <c r="H2262" s="387" t="str">
        <f ca="1">IFERROR(IF(INDEX(' Disaggregation - Section E '!F$618:F2588,MATCH(C2262,' Disaggregation - Section E '!A$618:A2588,0)+1,1)&lt;&gt;0,INDEX(' Disaggregation - Section E '!F$618:F2588,MATCH(C2262,' Disaggregation - Section E '!A$618:A2588,0)+1,1),""),"")</f>
        <v/>
      </c>
      <c r="I2262" s="388" t="str">
        <f ca="1">IFERROR(IF(VLOOKUP(C2262,' Disaggregation - Section E '!A$618:J2588,8,0)=0,"",VLOOKUP(C2262,' Disaggregation - Section E '!A$618:J2588,8,0)),"")</f>
        <v/>
      </c>
      <c r="J2262" s="388" t="str">
        <f ca="1">IFERROR(IF(VLOOKUP(C2262,' Disaggregation - Section E '!A$618:J2588,9,0)="","",VLOOKUP(C2262,' Disaggregation - Section E '!A$618:J2588,9,0)),"")</f>
        <v/>
      </c>
      <c r="K2262" s="384" t="str">
        <f ca="1">IFERROR(VLOOKUP(C2262,' Disaggregation - Section E '!A$618:J2588,3,0),"")</f>
        <v>HTS-3d⁽ᴹ⁾ Percentage of people who inject drugs that have received an HIV test during the reporting period in KP-specific programs and know their results</v>
      </c>
      <c r="L2262" s="384"/>
      <c r="M2262" s="384" t="str">
        <f ca="1">IFERROR(IF(VLOOKUP(C2262,' Disaggregation - Section E '!A$618:O1391,15,0)=0,"",VLOOKUP(C2262,' Disaggregation - Section E '!A$618:O1391,15,0)),"")</f>
        <v/>
      </c>
      <c r="N2262" s="388" t="str">
        <f ca="1">IFERROR(IF(VLOOKUP(C2262,' Disaggregation - Section E '!A$618:J2588,10,0)=0,"",VLOOKUP(C2262,' Disaggregation - Section E '!A$618:J2588,10,0)),"")</f>
        <v/>
      </c>
      <c r="O2262" s="384"/>
    </row>
    <row r="2263" spans="1:15" x14ac:dyDescent="0.3">
      <c r="A2263" s="384" t="b">
        <f t="shared" ca="1" si="137"/>
        <v>0</v>
      </c>
      <c r="B2263" s="384"/>
      <c r="C2263" s="393" t="str">
        <f ca="1">IF(COUNTA(O$1493:O2263)=1,"",OFFSET(B2261,-COUNTA(O$1493:O2263)+3,1))</f>
        <v>a16Dm000000LZcEIAW</v>
      </c>
      <c r="D2263" s="389"/>
      <c r="E2263" s="386" t="str">
        <f ca="1">IFERROR(IF(VLOOKUP(C2263,' Disaggregation - Section E '!A$618:J2589,7,0)="","",VLOOKUP(C2263,' Disaggregation - Section E '!A$618:J2589,7,0)*100),"")</f>
        <v/>
      </c>
      <c r="F2263" s="388" t="str">
        <f ca="1">IFERROR(VLOOKUP(C2263,' Disaggregation - Section E '!A$618:J2589,5,0),"")</f>
        <v/>
      </c>
      <c r="G2263" s="387" t="str">
        <f ca="1">IFERROR(IF(VLOOKUP(C2263,' Disaggregation - Section E '!A$618:J2589,6,0)="","",VLOOKUP(C2263,' Disaggregation - Section E '!A$618:J2589,6,0)),"")</f>
        <v/>
      </c>
      <c r="H2263" s="387" t="str">
        <f ca="1">IFERROR(IF(INDEX(' Disaggregation - Section E '!F$618:F2589,MATCH(C2263,' Disaggregation - Section E '!A$618:A2589,0)+1,1)&lt;&gt;0,INDEX(' Disaggregation - Section E '!F$618:F2589,MATCH(C2263,' Disaggregation - Section E '!A$618:A2589,0)+1,1),""),"")</f>
        <v/>
      </c>
      <c r="I2263" s="388" t="str">
        <f ca="1">IFERROR(IF(VLOOKUP(C2263,' Disaggregation - Section E '!A$618:J2589,8,0)=0,"",VLOOKUP(C2263,' Disaggregation - Section E '!A$618:J2589,8,0)),"")</f>
        <v/>
      </c>
      <c r="J2263" s="388" t="str">
        <f ca="1">IFERROR(IF(VLOOKUP(C2263,' Disaggregation - Section E '!A$618:J2589,9,0)="","",VLOOKUP(C2263,' Disaggregation - Section E '!A$618:J2589,9,0)),"")</f>
        <v/>
      </c>
      <c r="K2263" s="384" t="str">
        <f ca="1">IFERROR(VLOOKUP(C2263,' Disaggregation - Section E '!A$618:J2589,3,0),"")</f>
        <v>HTS-3d⁽ᴹ⁾ Percentage of people who inject drugs that have received an HIV test during the reporting period in KP-specific programs and know their results</v>
      </c>
      <c r="L2263" s="384"/>
      <c r="M2263" s="384" t="str">
        <f ca="1">IFERROR(IF(VLOOKUP(C2263,' Disaggregation - Section E '!A$618:O1392,15,0)=0,"",VLOOKUP(C2263,' Disaggregation - Section E '!A$618:O1392,15,0)),"")</f>
        <v/>
      </c>
      <c r="N2263" s="388" t="str">
        <f ca="1">IFERROR(IF(VLOOKUP(C2263,' Disaggregation - Section E '!A$618:J2589,10,0)=0,"",VLOOKUP(C2263,' Disaggregation - Section E '!A$618:J2589,10,0)),"")</f>
        <v/>
      </c>
      <c r="O2263" s="384"/>
    </row>
    <row r="2264" spans="1:15" x14ac:dyDescent="0.3">
      <c r="A2264" s="384" t="b">
        <f t="shared" ca="1" si="137"/>
        <v>0</v>
      </c>
      <c r="B2264" s="384"/>
      <c r="C2264" s="393" t="str">
        <f ca="1">IF(COUNTA(O$1493:O2264)=1,"",OFFSET(B2262,-COUNTA(O$1493:O2264)+3,1))</f>
        <v>a16Dm000000LZcFIAW</v>
      </c>
      <c r="D2264" s="389"/>
      <c r="E2264" s="386" t="str">
        <f ca="1">IFERROR(IF(VLOOKUP(C2264,' Disaggregation - Section E '!A$618:J2590,7,0)="","",VLOOKUP(C2264,' Disaggregation - Section E '!A$618:J2590,7,0)*100),"")</f>
        <v/>
      </c>
      <c r="F2264" s="388" t="str">
        <f ca="1">IFERROR(VLOOKUP(C2264,' Disaggregation - Section E '!A$618:J2590,5,0),"")</f>
        <v/>
      </c>
      <c r="G2264" s="387" t="str">
        <f ca="1">IFERROR(IF(VLOOKUP(C2264,' Disaggregation - Section E '!A$618:J2590,6,0)="","",VLOOKUP(C2264,' Disaggregation - Section E '!A$618:J2590,6,0)),"")</f>
        <v/>
      </c>
      <c r="H2264" s="387" t="str">
        <f ca="1">IFERROR(IF(INDEX(' Disaggregation - Section E '!F$618:F2590,MATCH(C2264,' Disaggregation - Section E '!A$618:A2590,0)+1,1)&lt;&gt;0,INDEX(' Disaggregation - Section E '!F$618:F2590,MATCH(C2264,' Disaggregation - Section E '!A$618:A2590,0)+1,1),""),"")</f>
        <v/>
      </c>
      <c r="I2264" s="388" t="str">
        <f ca="1">IFERROR(IF(VLOOKUP(C2264,' Disaggregation - Section E '!A$618:J2590,8,0)=0,"",VLOOKUP(C2264,' Disaggregation - Section E '!A$618:J2590,8,0)),"")</f>
        <v/>
      </c>
      <c r="J2264" s="388" t="str">
        <f ca="1">IFERROR(IF(VLOOKUP(C2264,' Disaggregation - Section E '!A$618:J2590,9,0)="","",VLOOKUP(C2264,' Disaggregation - Section E '!A$618:J2590,9,0)),"")</f>
        <v/>
      </c>
      <c r="K2264" s="384" t="str">
        <f ca="1">IFERROR(VLOOKUP(C2264,' Disaggregation - Section E '!A$618:J2590,3,0),"")</f>
        <v>HTS-3d⁽ᴹ⁾ Percentage of people who inject drugs that have received an HIV test during the reporting period in KP-specific programs and know their results</v>
      </c>
      <c r="L2264" s="384"/>
      <c r="M2264" s="384" t="str">
        <f ca="1">IFERROR(IF(VLOOKUP(C2264,' Disaggregation - Section E '!A$618:O1393,15,0)=0,"",VLOOKUP(C2264,' Disaggregation - Section E '!A$618:O1393,15,0)),"")</f>
        <v/>
      </c>
      <c r="N2264" s="388" t="str">
        <f ca="1">IFERROR(IF(VLOOKUP(C2264,' Disaggregation - Section E '!A$618:J2590,10,0)=0,"",VLOOKUP(C2264,' Disaggregation - Section E '!A$618:J2590,10,0)),"")</f>
        <v/>
      </c>
      <c r="O2264" s="384"/>
    </row>
    <row r="2265" spans="1:15" x14ac:dyDescent="0.3">
      <c r="A2265" s="384" t="b">
        <f t="shared" ca="1" si="137"/>
        <v>0</v>
      </c>
      <c r="B2265" s="384"/>
      <c r="C2265" s="393" t="str">
        <f ca="1">IF(COUNTA(O$1493:O2265)=1,"",OFFSET(B2263,-COUNTA(O$1493:O2265)+3,1))</f>
        <v>a16Dm000000LZcGIAW</v>
      </c>
      <c r="D2265" s="389"/>
      <c r="E2265" s="386" t="str">
        <f ca="1">IFERROR(IF(VLOOKUP(C2265,' Disaggregation - Section E '!A$618:J2591,7,0)="","",VLOOKUP(C2265,' Disaggregation - Section E '!A$618:J2591,7,0)*100),"")</f>
        <v/>
      </c>
      <c r="F2265" s="388" t="str">
        <f ca="1">IFERROR(VLOOKUP(C2265,' Disaggregation - Section E '!A$618:J2591,5,0),"")</f>
        <v/>
      </c>
      <c r="G2265" s="387" t="str">
        <f ca="1">IFERROR(IF(VLOOKUP(C2265,' Disaggregation - Section E '!A$618:J2591,6,0)="","",VLOOKUP(C2265,' Disaggregation - Section E '!A$618:J2591,6,0)),"")</f>
        <v/>
      </c>
      <c r="H2265" s="387" t="str">
        <f ca="1">IFERROR(IF(INDEX(' Disaggregation - Section E '!F$618:F2591,MATCH(C2265,' Disaggregation - Section E '!A$618:A2591,0)+1,1)&lt;&gt;0,INDEX(' Disaggregation - Section E '!F$618:F2591,MATCH(C2265,' Disaggregation - Section E '!A$618:A2591,0)+1,1),""),"")</f>
        <v/>
      </c>
      <c r="I2265" s="388" t="str">
        <f ca="1">IFERROR(IF(VLOOKUP(C2265,' Disaggregation - Section E '!A$618:J2591,8,0)=0,"",VLOOKUP(C2265,' Disaggregation - Section E '!A$618:J2591,8,0)),"")</f>
        <v/>
      </c>
      <c r="J2265" s="388" t="str">
        <f ca="1">IFERROR(IF(VLOOKUP(C2265,' Disaggregation - Section E '!A$618:J2591,9,0)="","",VLOOKUP(C2265,' Disaggregation - Section E '!A$618:J2591,9,0)),"")</f>
        <v/>
      </c>
      <c r="K2265" s="384" t="str">
        <f ca="1">IFERROR(VLOOKUP(C2265,' Disaggregation - Section E '!A$618:J2591,3,0),"")</f>
        <v>HTS-3d⁽ᴹ⁾ Percentage of people who inject drugs that have received an HIV test during the reporting period in KP-specific programs and know their results</v>
      </c>
      <c r="L2265" s="384"/>
      <c r="M2265" s="384" t="str">
        <f ca="1">IFERROR(IF(VLOOKUP(C2265,' Disaggregation - Section E '!A$618:O1394,15,0)=0,"",VLOOKUP(C2265,' Disaggregation - Section E '!A$618:O1394,15,0)),"")</f>
        <v/>
      </c>
      <c r="N2265" s="388" t="str">
        <f ca="1">IFERROR(IF(VLOOKUP(C2265,' Disaggregation - Section E '!A$618:J2591,10,0)=0,"",VLOOKUP(C2265,' Disaggregation - Section E '!A$618:J2591,10,0)),"")</f>
        <v/>
      </c>
      <c r="O2265" s="384"/>
    </row>
    <row r="2266" spans="1:15" x14ac:dyDescent="0.3">
      <c r="A2266" s="384" t="b">
        <f t="shared" ca="1" si="137"/>
        <v>0</v>
      </c>
      <c r="B2266" s="384"/>
      <c r="C2266" s="393" t="str">
        <f ca="1">IF(COUNTA(O$1493:O2266)=1,"",OFFSET(B2264,-COUNTA(O$1493:O2266)+3,1))</f>
        <v>a16Dm000000LZcHIAW</v>
      </c>
      <c r="D2266" s="389"/>
      <c r="E2266" s="386" t="str">
        <f ca="1">IFERROR(IF(VLOOKUP(C2266,' Disaggregation - Section E '!A$618:J2592,7,0)="","",VLOOKUP(C2266,' Disaggregation - Section E '!A$618:J2592,7,0)*100),"")</f>
        <v/>
      </c>
      <c r="F2266" s="388" t="str">
        <f ca="1">IFERROR(VLOOKUP(C2266,' Disaggregation - Section E '!A$618:J2592,5,0),"")</f>
        <v/>
      </c>
      <c r="G2266" s="387" t="str">
        <f ca="1">IFERROR(IF(VLOOKUP(C2266,' Disaggregation - Section E '!A$618:J2592,6,0)="","",VLOOKUP(C2266,' Disaggregation - Section E '!A$618:J2592,6,0)),"")</f>
        <v/>
      </c>
      <c r="H2266" s="387" t="str">
        <f ca="1">IFERROR(IF(INDEX(' Disaggregation - Section E '!F$618:F2592,MATCH(C2266,' Disaggregation - Section E '!A$618:A2592,0)+1,1)&lt;&gt;0,INDEX(' Disaggregation - Section E '!F$618:F2592,MATCH(C2266,' Disaggregation - Section E '!A$618:A2592,0)+1,1),""),"")</f>
        <v/>
      </c>
      <c r="I2266" s="388" t="str">
        <f ca="1">IFERROR(IF(VLOOKUP(C2266,' Disaggregation - Section E '!A$618:J2592,8,0)=0,"",VLOOKUP(C2266,' Disaggregation - Section E '!A$618:J2592,8,0)),"")</f>
        <v/>
      </c>
      <c r="J2266" s="388" t="str">
        <f ca="1">IFERROR(IF(VLOOKUP(C2266,' Disaggregation - Section E '!A$618:J2592,9,0)="","",VLOOKUP(C2266,' Disaggregation - Section E '!A$618:J2592,9,0)),"")</f>
        <v/>
      </c>
      <c r="K2266" s="384" t="str">
        <f ca="1">IFERROR(VLOOKUP(C2266,' Disaggregation - Section E '!A$618:J2592,3,0),"")</f>
        <v>HTS-3d⁽ᴹ⁾ Percentage of people who inject drugs that have received an HIV test during the reporting period in KP-specific programs and know their results</v>
      </c>
      <c r="L2266" s="384"/>
      <c r="M2266" s="384" t="str">
        <f ca="1">IFERROR(IF(VLOOKUP(C2266,' Disaggregation - Section E '!A$618:O1395,15,0)=0,"",VLOOKUP(C2266,' Disaggregation - Section E '!A$618:O1395,15,0)),"")</f>
        <v/>
      </c>
      <c r="N2266" s="388" t="str">
        <f ca="1">IFERROR(IF(VLOOKUP(C2266,' Disaggregation - Section E '!A$618:J2592,10,0)=0,"",VLOOKUP(C2266,' Disaggregation - Section E '!A$618:J2592,10,0)),"")</f>
        <v/>
      </c>
      <c r="O2266" s="384"/>
    </row>
    <row r="2267" spans="1:15" x14ac:dyDescent="0.3">
      <c r="A2267" s="384" t="b">
        <f t="shared" ca="1" si="137"/>
        <v>0</v>
      </c>
      <c r="B2267" s="384"/>
      <c r="C2267" s="393" t="str">
        <f ca="1">IF(COUNTA(O$1493:O2267)=1,"",OFFSET(B2265,-COUNTA(O$1493:O2267)+3,1))</f>
        <v>a16Dm000000LZcIIAW</v>
      </c>
      <c r="D2267" s="389"/>
      <c r="E2267" s="386" t="str">
        <f ca="1">IFERROR(IF(VLOOKUP(C2267,' Disaggregation - Section E '!A$618:J2593,7,0)="","",VLOOKUP(C2267,' Disaggregation - Section E '!A$618:J2593,7,0)*100),"")</f>
        <v/>
      </c>
      <c r="F2267" s="388" t="str">
        <f ca="1">IFERROR(VLOOKUP(C2267,' Disaggregation - Section E '!A$618:J2593,5,0),"")</f>
        <v/>
      </c>
      <c r="G2267" s="387" t="str">
        <f ca="1">IFERROR(IF(VLOOKUP(C2267,' Disaggregation - Section E '!A$618:J2593,6,0)="","",VLOOKUP(C2267,' Disaggregation - Section E '!A$618:J2593,6,0)),"")</f>
        <v/>
      </c>
      <c r="H2267" s="387" t="str">
        <f ca="1">IFERROR(IF(INDEX(' Disaggregation - Section E '!F$618:F2593,MATCH(C2267,' Disaggregation - Section E '!A$618:A2593,0)+1,1)&lt;&gt;0,INDEX(' Disaggregation - Section E '!F$618:F2593,MATCH(C2267,' Disaggregation - Section E '!A$618:A2593,0)+1,1),""),"")</f>
        <v/>
      </c>
      <c r="I2267" s="388" t="str">
        <f ca="1">IFERROR(IF(VLOOKUP(C2267,' Disaggregation - Section E '!A$618:J2593,8,0)=0,"",VLOOKUP(C2267,' Disaggregation - Section E '!A$618:J2593,8,0)),"")</f>
        <v/>
      </c>
      <c r="J2267" s="388" t="str">
        <f ca="1">IFERROR(IF(VLOOKUP(C2267,' Disaggregation - Section E '!A$618:J2593,9,0)="","",VLOOKUP(C2267,' Disaggregation - Section E '!A$618:J2593,9,0)),"")</f>
        <v/>
      </c>
      <c r="K2267" s="384" t="str">
        <f ca="1">IFERROR(VLOOKUP(C2267,' Disaggregation - Section E '!A$618:J2593,3,0),"")</f>
        <v>HTS-3d⁽ᴹ⁾ Percentage of people who inject drugs that have received an HIV test during the reporting period in KP-specific programs and know their results</v>
      </c>
      <c r="L2267" s="384"/>
      <c r="M2267" s="384" t="str">
        <f ca="1">IFERROR(IF(VLOOKUP(C2267,' Disaggregation - Section E '!A$618:O1396,15,0)=0,"",VLOOKUP(C2267,' Disaggregation - Section E '!A$618:O1396,15,0)),"")</f>
        <v/>
      </c>
      <c r="N2267" s="388" t="str">
        <f ca="1">IFERROR(IF(VLOOKUP(C2267,' Disaggregation - Section E '!A$618:J2593,10,0)=0,"",VLOOKUP(C2267,' Disaggregation - Section E '!A$618:J2593,10,0)),"")</f>
        <v/>
      </c>
      <c r="O2267" s="384"/>
    </row>
    <row r="2268" spans="1:15" x14ac:dyDescent="0.3">
      <c r="A2268" s="384" t="b">
        <f t="shared" ca="1" si="137"/>
        <v>0</v>
      </c>
      <c r="B2268" s="384"/>
      <c r="C2268" s="393" t="str">
        <f ca="1">IF(COUNTA(O$1493:O2268)=1,"",OFFSET(B2266,-COUNTA(O$1493:O2268)+3,1))</f>
        <v>a16Dm000000LZcJIAW</v>
      </c>
      <c r="D2268" s="389"/>
      <c r="E2268" s="386" t="str">
        <f ca="1">IFERROR(IF(VLOOKUP(C2268,' Disaggregation - Section E '!A$618:J2594,7,0)="","",VLOOKUP(C2268,' Disaggregation - Section E '!A$618:J2594,7,0)*100),"")</f>
        <v/>
      </c>
      <c r="F2268" s="388" t="str">
        <f ca="1">IFERROR(VLOOKUP(C2268,' Disaggregation - Section E '!A$618:J2594,5,0),"")</f>
        <v/>
      </c>
      <c r="G2268" s="387" t="str">
        <f ca="1">IFERROR(IF(VLOOKUP(C2268,' Disaggregation - Section E '!A$618:J2594,6,0)="","",VLOOKUP(C2268,' Disaggregation - Section E '!A$618:J2594,6,0)),"")</f>
        <v/>
      </c>
      <c r="H2268" s="387" t="str">
        <f ca="1">IFERROR(IF(INDEX(' Disaggregation - Section E '!F$618:F2594,MATCH(C2268,' Disaggregation - Section E '!A$618:A2594,0)+1,1)&lt;&gt;0,INDEX(' Disaggregation - Section E '!F$618:F2594,MATCH(C2268,' Disaggregation - Section E '!A$618:A2594,0)+1,1),""),"")</f>
        <v/>
      </c>
      <c r="I2268" s="388" t="str">
        <f ca="1">IFERROR(IF(VLOOKUP(C2268,' Disaggregation - Section E '!A$618:J2594,8,0)=0,"",VLOOKUP(C2268,' Disaggregation - Section E '!A$618:J2594,8,0)),"")</f>
        <v/>
      </c>
      <c r="J2268" s="388" t="str">
        <f ca="1">IFERROR(IF(VLOOKUP(C2268,' Disaggregation - Section E '!A$618:J2594,9,0)="","",VLOOKUP(C2268,' Disaggregation - Section E '!A$618:J2594,9,0)),"")</f>
        <v/>
      </c>
      <c r="K2268" s="384" t="str">
        <f ca="1">IFERROR(VLOOKUP(C2268,' Disaggregation - Section E '!A$618:J2594,3,0),"")</f>
        <v>HTS-3d⁽ᴹ⁾ Percentage of people who inject drugs that have received an HIV test during the reporting period in KP-specific programs and know their results</v>
      </c>
      <c r="L2268" s="384"/>
      <c r="M2268" s="384" t="str">
        <f ca="1">IFERROR(IF(VLOOKUP(C2268,' Disaggregation - Section E '!A$618:O1397,15,0)=0,"",VLOOKUP(C2268,' Disaggregation - Section E '!A$618:O1397,15,0)),"")</f>
        <v/>
      </c>
      <c r="N2268" s="388" t="str">
        <f ca="1">IFERROR(IF(VLOOKUP(C2268,' Disaggregation - Section E '!A$618:J2594,10,0)=0,"",VLOOKUP(C2268,' Disaggregation - Section E '!A$618:J2594,10,0)),"")</f>
        <v/>
      </c>
      <c r="O2268" s="384"/>
    </row>
    <row r="2269" spans="1:15" x14ac:dyDescent="0.3">
      <c r="A2269" s="384" t="b">
        <f t="shared" ca="1" si="137"/>
        <v>0</v>
      </c>
      <c r="B2269" s="384"/>
      <c r="C2269" s="393" t="str">
        <f ca="1">IF(COUNTA(O$1493:O2269)=1,"",OFFSET(B2267,-COUNTA(O$1493:O2269)+3,1))</f>
        <v>a16Dm000000LZcKIAW</v>
      </c>
      <c r="D2269" s="389"/>
      <c r="E2269" s="386" t="str">
        <f ca="1">IFERROR(IF(VLOOKUP(C2269,' Disaggregation - Section E '!A$618:J2595,7,0)="","",VLOOKUP(C2269,' Disaggregation - Section E '!A$618:J2595,7,0)*100),"")</f>
        <v/>
      </c>
      <c r="F2269" s="388" t="str">
        <f ca="1">IFERROR(VLOOKUP(C2269,' Disaggregation - Section E '!A$618:J2595,5,0),"")</f>
        <v/>
      </c>
      <c r="G2269" s="387" t="str">
        <f ca="1">IFERROR(IF(VLOOKUP(C2269,' Disaggregation - Section E '!A$618:J2595,6,0)="","",VLOOKUP(C2269,' Disaggregation - Section E '!A$618:J2595,6,0)),"")</f>
        <v/>
      </c>
      <c r="H2269" s="387" t="str">
        <f ca="1">IFERROR(IF(INDEX(' Disaggregation - Section E '!F$618:F2595,MATCH(C2269,' Disaggregation - Section E '!A$618:A2595,0)+1,1)&lt;&gt;0,INDEX(' Disaggregation - Section E '!F$618:F2595,MATCH(C2269,' Disaggregation - Section E '!A$618:A2595,0)+1,1),""),"")</f>
        <v/>
      </c>
      <c r="I2269" s="388" t="str">
        <f ca="1">IFERROR(IF(VLOOKUP(C2269,' Disaggregation - Section E '!A$618:J2595,8,0)=0,"",VLOOKUP(C2269,' Disaggregation - Section E '!A$618:J2595,8,0)),"")</f>
        <v/>
      </c>
      <c r="J2269" s="388" t="str">
        <f ca="1">IFERROR(IF(VLOOKUP(C2269,' Disaggregation - Section E '!A$618:J2595,9,0)="","",VLOOKUP(C2269,' Disaggregation - Section E '!A$618:J2595,9,0)),"")</f>
        <v/>
      </c>
      <c r="K2269" s="384" t="str">
        <f ca="1">IFERROR(VLOOKUP(C2269,' Disaggregation - Section E '!A$618:J2595,3,0),"")</f>
        <v>HTS-3d⁽ᴹ⁾ Percentage of people who inject drugs that have received an HIV test during the reporting period in KP-specific programs and know their results</v>
      </c>
      <c r="L2269" s="384"/>
      <c r="M2269" s="384" t="str">
        <f ca="1">IFERROR(IF(VLOOKUP(C2269,' Disaggregation - Section E '!A$618:O1398,15,0)=0,"",VLOOKUP(C2269,' Disaggregation - Section E '!A$618:O1398,15,0)),"")</f>
        <v/>
      </c>
      <c r="N2269" s="388" t="str">
        <f ca="1">IFERROR(IF(VLOOKUP(C2269,' Disaggregation - Section E '!A$618:J2595,10,0)=0,"",VLOOKUP(C2269,' Disaggregation - Section E '!A$618:J2595,10,0)),"")</f>
        <v/>
      </c>
      <c r="O2269" s="384"/>
    </row>
    <row r="2270" spans="1:15" x14ac:dyDescent="0.3">
      <c r="A2270" s="384" t="b">
        <f t="shared" ca="1" si="137"/>
        <v>0</v>
      </c>
      <c r="B2270" s="384"/>
      <c r="C2270" s="393" t="str">
        <f ca="1">IF(COUNTA(O$1493:O2270)=1,"",OFFSET(B2268,-COUNTA(O$1493:O2270)+3,1))</f>
        <v>a16Dm000000LZcLIAW</v>
      </c>
      <c r="D2270" s="389"/>
      <c r="E2270" s="386" t="str">
        <f ca="1">IFERROR(IF(VLOOKUP(C2270,' Disaggregation - Section E '!A$618:J2596,7,0)="","",VLOOKUP(C2270,' Disaggregation - Section E '!A$618:J2596,7,0)*100),"")</f>
        <v/>
      </c>
      <c r="F2270" s="388" t="str">
        <f ca="1">IFERROR(VLOOKUP(C2270,' Disaggregation - Section E '!A$618:J2596,5,0),"")</f>
        <v/>
      </c>
      <c r="G2270" s="387" t="str">
        <f ca="1">IFERROR(IF(VLOOKUP(C2270,' Disaggregation - Section E '!A$618:J2596,6,0)="","",VLOOKUP(C2270,' Disaggregation - Section E '!A$618:J2596,6,0)),"")</f>
        <v/>
      </c>
      <c r="H2270" s="387" t="str">
        <f ca="1">IFERROR(IF(INDEX(' Disaggregation - Section E '!F$618:F2596,MATCH(C2270,' Disaggregation - Section E '!A$618:A2596,0)+1,1)&lt;&gt;0,INDEX(' Disaggregation - Section E '!F$618:F2596,MATCH(C2270,' Disaggregation - Section E '!A$618:A2596,0)+1,1),""),"")</f>
        <v/>
      </c>
      <c r="I2270" s="388" t="str">
        <f ca="1">IFERROR(IF(VLOOKUP(C2270,' Disaggregation - Section E '!A$618:J2596,8,0)=0,"",VLOOKUP(C2270,' Disaggregation - Section E '!A$618:J2596,8,0)),"")</f>
        <v/>
      </c>
      <c r="J2270" s="388" t="str">
        <f ca="1">IFERROR(IF(VLOOKUP(C2270,' Disaggregation - Section E '!A$618:J2596,9,0)="","",VLOOKUP(C2270,' Disaggregation - Section E '!A$618:J2596,9,0)),"")</f>
        <v/>
      </c>
      <c r="K2270" s="384" t="str">
        <f ca="1">IFERROR(VLOOKUP(C2270,' Disaggregation - Section E '!A$618:J2596,3,0),"")</f>
        <v>HTS-3d⁽ᴹ⁾ Percentage of people who inject drugs that have received an HIV test during the reporting period in KP-specific programs and know their results</v>
      </c>
      <c r="L2270" s="384"/>
      <c r="M2270" s="384" t="str">
        <f ca="1">IFERROR(IF(VLOOKUP(C2270,' Disaggregation - Section E '!A$618:O1399,15,0)=0,"",VLOOKUP(C2270,' Disaggregation - Section E '!A$618:O1399,15,0)),"")</f>
        <v/>
      </c>
      <c r="N2270" s="388" t="str">
        <f ca="1">IFERROR(IF(VLOOKUP(C2270,' Disaggregation - Section E '!A$618:J2596,10,0)=0,"",VLOOKUP(C2270,' Disaggregation - Section E '!A$618:J2596,10,0)),"")</f>
        <v/>
      </c>
      <c r="O2270" s="384"/>
    </row>
    <row r="2271" spans="1:15" x14ac:dyDescent="0.3">
      <c r="A2271" s="384" t="b">
        <f t="shared" ca="1" si="137"/>
        <v>0</v>
      </c>
      <c r="B2271" s="384"/>
      <c r="C2271" s="393" t="str">
        <f ca="1">IF(COUNTA(O$1493:O2271)=1,"",OFFSET(B2269,-COUNTA(O$1493:O2271)+3,1))</f>
        <v>a16Dm000000LZcMIAW</v>
      </c>
      <c r="D2271" s="389"/>
      <c r="E2271" s="386" t="str">
        <f ca="1">IFERROR(IF(VLOOKUP(C2271,' Disaggregation - Section E '!A$618:J2597,7,0)="","",VLOOKUP(C2271,' Disaggregation - Section E '!A$618:J2597,7,0)*100),"")</f>
        <v/>
      </c>
      <c r="F2271" s="388" t="str">
        <f ca="1">IFERROR(VLOOKUP(C2271,' Disaggregation - Section E '!A$618:J2597,5,0),"")</f>
        <v/>
      </c>
      <c r="G2271" s="387" t="str">
        <f ca="1">IFERROR(IF(VLOOKUP(C2271,' Disaggregation - Section E '!A$618:J2597,6,0)="","",VLOOKUP(C2271,' Disaggregation - Section E '!A$618:J2597,6,0)),"")</f>
        <v/>
      </c>
      <c r="H2271" s="387" t="str">
        <f ca="1">IFERROR(IF(INDEX(' Disaggregation - Section E '!F$618:F2597,MATCH(C2271,' Disaggregation - Section E '!A$618:A2597,0)+1,1)&lt;&gt;0,INDEX(' Disaggregation - Section E '!F$618:F2597,MATCH(C2271,' Disaggregation - Section E '!A$618:A2597,0)+1,1),""),"")</f>
        <v/>
      </c>
      <c r="I2271" s="388" t="str">
        <f ca="1">IFERROR(IF(VLOOKUP(C2271,' Disaggregation - Section E '!A$618:J2597,8,0)=0,"",VLOOKUP(C2271,' Disaggregation - Section E '!A$618:J2597,8,0)),"")</f>
        <v/>
      </c>
      <c r="J2271" s="388" t="str">
        <f ca="1">IFERROR(IF(VLOOKUP(C2271,' Disaggregation - Section E '!A$618:J2597,9,0)="","",VLOOKUP(C2271,' Disaggregation - Section E '!A$618:J2597,9,0)),"")</f>
        <v/>
      </c>
      <c r="K2271" s="384" t="str">
        <f ca="1">IFERROR(VLOOKUP(C2271,' Disaggregation - Section E '!A$618:J2597,3,0),"")</f>
        <v>HTS-3d⁽ᴹ⁾ Percentage of people who inject drugs that have received an HIV test during the reporting period in KP-specific programs and know their results</v>
      </c>
      <c r="L2271" s="384"/>
      <c r="M2271" s="384" t="str">
        <f ca="1">IFERROR(IF(VLOOKUP(C2271,' Disaggregation - Section E '!A$618:O1400,15,0)=0,"",VLOOKUP(C2271,' Disaggregation - Section E '!A$618:O1400,15,0)),"")</f>
        <v/>
      </c>
      <c r="N2271" s="388" t="str">
        <f ca="1">IFERROR(IF(VLOOKUP(C2271,' Disaggregation - Section E '!A$618:J2597,10,0)=0,"",VLOOKUP(C2271,' Disaggregation - Section E '!A$618:J2597,10,0)),"")</f>
        <v/>
      </c>
      <c r="O2271" s="384"/>
    </row>
    <row r="2272" spans="1:15" x14ac:dyDescent="0.3">
      <c r="A2272" s="384" t="b">
        <f t="shared" ca="1" si="137"/>
        <v>0</v>
      </c>
      <c r="B2272" s="384"/>
      <c r="C2272" s="393" t="str">
        <f ca="1">IF(COUNTA(O$1493:O2272)=1,"",OFFSET(B2270,-COUNTA(O$1493:O2272)+3,1))</f>
        <v>a16Dm000000LZcNIAW</v>
      </c>
      <c r="D2272" s="389"/>
      <c r="E2272" s="386" t="str">
        <f ca="1">IFERROR(IF(VLOOKUP(C2272,' Disaggregation - Section E '!A$618:J2598,7,0)="","",VLOOKUP(C2272,' Disaggregation - Section E '!A$618:J2598,7,0)*100),"")</f>
        <v/>
      </c>
      <c r="F2272" s="388" t="str">
        <f ca="1">IFERROR(VLOOKUP(C2272,' Disaggregation - Section E '!A$618:J2598,5,0),"")</f>
        <v/>
      </c>
      <c r="G2272" s="387" t="str">
        <f ca="1">IFERROR(IF(VLOOKUP(C2272,' Disaggregation - Section E '!A$618:J2598,6,0)="","",VLOOKUP(C2272,' Disaggregation - Section E '!A$618:J2598,6,0)),"")</f>
        <v/>
      </c>
      <c r="H2272" s="387" t="str">
        <f ca="1">IFERROR(IF(INDEX(' Disaggregation - Section E '!F$618:F2598,MATCH(C2272,' Disaggregation - Section E '!A$618:A2598,0)+1,1)&lt;&gt;0,INDEX(' Disaggregation - Section E '!F$618:F2598,MATCH(C2272,' Disaggregation - Section E '!A$618:A2598,0)+1,1),""),"")</f>
        <v/>
      </c>
      <c r="I2272" s="388" t="str">
        <f ca="1">IFERROR(IF(VLOOKUP(C2272,' Disaggregation - Section E '!A$618:J2598,8,0)=0,"",VLOOKUP(C2272,' Disaggregation - Section E '!A$618:J2598,8,0)),"")</f>
        <v/>
      </c>
      <c r="J2272" s="388" t="str">
        <f ca="1">IFERROR(IF(VLOOKUP(C2272,' Disaggregation - Section E '!A$618:J2598,9,0)="","",VLOOKUP(C2272,' Disaggregation - Section E '!A$618:J2598,9,0)),"")</f>
        <v/>
      </c>
      <c r="K2272" s="384" t="str">
        <f ca="1">IFERROR(VLOOKUP(C2272,' Disaggregation - Section E '!A$618:J2598,3,0),"")</f>
        <v>HTS-3d⁽ᴹ⁾ Percentage of people who inject drugs that have received an HIV test during the reporting period in KP-specific programs and know their results</v>
      </c>
      <c r="L2272" s="384"/>
      <c r="M2272" s="384" t="str">
        <f ca="1">IFERROR(IF(VLOOKUP(C2272,' Disaggregation - Section E '!A$618:O1401,15,0)=0,"",VLOOKUP(C2272,' Disaggregation - Section E '!A$618:O1401,15,0)),"")</f>
        <v/>
      </c>
      <c r="N2272" s="388" t="str">
        <f ca="1">IFERROR(IF(VLOOKUP(C2272,' Disaggregation - Section E '!A$618:J2598,10,0)=0,"",VLOOKUP(C2272,' Disaggregation - Section E '!A$618:J2598,10,0)),"")</f>
        <v/>
      </c>
      <c r="O2272" s="384"/>
    </row>
    <row r="2273" spans="1:15" x14ac:dyDescent="0.3">
      <c r="A2273" s="384" t="b">
        <f t="shared" ca="1" si="137"/>
        <v>0</v>
      </c>
      <c r="B2273" s="384"/>
      <c r="C2273" s="393" t="str">
        <f ca="1">IF(COUNTA(O$1493:O2273)=1,"",OFFSET(B2271,-COUNTA(O$1493:O2273)+3,1))</f>
        <v>a16Dm000000LZcOIAW</v>
      </c>
      <c r="D2273" s="389"/>
      <c r="E2273" s="386" t="str">
        <f ca="1">IFERROR(IF(VLOOKUP(C2273,' Disaggregation - Section E '!A$618:J2599,7,0)="","",VLOOKUP(C2273,' Disaggregation - Section E '!A$618:J2599,7,0)*100),"")</f>
        <v/>
      </c>
      <c r="F2273" s="388" t="str">
        <f ca="1">IFERROR(VLOOKUP(C2273,' Disaggregation - Section E '!A$618:J2599,5,0),"")</f>
        <v/>
      </c>
      <c r="G2273" s="387" t="str">
        <f ca="1">IFERROR(IF(VLOOKUP(C2273,' Disaggregation - Section E '!A$618:J2599,6,0)="","",VLOOKUP(C2273,' Disaggregation - Section E '!A$618:J2599,6,0)),"")</f>
        <v/>
      </c>
      <c r="H2273" s="387" t="str">
        <f ca="1">IFERROR(IF(INDEX(' Disaggregation - Section E '!F$618:F2599,MATCH(C2273,' Disaggregation - Section E '!A$618:A2599,0)+1,1)&lt;&gt;0,INDEX(' Disaggregation - Section E '!F$618:F2599,MATCH(C2273,' Disaggregation - Section E '!A$618:A2599,0)+1,1),""),"")</f>
        <v/>
      </c>
      <c r="I2273" s="388" t="str">
        <f ca="1">IFERROR(IF(VLOOKUP(C2273,' Disaggregation - Section E '!A$618:J2599,8,0)=0,"",VLOOKUP(C2273,' Disaggregation - Section E '!A$618:J2599,8,0)),"")</f>
        <v/>
      </c>
      <c r="J2273" s="388" t="str">
        <f ca="1">IFERROR(IF(VLOOKUP(C2273,' Disaggregation - Section E '!A$618:J2599,9,0)="","",VLOOKUP(C2273,' Disaggregation - Section E '!A$618:J2599,9,0)),"")</f>
        <v/>
      </c>
      <c r="K2273" s="384" t="str">
        <f ca="1">IFERROR(VLOOKUP(C2273,' Disaggregation - Section E '!A$618:J2599,3,0),"")</f>
        <v>HTS-3d⁽ᴹ⁾ Percentage of people who inject drugs that have received an HIV test during the reporting period in KP-specific programs and know their results</v>
      </c>
      <c r="L2273" s="384"/>
      <c r="M2273" s="384" t="str">
        <f ca="1">IFERROR(IF(VLOOKUP(C2273,' Disaggregation - Section E '!A$618:O1402,15,0)=0,"",VLOOKUP(C2273,' Disaggregation - Section E '!A$618:O1402,15,0)),"")</f>
        <v/>
      </c>
      <c r="N2273" s="388" t="str">
        <f ca="1">IFERROR(IF(VLOOKUP(C2273,' Disaggregation - Section E '!A$618:J2599,10,0)=0,"",VLOOKUP(C2273,' Disaggregation - Section E '!A$618:J2599,10,0)),"")</f>
        <v/>
      </c>
      <c r="O2273" s="384"/>
    </row>
    <row r="2274" spans="1:15" x14ac:dyDescent="0.3">
      <c r="A2274" s="384" t="b">
        <f t="shared" ca="1" si="137"/>
        <v>0</v>
      </c>
      <c r="B2274" s="384"/>
      <c r="C2274" s="393" t="str">
        <f ca="1">IF(COUNTA(O$1493:O2274)=1,"",OFFSET(B2272,-COUNTA(O$1493:O2274)+3,1))</f>
        <v>a16Dm000000LZcPIAW</v>
      </c>
      <c r="D2274" s="389"/>
      <c r="E2274" s="386" t="str">
        <f ca="1">IFERROR(IF(VLOOKUP(C2274,' Disaggregation - Section E '!A$618:J2600,7,0)="","",VLOOKUP(C2274,' Disaggregation - Section E '!A$618:J2600,7,0)*100),"")</f>
        <v/>
      </c>
      <c r="F2274" s="388" t="str">
        <f ca="1">IFERROR(VLOOKUP(C2274,' Disaggregation - Section E '!A$618:J2600,5,0),"")</f>
        <v/>
      </c>
      <c r="G2274" s="387" t="str">
        <f ca="1">IFERROR(IF(VLOOKUP(C2274,' Disaggregation - Section E '!A$618:J2600,6,0)="","",VLOOKUP(C2274,' Disaggregation - Section E '!A$618:J2600,6,0)),"")</f>
        <v/>
      </c>
      <c r="H2274" s="387" t="str">
        <f ca="1">IFERROR(IF(INDEX(' Disaggregation - Section E '!F$618:F2600,MATCH(C2274,' Disaggregation - Section E '!A$618:A2600,0)+1,1)&lt;&gt;0,INDEX(' Disaggregation - Section E '!F$618:F2600,MATCH(C2274,' Disaggregation - Section E '!A$618:A2600,0)+1,1),""),"")</f>
        <v/>
      </c>
      <c r="I2274" s="388" t="str">
        <f ca="1">IFERROR(IF(VLOOKUP(C2274,' Disaggregation - Section E '!A$618:J2600,8,0)=0,"",VLOOKUP(C2274,' Disaggregation - Section E '!A$618:J2600,8,0)),"")</f>
        <v/>
      </c>
      <c r="J2274" s="388" t="str">
        <f ca="1">IFERROR(IF(VLOOKUP(C2274,' Disaggregation - Section E '!A$618:J2600,9,0)="","",VLOOKUP(C2274,' Disaggregation - Section E '!A$618:J2600,9,0)),"")</f>
        <v/>
      </c>
      <c r="K2274" s="384" t="str">
        <f ca="1">IFERROR(VLOOKUP(C2274,' Disaggregation - Section E '!A$618:J2600,3,0),"")</f>
        <v>HTS-3d⁽ᴹ⁾ Percentage of people who inject drugs that have received an HIV test during the reporting period in KP-specific programs and know their results</v>
      </c>
      <c r="L2274" s="384"/>
      <c r="M2274" s="384" t="str">
        <f ca="1">IFERROR(IF(VLOOKUP(C2274,' Disaggregation - Section E '!A$618:O1403,15,0)=0,"",VLOOKUP(C2274,' Disaggregation - Section E '!A$618:O1403,15,0)),"")</f>
        <v/>
      </c>
      <c r="N2274" s="388" t="str">
        <f ca="1">IFERROR(IF(VLOOKUP(C2274,' Disaggregation - Section E '!A$618:J2600,10,0)=0,"",VLOOKUP(C2274,' Disaggregation - Section E '!A$618:J2600,10,0)),"")</f>
        <v/>
      </c>
      <c r="O2274" s="384"/>
    </row>
    <row r="2275" spans="1:15" x14ac:dyDescent="0.3">
      <c r="A2275" s="384" t="b">
        <f t="shared" ca="1" si="137"/>
        <v>1</v>
      </c>
      <c r="B2275" s="384"/>
      <c r="C2275" s="393" t="str">
        <f ca="1">IF(COUNTA(O$1493:O2275)=1,"",OFFSET(B2273,-COUNTA(O$1493:O2275)+3,1))</f>
        <v>a16Dm000000LZcQIAW</v>
      </c>
      <c r="D2275" s="389"/>
      <c r="E2275" s="386">
        <f ca="1">IFERROR(IF(VLOOKUP(C2275,' Disaggregation - Section E '!A$618:J2601,7,0)="","",VLOOKUP(C2275,' Disaggregation - Section E '!A$618:J2601,7,0)*100),"")</f>
        <v>68.658162441466175</v>
      </c>
      <c r="F2275" s="388" t="str">
        <f ca="1">IFERROR(VLOOKUP(C2275,' Disaggregation - Section E '!A$618:J2601,5,0),"")</f>
        <v>Male</v>
      </c>
      <c r="G2275" s="387">
        <f ca="1">IFERROR(IF(VLOOKUP(C2275,' Disaggregation - Section E '!A$618:J2601,6,0)="","",VLOOKUP(C2275,' Disaggregation - Section E '!A$618:J2601,6,0)),"")</f>
        <v>4252</v>
      </c>
      <c r="H2275" s="387">
        <f ca="1">IFERROR(IF(INDEX(' Disaggregation - Section E '!F$618:F2601,MATCH(C2275,' Disaggregation - Section E '!A$618:A2601,0)+1,1)&lt;&gt;0,INDEX(' Disaggregation - Section E '!F$618:F2601,MATCH(C2275,' Disaggregation - Section E '!A$618:A2601,0)+1,1),""),"")</f>
        <v>6193</v>
      </c>
      <c r="I2275" s="388">
        <f ca="1">IFERROR(IF(VLOOKUP(C2275,' Disaggregation - Section E '!A$618:J2601,8,0)=0,"",VLOOKUP(C2275,' Disaggregation - Section E '!A$618:J2601,8,0)),"")</f>
        <v>2022</v>
      </c>
      <c r="J2275" s="388" t="str">
        <f ca="1">IFERROR(IF(VLOOKUP(C2275,' Disaggregation - Section E '!A$618:J2601,9,0)="","",VLOOKUP(C2275,' Disaggregation - Section E '!A$618:J2601,9,0)),"")</f>
        <v>Admistrative report</v>
      </c>
      <c r="K2275" s="384" t="str">
        <f ca="1">IFERROR(VLOOKUP(C2275,' Disaggregation - Section E '!A$618:J2601,3,0),"")</f>
        <v>HTS-3f⁽ᴹ⁾ Number of people in prisons and other closed settings that have received an HIV test during the reporting period and know their results</v>
      </c>
      <c r="L2275" s="384"/>
      <c r="M2275" s="384" t="str">
        <f ca="1">IFERROR(IF(VLOOKUP(C2275,' Disaggregation - Section E '!A$618:O1404,15,0)=0,"",VLOOKUP(C2275,' Disaggregation - Section E '!A$618:O1404,15,0)),"")</f>
        <v>IDR-01288</v>
      </c>
      <c r="N2275" s="388" t="str">
        <f ca="1">IFERROR(IF(VLOOKUP(C2275,' Disaggregation - Section E '!A$618:J2601,10,0)=0,"",VLOOKUP(C2275,' Disaggregation - Section E '!A$618:J2601,10,0)),"")</f>
        <v>The numerator is the number of people who received the testing service and know their results, and the denominator is the prison population at the end of 2022.</v>
      </c>
      <c r="O2275" s="384"/>
    </row>
    <row r="2276" spans="1:15" x14ac:dyDescent="0.3">
      <c r="A2276" s="384" t="b">
        <f t="shared" ca="1" si="137"/>
        <v>1</v>
      </c>
      <c r="B2276" s="384"/>
      <c r="C2276" s="393" t="str">
        <f ca="1">IF(COUNTA(O$1493:O2276)=1,"",OFFSET(B2274,-COUNTA(O$1493:O2276)+3,1))</f>
        <v>a16Dm000000LZcRIAW</v>
      </c>
      <c r="D2276" s="389"/>
      <c r="E2276" s="386">
        <f ca="1">IFERROR(IF(VLOOKUP(C2276,' Disaggregation - Section E '!A$618:J2602,7,0)="","",VLOOKUP(C2276,' Disaggregation - Section E '!A$618:J2602,7,0)*100),"")</f>
        <v>6.0229291135152598</v>
      </c>
      <c r="F2276" s="388" t="str">
        <f ca="1">IFERROR(VLOOKUP(C2276,' Disaggregation - Section E '!A$618:J2602,5,0),"")</f>
        <v>Female</v>
      </c>
      <c r="G2276" s="387">
        <f ca="1">IFERROR(IF(VLOOKUP(C2276,' Disaggregation - Section E '!A$618:J2602,6,0)="","",VLOOKUP(C2276,' Disaggregation - Section E '!A$618:J2602,6,0)),"")</f>
        <v>373</v>
      </c>
      <c r="H2276" s="387">
        <f ca="1">IFERROR(IF(INDEX(' Disaggregation - Section E '!F$618:F2602,MATCH(C2276,' Disaggregation - Section E '!A$618:A2602,0)+1,1)&lt;&gt;0,INDEX(' Disaggregation - Section E '!F$618:F2602,MATCH(C2276,' Disaggregation - Section E '!A$618:A2602,0)+1,1),""),"")</f>
        <v>6193</v>
      </c>
      <c r="I2276" s="388">
        <f ca="1">IFERROR(IF(VLOOKUP(C2276,' Disaggregation - Section E '!A$618:J2602,8,0)=0,"",VLOOKUP(C2276,' Disaggregation - Section E '!A$618:J2602,8,0)),"")</f>
        <v>2022</v>
      </c>
      <c r="J2276" s="388" t="str">
        <f ca="1">IFERROR(IF(VLOOKUP(C2276,' Disaggregation - Section E '!A$618:J2602,9,0)="","",VLOOKUP(C2276,' Disaggregation - Section E '!A$618:J2602,9,0)),"")</f>
        <v>Admistrative report</v>
      </c>
      <c r="K2276" s="384" t="str">
        <f ca="1">IFERROR(VLOOKUP(C2276,' Disaggregation - Section E '!A$618:J2602,3,0),"")</f>
        <v>HTS-3f⁽ᴹ⁾ Number of people in prisons and other closed settings that have received an HIV test during the reporting period and know their results</v>
      </c>
      <c r="L2276" s="384"/>
      <c r="M2276" s="384" t="str">
        <f ca="1">IFERROR(IF(VLOOKUP(C2276,' Disaggregation - Section E '!A$618:O1405,15,0)=0,"",VLOOKUP(C2276,' Disaggregation - Section E '!A$618:O1405,15,0)),"")</f>
        <v>IDR-01287</v>
      </c>
      <c r="N2276" s="388" t="str">
        <f ca="1">IFERROR(IF(VLOOKUP(C2276,' Disaggregation - Section E '!A$618:J2602,10,0)=0,"",VLOOKUP(C2276,' Disaggregation - Section E '!A$618:J2602,10,0)),"")</f>
        <v>The numerator is the number of people who received the testing service and know their results, and the denominator is the prison population at the end of 2022.</v>
      </c>
      <c r="O2276" s="384"/>
    </row>
    <row r="2277" spans="1:15" x14ac:dyDescent="0.3">
      <c r="A2277" s="384" t="b">
        <f t="shared" ca="1" si="137"/>
        <v>0</v>
      </c>
      <c r="B2277" s="384"/>
      <c r="C2277" s="393" t="str">
        <f ca="1">IF(COUNTA(O$1493:O2277)=1,"",OFFSET(B2275,-COUNTA(O$1493:O2277)+3,1))</f>
        <v>a16Dm000000LZcSIAW</v>
      </c>
      <c r="D2277" s="389"/>
      <c r="E2277" s="386" t="str">
        <f ca="1">IFERROR(IF(VLOOKUP(C2277,' Disaggregation - Section E '!A$618:J2603,7,0)="","",VLOOKUP(C2277,' Disaggregation - Section E '!A$618:J2603,7,0)*100),"")</f>
        <v/>
      </c>
      <c r="F2277" s="388" t="str">
        <f ca="1">IFERROR(VLOOKUP(C2277,' Disaggregation - Section E '!A$618:J2603,5,0),"")</f>
        <v/>
      </c>
      <c r="G2277" s="387" t="str">
        <f ca="1">IFERROR(IF(VLOOKUP(C2277,' Disaggregation - Section E '!A$618:J2603,6,0)="","",VLOOKUP(C2277,' Disaggregation - Section E '!A$618:J2603,6,0)),"")</f>
        <v/>
      </c>
      <c r="H2277" s="387" t="str">
        <f ca="1">IFERROR(IF(INDEX(' Disaggregation - Section E '!F$618:F2603,MATCH(C2277,' Disaggregation - Section E '!A$618:A2603,0)+1,1)&lt;&gt;0,INDEX(' Disaggregation - Section E '!F$618:F2603,MATCH(C2277,' Disaggregation - Section E '!A$618:A2603,0)+1,1),""),"")</f>
        <v/>
      </c>
      <c r="I2277" s="388" t="str">
        <f ca="1">IFERROR(IF(VLOOKUP(C2277,' Disaggregation - Section E '!A$618:J2603,8,0)=0,"",VLOOKUP(C2277,' Disaggregation - Section E '!A$618:J2603,8,0)),"")</f>
        <v/>
      </c>
      <c r="J2277" s="388" t="str">
        <f ca="1">IFERROR(IF(VLOOKUP(C2277,' Disaggregation - Section E '!A$618:J2603,9,0)="","",VLOOKUP(C2277,' Disaggregation - Section E '!A$618:J2603,9,0)),"")</f>
        <v/>
      </c>
      <c r="K2277" s="384" t="str">
        <f ca="1">IFERROR(VLOOKUP(C2277,' Disaggregation - Section E '!A$618:J2603,3,0),"")</f>
        <v>HTS-3f⁽ᴹ⁾ Number of people in prisons and other closed settings that have received an HIV test during the reporting period and know their results</v>
      </c>
      <c r="L2277" s="384"/>
      <c r="M2277" s="384" t="str">
        <f ca="1">IFERROR(IF(VLOOKUP(C2277,' Disaggregation - Section E '!A$618:O1406,15,0)=0,"",VLOOKUP(C2277,' Disaggregation - Section E '!A$618:O1406,15,0)),"")</f>
        <v/>
      </c>
      <c r="N2277" s="388" t="str">
        <f ca="1">IFERROR(IF(VLOOKUP(C2277,' Disaggregation - Section E '!A$618:J2603,10,0)=0,"",VLOOKUP(C2277,' Disaggregation - Section E '!A$618:J2603,10,0)),"")</f>
        <v/>
      </c>
      <c r="O2277" s="384"/>
    </row>
    <row r="2278" spans="1:15" x14ac:dyDescent="0.3">
      <c r="A2278" s="384" t="b">
        <f t="shared" ca="1" si="137"/>
        <v>0</v>
      </c>
      <c r="B2278" s="384"/>
      <c r="C2278" s="393" t="str">
        <f ca="1">IF(COUNTA(O$1493:O2278)=1,"",OFFSET(B2276,-COUNTA(O$1493:O2278)+3,1))</f>
        <v>a16Dm000000LZcTIAW</v>
      </c>
      <c r="D2278" s="389"/>
      <c r="E2278" s="386" t="str">
        <f ca="1">IFERROR(IF(VLOOKUP(C2278,' Disaggregation - Section E '!A$618:J2604,7,0)="","",VLOOKUP(C2278,' Disaggregation - Section E '!A$618:J2604,7,0)*100),"")</f>
        <v/>
      </c>
      <c r="F2278" s="388" t="str">
        <f ca="1">IFERROR(VLOOKUP(C2278,' Disaggregation - Section E '!A$618:J2604,5,0),"")</f>
        <v/>
      </c>
      <c r="G2278" s="387" t="str">
        <f ca="1">IFERROR(IF(VLOOKUP(C2278,' Disaggregation - Section E '!A$618:J2604,6,0)="","",VLOOKUP(C2278,' Disaggregation - Section E '!A$618:J2604,6,0)),"")</f>
        <v/>
      </c>
      <c r="H2278" s="387" t="str">
        <f ca="1">IFERROR(IF(INDEX(' Disaggregation - Section E '!F$618:F2604,MATCH(C2278,' Disaggregation - Section E '!A$618:A2604,0)+1,1)&lt;&gt;0,INDEX(' Disaggregation - Section E '!F$618:F2604,MATCH(C2278,' Disaggregation - Section E '!A$618:A2604,0)+1,1),""),"")</f>
        <v/>
      </c>
      <c r="I2278" s="388" t="str">
        <f ca="1">IFERROR(IF(VLOOKUP(C2278,' Disaggregation - Section E '!A$618:J2604,8,0)=0,"",VLOOKUP(C2278,' Disaggregation - Section E '!A$618:J2604,8,0)),"")</f>
        <v/>
      </c>
      <c r="J2278" s="388" t="str">
        <f ca="1">IFERROR(IF(VLOOKUP(C2278,' Disaggregation - Section E '!A$618:J2604,9,0)="","",VLOOKUP(C2278,' Disaggregation - Section E '!A$618:J2604,9,0)),"")</f>
        <v/>
      </c>
      <c r="K2278" s="384" t="str">
        <f ca="1">IFERROR(VLOOKUP(C2278,' Disaggregation - Section E '!A$618:J2604,3,0),"")</f>
        <v>HTS-3f⁽ᴹ⁾ Number of people in prisons and other closed settings that have received an HIV test during the reporting period and know their results</v>
      </c>
      <c r="L2278" s="384"/>
      <c r="M2278" s="384" t="str">
        <f ca="1">IFERROR(IF(VLOOKUP(C2278,' Disaggregation - Section E '!A$618:O1407,15,0)=0,"",VLOOKUP(C2278,' Disaggregation - Section E '!A$618:O1407,15,0)),"")</f>
        <v/>
      </c>
      <c r="N2278" s="388" t="str">
        <f ca="1">IFERROR(IF(VLOOKUP(C2278,' Disaggregation - Section E '!A$618:J2604,10,0)=0,"",VLOOKUP(C2278,' Disaggregation - Section E '!A$618:J2604,10,0)),"")</f>
        <v/>
      </c>
      <c r="O2278" s="384"/>
    </row>
    <row r="2279" spans="1:15" x14ac:dyDescent="0.3">
      <c r="A2279" s="384" t="b">
        <f t="shared" ca="1" si="137"/>
        <v>0</v>
      </c>
      <c r="B2279" s="384"/>
      <c r="C2279" s="393" t="str">
        <f ca="1">IF(COUNTA(O$1493:O2279)=1,"",OFFSET(B2277,-COUNTA(O$1493:O2279)+3,1))</f>
        <v>a16Dm000000LZcUIAW</v>
      </c>
      <c r="D2279" s="389"/>
      <c r="E2279" s="386" t="str">
        <f ca="1">IFERROR(IF(VLOOKUP(C2279,' Disaggregation - Section E '!A$618:J2605,7,0)="","",VLOOKUP(C2279,' Disaggregation - Section E '!A$618:J2605,7,0)*100),"")</f>
        <v/>
      </c>
      <c r="F2279" s="388" t="str">
        <f ca="1">IFERROR(VLOOKUP(C2279,' Disaggregation - Section E '!A$618:J2605,5,0),"")</f>
        <v/>
      </c>
      <c r="G2279" s="387" t="str">
        <f ca="1">IFERROR(IF(VLOOKUP(C2279,' Disaggregation - Section E '!A$618:J2605,6,0)="","",VLOOKUP(C2279,' Disaggregation - Section E '!A$618:J2605,6,0)),"")</f>
        <v/>
      </c>
      <c r="H2279" s="387" t="str">
        <f ca="1">IFERROR(IF(INDEX(' Disaggregation - Section E '!F$618:F2605,MATCH(C2279,' Disaggregation - Section E '!A$618:A2605,0)+1,1)&lt;&gt;0,INDEX(' Disaggregation - Section E '!F$618:F2605,MATCH(C2279,' Disaggregation - Section E '!A$618:A2605,0)+1,1),""),"")</f>
        <v/>
      </c>
      <c r="I2279" s="388" t="str">
        <f ca="1">IFERROR(IF(VLOOKUP(C2279,' Disaggregation - Section E '!A$618:J2605,8,0)=0,"",VLOOKUP(C2279,' Disaggregation - Section E '!A$618:J2605,8,0)),"")</f>
        <v/>
      </c>
      <c r="J2279" s="388" t="str">
        <f ca="1">IFERROR(IF(VLOOKUP(C2279,' Disaggregation - Section E '!A$618:J2605,9,0)="","",VLOOKUP(C2279,' Disaggregation - Section E '!A$618:J2605,9,0)),"")</f>
        <v/>
      </c>
      <c r="K2279" s="384" t="str">
        <f ca="1">IFERROR(VLOOKUP(C2279,' Disaggregation - Section E '!A$618:J2605,3,0),"")</f>
        <v>HTS-3f⁽ᴹ⁾ Number of people in prisons and other closed settings that have received an HIV test during the reporting period and know their results</v>
      </c>
      <c r="L2279" s="384"/>
      <c r="M2279" s="384" t="str">
        <f ca="1">IFERROR(IF(VLOOKUP(C2279,' Disaggregation - Section E '!A$618:O1408,15,0)=0,"",VLOOKUP(C2279,' Disaggregation - Section E '!A$618:O1408,15,0)),"")</f>
        <v/>
      </c>
      <c r="N2279" s="388" t="str">
        <f ca="1">IFERROR(IF(VLOOKUP(C2279,' Disaggregation - Section E '!A$618:J2605,10,0)=0,"",VLOOKUP(C2279,' Disaggregation - Section E '!A$618:J2605,10,0)),"")</f>
        <v/>
      </c>
      <c r="O2279" s="384"/>
    </row>
    <row r="2280" spans="1:15" x14ac:dyDescent="0.3">
      <c r="A2280" s="384" t="b">
        <f t="shared" ca="1" si="137"/>
        <v>0</v>
      </c>
      <c r="B2280" s="384"/>
      <c r="C2280" s="393" t="str">
        <f ca="1">IF(COUNTA(O$1493:O2280)=1,"",OFFSET(B2278,-COUNTA(O$1493:O2280)+3,1))</f>
        <v>a16Dm000000LZcVIAW</v>
      </c>
      <c r="D2280" s="389"/>
      <c r="E2280" s="386" t="str">
        <f ca="1">IFERROR(IF(VLOOKUP(C2280,' Disaggregation - Section E '!A$618:J2606,7,0)="","",VLOOKUP(C2280,' Disaggregation - Section E '!A$618:J2606,7,0)*100),"")</f>
        <v/>
      </c>
      <c r="F2280" s="388" t="str">
        <f ca="1">IFERROR(VLOOKUP(C2280,' Disaggregation - Section E '!A$618:J2606,5,0),"")</f>
        <v/>
      </c>
      <c r="G2280" s="387" t="str">
        <f ca="1">IFERROR(IF(VLOOKUP(C2280,' Disaggregation - Section E '!A$618:J2606,6,0)="","",VLOOKUP(C2280,' Disaggregation - Section E '!A$618:J2606,6,0)),"")</f>
        <v/>
      </c>
      <c r="H2280" s="387" t="str">
        <f ca="1">IFERROR(IF(INDEX(' Disaggregation - Section E '!F$618:F2606,MATCH(C2280,' Disaggregation - Section E '!A$618:A2606,0)+1,1)&lt;&gt;0,INDEX(' Disaggregation - Section E '!F$618:F2606,MATCH(C2280,' Disaggregation - Section E '!A$618:A2606,0)+1,1),""),"")</f>
        <v/>
      </c>
      <c r="I2280" s="388" t="str">
        <f ca="1">IFERROR(IF(VLOOKUP(C2280,' Disaggregation - Section E '!A$618:J2606,8,0)=0,"",VLOOKUP(C2280,' Disaggregation - Section E '!A$618:J2606,8,0)),"")</f>
        <v/>
      </c>
      <c r="J2280" s="388" t="str">
        <f ca="1">IFERROR(IF(VLOOKUP(C2280,' Disaggregation - Section E '!A$618:J2606,9,0)="","",VLOOKUP(C2280,' Disaggregation - Section E '!A$618:J2606,9,0)),"")</f>
        <v/>
      </c>
      <c r="K2280" s="384" t="str">
        <f ca="1">IFERROR(VLOOKUP(C2280,' Disaggregation - Section E '!A$618:J2606,3,0),"")</f>
        <v>HTS-3f⁽ᴹ⁾ Number of people in prisons and other closed settings that have received an HIV test during the reporting period and know their results</v>
      </c>
      <c r="L2280" s="384"/>
      <c r="M2280" s="384" t="str">
        <f ca="1">IFERROR(IF(VLOOKUP(C2280,' Disaggregation - Section E '!A$618:O1409,15,0)=0,"",VLOOKUP(C2280,' Disaggregation - Section E '!A$618:O1409,15,0)),"")</f>
        <v/>
      </c>
      <c r="N2280" s="388" t="str">
        <f ca="1">IFERROR(IF(VLOOKUP(C2280,' Disaggregation - Section E '!A$618:J2606,10,0)=0,"",VLOOKUP(C2280,' Disaggregation - Section E '!A$618:J2606,10,0)),"")</f>
        <v/>
      </c>
      <c r="O2280" s="384"/>
    </row>
    <row r="2281" spans="1:15" x14ac:dyDescent="0.3">
      <c r="A2281" s="384" t="b">
        <f t="shared" ca="1" si="137"/>
        <v>0</v>
      </c>
      <c r="B2281" s="384"/>
      <c r="C2281" s="393" t="str">
        <f ca="1">IF(COUNTA(O$1493:O2281)=1,"",OFFSET(B2279,-COUNTA(O$1493:O2281)+3,1))</f>
        <v>a16Dm000000LZcWIAW</v>
      </c>
      <c r="D2281" s="389"/>
      <c r="E2281" s="386" t="str">
        <f ca="1">IFERROR(IF(VLOOKUP(C2281,' Disaggregation - Section E '!A$618:J2607,7,0)="","",VLOOKUP(C2281,' Disaggregation - Section E '!A$618:J2607,7,0)*100),"")</f>
        <v/>
      </c>
      <c r="F2281" s="388" t="str">
        <f ca="1">IFERROR(VLOOKUP(C2281,' Disaggregation - Section E '!A$618:J2607,5,0),"")</f>
        <v/>
      </c>
      <c r="G2281" s="387" t="str">
        <f ca="1">IFERROR(IF(VLOOKUP(C2281,' Disaggregation - Section E '!A$618:J2607,6,0)="","",VLOOKUP(C2281,' Disaggregation - Section E '!A$618:J2607,6,0)),"")</f>
        <v/>
      </c>
      <c r="H2281" s="387" t="str">
        <f ca="1">IFERROR(IF(INDEX(' Disaggregation - Section E '!F$618:F2607,MATCH(C2281,' Disaggregation - Section E '!A$618:A2607,0)+1,1)&lt;&gt;0,INDEX(' Disaggregation - Section E '!F$618:F2607,MATCH(C2281,' Disaggregation - Section E '!A$618:A2607,0)+1,1),""),"")</f>
        <v/>
      </c>
      <c r="I2281" s="388" t="str">
        <f ca="1">IFERROR(IF(VLOOKUP(C2281,' Disaggregation - Section E '!A$618:J2607,8,0)=0,"",VLOOKUP(C2281,' Disaggregation - Section E '!A$618:J2607,8,0)),"")</f>
        <v/>
      </c>
      <c r="J2281" s="388" t="str">
        <f ca="1">IFERROR(IF(VLOOKUP(C2281,' Disaggregation - Section E '!A$618:J2607,9,0)="","",VLOOKUP(C2281,' Disaggregation - Section E '!A$618:J2607,9,0)),"")</f>
        <v/>
      </c>
      <c r="K2281" s="384" t="str">
        <f ca="1">IFERROR(VLOOKUP(C2281,' Disaggregation - Section E '!A$618:J2607,3,0),"")</f>
        <v>HTS-3f⁽ᴹ⁾ Number of people in prisons and other closed settings that have received an HIV test during the reporting period and know their results</v>
      </c>
      <c r="L2281" s="384"/>
      <c r="M2281" s="384" t="str">
        <f ca="1">IFERROR(IF(VLOOKUP(C2281,' Disaggregation - Section E '!A$618:O1410,15,0)=0,"",VLOOKUP(C2281,' Disaggregation - Section E '!A$618:O1410,15,0)),"")</f>
        <v/>
      </c>
      <c r="N2281" s="388" t="str">
        <f ca="1">IFERROR(IF(VLOOKUP(C2281,' Disaggregation - Section E '!A$618:J2607,10,0)=0,"",VLOOKUP(C2281,' Disaggregation - Section E '!A$618:J2607,10,0)),"")</f>
        <v/>
      </c>
      <c r="O2281" s="384"/>
    </row>
    <row r="2282" spans="1:15" x14ac:dyDescent="0.3">
      <c r="A2282" s="384" t="b">
        <f t="shared" ca="1" si="137"/>
        <v>0</v>
      </c>
      <c r="B2282" s="384"/>
      <c r="C2282" s="393" t="str">
        <f ca="1">IF(COUNTA(O$1493:O2282)=1,"",OFFSET(B2280,-COUNTA(O$1493:O2282)+3,1))</f>
        <v>a16Dm000000LZcXIAW</v>
      </c>
      <c r="D2282" s="389"/>
      <c r="E2282" s="386" t="str">
        <f ca="1">IFERROR(IF(VLOOKUP(C2282,' Disaggregation - Section E '!A$618:J2608,7,0)="","",VLOOKUP(C2282,' Disaggregation - Section E '!A$618:J2608,7,0)*100),"")</f>
        <v/>
      </c>
      <c r="F2282" s="388" t="str">
        <f ca="1">IFERROR(VLOOKUP(C2282,' Disaggregation - Section E '!A$618:J2608,5,0),"")</f>
        <v/>
      </c>
      <c r="G2282" s="387" t="str">
        <f ca="1">IFERROR(IF(VLOOKUP(C2282,' Disaggregation - Section E '!A$618:J2608,6,0)="","",VLOOKUP(C2282,' Disaggregation - Section E '!A$618:J2608,6,0)),"")</f>
        <v/>
      </c>
      <c r="H2282" s="387" t="str">
        <f ca="1">IFERROR(IF(INDEX(' Disaggregation - Section E '!F$618:F2608,MATCH(C2282,' Disaggregation - Section E '!A$618:A2608,0)+1,1)&lt;&gt;0,INDEX(' Disaggregation - Section E '!F$618:F2608,MATCH(C2282,' Disaggregation - Section E '!A$618:A2608,0)+1,1),""),"")</f>
        <v/>
      </c>
      <c r="I2282" s="388" t="str">
        <f ca="1">IFERROR(IF(VLOOKUP(C2282,' Disaggregation - Section E '!A$618:J2608,8,0)=0,"",VLOOKUP(C2282,' Disaggregation - Section E '!A$618:J2608,8,0)),"")</f>
        <v/>
      </c>
      <c r="J2282" s="388" t="str">
        <f ca="1">IFERROR(IF(VLOOKUP(C2282,' Disaggregation - Section E '!A$618:J2608,9,0)="","",VLOOKUP(C2282,' Disaggregation - Section E '!A$618:J2608,9,0)),"")</f>
        <v/>
      </c>
      <c r="K2282" s="384" t="str">
        <f ca="1">IFERROR(VLOOKUP(C2282,' Disaggregation - Section E '!A$618:J2608,3,0),"")</f>
        <v>HTS-3f⁽ᴹ⁾ Number of people in prisons and other closed settings that have received an HIV test during the reporting period and know their results</v>
      </c>
      <c r="L2282" s="384"/>
      <c r="M2282" s="384" t="str">
        <f ca="1">IFERROR(IF(VLOOKUP(C2282,' Disaggregation - Section E '!A$618:O1411,15,0)=0,"",VLOOKUP(C2282,' Disaggregation - Section E '!A$618:O1411,15,0)),"")</f>
        <v/>
      </c>
      <c r="N2282" s="388" t="str">
        <f ca="1">IFERROR(IF(VLOOKUP(C2282,' Disaggregation - Section E '!A$618:J2608,10,0)=0,"",VLOOKUP(C2282,' Disaggregation - Section E '!A$618:J2608,10,0)),"")</f>
        <v/>
      </c>
      <c r="O2282" s="384"/>
    </row>
    <row r="2283" spans="1:15" x14ac:dyDescent="0.3">
      <c r="A2283" s="384" t="b">
        <f t="shared" ca="1" si="137"/>
        <v>0</v>
      </c>
      <c r="B2283" s="384"/>
      <c r="C2283" s="393" t="str">
        <f ca="1">IF(COUNTA(O$1493:O2283)=1,"",OFFSET(B2281,-COUNTA(O$1493:O2283)+3,1))</f>
        <v>a16Dm000000LZcYIAW</v>
      </c>
      <c r="D2283" s="389"/>
      <c r="E2283" s="386" t="str">
        <f ca="1">IFERROR(IF(VLOOKUP(C2283,' Disaggregation - Section E '!A$618:J2609,7,0)="","",VLOOKUP(C2283,' Disaggregation - Section E '!A$618:J2609,7,0)*100),"")</f>
        <v/>
      </c>
      <c r="F2283" s="388" t="str">
        <f ca="1">IFERROR(VLOOKUP(C2283,' Disaggregation - Section E '!A$618:J2609,5,0),"")</f>
        <v/>
      </c>
      <c r="G2283" s="387" t="str">
        <f ca="1">IFERROR(IF(VLOOKUP(C2283,' Disaggregation - Section E '!A$618:J2609,6,0)="","",VLOOKUP(C2283,' Disaggregation - Section E '!A$618:J2609,6,0)),"")</f>
        <v/>
      </c>
      <c r="H2283" s="387" t="str">
        <f ca="1">IFERROR(IF(INDEX(' Disaggregation - Section E '!F$618:F2609,MATCH(C2283,' Disaggregation - Section E '!A$618:A2609,0)+1,1)&lt;&gt;0,INDEX(' Disaggregation - Section E '!F$618:F2609,MATCH(C2283,' Disaggregation - Section E '!A$618:A2609,0)+1,1),""),"")</f>
        <v/>
      </c>
      <c r="I2283" s="388" t="str">
        <f ca="1">IFERROR(IF(VLOOKUP(C2283,' Disaggregation - Section E '!A$618:J2609,8,0)=0,"",VLOOKUP(C2283,' Disaggregation - Section E '!A$618:J2609,8,0)),"")</f>
        <v/>
      </c>
      <c r="J2283" s="388" t="str">
        <f ca="1">IFERROR(IF(VLOOKUP(C2283,' Disaggregation - Section E '!A$618:J2609,9,0)="","",VLOOKUP(C2283,' Disaggregation - Section E '!A$618:J2609,9,0)),"")</f>
        <v/>
      </c>
      <c r="K2283" s="384" t="str">
        <f ca="1">IFERROR(VLOOKUP(C2283,' Disaggregation - Section E '!A$618:J2609,3,0),"")</f>
        <v>HTS-3f⁽ᴹ⁾ Number of people in prisons and other closed settings that have received an HIV test during the reporting period and know their results</v>
      </c>
      <c r="L2283" s="384"/>
      <c r="M2283" s="384" t="str">
        <f ca="1">IFERROR(IF(VLOOKUP(C2283,' Disaggregation - Section E '!A$618:O1412,15,0)=0,"",VLOOKUP(C2283,' Disaggregation - Section E '!A$618:O1412,15,0)),"")</f>
        <v/>
      </c>
      <c r="N2283" s="388" t="str">
        <f ca="1">IFERROR(IF(VLOOKUP(C2283,' Disaggregation - Section E '!A$618:J2609,10,0)=0,"",VLOOKUP(C2283,' Disaggregation - Section E '!A$618:J2609,10,0)),"")</f>
        <v/>
      </c>
      <c r="O2283" s="384"/>
    </row>
    <row r="2284" spans="1:15" x14ac:dyDescent="0.3">
      <c r="A2284" s="384" t="b">
        <f t="shared" ca="1" si="137"/>
        <v>0</v>
      </c>
      <c r="B2284" s="384"/>
      <c r="C2284" s="393" t="str">
        <f ca="1">IF(COUNTA(O$1493:O2284)=1,"",OFFSET(B2282,-COUNTA(O$1493:O2284)+3,1))</f>
        <v>a16Dm000000LZcZIAW</v>
      </c>
      <c r="D2284" s="389"/>
      <c r="E2284" s="386" t="str">
        <f ca="1">IFERROR(IF(VLOOKUP(C2284,' Disaggregation - Section E '!A$618:J2610,7,0)="","",VLOOKUP(C2284,' Disaggregation - Section E '!A$618:J2610,7,0)*100),"")</f>
        <v/>
      </c>
      <c r="F2284" s="388" t="str">
        <f ca="1">IFERROR(VLOOKUP(C2284,' Disaggregation - Section E '!A$618:J2610,5,0),"")</f>
        <v/>
      </c>
      <c r="G2284" s="387" t="str">
        <f ca="1">IFERROR(IF(VLOOKUP(C2284,' Disaggregation - Section E '!A$618:J2610,6,0)="","",VLOOKUP(C2284,' Disaggregation - Section E '!A$618:J2610,6,0)),"")</f>
        <v/>
      </c>
      <c r="H2284" s="387" t="str">
        <f ca="1">IFERROR(IF(INDEX(' Disaggregation - Section E '!F$618:F2610,MATCH(C2284,' Disaggregation - Section E '!A$618:A2610,0)+1,1)&lt;&gt;0,INDEX(' Disaggregation - Section E '!F$618:F2610,MATCH(C2284,' Disaggregation - Section E '!A$618:A2610,0)+1,1),""),"")</f>
        <v/>
      </c>
      <c r="I2284" s="388" t="str">
        <f ca="1">IFERROR(IF(VLOOKUP(C2284,' Disaggregation - Section E '!A$618:J2610,8,0)=0,"",VLOOKUP(C2284,' Disaggregation - Section E '!A$618:J2610,8,0)),"")</f>
        <v/>
      </c>
      <c r="J2284" s="388" t="str">
        <f ca="1">IFERROR(IF(VLOOKUP(C2284,' Disaggregation - Section E '!A$618:J2610,9,0)="","",VLOOKUP(C2284,' Disaggregation - Section E '!A$618:J2610,9,0)),"")</f>
        <v/>
      </c>
      <c r="K2284" s="384" t="str">
        <f ca="1">IFERROR(VLOOKUP(C2284,' Disaggregation - Section E '!A$618:J2610,3,0),"")</f>
        <v>HTS-3f⁽ᴹ⁾ Number of people in prisons and other closed settings that have received an HIV test during the reporting period and know their results</v>
      </c>
      <c r="L2284" s="384"/>
      <c r="M2284" s="384" t="str">
        <f ca="1">IFERROR(IF(VLOOKUP(C2284,' Disaggregation - Section E '!A$618:O1413,15,0)=0,"",VLOOKUP(C2284,' Disaggregation - Section E '!A$618:O1413,15,0)),"")</f>
        <v/>
      </c>
      <c r="N2284" s="388" t="str">
        <f ca="1">IFERROR(IF(VLOOKUP(C2284,' Disaggregation - Section E '!A$618:J2610,10,0)=0,"",VLOOKUP(C2284,' Disaggregation - Section E '!A$618:J2610,10,0)),"")</f>
        <v/>
      </c>
      <c r="O2284" s="384"/>
    </row>
    <row r="2285" spans="1:15" x14ac:dyDescent="0.3">
      <c r="A2285" s="384" t="b">
        <f t="shared" ca="1" si="137"/>
        <v>0</v>
      </c>
      <c r="B2285" s="384"/>
      <c r="C2285" s="393" t="str">
        <f ca="1">IF(COUNTA(O$1493:O2285)=1,"",OFFSET(B2283,-COUNTA(O$1493:O2285)+3,1))</f>
        <v>a16Dm000000LZcaIAG</v>
      </c>
      <c r="D2285" s="389"/>
      <c r="E2285" s="386" t="str">
        <f ca="1">IFERROR(IF(VLOOKUP(C2285,' Disaggregation - Section E '!A$618:J2611,7,0)="","",VLOOKUP(C2285,' Disaggregation - Section E '!A$618:J2611,7,0)*100),"")</f>
        <v/>
      </c>
      <c r="F2285" s="388" t="str">
        <f ca="1">IFERROR(VLOOKUP(C2285,' Disaggregation - Section E '!A$618:J2611,5,0),"")</f>
        <v/>
      </c>
      <c r="G2285" s="387" t="str">
        <f ca="1">IFERROR(IF(VLOOKUP(C2285,' Disaggregation - Section E '!A$618:J2611,6,0)="","",VLOOKUP(C2285,' Disaggregation - Section E '!A$618:J2611,6,0)),"")</f>
        <v/>
      </c>
      <c r="H2285" s="387" t="str">
        <f ca="1">IFERROR(IF(INDEX(' Disaggregation - Section E '!F$618:F2611,MATCH(C2285,' Disaggregation - Section E '!A$618:A2611,0)+1,1)&lt;&gt;0,INDEX(' Disaggregation - Section E '!F$618:F2611,MATCH(C2285,' Disaggregation - Section E '!A$618:A2611,0)+1,1),""),"")</f>
        <v/>
      </c>
      <c r="I2285" s="388" t="str">
        <f ca="1">IFERROR(IF(VLOOKUP(C2285,' Disaggregation - Section E '!A$618:J2611,8,0)=0,"",VLOOKUP(C2285,' Disaggregation - Section E '!A$618:J2611,8,0)),"")</f>
        <v/>
      </c>
      <c r="J2285" s="388" t="str">
        <f ca="1">IFERROR(IF(VLOOKUP(C2285,' Disaggregation - Section E '!A$618:J2611,9,0)="","",VLOOKUP(C2285,' Disaggregation - Section E '!A$618:J2611,9,0)),"")</f>
        <v/>
      </c>
      <c r="K2285" s="384" t="str">
        <f ca="1">IFERROR(VLOOKUP(C2285,' Disaggregation - Section E '!A$618:J2611,3,0),"")</f>
        <v>HTS-3f⁽ᴹ⁾ Number of people in prisons and other closed settings that have received an HIV test during the reporting period and know their results</v>
      </c>
      <c r="L2285" s="384"/>
      <c r="M2285" s="384" t="str">
        <f ca="1">IFERROR(IF(VLOOKUP(C2285,' Disaggregation - Section E '!A$618:O1414,15,0)=0,"",VLOOKUP(C2285,' Disaggregation - Section E '!A$618:O1414,15,0)),"")</f>
        <v/>
      </c>
      <c r="N2285" s="388" t="str">
        <f ca="1">IFERROR(IF(VLOOKUP(C2285,' Disaggregation - Section E '!A$618:J2611,10,0)=0,"",VLOOKUP(C2285,' Disaggregation - Section E '!A$618:J2611,10,0)),"")</f>
        <v/>
      </c>
      <c r="O2285" s="384"/>
    </row>
    <row r="2286" spans="1:15" x14ac:dyDescent="0.3">
      <c r="A2286" s="384" t="b">
        <f t="shared" ca="1" si="137"/>
        <v>0</v>
      </c>
      <c r="B2286" s="384"/>
      <c r="C2286" s="393" t="str">
        <f ca="1">IF(COUNTA(O$1493:O2286)=1,"",OFFSET(B2284,-COUNTA(O$1493:O2286)+3,1))</f>
        <v>a16Dm000000LZcbIAG</v>
      </c>
      <c r="D2286" s="389"/>
      <c r="E2286" s="386" t="str">
        <f ca="1">IFERROR(IF(VLOOKUP(C2286,' Disaggregation - Section E '!A$618:J2612,7,0)="","",VLOOKUP(C2286,' Disaggregation - Section E '!A$618:J2612,7,0)*100),"")</f>
        <v/>
      </c>
      <c r="F2286" s="388" t="str">
        <f ca="1">IFERROR(VLOOKUP(C2286,' Disaggregation - Section E '!A$618:J2612,5,0),"")</f>
        <v/>
      </c>
      <c r="G2286" s="387" t="str">
        <f ca="1">IFERROR(IF(VLOOKUP(C2286,' Disaggregation - Section E '!A$618:J2612,6,0)="","",VLOOKUP(C2286,' Disaggregation - Section E '!A$618:J2612,6,0)),"")</f>
        <v/>
      </c>
      <c r="H2286" s="387" t="str">
        <f ca="1">IFERROR(IF(INDEX(' Disaggregation - Section E '!F$618:F2612,MATCH(C2286,' Disaggregation - Section E '!A$618:A2612,0)+1,1)&lt;&gt;0,INDEX(' Disaggregation - Section E '!F$618:F2612,MATCH(C2286,' Disaggregation - Section E '!A$618:A2612,0)+1,1),""),"")</f>
        <v/>
      </c>
      <c r="I2286" s="388" t="str">
        <f ca="1">IFERROR(IF(VLOOKUP(C2286,' Disaggregation - Section E '!A$618:J2612,8,0)=0,"",VLOOKUP(C2286,' Disaggregation - Section E '!A$618:J2612,8,0)),"")</f>
        <v/>
      </c>
      <c r="J2286" s="388" t="str">
        <f ca="1">IFERROR(IF(VLOOKUP(C2286,' Disaggregation - Section E '!A$618:J2612,9,0)="","",VLOOKUP(C2286,' Disaggregation - Section E '!A$618:J2612,9,0)),"")</f>
        <v/>
      </c>
      <c r="K2286" s="384" t="str">
        <f ca="1">IFERROR(VLOOKUP(C2286,' Disaggregation - Section E '!A$618:J2612,3,0),"")</f>
        <v>HTS-3f⁽ᴹ⁾ Number of people in prisons and other closed settings that have received an HIV test during the reporting period and know their results</v>
      </c>
      <c r="L2286" s="384"/>
      <c r="M2286" s="384" t="str">
        <f ca="1">IFERROR(IF(VLOOKUP(C2286,' Disaggregation - Section E '!A$618:O1415,15,0)=0,"",VLOOKUP(C2286,' Disaggregation - Section E '!A$618:O1415,15,0)),"")</f>
        <v/>
      </c>
      <c r="N2286" s="388" t="str">
        <f ca="1">IFERROR(IF(VLOOKUP(C2286,' Disaggregation - Section E '!A$618:J2612,10,0)=0,"",VLOOKUP(C2286,' Disaggregation - Section E '!A$618:J2612,10,0)),"")</f>
        <v/>
      </c>
      <c r="O2286" s="384"/>
    </row>
    <row r="2287" spans="1:15" x14ac:dyDescent="0.3">
      <c r="A2287" s="384" t="b">
        <f t="shared" ref="A2287:A2350" ca="1" si="138">IF(M2287&lt;&gt;"",TRUE,FALSE)</f>
        <v>0</v>
      </c>
      <c r="B2287" s="384"/>
      <c r="C2287" s="393" t="str">
        <f ca="1">IF(COUNTA(O$1493:O2287)=1,"",OFFSET(B2285,-COUNTA(O$1493:O2287)+3,1))</f>
        <v>a16Dm000000LZccIAG</v>
      </c>
      <c r="D2287" s="389"/>
      <c r="E2287" s="386" t="str">
        <f ca="1">IFERROR(IF(VLOOKUP(C2287,' Disaggregation - Section E '!A$618:J2613,7,0)="","",VLOOKUP(C2287,' Disaggregation - Section E '!A$618:J2613,7,0)*100),"")</f>
        <v/>
      </c>
      <c r="F2287" s="388" t="str">
        <f ca="1">IFERROR(VLOOKUP(C2287,' Disaggregation - Section E '!A$618:J2613,5,0),"")</f>
        <v/>
      </c>
      <c r="G2287" s="387" t="str">
        <f ca="1">IFERROR(IF(VLOOKUP(C2287,' Disaggregation - Section E '!A$618:J2613,6,0)="","",VLOOKUP(C2287,' Disaggregation - Section E '!A$618:J2613,6,0)),"")</f>
        <v/>
      </c>
      <c r="H2287" s="387" t="str">
        <f ca="1">IFERROR(IF(INDEX(' Disaggregation - Section E '!F$618:F2613,MATCH(C2287,' Disaggregation - Section E '!A$618:A2613,0)+1,1)&lt;&gt;0,INDEX(' Disaggregation - Section E '!F$618:F2613,MATCH(C2287,' Disaggregation - Section E '!A$618:A2613,0)+1,1),""),"")</f>
        <v/>
      </c>
      <c r="I2287" s="388" t="str">
        <f ca="1">IFERROR(IF(VLOOKUP(C2287,' Disaggregation - Section E '!A$618:J2613,8,0)=0,"",VLOOKUP(C2287,' Disaggregation - Section E '!A$618:J2613,8,0)),"")</f>
        <v/>
      </c>
      <c r="J2287" s="388" t="str">
        <f ca="1">IFERROR(IF(VLOOKUP(C2287,' Disaggregation - Section E '!A$618:J2613,9,0)="","",VLOOKUP(C2287,' Disaggregation - Section E '!A$618:J2613,9,0)),"")</f>
        <v/>
      </c>
      <c r="K2287" s="384" t="str">
        <f ca="1">IFERROR(VLOOKUP(C2287,' Disaggregation - Section E '!A$618:J2613,3,0),"")</f>
        <v>HTS-3f⁽ᴹ⁾ Number of people in prisons and other closed settings that have received an HIV test during the reporting period and know their results</v>
      </c>
      <c r="L2287" s="384"/>
      <c r="M2287" s="384" t="str">
        <f ca="1">IFERROR(IF(VLOOKUP(C2287,' Disaggregation - Section E '!A$618:O1416,15,0)=0,"",VLOOKUP(C2287,' Disaggregation - Section E '!A$618:O1416,15,0)),"")</f>
        <v/>
      </c>
      <c r="N2287" s="388" t="str">
        <f ca="1">IFERROR(IF(VLOOKUP(C2287,' Disaggregation - Section E '!A$618:J2613,10,0)=0,"",VLOOKUP(C2287,' Disaggregation - Section E '!A$618:J2613,10,0)),"")</f>
        <v/>
      </c>
      <c r="O2287" s="384"/>
    </row>
    <row r="2288" spans="1:15" x14ac:dyDescent="0.3">
      <c r="A2288" s="384" t="b">
        <f t="shared" ca="1" si="138"/>
        <v>0</v>
      </c>
      <c r="B2288" s="384"/>
      <c r="C2288" s="393" t="str">
        <f ca="1">IF(COUNTA(O$1493:O2288)=1,"",OFFSET(B2286,-COUNTA(O$1493:O2288)+3,1))</f>
        <v>a16Dm000000LZcdIAG</v>
      </c>
      <c r="D2288" s="389"/>
      <c r="E2288" s="386" t="str">
        <f ca="1">IFERROR(IF(VLOOKUP(C2288,' Disaggregation - Section E '!A$618:J2614,7,0)="","",VLOOKUP(C2288,' Disaggregation - Section E '!A$618:J2614,7,0)*100),"")</f>
        <v/>
      </c>
      <c r="F2288" s="388" t="str">
        <f ca="1">IFERROR(VLOOKUP(C2288,' Disaggregation - Section E '!A$618:J2614,5,0),"")</f>
        <v/>
      </c>
      <c r="G2288" s="387" t="str">
        <f ca="1">IFERROR(IF(VLOOKUP(C2288,' Disaggregation - Section E '!A$618:J2614,6,0)="","",VLOOKUP(C2288,' Disaggregation - Section E '!A$618:J2614,6,0)),"")</f>
        <v/>
      </c>
      <c r="H2288" s="387" t="str">
        <f ca="1">IFERROR(IF(INDEX(' Disaggregation - Section E '!F$618:F2614,MATCH(C2288,' Disaggregation - Section E '!A$618:A2614,0)+1,1)&lt;&gt;0,INDEX(' Disaggregation - Section E '!F$618:F2614,MATCH(C2288,' Disaggregation - Section E '!A$618:A2614,0)+1,1),""),"")</f>
        <v/>
      </c>
      <c r="I2288" s="388" t="str">
        <f ca="1">IFERROR(IF(VLOOKUP(C2288,' Disaggregation - Section E '!A$618:J2614,8,0)=0,"",VLOOKUP(C2288,' Disaggregation - Section E '!A$618:J2614,8,0)),"")</f>
        <v/>
      </c>
      <c r="J2288" s="388" t="str">
        <f ca="1">IFERROR(IF(VLOOKUP(C2288,' Disaggregation - Section E '!A$618:J2614,9,0)="","",VLOOKUP(C2288,' Disaggregation - Section E '!A$618:J2614,9,0)),"")</f>
        <v/>
      </c>
      <c r="K2288" s="384" t="str">
        <f ca="1">IFERROR(VLOOKUP(C2288,' Disaggregation - Section E '!A$618:J2614,3,0),"")</f>
        <v>HTS-3f⁽ᴹ⁾ Number of people in prisons and other closed settings that have received an HIV test during the reporting period and know their results</v>
      </c>
      <c r="L2288" s="384"/>
      <c r="M2288" s="384" t="str">
        <f ca="1">IFERROR(IF(VLOOKUP(C2288,' Disaggregation - Section E '!A$618:O1417,15,0)=0,"",VLOOKUP(C2288,' Disaggregation - Section E '!A$618:O1417,15,0)),"")</f>
        <v/>
      </c>
      <c r="N2288" s="388" t="str">
        <f ca="1">IFERROR(IF(VLOOKUP(C2288,' Disaggregation - Section E '!A$618:J2614,10,0)=0,"",VLOOKUP(C2288,' Disaggregation - Section E '!A$618:J2614,10,0)),"")</f>
        <v/>
      </c>
      <c r="O2288" s="384"/>
    </row>
    <row r="2289" spans="1:15" x14ac:dyDescent="0.3">
      <c r="A2289" s="384" t="b">
        <f t="shared" ca="1" si="138"/>
        <v>0</v>
      </c>
      <c r="B2289" s="384"/>
      <c r="C2289" s="393" t="str">
        <f ca="1">IF(COUNTA(O$1493:O2289)=1,"",OFFSET(B2287,-COUNTA(O$1493:O2289)+3,1))</f>
        <v>a16Dm000000LZceIAG</v>
      </c>
      <c r="D2289" s="389"/>
      <c r="E2289" s="386" t="str">
        <f ca="1">IFERROR(IF(VLOOKUP(C2289,' Disaggregation - Section E '!A$618:J2615,7,0)="","",VLOOKUP(C2289,' Disaggregation - Section E '!A$618:J2615,7,0)*100),"")</f>
        <v/>
      </c>
      <c r="F2289" s="388" t="str">
        <f ca="1">IFERROR(VLOOKUP(C2289,' Disaggregation - Section E '!A$618:J2615,5,0),"")</f>
        <v/>
      </c>
      <c r="G2289" s="387" t="str">
        <f ca="1">IFERROR(IF(VLOOKUP(C2289,' Disaggregation - Section E '!A$618:J2615,6,0)="","",VLOOKUP(C2289,' Disaggregation - Section E '!A$618:J2615,6,0)),"")</f>
        <v/>
      </c>
      <c r="H2289" s="387" t="str">
        <f ca="1">IFERROR(IF(INDEX(' Disaggregation - Section E '!F$618:F2615,MATCH(C2289,' Disaggregation - Section E '!A$618:A2615,0)+1,1)&lt;&gt;0,INDEX(' Disaggregation - Section E '!F$618:F2615,MATCH(C2289,' Disaggregation - Section E '!A$618:A2615,0)+1,1),""),"")</f>
        <v/>
      </c>
      <c r="I2289" s="388" t="str">
        <f ca="1">IFERROR(IF(VLOOKUP(C2289,' Disaggregation - Section E '!A$618:J2615,8,0)=0,"",VLOOKUP(C2289,' Disaggregation - Section E '!A$618:J2615,8,0)),"")</f>
        <v/>
      </c>
      <c r="J2289" s="388" t="str">
        <f ca="1">IFERROR(IF(VLOOKUP(C2289,' Disaggregation - Section E '!A$618:J2615,9,0)="","",VLOOKUP(C2289,' Disaggregation - Section E '!A$618:J2615,9,0)),"")</f>
        <v/>
      </c>
      <c r="K2289" s="384" t="str">
        <f ca="1">IFERROR(VLOOKUP(C2289,' Disaggregation - Section E '!A$618:J2615,3,0),"")</f>
        <v>HTS-3f⁽ᴹ⁾ Number of people in prisons and other closed settings that have received an HIV test during the reporting period and know their results</v>
      </c>
      <c r="L2289" s="384"/>
      <c r="M2289" s="384" t="str">
        <f ca="1">IFERROR(IF(VLOOKUP(C2289,' Disaggregation - Section E '!A$618:O1418,15,0)=0,"",VLOOKUP(C2289,' Disaggregation - Section E '!A$618:O1418,15,0)),"")</f>
        <v/>
      </c>
      <c r="N2289" s="388" t="str">
        <f ca="1">IFERROR(IF(VLOOKUP(C2289,' Disaggregation - Section E '!A$618:J2615,10,0)=0,"",VLOOKUP(C2289,' Disaggregation - Section E '!A$618:J2615,10,0)),"")</f>
        <v/>
      </c>
      <c r="O2289" s="384"/>
    </row>
    <row r="2290" spans="1:15" x14ac:dyDescent="0.3">
      <c r="A2290" s="384" t="b">
        <f t="shared" ca="1" si="138"/>
        <v>0</v>
      </c>
      <c r="B2290" s="384"/>
      <c r="C2290" s="393" t="str">
        <f ca="1">IF(COUNTA(O$1493:O2290)=1,"",OFFSET(B2288,-COUNTA(O$1493:O2290)+3,1))</f>
        <v>a16Dm000000LZcfIAG</v>
      </c>
      <c r="D2290" s="389"/>
      <c r="E2290" s="386" t="str">
        <f ca="1">IFERROR(IF(VLOOKUP(C2290,' Disaggregation - Section E '!A$618:J2616,7,0)="","",VLOOKUP(C2290,' Disaggregation - Section E '!A$618:J2616,7,0)*100),"")</f>
        <v/>
      </c>
      <c r="F2290" s="388" t="str">
        <f ca="1">IFERROR(VLOOKUP(C2290,' Disaggregation - Section E '!A$618:J2616,5,0),"")</f>
        <v/>
      </c>
      <c r="G2290" s="387" t="str">
        <f ca="1">IFERROR(IF(VLOOKUP(C2290,' Disaggregation - Section E '!A$618:J2616,6,0)="","",VLOOKUP(C2290,' Disaggregation - Section E '!A$618:J2616,6,0)),"")</f>
        <v/>
      </c>
      <c r="H2290" s="387" t="str">
        <f ca="1">IFERROR(IF(INDEX(' Disaggregation - Section E '!F$618:F2616,MATCH(C2290,' Disaggregation - Section E '!A$618:A2616,0)+1,1)&lt;&gt;0,INDEX(' Disaggregation - Section E '!F$618:F2616,MATCH(C2290,' Disaggregation - Section E '!A$618:A2616,0)+1,1),""),"")</f>
        <v/>
      </c>
      <c r="I2290" s="388" t="str">
        <f ca="1">IFERROR(IF(VLOOKUP(C2290,' Disaggregation - Section E '!A$618:J2616,8,0)=0,"",VLOOKUP(C2290,' Disaggregation - Section E '!A$618:J2616,8,0)),"")</f>
        <v/>
      </c>
      <c r="J2290" s="388" t="str">
        <f ca="1">IFERROR(IF(VLOOKUP(C2290,' Disaggregation - Section E '!A$618:J2616,9,0)="","",VLOOKUP(C2290,' Disaggregation - Section E '!A$618:J2616,9,0)),"")</f>
        <v/>
      </c>
      <c r="K2290" s="384" t="str">
        <f ca="1">IFERROR(VLOOKUP(C2290,' Disaggregation - Section E '!A$618:J2616,3,0),"")</f>
        <v>HTS-3f⁽ᴹ⁾ Number of people in prisons and other closed settings that have received an HIV test during the reporting period and know their results</v>
      </c>
      <c r="L2290" s="384"/>
      <c r="M2290" s="384" t="str">
        <f ca="1">IFERROR(IF(VLOOKUP(C2290,' Disaggregation - Section E '!A$618:O1419,15,0)=0,"",VLOOKUP(C2290,' Disaggregation - Section E '!A$618:O1419,15,0)),"")</f>
        <v/>
      </c>
      <c r="N2290" s="388" t="str">
        <f ca="1">IFERROR(IF(VLOOKUP(C2290,' Disaggregation - Section E '!A$618:J2616,10,0)=0,"",VLOOKUP(C2290,' Disaggregation - Section E '!A$618:J2616,10,0)),"")</f>
        <v/>
      </c>
      <c r="O2290" s="384"/>
    </row>
    <row r="2291" spans="1:15" x14ac:dyDescent="0.3">
      <c r="A2291" s="384" t="b">
        <f t="shared" ca="1" si="138"/>
        <v>0</v>
      </c>
      <c r="B2291" s="384"/>
      <c r="C2291" s="393" t="str">
        <f ca="1">IF(COUNTA(O$1493:O2291)=1,"",OFFSET(B2289,-COUNTA(O$1493:O2291)+3,1))</f>
        <v>a16Dm000000LZcgIAG</v>
      </c>
      <c r="D2291" s="389"/>
      <c r="E2291" s="386" t="str">
        <f ca="1">IFERROR(IF(VLOOKUP(C2291,' Disaggregation - Section E '!A$618:J2617,7,0)="","",VLOOKUP(C2291,' Disaggregation - Section E '!A$618:J2617,7,0)*100),"")</f>
        <v/>
      </c>
      <c r="F2291" s="388" t="str">
        <f ca="1">IFERROR(VLOOKUP(C2291,' Disaggregation - Section E '!A$618:J2617,5,0),"")</f>
        <v/>
      </c>
      <c r="G2291" s="387" t="str">
        <f ca="1">IFERROR(IF(VLOOKUP(C2291,' Disaggregation - Section E '!A$618:J2617,6,0)="","",VLOOKUP(C2291,' Disaggregation - Section E '!A$618:J2617,6,0)),"")</f>
        <v/>
      </c>
      <c r="H2291" s="387" t="str">
        <f ca="1">IFERROR(IF(INDEX(' Disaggregation - Section E '!F$618:F2617,MATCH(C2291,' Disaggregation - Section E '!A$618:A2617,0)+1,1)&lt;&gt;0,INDEX(' Disaggregation - Section E '!F$618:F2617,MATCH(C2291,' Disaggregation - Section E '!A$618:A2617,0)+1,1),""),"")</f>
        <v/>
      </c>
      <c r="I2291" s="388" t="str">
        <f ca="1">IFERROR(IF(VLOOKUP(C2291,' Disaggregation - Section E '!A$618:J2617,8,0)=0,"",VLOOKUP(C2291,' Disaggregation - Section E '!A$618:J2617,8,0)),"")</f>
        <v/>
      </c>
      <c r="J2291" s="388" t="str">
        <f ca="1">IFERROR(IF(VLOOKUP(C2291,' Disaggregation - Section E '!A$618:J2617,9,0)="","",VLOOKUP(C2291,' Disaggregation - Section E '!A$618:J2617,9,0)),"")</f>
        <v/>
      </c>
      <c r="K2291" s="384" t="str">
        <f ca="1">IFERROR(VLOOKUP(C2291,' Disaggregation - Section E '!A$618:J2617,3,0),"")</f>
        <v>HTS-3f⁽ᴹ⁾ Number of people in prisons and other closed settings that have received an HIV test during the reporting period and know their results</v>
      </c>
      <c r="L2291" s="384"/>
      <c r="M2291" s="384" t="str">
        <f ca="1">IFERROR(IF(VLOOKUP(C2291,' Disaggregation - Section E '!A$618:O1420,15,0)=0,"",VLOOKUP(C2291,' Disaggregation - Section E '!A$618:O1420,15,0)),"")</f>
        <v/>
      </c>
      <c r="N2291" s="388" t="str">
        <f ca="1">IFERROR(IF(VLOOKUP(C2291,' Disaggregation - Section E '!A$618:J2617,10,0)=0,"",VLOOKUP(C2291,' Disaggregation - Section E '!A$618:J2617,10,0)),"")</f>
        <v/>
      </c>
      <c r="O2291" s="384"/>
    </row>
    <row r="2292" spans="1:15" x14ac:dyDescent="0.3">
      <c r="A2292" s="384" t="b">
        <f t="shared" ca="1" si="138"/>
        <v>0</v>
      </c>
      <c r="B2292" s="384"/>
      <c r="C2292" s="393" t="str">
        <f ca="1">IF(COUNTA(O$1493:O2292)=1,"",OFFSET(B2290,-COUNTA(O$1493:O2292)+3,1))</f>
        <v>a16Dm000000LZchIAG</v>
      </c>
      <c r="D2292" s="389"/>
      <c r="E2292" s="386" t="str">
        <f ca="1">IFERROR(IF(VLOOKUP(C2292,' Disaggregation - Section E '!A$618:J2618,7,0)="","",VLOOKUP(C2292,' Disaggregation - Section E '!A$618:J2618,7,0)*100),"")</f>
        <v/>
      </c>
      <c r="F2292" s="388" t="str">
        <f ca="1">IFERROR(VLOOKUP(C2292,' Disaggregation - Section E '!A$618:J2618,5,0),"")</f>
        <v/>
      </c>
      <c r="G2292" s="387" t="str">
        <f ca="1">IFERROR(IF(VLOOKUP(C2292,' Disaggregation - Section E '!A$618:J2618,6,0)="","",VLOOKUP(C2292,' Disaggregation - Section E '!A$618:J2618,6,0)),"")</f>
        <v/>
      </c>
      <c r="H2292" s="387" t="str">
        <f ca="1">IFERROR(IF(INDEX(' Disaggregation - Section E '!F$618:F2618,MATCH(C2292,' Disaggregation - Section E '!A$618:A2618,0)+1,1)&lt;&gt;0,INDEX(' Disaggregation - Section E '!F$618:F2618,MATCH(C2292,' Disaggregation - Section E '!A$618:A2618,0)+1,1),""),"")</f>
        <v/>
      </c>
      <c r="I2292" s="388" t="str">
        <f ca="1">IFERROR(IF(VLOOKUP(C2292,' Disaggregation - Section E '!A$618:J2618,8,0)=0,"",VLOOKUP(C2292,' Disaggregation - Section E '!A$618:J2618,8,0)),"")</f>
        <v/>
      </c>
      <c r="J2292" s="388" t="str">
        <f ca="1">IFERROR(IF(VLOOKUP(C2292,' Disaggregation - Section E '!A$618:J2618,9,0)="","",VLOOKUP(C2292,' Disaggregation - Section E '!A$618:J2618,9,0)),"")</f>
        <v/>
      </c>
      <c r="K2292" s="384" t="str">
        <f ca="1">IFERROR(VLOOKUP(C2292,' Disaggregation - Section E '!A$618:J2618,3,0),"")</f>
        <v>HTS-3f⁽ᴹ⁾ Number of people in prisons and other closed settings that have received an HIV test during the reporting period and know their results</v>
      </c>
      <c r="L2292" s="384"/>
      <c r="M2292" s="384" t="str">
        <f ca="1">IFERROR(IF(VLOOKUP(C2292,' Disaggregation - Section E '!A$618:O1421,15,0)=0,"",VLOOKUP(C2292,' Disaggregation - Section E '!A$618:O1421,15,0)),"")</f>
        <v/>
      </c>
      <c r="N2292" s="388" t="str">
        <f ca="1">IFERROR(IF(VLOOKUP(C2292,' Disaggregation - Section E '!A$618:J2618,10,0)=0,"",VLOOKUP(C2292,' Disaggregation - Section E '!A$618:J2618,10,0)),"")</f>
        <v/>
      </c>
      <c r="O2292" s="384"/>
    </row>
    <row r="2293" spans="1:15" x14ac:dyDescent="0.3">
      <c r="A2293" s="384" t="b">
        <f t="shared" ca="1" si="138"/>
        <v>0</v>
      </c>
      <c r="B2293" s="384"/>
      <c r="C2293" s="393" t="str">
        <f ca="1">IF(COUNTA(O$1493:O2293)=1,"",OFFSET(B2291,-COUNTA(O$1493:O2293)+3,1))</f>
        <v>a16Dm000000LZciIAG</v>
      </c>
      <c r="D2293" s="389"/>
      <c r="E2293" s="386" t="str">
        <f ca="1">IFERROR(IF(VLOOKUP(C2293,' Disaggregation - Section E '!A$618:J2619,7,0)="","",VLOOKUP(C2293,' Disaggregation - Section E '!A$618:J2619,7,0)*100),"")</f>
        <v/>
      </c>
      <c r="F2293" s="388" t="str">
        <f ca="1">IFERROR(VLOOKUP(C2293,' Disaggregation - Section E '!A$618:J2619,5,0),"")</f>
        <v/>
      </c>
      <c r="G2293" s="387" t="str">
        <f ca="1">IFERROR(IF(VLOOKUP(C2293,' Disaggregation - Section E '!A$618:J2619,6,0)="","",VLOOKUP(C2293,' Disaggregation - Section E '!A$618:J2619,6,0)),"")</f>
        <v/>
      </c>
      <c r="H2293" s="387" t="str">
        <f ca="1">IFERROR(IF(INDEX(' Disaggregation - Section E '!F$618:F2619,MATCH(C2293,' Disaggregation - Section E '!A$618:A2619,0)+1,1)&lt;&gt;0,INDEX(' Disaggregation - Section E '!F$618:F2619,MATCH(C2293,' Disaggregation - Section E '!A$618:A2619,0)+1,1),""),"")</f>
        <v/>
      </c>
      <c r="I2293" s="388" t="str">
        <f ca="1">IFERROR(IF(VLOOKUP(C2293,' Disaggregation - Section E '!A$618:J2619,8,0)=0,"",VLOOKUP(C2293,' Disaggregation - Section E '!A$618:J2619,8,0)),"")</f>
        <v/>
      </c>
      <c r="J2293" s="388" t="str">
        <f ca="1">IFERROR(IF(VLOOKUP(C2293,' Disaggregation - Section E '!A$618:J2619,9,0)="","",VLOOKUP(C2293,' Disaggregation - Section E '!A$618:J2619,9,0)),"")</f>
        <v/>
      </c>
      <c r="K2293" s="384" t="str">
        <f ca="1">IFERROR(VLOOKUP(C2293,' Disaggregation - Section E '!A$618:J2619,3,0),"")</f>
        <v>HTS-3f⁽ᴹ⁾ Number of people in prisons and other closed settings that have received an HIV test during the reporting period and know their results</v>
      </c>
      <c r="L2293" s="384"/>
      <c r="M2293" s="384" t="str">
        <f ca="1">IFERROR(IF(VLOOKUP(C2293,' Disaggregation - Section E '!A$618:O1422,15,0)=0,"",VLOOKUP(C2293,' Disaggregation - Section E '!A$618:O1422,15,0)),"")</f>
        <v/>
      </c>
      <c r="N2293" s="388" t="str">
        <f ca="1">IFERROR(IF(VLOOKUP(C2293,' Disaggregation - Section E '!A$618:J2619,10,0)=0,"",VLOOKUP(C2293,' Disaggregation - Section E '!A$618:J2619,10,0)),"")</f>
        <v/>
      </c>
      <c r="O2293" s="384"/>
    </row>
    <row r="2294" spans="1:15" x14ac:dyDescent="0.3">
      <c r="A2294" s="384" t="b">
        <f t="shared" ca="1" si="138"/>
        <v>0</v>
      </c>
      <c r="B2294" s="384"/>
      <c r="C2294" s="393" t="str">
        <f ca="1">IF(COUNTA(O$1493:O2294)=1,"",OFFSET(B2292,-COUNTA(O$1493:O2294)+3,1))</f>
        <v>a16Dm000000LZcjIAG</v>
      </c>
      <c r="D2294" s="389"/>
      <c r="E2294" s="386" t="str">
        <f ca="1">IFERROR(IF(VLOOKUP(C2294,' Disaggregation - Section E '!A$618:J2620,7,0)="","",VLOOKUP(C2294,' Disaggregation - Section E '!A$618:J2620,7,0)*100),"")</f>
        <v/>
      </c>
      <c r="F2294" s="388" t="str">
        <f ca="1">IFERROR(VLOOKUP(C2294,' Disaggregation - Section E '!A$618:J2620,5,0),"")</f>
        <v/>
      </c>
      <c r="G2294" s="387" t="str">
        <f ca="1">IFERROR(IF(VLOOKUP(C2294,' Disaggregation - Section E '!A$618:J2620,6,0)="","",VLOOKUP(C2294,' Disaggregation - Section E '!A$618:J2620,6,0)),"")</f>
        <v/>
      </c>
      <c r="H2294" s="387" t="str">
        <f ca="1">IFERROR(IF(INDEX(' Disaggregation - Section E '!F$618:F2620,MATCH(C2294,' Disaggregation - Section E '!A$618:A2620,0)+1,1)&lt;&gt;0,INDEX(' Disaggregation - Section E '!F$618:F2620,MATCH(C2294,' Disaggregation - Section E '!A$618:A2620,0)+1,1),""),"")</f>
        <v/>
      </c>
      <c r="I2294" s="388" t="str">
        <f ca="1">IFERROR(IF(VLOOKUP(C2294,' Disaggregation - Section E '!A$618:J2620,8,0)=0,"",VLOOKUP(C2294,' Disaggregation - Section E '!A$618:J2620,8,0)),"")</f>
        <v/>
      </c>
      <c r="J2294" s="388" t="str">
        <f ca="1">IFERROR(IF(VLOOKUP(C2294,' Disaggregation - Section E '!A$618:J2620,9,0)="","",VLOOKUP(C2294,' Disaggregation - Section E '!A$618:J2620,9,0)),"")</f>
        <v/>
      </c>
      <c r="K2294" s="384" t="str">
        <f ca="1">IFERROR(VLOOKUP(C2294,' Disaggregation - Section E '!A$618:J2620,3,0),"")</f>
        <v>HTS-3f⁽ᴹ⁾ Number of people in prisons and other closed settings that have received an HIV test during the reporting period and know their results</v>
      </c>
      <c r="L2294" s="384"/>
      <c r="M2294" s="384" t="str">
        <f ca="1">IFERROR(IF(VLOOKUP(C2294,' Disaggregation - Section E '!A$618:O1423,15,0)=0,"",VLOOKUP(C2294,' Disaggregation - Section E '!A$618:O1423,15,0)),"")</f>
        <v/>
      </c>
      <c r="N2294" s="388" t="str">
        <f ca="1">IFERROR(IF(VLOOKUP(C2294,' Disaggregation - Section E '!A$618:J2620,10,0)=0,"",VLOOKUP(C2294,' Disaggregation - Section E '!A$618:J2620,10,0)),"")</f>
        <v/>
      </c>
      <c r="O2294" s="384"/>
    </row>
    <row r="2295" spans="1:15" x14ac:dyDescent="0.3">
      <c r="A2295" s="384" t="b">
        <f t="shared" ca="1" si="138"/>
        <v>1</v>
      </c>
      <c r="B2295" s="384"/>
      <c r="C2295" s="393" t="str">
        <f ca="1">IF(COUNTA(O$1493:O2295)=1,"",OFFSET(B2293,-COUNTA(O$1493:O2295)+3,1))</f>
        <v>a16Dm000000LZckIAG</v>
      </c>
      <c r="D2295" s="389"/>
      <c r="E2295" s="386">
        <f ca="1">IFERROR(IF(VLOOKUP(C2295,' Disaggregation - Section E '!A$618:J2621,7,0)="","",VLOOKUP(C2295,' Disaggregation - Section E '!A$618:J2621,7,0)*100),"")</f>
        <v>31.192112339408425</v>
      </c>
      <c r="F2295" s="388" t="str">
        <f ca="1">IFERROR(VLOOKUP(C2295,' Disaggregation - Section E '!A$618:J2621,5,0),"")</f>
        <v>Male</v>
      </c>
      <c r="G2295" s="387">
        <f ca="1">IFERROR(IF(VLOOKUP(C2295,' Disaggregation - Section E '!A$618:J2621,6,0)="","",VLOOKUP(C2295,' Disaggregation - Section E '!A$618:J2621,6,0)),"")</f>
        <v>3132</v>
      </c>
      <c r="H2295" s="387">
        <f ca="1">IFERROR(IF(INDEX(' Disaggregation - Section E '!F$618:F2621,MATCH(C2295,' Disaggregation - Section E '!A$618:A2621,0)+1,1)&lt;&gt;0,INDEX(' Disaggregation - Section E '!F$618:F2621,MATCH(C2295,' Disaggregation - Section E '!A$618:A2621,0)+1,1),""),"")</f>
        <v>10041</v>
      </c>
      <c r="I2295" s="388">
        <f ca="1">IFERROR(IF(VLOOKUP(C2295,' Disaggregation - Section E '!A$618:J2621,8,0)=0,"",VLOOKUP(C2295,' Disaggregation - Section E '!A$618:J2621,8,0)),"")</f>
        <v>2022</v>
      </c>
      <c r="J2295" s="388" t="str">
        <f ca="1">IFERROR(IF(VLOOKUP(C2295,' Disaggregation - Section E '!A$618:J2621,9,0)="","",VLOOKUP(C2295,' Disaggregation - Section E '!A$618:J2621,9,0)),"")</f>
        <v xml:space="preserve">Electronic HIV Case Tracking System and RCHV&amp;HIV report
</v>
      </c>
      <c r="K2295" s="384" t="str">
        <f ca="1">IFERROR(VLOOKUP(C2295,' Disaggregation - Section E '!A$618:J2621,3,0),"")</f>
        <v>TCS-1.1⁽ᴹ⁾ Percentage of people on ART among all people living with HIV at the end of the reporting period</v>
      </c>
      <c r="L2295" s="384"/>
      <c r="M2295" s="384" t="str">
        <f ca="1">IFERROR(IF(VLOOKUP(C2295,' Disaggregation - Section E '!A$618:O1424,15,0)=0,"",VLOOKUP(C2295,' Disaggregation - Section E '!A$618:O1424,15,0)),"")</f>
        <v>IDR-01298</v>
      </c>
      <c r="N2295" s="388" t="str">
        <f ca="1">IFERROR(IF(VLOOKUP(C2295,' Disaggregation - Section E '!A$618:J2621,10,0)=0,"",VLOOKUP(C2295,' Disaggregation - Section E '!A$618:J2621,10,0)),"")</f>
        <v xml:space="preserve">Numerator: Number of people on ART at the end of the reporting period 	Denumerator: Estimated number of people living with HIV </v>
      </c>
      <c r="O2295" s="384"/>
    </row>
    <row r="2296" spans="1:15" x14ac:dyDescent="0.3">
      <c r="A2296" s="384" t="b">
        <f t="shared" ca="1" si="138"/>
        <v>1</v>
      </c>
      <c r="B2296" s="384"/>
      <c r="C2296" s="393" t="str">
        <f ca="1">IF(COUNTA(O$1493:O2296)=1,"",OFFSET(B2294,-COUNTA(O$1493:O2296)+3,1))</f>
        <v>a16Dm000000LZclIAG</v>
      </c>
      <c r="D2296" s="389"/>
      <c r="E2296" s="386">
        <f ca="1">IFERROR(IF(VLOOKUP(C2296,' Disaggregation - Section E '!A$618:J2622,7,0)="","",VLOOKUP(C2296,' Disaggregation - Section E '!A$618:J2622,7,0)*100),"")</f>
        <v>26.142814460711083</v>
      </c>
      <c r="F2296" s="388" t="str">
        <f ca="1">IFERROR(VLOOKUP(C2296,' Disaggregation - Section E '!A$618:J2622,5,0),"")</f>
        <v>Female</v>
      </c>
      <c r="G2296" s="387">
        <f ca="1">IFERROR(IF(VLOOKUP(C2296,' Disaggregation - Section E '!A$618:J2622,6,0)="","",VLOOKUP(C2296,' Disaggregation - Section E '!A$618:J2622,6,0)),"")</f>
        <v>2625</v>
      </c>
      <c r="H2296" s="387">
        <f ca="1">IFERROR(IF(INDEX(' Disaggregation - Section E '!F$618:F2622,MATCH(C2296,' Disaggregation - Section E '!A$618:A2622,0)+1,1)&lt;&gt;0,INDEX(' Disaggregation - Section E '!F$618:F2622,MATCH(C2296,' Disaggregation - Section E '!A$618:A2622,0)+1,1),""),"")</f>
        <v>10041</v>
      </c>
      <c r="I2296" s="388">
        <f ca="1">IFERROR(IF(VLOOKUP(C2296,' Disaggregation - Section E '!A$618:J2622,8,0)=0,"",VLOOKUP(C2296,' Disaggregation - Section E '!A$618:J2622,8,0)),"")</f>
        <v>2022</v>
      </c>
      <c r="J2296" s="388" t="str">
        <f ca="1">IFERROR(IF(VLOOKUP(C2296,' Disaggregation - Section E '!A$618:J2622,9,0)="","",VLOOKUP(C2296,' Disaggregation - Section E '!A$618:J2622,9,0)),"")</f>
        <v xml:space="preserve">Electronic HIV Case Tracking System and RCHV&amp;HIV report
</v>
      </c>
      <c r="K2296" s="384" t="str">
        <f ca="1">IFERROR(VLOOKUP(C2296,' Disaggregation - Section E '!A$618:J2622,3,0),"")</f>
        <v>TCS-1.1⁽ᴹ⁾ Percentage of people on ART among all people living with HIV at the end of the reporting period</v>
      </c>
      <c r="L2296" s="384"/>
      <c r="M2296" s="384" t="str">
        <f ca="1">IFERROR(IF(VLOOKUP(C2296,' Disaggregation - Section E '!A$618:O1425,15,0)=0,"",VLOOKUP(C2296,' Disaggregation - Section E '!A$618:O1425,15,0)),"")</f>
        <v>IDR-01297</v>
      </c>
      <c r="N2296" s="388" t="str">
        <f ca="1">IFERROR(IF(VLOOKUP(C2296,' Disaggregation - Section E '!A$618:J2622,10,0)=0,"",VLOOKUP(C2296,' Disaggregation - Section E '!A$618:J2622,10,0)),"")</f>
        <v xml:space="preserve">Numerator: Number of people on ART at the end of the reporting period 	Denumerator: Estimated number of people living with HIV </v>
      </c>
      <c r="O2296" s="384"/>
    </row>
    <row r="2297" spans="1:15" x14ac:dyDescent="0.3">
      <c r="A2297" s="384" t="b">
        <f t="shared" ca="1" si="138"/>
        <v>0</v>
      </c>
      <c r="B2297" s="384"/>
      <c r="C2297" s="393" t="str">
        <f ca="1">IF(COUNTA(O$1493:O2297)=1,"",OFFSET(B2295,-COUNTA(O$1493:O2297)+3,1))</f>
        <v>a16Dm000000LZcmIAG</v>
      </c>
      <c r="D2297" s="389"/>
      <c r="E2297" s="386" t="str">
        <f ca="1">IFERROR(IF(VLOOKUP(C2297,' Disaggregation - Section E '!A$618:J2623,7,0)="","",VLOOKUP(C2297,' Disaggregation - Section E '!A$618:J2623,7,0)*100),"")</f>
        <v/>
      </c>
      <c r="F2297" s="388" t="str">
        <f ca="1">IFERROR(VLOOKUP(C2297,' Disaggregation - Section E '!A$618:J2623,5,0),"")</f>
        <v/>
      </c>
      <c r="G2297" s="387" t="str">
        <f ca="1">IFERROR(IF(VLOOKUP(C2297,' Disaggregation - Section E '!A$618:J2623,6,0)="","",VLOOKUP(C2297,' Disaggregation - Section E '!A$618:J2623,6,0)),"")</f>
        <v/>
      </c>
      <c r="H2297" s="387" t="str">
        <f ca="1">IFERROR(IF(INDEX(' Disaggregation - Section E '!F$618:F2623,MATCH(C2297,' Disaggregation - Section E '!A$618:A2623,0)+1,1)&lt;&gt;0,INDEX(' Disaggregation - Section E '!F$618:F2623,MATCH(C2297,' Disaggregation - Section E '!A$618:A2623,0)+1,1),""),"")</f>
        <v/>
      </c>
      <c r="I2297" s="388" t="str">
        <f ca="1">IFERROR(IF(VLOOKUP(C2297,' Disaggregation - Section E '!A$618:J2623,8,0)=0,"",VLOOKUP(C2297,' Disaggregation - Section E '!A$618:J2623,8,0)),"")</f>
        <v/>
      </c>
      <c r="J2297" s="388" t="str">
        <f ca="1">IFERROR(IF(VLOOKUP(C2297,' Disaggregation - Section E '!A$618:J2623,9,0)="","",VLOOKUP(C2297,' Disaggregation - Section E '!A$618:J2623,9,0)),"")</f>
        <v/>
      </c>
      <c r="K2297" s="384" t="str">
        <f ca="1">IFERROR(VLOOKUP(C2297,' Disaggregation - Section E '!A$618:J2623,3,0),"")</f>
        <v>TCS-1.1⁽ᴹ⁾ Percentage of people on ART among all people living with HIV at the end of the reporting period</v>
      </c>
      <c r="L2297" s="384"/>
      <c r="M2297" s="384" t="str">
        <f ca="1">IFERROR(IF(VLOOKUP(C2297,' Disaggregation - Section E '!A$618:O1426,15,0)=0,"",VLOOKUP(C2297,' Disaggregation - Section E '!A$618:O1426,15,0)),"")</f>
        <v/>
      </c>
      <c r="N2297" s="388" t="str">
        <f ca="1">IFERROR(IF(VLOOKUP(C2297,' Disaggregation - Section E '!A$618:J2623,10,0)=0,"",VLOOKUP(C2297,' Disaggregation - Section E '!A$618:J2623,10,0)),"")</f>
        <v/>
      </c>
      <c r="O2297" s="384"/>
    </row>
    <row r="2298" spans="1:15" x14ac:dyDescent="0.3">
      <c r="A2298" s="384" t="b">
        <f t="shared" ca="1" si="138"/>
        <v>0</v>
      </c>
      <c r="B2298" s="384"/>
      <c r="C2298" s="393" t="str">
        <f ca="1">IF(COUNTA(O$1493:O2298)=1,"",OFFSET(B2296,-COUNTA(O$1493:O2298)+3,1))</f>
        <v>a16Dm000000LZcnIAG</v>
      </c>
      <c r="D2298" s="389"/>
      <c r="E2298" s="386" t="str">
        <f ca="1">IFERROR(IF(VLOOKUP(C2298,' Disaggregation - Section E '!A$618:J2624,7,0)="","",VLOOKUP(C2298,' Disaggregation - Section E '!A$618:J2624,7,0)*100),"")</f>
        <v/>
      </c>
      <c r="F2298" s="388" t="str">
        <f ca="1">IFERROR(VLOOKUP(C2298,' Disaggregation - Section E '!A$618:J2624,5,0),"")</f>
        <v/>
      </c>
      <c r="G2298" s="387" t="str">
        <f ca="1">IFERROR(IF(VLOOKUP(C2298,' Disaggregation - Section E '!A$618:J2624,6,0)="","",VLOOKUP(C2298,' Disaggregation - Section E '!A$618:J2624,6,0)),"")</f>
        <v/>
      </c>
      <c r="H2298" s="387" t="str">
        <f ca="1">IFERROR(IF(INDEX(' Disaggregation - Section E '!F$618:F2624,MATCH(C2298,' Disaggregation - Section E '!A$618:A2624,0)+1,1)&lt;&gt;0,INDEX(' Disaggregation - Section E '!F$618:F2624,MATCH(C2298,' Disaggregation - Section E '!A$618:A2624,0)+1,1),""),"")</f>
        <v/>
      </c>
      <c r="I2298" s="388" t="str">
        <f ca="1">IFERROR(IF(VLOOKUP(C2298,' Disaggregation - Section E '!A$618:J2624,8,0)=0,"",VLOOKUP(C2298,' Disaggregation - Section E '!A$618:J2624,8,0)),"")</f>
        <v/>
      </c>
      <c r="J2298" s="388" t="str">
        <f ca="1">IFERROR(IF(VLOOKUP(C2298,' Disaggregation - Section E '!A$618:J2624,9,0)="","",VLOOKUP(C2298,' Disaggregation - Section E '!A$618:J2624,9,0)),"")</f>
        <v/>
      </c>
      <c r="K2298" s="384" t="str">
        <f ca="1">IFERROR(VLOOKUP(C2298,' Disaggregation - Section E '!A$618:J2624,3,0),"")</f>
        <v>TCS-1.1⁽ᴹ⁾ Percentage of people on ART among all people living with HIV at the end of the reporting period</v>
      </c>
      <c r="L2298" s="384"/>
      <c r="M2298" s="384" t="str">
        <f ca="1">IFERROR(IF(VLOOKUP(C2298,' Disaggregation - Section E '!A$618:O1427,15,0)=0,"",VLOOKUP(C2298,' Disaggregation - Section E '!A$618:O1427,15,0)),"")</f>
        <v/>
      </c>
      <c r="N2298" s="388" t="str">
        <f ca="1">IFERROR(IF(VLOOKUP(C2298,' Disaggregation - Section E '!A$618:J2624,10,0)=0,"",VLOOKUP(C2298,' Disaggregation - Section E '!A$618:J2624,10,0)),"")</f>
        <v/>
      </c>
      <c r="O2298" s="384"/>
    </row>
    <row r="2299" spans="1:15" x14ac:dyDescent="0.3">
      <c r="A2299" s="384" t="b">
        <f t="shared" ca="1" si="138"/>
        <v>0</v>
      </c>
      <c r="B2299" s="384"/>
      <c r="C2299" s="393" t="str">
        <f ca="1">IF(COUNTA(O$1493:O2299)=1,"",OFFSET(B2297,-COUNTA(O$1493:O2299)+3,1))</f>
        <v>a16Dm000000LZcoIAG</v>
      </c>
      <c r="D2299" s="389"/>
      <c r="E2299" s="386" t="str">
        <f ca="1">IFERROR(IF(VLOOKUP(C2299,' Disaggregation - Section E '!A$618:J2625,7,0)="","",VLOOKUP(C2299,' Disaggregation - Section E '!A$618:J2625,7,0)*100),"")</f>
        <v/>
      </c>
      <c r="F2299" s="388" t="str">
        <f ca="1">IFERROR(VLOOKUP(C2299,' Disaggregation - Section E '!A$618:J2625,5,0),"")</f>
        <v/>
      </c>
      <c r="G2299" s="387" t="str">
        <f ca="1">IFERROR(IF(VLOOKUP(C2299,' Disaggregation - Section E '!A$618:J2625,6,0)="","",VLOOKUP(C2299,' Disaggregation - Section E '!A$618:J2625,6,0)),"")</f>
        <v/>
      </c>
      <c r="H2299" s="387" t="str">
        <f ca="1">IFERROR(IF(INDEX(' Disaggregation - Section E '!F$618:F2625,MATCH(C2299,' Disaggregation - Section E '!A$618:A2625,0)+1,1)&lt;&gt;0,INDEX(' Disaggregation - Section E '!F$618:F2625,MATCH(C2299,' Disaggregation - Section E '!A$618:A2625,0)+1,1),""),"")</f>
        <v/>
      </c>
      <c r="I2299" s="388" t="str">
        <f ca="1">IFERROR(IF(VLOOKUP(C2299,' Disaggregation - Section E '!A$618:J2625,8,0)=0,"",VLOOKUP(C2299,' Disaggregation - Section E '!A$618:J2625,8,0)),"")</f>
        <v/>
      </c>
      <c r="J2299" s="388" t="str">
        <f ca="1">IFERROR(IF(VLOOKUP(C2299,' Disaggregation - Section E '!A$618:J2625,9,0)="","",VLOOKUP(C2299,' Disaggregation - Section E '!A$618:J2625,9,0)),"")</f>
        <v/>
      </c>
      <c r="K2299" s="384" t="str">
        <f ca="1">IFERROR(VLOOKUP(C2299,' Disaggregation - Section E '!A$618:J2625,3,0),"")</f>
        <v>TCS-1.1⁽ᴹ⁾ Percentage of people on ART among all people living with HIV at the end of the reporting period</v>
      </c>
      <c r="L2299" s="384"/>
      <c r="M2299" s="384" t="str">
        <f ca="1">IFERROR(IF(VLOOKUP(C2299,' Disaggregation - Section E '!A$618:O1428,15,0)=0,"",VLOOKUP(C2299,' Disaggregation - Section E '!A$618:O1428,15,0)),"")</f>
        <v/>
      </c>
      <c r="N2299" s="388" t="str">
        <f ca="1">IFERROR(IF(VLOOKUP(C2299,' Disaggregation - Section E '!A$618:J2625,10,0)=0,"",VLOOKUP(C2299,' Disaggregation - Section E '!A$618:J2625,10,0)),"")</f>
        <v/>
      </c>
      <c r="O2299" s="384"/>
    </row>
    <row r="2300" spans="1:15" x14ac:dyDescent="0.3">
      <c r="A2300" s="384" t="b">
        <f t="shared" ca="1" si="138"/>
        <v>0</v>
      </c>
      <c r="B2300" s="384"/>
      <c r="C2300" s="393" t="str">
        <f ca="1">IF(COUNTA(O$1493:O2300)=1,"",OFFSET(B2298,-COUNTA(O$1493:O2300)+3,1))</f>
        <v>a16Dm000000LZcpIAG</v>
      </c>
      <c r="D2300" s="389"/>
      <c r="E2300" s="386" t="str">
        <f ca="1">IFERROR(IF(VLOOKUP(C2300,' Disaggregation - Section E '!A$618:J2626,7,0)="","",VLOOKUP(C2300,' Disaggregation - Section E '!A$618:J2626,7,0)*100),"")</f>
        <v/>
      </c>
      <c r="F2300" s="388" t="str">
        <f ca="1">IFERROR(VLOOKUP(C2300,' Disaggregation - Section E '!A$618:J2626,5,0),"")</f>
        <v/>
      </c>
      <c r="G2300" s="387" t="str">
        <f ca="1">IFERROR(IF(VLOOKUP(C2300,' Disaggregation - Section E '!A$618:J2626,6,0)="","",VLOOKUP(C2300,' Disaggregation - Section E '!A$618:J2626,6,0)),"")</f>
        <v/>
      </c>
      <c r="H2300" s="387" t="str">
        <f ca="1">IFERROR(IF(INDEX(' Disaggregation - Section E '!F$618:F2626,MATCH(C2300,' Disaggregation - Section E '!A$618:A2626,0)+1,1)&lt;&gt;0,INDEX(' Disaggregation - Section E '!F$618:F2626,MATCH(C2300,' Disaggregation - Section E '!A$618:A2626,0)+1,1),""),"")</f>
        <v/>
      </c>
      <c r="I2300" s="388" t="str">
        <f ca="1">IFERROR(IF(VLOOKUP(C2300,' Disaggregation - Section E '!A$618:J2626,8,0)=0,"",VLOOKUP(C2300,' Disaggregation - Section E '!A$618:J2626,8,0)),"")</f>
        <v/>
      </c>
      <c r="J2300" s="388" t="str">
        <f ca="1">IFERROR(IF(VLOOKUP(C2300,' Disaggregation - Section E '!A$618:J2626,9,0)="","",VLOOKUP(C2300,' Disaggregation - Section E '!A$618:J2626,9,0)),"")</f>
        <v/>
      </c>
      <c r="K2300" s="384" t="str">
        <f ca="1">IFERROR(VLOOKUP(C2300,' Disaggregation - Section E '!A$618:J2626,3,0),"")</f>
        <v>TCS-1.1⁽ᴹ⁾ Percentage of people on ART among all people living with HIV at the end of the reporting period</v>
      </c>
      <c r="L2300" s="384"/>
      <c r="M2300" s="384" t="str">
        <f ca="1">IFERROR(IF(VLOOKUP(C2300,' Disaggregation - Section E '!A$618:O1429,15,0)=0,"",VLOOKUP(C2300,' Disaggregation - Section E '!A$618:O1429,15,0)),"")</f>
        <v/>
      </c>
      <c r="N2300" s="388" t="str">
        <f ca="1">IFERROR(IF(VLOOKUP(C2300,' Disaggregation - Section E '!A$618:J2626,10,0)=0,"",VLOOKUP(C2300,' Disaggregation - Section E '!A$618:J2626,10,0)),"")</f>
        <v/>
      </c>
      <c r="O2300" s="384"/>
    </row>
    <row r="2301" spans="1:15" x14ac:dyDescent="0.3">
      <c r="A2301" s="384" t="b">
        <f t="shared" ca="1" si="138"/>
        <v>0</v>
      </c>
      <c r="B2301" s="384"/>
      <c r="C2301" s="393" t="str">
        <f ca="1">IF(COUNTA(O$1493:O2301)=1,"",OFFSET(B2299,-COUNTA(O$1493:O2301)+3,1))</f>
        <v>a16Dm000000LZcqIAG</v>
      </c>
      <c r="D2301" s="389"/>
      <c r="E2301" s="386" t="str">
        <f ca="1">IFERROR(IF(VLOOKUP(C2301,' Disaggregation - Section E '!A$618:J2627,7,0)="","",VLOOKUP(C2301,' Disaggregation - Section E '!A$618:J2627,7,0)*100),"")</f>
        <v/>
      </c>
      <c r="F2301" s="388" t="str">
        <f ca="1">IFERROR(VLOOKUP(C2301,' Disaggregation - Section E '!A$618:J2627,5,0),"")</f>
        <v/>
      </c>
      <c r="G2301" s="387" t="str">
        <f ca="1">IFERROR(IF(VLOOKUP(C2301,' Disaggregation - Section E '!A$618:J2627,6,0)="","",VLOOKUP(C2301,' Disaggregation - Section E '!A$618:J2627,6,0)),"")</f>
        <v/>
      </c>
      <c r="H2301" s="387" t="str">
        <f ca="1">IFERROR(IF(INDEX(' Disaggregation - Section E '!F$618:F2627,MATCH(C2301,' Disaggregation - Section E '!A$618:A2627,0)+1,1)&lt;&gt;0,INDEX(' Disaggregation - Section E '!F$618:F2627,MATCH(C2301,' Disaggregation - Section E '!A$618:A2627,0)+1,1),""),"")</f>
        <v/>
      </c>
      <c r="I2301" s="388" t="str">
        <f ca="1">IFERROR(IF(VLOOKUP(C2301,' Disaggregation - Section E '!A$618:J2627,8,0)=0,"",VLOOKUP(C2301,' Disaggregation - Section E '!A$618:J2627,8,0)),"")</f>
        <v/>
      </c>
      <c r="J2301" s="388" t="str">
        <f ca="1">IFERROR(IF(VLOOKUP(C2301,' Disaggregation - Section E '!A$618:J2627,9,0)="","",VLOOKUP(C2301,' Disaggregation - Section E '!A$618:J2627,9,0)),"")</f>
        <v/>
      </c>
      <c r="K2301" s="384" t="str">
        <f ca="1">IFERROR(VLOOKUP(C2301,' Disaggregation - Section E '!A$618:J2627,3,0),"")</f>
        <v>TCS-1.1⁽ᴹ⁾ Percentage of people on ART among all people living with HIV at the end of the reporting period</v>
      </c>
      <c r="L2301" s="384"/>
      <c r="M2301" s="384" t="str">
        <f ca="1">IFERROR(IF(VLOOKUP(C2301,' Disaggregation - Section E '!A$618:O1430,15,0)=0,"",VLOOKUP(C2301,' Disaggregation - Section E '!A$618:O1430,15,0)),"")</f>
        <v/>
      </c>
      <c r="N2301" s="388" t="str">
        <f ca="1">IFERROR(IF(VLOOKUP(C2301,' Disaggregation - Section E '!A$618:J2627,10,0)=0,"",VLOOKUP(C2301,' Disaggregation - Section E '!A$618:J2627,10,0)),"")</f>
        <v/>
      </c>
      <c r="O2301" s="384"/>
    </row>
    <row r="2302" spans="1:15" x14ac:dyDescent="0.3">
      <c r="A2302" s="384" t="b">
        <f t="shared" ca="1" si="138"/>
        <v>0</v>
      </c>
      <c r="B2302" s="384"/>
      <c r="C2302" s="393" t="str">
        <f ca="1">IF(COUNTA(O$1493:O2302)=1,"",OFFSET(B2300,-COUNTA(O$1493:O2302)+3,1))</f>
        <v>a16Dm000000LZcrIAG</v>
      </c>
      <c r="D2302" s="389"/>
      <c r="E2302" s="386" t="str">
        <f ca="1">IFERROR(IF(VLOOKUP(C2302,' Disaggregation - Section E '!A$618:J2628,7,0)="","",VLOOKUP(C2302,' Disaggregation - Section E '!A$618:J2628,7,0)*100),"")</f>
        <v/>
      </c>
      <c r="F2302" s="388" t="str">
        <f ca="1">IFERROR(VLOOKUP(C2302,' Disaggregation - Section E '!A$618:J2628,5,0),"")</f>
        <v/>
      </c>
      <c r="G2302" s="387" t="str">
        <f ca="1">IFERROR(IF(VLOOKUP(C2302,' Disaggregation - Section E '!A$618:J2628,6,0)="","",VLOOKUP(C2302,' Disaggregation - Section E '!A$618:J2628,6,0)),"")</f>
        <v/>
      </c>
      <c r="H2302" s="387" t="str">
        <f ca="1">IFERROR(IF(INDEX(' Disaggregation - Section E '!F$618:F2628,MATCH(C2302,' Disaggregation - Section E '!A$618:A2628,0)+1,1)&lt;&gt;0,INDEX(' Disaggregation - Section E '!F$618:F2628,MATCH(C2302,' Disaggregation - Section E '!A$618:A2628,0)+1,1),""),"")</f>
        <v/>
      </c>
      <c r="I2302" s="388" t="str">
        <f ca="1">IFERROR(IF(VLOOKUP(C2302,' Disaggregation - Section E '!A$618:J2628,8,0)=0,"",VLOOKUP(C2302,' Disaggregation - Section E '!A$618:J2628,8,0)),"")</f>
        <v/>
      </c>
      <c r="J2302" s="388" t="str">
        <f ca="1">IFERROR(IF(VLOOKUP(C2302,' Disaggregation - Section E '!A$618:J2628,9,0)="","",VLOOKUP(C2302,' Disaggregation - Section E '!A$618:J2628,9,0)),"")</f>
        <v/>
      </c>
      <c r="K2302" s="384" t="str">
        <f ca="1">IFERROR(VLOOKUP(C2302,' Disaggregation - Section E '!A$618:J2628,3,0),"")</f>
        <v>TCS-1.1⁽ᴹ⁾ Percentage of people on ART among all people living with HIV at the end of the reporting period</v>
      </c>
      <c r="L2302" s="384"/>
      <c r="M2302" s="384" t="str">
        <f ca="1">IFERROR(IF(VLOOKUP(C2302,' Disaggregation - Section E '!A$618:O1431,15,0)=0,"",VLOOKUP(C2302,' Disaggregation - Section E '!A$618:O1431,15,0)),"")</f>
        <v/>
      </c>
      <c r="N2302" s="388" t="str">
        <f ca="1">IFERROR(IF(VLOOKUP(C2302,' Disaggregation - Section E '!A$618:J2628,10,0)=0,"",VLOOKUP(C2302,' Disaggregation - Section E '!A$618:J2628,10,0)),"")</f>
        <v/>
      </c>
      <c r="O2302" s="384"/>
    </row>
    <row r="2303" spans="1:15" x14ac:dyDescent="0.3">
      <c r="A2303" s="384" t="b">
        <f t="shared" ca="1" si="138"/>
        <v>0</v>
      </c>
      <c r="B2303" s="384"/>
      <c r="C2303" s="393" t="str">
        <f ca="1">IF(COUNTA(O$1493:O2303)=1,"",OFFSET(B2301,-COUNTA(O$1493:O2303)+3,1))</f>
        <v>a16Dm000000LZcsIAG</v>
      </c>
      <c r="D2303" s="389"/>
      <c r="E2303" s="386" t="str">
        <f ca="1">IFERROR(IF(VLOOKUP(C2303,' Disaggregation - Section E '!A$618:J2629,7,0)="","",VLOOKUP(C2303,' Disaggregation - Section E '!A$618:J2629,7,0)*100),"")</f>
        <v/>
      </c>
      <c r="F2303" s="388" t="str">
        <f ca="1">IFERROR(VLOOKUP(C2303,' Disaggregation - Section E '!A$618:J2629,5,0),"")</f>
        <v/>
      </c>
      <c r="G2303" s="387" t="str">
        <f ca="1">IFERROR(IF(VLOOKUP(C2303,' Disaggregation - Section E '!A$618:J2629,6,0)="","",VLOOKUP(C2303,' Disaggregation - Section E '!A$618:J2629,6,0)),"")</f>
        <v/>
      </c>
      <c r="H2303" s="387" t="str">
        <f ca="1">IFERROR(IF(INDEX(' Disaggregation - Section E '!F$618:F2629,MATCH(C2303,' Disaggregation - Section E '!A$618:A2629,0)+1,1)&lt;&gt;0,INDEX(' Disaggregation - Section E '!F$618:F2629,MATCH(C2303,' Disaggregation - Section E '!A$618:A2629,0)+1,1),""),"")</f>
        <v/>
      </c>
      <c r="I2303" s="388" t="str">
        <f ca="1">IFERROR(IF(VLOOKUP(C2303,' Disaggregation - Section E '!A$618:J2629,8,0)=0,"",VLOOKUP(C2303,' Disaggregation - Section E '!A$618:J2629,8,0)),"")</f>
        <v/>
      </c>
      <c r="J2303" s="388" t="str">
        <f ca="1">IFERROR(IF(VLOOKUP(C2303,' Disaggregation - Section E '!A$618:J2629,9,0)="","",VLOOKUP(C2303,' Disaggregation - Section E '!A$618:J2629,9,0)),"")</f>
        <v/>
      </c>
      <c r="K2303" s="384" t="str">
        <f ca="1">IFERROR(VLOOKUP(C2303,' Disaggregation - Section E '!A$618:J2629,3,0),"")</f>
        <v>TCS-1.1⁽ᴹ⁾ Percentage of people on ART among all people living with HIV at the end of the reporting period</v>
      </c>
      <c r="L2303" s="384"/>
      <c r="M2303" s="384" t="str">
        <f ca="1">IFERROR(IF(VLOOKUP(C2303,' Disaggregation - Section E '!A$618:O1432,15,0)=0,"",VLOOKUP(C2303,' Disaggregation - Section E '!A$618:O1432,15,0)),"")</f>
        <v/>
      </c>
      <c r="N2303" s="388" t="str">
        <f ca="1">IFERROR(IF(VLOOKUP(C2303,' Disaggregation - Section E '!A$618:J2629,10,0)=0,"",VLOOKUP(C2303,' Disaggregation - Section E '!A$618:J2629,10,0)),"")</f>
        <v/>
      </c>
      <c r="O2303" s="384"/>
    </row>
    <row r="2304" spans="1:15" x14ac:dyDescent="0.3">
      <c r="A2304" s="384" t="b">
        <f t="shared" ca="1" si="138"/>
        <v>0</v>
      </c>
      <c r="B2304" s="384"/>
      <c r="C2304" s="393" t="str">
        <f ca="1">IF(COUNTA(O$1493:O2304)=1,"",OFFSET(B2302,-COUNTA(O$1493:O2304)+3,1))</f>
        <v>a16Dm000000LZctIAG</v>
      </c>
      <c r="D2304" s="389"/>
      <c r="E2304" s="386" t="str">
        <f ca="1">IFERROR(IF(VLOOKUP(C2304,' Disaggregation - Section E '!A$618:J2630,7,0)="","",VLOOKUP(C2304,' Disaggregation - Section E '!A$618:J2630,7,0)*100),"")</f>
        <v/>
      </c>
      <c r="F2304" s="388" t="str">
        <f ca="1">IFERROR(VLOOKUP(C2304,' Disaggregation - Section E '!A$618:J2630,5,0),"")</f>
        <v/>
      </c>
      <c r="G2304" s="387" t="str">
        <f ca="1">IFERROR(IF(VLOOKUP(C2304,' Disaggregation - Section E '!A$618:J2630,6,0)="","",VLOOKUP(C2304,' Disaggregation - Section E '!A$618:J2630,6,0)),"")</f>
        <v/>
      </c>
      <c r="H2304" s="387" t="str">
        <f ca="1">IFERROR(IF(INDEX(' Disaggregation - Section E '!F$618:F2630,MATCH(C2304,' Disaggregation - Section E '!A$618:A2630,0)+1,1)&lt;&gt;0,INDEX(' Disaggregation - Section E '!F$618:F2630,MATCH(C2304,' Disaggregation - Section E '!A$618:A2630,0)+1,1),""),"")</f>
        <v/>
      </c>
      <c r="I2304" s="388" t="str">
        <f ca="1">IFERROR(IF(VLOOKUP(C2304,' Disaggregation - Section E '!A$618:J2630,8,0)=0,"",VLOOKUP(C2304,' Disaggregation - Section E '!A$618:J2630,8,0)),"")</f>
        <v/>
      </c>
      <c r="J2304" s="388" t="str">
        <f ca="1">IFERROR(IF(VLOOKUP(C2304,' Disaggregation - Section E '!A$618:J2630,9,0)="","",VLOOKUP(C2304,' Disaggregation - Section E '!A$618:J2630,9,0)),"")</f>
        <v/>
      </c>
      <c r="K2304" s="384" t="str">
        <f ca="1">IFERROR(VLOOKUP(C2304,' Disaggregation - Section E '!A$618:J2630,3,0),"")</f>
        <v>TCS-1.1⁽ᴹ⁾ Percentage of people on ART among all people living with HIV at the end of the reporting period</v>
      </c>
      <c r="L2304" s="384"/>
      <c r="M2304" s="384" t="str">
        <f ca="1">IFERROR(IF(VLOOKUP(C2304,' Disaggregation - Section E '!A$618:O1433,15,0)=0,"",VLOOKUP(C2304,' Disaggregation - Section E '!A$618:O1433,15,0)),"")</f>
        <v/>
      </c>
      <c r="N2304" s="388" t="str">
        <f ca="1">IFERROR(IF(VLOOKUP(C2304,' Disaggregation - Section E '!A$618:J2630,10,0)=0,"",VLOOKUP(C2304,' Disaggregation - Section E '!A$618:J2630,10,0)),"")</f>
        <v/>
      </c>
      <c r="O2304" s="384"/>
    </row>
    <row r="2305" spans="1:15" x14ac:dyDescent="0.3">
      <c r="A2305" s="384" t="b">
        <f t="shared" ca="1" si="138"/>
        <v>0</v>
      </c>
      <c r="B2305" s="384"/>
      <c r="C2305" s="393" t="str">
        <f ca="1">IF(COUNTA(O$1493:O2305)=1,"",OFFSET(B2303,-COUNTA(O$1493:O2305)+3,1))</f>
        <v>a16Dm000000LZcuIAG</v>
      </c>
      <c r="D2305" s="389"/>
      <c r="E2305" s="386" t="str">
        <f ca="1">IFERROR(IF(VLOOKUP(C2305,' Disaggregation - Section E '!A$618:J2631,7,0)="","",VLOOKUP(C2305,' Disaggregation - Section E '!A$618:J2631,7,0)*100),"")</f>
        <v/>
      </c>
      <c r="F2305" s="388" t="str">
        <f ca="1">IFERROR(VLOOKUP(C2305,' Disaggregation - Section E '!A$618:J2631,5,0),"")</f>
        <v/>
      </c>
      <c r="G2305" s="387" t="str">
        <f ca="1">IFERROR(IF(VLOOKUP(C2305,' Disaggregation - Section E '!A$618:J2631,6,0)="","",VLOOKUP(C2305,' Disaggregation - Section E '!A$618:J2631,6,0)),"")</f>
        <v/>
      </c>
      <c r="H2305" s="387" t="str">
        <f ca="1">IFERROR(IF(INDEX(' Disaggregation - Section E '!F$618:F2631,MATCH(C2305,' Disaggregation - Section E '!A$618:A2631,0)+1,1)&lt;&gt;0,INDEX(' Disaggregation - Section E '!F$618:F2631,MATCH(C2305,' Disaggregation - Section E '!A$618:A2631,0)+1,1),""),"")</f>
        <v/>
      </c>
      <c r="I2305" s="388" t="str">
        <f ca="1">IFERROR(IF(VLOOKUP(C2305,' Disaggregation - Section E '!A$618:J2631,8,0)=0,"",VLOOKUP(C2305,' Disaggregation - Section E '!A$618:J2631,8,0)),"")</f>
        <v/>
      </c>
      <c r="J2305" s="388" t="str">
        <f ca="1">IFERROR(IF(VLOOKUP(C2305,' Disaggregation - Section E '!A$618:J2631,9,0)="","",VLOOKUP(C2305,' Disaggregation - Section E '!A$618:J2631,9,0)),"")</f>
        <v/>
      </c>
      <c r="K2305" s="384" t="str">
        <f ca="1">IFERROR(VLOOKUP(C2305,' Disaggregation - Section E '!A$618:J2631,3,0),"")</f>
        <v>TCS-1.1⁽ᴹ⁾ Percentage of people on ART among all people living with HIV at the end of the reporting period</v>
      </c>
      <c r="L2305" s="384"/>
      <c r="M2305" s="384" t="str">
        <f ca="1">IFERROR(IF(VLOOKUP(C2305,' Disaggregation - Section E '!A$618:O1434,15,0)=0,"",VLOOKUP(C2305,' Disaggregation - Section E '!A$618:O1434,15,0)),"")</f>
        <v/>
      </c>
      <c r="N2305" s="388" t="str">
        <f ca="1">IFERROR(IF(VLOOKUP(C2305,' Disaggregation - Section E '!A$618:J2631,10,0)=0,"",VLOOKUP(C2305,' Disaggregation - Section E '!A$618:J2631,10,0)),"")</f>
        <v/>
      </c>
      <c r="O2305" s="384"/>
    </row>
    <row r="2306" spans="1:15" x14ac:dyDescent="0.3">
      <c r="A2306" s="384" t="b">
        <f t="shared" ca="1" si="138"/>
        <v>0</v>
      </c>
      <c r="B2306" s="384"/>
      <c r="C2306" s="393" t="str">
        <f ca="1">IF(COUNTA(O$1493:O2306)=1,"",OFFSET(B2304,-COUNTA(O$1493:O2306)+3,1))</f>
        <v>a16Dm000000LZcvIAG</v>
      </c>
      <c r="D2306" s="389"/>
      <c r="E2306" s="386" t="str">
        <f ca="1">IFERROR(IF(VLOOKUP(C2306,' Disaggregation - Section E '!A$618:J2632,7,0)="","",VLOOKUP(C2306,' Disaggregation - Section E '!A$618:J2632,7,0)*100),"")</f>
        <v/>
      </c>
      <c r="F2306" s="388" t="str">
        <f ca="1">IFERROR(VLOOKUP(C2306,' Disaggregation - Section E '!A$618:J2632,5,0),"")</f>
        <v/>
      </c>
      <c r="G2306" s="387" t="str">
        <f ca="1">IFERROR(IF(VLOOKUP(C2306,' Disaggregation - Section E '!A$618:J2632,6,0)="","",VLOOKUP(C2306,' Disaggregation - Section E '!A$618:J2632,6,0)),"")</f>
        <v/>
      </c>
      <c r="H2306" s="387" t="str">
        <f ca="1">IFERROR(IF(INDEX(' Disaggregation - Section E '!F$618:F2632,MATCH(C2306,' Disaggregation - Section E '!A$618:A2632,0)+1,1)&lt;&gt;0,INDEX(' Disaggregation - Section E '!F$618:F2632,MATCH(C2306,' Disaggregation - Section E '!A$618:A2632,0)+1,1),""),"")</f>
        <v/>
      </c>
      <c r="I2306" s="388" t="str">
        <f ca="1">IFERROR(IF(VLOOKUP(C2306,' Disaggregation - Section E '!A$618:J2632,8,0)=0,"",VLOOKUP(C2306,' Disaggregation - Section E '!A$618:J2632,8,0)),"")</f>
        <v/>
      </c>
      <c r="J2306" s="388" t="str">
        <f ca="1">IFERROR(IF(VLOOKUP(C2306,' Disaggregation - Section E '!A$618:J2632,9,0)="","",VLOOKUP(C2306,' Disaggregation - Section E '!A$618:J2632,9,0)),"")</f>
        <v/>
      </c>
      <c r="K2306" s="384" t="str">
        <f ca="1">IFERROR(VLOOKUP(C2306,' Disaggregation - Section E '!A$618:J2632,3,0),"")</f>
        <v>TCS-1.1⁽ᴹ⁾ Percentage of people on ART among all people living with HIV at the end of the reporting period</v>
      </c>
      <c r="L2306" s="384"/>
      <c r="M2306" s="384" t="str">
        <f ca="1">IFERROR(IF(VLOOKUP(C2306,' Disaggregation - Section E '!A$618:O1435,15,0)=0,"",VLOOKUP(C2306,' Disaggregation - Section E '!A$618:O1435,15,0)),"")</f>
        <v/>
      </c>
      <c r="N2306" s="388" t="str">
        <f ca="1">IFERROR(IF(VLOOKUP(C2306,' Disaggregation - Section E '!A$618:J2632,10,0)=0,"",VLOOKUP(C2306,' Disaggregation - Section E '!A$618:J2632,10,0)),"")</f>
        <v/>
      </c>
      <c r="O2306" s="384"/>
    </row>
    <row r="2307" spans="1:15" x14ac:dyDescent="0.3">
      <c r="A2307" s="384" t="b">
        <f t="shared" ca="1" si="138"/>
        <v>0</v>
      </c>
      <c r="B2307" s="384"/>
      <c r="C2307" s="393" t="str">
        <f ca="1">IF(COUNTA(O$1493:O2307)=1,"",OFFSET(B2305,-COUNTA(O$1493:O2307)+3,1))</f>
        <v>a16Dm000000LZcwIAG</v>
      </c>
      <c r="D2307" s="389"/>
      <c r="E2307" s="386" t="str">
        <f ca="1">IFERROR(IF(VLOOKUP(C2307,' Disaggregation - Section E '!A$618:J2633,7,0)="","",VLOOKUP(C2307,' Disaggregation - Section E '!A$618:J2633,7,0)*100),"")</f>
        <v/>
      </c>
      <c r="F2307" s="388" t="str">
        <f ca="1">IFERROR(VLOOKUP(C2307,' Disaggregation - Section E '!A$618:J2633,5,0),"")</f>
        <v/>
      </c>
      <c r="G2307" s="387" t="str">
        <f ca="1">IFERROR(IF(VLOOKUP(C2307,' Disaggregation - Section E '!A$618:J2633,6,0)="","",VLOOKUP(C2307,' Disaggregation - Section E '!A$618:J2633,6,0)),"")</f>
        <v/>
      </c>
      <c r="H2307" s="387" t="str">
        <f ca="1">IFERROR(IF(INDEX(' Disaggregation - Section E '!F$618:F2633,MATCH(C2307,' Disaggregation - Section E '!A$618:A2633,0)+1,1)&lt;&gt;0,INDEX(' Disaggregation - Section E '!F$618:F2633,MATCH(C2307,' Disaggregation - Section E '!A$618:A2633,0)+1,1),""),"")</f>
        <v/>
      </c>
      <c r="I2307" s="388" t="str">
        <f ca="1">IFERROR(IF(VLOOKUP(C2307,' Disaggregation - Section E '!A$618:J2633,8,0)=0,"",VLOOKUP(C2307,' Disaggregation - Section E '!A$618:J2633,8,0)),"")</f>
        <v/>
      </c>
      <c r="J2307" s="388" t="str">
        <f ca="1">IFERROR(IF(VLOOKUP(C2307,' Disaggregation - Section E '!A$618:J2633,9,0)="","",VLOOKUP(C2307,' Disaggregation - Section E '!A$618:J2633,9,0)),"")</f>
        <v/>
      </c>
      <c r="K2307" s="384" t="str">
        <f ca="1">IFERROR(VLOOKUP(C2307,' Disaggregation - Section E '!A$618:J2633,3,0),"")</f>
        <v>TCS-1.1⁽ᴹ⁾ Percentage of people on ART among all people living with HIV at the end of the reporting period</v>
      </c>
      <c r="L2307" s="384"/>
      <c r="M2307" s="384" t="str">
        <f ca="1">IFERROR(IF(VLOOKUP(C2307,' Disaggregation - Section E '!A$618:O1436,15,0)=0,"",VLOOKUP(C2307,' Disaggregation - Section E '!A$618:O1436,15,0)),"")</f>
        <v/>
      </c>
      <c r="N2307" s="388" t="str">
        <f ca="1">IFERROR(IF(VLOOKUP(C2307,' Disaggregation - Section E '!A$618:J2633,10,0)=0,"",VLOOKUP(C2307,' Disaggregation - Section E '!A$618:J2633,10,0)),"")</f>
        <v/>
      </c>
      <c r="O2307" s="384"/>
    </row>
    <row r="2308" spans="1:15" x14ac:dyDescent="0.3">
      <c r="A2308" s="384" t="b">
        <f t="shared" ca="1" si="138"/>
        <v>0</v>
      </c>
      <c r="B2308" s="384"/>
      <c r="C2308" s="393" t="str">
        <f ca="1">IF(COUNTA(O$1493:O2308)=1,"",OFFSET(B2306,-COUNTA(O$1493:O2308)+3,1))</f>
        <v>a16Dm000000LZcxIAG</v>
      </c>
      <c r="D2308" s="389"/>
      <c r="E2308" s="386" t="str">
        <f ca="1">IFERROR(IF(VLOOKUP(C2308,' Disaggregation - Section E '!A$618:J2634,7,0)="","",VLOOKUP(C2308,' Disaggregation - Section E '!A$618:J2634,7,0)*100),"")</f>
        <v/>
      </c>
      <c r="F2308" s="388" t="str">
        <f ca="1">IFERROR(VLOOKUP(C2308,' Disaggregation - Section E '!A$618:J2634,5,0),"")</f>
        <v/>
      </c>
      <c r="G2308" s="387" t="str">
        <f ca="1">IFERROR(IF(VLOOKUP(C2308,' Disaggregation - Section E '!A$618:J2634,6,0)="","",VLOOKUP(C2308,' Disaggregation - Section E '!A$618:J2634,6,0)),"")</f>
        <v/>
      </c>
      <c r="H2308" s="387" t="str">
        <f ca="1">IFERROR(IF(INDEX(' Disaggregation - Section E '!F$618:F2634,MATCH(C2308,' Disaggregation - Section E '!A$618:A2634,0)+1,1)&lt;&gt;0,INDEX(' Disaggregation - Section E '!F$618:F2634,MATCH(C2308,' Disaggregation - Section E '!A$618:A2634,0)+1,1),""),"")</f>
        <v/>
      </c>
      <c r="I2308" s="388" t="str">
        <f ca="1">IFERROR(IF(VLOOKUP(C2308,' Disaggregation - Section E '!A$618:J2634,8,0)=0,"",VLOOKUP(C2308,' Disaggregation - Section E '!A$618:J2634,8,0)),"")</f>
        <v/>
      </c>
      <c r="J2308" s="388" t="str">
        <f ca="1">IFERROR(IF(VLOOKUP(C2308,' Disaggregation - Section E '!A$618:J2634,9,0)="","",VLOOKUP(C2308,' Disaggregation - Section E '!A$618:J2634,9,0)),"")</f>
        <v/>
      </c>
      <c r="K2308" s="384" t="str">
        <f ca="1">IFERROR(VLOOKUP(C2308,' Disaggregation - Section E '!A$618:J2634,3,0),"")</f>
        <v>TCS-1.1⁽ᴹ⁾ Percentage of people on ART among all people living with HIV at the end of the reporting period</v>
      </c>
      <c r="L2308" s="384"/>
      <c r="M2308" s="384" t="str">
        <f ca="1">IFERROR(IF(VLOOKUP(C2308,' Disaggregation - Section E '!A$618:O1437,15,0)=0,"",VLOOKUP(C2308,' Disaggregation - Section E '!A$618:O1437,15,0)),"")</f>
        <v/>
      </c>
      <c r="N2308" s="388" t="str">
        <f ca="1">IFERROR(IF(VLOOKUP(C2308,' Disaggregation - Section E '!A$618:J2634,10,0)=0,"",VLOOKUP(C2308,' Disaggregation - Section E '!A$618:J2634,10,0)),"")</f>
        <v/>
      </c>
      <c r="O2308" s="384"/>
    </row>
    <row r="2309" spans="1:15" x14ac:dyDescent="0.3">
      <c r="A2309" s="384" t="b">
        <f t="shared" ca="1" si="138"/>
        <v>0</v>
      </c>
      <c r="B2309" s="384"/>
      <c r="C2309" s="393" t="str">
        <f ca="1">IF(COUNTA(O$1493:O2309)=1,"",OFFSET(B2307,-COUNTA(O$1493:O2309)+3,1))</f>
        <v>a16Dm000000LZcyIAG</v>
      </c>
      <c r="D2309" s="389"/>
      <c r="E2309" s="386" t="str">
        <f ca="1">IFERROR(IF(VLOOKUP(C2309,' Disaggregation - Section E '!A$618:J2635,7,0)="","",VLOOKUP(C2309,' Disaggregation - Section E '!A$618:J2635,7,0)*100),"")</f>
        <v/>
      </c>
      <c r="F2309" s="388" t="str">
        <f ca="1">IFERROR(VLOOKUP(C2309,' Disaggregation - Section E '!A$618:J2635,5,0),"")</f>
        <v/>
      </c>
      <c r="G2309" s="387" t="str">
        <f ca="1">IFERROR(IF(VLOOKUP(C2309,' Disaggregation - Section E '!A$618:J2635,6,0)="","",VLOOKUP(C2309,' Disaggregation - Section E '!A$618:J2635,6,0)),"")</f>
        <v/>
      </c>
      <c r="H2309" s="387" t="str">
        <f ca="1">IFERROR(IF(INDEX(' Disaggregation - Section E '!F$618:F2635,MATCH(C2309,' Disaggregation - Section E '!A$618:A2635,0)+1,1)&lt;&gt;0,INDEX(' Disaggregation - Section E '!F$618:F2635,MATCH(C2309,' Disaggregation - Section E '!A$618:A2635,0)+1,1),""),"")</f>
        <v/>
      </c>
      <c r="I2309" s="388" t="str">
        <f ca="1">IFERROR(IF(VLOOKUP(C2309,' Disaggregation - Section E '!A$618:J2635,8,0)=0,"",VLOOKUP(C2309,' Disaggregation - Section E '!A$618:J2635,8,0)),"")</f>
        <v/>
      </c>
      <c r="J2309" s="388" t="str">
        <f ca="1">IFERROR(IF(VLOOKUP(C2309,' Disaggregation - Section E '!A$618:J2635,9,0)="","",VLOOKUP(C2309,' Disaggregation - Section E '!A$618:J2635,9,0)),"")</f>
        <v/>
      </c>
      <c r="K2309" s="384" t="str">
        <f ca="1">IFERROR(VLOOKUP(C2309,' Disaggregation - Section E '!A$618:J2635,3,0),"")</f>
        <v>TCS-1.1⁽ᴹ⁾ Percentage of people on ART among all people living with HIV at the end of the reporting period</v>
      </c>
      <c r="L2309" s="384"/>
      <c r="M2309" s="384" t="str">
        <f ca="1">IFERROR(IF(VLOOKUP(C2309,' Disaggregation - Section E '!A$618:O1438,15,0)=0,"",VLOOKUP(C2309,' Disaggregation - Section E '!A$618:O1438,15,0)),"")</f>
        <v/>
      </c>
      <c r="N2309" s="388" t="str">
        <f ca="1">IFERROR(IF(VLOOKUP(C2309,' Disaggregation - Section E '!A$618:J2635,10,0)=0,"",VLOOKUP(C2309,' Disaggregation - Section E '!A$618:J2635,10,0)),"")</f>
        <v/>
      </c>
      <c r="O2309" s="384"/>
    </row>
    <row r="2310" spans="1:15" x14ac:dyDescent="0.3">
      <c r="A2310" s="384" t="b">
        <f t="shared" ca="1" si="138"/>
        <v>0</v>
      </c>
      <c r="B2310" s="384"/>
      <c r="C2310" s="393" t="str">
        <f ca="1">IF(COUNTA(O$1493:O2310)=1,"",OFFSET(B2308,-COUNTA(O$1493:O2310)+3,1))</f>
        <v>a16Dm000000LZczIAG</v>
      </c>
      <c r="D2310" s="389"/>
      <c r="E2310" s="386" t="str">
        <f ca="1">IFERROR(IF(VLOOKUP(C2310,' Disaggregation - Section E '!A$618:J2636,7,0)="","",VLOOKUP(C2310,' Disaggregation - Section E '!A$618:J2636,7,0)*100),"")</f>
        <v/>
      </c>
      <c r="F2310" s="388" t="str">
        <f ca="1">IFERROR(VLOOKUP(C2310,' Disaggregation - Section E '!A$618:J2636,5,0),"")</f>
        <v/>
      </c>
      <c r="G2310" s="387" t="str">
        <f ca="1">IFERROR(IF(VLOOKUP(C2310,' Disaggregation - Section E '!A$618:J2636,6,0)="","",VLOOKUP(C2310,' Disaggregation - Section E '!A$618:J2636,6,0)),"")</f>
        <v/>
      </c>
      <c r="H2310" s="387" t="str">
        <f ca="1">IFERROR(IF(INDEX(' Disaggregation - Section E '!F$618:F2636,MATCH(C2310,' Disaggregation - Section E '!A$618:A2636,0)+1,1)&lt;&gt;0,INDEX(' Disaggregation - Section E '!F$618:F2636,MATCH(C2310,' Disaggregation - Section E '!A$618:A2636,0)+1,1),""),"")</f>
        <v/>
      </c>
      <c r="I2310" s="388" t="str">
        <f ca="1">IFERROR(IF(VLOOKUP(C2310,' Disaggregation - Section E '!A$618:J2636,8,0)=0,"",VLOOKUP(C2310,' Disaggregation - Section E '!A$618:J2636,8,0)),"")</f>
        <v/>
      </c>
      <c r="J2310" s="388" t="str">
        <f ca="1">IFERROR(IF(VLOOKUP(C2310,' Disaggregation - Section E '!A$618:J2636,9,0)="","",VLOOKUP(C2310,' Disaggregation - Section E '!A$618:J2636,9,0)),"")</f>
        <v/>
      </c>
      <c r="K2310" s="384" t="str">
        <f ca="1">IFERROR(VLOOKUP(C2310,' Disaggregation - Section E '!A$618:J2636,3,0),"")</f>
        <v>TCS-1.1⁽ᴹ⁾ Percentage of people on ART among all people living with HIV at the end of the reporting period</v>
      </c>
      <c r="L2310" s="384"/>
      <c r="M2310" s="384" t="str">
        <f ca="1">IFERROR(IF(VLOOKUP(C2310,' Disaggregation - Section E '!A$618:O1439,15,0)=0,"",VLOOKUP(C2310,' Disaggregation - Section E '!A$618:O1439,15,0)),"")</f>
        <v/>
      </c>
      <c r="N2310" s="388" t="str">
        <f ca="1">IFERROR(IF(VLOOKUP(C2310,' Disaggregation - Section E '!A$618:J2636,10,0)=0,"",VLOOKUP(C2310,' Disaggregation - Section E '!A$618:J2636,10,0)),"")</f>
        <v/>
      </c>
      <c r="O2310" s="384"/>
    </row>
    <row r="2311" spans="1:15" x14ac:dyDescent="0.3">
      <c r="A2311" s="384" t="b">
        <f t="shared" ca="1" si="138"/>
        <v>0</v>
      </c>
      <c r="B2311" s="384"/>
      <c r="C2311" s="393" t="str">
        <f ca="1">IF(COUNTA(O$1493:O2311)=1,"",OFFSET(B2309,-COUNTA(O$1493:O2311)+3,1))</f>
        <v>a16Dm000000LZd0IAG</v>
      </c>
      <c r="D2311" s="389"/>
      <c r="E2311" s="386" t="str">
        <f ca="1">IFERROR(IF(VLOOKUP(C2311,' Disaggregation - Section E '!A$618:J2637,7,0)="","",VLOOKUP(C2311,' Disaggregation - Section E '!A$618:J2637,7,0)*100),"")</f>
        <v/>
      </c>
      <c r="F2311" s="388" t="str">
        <f ca="1">IFERROR(VLOOKUP(C2311,' Disaggregation - Section E '!A$618:J2637,5,0),"")</f>
        <v/>
      </c>
      <c r="G2311" s="387" t="str">
        <f ca="1">IFERROR(IF(VLOOKUP(C2311,' Disaggregation - Section E '!A$618:J2637,6,0)="","",VLOOKUP(C2311,' Disaggregation - Section E '!A$618:J2637,6,0)),"")</f>
        <v/>
      </c>
      <c r="H2311" s="387" t="str">
        <f ca="1">IFERROR(IF(INDEX(' Disaggregation - Section E '!F$618:F2637,MATCH(C2311,' Disaggregation - Section E '!A$618:A2637,0)+1,1)&lt;&gt;0,INDEX(' Disaggregation - Section E '!F$618:F2637,MATCH(C2311,' Disaggregation - Section E '!A$618:A2637,0)+1,1),""),"")</f>
        <v/>
      </c>
      <c r="I2311" s="388" t="str">
        <f ca="1">IFERROR(IF(VLOOKUP(C2311,' Disaggregation - Section E '!A$618:J2637,8,0)=0,"",VLOOKUP(C2311,' Disaggregation - Section E '!A$618:J2637,8,0)),"")</f>
        <v/>
      </c>
      <c r="J2311" s="388" t="str">
        <f ca="1">IFERROR(IF(VLOOKUP(C2311,' Disaggregation - Section E '!A$618:J2637,9,0)="","",VLOOKUP(C2311,' Disaggregation - Section E '!A$618:J2637,9,0)),"")</f>
        <v/>
      </c>
      <c r="K2311" s="384" t="str">
        <f ca="1">IFERROR(VLOOKUP(C2311,' Disaggregation - Section E '!A$618:J2637,3,0),"")</f>
        <v>TCS-1.1⁽ᴹ⁾ Percentage of people on ART among all people living with HIV at the end of the reporting period</v>
      </c>
      <c r="L2311" s="384"/>
      <c r="M2311" s="384" t="str">
        <f ca="1">IFERROR(IF(VLOOKUP(C2311,' Disaggregation - Section E '!A$618:O1440,15,0)=0,"",VLOOKUP(C2311,' Disaggregation - Section E '!A$618:O1440,15,0)),"")</f>
        <v/>
      </c>
      <c r="N2311" s="388" t="str">
        <f ca="1">IFERROR(IF(VLOOKUP(C2311,' Disaggregation - Section E '!A$618:J2637,10,0)=0,"",VLOOKUP(C2311,' Disaggregation - Section E '!A$618:J2637,10,0)),"")</f>
        <v/>
      </c>
      <c r="O2311" s="384"/>
    </row>
    <row r="2312" spans="1:15" x14ac:dyDescent="0.3">
      <c r="A2312" s="384" t="b">
        <f t="shared" ca="1" si="138"/>
        <v>0</v>
      </c>
      <c r="B2312" s="384"/>
      <c r="C2312" s="393" t="str">
        <f ca="1">IF(COUNTA(O$1493:O2312)=1,"",OFFSET(B2310,-COUNTA(O$1493:O2312)+3,1))</f>
        <v>a16Dm000000LZd1IAG</v>
      </c>
      <c r="D2312" s="389"/>
      <c r="E2312" s="386" t="str">
        <f ca="1">IFERROR(IF(VLOOKUP(C2312,' Disaggregation - Section E '!A$618:J2638,7,0)="","",VLOOKUP(C2312,' Disaggregation - Section E '!A$618:J2638,7,0)*100),"")</f>
        <v/>
      </c>
      <c r="F2312" s="388" t="str">
        <f ca="1">IFERROR(VLOOKUP(C2312,' Disaggregation - Section E '!A$618:J2638,5,0),"")</f>
        <v/>
      </c>
      <c r="G2312" s="387" t="str">
        <f ca="1">IFERROR(IF(VLOOKUP(C2312,' Disaggregation - Section E '!A$618:J2638,6,0)="","",VLOOKUP(C2312,' Disaggregation - Section E '!A$618:J2638,6,0)),"")</f>
        <v/>
      </c>
      <c r="H2312" s="387" t="str">
        <f ca="1">IFERROR(IF(INDEX(' Disaggregation - Section E '!F$618:F2638,MATCH(C2312,' Disaggregation - Section E '!A$618:A2638,0)+1,1)&lt;&gt;0,INDEX(' Disaggregation - Section E '!F$618:F2638,MATCH(C2312,' Disaggregation - Section E '!A$618:A2638,0)+1,1),""),"")</f>
        <v/>
      </c>
      <c r="I2312" s="388" t="str">
        <f ca="1">IFERROR(IF(VLOOKUP(C2312,' Disaggregation - Section E '!A$618:J2638,8,0)=0,"",VLOOKUP(C2312,' Disaggregation - Section E '!A$618:J2638,8,0)),"")</f>
        <v/>
      </c>
      <c r="J2312" s="388" t="str">
        <f ca="1">IFERROR(IF(VLOOKUP(C2312,' Disaggregation - Section E '!A$618:J2638,9,0)="","",VLOOKUP(C2312,' Disaggregation - Section E '!A$618:J2638,9,0)),"")</f>
        <v/>
      </c>
      <c r="K2312" s="384" t="str">
        <f ca="1">IFERROR(VLOOKUP(C2312,' Disaggregation - Section E '!A$618:J2638,3,0),"")</f>
        <v>TCS-1.1⁽ᴹ⁾ Percentage of people on ART among all people living with HIV at the end of the reporting period</v>
      </c>
      <c r="L2312" s="384"/>
      <c r="M2312" s="384" t="str">
        <f ca="1">IFERROR(IF(VLOOKUP(C2312,' Disaggregation - Section E '!A$618:O1441,15,0)=0,"",VLOOKUP(C2312,' Disaggregation - Section E '!A$618:O1441,15,0)),"")</f>
        <v/>
      </c>
      <c r="N2312" s="388" t="str">
        <f ca="1">IFERROR(IF(VLOOKUP(C2312,' Disaggregation - Section E '!A$618:J2638,10,0)=0,"",VLOOKUP(C2312,' Disaggregation - Section E '!A$618:J2638,10,0)),"")</f>
        <v/>
      </c>
      <c r="O2312" s="384"/>
    </row>
    <row r="2313" spans="1:15" x14ac:dyDescent="0.3">
      <c r="A2313" s="384" t="b">
        <f t="shared" ca="1" si="138"/>
        <v>0</v>
      </c>
      <c r="B2313" s="384"/>
      <c r="C2313" s="393" t="str">
        <f ca="1">IF(COUNTA(O$1493:O2313)=1,"",OFFSET(B2311,-COUNTA(O$1493:O2313)+3,1))</f>
        <v>a16Dm000000LZd2IAG</v>
      </c>
      <c r="D2313" s="389"/>
      <c r="E2313" s="386" t="str">
        <f ca="1">IFERROR(IF(VLOOKUP(C2313,' Disaggregation - Section E '!A$618:J2639,7,0)="","",VLOOKUP(C2313,' Disaggregation - Section E '!A$618:J2639,7,0)*100),"")</f>
        <v/>
      </c>
      <c r="F2313" s="388" t="str">
        <f ca="1">IFERROR(VLOOKUP(C2313,' Disaggregation - Section E '!A$618:J2639,5,0),"")</f>
        <v/>
      </c>
      <c r="G2313" s="387" t="str">
        <f ca="1">IFERROR(IF(VLOOKUP(C2313,' Disaggregation - Section E '!A$618:J2639,6,0)="","",VLOOKUP(C2313,' Disaggregation - Section E '!A$618:J2639,6,0)),"")</f>
        <v/>
      </c>
      <c r="H2313" s="387" t="str">
        <f ca="1">IFERROR(IF(INDEX(' Disaggregation - Section E '!F$618:F2639,MATCH(C2313,' Disaggregation - Section E '!A$618:A2639,0)+1,1)&lt;&gt;0,INDEX(' Disaggregation - Section E '!F$618:F2639,MATCH(C2313,' Disaggregation - Section E '!A$618:A2639,0)+1,1),""),"")</f>
        <v/>
      </c>
      <c r="I2313" s="388" t="str">
        <f ca="1">IFERROR(IF(VLOOKUP(C2313,' Disaggregation - Section E '!A$618:J2639,8,0)=0,"",VLOOKUP(C2313,' Disaggregation - Section E '!A$618:J2639,8,0)),"")</f>
        <v/>
      </c>
      <c r="J2313" s="388" t="str">
        <f ca="1">IFERROR(IF(VLOOKUP(C2313,' Disaggregation - Section E '!A$618:J2639,9,0)="","",VLOOKUP(C2313,' Disaggregation - Section E '!A$618:J2639,9,0)),"")</f>
        <v/>
      </c>
      <c r="K2313" s="384" t="str">
        <f ca="1">IFERROR(VLOOKUP(C2313,' Disaggregation - Section E '!A$618:J2639,3,0),"")</f>
        <v>TCS-1.1⁽ᴹ⁾ Percentage of people on ART among all people living with HIV at the end of the reporting period</v>
      </c>
      <c r="L2313" s="384"/>
      <c r="M2313" s="384" t="str">
        <f ca="1">IFERROR(IF(VLOOKUP(C2313,' Disaggregation - Section E '!A$618:O1442,15,0)=0,"",VLOOKUP(C2313,' Disaggregation - Section E '!A$618:O1442,15,0)),"")</f>
        <v/>
      </c>
      <c r="N2313" s="388" t="str">
        <f ca="1">IFERROR(IF(VLOOKUP(C2313,' Disaggregation - Section E '!A$618:J2639,10,0)=0,"",VLOOKUP(C2313,' Disaggregation - Section E '!A$618:J2639,10,0)),"")</f>
        <v/>
      </c>
      <c r="O2313" s="384"/>
    </row>
    <row r="2314" spans="1:15" x14ac:dyDescent="0.3">
      <c r="A2314" s="384" t="b">
        <f t="shared" ca="1" si="138"/>
        <v>0</v>
      </c>
      <c r="B2314" s="384"/>
      <c r="C2314" s="393" t="str">
        <f ca="1">IF(COUNTA(O$1493:O2314)=1,"",OFFSET(B2312,-COUNTA(O$1493:O2314)+3,1))</f>
        <v>a16Dm000000LZd3IAG</v>
      </c>
      <c r="D2314" s="389"/>
      <c r="E2314" s="386" t="str">
        <f ca="1">IFERROR(IF(VLOOKUP(C2314,' Disaggregation - Section E '!A$618:J2640,7,0)="","",VLOOKUP(C2314,' Disaggregation - Section E '!A$618:J2640,7,0)*100),"")</f>
        <v/>
      </c>
      <c r="F2314" s="388" t="str">
        <f ca="1">IFERROR(VLOOKUP(C2314,' Disaggregation - Section E '!A$618:J2640,5,0),"")</f>
        <v/>
      </c>
      <c r="G2314" s="387" t="str">
        <f ca="1">IFERROR(IF(VLOOKUP(C2314,' Disaggregation - Section E '!A$618:J2640,6,0)="","",VLOOKUP(C2314,' Disaggregation - Section E '!A$618:J2640,6,0)),"")</f>
        <v/>
      </c>
      <c r="H2314" s="387" t="str">
        <f ca="1">IFERROR(IF(INDEX(' Disaggregation - Section E '!F$618:F2640,MATCH(C2314,' Disaggregation - Section E '!A$618:A2640,0)+1,1)&lt;&gt;0,INDEX(' Disaggregation - Section E '!F$618:F2640,MATCH(C2314,' Disaggregation - Section E '!A$618:A2640,0)+1,1),""),"")</f>
        <v/>
      </c>
      <c r="I2314" s="388" t="str">
        <f ca="1">IFERROR(IF(VLOOKUP(C2314,' Disaggregation - Section E '!A$618:J2640,8,0)=0,"",VLOOKUP(C2314,' Disaggregation - Section E '!A$618:J2640,8,0)),"")</f>
        <v/>
      </c>
      <c r="J2314" s="388" t="str">
        <f ca="1">IFERROR(IF(VLOOKUP(C2314,' Disaggregation - Section E '!A$618:J2640,9,0)="","",VLOOKUP(C2314,' Disaggregation - Section E '!A$618:J2640,9,0)),"")</f>
        <v/>
      </c>
      <c r="K2314" s="384" t="str">
        <f ca="1">IFERROR(VLOOKUP(C2314,' Disaggregation - Section E '!A$618:J2640,3,0),"")</f>
        <v>TCS-1.1⁽ᴹ⁾ Percentage of people on ART among all people living with HIV at the end of the reporting period</v>
      </c>
      <c r="L2314" s="384"/>
      <c r="M2314" s="384" t="str">
        <f ca="1">IFERROR(IF(VLOOKUP(C2314,' Disaggregation - Section E '!A$618:O1443,15,0)=0,"",VLOOKUP(C2314,' Disaggregation - Section E '!A$618:O1443,15,0)),"")</f>
        <v/>
      </c>
      <c r="N2314" s="388" t="str">
        <f ca="1">IFERROR(IF(VLOOKUP(C2314,' Disaggregation - Section E '!A$618:J2640,10,0)=0,"",VLOOKUP(C2314,' Disaggregation - Section E '!A$618:J2640,10,0)),"")</f>
        <v/>
      </c>
      <c r="O2314" s="384"/>
    </row>
    <row r="2315" spans="1:15" x14ac:dyDescent="0.3">
      <c r="A2315" s="384" t="b">
        <f t="shared" ca="1" si="138"/>
        <v>1</v>
      </c>
      <c r="B2315" s="384"/>
      <c r="C2315" s="393" t="str">
        <f ca="1">IF(COUNTA(O$1493:O2315)=1,"",OFFSET(B2313,-COUNTA(O$1493:O2315)+3,1))</f>
        <v>a16Dm000000LZd4IAG</v>
      </c>
      <c r="D2315" s="389"/>
      <c r="E2315" s="386">
        <f ca="1">IFERROR(IF(VLOOKUP(C2315,' Disaggregation - Section E '!A$618:J2641,7,0)="","",VLOOKUP(C2315,' Disaggregation - Section E '!A$618:J2641,7,0)*100),"")</f>
        <v>64.168765743073052</v>
      </c>
      <c r="F2315" s="388" t="str">
        <f ca="1">IFERROR(VLOOKUP(C2315,' Disaggregation - Section E '!A$618:J2641,5,0),"")</f>
        <v>Male</v>
      </c>
      <c r="G2315" s="387">
        <f ca="1">IFERROR(IF(VLOOKUP(C2315,' Disaggregation - Section E '!A$618:J2641,6,0)="","",VLOOKUP(C2315,' Disaggregation - Section E '!A$618:J2641,6,0)),"")</f>
        <v>3057</v>
      </c>
      <c r="H2315" s="387">
        <f ca="1">IFERROR(IF(INDEX(' Disaggregation - Section E '!F$618:F2641,MATCH(C2315,' Disaggregation - Section E '!A$618:A2641,0)+1,1)&lt;&gt;0,INDEX(' Disaggregation - Section E '!F$618:F2641,MATCH(C2315,' Disaggregation - Section E '!A$618:A2641,0)+1,1),""),"")</f>
        <v>4764</v>
      </c>
      <c r="I2315" s="388">
        <f ca="1">IFERROR(IF(VLOOKUP(C2315,' Disaggregation - Section E '!A$618:J2641,8,0)=0,"",VLOOKUP(C2315,' Disaggregation - Section E '!A$618:J2641,8,0)),"")</f>
        <v>2022</v>
      </c>
      <c r="J2315" s="388" t="str">
        <f ca="1">IFERROR(IF(VLOOKUP(C2315,' Disaggregation - Section E '!A$618:J2641,9,0)="","",VLOOKUP(C2315,' Disaggregation - Section E '!A$618:J2641,9,0)),"")</f>
        <v xml:space="preserve">Electronic HIV Case Tracking System and RCHV&amp;HIV report
</v>
      </c>
      <c r="K2315" s="384" t="str">
        <f ca="1">IFERROR(VLOOKUP(C2315,' Disaggregation - Section E '!A$618:J2641,3,0),"")</f>
        <v>TCS-1b⁽ᴹ⁾ Percentage of adults (15 and above) on ART among all adults living with HIV at the end of the reporting period</v>
      </c>
      <c r="L2315" s="384"/>
      <c r="M2315" s="384" t="str">
        <f ca="1">IFERROR(IF(VLOOKUP(C2315,' Disaggregation - Section E '!A$618:O1444,15,0)=0,"",VLOOKUP(C2315,' Disaggregation - Section E '!A$618:O1444,15,0)),"")</f>
        <v>IDR-01300</v>
      </c>
      <c r="N2315" s="388" t="str">
        <f ca="1">IFERROR(IF(VLOOKUP(C2315,' Disaggregation - Section E '!A$618:J2641,10,0)=0,"",VLOOKUP(C2315,' Disaggregation - Section E '!A$618:J2641,10,0)),"")</f>
        <v xml:space="preserve">Numerator: Number of adults (15 and above) on ART at the end of the reporting period	Denumerator: Estimated number of adults (15 and above) living with HIV  </v>
      </c>
      <c r="O2315" s="384"/>
    </row>
    <row r="2316" spans="1:15" x14ac:dyDescent="0.3">
      <c r="A2316" s="384" t="b">
        <f t="shared" ca="1" si="138"/>
        <v>1</v>
      </c>
      <c r="B2316" s="384"/>
      <c r="C2316" s="393" t="str">
        <f ca="1">IF(COUNTA(O$1493:O2316)=1,"",OFFSET(B2314,-COUNTA(O$1493:O2316)+3,1))</f>
        <v>a16Dm000000LZd5IAG</v>
      </c>
      <c r="D2316" s="389"/>
      <c r="E2316" s="386">
        <f ca="1">IFERROR(IF(VLOOKUP(C2316,' Disaggregation - Section E '!A$618:J2642,7,0)="","",VLOOKUP(C2316,' Disaggregation - Section E '!A$618:J2642,7,0)*100),"")</f>
        <v>75.871313672922241</v>
      </c>
      <c r="F2316" s="388" t="str">
        <f ca="1">IFERROR(VLOOKUP(C2316,' Disaggregation - Section E '!A$618:J2642,5,0),"")</f>
        <v>Female</v>
      </c>
      <c r="G2316" s="387">
        <f ca="1">IFERROR(IF(VLOOKUP(C2316,' Disaggregation - Section E '!A$618:J2642,6,0)="","",VLOOKUP(C2316,' Disaggregation - Section E '!A$618:J2642,6,0)),"")</f>
        <v>2547</v>
      </c>
      <c r="H2316" s="387">
        <f ca="1">IFERROR(IF(INDEX(' Disaggregation - Section E '!F$618:F2642,MATCH(C2316,' Disaggregation - Section E '!A$618:A2642,0)+1,1)&lt;&gt;0,INDEX(' Disaggregation - Section E '!F$618:F2642,MATCH(C2316,' Disaggregation - Section E '!A$618:A2642,0)+1,1),""),"")</f>
        <v>3357</v>
      </c>
      <c r="I2316" s="388">
        <f ca="1">IFERROR(IF(VLOOKUP(C2316,' Disaggregation - Section E '!A$618:J2642,8,0)=0,"",VLOOKUP(C2316,' Disaggregation - Section E '!A$618:J2642,8,0)),"")</f>
        <v>2022</v>
      </c>
      <c r="J2316" s="388" t="str">
        <f ca="1">IFERROR(IF(VLOOKUP(C2316,' Disaggregation - Section E '!A$618:J2642,9,0)="","",VLOOKUP(C2316,' Disaggregation - Section E '!A$618:J2642,9,0)),"")</f>
        <v xml:space="preserve">Electronic HIV Case Tracking System and RCHV&amp;HIV report
</v>
      </c>
      <c r="K2316" s="384" t="str">
        <f ca="1">IFERROR(VLOOKUP(C2316,' Disaggregation - Section E '!A$618:J2642,3,0),"")</f>
        <v>TCS-1b⁽ᴹ⁾ Percentage of adults (15 and above) on ART among all adults living with HIV at the end of the reporting period</v>
      </c>
      <c r="L2316" s="384"/>
      <c r="M2316" s="384" t="str">
        <f ca="1">IFERROR(IF(VLOOKUP(C2316,' Disaggregation - Section E '!A$618:O1445,15,0)=0,"",VLOOKUP(C2316,' Disaggregation - Section E '!A$618:O1445,15,0)),"")</f>
        <v>IDR-01299</v>
      </c>
      <c r="N2316" s="388" t="str">
        <f ca="1">IFERROR(IF(VLOOKUP(C2316,' Disaggregation - Section E '!A$618:J2642,10,0)=0,"",VLOOKUP(C2316,' Disaggregation - Section E '!A$618:J2642,10,0)),"")</f>
        <v xml:space="preserve">Numerator: Number of adults (15 and above) on ART at the end of the reporting period	Denumerator: Estimated number of adults (15 and above) living with HIV  </v>
      </c>
      <c r="O2316" s="384"/>
    </row>
    <row r="2317" spans="1:15" x14ac:dyDescent="0.3">
      <c r="A2317" s="384" t="b">
        <f t="shared" ca="1" si="138"/>
        <v>0</v>
      </c>
      <c r="B2317" s="384"/>
      <c r="C2317" s="393" t="str">
        <f ca="1">IF(COUNTA(O$1493:O2317)=1,"",OFFSET(B2315,-COUNTA(O$1493:O2317)+3,1))</f>
        <v>a16Dm000000LZd6IAG</v>
      </c>
      <c r="D2317" s="389"/>
      <c r="E2317" s="386" t="str">
        <f ca="1">IFERROR(IF(VLOOKUP(C2317,' Disaggregation - Section E '!A$618:J2643,7,0)="","",VLOOKUP(C2317,' Disaggregation - Section E '!A$618:J2643,7,0)*100),"")</f>
        <v/>
      </c>
      <c r="F2317" s="388" t="str">
        <f ca="1">IFERROR(VLOOKUP(C2317,' Disaggregation - Section E '!A$618:J2643,5,0),"")</f>
        <v/>
      </c>
      <c r="G2317" s="387" t="str">
        <f ca="1">IFERROR(IF(VLOOKUP(C2317,' Disaggregation - Section E '!A$618:J2643,6,0)="","",VLOOKUP(C2317,' Disaggregation - Section E '!A$618:J2643,6,0)),"")</f>
        <v/>
      </c>
      <c r="H2317" s="387" t="str">
        <f ca="1">IFERROR(IF(INDEX(' Disaggregation - Section E '!F$618:F2643,MATCH(C2317,' Disaggregation - Section E '!A$618:A2643,0)+1,1)&lt;&gt;0,INDEX(' Disaggregation - Section E '!F$618:F2643,MATCH(C2317,' Disaggregation - Section E '!A$618:A2643,0)+1,1),""),"")</f>
        <v/>
      </c>
      <c r="I2317" s="388" t="str">
        <f ca="1">IFERROR(IF(VLOOKUP(C2317,' Disaggregation - Section E '!A$618:J2643,8,0)=0,"",VLOOKUP(C2317,' Disaggregation - Section E '!A$618:J2643,8,0)),"")</f>
        <v/>
      </c>
      <c r="J2317" s="388" t="str">
        <f ca="1">IFERROR(IF(VLOOKUP(C2317,' Disaggregation - Section E '!A$618:J2643,9,0)="","",VLOOKUP(C2317,' Disaggregation - Section E '!A$618:J2643,9,0)),"")</f>
        <v/>
      </c>
      <c r="K2317" s="384" t="str">
        <f ca="1">IFERROR(VLOOKUP(C2317,' Disaggregation - Section E '!A$618:J2643,3,0),"")</f>
        <v>TCS-1b⁽ᴹ⁾ Percentage of adults (15 and above) on ART among all adults living with HIV at the end of the reporting period</v>
      </c>
      <c r="L2317" s="384"/>
      <c r="M2317" s="384" t="str">
        <f ca="1">IFERROR(IF(VLOOKUP(C2317,' Disaggregation - Section E '!A$618:O1446,15,0)=0,"",VLOOKUP(C2317,' Disaggregation - Section E '!A$618:O1446,15,0)),"")</f>
        <v/>
      </c>
      <c r="N2317" s="388" t="str">
        <f ca="1">IFERROR(IF(VLOOKUP(C2317,' Disaggregation - Section E '!A$618:J2643,10,0)=0,"",VLOOKUP(C2317,' Disaggregation - Section E '!A$618:J2643,10,0)),"")</f>
        <v/>
      </c>
      <c r="O2317" s="384"/>
    </row>
    <row r="2318" spans="1:15" x14ac:dyDescent="0.3">
      <c r="A2318" s="384" t="b">
        <f t="shared" ca="1" si="138"/>
        <v>0</v>
      </c>
      <c r="B2318" s="384"/>
      <c r="C2318" s="393" t="str">
        <f ca="1">IF(COUNTA(O$1493:O2318)=1,"",OFFSET(B2316,-COUNTA(O$1493:O2318)+3,1))</f>
        <v>a16Dm000000LZd7IAG</v>
      </c>
      <c r="D2318" s="389"/>
      <c r="E2318" s="386" t="str">
        <f ca="1">IFERROR(IF(VLOOKUP(C2318,' Disaggregation - Section E '!A$618:J2644,7,0)="","",VLOOKUP(C2318,' Disaggregation - Section E '!A$618:J2644,7,0)*100),"")</f>
        <v/>
      </c>
      <c r="F2318" s="388" t="str">
        <f ca="1">IFERROR(VLOOKUP(C2318,' Disaggregation - Section E '!A$618:J2644,5,0),"")</f>
        <v/>
      </c>
      <c r="G2318" s="387" t="str">
        <f ca="1">IFERROR(IF(VLOOKUP(C2318,' Disaggregation - Section E '!A$618:J2644,6,0)="","",VLOOKUP(C2318,' Disaggregation - Section E '!A$618:J2644,6,0)),"")</f>
        <v/>
      </c>
      <c r="H2318" s="387" t="str">
        <f ca="1">IFERROR(IF(INDEX(' Disaggregation - Section E '!F$618:F2644,MATCH(C2318,' Disaggregation - Section E '!A$618:A2644,0)+1,1)&lt;&gt;0,INDEX(' Disaggregation - Section E '!F$618:F2644,MATCH(C2318,' Disaggregation - Section E '!A$618:A2644,0)+1,1),""),"")</f>
        <v/>
      </c>
      <c r="I2318" s="388" t="str">
        <f ca="1">IFERROR(IF(VLOOKUP(C2318,' Disaggregation - Section E '!A$618:J2644,8,0)=0,"",VLOOKUP(C2318,' Disaggregation - Section E '!A$618:J2644,8,0)),"")</f>
        <v/>
      </c>
      <c r="J2318" s="388" t="str">
        <f ca="1">IFERROR(IF(VLOOKUP(C2318,' Disaggregation - Section E '!A$618:J2644,9,0)="","",VLOOKUP(C2318,' Disaggregation - Section E '!A$618:J2644,9,0)),"")</f>
        <v/>
      </c>
      <c r="K2318" s="384" t="str">
        <f ca="1">IFERROR(VLOOKUP(C2318,' Disaggregation - Section E '!A$618:J2644,3,0),"")</f>
        <v>TCS-1b⁽ᴹ⁾ Percentage of adults (15 and above) on ART among all adults living with HIV at the end of the reporting period</v>
      </c>
      <c r="L2318" s="384"/>
      <c r="M2318" s="384" t="str">
        <f ca="1">IFERROR(IF(VLOOKUP(C2318,' Disaggregation - Section E '!A$618:O1447,15,0)=0,"",VLOOKUP(C2318,' Disaggregation - Section E '!A$618:O1447,15,0)),"")</f>
        <v/>
      </c>
      <c r="N2318" s="388" t="str">
        <f ca="1">IFERROR(IF(VLOOKUP(C2318,' Disaggregation - Section E '!A$618:J2644,10,0)=0,"",VLOOKUP(C2318,' Disaggregation - Section E '!A$618:J2644,10,0)),"")</f>
        <v/>
      </c>
      <c r="O2318" s="384"/>
    </row>
    <row r="2319" spans="1:15" x14ac:dyDescent="0.3">
      <c r="A2319" s="384" t="b">
        <f t="shared" ca="1" si="138"/>
        <v>0</v>
      </c>
      <c r="B2319" s="384"/>
      <c r="C2319" s="393" t="str">
        <f ca="1">IF(COUNTA(O$1493:O2319)=1,"",OFFSET(B2317,-COUNTA(O$1493:O2319)+3,1))</f>
        <v>a16Dm000000LZd8IAG</v>
      </c>
      <c r="D2319" s="389"/>
      <c r="E2319" s="386" t="str">
        <f ca="1">IFERROR(IF(VLOOKUP(C2319,' Disaggregation - Section E '!A$618:J2645,7,0)="","",VLOOKUP(C2319,' Disaggregation - Section E '!A$618:J2645,7,0)*100),"")</f>
        <v/>
      </c>
      <c r="F2319" s="388" t="str">
        <f ca="1">IFERROR(VLOOKUP(C2319,' Disaggregation - Section E '!A$618:J2645,5,0),"")</f>
        <v/>
      </c>
      <c r="G2319" s="387" t="str">
        <f ca="1">IFERROR(IF(VLOOKUP(C2319,' Disaggregation - Section E '!A$618:J2645,6,0)="","",VLOOKUP(C2319,' Disaggregation - Section E '!A$618:J2645,6,0)),"")</f>
        <v/>
      </c>
      <c r="H2319" s="387" t="str">
        <f ca="1">IFERROR(IF(INDEX(' Disaggregation - Section E '!F$618:F2645,MATCH(C2319,' Disaggregation - Section E '!A$618:A2645,0)+1,1)&lt;&gt;0,INDEX(' Disaggregation - Section E '!F$618:F2645,MATCH(C2319,' Disaggregation - Section E '!A$618:A2645,0)+1,1),""),"")</f>
        <v/>
      </c>
      <c r="I2319" s="388" t="str">
        <f ca="1">IFERROR(IF(VLOOKUP(C2319,' Disaggregation - Section E '!A$618:J2645,8,0)=0,"",VLOOKUP(C2319,' Disaggregation - Section E '!A$618:J2645,8,0)),"")</f>
        <v/>
      </c>
      <c r="J2319" s="388" t="str">
        <f ca="1">IFERROR(IF(VLOOKUP(C2319,' Disaggregation - Section E '!A$618:J2645,9,0)="","",VLOOKUP(C2319,' Disaggregation - Section E '!A$618:J2645,9,0)),"")</f>
        <v/>
      </c>
      <c r="K2319" s="384" t="str">
        <f ca="1">IFERROR(VLOOKUP(C2319,' Disaggregation - Section E '!A$618:J2645,3,0),"")</f>
        <v>TCS-1b⁽ᴹ⁾ Percentage of adults (15 and above) on ART among all adults living with HIV at the end of the reporting period</v>
      </c>
      <c r="L2319" s="384"/>
      <c r="M2319" s="384" t="str">
        <f ca="1">IFERROR(IF(VLOOKUP(C2319,' Disaggregation - Section E '!A$618:O1448,15,0)=0,"",VLOOKUP(C2319,' Disaggregation - Section E '!A$618:O1448,15,0)),"")</f>
        <v/>
      </c>
      <c r="N2319" s="388" t="str">
        <f ca="1">IFERROR(IF(VLOOKUP(C2319,' Disaggregation - Section E '!A$618:J2645,10,0)=0,"",VLOOKUP(C2319,' Disaggregation - Section E '!A$618:J2645,10,0)),"")</f>
        <v/>
      </c>
      <c r="O2319" s="384"/>
    </row>
    <row r="2320" spans="1:15" x14ac:dyDescent="0.3">
      <c r="A2320" s="384" t="b">
        <f t="shared" ca="1" si="138"/>
        <v>0</v>
      </c>
      <c r="B2320" s="384"/>
      <c r="C2320" s="393" t="str">
        <f ca="1">IF(COUNTA(O$1493:O2320)=1,"",OFFSET(B2318,-COUNTA(O$1493:O2320)+3,1))</f>
        <v>a16Dm000000LZd9IAG</v>
      </c>
      <c r="D2320" s="389"/>
      <c r="E2320" s="386" t="str">
        <f ca="1">IFERROR(IF(VLOOKUP(C2320,' Disaggregation - Section E '!A$618:J2646,7,0)="","",VLOOKUP(C2320,' Disaggregation - Section E '!A$618:J2646,7,0)*100),"")</f>
        <v/>
      </c>
      <c r="F2320" s="388" t="str">
        <f ca="1">IFERROR(VLOOKUP(C2320,' Disaggregation - Section E '!A$618:J2646,5,0),"")</f>
        <v/>
      </c>
      <c r="G2320" s="387" t="str">
        <f ca="1">IFERROR(IF(VLOOKUP(C2320,' Disaggregation - Section E '!A$618:J2646,6,0)="","",VLOOKUP(C2320,' Disaggregation - Section E '!A$618:J2646,6,0)),"")</f>
        <v/>
      </c>
      <c r="H2320" s="387" t="str">
        <f ca="1">IFERROR(IF(INDEX(' Disaggregation - Section E '!F$618:F2646,MATCH(C2320,' Disaggregation - Section E '!A$618:A2646,0)+1,1)&lt;&gt;0,INDEX(' Disaggregation - Section E '!F$618:F2646,MATCH(C2320,' Disaggregation - Section E '!A$618:A2646,0)+1,1),""),"")</f>
        <v/>
      </c>
      <c r="I2320" s="388" t="str">
        <f ca="1">IFERROR(IF(VLOOKUP(C2320,' Disaggregation - Section E '!A$618:J2646,8,0)=0,"",VLOOKUP(C2320,' Disaggregation - Section E '!A$618:J2646,8,0)),"")</f>
        <v/>
      </c>
      <c r="J2320" s="388" t="str">
        <f ca="1">IFERROR(IF(VLOOKUP(C2320,' Disaggregation - Section E '!A$618:J2646,9,0)="","",VLOOKUP(C2320,' Disaggregation - Section E '!A$618:J2646,9,0)),"")</f>
        <v/>
      </c>
      <c r="K2320" s="384" t="str">
        <f ca="1">IFERROR(VLOOKUP(C2320,' Disaggregation - Section E '!A$618:J2646,3,0),"")</f>
        <v>TCS-1b⁽ᴹ⁾ Percentage of adults (15 and above) on ART among all adults living with HIV at the end of the reporting period</v>
      </c>
      <c r="L2320" s="384"/>
      <c r="M2320" s="384" t="str">
        <f ca="1">IFERROR(IF(VLOOKUP(C2320,' Disaggregation - Section E '!A$618:O1449,15,0)=0,"",VLOOKUP(C2320,' Disaggregation - Section E '!A$618:O1449,15,0)),"")</f>
        <v/>
      </c>
      <c r="N2320" s="388" t="str">
        <f ca="1">IFERROR(IF(VLOOKUP(C2320,' Disaggregation - Section E '!A$618:J2646,10,0)=0,"",VLOOKUP(C2320,' Disaggregation - Section E '!A$618:J2646,10,0)),"")</f>
        <v/>
      </c>
      <c r="O2320" s="384"/>
    </row>
    <row r="2321" spans="1:15" x14ac:dyDescent="0.3">
      <c r="A2321" s="384" t="b">
        <f t="shared" ca="1" si="138"/>
        <v>0</v>
      </c>
      <c r="B2321" s="384"/>
      <c r="C2321" s="393" t="str">
        <f ca="1">IF(COUNTA(O$1493:O2321)=1,"",OFFSET(B2319,-COUNTA(O$1493:O2321)+3,1))</f>
        <v>a16Dm000000LZdAIAW</v>
      </c>
      <c r="D2321" s="389"/>
      <c r="E2321" s="386" t="str">
        <f ca="1">IFERROR(IF(VLOOKUP(C2321,' Disaggregation - Section E '!A$618:J2647,7,0)="","",VLOOKUP(C2321,' Disaggregation - Section E '!A$618:J2647,7,0)*100),"")</f>
        <v/>
      </c>
      <c r="F2321" s="388" t="str">
        <f ca="1">IFERROR(VLOOKUP(C2321,' Disaggregation - Section E '!A$618:J2647,5,0),"")</f>
        <v/>
      </c>
      <c r="G2321" s="387" t="str">
        <f ca="1">IFERROR(IF(VLOOKUP(C2321,' Disaggregation - Section E '!A$618:J2647,6,0)="","",VLOOKUP(C2321,' Disaggregation - Section E '!A$618:J2647,6,0)),"")</f>
        <v/>
      </c>
      <c r="H2321" s="387" t="str">
        <f ca="1">IFERROR(IF(INDEX(' Disaggregation - Section E '!F$618:F2647,MATCH(C2321,' Disaggregation - Section E '!A$618:A2647,0)+1,1)&lt;&gt;0,INDEX(' Disaggregation - Section E '!F$618:F2647,MATCH(C2321,' Disaggregation - Section E '!A$618:A2647,0)+1,1),""),"")</f>
        <v/>
      </c>
      <c r="I2321" s="388" t="str">
        <f ca="1">IFERROR(IF(VLOOKUP(C2321,' Disaggregation - Section E '!A$618:J2647,8,0)=0,"",VLOOKUP(C2321,' Disaggregation - Section E '!A$618:J2647,8,0)),"")</f>
        <v/>
      </c>
      <c r="J2321" s="388" t="str">
        <f ca="1">IFERROR(IF(VLOOKUP(C2321,' Disaggregation - Section E '!A$618:J2647,9,0)="","",VLOOKUP(C2321,' Disaggregation - Section E '!A$618:J2647,9,0)),"")</f>
        <v/>
      </c>
      <c r="K2321" s="384" t="str">
        <f ca="1">IFERROR(VLOOKUP(C2321,' Disaggregation - Section E '!A$618:J2647,3,0),"")</f>
        <v>TCS-1b⁽ᴹ⁾ Percentage of adults (15 and above) on ART among all adults living with HIV at the end of the reporting period</v>
      </c>
      <c r="L2321" s="384"/>
      <c r="M2321" s="384" t="str">
        <f ca="1">IFERROR(IF(VLOOKUP(C2321,' Disaggregation - Section E '!A$618:O1450,15,0)=0,"",VLOOKUP(C2321,' Disaggregation - Section E '!A$618:O1450,15,0)),"")</f>
        <v/>
      </c>
      <c r="N2321" s="388" t="str">
        <f ca="1">IFERROR(IF(VLOOKUP(C2321,' Disaggregation - Section E '!A$618:J2647,10,0)=0,"",VLOOKUP(C2321,' Disaggregation - Section E '!A$618:J2647,10,0)),"")</f>
        <v/>
      </c>
      <c r="O2321" s="384"/>
    </row>
    <row r="2322" spans="1:15" x14ac:dyDescent="0.3">
      <c r="A2322" s="384" t="b">
        <f t="shared" ca="1" si="138"/>
        <v>0</v>
      </c>
      <c r="B2322" s="384"/>
      <c r="C2322" s="393" t="str">
        <f ca="1">IF(COUNTA(O$1493:O2322)=1,"",OFFSET(B2320,-COUNTA(O$1493:O2322)+3,1))</f>
        <v>a16Dm000000LZdBIAW</v>
      </c>
      <c r="D2322" s="389"/>
      <c r="E2322" s="386" t="str">
        <f ca="1">IFERROR(IF(VLOOKUP(C2322,' Disaggregation - Section E '!A$618:J2648,7,0)="","",VLOOKUP(C2322,' Disaggregation - Section E '!A$618:J2648,7,0)*100),"")</f>
        <v/>
      </c>
      <c r="F2322" s="388" t="str">
        <f ca="1">IFERROR(VLOOKUP(C2322,' Disaggregation - Section E '!A$618:J2648,5,0),"")</f>
        <v/>
      </c>
      <c r="G2322" s="387" t="str">
        <f ca="1">IFERROR(IF(VLOOKUP(C2322,' Disaggregation - Section E '!A$618:J2648,6,0)="","",VLOOKUP(C2322,' Disaggregation - Section E '!A$618:J2648,6,0)),"")</f>
        <v/>
      </c>
      <c r="H2322" s="387" t="str">
        <f ca="1">IFERROR(IF(INDEX(' Disaggregation - Section E '!F$618:F2648,MATCH(C2322,' Disaggregation - Section E '!A$618:A2648,0)+1,1)&lt;&gt;0,INDEX(' Disaggregation - Section E '!F$618:F2648,MATCH(C2322,' Disaggregation - Section E '!A$618:A2648,0)+1,1),""),"")</f>
        <v/>
      </c>
      <c r="I2322" s="388" t="str">
        <f ca="1">IFERROR(IF(VLOOKUP(C2322,' Disaggregation - Section E '!A$618:J2648,8,0)=0,"",VLOOKUP(C2322,' Disaggregation - Section E '!A$618:J2648,8,0)),"")</f>
        <v/>
      </c>
      <c r="J2322" s="388" t="str">
        <f ca="1">IFERROR(IF(VLOOKUP(C2322,' Disaggregation - Section E '!A$618:J2648,9,0)="","",VLOOKUP(C2322,' Disaggregation - Section E '!A$618:J2648,9,0)),"")</f>
        <v/>
      </c>
      <c r="K2322" s="384" t="str">
        <f ca="1">IFERROR(VLOOKUP(C2322,' Disaggregation - Section E '!A$618:J2648,3,0),"")</f>
        <v>TCS-1b⁽ᴹ⁾ Percentage of adults (15 and above) on ART among all adults living with HIV at the end of the reporting period</v>
      </c>
      <c r="L2322" s="384"/>
      <c r="M2322" s="384" t="str">
        <f ca="1">IFERROR(IF(VLOOKUP(C2322,' Disaggregation - Section E '!A$618:O1451,15,0)=0,"",VLOOKUP(C2322,' Disaggregation - Section E '!A$618:O1451,15,0)),"")</f>
        <v/>
      </c>
      <c r="N2322" s="388" t="str">
        <f ca="1">IFERROR(IF(VLOOKUP(C2322,' Disaggregation - Section E '!A$618:J2648,10,0)=0,"",VLOOKUP(C2322,' Disaggregation - Section E '!A$618:J2648,10,0)),"")</f>
        <v/>
      </c>
      <c r="O2322" s="384"/>
    </row>
    <row r="2323" spans="1:15" x14ac:dyDescent="0.3">
      <c r="A2323" s="384" t="b">
        <f t="shared" ca="1" si="138"/>
        <v>0</v>
      </c>
      <c r="B2323" s="384"/>
      <c r="C2323" s="393" t="str">
        <f ca="1">IF(COUNTA(O$1493:O2323)=1,"",OFFSET(B2321,-COUNTA(O$1493:O2323)+3,1))</f>
        <v>a16Dm000000LZdCIAW</v>
      </c>
      <c r="D2323" s="389"/>
      <c r="E2323" s="386" t="str">
        <f ca="1">IFERROR(IF(VLOOKUP(C2323,' Disaggregation - Section E '!A$618:J2649,7,0)="","",VLOOKUP(C2323,' Disaggregation - Section E '!A$618:J2649,7,0)*100),"")</f>
        <v/>
      </c>
      <c r="F2323" s="388" t="str">
        <f ca="1">IFERROR(VLOOKUP(C2323,' Disaggregation - Section E '!A$618:J2649,5,0),"")</f>
        <v/>
      </c>
      <c r="G2323" s="387" t="str">
        <f ca="1">IFERROR(IF(VLOOKUP(C2323,' Disaggregation - Section E '!A$618:J2649,6,0)="","",VLOOKUP(C2323,' Disaggregation - Section E '!A$618:J2649,6,0)),"")</f>
        <v/>
      </c>
      <c r="H2323" s="387" t="str">
        <f ca="1">IFERROR(IF(INDEX(' Disaggregation - Section E '!F$618:F2649,MATCH(C2323,' Disaggregation - Section E '!A$618:A2649,0)+1,1)&lt;&gt;0,INDEX(' Disaggregation - Section E '!F$618:F2649,MATCH(C2323,' Disaggregation - Section E '!A$618:A2649,0)+1,1),""),"")</f>
        <v/>
      </c>
      <c r="I2323" s="388" t="str">
        <f ca="1">IFERROR(IF(VLOOKUP(C2323,' Disaggregation - Section E '!A$618:J2649,8,0)=0,"",VLOOKUP(C2323,' Disaggregation - Section E '!A$618:J2649,8,0)),"")</f>
        <v/>
      </c>
      <c r="J2323" s="388" t="str">
        <f ca="1">IFERROR(IF(VLOOKUP(C2323,' Disaggregation - Section E '!A$618:J2649,9,0)="","",VLOOKUP(C2323,' Disaggregation - Section E '!A$618:J2649,9,0)),"")</f>
        <v/>
      </c>
      <c r="K2323" s="384" t="str">
        <f ca="1">IFERROR(VLOOKUP(C2323,' Disaggregation - Section E '!A$618:J2649,3,0),"")</f>
        <v>TCS-1b⁽ᴹ⁾ Percentage of adults (15 and above) on ART among all adults living with HIV at the end of the reporting period</v>
      </c>
      <c r="L2323" s="384"/>
      <c r="M2323" s="384" t="str">
        <f ca="1">IFERROR(IF(VLOOKUP(C2323,' Disaggregation - Section E '!A$618:O1452,15,0)=0,"",VLOOKUP(C2323,' Disaggregation - Section E '!A$618:O1452,15,0)),"")</f>
        <v/>
      </c>
      <c r="N2323" s="388" t="str">
        <f ca="1">IFERROR(IF(VLOOKUP(C2323,' Disaggregation - Section E '!A$618:J2649,10,0)=0,"",VLOOKUP(C2323,' Disaggregation - Section E '!A$618:J2649,10,0)),"")</f>
        <v/>
      </c>
      <c r="O2323" s="384"/>
    </row>
    <row r="2324" spans="1:15" x14ac:dyDescent="0.3">
      <c r="A2324" s="384" t="b">
        <f t="shared" ca="1" si="138"/>
        <v>0</v>
      </c>
      <c r="B2324" s="384"/>
      <c r="C2324" s="393" t="str">
        <f ca="1">IF(COUNTA(O$1493:O2324)=1,"",OFFSET(B2322,-COUNTA(O$1493:O2324)+3,1))</f>
        <v>a16Dm000000LZdDIAW</v>
      </c>
      <c r="D2324" s="389"/>
      <c r="E2324" s="386" t="str">
        <f ca="1">IFERROR(IF(VLOOKUP(C2324,' Disaggregation - Section E '!A$618:J2650,7,0)="","",VLOOKUP(C2324,' Disaggregation - Section E '!A$618:J2650,7,0)*100),"")</f>
        <v/>
      </c>
      <c r="F2324" s="388" t="str">
        <f ca="1">IFERROR(VLOOKUP(C2324,' Disaggregation - Section E '!A$618:J2650,5,0),"")</f>
        <v/>
      </c>
      <c r="G2324" s="387" t="str">
        <f ca="1">IFERROR(IF(VLOOKUP(C2324,' Disaggregation - Section E '!A$618:J2650,6,0)="","",VLOOKUP(C2324,' Disaggregation - Section E '!A$618:J2650,6,0)),"")</f>
        <v/>
      </c>
      <c r="H2324" s="387" t="str">
        <f ca="1">IFERROR(IF(INDEX(' Disaggregation - Section E '!F$618:F2650,MATCH(C2324,' Disaggregation - Section E '!A$618:A2650,0)+1,1)&lt;&gt;0,INDEX(' Disaggregation - Section E '!F$618:F2650,MATCH(C2324,' Disaggregation - Section E '!A$618:A2650,0)+1,1),""),"")</f>
        <v/>
      </c>
      <c r="I2324" s="388" t="str">
        <f ca="1">IFERROR(IF(VLOOKUP(C2324,' Disaggregation - Section E '!A$618:J2650,8,0)=0,"",VLOOKUP(C2324,' Disaggregation - Section E '!A$618:J2650,8,0)),"")</f>
        <v/>
      </c>
      <c r="J2324" s="388" t="str">
        <f ca="1">IFERROR(IF(VLOOKUP(C2324,' Disaggregation - Section E '!A$618:J2650,9,0)="","",VLOOKUP(C2324,' Disaggregation - Section E '!A$618:J2650,9,0)),"")</f>
        <v/>
      </c>
      <c r="K2324" s="384" t="str">
        <f ca="1">IFERROR(VLOOKUP(C2324,' Disaggregation - Section E '!A$618:J2650,3,0),"")</f>
        <v>TCS-1b⁽ᴹ⁾ Percentage of adults (15 and above) on ART among all adults living with HIV at the end of the reporting period</v>
      </c>
      <c r="L2324" s="384"/>
      <c r="M2324" s="384" t="str">
        <f ca="1">IFERROR(IF(VLOOKUP(C2324,' Disaggregation - Section E '!A$618:O1453,15,0)=0,"",VLOOKUP(C2324,' Disaggregation - Section E '!A$618:O1453,15,0)),"")</f>
        <v/>
      </c>
      <c r="N2324" s="388" t="str">
        <f ca="1">IFERROR(IF(VLOOKUP(C2324,' Disaggregation - Section E '!A$618:J2650,10,0)=0,"",VLOOKUP(C2324,' Disaggregation - Section E '!A$618:J2650,10,0)),"")</f>
        <v/>
      </c>
      <c r="O2324" s="384"/>
    </row>
    <row r="2325" spans="1:15" x14ac:dyDescent="0.3">
      <c r="A2325" s="384" t="b">
        <f t="shared" ca="1" si="138"/>
        <v>0</v>
      </c>
      <c r="B2325" s="384"/>
      <c r="C2325" s="393" t="str">
        <f ca="1">IF(COUNTA(O$1493:O2325)=1,"",OFFSET(B2323,-COUNTA(O$1493:O2325)+3,1))</f>
        <v>a16Dm000000LZdEIAW</v>
      </c>
      <c r="D2325" s="389"/>
      <c r="E2325" s="386" t="str">
        <f ca="1">IFERROR(IF(VLOOKUP(C2325,' Disaggregation - Section E '!A$618:J2651,7,0)="","",VLOOKUP(C2325,' Disaggregation - Section E '!A$618:J2651,7,0)*100),"")</f>
        <v/>
      </c>
      <c r="F2325" s="388" t="str">
        <f ca="1">IFERROR(VLOOKUP(C2325,' Disaggregation - Section E '!A$618:J2651,5,0),"")</f>
        <v/>
      </c>
      <c r="G2325" s="387" t="str">
        <f ca="1">IFERROR(IF(VLOOKUP(C2325,' Disaggregation - Section E '!A$618:J2651,6,0)="","",VLOOKUP(C2325,' Disaggregation - Section E '!A$618:J2651,6,0)),"")</f>
        <v/>
      </c>
      <c r="H2325" s="387" t="str">
        <f ca="1">IFERROR(IF(INDEX(' Disaggregation - Section E '!F$618:F2651,MATCH(C2325,' Disaggregation - Section E '!A$618:A2651,0)+1,1)&lt;&gt;0,INDEX(' Disaggregation - Section E '!F$618:F2651,MATCH(C2325,' Disaggregation - Section E '!A$618:A2651,0)+1,1),""),"")</f>
        <v/>
      </c>
      <c r="I2325" s="388" t="str">
        <f ca="1">IFERROR(IF(VLOOKUP(C2325,' Disaggregation - Section E '!A$618:J2651,8,0)=0,"",VLOOKUP(C2325,' Disaggregation - Section E '!A$618:J2651,8,0)),"")</f>
        <v/>
      </c>
      <c r="J2325" s="388" t="str">
        <f ca="1">IFERROR(IF(VLOOKUP(C2325,' Disaggregation - Section E '!A$618:J2651,9,0)="","",VLOOKUP(C2325,' Disaggregation - Section E '!A$618:J2651,9,0)),"")</f>
        <v/>
      </c>
      <c r="K2325" s="384" t="str">
        <f ca="1">IFERROR(VLOOKUP(C2325,' Disaggregation - Section E '!A$618:J2651,3,0),"")</f>
        <v>TCS-1b⁽ᴹ⁾ Percentage of adults (15 and above) on ART among all adults living with HIV at the end of the reporting period</v>
      </c>
      <c r="L2325" s="384"/>
      <c r="M2325" s="384" t="str">
        <f ca="1">IFERROR(IF(VLOOKUP(C2325,' Disaggregation - Section E '!A$618:O1454,15,0)=0,"",VLOOKUP(C2325,' Disaggregation - Section E '!A$618:O1454,15,0)),"")</f>
        <v/>
      </c>
      <c r="N2325" s="388" t="str">
        <f ca="1">IFERROR(IF(VLOOKUP(C2325,' Disaggregation - Section E '!A$618:J2651,10,0)=0,"",VLOOKUP(C2325,' Disaggregation - Section E '!A$618:J2651,10,0)),"")</f>
        <v/>
      </c>
      <c r="O2325" s="384"/>
    </row>
    <row r="2326" spans="1:15" x14ac:dyDescent="0.3">
      <c r="A2326" s="384" t="b">
        <f t="shared" ca="1" si="138"/>
        <v>0</v>
      </c>
      <c r="B2326" s="384"/>
      <c r="C2326" s="393" t="str">
        <f ca="1">IF(COUNTA(O$1493:O2326)=1,"",OFFSET(B2324,-COUNTA(O$1493:O2326)+3,1))</f>
        <v>a16Dm000000LZdFIAW</v>
      </c>
      <c r="D2326" s="389"/>
      <c r="E2326" s="386" t="str">
        <f ca="1">IFERROR(IF(VLOOKUP(C2326,' Disaggregation - Section E '!A$618:J2652,7,0)="","",VLOOKUP(C2326,' Disaggregation - Section E '!A$618:J2652,7,0)*100),"")</f>
        <v/>
      </c>
      <c r="F2326" s="388" t="str">
        <f ca="1">IFERROR(VLOOKUP(C2326,' Disaggregation - Section E '!A$618:J2652,5,0),"")</f>
        <v/>
      </c>
      <c r="G2326" s="387" t="str">
        <f ca="1">IFERROR(IF(VLOOKUP(C2326,' Disaggregation - Section E '!A$618:J2652,6,0)="","",VLOOKUP(C2326,' Disaggregation - Section E '!A$618:J2652,6,0)),"")</f>
        <v/>
      </c>
      <c r="H2326" s="387" t="str">
        <f ca="1">IFERROR(IF(INDEX(' Disaggregation - Section E '!F$618:F2652,MATCH(C2326,' Disaggregation - Section E '!A$618:A2652,0)+1,1)&lt;&gt;0,INDEX(' Disaggregation - Section E '!F$618:F2652,MATCH(C2326,' Disaggregation - Section E '!A$618:A2652,0)+1,1),""),"")</f>
        <v/>
      </c>
      <c r="I2326" s="388" t="str">
        <f ca="1">IFERROR(IF(VLOOKUP(C2326,' Disaggregation - Section E '!A$618:J2652,8,0)=0,"",VLOOKUP(C2326,' Disaggregation - Section E '!A$618:J2652,8,0)),"")</f>
        <v/>
      </c>
      <c r="J2326" s="388" t="str">
        <f ca="1">IFERROR(IF(VLOOKUP(C2326,' Disaggregation - Section E '!A$618:J2652,9,0)="","",VLOOKUP(C2326,' Disaggregation - Section E '!A$618:J2652,9,0)),"")</f>
        <v/>
      </c>
      <c r="K2326" s="384" t="str">
        <f ca="1">IFERROR(VLOOKUP(C2326,' Disaggregation - Section E '!A$618:J2652,3,0),"")</f>
        <v>TCS-1b⁽ᴹ⁾ Percentage of adults (15 and above) on ART among all adults living with HIV at the end of the reporting period</v>
      </c>
      <c r="L2326" s="384"/>
      <c r="M2326" s="384" t="str">
        <f ca="1">IFERROR(IF(VLOOKUP(C2326,' Disaggregation - Section E '!A$618:O1455,15,0)=0,"",VLOOKUP(C2326,' Disaggregation - Section E '!A$618:O1455,15,0)),"")</f>
        <v/>
      </c>
      <c r="N2326" s="388" t="str">
        <f ca="1">IFERROR(IF(VLOOKUP(C2326,' Disaggregation - Section E '!A$618:J2652,10,0)=0,"",VLOOKUP(C2326,' Disaggregation - Section E '!A$618:J2652,10,0)),"")</f>
        <v/>
      </c>
      <c r="O2326" s="384"/>
    </row>
    <row r="2327" spans="1:15" x14ac:dyDescent="0.3">
      <c r="A2327" s="384" t="b">
        <f t="shared" ca="1" si="138"/>
        <v>0</v>
      </c>
      <c r="B2327" s="384"/>
      <c r="C2327" s="393" t="str">
        <f ca="1">IF(COUNTA(O$1493:O2327)=1,"",OFFSET(B2325,-COUNTA(O$1493:O2327)+3,1))</f>
        <v>a16Dm000000LZdGIAW</v>
      </c>
      <c r="D2327" s="389"/>
      <c r="E2327" s="386" t="str">
        <f ca="1">IFERROR(IF(VLOOKUP(C2327,' Disaggregation - Section E '!A$618:J2653,7,0)="","",VLOOKUP(C2327,' Disaggregation - Section E '!A$618:J2653,7,0)*100),"")</f>
        <v/>
      </c>
      <c r="F2327" s="388" t="str">
        <f ca="1">IFERROR(VLOOKUP(C2327,' Disaggregation - Section E '!A$618:J2653,5,0),"")</f>
        <v/>
      </c>
      <c r="G2327" s="387" t="str">
        <f ca="1">IFERROR(IF(VLOOKUP(C2327,' Disaggregation - Section E '!A$618:J2653,6,0)="","",VLOOKUP(C2327,' Disaggregation - Section E '!A$618:J2653,6,0)),"")</f>
        <v/>
      </c>
      <c r="H2327" s="387" t="str">
        <f ca="1">IFERROR(IF(INDEX(' Disaggregation - Section E '!F$618:F2653,MATCH(C2327,' Disaggregation - Section E '!A$618:A2653,0)+1,1)&lt;&gt;0,INDEX(' Disaggregation - Section E '!F$618:F2653,MATCH(C2327,' Disaggregation - Section E '!A$618:A2653,0)+1,1),""),"")</f>
        <v/>
      </c>
      <c r="I2327" s="388" t="str">
        <f ca="1">IFERROR(IF(VLOOKUP(C2327,' Disaggregation - Section E '!A$618:J2653,8,0)=0,"",VLOOKUP(C2327,' Disaggregation - Section E '!A$618:J2653,8,0)),"")</f>
        <v/>
      </c>
      <c r="J2327" s="388" t="str">
        <f ca="1">IFERROR(IF(VLOOKUP(C2327,' Disaggregation - Section E '!A$618:J2653,9,0)="","",VLOOKUP(C2327,' Disaggregation - Section E '!A$618:J2653,9,0)),"")</f>
        <v/>
      </c>
      <c r="K2327" s="384" t="str">
        <f ca="1">IFERROR(VLOOKUP(C2327,' Disaggregation - Section E '!A$618:J2653,3,0),"")</f>
        <v>TCS-1b⁽ᴹ⁾ Percentage of adults (15 and above) on ART among all adults living with HIV at the end of the reporting period</v>
      </c>
      <c r="L2327" s="384"/>
      <c r="M2327" s="384" t="str">
        <f ca="1">IFERROR(IF(VLOOKUP(C2327,' Disaggregation - Section E '!A$618:O1456,15,0)=0,"",VLOOKUP(C2327,' Disaggregation - Section E '!A$618:O1456,15,0)),"")</f>
        <v/>
      </c>
      <c r="N2327" s="388" t="str">
        <f ca="1">IFERROR(IF(VLOOKUP(C2327,' Disaggregation - Section E '!A$618:J2653,10,0)=0,"",VLOOKUP(C2327,' Disaggregation - Section E '!A$618:J2653,10,0)),"")</f>
        <v/>
      </c>
      <c r="O2327" s="384"/>
    </row>
    <row r="2328" spans="1:15" x14ac:dyDescent="0.3">
      <c r="A2328" s="384" t="b">
        <f t="shared" ca="1" si="138"/>
        <v>0</v>
      </c>
      <c r="B2328" s="384"/>
      <c r="C2328" s="393" t="str">
        <f ca="1">IF(COUNTA(O$1493:O2328)=1,"",OFFSET(B2326,-COUNTA(O$1493:O2328)+3,1))</f>
        <v>a16Dm000000LZdHIAW</v>
      </c>
      <c r="D2328" s="389"/>
      <c r="E2328" s="386" t="str">
        <f ca="1">IFERROR(IF(VLOOKUP(C2328,' Disaggregation - Section E '!A$618:J2654,7,0)="","",VLOOKUP(C2328,' Disaggregation - Section E '!A$618:J2654,7,0)*100),"")</f>
        <v/>
      </c>
      <c r="F2328" s="388" t="str">
        <f ca="1">IFERROR(VLOOKUP(C2328,' Disaggregation - Section E '!A$618:J2654,5,0),"")</f>
        <v/>
      </c>
      <c r="G2328" s="387" t="str">
        <f ca="1">IFERROR(IF(VLOOKUP(C2328,' Disaggregation - Section E '!A$618:J2654,6,0)="","",VLOOKUP(C2328,' Disaggregation - Section E '!A$618:J2654,6,0)),"")</f>
        <v/>
      </c>
      <c r="H2328" s="387" t="str">
        <f ca="1">IFERROR(IF(INDEX(' Disaggregation - Section E '!F$618:F2654,MATCH(C2328,' Disaggregation - Section E '!A$618:A2654,0)+1,1)&lt;&gt;0,INDEX(' Disaggregation - Section E '!F$618:F2654,MATCH(C2328,' Disaggregation - Section E '!A$618:A2654,0)+1,1),""),"")</f>
        <v/>
      </c>
      <c r="I2328" s="388" t="str">
        <f ca="1">IFERROR(IF(VLOOKUP(C2328,' Disaggregation - Section E '!A$618:J2654,8,0)=0,"",VLOOKUP(C2328,' Disaggregation - Section E '!A$618:J2654,8,0)),"")</f>
        <v/>
      </c>
      <c r="J2328" s="388" t="str">
        <f ca="1">IFERROR(IF(VLOOKUP(C2328,' Disaggregation - Section E '!A$618:J2654,9,0)="","",VLOOKUP(C2328,' Disaggregation - Section E '!A$618:J2654,9,0)),"")</f>
        <v/>
      </c>
      <c r="K2328" s="384" t="str">
        <f ca="1">IFERROR(VLOOKUP(C2328,' Disaggregation - Section E '!A$618:J2654,3,0),"")</f>
        <v>TCS-1b⁽ᴹ⁾ Percentage of adults (15 and above) on ART among all adults living with HIV at the end of the reporting period</v>
      </c>
      <c r="L2328" s="384"/>
      <c r="M2328" s="384" t="str">
        <f ca="1">IFERROR(IF(VLOOKUP(C2328,' Disaggregation - Section E '!A$618:O1457,15,0)=0,"",VLOOKUP(C2328,' Disaggregation - Section E '!A$618:O1457,15,0)),"")</f>
        <v/>
      </c>
      <c r="N2328" s="388" t="str">
        <f ca="1">IFERROR(IF(VLOOKUP(C2328,' Disaggregation - Section E '!A$618:J2654,10,0)=0,"",VLOOKUP(C2328,' Disaggregation - Section E '!A$618:J2654,10,0)),"")</f>
        <v/>
      </c>
      <c r="O2328" s="384"/>
    </row>
    <row r="2329" spans="1:15" x14ac:dyDescent="0.3">
      <c r="A2329" s="384" t="b">
        <f t="shared" ca="1" si="138"/>
        <v>0</v>
      </c>
      <c r="B2329" s="384"/>
      <c r="C2329" s="393" t="str">
        <f ca="1">IF(COUNTA(O$1493:O2329)=1,"",OFFSET(B2327,-COUNTA(O$1493:O2329)+3,1))</f>
        <v>a16Dm000000LZdIIAW</v>
      </c>
      <c r="D2329" s="389"/>
      <c r="E2329" s="386" t="str">
        <f ca="1">IFERROR(IF(VLOOKUP(C2329,' Disaggregation - Section E '!A$618:J2655,7,0)="","",VLOOKUP(C2329,' Disaggregation - Section E '!A$618:J2655,7,0)*100),"")</f>
        <v/>
      </c>
      <c r="F2329" s="388" t="str">
        <f ca="1">IFERROR(VLOOKUP(C2329,' Disaggregation - Section E '!A$618:J2655,5,0),"")</f>
        <v/>
      </c>
      <c r="G2329" s="387" t="str">
        <f ca="1">IFERROR(IF(VLOOKUP(C2329,' Disaggregation - Section E '!A$618:J2655,6,0)="","",VLOOKUP(C2329,' Disaggregation - Section E '!A$618:J2655,6,0)),"")</f>
        <v/>
      </c>
      <c r="H2329" s="387" t="str">
        <f ca="1">IFERROR(IF(INDEX(' Disaggregation - Section E '!F$618:F2655,MATCH(C2329,' Disaggregation - Section E '!A$618:A2655,0)+1,1)&lt;&gt;0,INDEX(' Disaggregation - Section E '!F$618:F2655,MATCH(C2329,' Disaggregation - Section E '!A$618:A2655,0)+1,1),""),"")</f>
        <v/>
      </c>
      <c r="I2329" s="388" t="str">
        <f ca="1">IFERROR(IF(VLOOKUP(C2329,' Disaggregation - Section E '!A$618:J2655,8,0)=0,"",VLOOKUP(C2329,' Disaggregation - Section E '!A$618:J2655,8,0)),"")</f>
        <v/>
      </c>
      <c r="J2329" s="388" t="str">
        <f ca="1">IFERROR(IF(VLOOKUP(C2329,' Disaggregation - Section E '!A$618:J2655,9,0)="","",VLOOKUP(C2329,' Disaggregation - Section E '!A$618:J2655,9,0)),"")</f>
        <v/>
      </c>
      <c r="K2329" s="384" t="str">
        <f ca="1">IFERROR(VLOOKUP(C2329,' Disaggregation - Section E '!A$618:J2655,3,0),"")</f>
        <v>TCS-1b⁽ᴹ⁾ Percentage of adults (15 and above) on ART among all adults living with HIV at the end of the reporting period</v>
      </c>
      <c r="L2329" s="384"/>
      <c r="M2329" s="384" t="str">
        <f ca="1">IFERROR(IF(VLOOKUP(C2329,' Disaggregation - Section E '!A$618:O1458,15,0)=0,"",VLOOKUP(C2329,' Disaggregation - Section E '!A$618:O1458,15,0)),"")</f>
        <v/>
      </c>
      <c r="N2329" s="388" t="str">
        <f ca="1">IFERROR(IF(VLOOKUP(C2329,' Disaggregation - Section E '!A$618:J2655,10,0)=0,"",VLOOKUP(C2329,' Disaggregation - Section E '!A$618:J2655,10,0)),"")</f>
        <v/>
      </c>
      <c r="O2329" s="384"/>
    </row>
    <row r="2330" spans="1:15" x14ac:dyDescent="0.3">
      <c r="A2330" s="384" t="b">
        <f t="shared" ca="1" si="138"/>
        <v>0</v>
      </c>
      <c r="B2330" s="384"/>
      <c r="C2330" s="393" t="str">
        <f ca="1">IF(COUNTA(O$1493:O2330)=1,"",OFFSET(B2328,-COUNTA(O$1493:O2330)+3,1))</f>
        <v>a16Dm000000LZdJIAW</v>
      </c>
      <c r="D2330" s="389"/>
      <c r="E2330" s="386" t="str">
        <f ca="1">IFERROR(IF(VLOOKUP(C2330,' Disaggregation - Section E '!A$618:J2656,7,0)="","",VLOOKUP(C2330,' Disaggregation - Section E '!A$618:J2656,7,0)*100),"")</f>
        <v/>
      </c>
      <c r="F2330" s="388" t="str">
        <f ca="1">IFERROR(VLOOKUP(C2330,' Disaggregation - Section E '!A$618:J2656,5,0),"")</f>
        <v/>
      </c>
      <c r="G2330" s="387" t="str">
        <f ca="1">IFERROR(IF(VLOOKUP(C2330,' Disaggregation - Section E '!A$618:J2656,6,0)="","",VLOOKUP(C2330,' Disaggregation - Section E '!A$618:J2656,6,0)),"")</f>
        <v/>
      </c>
      <c r="H2330" s="387" t="str">
        <f ca="1">IFERROR(IF(INDEX(' Disaggregation - Section E '!F$618:F2656,MATCH(C2330,' Disaggregation - Section E '!A$618:A2656,0)+1,1)&lt;&gt;0,INDEX(' Disaggregation - Section E '!F$618:F2656,MATCH(C2330,' Disaggregation - Section E '!A$618:A2656,0)+1,1),""),"")</f>
        <v/>
      </c>
      <c r="I2330" s="388" t="str">
        <f ca="1">IFERROR(IF(VLOOKUP(C2330,' Disaggregation - Section E '!A$618:J2656,8,0)=0,"",VLOOKUP(C2330,' Disaggregation - Section E '!A$618:J2656,8,0)),"")</f>
        <v/>
      </c>
      <c r="J2330" s="388" t="str">
        <f ca="1">IFERROR(IF(VLOOKUP(C2330,' Disaggregation - Section E '!A$618:J2656,9,0)="","",VLOOKUP(C2330,' Disaggregation - Section E '!A$618:J2656,9,0)),"")</f>
        <v/>
      </c>
      <c r="K2330" s="384" t="str">
        <f ca="1">IFERROR(VLOOKUP(C2330,' Disaggregation - Section E '!A$618:J2656,3,0),"")</f>
        <v>TCS-1b⁽ᴹ⁾ Percentage of adults (15 and above) on ART among all adults living with HIV at the end of the reporting period</v>
      </c>
      <c r="L2330" s="384"/>
      <c r="M2330" s="384" t="str">
        <f ca="1">IFERROR(IF(VLOOKUP(C2330,' Disaggregation - Section E '!A$618:O1459,15,0)=0,"",VLOOKUP(C2330,' Disaggregation - Section E '!A$618:O1459,15,0)),"")</f>
        <v/>
      </c>
      <c r="N2330" s="388" t="str">
        <f ca="1">IFERROR(IF(VLOOKUP(C2330,' Disaggregation - Section E '!A$618:J2656,10,0)=0,"",VLOOKUP(C2330,' Disaggregation - Section E '!A$618:J2656,10,0)),"")</f>
        <v/>
      </c>
      <c r="O2330" s="384"/>
    </row>
    <row r="2331" spans="1:15" x14ac:dyDescent="0.3">
      <c r="A2331" s="384" t="b">
        <f t="shared" ca="1" si="138"/>
        <v>0</v>
      </c>
      <c r="B2331" s="384"/>
      <c r="C2331" s="393" t="str">
        <f ca="1">IF(COUNTA(O$1493:O2331)=1,"",OFFSET(B2329,-COUNTA(O$1493:O2331)+3,1))</f>
        <v>a16Dm000000LZdKIAW</v>
      </c>
      <c r="D2331" s="389"/>
      <c r="E2331" s="386" t="str">
        <f ca="1">IFERROR(IF(VLOOKUP(C2331,' Disaggregation - Section E '!A$618:J2657,7,0)="","",VLOOKUP(C2331,' Disaggregation - Section E '!A$618:J2657,7,0)*100),"")</f>
        <v/>
      </c>
      <c r="F2331" s="388" t="str">
        <f ca="1">IFERROR(VLOOKUP(C2331,' Disaggregation - Section E '!A$618:J2657,5,0),"")</f>
        <v/>
      </c>
      <c r="G2331" s="387" t="str">
        <f ca="1">IFERROR(IF(VLOOKUP(C2331,' Disaggregation - Section E '!A$618:J2657,6,0)="","",VLOOKUP(C2331,' Disaggregation - Section E '!A$618:J2657,6,0)),"")</f>
        <v/>
      </c>
      <c r="H2331" s="387" t="str">
        <f ca="1">IFERROR(IF(INDEX(' Disaggregation - Section E '!F$618:F2657,MATCH(C2331,' Disaggregation - Section E '!A$618:A2657,0)+1,1)&lt;&gt;0,INDEX(' Disaggregation - Section E '!F$618:F2657,MATCH(C2331,' Disaggregation - Section E '!A$618:A2657,0)+1,1),""),"")</f>
        <v/>
      </c>
      <c r="I2331" s="388" t="str">
        <f ca="1">IFERROR(IF(VLOOKUP(C2331,' Disaggregation - Section E '!A$618:J2657,8,0)=0,"",VLOOKUP(C2331,' Disaggregation - Section E '!A$618:J2657,8,0)),"")</f>
        <v/>
      </c>
      <c r="J2331" s="388" t="str">
        <f ca="1">IFERROR(IF(VLOOKUP(C2331,' Disaggregation - Section E '!A$618:J2657,9,0)="","",VLOOKUP(C2331,' Disaggregation - Section E '!A$618:J2657,9,0)),"")</f>
        <v/>
      </c>
      <c r="K2331" s="384" t="str">
        <f ca="1">IFERROR(VLOOKUP(C2331,' Disaggregation - Section E '!A$618:J2657,3,0),"")</f>
        <v>TCS-1b⁽ᴹ⁾ Percentage of adults (15 and above) on ART among all adults living with HIV at the end of the reporting period</v>
      </c>
      <c r="L2331" s="384"/>
      <c r="M2331" s="384" t="str">
        <f ca="1">IFERROR(IF(VLOOKUP(C2331,' Disaggregation - Section E '!A$618:O1460,15,0)=0,"",VLOOKUP(C2331,' Disaggregation - Section E '!A$618:O1460,15,0)),"")</f>
        <v/>
      </c>
      <c r="N2331" s="388" t="str">
        <f ca="1">IFERROR(IF(VLOOKUP(C2331,' Disaggregation - Section E '!A$618:J2657,10,0)=0,"",VLOOKUP(C2331,' Disaggregation - Section E '!A$618:J2657,10,0)),"")</f>
        <v/>
      </c>
      <c r="O2331" s="384"/>
    </row>
    <row r="2332" spans="1:15" x14ac:dyDescent="0.3">
      <c r="A2332" s="384" t="b">
        <f t="shared" ca="1" si="138"/>
        <v>0</v>
      </c>
      <c r="B2332" s="384"/>
      <c r="C2332" s="393" t="str">
        <f ca="1">IF(COUNTA(O$1493:O2332)=1,"",OFFSET(B2330,-COUNTA(O$1493:O2332)+3,1))</f>
        <v>a16Dm000000LZdLIAW</v>
      </c>
      <c r="D2332" s="389"/>
      <c r="E2332" s="386" t="str">
        <f ca="1">IFERROR(IF(VLOOKUP(C2332,' Disaggregation - Section E '!A$618:J2658,7,0)="","",VLOOKUP(C2332,' Disaggregation - Section E '!A$618:J2658,7,0)*100),"")</f>
        <v/>
      </c>
      <c r="F2332" s="388" t="str">
        <f ca="1">IFERROR(VLOOKUP(C2332,' Disaggregation - Section E '!A$618:J2658,5,0),"")</f>
        <v/>
      </c>
      <c r="G2332" s="387" t="str">
        <f ca="1">IFERROR(IF(VLOOKUP(C2332,' Disaggregation - Section E '!A$618:J2658,6,0)="","",VLOOKUP(C2332,' Disaggregation - Section E '!A$618:J2658,6,0)),"")</f>
        <v/>
      </c>
      <c r="H2332" s="387" t="str">
        <f ca="1">IFERROR(IF(INDEX(' Disaggregation - Section E '!F$618:F2658,MATCH(C2332,' Disaggregation - Section E '!A$618:A2658,0)+1,1)&lt;&gt;0,INDEX(' Disaggregation - Section E '!F$618:F2658,MATCH(C2332,' Disaggregation - Section E '!A$618:A2658,0)+1,1),""),"")</f>
        <v/>
      </c>
      <c r="I2332" s="388" t="str">
        <f ca="1">IFERROR(IF(VLOOKUP(C2332,' Disaggregation - Section E '!A$618:J2658,8,0)=0,"",VLOOKUP(C2332,' Disaggregation - Section E '!A$618:J2658,8,0)),"")</f>
        <v/>
      </c>
      <c r="J2332" s="388" t="str">
        <f ca="1">IFERROR(IF(VLOOKUP(C2332,' Disaggregation - Section E '!A$618:J2658,9,0)="","",VLOOKUP(C2332,' Disaggregation - Section E '!A$618:J2658,9,0)),"")</f>
        <v/>
      </c>
      <c r="K2332" s="384" t="str">
        <f ca="1">IFERROR(VLOOKUP(C2332,' Disaggregation - Section E '!A$618:J2658,3,0),"")</f>
        <v>TCS-1b⁽ᴹ⁾ Percentage of adults (15 and above) on ART among all adults living with HIV at the end of the reporting period</v>
      </c>
      <c r="L2332" s="384"/>
      <c r="M2332" s="384" t="str">
        <f ca="1">IFERROR(IF(VLOOKUP(C2332,' Disaggregation - Section E '!A$618:O1461,15,0)=0,"",VLOOKUP(C2332,' Disaggregation - Section E '!A$618:O1461,15,0)),"")</f>
        <v/>
      </c>
      <c r="N2332" s="388" t="str">
        <f ca="1">IFERROR(IF(VLOOKUP(C2332,' Disaggregation - Section E '!A$618:J2658,10,0)=0,"",VLOOKUP(C2332,' Disaggregation - Section E '!A$618:J2658,10,0)),"")</f>
        <v/>
      </c>
      <c r="O2332" s="384"/>
    </row>
    <row r="2333" spans="1:15" x14ac:dyDescent="0.3">
      <c r="A2333" s="384" t="b">
        <f t="shared" ca="1" si="138"/>
        <v>0</v>
      </c>
      <c r="B2333" s="384"/>
      <c r="C2333" s="393" t="str">
        <f ca="1">IF(COUNTA(O$1493:O2333)=1,"",OFFSET(B2331,-COUNTA(O$1493:O2333)+3,1))</f>
        <v>a16Dm000000LZdMIAW</v>
      </c>
      <c r="D2333" s="389"/>
      <c r="E2333" s="386" t="str">
        <f ca="1">IFERROR(IF(VLOOKUP(C2333,' Disaggregation - Section E '!A$618:J2659,7,0)="","",VLOOKUP(C2333,' Disaggregation - Section E '!A$618:J2659,7,0)*100),"")</f>
        <v/>
      </c>
      <c r="F2333" s="388" t="str">
        <f ca="1">IFERROR(VLOOKUP(C2333,' Disaggregation - Section E '!A$618:J2659,5,0),"")</f>
        <v/>
      </c>
      <c r="G2333" s="387" t="str">
        <f ca="1">IFERROR(IF(VLOOKUP(C2333,' Disaggregation - Section E '!A$618:J2659,6,0)="","",VLOOKUP(C2333,' Disaggregation - Section E '!A$618:J2659,6,0)),"")</f>
        <v/>
      </c>
      <c r="H2333" s="387" t="str">
        <f ca="1">IFERROR(IF(INDEX(' Disaggregation - Section E '!F$618:F2659,MATCH(C2333,' Disaggregation - Section E '!A$618:A2659,0)+1,1)&lt;&gt;0,INDEX(' Disaggregation - Section E '!F$618:F2659,MATCH(C2333,' Disaggregation - Section E '!A$618:A2659,0)+1,1),""),"")</f>
        <v/>
      </c>
      <c r="I2333" s="388" t="str">
        <f ca="1">IFERROR(IF(VLOOKUP(C2333,' Disaggregation - Section E '!A$618:J2659,8,0)=0,"",VLOOKUP(C2333,' Disaggregation - Section E '!A$618:J2659,8,0)),"")</f>
        <v/>
      </c>
      <c r="J2333" s="388" t="str">
        <f ca="1">IFERROR(IF(VLOOKUP(C2333,' Disaggregation - Section E '!A$618:J2659,9,0)="","",VLOOKUP(C2333,' Disaggregation - Section E '!A$618:J2659,9,0)),"")</f>
        <v/>
      </c>
      <c r="K2333" s="384" t="str">
        <f ca="1">IFERROR(VLOOKUP(C2333,' Disaggregation - Section E '!A$618:J2659,3,0),"")</f>
        <v>TCS-1b⁽ᴹ⁾ Percentage of adults (15 and above) on ART among all adults living with HIV at the end of the reporting period</v>
      </c>
      <c r="L2333" s="384"/>
      <c r="M2333" s="384" t="str">
        <f ca="1">IFERROR(IF(VLOOKUP(C2333,' Disaggregation - Section E '!A$618:O1462,15,0)=0,"",VLOOKUP(C2333,' Disaggregation - Section E '!A$618:O1462,15,0)),"")</f>
        <v/>
      </c>
      <c r="N2333" s="388" t="str">
        <f ca="1">IFERROR(IF(VLOOKUP(C2333,' Disaggregation - Section E '!A$618:J2659,10,0)=0,"",VLOOKUP(C2333,' Disaggregation - Section E '!A$618:J2659,10,0)),"")</f>
        <v/>
      </c>
      <c r="O2333" s="384"/>
    </row>
    <row r="2334" spans="1:15" x14ac:dyDescent="0.3">
      <c r="A2334" s="384" t="b">
        <f t="shared" ca="1" si="138"/>
        <v>0</v>
      </c>
      <c r="B2334" s="384"/>
      <c r="C2334" s="393" t="str">
        <f ca="1">IF(COUNTA(O$1493:O2334)=1,"",OFFSET(B2332,-COUNTA(O$1493:O2334)+3,1))</f>
        <v>a16Dm000000LZdNIAW</v>
      </c>
      <c r="D2334" s="389"/>
      <c r="E2334" s="386" t="str">
        <f ca="1">IFERROR(IF(VLOOKUP(C2334,' Disaggregation - Section E '!A$618:J2660,7,0)="","",VLOOKUP(C2334,' Disaggregation - Section E '!A$618:J2660,7,0)*100),"")</f>
        <v/>
      </c>
      <c r="F2334" s="388" t="str">
        <f ca="1">IFERROR(VLOOKUP(C2334,' Disaggregation - Section E '!A$618:J2660,5,0),"")</f>
        <v/>
      </c>
      <c r="G2334" s="387" t="str">
        <f ca="1">IFERROR(IF(VLOOKUP(C2334,' Disaggregation - Section E '!A$618:J2660,6,0)="","",VLOOKUP(C2334,' Disaggregation - Section E '!A$618:J2660,6,0)),"")</f>
        <v/>
      </c>
      <c r="H2334" s="387" t="str">
        <f ca="1">IFERROR(IF(INDEX(' Disaggregation - Section E '!F$618:F2660,MATCH(C2334,' Disaggregation - Section E '!A$618:A2660,0)+1,1)&lt;&gt;0,INDEX(' Disaggregation - Section E '!F$618:F2660,MATCH(C2334,' Disaggregation - Section E '!A$618:A2660,0)+1,1),""),"")</f>
        <v/>
      </c>
      <c r="I2334" s="388" t="str">
        <f ca="1">IFERROR(IF(VLOOKUP(C2334,' Disaggregation - Section E '!A$618:J2660,8,0)=0,"",VLOOKUP(C2334,' Disaggregation - Section E '!A$618:J2660,8,0)),"")</f>
        <v/>
      </c>
      <c r="J2334" s="388" t="str">
        <f ca="1">IFERROR(IF(VLOOKUP(C2334,' Disaggregation - Section E '!A$618:J2660,9,0)="","",VLOOKUP(C2334,' Disaggregation - Section E '!A$618:J2660,9,0)),"")</f>
        <v/>
      </c>
      <c r="K2334" s="384" t="str">
        <f ca="1">IFERROR(VLOOKUP(C2334,' Disaggregation - Section E '!A$618:J2660,3,0),"")</f>
        <v>TCS-1b⁽ᴹ⁾ Percentage of adults (15 and above) on ART among all adults living with HIV at the end of the reporting period</v>
      </c>
      <c r="L2334" s="384"/>
      <c r="M2334" s="384" t="str">
        <f ca="1">IFERROR(IF(VLOOKUP(C2334,' Disaggregation - Section E '!A$618:O1463,15,0)=0,"",VLOOKUP(C2334,' Disaggregation - Section E '!A$618:O1463,15,0)),"")</f>
        <v/>
      </c>
      <c r="N2334" s="388" t="str">
        <f ca="1">IFERROR(IF(VLOOKUP(C2334,' Disaggregation - Section E '!A$618:J2660,10,0)=0,"",VLOOKUP(C2334,' Disaggregation - Section E '!A$618:J2660,10,0)),"")</f>
        <v/>
      </c>
      <c r="O2334" s="384"/>
    </row>
    <row r="2335" spans="1:15" x14ac:dyDescent="0.3">
      <c r="A2335" s="384" t="b">
        <f t="shared" ca="1" si="138"/>
        <v>1</v>
      </c>
      <c r="B2335" s="384"/>
      <c r="C2335" s="393" t="str">
        <f ca="1">IF(COUNTA(O$1493:O2335)=1,"",OFFSET(B2333,-COUNTA(O$1493:O2335)+3,1))</f>
        <v>a16Dm000000LZdOIAW</v>
      </c>
      <c r="D2335" s="389"/>
      <c r="E2335" s="386">
        <f ca="1">IFERROR(IF(VLOOKUP(C2335,' Disaggregation - Section E '!A$618:J2661,7,0)="","",VLOOKUP(C2335,' Disaggregation - Section E '!A$618:J2661,7,0)*100),"")</f>
        <v>88.775510204081627</v>
      </c>
      <c r="F2335" s="388" t="str">
        <f ca="1">IFERROR(VLOOKUP(C2335,' Disaggregation - Section E '!A$618:J2661,5,0),"")</f>
        <v>Male</v>
      </c>
      <c r="G2335" s="387">
        <f ca="1">IFERROR(IF(VLOOKUP(C2335,' Disaggregation - Section E '!A$618:J2661,6,0)="","",VLOOKUP(C2335,' Disaggregation - Section E '!A$618:J2661,6,0)),"")</f>
        <v>87</v>
      </c>
      <c r="H2335" s="387">
        <f ca="1">IFERROR(IF(INDEX(' Disaggregation - Section E '!F$618:F2661,MATCH(C2335,' Disaggregation - Section E '!A$618:A2661,0)+1,1)&lt;&gt;0,INDEX(' Disaggregation - Section E '!F$618:F2661,MATCH(C2335,' Disaggregation - Section E '!A$618:A2661,0)+1,1),""),"")</f>
        <v>98</v>
      </c>
      <c r="I2335" s="388">
        <f ca="1">IFERROR(IF(VLOOKUP(C2335,' Disaggregation - Section E '!A$618:J2661,8,0)=0,"",VLOOKUP(C2335,' Disaggregation - Section E '!A$618:J2661,8,0)),"")</f>
        <v>2022</v>
      </c>
      <c r="J2335" s="388" t="str">
        <f ca="1">IFERROR(IF(VLOOKUP(C2335,' Disaggregation - Section E '!A$618:J2661,9,0)="","",VLOOKUP(C2335,' Disaggregation - Section E '!A$618:J2661,9,0)),"")</f>
        <v xml:space="preserve">Electronic HIV Case Tracking System and RCHV&amp;HIV report
</v>
      </c>
      <c r="K2335" s="384" t="str">
        <f ca="1">IFERROR(VLOOKUP(C2335,' Disaggregation - Section E '!A$618:J2661,3,0),"")</f>
        <v>TCS-1c⁽ᴹ⁾ Percentage of children (under 15) on ART among all children living with HIV at the end of the reporting period</v>
      </c>
      <c r="L2335" s="384"/>
      <c r="M2335" s="384" t="str">
        <f ca="1">IFERROR(IF(VLOOKUP(C2335,' Disaggregation - Section E '!A$618:O1464,15,0)=0,"",VLOOKUP(C2335,' Disaggregation - Section E '!A$618:O1464,15,0)),"")</f>
        <v>IDR-01302</v>
      </c>
      <c r="N2335" s="388" t="str">
        <f ca="1">IFERROR(IF(VLOOKUP(C2335,' Disaggregation - Section E '!A$618:J2661,10,0)=0,"",VLOOKUP(C2335,' Disaggregation - Section E '!A$618:J2661,10,0)),"")</f>
        <v xml:space="preserve">Numerator: Number of children (under 15) on ART at the end of the reporting period	Denumerator: Estimated number of children (under 15)  living with HIV  
	</v>
      </c>
      <c r="O2335" s="384"/>
    </row>
    <row r="2336" spans="1:15" x14ac:dyDescent="0.3">
      <c r="A2336" s="384" t="b">
        <f t="shared" ca="1" si="138"/>
        <v>1</v>
      </c>
      <c r="B2336" s="384"/>
      <c r="C2336" s="393" t="str">
        <f ca="1">IF(COUNTA(O$1493:O2336)=1,"",OFFSET(B2334,-COUNTA(O$1493:O2336)+3,1))</f>
        <v>a16Dm000000LZdPIAW</v>
      </c>
      <c r="D2336" s="389"/>
      <c r="E2336" s="386">
        <f ca="1">IFERROR(IF(VLOOKUP(C2336,' Disaggregation - Section E '!A$618:J2662,7,0)="","",VLOOKUP(C2336,' Disaggregation - Section E '!A$618:J2662,7,0)*100),"")</f>
        <v>90.909090909090907</v>
      </c>
      <c r="F2336" s="388" t="str">
        <f ca="1">IFERROR(VLOOKUP(C2336,' Disaggregation - Section E '!A$618:J2662,5,0),"")</f>
        <v>Female</v>
      </c>
      <c r="G2336" s="387">
        <f ca="1">IFERROR(IF(VLOOKUP(C2336,' Disaggregation - Section E '!A$618:J2662,6,0)="","",VLOOKUP(C2336,' Disaggregation - Section E '!A$618:J2662,6,0)),"")</f>
        <v>80</v>
      </c>
      <c r="H2336" s="387">
        <f ca="1">IFERROR(IF(INDEX(' Disaggregation - Section E '!F$618:F2662,MATCH(C2336,' Disaggregation - Section E '!A$618:A2662,0)+1,1)&lt;&gt;0,INDEX(' Disaggregation - Section E '!F$618:F2662,MATCH(C2336,' Disaggregation - Section E '!A$618:A2662,0)+1,1),""),"")</f>
        <v>88</v>
      </c>
      <c r="I2336" s="388">
        <f ca="1">IFERROR(IF(VLOOKUP(C2336,' Disaggregation - Section E '!A$618:J2662,8,0)=0,"",VLOOKUP(C2336,' Disaggregation - Section E '!A$618:J2662,8,0)),"")</f>
        <v>2022</v>
      </c>
      <c r="J2336" s="388" t="str">
        <f ca="1">IFERROR(IF(VLOOKUP(C2336,' Disaggregation - Section E '!A$618:J2662,9,0)="","",VLOOKUP(C2336,' Disaggregation - Section E '!A$618:J2662,9,0)),"")</f>
        <v xml:space="preserve">Electronic HIV Case Tracking System and RCHV&amp;HIV report
</v>
      </c>
      <c r="K2336" s="384" t="str">
        <f ca="1">IFERROR(VLOOKUP(C2336,' Disaggregation - Section E '!A$618:J2662,3,0),"")</f>
        <v>TCS-1c⁽ᴹ⁾ Percentage of children (under 15) on ART among all children living with HIV at the end of the reporting period</v>
      </c>
      <c r="L2336" s="384"/>
      <c r="M2336" s="384" t="str">
        <f ca="1">IFERROR(IF(VLOOKUP(C2336,' Disaggregation - Section E '!A$618:O1465,15,0)=0,"",VLOOKUP(C2336,' Disaggregation - Section E '!A$618:O1465,15,0)),"")</f>
        <v>IDR-01301</v>
      </c>
      <c r="N2336" s="388" t="str">
        <f ca="1">IFERROR(IF(VLOOKUP(C2336,' Disaggregation - Section E '!A$618:J2662,10,0)=0,"",VLOOKUP(C2336,' Disaggregation - Section E '!A$618:J2662,10,0)),"")</f>
        <v xml:space="preserve">Numerator: Number of children (under 15) on ART at the end of the reporting period	Denumerator: Estimated number of children (under 15)  living with HIV  
	</v>
      </c>
      <c r="O2336" s="384"/>
    </row>
    <row r="2337" spans="1:15" x14ac:dyDescent="0.3">
      <c r="A2337" s="384" t="b">
        <f t="shared" ca="1" si="138"/>
        <v>0</v>
      </c>
      <c r="B2337" s="384"/>
      <c r="C2337" s="393" t="str">
        <f ca="1">IF(COUNTA(O$1493:O2337)=1,"",OFFSET(B2335,-COUNTA(O$1493:O2337)+3,1))</f>
        <v>a16Dm000000LZdQIAW</v>
      </c>
      <c r="D2337" s="389"/>
      <c r="E2337" s="386" t="str">
        <f ca="1">IFERROR(IF(VLOOKUP(C2337,' Disaggregation - Section E '!A$618:J2663,7,0)="","",VLOOKUP(C2337,' Disaggregation - Section E '!A$618:J2663,7,0)*100),"")</f>
        <v/>
      </c>
      <c r="F2337" s="388" t="str">
        <f ca="1">IFERROR(VLOOKUP(C2337,' Disaggregation - Section E '!A$618:J2663,5,0),"")</f>
        <v/>
      </c>
      <c r="G2337" s="387" t="str">
        <f ca="1">IFERROR(IF(VLOOKUP(C2337,' Disaggregation - Section E '!A$618:J2663,6,0)="","",VLOOKUP(C2337,' Disaggregation - Section E '!A$618:J2663,6,0)),"")</f>
        <v/>
      </c>
      <c r="H2337" s="387" t="str">
        <f ca="1">IFERROR(IF(INDEX(' Disaggregation - Section E '!F$618:F2663,MATCH(C2337,' Disaggregation - Section E '!A$618:A2663,0)+1,1)&lt;&gt;0,INDEX(' Disaggregation - Section E '!F$618:F2663,MATCH(C2337,' Disaggregation - Section E '!A$618:A2663,0)+1,1),""),"")</f>
        <v/>
      </c>
      <c r="I2337" s="388" t="str">
        <f ca="1">IFERROR(IF(VLOOKUP(C2337,' Disaggregation - Section E '!A$618:J2663,8,0)=0,"",VLOOKUP(C2337,' Disaggregation - Section E '!A$618:J2663,8,0)),"")</f>
        <v/>
      </c>
      <c r="J2337" s="388" t="str">
        <f ca="1">IFERROR(IF(VLOOKUP(C2337,' Disaggregation - Section E '!A$618:J2663,9,0)="","",VLOOKUP(C2337,' Disaggregation - Section E '!A$618:J2663,9,0)),"")</f>
        <v/>
      </c>
      <c r="K2337" s="384" t="str">
        <f ca="1">IFERROR(VLOOKUP(C2337,' Disaggregation - Section E '!A$618:J2663,3,0),"")</f>
        <v>TCS-1c⁽ᴹ⁾ Percentage of children (under 15) on ART among all children living with HIV at the end of the reporting period</v>
      </c>
      <c r="L2337" s="384"/>
      <c r="M2337" s="384" t="str">
        <f ca="1">IFERROR(IF(VLOOKUP(C2337,' Disaggregation - Section E '!A$618:O1466,15,0)=0,"",VLOOKUP(C2337,' Disaggregation - Section E '!A$618:O1466,15,0)),"")</f>
        <v/>
      </c>
      <c r="N2337" s="388" t="str">
        <f ca="1">IFERROR(IF(VLOOKUP(C2337,' Disaggregation - Section E '!A$618:J2663,10,0)=0,"",VLOOKUP(C2337,' Disaggregation - Section E '!A$618:J2663,10,0)),"")</f>
        <v/>
      </c>
      <c r="O2337" s="384"/>
    </row>
    <row r="2338" spans="1:15" x14ac:dyDescent="0.3">
      <c r="A2338" s="384" t="b">
        <f t="shared" ca="1" si="138"/>
        <v>0</v>
      </c>
      <c r="B2338" s="384"/>
      <c r="C2338" s="393" t="str">
        <f ca="1">IF(COUNTA(O$1493:O2338)=1,"",OFFSET(B2336,-COUNTA(O$1493:O2338)+3,1))</f>
        <v>a16Dm000000LZdRIAW</v>
      </c>
      <c r="D2338" s="389"/>
      <c r="E2338" s="386" t="str">
        <f ca="1">IFERROR(IF(VLOOKUP(C2338,' Disaggregation - Section E '!A$618:J2664,7,0)="","",VLOOKUP(C2338,' Disaggregation - Section E '!A$618:J2664,7,0)*100),"")</f>
        <v/>
      </c>
      <c r="F2338" s="388" t="str">
        <f ca="1">IFERROR(VLOOKUP(C2338,' Disaggregation - Section E '!A$618:J2664,5,0),"")</f>
        <v/>
      </c>
      <c r="G2338" s="387" t="str">
        <f ca="1">IFERROR(IF(VLOOKUP(C2338,' Disaggregation - Section E '!A$618:J2664,6,0)="","",VLOOKUP(C2338,' Disaggregation - Section E '!A$618:J2664,6,0)),"")</f>
        <v/>
      </c>
      <c r="H2338" s="387" t="str">
        <f ca="1">IFERROR(IF(INDEX(' Disaggregation - Section E '!F$618:F2664,MATCH(C2338,' Disaggregation - Section E '!A$618:A2664,0)+1,1)&lt;&gt;0,INDEX(' Disaggregation - Section E '!F$618:F2664,MATCH(C2338,' Disaggregation - Section E '!A$618:A2664,0)+1,1),""),"")</f>
        <v/>
      </c>
      <c r="I2338" s="388" t="str">
        <f ca="1">IFERROR(IF(VLOOKUP(C2338,' Disaggregation - Section E '!A$618:J2664,8,0)=0,"",VLOOKUP(C2338,' Disaggregation - Section E '!A$618:J2664,8,0)),"")</f>
        <v/>
      </c>
      <c r="J2338" s="388" t="str">
        <f ca="1">IFERROR(IF(VLOOKUP(C2338,' Disaggregation - Section E '!A$618:J2664,9,0)="","",VLOOKUP(C2338,' Disaggregation - Section E '!A$618:J2664,9,0)),"")</f>
        <v/>
      </c>
      <c r="K2338" s="384" t="str">
        <f ca="1">IFERROR(VLOOKUP(C2338,' Disaggregation - Section E '!A$618:J2664,3,0),"")</f>
        <v>TCS-1c⁽ᴹ⁾ Percentage of children (under 15) on ART among all children living with HIV at the end of the reporting period</v>
      </c>
      <c r="L2338" s="384"/>
      <c r="M2338" s="384" t="str">
        <f ca="1">IFERROR(IF(VLOOKUP(C2338,' Disaggregation - Section E '!A$618:O1467,15,0)=0,"",VLOOKUP(C2338,' Disaggregation - Section E '!A$618:O1467,15,0)),"")</f>
        <v/>
      </c>
      <c r="N2338" s="388" t="str">
        <f ca="1">IFERROR(IF(VLOOKUP(C2338,' Disaggregation - Section E '!A$618:J2664,10,0)=0,"",VLOOKUP(C2338,' Disaggregation - Section E '!A$618:J2664,10,0)),"")</f>
        <v/>
      </c>
      <c r="O2338" s="384"/>
    </row>
    <row r="2339" spans="1:15" x14ac:dyDescent="0.3">
      <c r="A2339" s="384" t="b">
        <f t="shared" ca="1" si="138"/>
        <v>0</v>
      </c>
      <c r="B2339" s="384"/>
      <c r="C2339" s="393" t="str">
        <f ca="1">IF(COUNTA(O$1493:O2339)=1,"",OFFSET(B2337,-COUNTA(O$1493:O2339)+3,1))</f>
        <v>a16Dm000000LZdSIAW</v>
      </c>
      <c r="D2339" s="389"/>
      <c r="E2339" s="386" t="str">
        <f ca="1">IFERROR(IF(VLOOKUP(C2339,' Disaggregation - Section E '!A$618:J2665,7,0)="","",VLOOKUP(C2339,' Disaggregation - Section E '!A$618:J2665,7,0)*100),"")</f>
        <v/>
      </c>
      <c r="F2339" s="388" t="str">
        <f ca="1">IFERROR(VLOOKUP(C2339,' Disaggregation - Section E '!A$618:J2665,5,0),"")</f>
        <v/>
      </c>
      <c r="G2339" s="387" t="str">
        <f ca="1">IFERROR(IF(VLOOKUP(C2339,' Disaggregation - Section E '!A$618:J2665,6,0)="","",VLOOKUP(C2339,' Disaggregation - Section E '!A$618:J2665,6,0)),"")</f>
        <v/>
      </c>
      <c r="H2339" s="387" t="str">
        <f ca="1">IFERROR(IF(INDEX(' Disaggregation - Section E '!F$618:F2665,MATCH(C2339,' Disaggregation - Section E '!A$618:A2665,0)+1,1)&lt;&gt;0,INDEX(' Disaggregation - Section E '!F$618:F2665,MATCH(C2339,' Disaggregation - Section E '!A$618:A2665,0)+1,1),""),"")</f>
        <v/>
      </c>
      <c r="I2339" s="388" t="str">
        <f ca="1">IFERROR(IF(VLOOKUP(C2339,' Disaggregation - Section E '!A$618:J2665,8,0)=0,"",VLOOKUP(C2339,' Disaggregation - Section E '!A$618:J2665,8,0)),"")</f>
        <v/>
      </c>
      <c r="J2339" s="388" t="str">
        <f ca="1">IFERROR(IF(VLOOKUP(C2339,' Disaggregation - Section E '!A$618:J2665,9,0)="","",VLOOKUP(C2339,' Disaggregation - Section E '!A$618:J2665,9,0)),"")</f>
        <v/>
      </c>
      <c r="K2339" s="384" t="str">
        <f ca="1">IFERROR(VLOOKUP(C2339,' Disaggregation - Section E '!A$618:J2665,3,0),"")</f>
        <v>TCS-1c⁽ᴹ⁾ Percentage of children (under 15) on ART among all children living with HIV at the end of the reporting period</v>
      </c>
      <c r="L2339" s="384"/>
      <c r="M2339" s="384" t="str">
        <f ca="1">IFERROR(IF(VLOOKUP(C2339,' Disaggregation - Section E '!A$618:O1468,15,0)=0,"",VLOOKUP(C2339,' Disaggregation - Section E '!A$618:O1468,15,0)),"")</f>
        <v/>
      </c>
      <c r="N2339" s="388" t="str">
        <f ca="1">IFERROR(IF(VLOOKUP(C2339,' Disaggregation - Section E '!A$618:J2665,10,0)=0,"",VLOOKUP(C2339,' Disaggregation - Section E '!A$618:J2665,10,0)),"")</f>
        <v/>
      </c>
      <c r="O2339" s="384"/>
    </row>
    <row r="2340" spans="1:15" x14ac:dyDescent="0.3">
      <c r="A2340" s="384" t="b">
        <f t="shared" ca="1" si="138"/>
        <v>0</v>
      </c>
      <c r="B2340" s="384"/>
      <c r="C2340" s="393" t="str">
        <f ca="1">IF(COUNTA(O$1493:O2340)=1,"",OFFSET(B2338,-COUNTA(O$1493:O2340)+3,1))</f>
        <v>a16Dm000000LZdTIAW</v>
      </c>
      <c r="D2340" s="389"/>
      <c r="E2340" s="386" t="str">
        <f ca="1">IFERROR(IF(VLOOKUP(C2340,' Disaggregation - Section E '!A$618:J2666,7,0)="","",VLOOKUP(C2340,' Disaggregation - Section E '!A$618:J2666,7,0)*100),"")</f>
        <v/>
      </c>
      <c r="F2340" s="388" t="str">
        <f ca="1">IFERROR(VLOOKUP(C2340,' Disaggregation - Section E '!A$618:J2666,5,0),"")</f>
        <v/>
      </c>
      <c r="G2340" s="387" t="str">
        <f ca="1">IFERROR(IF(VLOOKUP(C2340,' Disaggregation - Section E '!A$618:J2666,6,0)="","",VLOOKUP(C2340,' Disaggregation - Section E '!A$618:J2666,6,0)),"")</f>
        <v/>
      </c>
      <c r="H2340" s="387" t="str">
        <f ca="1">IFERROR(IF(INDEX(' Disaggregation - Section E '!F$618:F2666,MATCH(C2340,' Disaggregation - Section E '!A$618:A2666,0)+1,1)&lt;&gt;0,INDEX(' Disaggregation - Section E '!F$618:F2666,MATCH(C2340,' Disaggregation - Section E '!A$618:A2666,0)+1,1),""),"")</f>
        <v/>
      </c>
      <c r="I2340" s="388" t="str">
        <f ca="1">IFERROR(IF(VLOOKUP(C2340,' Disaggregation - Section E '!A$618:J2666,8,0)=0,"",VLOOKUP(C2340,' Disaggregation - Section E '!A$618:J2666,8,0)),"")</f>
        <v/>
      </c>
      <c r="J2340" s="388" t="str">
        <f ca="1">IFERROR(IF(VLOOKUP(C2340,' Disaggregation - Section E '!A$618:J2666,9,0)="","",VLOOKUP(C2340,' Disaggregation - Section E '!A$618:J2666,9,0)),"")</f>
        <v/>
      </c>
      <c r="K2340" s="384" t="str">
        <f ca="1">IFERROR(VLOOKUP(C2340,' Disaggregation - Section E '!A$618:J2666,3,0),"")</f>
        <v>TCS-1c⁽ᴹ⁾ Percentage of children (under 15) on ART among all children living with HIV at the end of the reporting period</v>
      </c>
      <c r="L2340" s="384"/>
      <c r="M2340" s="384" t="str">
        <f ca="1">IFERROR(IF(VLOOKUP(C2340,' Disaggregation - Section E '!A$618:O1469,15,0)=0,"",VLOOKUP(C2340,' Disaggregation - Section E '!A$618:O1469,15,0)),"")</f>
        <v/>
      </c>
      <c r="N2340" s="388" t="str">
        <f ca="1">IFERROR(IF(VLOOKUP(C2340,' Disaggregation - Section E '!A$618:J2666,10,0)=0,"",VLOOKUP(C2340,' Disaggregation - Section E '!A$618:J2666,10,0)),"")</f>
        <v/>
      </c>
      <c r="O2340" s="384"/>
    </row>
    <row r="2341" spans="1:15" x14ac:dyDescent="0.3">
      <c r="A2341" s="384" t="b">
        <f t="shared" ca="1" si="138"/>
        <v>0</v>
      </c>
      <c r="B2341" s="384"/>
      <c r="C2341" s="393" t="str">
        <f ca="1">IF(COUNTA(O$1493:O2341)=1,"",OFFSET(B2339,-COUNTA(O$1493:O2341)+3,1))</f>
        <v>a16Dm000000LZdUIAW</v>
      </c>
      <c r="D2341" s="389"/>
      <c r="E2341" s="386" t="str">
        <f ca="1">IFERROR(IF(VLOOKUP(C2341,' Disaggregation - Section E '!A$618:J2667,7,0)="","",VLOOKUP(C2341,' Disaggregation - Section E '!A$618:J2667,7,0)*100),"")</f>
        <v/>
      </c>
      <c r="F2341" s="388" t="str">
        <f ca="1">IFERROR(VLOOKUP(C2341,' Disaggregation - Section E '!A$618:J2667,5,0),"")</f>
        <v/>
      </c>
      <c r="G2341" s="387" t="str">
        <f ca="1">IFERROR(IF(VLOOKUP(C2341,' Disaggregation - Section E '!A$618:J2667,6,0)="","",VLOOKUP(C2341,' Disaggregation - Section E '!A$618:J2667,6,0)),"")</f>
        <v/>
      </c>
      <c r="H2341" s="387" t="str">
        <f ca="1">IFERROR(IF(INDEX(' Disaggregation - Section E '!F$618:F2667,MATCH(C2341,' Disaggregation - Section E '!A$618:A2667,0)+1,1)&lt;&gt;0,INDEX(' Disaggregation - Section E '!F$618:F2667,MATCH(C2341,' Disaggregation - Section E '!A$618:A2667,0)+1,1),""),"")</f>
        <v/>
      </c>
      <c r="I2341" s="388" t="str">
        <f ca="1">IFERROR(IF(VLOOKUP(C2341,' Disaggregation - Section E '!A$618:J2667,8,0)=0,"",VLOOKUP(C2341,' Disaggregation - Section E '!A$618:J2667,8,0)),"")</f>
        <v/>
      </c>
      <c r="J2341" s="388" t="str">
        <f ca="1">IFERROR(IF(VLOOKUP(C2341,' Disaggregation - Section E '!A$618:J2667,9,0)="","",VLOOKUP(C2341,' Disaggregation - Section E '!A$618:J2667,9,0)),"")</f>
        <v/>
      </c>
      <c r="K2341" s="384" t="str">
        <f ca="1">IFERROR(VLOOKUP(C2341,' Disaggregation - Section E '!A$618:J2667,3,0),"")</f>
        <v>TCS-1c⁽ᴹ⁾ Percentage of children (under 15) on ART among all children living with HIV at the end of the reporting period</v>
      </c>
      <c r="L2341" s="384"/>
      <c r="M2341" s="384" t="str">
        <f ca="1">IFERROR(IF(VLOOKUP(C2341,' Disaggregation - Section E '!A$618:O1470,15,0)=0,"",VLOOKUP(C2341,' Disaggregation - Section E '!A$618:O1470,15,0)),"")</f>
        <v/>
      </c>
      <c r="N2341" s="388" t="str">
        <f ca="1">IFERROR(IF(VLOOKUP(C2341,' Disaggregation - Section E '!A$618:J2667,10,0)=0,"",VLOOKUP(C2341,' Disaggregation - Section E '!A$618:J2667,10,0)),"")</f>
        <v/>
      </c>
      <c r="O2341" s="384"/>
    </row>
    <row r="2342" spans="1:15" x14ac:dyDescent="0.3">
      <c r="A2342" s="384" t="b">
        <f t="shared" ca="1" si="138"/>
        <v>0</v>
      </c>
      <c r="B2342" s="384"/>
      <c r="C2342" s="393" t="str">
        <f ca="1">IF(COUNTA(O$1493:O2342)=1,"",OFFSET(B2340,-COUNTA(O$1493:O2342)+3,1))</f>
        <v>a16Dm000000LZdVIAW</v>
      </c>
      <c r="D2342" s="389"/>
      <c r="E2342" s="386" t="str">
        <f ca="1">IFERROR(IF(VLOOKUP(C2342,' Disaggregation - Section E '!A$618:J2668,7,0)="","",VLOOKUP(C2342,' Disaggregation - Section E '!A$618:J2668,7,0)*100),"")</f>
        <v/>
      </c>
      <c r="F2342" s="388" t="str">
        <f ca="1">IFERROR(VLOOKUP(C2342,' Disaggregation - Section E '!A$618:J2668,5,0),"")</f>
        <v/>
      </c>
      <c r="G2342" s="387" t="str">
        <f ca="1">IFERROR(IF(VLOOKUP(C2342,' Disaggregation - Section E '!A$618:J2668,6,0)="","",VLOOKUP(C2342,' Disaggregation - Section E '!A$618:J2668,6,0)),"")</f>
        <v/>
      </c>
      <c r="H2342" s="387" t="str">
        <f ca="1">IFERROR(IF(INDEX(' Disaggregation - Section E '!F$618:F2668,MATCH(C2342,' Disaggregation - Section E '!A$618:A2668,0)+1,1)&lt;&gt;0,INDEX(' Disaggregation - Section E '!F$618:F2668,MATCH(C2342,' Disaggregation - Section E '!A$618:A2668,0)+1,1),""),"")</f>
        <v/>
      </c>
      <c r="I2342" s="388" t="str">
        <f ca="1">IFERROR(IF(VLOOKUP(C2342,' Disaggregation - Section E '!A$618:J2668,8,0)=0,"",VLOOKUP(C2342,' Disaggregation - Section E '!A$618:J2668,8,0)),"")</f>
        <v/>
      </c>
      <c r="J2342" s="388" t="str">
        <f ca="1">IFERROR(IF(VLOOKUP(C2342,' Disaggregation - Section E '!A$618:J2668,9,0)="","",VLOOKUP(C2342,' Disaggregation - Section E '!A$618:J2668,9,0)),"")</f>
        <v/>
      </c>
      <c r="K2342" s="384" t="str">
        <f ca="1">IFERROR(VLOOKUP(C2342,' Disaggregation - Section E '!A$618:J2668,3,0),"")</f>
        <v>TCS-1c⁽ᴹ⁾ Percentage of children (under 15) on ART among all children living with HIV at the end of the reporting period</v>
      </c>
      <c r="L2342" s="384"/>
      <c r="M2342" s="384" t="str">
        <f ca="1">IFERROR(IF(VLOOKUP(C2342,' Disaggregation - Section E '!A$618:O1471,15,0)=0,"",VLOOKUP(C2342,' Disaggregation - Section E '!A$618:O1471,15,0)),"")</f>
        <v/>
      </c>
      <c r="N2342" s="388" t="str">
        <f ca="1">IFERROR(IF(VLOOKUP(C2342,' Disaggregation - Section E '!A$618:J2668,10,0)=0,"",VLOOKUP(C2342,' Disaggregation - Section E '!A$618:J2668,10,0)),"")</f>
        <v/>
      </c>
      <c r="O2342" s="384"/>
    </row>
    <row r="2343" spans="1:15" x14ac:dyDescent="0.3">
      <c r="A2343" s="384" t="b">
        <f t="shared" ca="1" si="138"/>
        <v>0</v>
      </c>
      <c r="B2343" s="384"/>
      <c r="C2343" s="393" t="str">
        <f ca="1">IF(COUNTA(O$1493:O2343)=1,"",OFFSET(B2341,-COUNTA(O$1493:O2343)+3,1))</f>
        <v>a16Dm000000LZdWIAW</v>
      </c>
      <c r="D2343" s="389"/>
      <c r="E2343" s="386" t="str">
        <f ca="1">IFERROR(IF(VLOOKUP(C2343,' Disaggregation - Section E '!A$618:J2669,7,0)="","",VLOOKUP(C2343,' Disaggregation - Section E '!A$618:J2669,7,0)*100),"")</f>
        <v/>
      </c>
      <c r="F2343" s="388" t="str">
        <f ca="1">IFERROR(VLOOKUP(C2343,' Disaggregation - Section E '!A$618:J2669,5,0),"")</f>
        <v/>
      </c>
      <c r="G2343" s="387" t="str">
        <f ca="1">IFERROR(IF(VLOOKUP(C2343,' Disaggregation - Section E '!A$618:J2669,6,0)="","",VLOOKUP(C2343,' Disaggregation - Section E '!A$618:J2669,6,0)),"")</f>
        <v/>
      </c>
      <c r="H2343" s="387" t="str">
        <f ca="1">IFERROR(IF(INDEX(' Disaggregation - Section E '!F$618:F2669,MATCH(C2343,' Disaggregation - Section E '!A$618:A2669,0)+1,1)&lt;&gt;0,INDEX(' Disaggregation - Section E '!F$618:F2669,MATCH(C2343,' Disaggregation - Section E '!A$618:A2669,0)+1,1),""),"")</f>
        <v/>
      </c>
      <c r="I2343" s="388" t="str">
        <f ca="1">IFERROR(IF(VLOOKUP(C2343,' Disaggregation - Section E '!A$618:J2669,8,0)=0,"",VLOOKUP(C2343,' Disaggregation - Section E '!A$618:J2669,8,0)),"")</f>
        <v/>
      </c>
      <c r="J2343" s="388" t="str">
        <f ca="1">IFERROR(IF(VLOOKUP(C2343,' Disaggregation - Section E '!A$618:J2669,9,0)="","",VLOOKUP(C2343,' Disaggregation - Section E '!A$618:J2669,9,0)),"")</f>
        <v/>
      </c>
      <c r="K2343" s="384" t="str">
        <f ca="1">IFERROR(VLOOKUP(C2343,' Disaggregation - Section E '!A$618:J2669,3,0),"")</f>
        <v>TCS-1c⁽ᴹ⁾ Percentage of children (under 15) on ART among all children living with HIV at the end of the reporting period</v>
      </c>
      <c r="L2343" s="384"/>
      <c r="M2343" s="384" t="str">
        <f ca="1">IFERROR(IF(VLOOKUP(C2343,' Disaggregation - Section E '!A$618:O1472,15,0)=0,"",VLOOKUP(C2343,' Disaggregation - Section E '!A$618:O1472,15,0)),"")</f>
        <v/>
      </c>
      <c r="N2343" s="388" t="str">
        <f ca="1">IFERROR(IF(VLOOKUP(C2343,' Disaggregation - Section E '!A$618:J2669,10,0)=0,"",VLOOKUP(C2343,' Disaggregation - Section E '!A$618:J2669,10,0)),"")</f>
        <v/>
      </c>
      <c r="O2343" s="384"/>
    </row>
    <row r="2344" spans="1:15" x14ac:dyDescent="0.3">
      <c r="A2344" s="384" t="b">
        <f t="shared" ca="1" si="138"/>
        <v>0</v>
      </c>
      <c r="B2344" s="384"/>
      <c r="C2344" s="393" t="str">
        <f ca="1">IF(COUNTA(O$1493:O2344)=1,"",OFFSET(B2342,-COUNTA(O$1493:O2344)+3,1))</f>
        <v>a16Dm000000LZdXIAW</v>
      </c>
      <c r="D2344" s="389"/>
      <c r="E2344" s="386" t="str">
        <f ca="1">IFERROR(IF(VLOOKUP(C2344,' Disaggregation - Section E '!A$618:J2670,7,0)="","",VLOOKUP(C2344,' Disaggregation - Section E '!A$618:J2670,7,0)*100),"")</f>
        <v/>
      </c>
      <c r="F2344" s="388" t="str">
        <f ca="1">IFERROR(VLOOKUP(C2344,' Disaggregation - Section E '!A$618:J2670,5,0),"")</f>
        <v/>
      </c>
      <c r="G2344" s="387" t="str">
        <f ca="1">IFERROR(IF(VLOOKUP(C2344,' Disaggregation - Section E '!A$618:J2670,6,0)="","",VLOOKUP(C2344,' Disaggregation - Section E '!A$618:J2670,6,0)),"")</f>
        <v/>
      </c>
      <c r="H2344" s="387" t="str">
        <f ca="1">IFERROR(IF(INDEX(' Disaggregation - Section E '!F$618:F2670,MATCH(C2344,' Disaggregation - Section E '!A$618:A2670,0)+1,1)&lt;&gt;0,INDEX(' Disaggregation - Section E '!F$618:F2670,MATCH(C2344,' Disaggregation - Section E '!A$618:A2670,0)+1,1),""),"")</f>
        <v/>
      </c>
      <c r="I2344" s="388" t="str">
        <f ca="1">IFERROR(IF(VLOOKUP(C2344,' Disaggregation - Section E '!A$618:J2670,8,0)=0,"",VLOOKUP(C2344,' Disaggregation - Section E '!A$618:J2670,8,0)),"")</f>
        <v/>
      </c>
      <c r="J2344" s="388" t="str">
        <f ca="1">IFERROR(IF(VLOOKUP(C2344,' Disaggregation - Section E '!A$618:J2670,9,0)="","",VLOOKUP(C2344,' Disaggregation - Section E '!A$618:J2670,9,0)),"")</f>
        <v/>
      </c>
      <c r="K2344" s="384" t="str">
        <f ca="1">IFERROR(VLOOKUP(C2344,' Disaggregation - Section E '!A$618:J2670,3,0),"")</f>
        <v>TCS-1c⁽ᴹ⁾ Percentage of children (under 15) on ART among all children living with HIV at the end of the reporting period</v>
      </c>
      <c r="L2344" s="384"/>
      <c r="M2344" s="384" t="str">
        <f ca="1">IFERROR(IF(VLOOKUP(C2344,' Disaggregation - Section E '!A$618:O1473,15,0)=0,"",VLOOKUP(C2344,' Disaggregation - Section E '!A$618:O1473,15,0)),"")</f>
        <v/>
      </c>
      <c r="N2344" s="388" t="str">
        <f ca="1">IFERROR(IF(VLOOKUP(C2344,' Disaggregation - Section E '!A$618:J2670,10,0)=0,"",VLOOKUP(C2344,' Disaggregation - Section E '!A$618:J2670,10,0)),"")</f>
        <v/>
      </c>
      <c r="O2344" s="384"/>
    </row>
    <row r="2345" spans="1:15" x14ac:dyDescent="0.3">
      <c r="A2345" s="384" t="b">
        <f t="shared" ca="1" si="138"/>
        <v>0</v>
      </c>
      <c r="B2345" s="384"/>
      <c r="C2345" s="393" t="str">
        <f ca="1">IF(COUNTA(O$1493:O2345)=1,"",OFFSET(B2343,-COUNTA(O$1493:O2345)+3,1))</f>
        <v>a16Dm000000LZdYIAW</v>
      </c>
      <c r="D2345" s="389"/>
      <c r="E2345" s="386" t="str">
        <f ca="1">IFERROR(IF(VLOOKUP(C2345,' Disaggregation - Section E '!A$618:J2671,7,0)="","",VLOOKUP(C2345,' Disaggregation - Section E '!A$618:J2671,7,0)*100),"")</f>
        <v/>
      </c>
      <c r="F2345" s="388" t="str">
        <f ca="1">IFERROR(VLOOKUP(C2345,' Disaggregation - Section E '!A$618:J2671,5,0),"")</f>
        <v/>
      </c>
      <c r="G2345" s="387" t="str">
        <f ca="1">IFERROR(IF(VLOOKUP(C2345,' Disaggregation - Section E '!A$618:J2671,6,0)="","",VLOOKUP(C2345,' Disaggregation - Section E '!A$618:J2671,6,0)),"")</f>
        <v/>
      </c>
      <c r="H2345" s="387" t="str">
        <f ca="1">IFERROR(IF(INDEX(' Disaggregation - Section E '!F$618:F2671,MATCH(C2345,' Disaggregation - Section E '!A$618:A2671,0)+1,1)&lt;&gt;0,INDEX(' Disaggregation - Section E '!F$618:F2671,MATCH(C2345,' Disaggregation - Section E '!A$618:A2671,0)+1,1),""),"")</f>
        <v/>
      </c>
      <c r="I2345" s="388" t="str">
        <f ca="1">IFERROR(IF(VLOOKUP(C2345,' Disaggregation - Section E '!A$618:J2671,8,0)=0,"",VLOOKUP(C2345,' Disaggregation - Section E '!A$618:J2671,8,0)),"")</f>
        <v/>
      </c>
      <c r="J2345" s="388" t="str">
        <f ca="1">IFERROR(IF(VLOOKUP(C2345,' Disaggregation - Section E '!A$618:J2671,9,0)="","",VLOOKUP(C2345,' Disaggregation - Section E '!A$618:J2671,9,0)),"")</f>
        <v/>
      </c>
      <c r="K2345" s="384" t="str">
        <f ca="1">IFERROR(VLOOKUP(C2345,' Disaggregation - Section E '!A$618:J2671,3,0),"")</f>
        <v>TCS-1c⁽ᴹ⁾ Percentage of children (under 15) on ART among all children living with HIV at the end of the reporting period</v>
      </c>
      <c r="L2345" s="384"/>
      <c r="M2345" s="384" t="str">
        <f ca="1">IFERROR(IF(VLOOKUP(C2345,' Disaggregation - Section E '!A$618:O1474,15,0)=0,"",VLOOKUP(C2345,' Disaggregation - Section E '!A$618:O1474,15,0)),"")</f>
        <v/>
      </c>
      <c r="N2345" s="388" t="str">
        <f ca="1">IFERROR(IF(VLOOKUP(C2345,' Disaggregation - Section E '!A$618:J2671,10,0)=0,"",VLOOKUP(C2345,' Disaggregation - Section E '!A$618:J2671,10,0)),"")</f>
        <v/>
      </c>
      <c r="O2345" s="384"/>
    </row>
    <row r="2346" spans="1:15" x14ac:dyDescent="0.3">
      <c r="A2346" s="384" t="b">
        <f t="shared" ca="1" si="138"/>
        <v>0</v>
      </c>
      <c r="B2346" s="384"/>
      <c r="C2346" s="393" t="str">
        <f ca="1">IF(COUNTA(O$1493:O2346)=1,"",OFFSET(B2344,-COUNTA(O$1493:O2346)+3,1))</f>
        <v>a16Dm000000LZdZIAW</v>
      </c>
      <c r="D2346" s="389"/>
      <c r="E2346" s="386" t="str">
        <f ca="1">IFERROR(IF(VLOOKUP(C2346,' Disaggregation - Section E '!A$618:J2672,7,0)="","",VLOOKUP(C2346,' Disaggregation - Section E '!A$618:J2672,7,0)*100),"")</f>
        <v/>
      </c>
      <c r="F2346" s="388" t="str">
        <f ca="1">IFERROR(VLOOKUP(C2346,' Disaggregation - Section E '!A$618:J2672,5,0),"")</f>
        <v/>
      </c>
      <c r="G2346" s="387" t="str">
        <f ca="1">IFERROR(IF(VLOOKUP(C2346,' Disaggregation - Section E '!A$618:J2672,6,0)="","",VLOOKUP(C2346,' Disaggregation - Section E '!A$618:J2672,6,0)),"")</f>
        <v/>
      </c>
      <c r="H2346" s="387" t="str">
        <f ca="1">IFERROR(IF(INDEX(' Disaggregation - Section E '!F$618:F2672,MATCH(C2346,' Disaggregation - Section E '!A$618:A2672,0)+1,1)&lt;&gt;0,INDEX(' Disaggregation - Section E '!F$618:F2672,MATCH(C2346,' Disaggregation - Section E '!A$618:A2672,0)+1,1),""),"")</f>
        <v/>
      </c>
      <c r="I2346" s="388" t="str">
        <f ca="1">IFERROR(IF(VLOOKUP(C2346,' Disaggregation - Section E '!A$618:J2672,8,0)=0,"",VLOOKUP(C2346,' Disaggregation - Section E '!A$618:J2672,8,0)),"")</f>
        <v/>
      </c>
      <c r="J2346" s="388" t="str">
        <f ca="1">IFERROR(IF(VLOOKUP(C2346,' Disaggregation - Section E '!A$618:J2672,9,0)="","",VLOOKUP(C2346,' Disaggregation - Section E '!A$618:J2672,9,0)),"")</f>
        <v/>
      </c>
      <c r="K2346" s="384" t="str">
        <f ca="1">IFERROR(VLOOKUP(C2346,' Disaggregation - Section E '!A$618:J2672,3,0),"")</f>
        <v>TCS-1c⁽ᴹ⁾ Percentage of children (under 15) on ART among all children living with HIV at the end of the reporting period</v>
      </c>
      <c r="L2346" s="384"/>
      <c r="M2346" s="384" t="str">
        <f ca="1">IFERROR(IF(VLOOKUP(C2346,' Disaggregation - Section E '!A$618:O1475,15,0)=0,"",VLOOKUP(C2346,' Disaggregation - Section E '!A$618:O1475,15,0)),"")</f>
        <v/>
      </c>
      <c r="N2346" s="388" t="str">
        <f ca="1">IFERROR(IF(VLOOKUP(C2346,' Disaggregation - Section E '!A$618:J2672,10,0)=0,"",VLOOKUP(C2346,' Disaggregation - Section E '!A$618:J2672,10,0)),"")</f>
        <v/>
      </c>
      <c r="O2346" s="384"/>
    </row>
    <row r="2347" spans="1:15" x14ac:dyDescent="0.3">
      <c r="A2347" s="384" t="b">
        <f t="shared" ca="1" si="138"/>
        <v>0</v>
      </c>
      <c r="B2347" s="384"/>
      <c r="C2347" s="393" t="str">
        <f ca="1">IF(COUNTA(O$1493:O2347)=1,"",OFFSET(B2345,-COUNTA(O$1493:O2347)+3,1))</f>
        <v>a16Dm000000LZdaIAG</v>
      </c>
      <c r="D2347" s="389"/>
      <c r="E2347" s="386" t="str">
        <f ca="1">IFERROR(IF(VLOOKUP(C2347,' Disaggregation - Section E '!A$618:J2673,7,0)="","",VLOOKUP(C2347,' Disaggregation - Section E '!A$618:J2673,7,0)*100),"")</f>
        <v/>
      </c>
      <c r="F2347" s="388" t="str">
        <f ca="1">IFERROR(VLOOKUP(C2347,' Disaggregation - Section E '!A$618:J2673,5,0),"")</f>
        <v/>
      </c>
      <c r="G2347" s="387" t="str">
        <f ca="1">IFERROR(IF(VLOOKUP(C2347,' Disaggregation - Section E '!A$618:J2673,6,0)="","",VLOOKUP(C2347,' Disaggregation - Section E '!A$618:J2673,6,0)),"")</f>
        <v/>
      </c>
      <c r="H2347" s="387" t="str">
        <f ca="1">IFERROR(IF(INDEX(' Disaggregation - Section E '!F$618:F2673,MATCH(C2347,' Disaggregation - Section E '!A$618:A2673,0)+1,1)&lt;&gt;0,INDEX(' Disaggregation - Section E '!F$618:F2673,MATCH(C2347,' Disaggregation - Section E '!A$618:A2673,0)+1,1),""),"")</f>
        <v/>
      </c>
      <c r="I2347" s="388" t="str">
        <f ca="1">IFERROR(IF(VLOOKUP(C2347,' Disaggregation - Section E '!A$618:J2673,8,0)=0,"",VLOOKUP(C2347,' Disaggregation - Section E '!A$618:J2673,8,0)),"")</f>
        <v/>
      </c>
      <c r="J2347" s="388" t="str">
        <f ca="1">IFERROR(IF(VLOOKUP(C2347,' Disaggregation - Section E '!A$618:J2673,9,0)="","",VLOOKUP(C2347,' Disaggregation - Section E '!A$618:J2673,9,0)),"")</f>
        <v/>
      </c>
      <c r="K2347" s="384" t="str">
        <f ca="1">IFERROR(VLOOKUP(C2347,' Disaggregation - Section E '!A$618:J2673,3,0),"")</f>
        <v>TCS-1c⁽ᴹ⁾ Percentage of children (under 15) on ART among all children living with HIV at the end of the reporting period</v>
      </c>
      <c r="L2347" s="384"/>
      <c r="M2347" s="384" t="str">
        <f ca="1">IFERROR(IF(VLOOKUP(C2347,' Disaggregation - Section E '!A$618:O1476,15,0)=0,"",VLOOKUP(C2347,' Disaggregation - Section E '!A$618:O1476,15,0)),"")</f>
        <v/>
      </c>
      <c r="N2347" s="388" t="str">
        <f ca="1">IFERROR(IF(VLOOKUP(C2347,' Disaggregation - Section E '!A$618:J2673,10,0)=0,"",VLOOKUP(C2347,' Disaggregation - Section E '!A$618:J2673,10,0)),"")</f>
        <v/>
      </c>
      <c r="O2347" s="384"/>
    </row>
    <row r="2348" spans="1:15" x14ac:dyDescent="0.3">
      <c r="A2348" s="384" t="b">
        <f t="shared" ca="1" si="138"/>
        <v>0</v>
      </c>
      <c r="B2348" s="384"/>
      <c r="C2348" s="393" t="str">
        <f ca="1">IF(COUNTA(O$1493:O2348)=1,"",OFFSET(B2346,-COUNTA(O$1493:O2348)+3,1))</f>
        <v>a16Dm000000LZdbIAG</v>
      </c>
      <c r="D2348" s="389"/>
      <c r="E2348" s="386" t="str">
        <f ca="1">IFERROR(IF(VLOOKUP(C2348,' Disaggregation - Section E '!A$618:J2674,7,0)="","",VLOOKUP(C2348,' Disaggregation - Section E '!A$618:J2674,7,0)*100),"")</f>
        <v/>
      </c>
      <c r="F2348" s="388" t="str">
        <f ca="1">IFERROR(VLOOKUP(C2348,' Disaggregation - Section E '!A$618:J2674,5,0),"")</f>
        <v/>
      </c>
      <c r="G2348" s="387" t="str">
        <f ca="1">IFERROR(IF(VLOOKUP(C2348,' Disaggregation - Section E '!A$618:J2674,6,0)="","",VLOOKUP(C2348,' Disaggregation - Section E '!A$618:J2674,6,0)),"")</f>
        <v/>
      </c>
      <c r="H2348" s="387" t="str">
        <f ca="1">IFERROR(IF(INDEX(' Disaggregation - Section E '!F$618:F2674,MATCH(C2348,' Disaggregation - Section E '!A$618:A2674,0)+1,1)&lt;&gt;0,INDEX(' Disaggregation - Section E '!F$618:F2674,MATCH(C2348,' Disaggregation - Section E '!A$618:A2674,0)+1,1),""),"")</f>
        <v/>
      </c>
      <c r="I2348" s="388" t="str">
        <f ca="1">IFERROR(IF(VLOOKUP(C2348,' Disaggregation - Section E '!A$618:J2674,8,0)=0,"",VLOOKUP(C2348,' Disaggregation - Section E '!A$618:J2674,8,0)),"")</f>
        <v/>
      </c>
      <c r="J2348" s="388" t="str">
        <f ca="1">IFERROR(IF(VLOOKUP(C2348,' Disaggregation - Section E '!A$618:J2674,9,0)="","",VLOOKUP(C2348,' Disaggregation - Section E '!A$618:J2674,9,0)),"")</f>
        <v/>
      </c>
      <c r="K2348" s="384" t="str">
        <f ca="1">IFERROR(VLOOKUP(C2348,' Disaggregation - Section E '!A$618:J2674,3,0),"")</f>
        <v>TCS-1c⁽ᴹ⁾ Percentage of children (under 15) on ART among all children living with HIV at the end of the reporting period</v>
      </c>
      <c r="L2348" s="384"/>
      <c r="M2348" s="384" t="str">
        <f ca="1">IFERROR(IF(VLOOKUP(C2348,' Disaggregation - Section E '!A$618:O1477,15,0)=0,"",VLOOKUP(C2348,' Disaggregation - Section E '!A$618:O1477,15,0)),"")</f>
        <v/>
      </c>
      <c r="N2348" s="388" t="str">
        <f ca="1">IFERROR(IF(VLOOKUP(C2348,' Disaggregation - Section E '!A$618:J2674,10,0)=0,"",VLOOKUP(C2348,' Disaggregation - Section E '!A$618:J2674,10,0)),"")</f>
        <v/>
      </c>
      <c r="O2348" s="384"/>
    </row>
    <row r="2349" spans="1:15" x14ac:dyDescent="0.3">
      <c r="A2349" s="384" t="b">
        <f t="shared" ca="1" si="138"/>
        <v>0</v>
      </c>
      <c r="B2349" s="384"/>
      <c r="C2349" s="393" t="str">
        <f ca="1">IF(COUNTA(O$1493:O2349)=1,"",OFFSET(B2347,-COUNTA(O$1493:O2349)+3,1))</f>
        <v>a16Dm000000LZdcIAG</v>
      </c>
      <c r="D2349" s="389"/>
      <c r="E2349" s="386" t="str">
        <f ca="1">IFERROR(IF(VLOOKUP(C2349,' Disaggregation - Section E '!A$618:J2675,7,0)="","",VLOOKUP(C2349,' Disaggregation - Section E '!A$618:J2675,7,0)*100),"")</f>
        <v/>
      </c>
      <c r="F2349" s="388" t="str">
        <f ca="1">IFERROR(VLOOKUP(C2349,' Disaggregation - Section E '!A$618:J2675,5,0),"")</f>
        <v/>
      </c>
      <c r="G2349" s="387" t="str">
        <f ca="1">IFERROR(IF(VLOOKUP(C2349,' Disaggregation - Section E '!A$618:J2675,6,0)="","",VLOOKUP(C2349,' Disaggregation - Section E '!A$618:J2675,6,0)),"")</f>
        <v/>
      </c>
      <c r="H2349" s="387" t="str">
        <f ca="1">IFERROR(IF(INDEX(' Disaggregation - Section E '!F$618:F2675,MATCH(C2349,' Disaggregation - Section E '!A$618:A2675,0)+1,1)&lt;&gt;0,INDEX(' Disaggregation - Section E '!F$618:F2675,MATCH(C2349,' Disaggregation - Section E '!A$618:A2675,0)+1,1),""),"")</f>
        <v/>
      </c>
      <c r="I2349" s="388" t="str">
        <f ca="1">IFERROR(IF(VLOOKUP(C2349,' Disaggregation - Section E '!A$618:J2675,8,0)=0,"",VLOOKUP(C2349,' Disaggregation - Section E '!A$618:J2675,8,0)),"")</f>
        <v/>
      </c>
      <c r="J2349" s="388" t="str">
        <f ca="1">IFERROR(IF(VLOOKUP(C2349,' Disaggregation - Section E '!A$618:J2675,9,0)="","",VLOOKUP(C2349,' Disaggregation - Section E '!A$618:J2675,9,0)),"")</f>
        <v/>
      </c>
      <c r="K2349" s="384" t="str">
        <f ca="1">IFERROR(VLOOKUP(C2349,' Disaggregation - Section E '!A$618:J2675,3,0),"")</f>
        <v>TCS-1c⁽ᴹ⁾ Percentage of children (under 15) on ART among all children living with HIV at the end of the reporting period</v>
      </c>
      <c r="L2349" s="384"/>
      <c r="M2349" s="384" t="str">
        <f ca="1">IFERROR(IF(VLOOKUP(C2349,' Disaggregation - Section E '!A$618:O1478,15,0)=0,"",VLOOKUP(C2349,' Disaggregation - Section E '!A$618:O1478,15,0)),"")</f>
        <v/>
      </c>
      <c r="N2349" s="388" t="str">
        <f ca="1">IFERROR(IF(VLOOKUP(C2349,' Disaggregation - Section E '!A$618:J2675,10,0)=0,"",VLOOKUP(C2349,' Disaggregation - Section E '!A$618:J2675,10,0)),"")</f>
        <v/>
      </c>
      <c r="O2349" s="384"/>
    </row>
    <row r="2350" spans="1:15" x14ac:dyDescent="0.3">
      <c r="A2350" s="384" t="b">
        <f t="shared" ca="1" si="138"/>
        <v>0</v>
      </c>
      <c r="B2350" s="384"/>
      <c r="C2350" s="393" t="str">
        <f ca="1">IF(COUNTA(O$1493:O2350)=1,"",OFFSET(B2348,-COUNTA(O$1493:O2350)+3,1))</f>
        <v>a16Dm000000LZddIAG</v>
      </c>
      <c r="D2350" s="389"/>
      <c r="E2350" s="386" t="str">
        <f ca="1">IFERROR(IF(VLOOKUP(C2350,' Disaggregation - Section E '!A$618:J2676,7,0)="","",VLOOKUP(C2350,' Disaggregation - Section E '!A$618:J2676,7,0)*100),"")</f>
        <v/>
      </c>
      <c r="F2350" s="388" t="str">
        <f ca="1">IFERROR(VLOOKUP(C2350,' Disaggregation - Section E '!A$618:J2676,5,0),"")</f>
        <v/>
      </c>
      <c r="G2350" s="387" t="str">
        <f ca="1">IFERROR(IF(VLOOKUP(C2350,' Disaggregation - Section E '!A$618:J2676,6,0)="","",VLOOKUP(C2350,' Disaggregation - Section E '!A$618:J2676,6,0)),"")</f>
        <v/>
      </c>
      <c r="H2350" s="387" t="str">
        <f ca="1">IFERROR(IF(INDEX(' Disaggregation - Section E '!F$618:F2676,MATCH(C2350,' Disaggregation - Section E '!A$618:A2676,0)+1,1)&lt;&gt;0,INDEX(' Disaggregation - Section E '!F$618:F2676,MATCH(C2350,' Disaggregation - Section E '!A$618:A2676,0)+1,1),""),"")</f>
        <v/>
      </c>
      <c r="I2350" s="388" t="str">
        <f ca="1">IFERROR(IF(VLOOKUP(C2350,' Disaggregation - Section E '!A$618:J2676,8,0)=0,"",VLOOKUP(C2350,' Disaggregation - Section E '!A$618:J2676,8,0)),"")</f>
        <v/>
      </c>
      <c r="J2350" s="388" t="str">
        <f ca="1">IFERROR(IF(VLOOKUP(C2350,' Disaggregation - Section E '!A$618:J2676,9,0)="","",VLOOKUP(C2350,' Disaggregation - Section E '!A$618:J2676,9,0)),"")</f>
        <v/>
      </c>
      <c r="K2350" s="384" t="str">
        <f ca="1">IFERROR(VLOOKUP(C2350,' Disaggregation - Section E '!A$618:J2676,3,0),"")</f>
        <v>TCS-1c⁽ᴹ⁾ Percentage of children (under 15) on ART among all children living with HIV at the end of the reporting period</v>
      </c>
      <c r="L2350" s="384"/>
      <c r="M2350" s="384" t="str">
        <f ca="1">IFERROR(IF(VLOOKUP(C2350,' Disaggregation - Section E '!A$618:O1479,15,0)=0,"",VLOOKUP(C2350,' Disaggregation - Section E '!A$618:O1479,15,0)),"")</f>
        <v/>
      </c>
      <c r="N2350" s="388" t="str">
        <f ca="1">IFERROR(IF(VLOOKUP(C2350,' Disaggregation - Section E '!A$618:J2676,10,0)=0,"",VLOOKUP(C2350,' Disaggregation - Section E '!A$618:J2676,10,0)),"")</f>
        <v/>
      </c>
      <c r="O2350" s="384"/>
    </row>
    <row r="2351" spans="1:15" x14ac:dyDescent="0.3">
      <c r="A2351" s="384" t="b">
        <f t="shared" ref="A2351:A2414" ca="1" si="139">IF(M2351&lt;&gt;"",TRUE,FALSE)</f>
        <v>0</v>
      </c>
      <c r="B2351" s="384"/>
      <c r="C2351" s="393" t="str">
        <f ca="1">IF(COUNTA(O$1493:O2351)=1,"",OFFSET(B2349,-COUNTA(O$1493:O2351)+3,1))</f>
        <v>a16Dm000000LZdeIAG</v>
      </c>
      <c r="D2351" s="389"/>
      <c r="E2351" s="386" t="str">
        <f ca="1">IFERROR(IF(VLOOKUP(C2351,' Disaggregation - Section E '!A$618:J2677,7,0)="","",VLOOKUP(C2351,' Disaggregation - Section E '!A$618:J2677,7,0)*100),"")</f>
        <v/>
      </c>
      <c r="F2351" s="388" t="str">
        <f ca="1">IFERROR(VLOOKUP(C2351,' Disaggregation - Section E '!A$618:J2677,5,0),"")</f>
        <v/>
      </c>
      <c r="G2351" s="387" t="str">
        <f ca="1">IFERROR(IF(VLOOKUP(C2351,' Disaggregation - Section E '!A$618:J2677,6,0)="","",VLOOKUP(C2351,' Disaggregation - Section E '!A$618:J2677,6,0)),"")</f>
        <v/>
      </c>
      <c r="H2351" s="387" t="str">
        <f ca="1">IFERROR(IF(INDEX(' Disaggregation - Section E '!F$618:F2677,MATCH(C2351,' Disaggregation - Section E '!A$618:A2677,0)+1,1)&lt;&gt;0,INDEX(' Disaggregation - Section E '!F$618:F2677,MATCH(C2351,' Disaggregation - Section E '!A$618:A2677,0)+1,1),""),"")</f>
        <v/>
      </c>
      <c r="I2351" s="388" t="str">
        <f ca="1">IFERROR(IF(VLOOKUP(C2351,' Disaggregation - Section E '!A$618:J2677,8,0)=0,"",VLOOKUP(C2351,' Disaggregation - Section E '!A$618:J2677,8,0)),"")</f>
        <v/>
      </c>
      <c r="J2351" s="388" t="str">
        <f ca="1">IFERROR(IF(VLOOKUP(C2351,' Disaggregation - Section E '!A$618:J2677,9,0)="","",VLOOKUP(C2351,' Disaggregation - Section E '!A$618:J2677,9,0)),"")</f>
        <v/>
      </c>
      <c r="K2351" s="384" t="str">
        <f ca="1">IFERROR(VLOOKUP(C2351,' Disaggregation - Section E '!A$618:J2677,3,0),"")</f>
        <v>TCS-1c⁽ᴹ⁾ Percentage of children (under 15) on ART among all children living with HIV at the end of the reporting period</v>
      </c>
      <c r="L2351" s="384"/>
      <c r="M2351" s="384" t="str">
        <f ca="1">IFERROR(IF(VLOOKUP(C2351,' Disaggregation - Section E '!A$618:O1480,15,0)=0,"",VLOOKUP(C2351,' Disaggregation - Section E '!A$618:O1480,15,0)),"")</f>
        <v/>
      </c>
      <c r="N2351" s="388" t="str">
        <f ca="1">IFERROR(IF(VLOOKUP(C2351,' Disaggregation - Section E '!A$618:J2677,10,0)=0,"",VLOOKUP(C2351,' Disaggregation - Section E '!A$618:J2677,10,0)),"")</f>
        <v/>
      </c>
      <c r="O2351" s="384"/>
    </row>
    <row r="2352" spans="1:15" x14ac:dyDescent="0.3">
      <c r="A2352" s="384" t="b">
        <f t="shared" ca="1" si="139"/>
        <v>0</v>
      </c>
      <c r="B2352" s="384"/>
      <c r="C2352" s="393" t="str">
        <f ca="1">IF(COUNTA(O$1493:O2352)=1,"",OFFSET(B2350,-COUNTA(O$1493:O2352)+3,1))</f>
        <v>a16Dm000000LZdfIAG</v>
      </c>
      <c r="D2352" s="389"/>
      <c r="E2352" s="386" t="str">
        <f ca="1">IFERROR(IF(VLOOKUP(C2352,' Disaggregation - Section E '!A$618:J2678,7,0)="","",VLOOKUP(C2352,' Disaggregation - Section E '!A$618:J2678,7,0)*100),"")</f>
        <v/>
      </c>
      <c r="F2352" s="388" t="str">
        <f ca="1">IFERROR(VLOOKUP(C2352,' Disaggregation - Section E '!A$618:J2678,5,0),"")</f>
        <v/>
      </c>
      <c r="G2352" s="387" t="str">
        <f ca="1">IFERROR(IF(VLOOKUP(C2352,' Disaggregation - Section E '!A$618:J2678,6,0)="","",VLOOKUP(C2352,' Disaggregation - Section E '!A$618:J2678,6,0)),"")</f>
        <v/>
      </c>
      <c r="H2352" s="387" t="str">
        <f ca="1">IFERROR(IF(INDEX(' Disaggregation - Section E '!F$618:F2678,MATCH(C2352,' Disaggregation - Section E '!A$618:A2678,0)+1,1)&lt;&gt;0,INDEX(' Disaggregation - Section E '!F$618:F2678,MATCH(C2352,' Disaggregation - Section E '!A$618:A2678,0)+1,1),""),"")</f>
        <v/>
      </c>
      <c r="I2352" s="388" t="str">
        <f ca="1">IFERROR(IF(VLOOKUP(C2352,' Disaggregation - Section E '!A$618:J2678,8,0)=0,"",VLOOKUP(C2352,' Disaggregation - Section E '!A$618:J2678,8,0)),"")</f>
        <v/>
      </c>
      <c r="J2352" s="388" t="str">
        <f ca="1">IFERROR(IF(VLOOKUP(C2352,' Disaggregation - Section E '!A$618:J2678,9,0)="","",VLOOKUP(C2352,' Disaggregation - Section E '!A$618:J2678,9,0)),"")</f>
        <v/>
      </c>
      <c r="K2352" s="384" t="str">
        <f ca="1">IFERROR(VLOOKUP(C2352,' Disaggregation - Section E '!A$618:J2678,3,0),"")</f>
        <v>TCS-1c⁽ᴹ⁾ Percentage of children (under 15) on ART among all children living with HIV at the end of the reporting period</v>
      </c>
      <c r="L2352" s="384"/>
      <c r="M2352" s="384" t="str">
        <f ca="1">IFERROR(IF(VLOOKUP(C2352,' Disaggregation - Section E '!A$618:O1481,15,0)=0,"",VLOOKUP(C2352,' Disaggregation - Section E '!A$618:O1481,15,0)),"")</f>
        <v/>
      </c>
      <c r="N2352" s="388" t="str">
        <f ca="1">IFERROR(IF(VLOOKUP(C2352,' Disaggregation - Section E '!A$618:J2678,10,0)=0,"",VLOOKUP(C2352,' Disaggregation - Section E '!A$618:J2678,10,0)),"")</f>
        <v/>
      </c>
      <c r="O2352" s="384"/>
    </row>
    <row r="2353" spans="1:15" x14ac:dyDescent="0.3">
      <c r="A2353" s="384" t="b">
        <f t="shared" ca="1" si="139"/>
        <v>0</v>
      </c>
      <c r="B2353" s="384"/>
      <c r="C2353" s="393" t="str">
        <f ca="1">IF(COUNTA(O$1493:O2353)=1,"",OFFSET(B2351,-COUNTA(O$1493:O2353)+3,1))</f>
        <v>a16Dm000000LZdgIAG</v>
      </c>
      <c r="D2353" s="389"/>
      <c r="E2353" s="386" t="str">
        <f ca="1">IFERROR(IF(VLOOKUP(C2353,' Disaggregation - Section E '!A$618:J2679,7,0)="","",VLOOKUP(C2353,' Disaggregation - Section E '!A$618:J2679,7,0)*100),"")</f>
        <v/>
      </c>
      <c r="F2353" s="388" t="str">
        <f ca="1">IFERROR(VLOOKUP(C2353,' Disaggregation - Section E '!A$618:J2679,5,0),"")</f>
        <v/>
      </c>
      <c r="G2353" s="387" t="str">
        <f ca="1">IFERROR(IF(VLOOKUP(C2353,' Disaggregation - Section E '!A$618:J2679,6,0)="","",VLOOKUP(C2353,' Disaggregation - Section E '!A$618:J2679,6,0)),"")</f>
        <v/>
      </c>
      <c r="H2353" s="387" t="str">
        <f ca="1">IFERROR(IF(INDEX(' Disaggregation - Section E '!F$618:F2679,MATCH(C2353,' Disaggregation - Section E '!A$618:A2679,0)+1,1)&lt;&gt;0,INDEX(' Disaggregation - Section E '!F$618:F2679,MATCH(C2353,' Disaggregation - Section E '!A$618:A2679,0)+1,1),""),"")</f>
        <v/>
      </c>
      <c r="I2353" s="388" t="str">
        <f ca="1">IFERROR(IF(VLOOKUP(C2353,' Disaggregation - Section E '!A$618:J2679,8,0)=0,"",VLOOKUP(C2353,' Disaggregation - Section E '!A$618:J2679,8,0)),"")</f>
        <v/>
      </c>
      <c r="J2353" s="388" t="str">
        <f ca="1">IFERROR(IF(VLOOKUP(C2353,' Disaggregation - Section E '!A$618:J2679,9,0)="","",VLOOKUP(C2353,' Disaggregation - Section E '!A$618:J2679,9,0)),"")</f>
        <v/>
      </c>
      <c r="K2353" s="384" t="str">
        <f ca="1">IFERROR(VLOOKUP(C2353,' Disaggregation - Section E '!A$618:J2679,3,0),"")</f>
        <v>TCS-1c⁽ᴹ⁾ Percentage of children (under 15) on ART among all children living with HIV at the end of the reporting period</v>
      </c>
      <c r="L2353" s="384"/>
      <c r="M2353" s="384" t="str">
        <f ca="1">IFERROR(IF(VLOOKUP(C2353,' Disaggregation - Section E '!A$618:O1482,15,0)=0,"",VLOOKUP(C2353,' Disaggregation - Section E '!A$618:O1482,15,0)),"")</f>
        <v/>
      </c>
      <c r="N2353" s="388" t="str">
        <f ca="1">IFERROR(IF(VLOOKUP(C2353,' Disaggregation - Section E '!A$618:J2679,10,0)=0,"",VLOOKUP(C2353,' Disaggregation - Section E '!A$618:J2679,10,0)),"")</f>
        <v/>
      </c>
      <c r="O2353" s="384"/>
    </row>
    <row r="2354" spans="1:15" x14ac:dyDescent="0.3">
      <c r="A2354" s="384" t="b">
        <f t="shared" ca="1" si="139"/>
        <v>0</v>
      </c>
      <c r="B2354" s="384"/>
      <c r="C2354" s="393" t="str">
        <f ca="1">IF(COUNTA(O$1493:O2354)=1,"",OFFSET(B2352,-COUNTA(O$1493:O2354)+3,1))</f>
        <v>a16Dm000000LZdhIAG</v>
      </c>
      <c r="D2354" s="389"/>
      <c r="E2354" s="386" t="str">
        <f ca="1">IFERROR(IF(VLOOKUP(C2354,' Disaggregation - Section E '!A$618:J2680,7,0)="","",VLOOKUP(C2354,' Disaggregation - Section E '!A$618:J2680,7,0)*100),"")</f>
        <v/>
      </c>
      <c r="F2354" s="388" t="str">
        <f ca="1">IFERROR(VLOOKUP(C2354,' Disaggregation - Section E '!A$618:J2680,5,0),"")</f>
        <v/>
      </c>
      <c r="G2354" s="387" t="str">
        <f ca="1">IFERROR(IF(VLOOKUP(C2354,' Disaggregation - Section E '!A$618:J2680,6,0)="","",VLOOKUP(C2354,' Disaggregation - Section E '!A$618:J2680,6,0)),"")</f>
        <v/>
      </c>
      <c r="H2354" s="387" t="str">
        <f ca="1">IFERROR(IF(INDEX(' Disaggregation - Section E '!F$618:F2680,MATCH(C2354,' Disaggregation - Section E '!A$618:A2680,0)+1,1)&lt;&gt;0,INDEX(' Disaggregation - Section E '!F$618:F2680,MATCH(C2354,' Disaggregation - Section E '!A$618:A2680,0)+1,1),""),"")</f>
        <v/>
      </c>
      <c r="I2354" s="388" t="str">
        <f ca="1">IFERROR(IF(VLOOKUP(C2354,' Disaggregation - Section E '!A$618:J2680,8,0)=0,"",VLOOKUP(C2354,' Disaggregation - Section E '!A$618:J2680,8,0)),"")</f>
        <v/>
      </c>
      <c r="J2354" s="388" t="str">
        <f ca="1">IFERROR(IF(VLOOKUP(C2354,' Disaggregation - Section E '!A$618:J2680,9,0)="","",VLOOKUP(C2354,' Disaggregation - Section E '!A$618:J2680,9,0)),"")</f>
        <v/>
      </c>
      <c r="K2354" s="384" t="str">
        <f ca="1">IFERROR(VLOOKUP(C2354,' Disaggregation - Section E '!A$618:J2680,3,0),"")</f>
        <v>TCS-1c⁽ᴹ⁾ Percentage of children (under 15) on ART among all children living with HIV at the end of the reporting period</v>
      </c>
      <c r="L2354" s="384"/>
      <c r="M2354" s="384" t="str">
        <f ca="1">IFERROR(IF(VLOOKUP(C2354,' Disaggregation - Section E '!A$618:O1483,15,0)=0,"",VLOOKUP(C2354,' Disaggregation - Section E '!A$618:O1483,15,0)),"")</f>
        <v/>
      </c>
      <c r="N2354" s="388" t="str">
        <f ca="1">IFERROR(IF(VLOOKUP(C2354,' Disaggregation - Section E '!A$618:J2680,10,0)=0,"",VLOOKUP(C2354,' Disaggregation - Section E '!A$618:J2680,10,0)),"")</f>
        <v/>
      </c>
      <c r="O2354" s="384"/>
    </row>
    <row r="2355" spans="1:15" x14ac:dyDescent="0.3">
      <c r="A2355" s="384" t="b">
        <f t="shared" ca="1" si="139"/>
        <v>1</v>
      </c>
      <c r="B2355" s="384"/>
      <c r="C2355" s="393" t="str">
        <f ca="1">IF(COUNTA(O$1493:O2355)=1,"",OFFSET(B2353,-COUNTA(O$1493:O2355)+3,1))</f>
        <v>a16Dm000000LZdiIAG</v>
      </c>
      <c r="D2355" s="389"/>
      <c r="E2355" s="386">
        <f ca="1">IFERROR(IF(VLOOKUP(C2355,' Disaggregation - Section E '!A$618:J2681,7,0)="","",VLOOKUP(C2355,' Disaggregation - Section E '!A$618:J2681,7,0)*100),"")</f>
        <v>98.611111111111114</v>
      </c>
      <c r="F2355" s="388" t="str">
        <f ca="1">IFERROR(VLOOKUP(C2355,' Disaggregation - Section E '!A$618:J2681,5,0),"")</f>
        <v>15+</v>
      </c>
      <c r="G2355" s="387">
        <f ca="1">IFERROR(IF(VLOOKUP(C2355,' Disaggregation - Section E '!A$618:J2681,6,0)="","",VLOOKUP(C2355,' Disaggregation - Section E '!A$618:J2681,6,0)),"")</f>
        <v>142</v>
      </c>
      <c r="H2355" s="387">
        <f ca="1">IFERROR(IF(INDEX(' Disaggregation - Section E '!F$618:F2681,MATCH(C2355,' Disaggregation - Section E '!A$618:A2681,0)+1,1)&lt;&gt;0,INDEX(' Disaggregation - Section E '!F$618:F2681,MATCH(C2355,' Disaggregation - Section E '!A$618:A2681,0)+1,1),""),"")</f>
        <v>144</v>
      </c>
      <c r="I2355" s="388">
        <f ca="1">IFERROR(IF(VLOOKUP(C2355,' Disaggregation - Section E '!A$618:J2681,8,0)=0,"",VLOOKUP(C2355,' Disaggregation - Section E '!A$618:J2681,8,0)),"")</f>
        <v>2022</v>
      </c>
      <c r="J2355" s="388" t="str">
        <f ca="1">IFERROR(IF(VLOOKUP(C2355,' Disaggregation - Section E '!A$618:J2681,9,0)="","",VLOOKUP(C2355,' Disaggregation - Section E '!A$618:J2681,9,0)),"")</f>
        <v xml:space="preserve">Electronic HIV Case Tracking System and RCHV&amp;HIV report
</v>
      </c>
      <c r="K2355" s="384" t="str">
        <f ca="1">IFERROR(VLOOKUP(C2355,' Disaggregation - Section E '!A$618:J2681,3,0),"")</f>
        <v>TB/HIV-6⁽ᴹ⁾ Percentage of HIV-positive new and relapse TB patients on ART during TB treatment</v>
      </c>
      <c r="L2355" s="384"/>
      <c r="M2355" s="384" t="str">
        <f ca="1">IFERROR(IF(VLOOKUP(C2355,' Disaggregation - Section E '!A$618:O1484,15,0)=0,"",VLOOKUP(C2355,' Disaggregation - Section E '!A$618:O1484,15,0)),"")</f>
        <v>IDR-01361</v>
      </c>
      <c r="N2355" s="388" t="str">
        <f ca="1">IFERROR(IF(VLOOKUP(C2355,' Disaggregation - Section E '!A$618:J2681,10,0)=0,"",VLOOKUP(C2355,' Disaggregation - Section E '!A$618:J2681,10,0)),"")</f>
        <v>Numerator: Number of HIV-positive new and relapsed TB patients started on TB treatment during the reporting period who are already on ART or who start on ART during TB treatment	
Denumerator: Number of HIV-positive new and relapsed TB patients registered during the reporting period.</v>
      </c>
      <c r="O2355" s="384"/>
    </row>
    <row r="2356" spans="1:15" x14ac:dyDescent="0.3">
      <c r="A2356" s="384" t="b">
        <f t="shared" ca="1" si="139"/>
        <v>1</v>
      </c>
      <c r="B2356" s="384"/>
      <c r="C2356" s="393" t="str">
        <f ca="1">IF(COUNTA(O$1493:O2356)=1,"",OFFSET(B2354,-COUNTA(O$1493:O2356)+3,1))</f>
        <v>a16Dm000000LZdjIAG</v>
      </c>
      <c r="D2356" s="389"/>
      <c r="E2356" s="386">
        <f ca="1">IFERROR(IF(VLOOKUP(C2356,' Disaggregation - Section E '!A$618:J2682,7,0)="","",VLOOKUP(C2356,' Disaggregation - Section E '!A$618:J2682,7,0)*100),"")</f>
        <v>67.361111111111114</v>
      </c>
      <c r="F2356" s="388" t="str">
        <f ca="1">IFERROR(VLOOKUP(C2356,' Disaggregation - Section E '!A$618:J2682,5,0),"")</f>
        <v>Male</v>
      </c>
      <c r="G2356" s="387">
        <f ca="1">IFERROR(IF(VLOOKUP(C2356,' Disaggregation - Section E '!A$618:J2682,6,0)="","",VLOOKUP(C2356,' Disaggregation - Section E '!A$618:J2682,6,0)),"")</f>
        <v>97</v>
      </c>
      <c r="H2356" s="387">
        <f ca="1">IFERROR(IF(INDEX(' Disaggregation - Section E '!F$618:F2682,MATCH(C2356,' Disaggregation - Section E '!A$618:A2682,0)+1,1)&lt;&gt;0,INDEX(' Disaggregation - Section E '!F$618:F2682,MATCH(C2356,' Disaggregation - Section E '!A$618:A2682,0)+1,1),""),"")</f>
        <v>144</v>
      </c>
      <c r="I2356" s="388">
        <f ca="1">IFERROR(IF(VLOOKUP(C2356,' Disaggregation - Section E '!A$618:J2682,8,0)=0,"",VLOOKUP(C2356,' Disaggregation - Section E '!A$618:J2682,8,0)),"")</f>
        <v>2022</v>
      </c>
      <c r="J2356" s="388" t="str">
        <f ca="1">IFERROR(IF(VLOOKUP(C2356,' Disaggregation - Section E '!A$618:J2682,9,0)="","",VLOOKUP(C2356,' Disaggregation - Section E '!A$618:J2682,9,0)),"")</f>
        <v xml:space="preserve">Electronic HIV Case Tracking System and RCHV&amp;HIV report
</v>
      </c>
      <c r="K2356" s="384" t="str">
        <f ca="1">IFERROR(VLOOKUP(C2356,' Disaggregation - Section E '!A$618:J2682,3,0),"")</f>
        <v>TB/HIV-6⁽ᴹ⁾ Percentage of HIV-positive new and relapse TB patients on ART during TB treatment</v>
      </c>
      <c r="L2356" s="384"/>
      <c r="M2356" s="384" t="str">
        <f ca="1">IFERROR(IF(VLOOKUP(C2356,' Disaggregation - Section E '!A$618:O1485,15,0)=0,"",VLOOKUP(C2356,' Disaggregation - Section E '!A$618:O1485,15,0)),"")</f>
        <v>IDR-01360</v>
      </c>
      <c r="N2356" s="388" t="str">
        <f ca="1">IFERROR(IF(VLOOKUP(C2356,' Disaggregation - Section E '!A$618:J2682,10,0)=0,"",VLOOKUP(C2356,' Disaggregation - Section E '!A$618:J2682,10,0)),"")</f>
        <v>Numerator: Number of HIV-positive new and relapsed TB patients started on TB treatment during the reporting period who are already on ART or who start on ART during TB treatment	
Denumerator: Number of HIV-positive new and relapsed TB patients registered during the reporting period.</v>
      </c>
      <c r="O2356" s="384"/>
    </row>
    <row r="2357" spans="1:15" x14ac:dyDescent="0.3">
      <c r="A2357" s="384" t="b">
        <f t="shared" ca="1" si="139"/>
        <v>1</v>
      </c>
      <c r="B2357" s="384"/>
      <c r="C2357" s="393" t="str">
        <f ca="1">IF(COUNTA(O$1493:O2357)=1,"",OFFSET(B2355,-COUNTA(O$1493:O2357)+3,1))</f>
        <v>a16Dm000000LZdkIAG</v>
      </c>
      <c r="D2357" s="389"/>
      <c r="E2357" s="386">
        <f ca="1">IFERROR(IF(VLOOKUP(C2357,' Disaggregation - Section E '!A$618:J2683,7,0)="","",VLOOKUP(C2357,' Disaggregation - Section E '!A$618:J2683,7,0)*100),"")</f>
        <v>1.3888888888888888</v>
      </c>
      <c r="F2357" s="388" t="str">
        <f ca="1">IFERROR(VLOOKUP(C2357,' Disaggregation - Section E '!A$618:J2683,5,0),"")</f>
        <v>5-14</v>
      </c>
      <c r="G2357" s="387">
        <f ca="1">IFERROR(IF(VLOOKUP(C2357,' Disaggregation - Section E '!A$618:J2683,6,0)="","",VLOOKUP(C2357,' Disaggregation - Section E '!A$618:J2683,6,0)),"")</f>
        <v>2</v>
      </c>
      <c r="H2357" s="387">
        <f ca="1">IFERROR(IF(INDEX(' Disaggregation - Section E '!F$618:F2683,MATCH(C2357,' Disaggregation - Section E '!A$618:A2683,0)+1,1)&lt;&gt;0,INDEX(' Disaggregation - Section E '!F$618:F2683,MATCH(C2357,' Disaggregation - Section E '!A$618:A2683,0)+1,1),""),"")</f>
        <v>144</v>
      </c>
      <c r="I2357" s="388">
        <f ca="1">IFERROR(IF(VLOOKUP(C2357,' Disaggregation - Section E '!A$618:J2683,8,0)=0,"",VLOOKUP(C2357,' Disaggregation - Section E '!A$618:J2683,8,0)),"")</f>
        <v>2022</v>
      </c>
      <c r="J2357" s="388" t="str">
        <f ca="1">IFERROR(IF(VLOOKUP(C2357,' Disaggregation - Section E '!A$618:J2683,9,0)="","",VLOOKUP(C2357,' Disaggregation - Section E '!A$618:J2683,9,0)),"")</f>
        <v xml:space="preserve">Electronic HIV Case Tracking System and RCHV&amp;HIV report
</v>
      </c>
      <c r="K2357" s="384" t="str">
        <f ca="1">IFERROR(VLOOKUP(C2357,' Disaggregation - Section E '!A$618:J2683,3,0),"")</f>
        <v>TB/HIV-6⁽ᴹ⁾ Percentage of HIV-positive new and relapse TB patients on ART during TB treatment</v>
      </c>
      <c r="L2357" s="384"/>
      <c r="M2357" s="384" t="str">
        <f ca="1">IFERROR(IF(VLOOKUP(C2357,' Disaggregation - Section E '!A$618:O1486,15,0)=0,"",VLOOKUP(C2357,' Disaggregation - Section E '!A$618:O1486,15,0)),"")</f>
        <v>IDR-01359</v>
      </c>
      <c r="N2357" s="388" t="str">
        <f ca="1">IFERROR(IF(VLOOKUP(C2357,' Disaggregation - Section E '!A$618:J2683,10,0)=0,"",VLOOKUP(C2357,' Disaggregation - Section E '!A$618:J2683,10,0)),"")</f>
        <v>Numerator: Number of HIV-positive new and relapsed TB patients started on TB treatment during the reporting period who are already on ART or who start on ART during TB treatment	
Denumerator: Number of HIV-positive new and relapsed TB patients registered during the reporting period.</v>
      </c>
      <c r="O2357" s="384"/>
    </row>
    <row r="2358" spans="1:15" x14ac:dyDescent="0.3">
      <c r="A2358" s="384" t="b">
        <f t="shared" ca="1" si="139"/>
        <v>1</v>
      </c>
      <c r="B2358" s="384"/>
      <c r="C2358" s="393" t="str">
        <f ca="1">IF(COUNTA(O$1493:O2358)=1,"",OFFSET(B2356,-COUNTA(O$1493:O2358)+3,1))</f>
        <v>a16Dm000000LZdlIAG</v>
      </c>
      <c r="D2358" s="389"/>
      <c r="E2358" s="386">
        <f ca="1">IFERROR(IF(VLOOKUP(C2358,' Disaggregation - Section E '!A$618:J2684,7,0)="","",VLOOKUP(C2358,' Disaggregation - Section E '!A$618:J2684,7,0)*100),"")</f>
        <v>0.69444444444444442</v>
      </c>
      <c r="F2358" s="388" t="str">
        <f ca="1">IFERROR(VLOOKUP(C2358,' Disaggregation - Section E '!A$618:J2684,5,0),"")</f>
        <v>&lt;5</v>
      </c>
      <c r="G2358" s="387">
        <f ca="1">IFERROR(IF(VLOOKUP(C2358,' Disaggregation - Section E '!A$618:J2684,6,0)="","",VLOOKUP(C2358,' Disaggregation - Section E '!A$618:J2684,6,0)),"")</f>
        <v>1</v>
      </c>
      <c r="H2358" s="387">
        <f ca="1">IFERROR(IF(INDEX(' Disaggregation - Section E '!F$618:F2684,MATCH(C2358,' Disaggregation - Section E '!A$618:A2684,0)+1,1)&lt;&gt;0,INDEX(' Disaggregation - Section E '!F$618:F2684,MATCH(C2358,' Disaggregation - Section E '!A$618:A2684,0)+1,1),""),"")</f>
        <v>144</v>
      </c>
      <c r="I2358" s="388">
        <f ca="1">IFERROR(IF(VLOOKUP(C2358,' Disaggregation - Section E '!A$618:J2684,8,0)=0,"",VLOOKUP(C2358,' Disaggregation - Section E '!A$618:J2684,8,0)),"")</f>
        <v>2022</v>
      </c>
      <c r="J2358" s="388" t="str">
        <f ca="1">IFERROR(IF(VLOOKUP(C2358,' Disaggregation - Section E '!A$618:J2684,9,0)="","",VLOOKUP(C2358,' Disaggregation - Section E '!A$618:J2684,9,0)),"")</f>
        <v xml:space="preserve">Electronic HIV Case Tracking System and RCHV&amp;HIV report
</v>
      </c>
      <c r="K2358" s="384" t="str">
        <f ca="1">IFERROR(VLOOKUP(C2358,' Disaggregation - Section E '!A$618:J2684,3,0),"")</f>
        <v>TB/HIV-6⁽ᴹ⁾ Percentage of HIV-positive new and relapse TB patients on ART during TB treatment</v>
      </c>
      <c r="L2358" s="384"/>
      <c r="M2358" s="384" t="str">
        <f ca="1">IFERROR(IF(VLOOKUP(C2358,' Disaggregation - Section E '!A$618:O1487,15,0)=0,"",VLOOKUP(C2358,' Disaggregation - Section E '!A$618:O1487,15,0)),"")</f>
        <v>IDR-01358</v>
      </c>
      <c r="N2358" s="388" t="str">
        <f ca="1">IFERROR(IF(VLOOKUP(C2358,' Disaggregation - Section E '!A$618:J2684,10,0)=0,"",VLOOKUP(C2358,' Disaggregation - Section E '!A$618:J2684,10,0)),"")</f>
        <v>Numerator: Number of HIV-positive new and relapsed TB patients started on TB treatment during the reporting period who are already on ART or who start on ART during TB treatment	
Denumerator: Number of HIV-positive new and relapsed TB patients registered during the reporting period.</v>
      </c>
      <c r="O2358" s="384"/>
    </row>
    <row r="2359" spans="1:15" x14ac:dyDescent="0.3">
      <c r="A2359" s="384" t="b">
        <f t="shared" ca="1" si="139"/>
        <v>1</v>
      </c>
      <c r="B2359" s="384"/>
      <c r="C2359" s="393" t="str">
        <f ca="1">IF(COUNTA(O$1493:O2359)=1,"",OFFSET(B2357,-COUNTA(O$1493:O2359)+3,1))</f>
        <v>a16Dm000000LZdmIAG</v>
      </c>
      <c r="D2359" s="389"/>
      <c r="E2359" s="386">
        <f ca="1">IFERROR(IF(VLOOKUP(C2359,' Disaggregation - Section E '!A$618:J2685,7,0)="","",VLOOKUP(C2359,' Disaggregation - Section E '!A$618:J2685,7,0)*100),"")</f>
        <v>32.638888888888893</v>
      </c>
      <c r="F2359" s="388" t="str">
        <f ca="1">IFERROR(VLOOKUP(C2359,' Disaggregation - Section E '!A$618:J2685,5,0),"")</f>
        <v>Female</v>
      </c>
      <c r="G2359" s="387">
        <f ca="1">IFERROR(IF(VLOOKUP(C2359,' Disaggregation - Section E '!A$618:J2685,6,0)="","",VLOOKUP(C2359,' Disaggregation - Section E '!A$618:J2685,6,0)),"")</f>
        <v>47</v>
      </c>
      <c r="H2359" s="387">
        <f ca="1">IFERROR(IF(INDEX(' Disaggregation - Section E '!F$618:F2685,MATCH(C2359,' Disaggregation - Section E '!A$618:A2685,0)+1,1)&lt;&gt;0,INDEX(' Disaggregation - Section E '!F$618:F2685,MATCH(C2359,' Disaggregation - Section E '!A$618:A2685,0)+1,1),""),"")</f>
        <v>144</v>
      </c>
      <c r="I2359" s="388">
        <f ca="1">IFERROR(IF(VLOOKUP(C2359,' Disaggregation - Section E '!A$618:J2685,8,0)=0,"",VLOOKUP(C2359,' Disaggregation - Section E '!A$618:J2685,8,0)),"")</f>
        <v>2022</v>
      </c>
      <c r="J2359" s="388" t="str">
        <f ca="1">IFERROR(IF(VLOOKUP(C2359,' Disaggregation - Section E '!A$618:J2685,9,0)="","",VLOOKUP(C2359,' Disaggregation - Section E '!A$618:J2685,9,0)),"")</f>
        <v xml:space="preserve">Electronic HIV Case Tracking System and RCHV&amp;HIV report
</v>
      </c>
      <c r="K2359" s="384" t="str">
        <f ca="1">IFERROR(VLOOKUP(C2359,' Disaggregation - Section E '!A$618:J2685,3,0),"")</f>
        <v>TB/HIV-6⁽ᴹ⁾ Percentage of HIV-positive new and relapse TB patients on ART during TB treatment</v>
      </c>
      <c r="L2359" s="384"/>
      <c r="M2359" s="384" t="str">
        <f ca="1">IFERROR(IF(VLOOKUP(C2359,' Disaggregation - Section E '!A$618:O1488,15,0)=0,"",VLOOKUP(C2359,' Disaggregation - Section E '!A$618:O1488,15,0)),"")</f>
        <v>IDR-01357</v>
      </c>
      <c r="N2359" s="388" t="str">
        <f ca="1">IFERROR(IF(VLOOKUP(C2359,' Disaggregation - Section E '!A$618:J2685,10,0)=0,"",VLOOKUP(C2359,' Disaggregation - Section E '!A$618:J2685,10,0)),"")</f>
        <v>Numerator: Number of HIV-positive new and relapsed TB patients started on TB treatment during the reporting period who are already on ART or who start on ART during TB treatment	
Denumerator: Number of HIV-positive new and relapsed TB patients registered during the reporting period.</v>
      </c>
      <c r="O2359" s="384"/>
    </row>
    <row r="2360" spans="1:15" x14ac:dyDescent="0.3">
      <c r="A2360" s="384" t="b">
        <f t="shared" ca="1" si="139"/>
        <v>0</v>
      </c>
      <c r="B2360" s="384"/>
      <c r="C2360" s="393" t="str">
        <f ca="1">IF(COUNTA(O$1493:O2360)=1,"",OFFSET(B2358,-COUNTA(O$1493:O2360)+3,1))</f>
        <v>a16Dm000000LZdnIAG</v>
      </c>
      <c r="D2360" s="389"/>
      <c r="E2360" s="386" t="str">
        <f ca="1">IFERROR(IF(VLOOKUP(C2360,' Disaggregation - Section E '!A$618:J2686,7,0)="","",VLOOKUP(C2360,' Disaggregation - Section E '!A$618:J2686,7,0)*100),"")</f>
        <v/>
      </c>
      <c r="F2360" s="388" t="str">
        <f ca="1">IFERROR(VLOOKUP(C2360,' Disaggregation - Section E '!A$618:J2686,5,0),"")</f>
        <v/>
      </c>
      <c r="G2360" s="387" t="str">
        <f ca="1">IFERROR(IF(VLOOKUP(C2360,' Disaggregation - Section E '!A$618:J2686,6,0)="","",VLOOKUP(C2360,' Disaggregation - Section E '!A$618:J2686,6,0)),"")</f>
        <v/>
      </c>
      <c r="H2360" s="387" t="str">
        <f ca="1">IFERROR(IF(INDEX(' Disaggregation - Section E '!F$618:F2686,MATCH(C2360,' Disaggregation - Section E '!A$618:A2686,0)+1,1)&lt;&gt;0,INDEX(' Disaggregation - Section E '!F$618:F2686,MATCH(C2360,' Disaggregation - Section E '!A$618:A2686,0)+1,1),""),"")</f>
        <v/>
      </c>
      <c r="I2360" s="388">
        <f ca="1">IFERROR(IF(VLOOKUP(C2360,' Disaggregation - Section E '!A$618:J2686,8,0)=0,"",VLOOKUP(C2360,' Disaggregation - Section E '!A$618:J2686,8,0)),"")</f>
        <v>2022</v>
      </c>
      <c r="J2360" s="388" t="str">
        <f ca="1">IFERROR(IF(VLOOKUP(C2360,' Disaggregation - Section E '!A$618:J2686,9,0)="","",VLOOKUP(C2360,' Disaggregation - Section E '!A$618:J2686,9,0)),"")</f>
        <v xml:space="preserve">Electronic HIV Case Tracking System and RCHV&amp;HIV report
</v>
      </c>
      <c r="K2360" s="384" t="str">
        <f ca="1">IFERROR(VLOOKUP(C2360,' Disaggregation - Section E '!A$618:J2686,3,0),"")</f>
        <v>TB/HIV-6⁽ᴹ⁾ Percentage of HIV-positive new and relapse TB patients on ART during TB treatment</v>
      </c>
      <c r="L2360" s="384"/>
      <c r="M2360" s="384" t="str">
        <f ca="1">IFERROR(IF(VLOOKUP(C2360,' Disaggregation - Section E '!A$618:O1489,15,0)=0,"",VLOOKUP(C2360,' Disaggregation - Section E '!A$618:O1489,15,0)),"")</f>
        <v/>
      </c>
      <c r="N2360" s="388" t="str">
        <f ca="1">IFERROR(IF(VLOOKUP(C2360,' Disaggregation - Section E '!A$618:J2686,10,0)=0,"",VLOOKUP(C2360,' Disaggregation - Section E '!A$618:J2686,10,0)),"")</f>
        <v/>
      </c>
      <c r="O2360" s="384"/>
    </row>
    <row r="2361" spans="1:15" x14ac:dyDescent="0.3">
      <c r="A2361" s="384" t="b">
        <f t="shared" ca="1" si="139"/>
        <v>0</v>
      </c>
      <c r="B2361" s="384"/>
      <c r="C2361" s="393" t="str">
        <f ca="1">IF(COUNTA(O$1493:O2361)=1,"",OFFSET(B2359,-COUNTA(O$1493:O2361)+3,1))</f>
        <v>a16Dm000000LZdoIAG</v>
      </c>
      <c r="D2361" s="389"/>
      <c r="E2361" s="386" t="str">
        <f ca="1">IFERROR(IF(VLOOKUP(C2361,' Disaggregation - Section E '!A$618:J2687,7,0)="","",VLOOKUP(C2361,' Disaggregation - Section E '!A$618:J2687,7,0)*100),"")</f>
        <v/>
      </c>
      <c r="F2361" s="388" t="str">
        <f ca="1">IFERROR(VLOOKUP(C2361,' Disaggregation - Section E '!A$618:J2687,5,0),"")</f>
        <v/>
      </c>
      <c r="G2361" s="387" t="str">
        <f ca="1">IFERROR(IF(VLOOKUP(C2361,' Disaggregation - Section E '!A$618:J2687,6,0)="","",VLOOKUP(C2361,' Disaggregation - Section E '!A$618:J2687,6,0)),"")</f>
        <v/>
      </c>
      <c r="H2361" s="387" t="str">
        <f ca="1">IFERROR(IF(INDEX(' Disaggregation - Section E '!F$618:F2687,MATCH(C2361,' Disaggregation - Section E '!A$618:A2687,0)+1,1)&lt;&gt;0,INDEX(' Disaggregation - Section E '!F$618:F2687,MATCH(C2361,' Disaggregation - Section E '!A$618:A2687,0)+1,1),""),"")</f>
        <v/>
      </c>
      <c r="I2361" s="388" t="str">
        <f ca="1">IFERROR(IF(VLOOKUP(C2361,' Disaggregation - Section E '!A$618:J2687,8,0)=0,"",VLOOKUP(C2361,' Disaggregation - Section E '!A$618:J2687,8,0)),"")</f>
        <v/>
      </c>
      <c r="J2361" s="388" t="str">
        <f ca="1">IFERROR(IF(VLOOKUP(C2361,' Disaggregation - Section E '!A$618:J2687,9,0)="","",VLOOKUP(C2361,' Disaggregation - Section E '!A$618:J2687,9,0)),"")</f>
        <v/>
      </c>
      <c r="K2361" s="384" t="str">
        <f ca="1">IFERROR(VLOOKUP(C2361,' Disaggregation - Section E '!A$618:J2687,3,0),"")</f>
        <v>TB/HIV-6⁽ᴹ⁾ Percentage of HIV-positive new and relapse TB patients on ART during TB treatment</v>
      </c>
      <c r="L2361" s="384"/>
      <c r="M2361" s="384" t="str">
        <f ca="1">IFERROR(IF(VLOOKUP(C2361,' Disaggregation - Section E '!A$618:O1490,15,0)=0,"",VLOOKUP(C2361,' Disaggregation - Section E '!A$618:O1490,15,0)),"")</f>
        <v/>
      </c>
      <c r="N2361" s="388" t="str">
        <f ca="1">IFERROR(IF(VLOOKUP(C2361,' Disaggregation - Section E '!A$618:J2687,10,0)=0,"",VLOOKUP(C2361,' Disaggregation - Section E '!A$618:J2687,10,0)),"")</f>
        <v/>
      </c>
      <c r="O2361" s="384"/>
    </row>
    <row r="2362" spans="1:15" x14ac:dyDescent="0.3">
      <c r="A2362" s="384" t="b">
        <f t="shared" ca="1" si="139"/>
        <v>0</v>
      </c>
      <c r="B2362" s="384"/>
      <c r="C2362" s="393" t="str">
        <f ca="1">IF(COUNTA(O$1493:O2362)=1,"",OFFSET(B2360,-COUNTA(O$1493:O2362)+3,1))</f>
        <v>a16Dm000000LZdpIAG</v>
      </c>
      <c r="D2362" s="389"/>
      <c r="E2362" s="386" t="str">
        <f ca="1">IFERROR(IF(VLOOKUP(C2362,' Disaggregation - Section E '!A$618:J2688,7,0)="","",VLOOKUP(C2362,' Disaggregation - Section E '!A$618:J2688,7,0)*100),"")</f>
        <v/>
      </c>
      <c r="F2362" s="388" t="str">
        <f ca="1">IFERROR(VLOOKUP(C2362,' Disaggregation - Section E '!A$618:J2688,5,0),"")</f>
        <v/>
      </c>
      <c r="G2362" s="387" t="str">
        <f ca="1">IFERROR(IF(VLOOKUP(C2362,' Disaggregation - Section E '!A$618:J2688,6,0)="","",VLOOKUP(C2362,' Disaggregation - Section E '!A$618:J2688,6,0)),"")</f>
        <v/>
      </c>
      <c r="H2362" s="387" t="str">
        <f ca="1">IFERROR(IF(INDEX(' Disaggregation - Section E '!F$618:F2688,MATCH(C2362,' Disaggregation - Section E '!A$618:A2688,0)+1,1)&lt;&gt;0,INDEX(' Disaggregation - Section E '!F$618:F2688,MATCH(C2362,' Disaggregation - Section E '!A$618:A2688,0)+1,1),""),"")</f>
        <v/>
      </c>
      <c r="I2362" s="388" t="str">
        <f ca="1">IFERROR(IF(VLOOKUP(C2362,' Disaggregation - Section E '!A$618:J2688,8,0)=0,"",VLOOKUP(C2362,' Disaggregation - Section E '!A$618:J2688,8,0)),"")</f>
        <v/>
      </c>
      <c r="J2362" s="388" t="str">
        <f ca="1">IFERROR(IF(VLOOKUP(C2362,' Disaggregation - Section E '!A$618:J2688,9,0)="","",VLOOKUP(C2362,' Disaggregation - Section E '!A$618:J2688,9,0)),"")</f>
        <v/>
      </c>
      <c r="K2362" s="384" t="str">
        <f ca="1">IFERROR(VLOOKUP(C2362,' Disaggregation - Section E '!A$618:J2688,3,0),"")</f>
        <v>TB/HIV-6⁽ᴹ⁾ Percentage of HIV-positive new and relapse TB patients on ART during TB treatment</v>
      </c>
      <c r="L2362" s="384"/>
      <c r="M2362" s="384" t="str">
        <f ca="1">IFERROR(IF(VLOOKUP(C2362,' Disaggregation - Section E '!A$618:O1491,15,0)=0,"",VLOOKUP(C2362,' Disaggregation - Section E '!A$618:O1491,15,0)),"")</f>
        <v/>
      </c>
      <c r="N2362" s="388" t="str">
        <f ca="1">IFERROR(IF(VLOOKUP(C2362,' Disaggregation - Section E '!A$618:J2688,10,0)=0,"",VLOOKUP(C2362,' Disaggregation - Section E '!A$618:J2688,10,0)),"")</f>
        <v/>
      </c>
      <c r="O2362" s="384"/>
    </row>
    <row r="2363" spans="1:15" x14ac:dyDescent="0.3">
      <c r="A2363" s="384" t="b">
        <f t="shared" ca="1" si="139"/>
        <v>0</v>
      </c>
      <c r="B2363" s="384"/>
      <c r="C2363" s="393" t="str">
        <f ca="1">IF(COUNTA(O$1493:O2363)=1,"",OFFSET(B2361,-COUNTA(O$1493:O2363)+3,1))</f>
        <v>a16Dm000000LZdqIAG</v>
      </c>
      <c r="D2363" s="389"/>
      <c r="E2363" s="386" t="str">
        <f ca="1">IFERROR(IF(VLOOKUP(C2363,' Disaggregation - Section E '!A$618:J2689,7,0)="","",VLOOKUP(C2363,' Disaggregation - Section E '!A$618:J2689,7,0)*100),"")</f>
        <v/>
      </c>
      <c r="F2363" s="388" t="str">
        <f ca="1">IFERROR(VLOOKUP(C2363,' Disaggregation - Section E '!A$618:J2689,5,0),"")</f>
        <v/>
      </c>
      <c r="G2363" s="387" t="str">
        <f ca="1">IFERROR(IF(VLOOKUP(C2363,' Disaggregation - Section E '!A$618:J2689,6,0)="","",VLOOKUP(C2363,' Disaggregation - Section E '!A$618:J2689,6,0)),"")</f>
        <v/>
      </c>
      <c r="H2363" s="387" t="str">
        <f ca="1">IFERROR(IF(INDEX(' Disaggregation - Section E '!F$618:F2689,MATCH(C2363,' Disaggregation - Section E '!A$618:A2689,0)+1,1)&lt;&gt;0,INDEX(' Disaggregation - Section E '!F$618:F2689,MATCH(C2363,' Disaggregation - Section E '!A$618:A2689,0)+1,1),""),"")</f>
        <v/>
      </c>
      <c r="I2363" s="388" t="str">
        <f ca="1">IFERROR(IF(VLOOKUP(C2363,' Disaggregation - Section E '!A$618:J2689,8,0)=0,"",VLOOKUP(C2363,' Disaggregation - Section E '!A$618:J2689,8,0)),"")</f>
        <v/>
      </c>
      <c r="J2363" s="388" t="str">
        <f ca="1">IFERROR(IF(VLOOKUP(C2363,' Disaggregation - Section E '!A$618:J2689,9,0)="","",VLOOKUP(C2363,' Disaggregation - Section E '!A$618:J2689,9,0)),"")</f>
        <v/>
      </c>
      <c r="K2363" s="384" t="str">
        <f ca="1">IFERROR(VLOOKUP(C2363,' Disaggregation - Section E '!A$618:J2689,3,0),"")</f>
        <v>TB/HIV-6⁽ᴹ⁾ Percentage of HIV-positive new and relapse TB patients on ART during TB treatment</v>
      </c>
      <c r="L2363" s="384"/>
      <c r="M2363" s="384" t="str">
        <f ca="1">IFERROR(IF(VLOOKUP(C2363,' Disaggregation - Section E '!A$618:O1492,15,0)=0,"",VLOOKUP(C2363,' Disaggregation - Section E '!A$618:O1492,15,0)),"")</f>
        <v/>
      </c>
      <c r="N2363" s="388" t="str">
        <f ca="1">IFERROR(IF(VLOOKUP(C2363,' Disaggregation - Section E '!A$618:J2689,10,0)=0,"",VLOOKUP(C2363,' Disaggregation - Section E '!A$618:J2689,10,0)),"")</f>
        <v/>
      </c>
      <c r="O2363" s="384"/>
    </row>
    <row r="2364" spans="1:15" x14ac:dyDescent="0.3">
      <c r="A2364" s="384" t="b">
        <f t="shared" ca="1" si="139"/>
        <v>0</v>
      </c>
      <c r="B2364" s="384"/>
      <c r="C2364" s="393" t="str">
        <f ca="1">IF(COUNTA(O$1493:O2364)=1,"",OFFSET(B2362,-COUNTA(O$1493:O2364)+3,1))</f>
        <v>a16Dm000000LZdrIAG</v>
      </c>
      <c r="D2364" s="389"/>
      <c r="E2364" s="386" t="str">
        <f ca="1">IFERROR(IF(VLOOKUP(C2364,' Disaggregation - Section E '!A$618:J2690,7,0)="","",VLOOKUP(C2364,' Disaggregation - Section E '!A$618:J2690,7,0)*100),"")</f>
        <v/>
      </c>
      <c r="F2364" s="388" t="str">
        <f ca="1">IFERROR(VLOOKUP(C2364,' Disaggregation - Section E '!A$618:J2690,5,0),"")</f>
        <v/>
      </c>
      <c r="G2364" s="387" t="str">
        <f ca="1">IFERROR(IF(VLOOKUP(C2364,' Disaggregation - Section E '!A$618:J2690,6,0)="","",VLOOKUP(C2364,' Disaggregation - Section E '!A$618:J2690,6,0)),"")</f>
        <v/>
      </c>
      <c r="H2364" s="387" t="str">
        <f ca="1">IFERROR(IF(INDEX(' Disaggregation - Section E '!F$618:F2690,MATCH(C2364,' Disaggregation - Section E '!A$618:A2690,0)+1,1)&lt;&gt;0,INDEX(' Disaggregation - Section E '!F$618:F2690,MATCH(C2364,' Disaggregation - Section E '!A$618:A2690,0)+1,1),""),"")</f>
        <v/>
      </c>
      <c r="I2364" s="388" t="str">
        <f ca="1">IFERROR(IF(VLOOKUP(C2364,' Disaggregation - Section E '!A$618:J2690,8,0)=0,"",VLOOKUP(C2364,' Disaggregation - Section E '!A$618:J2690,8,0)),"")</f>
        <v/>
      </c>
      <c r="J2364" s="388" t="str">
        <f ca="1">IFERROR(IF(VLOOKUP(C2364,' Disaggregation - Section E '!A$618:J2690,9,0)="","",VLOOKUP(C2364,' Disaggregation - Section E '!A$618:J2690,9,0)),"")</f>
        <v/>
      </c>
      <c r="K2364" s="384" t="str">
        <f ca="1">IFERROR(VLOOKUP(C2364,' Disaggregation - Section E '!A$618:J2690,3,0),"")</f>
        <v>TB/HIV-6⁽ᴹ⁾ Percentage of HIV-positive new and relapse TB patients on ART during TB treatment</v>
      </c>
      <c r="L2364" s="384"/>
      <c r="M2364" s="384" t="str">
        <f ca="1">IFERROR(IF(VLOOKUP(C2364,' Disaggregation - Section E '!A$618:O1493,15,0)=0,"",VLOOKUP(C2364,' Disaggregation - Section E '!A$618:O1493,15,0)),"")</f>
        <v/>
      </c>
      <c r="N2364" s="388" t="str">
        <f ca="1">IFERROR(IF(VLOOKUP(C2364,' Disaggregation - Section E '!A$618:J2690,10,0)=0,"",VLOOKUP(C2364,' Disaggregation - Section E '!A$618:J2690,10,0)),"")</f>
        <v/>
      </c>
      <c r="O2364" s="384"/>
    </row>
    <row r="2365" spans="1:15" x14ac:dyDescent="0.3">
      <c r="A2365" s="384" t="b">
        <f t="shared" ca="1" si="139"/>
        <v>0</v>
      </c>
      <c r="B2365" s="384"/>
      <c r="C2365" s="393" t="str">
        <f ca="1">IF(COUNTA(O$1493:O2365)=1,"",OFFSET(B2363,-COUNTA(O$1493:O2365)+3,1))</f>
        <v>a16Dm000000LZdsIAG</v>
      </c>
      <c r="D2365" s="389"/>
      <c r="E2365" s="386" t="str">
        <f ca="1">IFERROR(IF(VLOOKUP(C2365,' Disaggregation - Section E '!A$618:J2691,7,0)="","",VLOOKUP(C2365,' Disaggregation - Section E '!A$618:J2691,7,0)*100),"")</f>
        <v/>
      </c>
      <c r="F2365" s="388" t="str">
        <f ca="1">IFERROR(VLOOKUP(C2365,' Disaggregation - Section E '!A$618:J2691,5,0),"")</f>
        <v/>
      </c>
      <c r="G2365" s="387" t="str">
        <f ca="1">IFERROR(IF(VLOOKUP(C2365,' Disaggregation - Section E '!A$618:J2691,6,0)="","",VLOOKUP(C2365,' Disaggregation - Section E '!A$618:J2691,6,0)),"")</f>
        <v/>
      </c>
      <c r="H2365" s="387" t="str">
        <f ca="1">IFERROR(IF(INDEX(' Disaggregation - Section E '!F$618:F2691,MATCH(C2365,' Disaggregation - Section E '!A$618:A2691,0)+1,1)&lt;&gt;0,INDEX(' Disaggregation - Section E '!F$618:F2691,MATCH(C2365,' Disaggregation - Section E '!A$618:A2691,0)+1,1),""),"")</f>
        <v/>
      </c>
      <c r="I2365" s="388" t="str">
        <f ca="1">IFERROR(IF(VLOOKUP(C2365,' Disaggregation - Section E '!A$618:J2691,8,0)=0,"",VLOOKUP(C2365,' Disaggregation - Section E '!A$618:J2691,8,0)),"")</f>
        <v/>
      </c>
      <c r="J2365" s="388" t="str">
        <f ca="1">IFERROR(IF(VLOOKUP(C2365,' Disaggregation - Section E '!A$618:J2691,9,0)="","",VLOOKUP(C2365,' Disaggregation - Section E '!A$618:J2691,9,0)),"")</f>
        <v/>
      </c>
      <c r="K2365" s="384" t="str">
        <f ca="1">IFERROR(VLOOKUP(C2365,' Disaggregation - Section E '!A$618:J2691,3,0),"")</f>
        <v>TB/HIV-6⁽ᴹ⁾ Percentage of HIV-positive new and relapse TB patients on ART during TB treatment</v>
      </c>
      <c r="L2365" s="384"/>
      <c r="M2365" s="384" t="str">
        <f ca="1">IFERROR(IF(VLOOKUP(C2365,' Disaggregation - Section E '!A$618:O1494,15,0)=0,"",VLOOKUP(C2365,' Disaggregation - Section E '!A$618:O1494,15,0)),"")</f>
        <v/>
      </c>
      <c r="N2365" s="388" t="str">
        <f ca="1">IFERROR(IF(VLOOKUP(C2365,' Disaggregation - Section E '!A$618:J2691,10,0)=0,"",VLOOKUP(C2365,' Disaggregation - Section E '!A$618:J2691,10,0)),"")</f>
        <v/>
      </c>
      <c r="O2365" s="384"/>
    </row>
    <row r="2366" spans="1:15" x14ac:dyDescent="0.3">
      <c r="A2366" s="384" t="b">
        <f t="shared" ca="1" si="139"/>
        <v>0</v>
      </c>
      <c r="B2366" s="384"/>
      <c r="C2366" s="393" t="str">
        <f ca="1">IF(COUNTA(O$1493:O2366)=1,"",OFFSET(B2364,-COUNTA(O$1493:O2366)+3,1))</f>
        <v>a16Dm000000LZdtIAG</v>
      </c>
      <c r="D2366" s="389"/>
      <c r="E2366" s="386" t="str">
        <f ca="1">IFERROR(IF(VLOOKUP(C2366,' Disaggregation - Section E '!A$618:J2692,7,0)="","",VLOOKUP(C2366,' Disaggregation - Section E '!A$618:J2692,7,0)*100),"")</f>
        <v/>
      </c>
      <c r="F2366" s="388" t="str">
        <f ca="1">IFERROR(VLOOKUP(C2366,' Disaggregation - Section E '!A$618:J2692,5,0),"")</f>
        <v/>
      </c>
      <c r="G2366" s="387" t="str">
        <f ca="1">IFERROR(IF(VLOOKUP(C2366,' Disaggregation - Section E '!A$618:J2692,6,0)="","",VLOOKUP(C2366,' Disaggregation - Section E '!A$618:J2692,6,0)),"")</f>
        <v/>
      </c>
      <c r="H2366" s="387" t="str">
        <f ca="1">IFERROR(IF(INDEX(' Disaggregation - Section E '!F$618:F2692,MATCH(C2366,' Disaggregation - Section E '!A$618:A2692,0)+1,1)&lt;&gt;0,INDEX(' Disaggregation - Section E '!F$618:F2692,MATCH(C2366,' Disaggregation - Section E '!A$618:A2692,0)+1,1),""),"")</f>
        <v/>
      </c>
      <c r="I2366" s="388" t="str">
        <f ca="1">IFERROR(IF(VLOOKUP(C2366,' Disaggregation - Section E '!A$618:J2692,8,0)=0,"",VLOOKUP(C2366,' Disaggregation - Section E '!A$618:J2692,8,0)),"")</f>
        <v/>
      </c>
      <c r="J2366" s="388" t="str">
        <f ca="1">IFERROR(IF(VLOOKUP(C2366,' Disaggregation - Section E '!A$618:J2692,9,0)="","",VLOOKUP(C2366,' Disaggregation - Section E '!A$618:J2692,9,0)),"")</f>
        <v/>
      </c>
      <c r="K2366" s="384" t="str">
        <f ca="1">IFERROR(VLOOKUP(C2366,' Disaggregation - Section E '!A$618:J2692,3,0),"")</f>
        <v>TB/HIV-6⁽ᴹ⁾ Percentage of HIV-positive new and relapse TB patients on ART during TB treatment</v>
      </c>
      <c r="L2366" s="384"/>
      <c r="M2366" s="384" t="str">
        <f ca="1">IFERROR(IF(VLOOKUP(C2366,' Disaggregation - Section E '!A$618:O1495,15,0)=0,"",VLOOKUP(C2366,' Disaggregation - Section E '!A$618:O1495,15,0)),"")</f>
        <v/>
      </c>
      <c r="N2366" s="388" t="str">
        <f ca="1">IFERROR(IF(VLOOKUP(C2366,' Disaggregation - Section E '!A$618:J2692,10,0)=0,"",VLOOKUP(C2366,' Disaggregation - Section E '!A$618:J2692,10,0)),"")</f>
        <v/>
      </c>
      <c r="O2366" s="384"/>
    </row>
    <row r="2367" spans="1:15" x14ac:dyDescent="0.3">
      <c r="A2367" s="384" t="b">
        <f t="shared" ca="1" si="139"/>
        <v>0</v>
      </c>
      <c r="B2367" s="384"/>
      <c r="C2367" s="393" t="str">
        <f ca="1">IF(COUNTA(O$1493:O2367)=1,"",OFFSET(B2365,-COUNTA(O$1493:O2367)+3,1))</f>
        <v>a16Dm000000LZduIAG</v>
      </c>
      <c r="D2367" s="389"/>
      <c r="E2367" s="386" t="str">
        <f ca="1">IFERROR(IF(VLOOKUP(C2367,' Disaggregation - Section E '!A$618:J2693,7,0)="","",VLOOKUP(C2367,' Disaggregation - Section E '!A$618:J2693,7,0)*100),"")</f>
        <v/>
      </c>
      <c r="F2367" s="388" t="str">
        <f ca="1">IFERROR(VLOOKUP(C2367,' Disaggregation - Section E '!A$618:J2693,5,0),"")</f>
        <v/>
      </c>
      <c r="G2367" s="387" t="str">
        <f ca="1">IFERROR(IF(VLOOKUP(C2367,' Disaggregation - Section E '!A$618:J2693,6,0)="","",VLOOKUP(C2367,' Disaggregation - Section E '!A$618:J2693,6,0)),"")</f>
        <v/>
      </c>
      <c r="H2367" s="387" t="str">
        <f ca="1">IFERROR(IF(INDEX(' Disaggregation - Section E '!F$618:F2693,MATCH(C2367,' Disaggregation - Section E '!A$618:A2693,0)+1,1)&lt;&gt;0,INDEX(' Disaggregation - Section E '!F$618:F2693,MATCH(C2367,' Disaggregation - Section E '!A$618:A2693,0)+1,1),""),"")</f>
        <v/>
      </c>
      <c r="I2367" s="388" t="str">
        <f ca="1">IFERROR(IF(VLOOKUP(C2367,' Disaggregation - Section E '!A$618:J2693,8,0)=0,"",VLOOKUP(C2367,' Disaggregation - Section E '!A$618:J2693,8,0)),"")</f>
        <v/>
      </c>
      <c r="J2367" s="388" t="str">
        <f ca="1">IFERROR(IF(VLOOKUP(C2367,' Disaggregation - Section E '!A$618:J2693,9,0)="","",VLOOKUP(C2367,' Disaggregation - Section E '!A$618:J2693,9,0)),"")</f>
        <v/>
      </c>
      <c r="K2367" s="384" t="str">
        <f ca="1">IFERROR(VLOOKUP(C2367,' Disaggregation - Section E '!A$618:J2693,3,0),"")</f>
        <v>TB/HIV-6⁽ᴹ⁾ Percentage of HIV-positive new and relapse TB patients on ART during TB treatment</v>
      </c>
      <c r="L2367" s="384"/>
      <c r="M2367" s="384" t="str">
        <f ca="1">IFERROR(IF(VLOOKUP(C2367,' Disaggregation - Section E '!A$618:O1496,15,0)=0,"",VLOOKUP(C2367,' Disaggregation - Section E '!A$618:O1496,15,0)),"")</f>
        <v/>
      </c>
      <c r="N2367" s="388" t="str">
        <f ca="1">IFERROR(IF(VLOOKUP(C2367,' Disaggregation - Section E '!A$618:J2693,10,0)=0,"",VLOOKUP(C2367,' Disaggregation - Section E '!A$618:J2693,10,0)),"")</f>
        <v/>
      </c>
      <c r="O2367" s="384"/>
    </row>
    <row r="2368" spans="1:15" x14ac:dyDescent="0.3">
      <c r="A2368" s="384" t="b">
        <f t="shared" ca="1" si="139"/>
        <v>0</v>
      </c>
      <c r="B2368" s="384"/>
      <c r="C2368" s="393" t="str">
        <f ca="1">IF(COUNTA(O$1493:O2368)=1,"",OFFSET(B2366,-COUNTA(O$1493:O2368)+3,1))</f>
        <v>a16Dm000000LZdvIAG</v>
      </c>
      <c r="D2368" s="389"/>
      <c r="E2368" s="386" t="str">
        <f ca="1">IFERROR(IF(VLOOKUP(C2368,' Disaggregation - Section E '!A$618:J2694,7,0)="","",VLOOKUP(C2368,' Disaggregation - Section E '!A$618:J2694,7,0)*100),"")</f>
        <v/>
      </c>
      <c r="F2368" s="388" t="str">
        <f ca="1">IFERROR(VLOOKUP(C2368,' Disaggregation - Section E '!A$618:J2694,5,0),"")</f>
        <v/>
      </c>
      <c r="G2368" s="387" t="str">
        <f ca="1">IFERROR(IF(VLOOKUP(C2368,' Disaggregation - Section E '!A$618:J2694,6,0)="","",VLOOKUP(C2368,' Disaggregation - Section E '!A$618:J2694,6,0)),"")</f>
        <v/>
      </c>
      <c r="H2368" s="387" t="str">
        <f ca="1">IFERROR(IF(INDEX(' Disaggregation - Section E '!F$618:F2694,MATCH(C2368,' Disaggregation - Section E '!A$618:A2694,0)+1,1)&lt;&gt;0,INDEX(' Disaggregation - Section E '!F$618:F2694,MATCH(C2368,' Disaggregation - Section E '!A$618:A2694,0)+1,1),""),"")</f>
        <v/>
      </c>
      <c r="I2368" s="388" t="str">
        <f ca="1">IFERROR(IF(VLOOKUP(C2368,' Disaggregation - Section E '!A$618:J2694,8,0)=0,"",VLOOKUP(C2368,' Disaggregation - Section E '!A$618:J2694,8,0)),"")</f>
        <v/>
      </c>
      <c r="J2368" s="388" t="str">
        <f ca="1">IFERROR(IF(VLOOKUP(C2368,' Disaggregation - Section E '!A$618:J2694,9,0)="","",VLOOKUP(C2368,' Disaggregation - Section E '!A$618:J2694,9,0)),"")</f>
        <v/>
      </c>
      <c r="K2368" s="384" t="str">
        <f ca="1">IFERROR(VLOOKUP(C2368,' Disaggregation - Section E '!A$618:J2694,3,0),"")</f>
        <v>TB/HIV-6⁽ᴹ⁾ Percentage of HIV-positive new and relapse TB patients on ART during TB treatment</v>
      </c>
      <c r="L2368" s="384"/>
      <c r="M2368" s="384" t="str">
        <f ca="1">IFERROR(IF(VLOOKUP(C2368,' Disaggregation - Section E '!A$618:O1497,15,0)=0,"",VLOOKUP(C2368,' Disaggregation - Section E '!A$618:O1497,15,0)),"")</f>
        <v/>
      </c>
      <c r="N2368" s="388" t="str">
        <f ca="1">IFERROR(IF(VLOOKUP(C2368,' Disaggregation - Section E '!A$618:J2694,10,0)=0,"",VLOOKUP(C2368,' Disaggregation - Section E '!A$618:J2694,10,0)),"")</f>
        <v/>
      </c>
      <c r="O2368" s="384"/>
    </row>
    <row r="2369" spans="1:15" x14ac:dyDescent="0.3">
      <c r="A2369" s="384" t="b">
        <f t="shared" ca="1" si="139"/>
        <v>0</v>
      </c>
      <c r="B2369" s="384"/>
      <c r="C2369" s="393" t="str">
        <f ca="1">IF(COUNTA(O$1493:O2369)=1,"",OFFSET(B2367,-COUNTA(O$1493:O2369)+3,1))</f>
        <v>a16Dm000000LZdwIAG</v>
      </c>
      <c r="D2369" s="389"/>
      <c r="E2369" s="386" t="str">
        <f ca="1">IFERROR(IF(VLOOKUP(C2369,' Disaggregation - Section E '!A$618:J2695,7,0)="","",VLOOKUP(C2369,' Disaggregation - Section E '!A$618:J2695,7,0)*100),"")</f>
        <v/>
      </c>
      <c r="F2369" s="388" t="str">
        <f ca="1">IFERROR(VLOOKUP(C2369,' Disaggregation - Section E '!A$618:J2695,5,0),"")</f>
        <v/>
      </c>
      <c r="G2369" s="387" t="str">
        <f ca="1">IFERROR(IF(VLOOKUP(C2369,' Disaggregation - Section E '!A$618:J2695,6,0)="","",VLOOKUP(C2369,' Disaggregation - Section E '!A$618:J2695,6,0)),"")</f>
        <v/>
      </c>
      <c r="H2369" s="387" t="str">
        <f ca="1">IFERROR(IF(INDEX(' Disaggregation - Section E '!F$618:F2695,MATCH(C2369,' Disaggregation - Section E '!A$618:A2695,0)+1,1)&lt;&gt;0,INDEX(' Disaggregation - Section E '!F$618:F2695,MATCH(C2369,' Disaggregation - Section E '!A$618:A2695,0)+1,1),""),"")</f>
        <v/>
      </c>
      <c r="I2369" s="388" t="str">
        <f ca="1">IFERROR(IF(VLOOKUP(C2369,' Disaggregation - Section E '!A$618:J2695,8,0)=0,"",VLOOKUP(C2369,' Disaggregation - Section E '!A$618:J2695,8,0)),"")</f>
        <v/>
      </c>
      <c r="J2369" s="388" t="str">
        <f ca="1">IFERROR(IF(VLOOKUP(C2369,' Disaggregation - Section E '!A$618:J2695,9,0)="","",VLOOKUP(C2369,' Disaggregation - Section E '!A$618:J2695,9,0)),"")</f>
        <v/>
      </c>
      <c r="K2369" s="384" t="str">
        <f ca="1">IFERROR(VLOOKUP(C2369,' Disaggregation - Section E '!A$618:J2695,3,0),"")</f>
        <v>TB/HIV-6⁽ᴹ⁾ Percentage of HIV-positive new and relapse TB patients on ART during TB treatment</v>
      </c>
      <c r="L2369" s="384"/>
      <c r="M2369" s="384" t="str">
        <f ca="1">IFERROR(IF(VLOOKUP(C2369,' Disaggregation - Section E '!A$618:O1498,15,0)=0,"",VLOOKUP(C2369,' Disaggregation - Section E '!A$618:O1498,15,0)),"")</f>
        <v/>
      </c>
      <c r="N2369" s="388" t="str">
        <f ca="1">IFERROR(IF(VLOOKUP(C2369,' Disaggregation - Section E '!A$618:J2695,10,0)=0,"",VLOOKUP(C2369,' Disaggregation - Section E '!A$618:J2695,10,0)),"")</f>
        <v/>
      </c>
      <c r="O2369" s="384"/>
    </row>
    <row r="2370" spans="1:15" x14ac:dyDescent="0.3">
      <c r="A2370" s="384" t="b">
        <f t="shared" ca="1" si="139"/>
        <v>0</v>
      </c>
      <c r="B2370" s="384"/>
      <c r="C2370" s="393" t="str">
        <f ca="1">IF(COUNTA(O$1493:O2370)=1,"",OFFSET(B2368,-COUNTA(O$1493:O2370)+3,1))</f>
        <v>a16Dm000000LZdxIAG</v>
      </c>
      <c r="D2370" s="389"/>
      <c r="E2370" s="386" t="str">
        <f ca="1">IFERROR(IF(VLOOKUP(C2370,' Disaggregation - Section E '!A$618:J2696,7,0)="","",VLOOKUP(C2370,' Disaggregation - Section E '!A$618:J2696,7,0)*100),"")</f>
        <v/>
      </c>
      <c r="F2370" s="388" t="str">
        <f ca="1">IFERROR(VLOOKUP(C2370,' Disaggregation - Section E '!A$618:J2696,5,0),"")</f>
        <v/>
      </c>
      <c r="G2370" s="387" t="str">
        <f ca="1">IFERROR(IF(VLOOKUP(C2370,' Disaggregation - Section E '!A$618:J2696,6,0)="","",VLOOKUP(C2370,' Disaggregation - Section E '!A$618:J2696,6,0)),"")</f>
        <v/>
      </c>
      <c r="H2370" s="387" t="str">
        <f ca="1">IFERROR(IF(INDEX(' Disaggregation - Section E '!F$618:F2696,MATCH(C2370,' Disaggregation - Section E '!A$618:A2696,0)+1,1)&lt;&gt;0,INDEX(' Disaggregation - Section E '!F$618:F2696,MATCH(C2370,' Disaggregation - Section E '!A$618:A2696,0)+1,1),""),"")</f>
        <v/>
      </c>
      <c r="I2370" s="388" t="str">
        <f ca="1">IFERROR(IF(VLOOKUP(C2370,' Disaggregation - Section E '!A$618:J2696,8,0)=0,"",VLOOKUP(C2370,' Disaggregation - Section E '!A$618:J2696,8,0)),"")</f>
        <v/>
      </c>
      <c r="J2370" s="388" t="str">
        <f ca="1">IFERROR(IF(VLOOKUP(C2370,' Disaggregation - Section E '!A$618:J2696,9,0)="","",VLOOKUP(C2370,' Disaggregation - Section E '!A$618:J2696,9,0)),"")</f>
        <v/>
      </c>
      <c r="K2370" s="384" t="str">
        <f ca="1">IFERROR(VLOOKUP(C2370,' Disaggregation - Section E '!A$618:J2696,3,0),"")</f>
        <v>TB/HIV-6⁽ᴹ⁾ Percentage of HIV-positive new and relapse TB patients on ART during TB treatment</v>
      </c>
      <c r="L2370" s="384"/>
      <c r="M2370" s="384" t="str">
        <f ca="1">IFERROR(IF(VLOOKUP(C2370,' Disaggregation - Section E '!A$618:O1499,15,0)=0,"",VLOOKUP(C2370,' Disaggregation - Section E '!A$618:O1499,15,0)),"")</f>
        <v/>
      </c>
      <c r="N2370" s="388" t="str">
        <f ca="1">IFERROR(IF(VLOOKUP(C2370,' Disaggregation - Section E '!A$618:J2696,10,0)=0,"",VLOOKUP(C2370,' Disaggregation - Section E '!A$618:J2696,10,0)),"")</f>
        <v/>
      </c>
      <c r="O2370" s="384"/>
    </row>
    <row r="2371" spans="1:15" x14ac:dyDescent="0.3">
      <c r="A2371" s="384" t="b">
        <f t="shared" ca="1" si="139"/>
        <v>0</v>
      </c>
      <c r="B2371" s="384"/>
      <c r="C2371" s="393" t="str">
        <f ca="1">IF(COUNTA(O$1493:O2371)=1,"",OFFSET(B2369,-COUNTA(O$1493:O2371)+3,1))</f>
        <v>a16Dm000000LZdyIAG</v>
      </c>
      <c r="D2371" s="389"/>
      <c r="E2371" s="386" t="str">
        <f ca="1">IFERROR(IF(VLOOKUP(C2371,' Disaggregation - Section E '!A$618:J2697,7,0)="","",VLOOKUP(C2371,' Disaggregation - Section E '!A$618:J2697,7,0)*100),"")</f>
        <v/>
      </c>
      <c r="F2371" s="388" t="str">
        <f ca="1">IFERROR(VLOOKUP(C2371,' Disaggregation - Section E '!A$618:J2697,5,0),"")</f>
        <v/>
      </c>
      <c r="G2371" s="387" t="str">
        <f ca="1">IFERROR(IF(VLOOKUP(C2371,' Disaggregation - Section E '!A$618:J2697,6,0)="","",VLOOKUP(C2371,' Disaggregation - Section E '!A$618:J2697,6,0)),"")</f>
        <v/>
      </c>
      <c r="H2371" s="387" t="str">
        <f ca="1">IFERROR(IF(INDEX(' Disaggregation - Section E '!F$618:F2697,MATCH(C2371,' Disaggregation - Section E '!A$618:A2697,0)+1,1)&lt;&gt;0,INDEX(' Disaggregation - Section E '!F$618:F2697,MATCH(C2371,' Disaggregation - Section E '!A$618:A2697,0)+1,1),""),"")</f>
        <v/>
      </c>
      <c r="I2371" s="388" t="str">
        <f ca="1">IFERROR(IF(VLOOKUP(C2371,' Disaggregation - Section E '!A$618:J2697,8,0)=0,"",VLOOKUP(C2371,' Disaggregation - Section E '!A$618:J2697,8,0)),"")</f>
        <v/>
      </c>
      <c r="J2371" s="388" t="str">
        <f ca="1">IFERROR(IF(VLOOKUP(C2371,' Disaggregation - Section E '!A$618:J2697,9,0)="","",VLOOKUP(C2371,' Disaggregation - Section E '!A$618:J2697,9,0)),"")</f>
        <v/>
      </c>
      <c r="K2371" s="384" t="str">
        <f ca="1">IFERROR(VLOOKUP(C2371,' Disaggregation - Section E '!A$618:J2697,3,0),"")</f>
        <v>TB/HIV-6⁽ᴹ⁾ Percentage of HIV-positive new and relapse TB patients on ART during TB treatment</v>
      </c>
      <c r="L2371" s="384"/>
      <c r="M2371" s="384" t="str">
        <f ca="1">IFERROR(IF(VLOOKUP(C2371,' Disaggregation - Section E '!A$618:O1500,15,0)=0,"",VLOOKUP(C2371,' Disaggregation - Section E '!A$618:O1500,15,0)),"")</f>
        <v/>
      </c>
      <c r="N2371" s="388" t="str">
        <f ca="1">IFERROR(IF(VLOOKUP(C2371,' Disaggregation - Section E '!A$618:J2697,10,0)=0,"",VLOOKUP(C2371,' Disaggregation - Section E '!A$618:J2697,10,0)),"")</f>
        <v/>
      </c>
      <c r="O2371" s="384"/>
    </row>
    <row r="2372" spans="1:15" x14ac:dyDescent="0.3">
      <c r="A2372" s="384" t="b">
        <f t="shared" ca="1" si="139"/>
        <v>0</v>
      </c>
      <c r="B2372" s="384"/>
      <c r="C2372" s="393" t="str">
        <f ca="1">IF(COUNTA(O$1493:O2372)=1,"",OFFSET(B2370,-COUNTA(O$1493:O2372)+3,1))</f>
        <v>a16Dm000000LZdzIAG</v>
      </c>
      <c r="D2372" s="389"/>
      <c r="E2372" s="386" t="str">
        <f ca="1">IFERROR(IF(VLOOKUP(C2372,' Disaggregation - Section E '!A$618:J2698,7,0)="","",VLOOKUP(C2372,' Disaggregation - Section E '!A$618:J2698,7,0)*100),"")</f>
        <v/>
      </c>
      <c r="F2372" s="388" t="str">
        <f ca="1">IFERROR(VLOOKUP(C2372,' Disaggregation - Section E '!A$618:J2698,5,0),"")</f>
        <v/>
      </c>
      <c r="G2372" s="387" t="str">
        <f ca="1">IFERROR(IF(VLOOKUP(C2372,' Disaggregation - Section E '!A$618:J2698,6,0)="","",VLOOKUP(C2372,' Disaggregation - Section E '!A$618:J2698,6,0)),"")</f>
        <v/>
      </c>
      <c r="H2372" s="387" t="str">
        <f ca="1">IFERROR(IF(INDEX(' Disaggregation - Section E '!F$618:F2698,MATCH(C2372,' Disaggregation - Section E '!A$618:A2698,0)+1,1)&lt;&gt;0,INDEX(' Disaggregation - Section E '!F$618:F2698,MATCH(C2372,' Disaggregation - Section E '!A$618:A2698,0)+1,1),""),"")</f>
        <v/>
      </c>
      <c r="I2372" s="388" t="str">
        <f ca="1">IFERROR(IF(VLOOKUP(C2372,' Disaggregation - Section E '!A$618:J2698,8,0)=0,"",VLOOKUP(C2372,' Disaggregation - Section E '!A$618:J2698,8,0)),"")</f>
        <v/>
      </c>
      <c r="J2372" s="388" t="str">
        <f ca="1">IFERROR(IF(VLOOKUP(C2372,' Disaggregation - Section E '!A$618:J2698,9,0)="","",VLOOKUP(C2372,' Disaggregation - Section E '!A$618:J2698,9,0)),"")</f>
        <v/>
      </c>
      <c r="K2372" s="384" t="str">
        <f ca="1">IFERROR(VLOOKUP(C2372,' Disaggregation - Section E '!A$618:J2698,3,0),"")</f>
        <v>TB/HIV-6⁽ᴹ⁾ Percentage of HIV-positive new and relapse TB patients on ART during TB treatment</v>
      </c>
      <c r="L2372" s="384"/>
      <c r="M2372" s="384" t="str">
        <f ca="1">IFERROR(IF(VLOOKUP(C2372,' Disaggregation - Section E '!A$618:O1501,15,0)=0,"",VLOOKUP(C2372,' Disaggregation - Section E '!A$618:O1501,15,0)),"")</f>
        <v/>
      </c>
      <c r="N2372" s="388" t="str">
        <f ca="1">IFERROR(IF(VLOOKUP(C2372,' Disaggregation - Section E '!A$618:J2698,10,0)=0,"",VLOOKUP(C2372,' Disaggregation - Section E '!A$618:J2698,10,0)),"")</f>
        <v/>
      </c>
      <c r="O2372" s="384"/>
    </row>
    <row r="2373" spans="1:15" x14ac:dyDescent="0.3">
      <c r="A2373" s="384" t="b">
        <f t="shared" ca="1" si="139"/>
        <v>0</v>
      </c>
      <c r="B2373" s="384"/>
      <c r="C2373" s="393" t="str">
        <f ca="1">IF(COUNTA(O$1493:O2373)=1,"",OFFSET(B2371,-COUNTA(O$1493:O2373)+3,1))</f>
        <v>a16Dm000000LZe0IAG</v>
      </c>
      <c r="D2373" s="389"/>
      <c r="E2373" s="386" t="str">
        <f ca="1">IFERROR(IF(VLOOKUP(C2373,' Disaggregation - Section E '!A$618:J2699,7,0)="","",VLOOKUP(C2373,' Disaggregation - Section E '!A$618:J2699,7,0)*100),"")</f>
        <v/>
      </c>
      <c r="F2373" s="388" t="str">
        <f ca="1">IFERROR(VLOOKUP(C2373,' Disaggregation - Section E '!A$618:J2699,5,0),"")</f>
        <v/>
      </c>
      <c r="G2373" s="387" t="str">
        <f ca="1">IFERROR(IF(VLOOKUP(C2373,' Disaggregation - Section E '!A$618:J2699,6,0)="","",VLOOKUP(C2373,' Disaggregation - Section E '!A$618:J2699,6,0)),"")</f>
        <v/>
      </c>
      <c r="H2373" s="387" t="str">
        <f ca="1">IFERROR(IF(INDEX(' Disaggregation - Section E '!F$618:F2699,MATCH(C2373,' Disaggregation - Section E '!A$618:A2699,0)+1,1)&lt;&gt;0,INDEX(' Disaggregation - Section E '!F$618:F2699,MATCH(C2373,' Disaggregation - Section E '!A$618:A2699,0)+1,1),""),"")</f>
        <v/>
      </c>
      <c r="I2373" s="388" t="str">
        <f ca="1">IFERROR(IF(VLOOKUP(C2373,' Disaggregation - Section E '!A$618:J2699,8,0)=0,"",VLOOKUP(C2373,' Disaggregation - Section E '!A$618:J2699,8,0)),"")</f>
        <v/>
      </c>
      <c r="J2373" s="388" t="str">
        <f ca="1">IFERROR(IF(VLOOKUP(C2373,' Disaggregation - Section E '!A$618:J2699,9,0)="","",VLOOKUP(C2373,' Disaggregation - Section E '!A$618:J2699,9,0)),"")</f>
        <v/>
      </c>
      <c r="K2373" s="384" t="str">
        <f ca="1">IFERROR(VLOOKUP(C2373,' Disaggregation - Section E '!A$618:J2699,3,0),"")</f>
        <v>TB/HIV-6⁽ᴹ⁾ Percentage of HIV-positive new and relapse TB patients on ART during TB treatment</v>
      </c>
      <c r="L2373" s="384"/>
      <c r="M2373" s="384" t="str">
        <f ca="1">IFERROR(IF(VLOOKUP(C2373,' Disaggregation - Section E '!A$618:O1502,15,0)=0,"",VLOOKUP(C2373,' Disaggregation - Section E '!A$618:O1502,15,0)),"")</f>
        <v/>
      </c>
      <c r="N2373" s="388" t="str">
        <f ca="1">IFERROR(IF(VLOOKUP(C2373,' Disaggregation - Section E '!A$618:J2699,10,0)=0,"",VLOOKUP(C2373,' Disaggregation - Section E '!A$618:J2699,10,0)),"")</f>
        <v/>
      </c>
      <c r="O2373" s="384"/>
    </row>
    <row r="2374" spans="1:15" x14ac:dyDescent="0.3">
      <c r="A2374" s="384" t="b">
        <f t="shared" ca="1" si="139"/>
        <v>0</v>
      </c>
      <c r="B2374" s="384"/>
      <c r="C2374" s="393" t="str">
        <f ca="1">IF(COUNTA(O$1493:O2374)=1,"",OFFSET(B2372,-COUNTA(O$1493:O2374)+3,1))</f>
        <v>a16Dm000000LZe1IAG</v>
      </c>
      <c r="D2374" s="389"/>
      <c r="E2374" s="386" t="str">
        <f ca="1">IFERROR(IF(VLOOKUP(C2374,' Disaggregation - Section E '!A$618:J2700,7,0)="","",VLOOKUP(C2374,' Disaggregation - Section E '!A$618:J2700,7,0)*100),"")</f>
        <v/>
      </c>
      <c r="F2374" s="388" t="str">
        <f ca="1">IFERROR(VLOOKUP(C2374,' Disaggregation - Section E '!A$618:J2700,5,0),"")</f>
        <v/>
      </c>
      <c r="G2374" s="387" t="str">
        <f ca="1">IFERROR(IF(VLOOKUP(C2374,' Disaggregation - Section E '!A$618:J2700,6,0)="","",VLOOKUP(C2374,' Disaggregation - Section E '!A$618:J2700,6,0)),"")</f>
        <v/>
      </c>
      <c r="H2374" s="387" t="str">
        <f ca="1">IFERROR(IF(INDEX(' Disaggregation - Section E '!F$618:F2700,MATCH(C2374,' Disaggregation - Section E '!A$618:A2700,0)+1,1)&lt;&gt;0,INDEX(' Disaggregation - Section E '!F$618:F2700,MATCH(C2374,' Disaggregation - Section E '!A$618:A2700,0)+1,1),""),"")</f>
        <v/>
      </c>
      <c r="I2374" s="388" t="str">
        <f ca="1">IFERROR(IF(VLOOKUP(C2374,' Disaggregation - Section E '!A$618:J2700,8,0)=0,"",VLOOKUP(C2374,' Disaggregation - Section E '!A$618:J2700,8,0)),"")</f>
        <v/>
      </c>
      <c r="J2374" s="388" t="str">
        <f ca="1">IFERROR(IF(VLOOKUP(C2374,' Disaggregation - Section E '!A$618:J2700,9,0)="","",VLOOKUP(C2374,' Disaggregation - Section E '!A$618:J2700,9,0)),"")</f>
        <v/>
      </c>
      <c r="K2374" s="384" t="str">
        <f ca="1">IFERROR(VLOOKUP(C2374,' Disaggregation - Section E '!A$618:J2700,3,0),"")</f>
        <v>TB/HIV-6⁽ᴹ⁾ Percentage of HIV-positive new and relapse TB patients on ART during TB treatment</v>
      </c>
      <c r="L2374" s="384"/>
      <c r="M2374" s="384" t="str">
        <f ca="1">IFERROR(IF(VLOOKUP(C2374,' Disaggregation - Section E '!A$618:O1503,15,0)=0,"",VLOOKUP(C2374,' Disaggregation - Section E '!A$618:O1503,15,0)),"")</f>
        <v/>
      </c>
      <c r="N2374" s="388" t="str">
        <f ca="1">IFERROR(IF(VLOOKUP(C2374,' Disaggregation - Section E '!A$618:J2700,10,0)=0,"",VLOOKUP(C2374,' Disaggregation - Section E '!A$618:J2700,10,0)),"")</f>
        <v/>
      </c>
      <c r="O2374" s="384"/>
    </row>
    <row r="2375" spans="1:15" x14ac:dyDescent="0.3">
      <c r="A2375" s="384" t="b">
        <f t="shared" ca="1" si="139"/>
        <v>1</v>
      </c>
      <c r="B2375" s="384"/>
      <c r="C2375" s="393" t="str">
        <f ca="1">IF(COUNTA(O$1493:O2375)=1,"",OFFSET(B2373,-COUNTA(O$1493:O2375)+3,1))</f>
        <v>a16Dm000000LZe2IAG</v>
      </c>
      <c r="D2375" s="389"/>
      <c r="E2375" s="386" t="str">
        <f ca="1">IFERROR(IF(VLOOKUP(C2375,' Disaggregation - Section E '!A$618:J2701,7,0)="","",VLOOKUP(C2375,' Disaggregation - Section E '!A$618:J2701,7,0)*100),"")</f>
        <v/>
      </c>
      <c r="F2375" s="388" t="str">
        <f ca="1">IFERROR(VLOOKUP(C2375,' Disaggregation - Section E '!A$618:J2701,5,0),"")</f>
        <v>25+</v>
      </c>
      <c r="G2375" s="387">
        <f ca="1">IFERROR(IF(VLOOKUP(C2375,' Disaggregation - Section E '!A$618:J2701,6,0)="","",VLOOKUP(C2375,' Disaggregation - Section E '!A$618:J2701,6,0)),"")</f>
        <v>789</v>
      </c>
      <c r="H2375" s="387" t="str">
        <f ca="1">IFERROR(IF(INDEX(' Disaggregation - Section E '!F$618:F2701,MATCH(C2375,' Disaggregation - Section E '!A$618:A2701,0)+1,1)&lt;&gt;0,INDEX(' Disaggregation - Section E '!F$618:F2701,MATCH(C2375,' Disaggregation - Section E '!A$618:A2701,0)+1,1),""),"")</f>
        <v/>
      </c>
      <c r="I2375" s="388">
        <f ca="1">IFERROR(IF(VLOOKUP(C2375,' Disaggregation - Section E '!A$618:J2701,8,0)=0,"",VLOOKUP(C2375,' Disaggregation - Section E '!A$618:J2701,8,0)),"")</f>
        <v>2022</v>
      </c>
      <c r="J2375" s="388" t="str">
        <f ca="1">IFERROR(IF(VLOOKUP(C2375,' Disaggregation - Section E '!A$618:J2701,9,0)="","",VLOOKUP(C2375,' Disaggregation - Section E '!A$618:J2701,9,0)),"")</f>
        <v>Admistrative report</v>
      </c>
      <c r="K2375" s="384" t="str">
        <f ca="1">IFERROR(VLOOKUP(C2375,' Disaggregation - Section E '!A$618:J2701,3,0),"")</f>
        <v>KP-8 Percentage of people who inject drugs receiving opioid substitution therapy</v>
      </c>
      <c r="L2375" s="384"/>
      <c r="M2375" s="384" t="str">
        <f ca="1">IFERROR(IF(VLOOKUP(C2375,' Disaggregation - Section E '!A$618:O1504,15,0)=0,"",VLOOKUP(C2375,' Disaggregation - Section E '!A$618:O1504,15,0)),"")</f>
        <v>IDR-01242</v>
      </c>
      <c r="N2375" s="388" t="str">
        <f ca="1">IFERROR(IF(VLOOKUP(C2375,' Disaggregation - Section E '!A$618:J2701,10,0)=0,"",VLOOKUP(C2375,' Disaggregation - Section E '!A$618:J2701,10,0)),"")</f>
        <v>“Numerator: Number of people who inject drugs and who are on opioid substitution therapy on the given date. Denominator: Estimated number of people with opioid dependence who inject drugs in the target area.
At the time of writing, there are no age-disaggregated estimates for PWID.
About 5% of PWID in the country are on OST every year Due to the fact that the drug situation in the country is changing and new users of psychoactive substances are appearing, the number of OST participants is decreasing year by year, based on the results of 2022".</v>
      </c>
      <c r="O2375" s="384"/>
    </row>
    <row r="2376" spans="1:15" x14ac:dyDescent="0.3">
      <c r="A2376" s="384" t="b">
        <f t="shared" ca="1" si="139"/>
        <v>1</v>
      </c>
      <c r="B2376" s="384"/>
      <c r="C2376" s="393" t="str">
        <f ca="1">IF(COUNTA(O$1493:O2376)=1,"",OFFSET(B2374,-COUNTA(O$1493:O2376)+3,1))</f>
        <v>a16Dm000000LZe3IAG</v>
      </c>
      <c r="D2376" s="389"/>
      <c r="E2376" s="386" t="str">
        <f ca="1">IFERROR(IF(VLOOKUP(C2376,' Disaggregation - Section E '!A$618:J2702,7,0)="","",VLOOKUP(C2376,' Disaggregation - Section E '!A$618:J2702,7,0)*100),"")</f>
        <v/>
      </c>
      <c r="F2376" s="388" t="str">
        <f ca="1">IFERROR(VLOOKUP(C2376,' Disaggregation - Section E '!A$618:J2702,5,0),"")</f>
        <v>20-24</v>
      </c>
      <c r="G2376" s="387">
        <f ca="1">IFERROR(IF(VLOOKUP(C2376,' Disaggregation - Section E '!A$618:J2702,6,0)="","",VLOOKUP(C2376,' Disaggregation - Section E '!A$618:J2702,6,0)),"")</f>
        <v>2</v>
      </c>
      <c r="H2376" s="387" t="str">
        <f ca="1">IFERROR(IF(INDEX(' Disaggregation - Section E '!F$618:F2702,MATCH(C2376,' Disaggregation - Section E '!A$618:A2702,0)+1,1)&lt;&gt;0,INDEX(' Disaggregation - Section E '!F$618:F2702,MATCH(C2376,' Disaggregation - Section E '!A$618:A2702,0)+1,1),""),"")</f>
        <v/>
      </c>
      <c r="I2376" s="388">
        <f ca="1">IFERROR(IF(VLOOKUP(C2376,' Disaggregation - Section E '!A$618:J2702,8,0)=0,"",VLOOKUP(C2376,' Disaggregation - Section E '!A$618:J2702,8,0)),"")</f>
        <v>2022</v>
      </c>
      <c r="J2376" s="388" t="str">
        <f ca="1">IFERROR(IF(VLOOKUP(C2376,' Disaggregation - Section E '!A$618:J2702,9,0)="","",VLOOKUP(C2376,' Disaggregation - Section E '!A$618:J2702,9,0)),"")</f>
        <v>Admistrative report</v>
      </c>
      <c r="K2376" s="384" t="str">
        <f ca="1">IFERROR(VLOOKUP(C2376,' Disaggregation - Section E '!A$618:J2702,3,0),"")</f>
        <v>KP-8 Percentage of people who inject drugs receiving opioid substitution therapy</v>
      </c>
      <c r="L2376" s="384"/>
      <c r="M2376" s="384" t="str">
        <f ca="1">IFERROR(IF(VLOOKUP(C2376,' Disaggregation - Section E '!A$618:O1505,15,0)=0,"",VLOOKUP(C2376,' Disaggregation - Section E '!A$618:O1505,15,0)),"")</f>
        <v>IDR-01241</v>
      </c>
      <c r="N2376" s="388" t="str">
        <f ca="1">IFERROR(IF(VLOOKUP(C2376,' Disaggregation - Section E '!A$618:J2702,10,0)=0,"",VLOOKUP(C2376,' Disaggregation - Section E '!A$618:J2702,10,0)),"")</f>
        <v>“Numerator: Number of people who inject drugs and who are on opioid substitution therapy on the given date. Denominator: Estimated number of people with opioid dependence who inject drugs in the target area.
At the time of writing, there are no age-disaggregated estimates for PWID.
About 5% of PWID in the country are on OST every year Due to the fact that the drug situation in the country is changing and new users of psychoactive substances are appearing, the number of OST participants is decreasing year by year, based on the results of 2022".</v>
      </c>
      <c r="O2376" s="384"/>
    </row>
    <row r="2377" spans="1:15" x14ac:dyDescent="0.3">
      <c r="A2377" s="384" t="b">
        <f t="shared" ca="1" si="139"/>
        <v>1</v>
      </c>
      <c r="B2377" s="384"/>
      <c r="C2377" s="393" t="str">
        <f ca="1">IF(COUNTA(O$1493:O2377)=1,"",OFFSET(B2375,-COUNTA(O$1493:O2377)+3,1))</f>
        <v>a16Dm000000LZe4IAG</v>
      </c>
      <c r="D2377" s="389"/>
      <c r="E2377" s="386" t="str">
        <f ca="1">IFERROR(IF(VLOOKUP(C2377,' Disaggregation - Section E '!A$618:J2703,7,0)="","",VLOOKUP(C2377,' Disaggregation - Section E '!A$618:J2703,7,0)*100),"")</f>
        <v/>
      </c>
      <c r="F2377" s="388" t="str">
        <f ca="1">IFERROR(VLOOKUP(C2377,' Disaggregation - Section E '!A$618:J2703,5,0),"")</f>
        <v>15-19</v>
      </c>
      <c r="G2377" s="387">
        <f ca="1">IFERROR(IF(VLOOKUP(C2377,' Disaggregation - Section E '!A$618:J2703,6,0)="","",VLOOKUP(C2377,' Disaggregation - Section E '!A$618:J2703,6,0)),"")</f>
        <v>0</v>
      </c>
      <c r="H2377" s="387" t="str">
        <f ca="1">IFERROR(IF(INDEX(' Disaggregation - Section E '!F$618:F2703,MATCH(C2377,' Disaggregation - Section E '!A$618:A2703,0)+1,1)&lt;&gt;0,INDEX(' Disaggregation - Section E '!F$618:F2703,MATCH(C2377,' Disaggregation - Section E '!A$618:A2703,0)+1,1),""),"")</f>
        <v/>
      </c>
      <c r="I2377" s="388">
        <f ca="1">IFERROR(IF(VLOOKUP(C2377,' Disaggregation - Section E '!A$618:J2703,8,0)=0,"",VLOOKUP(C2377,' Disaggregation - Section E '!A$618:J2703,8,0)),"")</f>
        <v>2022</v>
      </c>
      <c r="J2377" s="388" t="str">
        <f ca="1">IFERROR(IF(VLOOKUP(C2377,' Disaggregation - Section E '!A$618:J2703,9,0)="","",VLOOKUP(C2377,' Disaggregation - Section E '!A$618:J2703,9,0)),"")</f>
        <v>Admistrative report</v>
      </c>
      <c r="K2377" s="384" t="str">
        <f ca="1">IFERROR(VLOOKUP(C2377,' Disaggregation - Section E '!A$618:J2703,3,0),"")</f>
        <v>KP-8 Percentage of people who inject drugs receiving opioid substitution therapy</v>
      </c>
      <c r="L2377" s="384"/>
      <c r="M2377" s="384" t="str">
        <f ca="1">IFERROR(IF(VLOOKUP(C2377,' Disaggregation - Section E '!A$618:O1506,15,0)=0,"",VLOOKUP(C2377,' Disaggregation - Section E '!A$618:O1506,15,0)),"")</f>
        <v>IDR-01240</v>
      </c>
      <c r="N2377" s="388" t="str">
        <f ca="1">IFERROR(IF(VLOOKUP(C2377,' Disaggregation - Section E '!A$618:J2703,10,0)=0,"",VLOOKUP(C2377,' Disaggregation - Section E '!A$618:J2703,10,0)),"")</f>
        <v>“Numerator: Number of people who inject drugs and who are on opioid substitution therapy on the given date. Denominator: Estimated number of people with opioid dependence who inject drugs in the target area.
At the time of writing, there are no age-disaggregated estimates for PWID.
About 5% of PWID in the country are on OST every year Due to the fact that the drug situation in the country is changing and new users of psychoactive substances are appearing, the number of OST participants is decreasing year by year, based on the results of 2022".</v>
      </c>
      <c r="O2377" s="384"/>
    </row>
    <row r="2378" spans="1:15" x14ac:dyDescent="0.3">
      <c r="A2378" s="384" t="b">
        <f t="shared" ca="1" si="139"/>
        <v>1</v>
      </c>
      <c r="B2378" s="384"/>
      <c r="C2378" s="393" t="str">
        <f ca="1">IF(COUNTA(O$1493:O2378)=1,"",OFFSET(B2376,-COUNTA(O$1493:O2378)+3,1))</f>
        <v>a16Dm000000LZe5IAG</v>
      </c>
      <c r="D2378" s="389"/>
      <c r="E2378" s="386" t="str">
        <f ca="1">IFERROR(IF(VLOOKUP(C2378,' Disaggregation - Section E '!A$618:J2704,7,0)="","",VLOOKUP(C2378,' Disaggregation - Section E '!A$618:J2704,7,0)*100),"")</f>
        <v/>
      </c>
      <c r="F2378" s="388" t="str">
        <f ca="1">IFERROR(VLOOKUP(C2378,' Disaggregation - Section E '!A$618:J2704,5,0),"")</f>
        <v>Male</v>
      </c>
      <c r="G2378" s="387">
        <f ca="1">IFERROR(IF(VLOOKUP(C2378,' Disaggregation - Section E '!A$618:J2704,6,0)="","",VLOOKUP(C2378,' Disaggregation - Section E '!A$618:J2704,6,0)),"")</f>
        <v>732</v>
      </c>
      <c r="H2378" s="387" t="str">
        <f ca="1">IFERROR(IF(INDEX(' Disaggregation - Section E '!F$618:F2704,MATCH(C2378,' Disaggregation - Section E '!A$618:A2704,0)+1,1)&lt;&gt;0,INDEX(' Disaggregation - Section E '!F$618:F2704,MATCH(C2378,' Disaggregation - Section E '!A$618:A2704,0)+1,1),""),"")</f>
        <v/>
      </c>
      <c r="I2378" s="388">
        <f ca="1">IFERROR(IF(VLOOKUP(C2378,' Disaggregation - Section E '!A$618:J2704,8,0)=0,"",VLOOKUP(C2378,' Disaggregation - Section E '!A$618:J2704,8,0)),"")</f>
        <v>2022</v>
      </c>
      <c r="J2378" s="388" t="str">
        <f ca="1">IFERROR(IF(VLOOKUP(C2378,' Disaggregation - Section E '!A$618:J2704,9,0)="","",VLOOKUP(C2378,' Disaggregation - Section E '!A$618:J2704,9,0)),"")</f>
        <v>Admistrative report</v>
      </c>
      <c r="K2378" s="384" t="str">
        <f ca="1">IFERROR(VLOOKUP(C2378,' Disaggregation - Section E '!A$618:J2704,3,0),"")</f>
        <v>KP-8 Percentage of people who inject drugs receiving opioid substitution therapy</v>
      </c>
      <c r="L2378" s="384"/>
      <c r="M2378" s="384" t="str">
        <f ca="1">IFERROR(IF(VLOOKUP(C2378,' Disaggregation - Section E '!A$618:O1507,15,0)=0,"",VLOOKUP(C2378,' Disaggregation - Section E '!A$618:O1507,15,0)),"")</f>
        <v>IDR-01239</v>
      </c>
      <c r="N2378" s="388" t="str">
        <f ca="1">IFERROR(IF(VLOOKUP(C2378,' Disaggregation - Section E '!A$618:J2704,10,0)=0,"",VLOOKUP(C2378,' Disaggregation - Section E '!A$618:J2704,10,0)),"")</f>
        <v>“Numerator: Number of people who inject drugs and who are on opioid substitution therapy on the given date. Denominator: Estimated number of people with opioid dependence who inject drugs in the target area.
At the time of writing, there are no age-disaggregated estimates for PWID.
About 5% of PWID in the country are on OST every year Due to the fact that the drug situation in the country is changing and new users of psychoactive substances are appearing, the number of OST participants is decreasing year by year, based on the results of 2022".</v>
      </c>
      <c r="O2378" s="384"/>
    </row>
    <row r="2379" spans="1:15" x14ac:dyDescent="0.3">
      <c r="A2379" s="384" t="b">
        <f t="shared" ca="1" si="139"/>
        <v>1</v>
      </c>
      <c r="B2379" s="384"/>
      <c r="C2379" s="393" t="str">
        <f ca="1">IF(COUNTA(O$1493:O2379)=1,"",OFFSET(B2377,-COUNTA(O$1493:O2379)+3,1))</f>
        <v>a16Dm000000LZe6IAG</v>
      </c>
      <c r="D2379" s="389"/>
      <c r="E2379" s="386" t="str">
        <f ca="1">IFERROR(IF(VLOOKUP(C2379,' Disaggregation - Section E '!A$618:J2705,7,0)="","",VLOOKUP(C2379,' Disaggregation - Section E '!A$618:J2705,7,0)*100),"")</f>
        <v/>
      </c>
      <c r="F2379" s="388" t="str">
        <f ca="1">IFERROR(VLOOKUP(C2379,' Disaggregation - Section E '!A$618:J2705,5,0),"")</f>
        <v>Female</v>
      </c>
      <c r="G2379" s="387">
        <f ca="1">IFERROR(IF(VLOOKUP(C2379,' Disaggregation - Section E '!A$618:J2705,6,0)="","",VLOOKUP(C2379,' Disaggregation - Section E '!A$618:J2705,6,0)),"")</f>
        <v>59</v>
      </c>
      <c r="H2379" s="387" t="str">
        <f ca="1">IFERROR(IF(INDEX(' Disaggregation - Section E '!F$618:F2705,MATCH(C2379,' Disaggregation - Section E '!A$618:A2705,0)+1,1)&lt;&gt;0,INDEX(' Disaggregation - Section E '!F$618:F2705,MATCH(C2379,' Disaggregation - Section E '!A$618:A2705,0)+1,1),""),"")</f>
        <v/>
      </c>
      <c r="I2379" s="388">
        <f ca="1">IFERROR(IF(VLOOKUP(C2379,' Disaggregation - Section E '!A$618:J2705,8,0)=0,"",VLOOKUP(C2379,' Disaggregation - Section E '!A$618:J2705,8,0)),"")</f>
        <v>2022</v>
      </c>
      <c r="J2379" s="388" t="str">
        <f ca="1">IFERROR(IF(VLOOKUP(C2379,' Disaggregation - Section E '!A$618:J2705,9,0)="","",VLOOKUP(C2379,' Disaggregation - Section E '!A$618:J2705,9,0)),"")</f>
        <v>Admistrative report</v>
      </c>
      <c r="K2379" s="384" t="str">
        <f ca="1">IFERROR(VLOOKUP(C2379,' Disaggregation - Section E '!A$618:J2705,3,0),"")</f>
        <v>KP-8 Percentage of people who inject drugs receiving opioid substitution therapy</v>
      </c>
      <c r="L2379" s="384"/>
      <c r="M2379" s="384" t="str">
        <f ca="1">IFERROR(IF(VLOOKUP(C2379,' Disaggregation - Section E '!A$618:O1508,15,0)=0,"",VLOOKUP(C2379,' Disaggregation - Section E '!A$618:O1508,15,0)),"")</f>
        <v>IDR-01238</v>
      </c>
      <c r="N2379" s="388" t="str">
        <f ca="1">IFERROR(IF(VLOOKUP(C2379,' Disaggregation - Section E '!A$618:J2705,10,0)=0,"",VLOOKUP(C2379,' Disaggregation - Section E '!A$618:J2705,10,0)),"")</f>
        <v>“Numerator: Number of people who inject drugs and who are on opioid substitution therapy on the given date. Denominator: Estimated number of people with opioid dependence who inject drugs in the target area.
At the time of writing, there are no age-disaggregated estimates for PWID.
About 5% of PWID in the country are on OST every year Due to the fact that the drug situation in the country is changing and new users of psychoactive substances are appearing, the number of OST participants is decreasing year by year, based on the results of 2022".</v>
      </c>
      <c r="O2379" s="384"/>
    </row>
    <row r="2380" spans="1:15" x14ac:dyDescent="0.3">
      <c r="A2380" s="384" t="b">
        <f t="shared" ca="1" si="139"/>
        <v>0</v>
      </c>
      <c r="B2380" s="384"/>
      <c r="C2380" s="393" t="str">
        <f ca="1">IF(COUNTA(O$1493:O2380)=1,"",OFFSET(B2378,-COUNTA(O$1493:O2380)+3,1))</f>
        <v>a16Dm000000LZe7IAG</v>
      </c>
      <c r="D2380" s="389"/>
      <c r="E2380" s="386" t="str">
        <f ca="1">IFERROR(IF(VLOOKUP(C2380,' Disaggregation - Section E '!A$618:J2706,7,0)="","",VLOOKUP(C2380,' Disaggregation - Section E '!A$618:J2706,7,0)*100),"")</f>
        <v/>
      </c>
      <c r="F2380" s="388" t="str">
        <f ca="1">IFERROR(VLOOKUP(C2380,' Disaggregation - Section E '!A$618:J2706,5,0),"")</f>
        <v/>
      </c>
      <c r="G2380" s="387" t="str">
        <f ca="1">IFERROR(IF(VLOOKUP(C2380,' Disaggregation - Section E '!A$618:J2706,6,0)="","",VLOOKUP(C2380,' Disaggregation - Section E '!A$618:J2706,6,0)),"")</f>
        <v/>
      </c>
      <c r="H2380" s="387" t="str">
        <f ca="1">IFERROR(IF(INDEX(' Disaggregation - Section E '!F$618:F2706,MATCH(C2380,' Disaggregation - Section E '!A$618:A2706,0)+1,1)&lt;&gt;0,INDEX(' Disaggregation - Section E '!F$618:F2706,MATCH(C2380,' Disaggregation - Section E '!A$618:A2706,0)+1,1),""),"")</f>
        <v/>
      </c>
      <c r="I2380" s="388" t="str">
        <f ca="1">IFERROR(IF(VLOOKUP(C2380,' Disaggregation - Section E '!A$618:J2706,8,0)=0,"",VLOOKUP(C2380,' Disaggregation - Section E '!A$618:J2706,8,0)),"")</f>
        <v/>
      </c>
      <c r="J2380" s="388" t="str">
        <f ca="1">IFERROR(IF(VLOOKUP(C2380,' Disaggregation - Section E '!A$618:J2706,9,0)="","",VLOOKUP(C2380,' Disaggregation - Section E '!A$618:J2706,9,0)),"")</f>
        <v/>
      </c>
      <c r="K2380" s="384" t="str">
        <f ca="1">IFERROR(VLOOKUP(C2380,' Disaggregation - Section E '!A$618:J2706,3,0),"")</f>
        <v>KP-8 Percentage of people who inject drugs receiving opioid substitution therapy</v>
      </c>
      <c r="L2380" s="384"/>
      <c r="M2380" s="384" t="str">
        <f ca="1">IFERROR(IF(VLOOKUP(C2380,' Disaggregation - Section E '!A$618:O1509,15,0)=0,"",VLOOKUP(C2380,' Disaggregation - Section E '!A$618:O1509,15,0)),"")</f>
        <v/>
      </c>
      <c r="N2380" s="388" t="str">
        <f ca="1">IFERROR(IF(VLOOKUP(C2380,' Disaggregation - Section E '!A$618:J2706,10,0)=0,"",VLOOKUP(C2380,' Disaggregation - Section E '!A$618:J2706,10,0)),"")</f>
        <v/>
      </c>
      <c r="O2380" s="384"/>
    </row>
    <row r="2381" spans="1:15" x14ac:dyDescent="0.3">
      <c r="A2381" s="384" t="b">
        <f t="shared" ca="1" si="139"/>
        <v>0</v>
      </c>
      <c r="B2381" s="384"/>
      <c r="C2381" s="393" t="str">
        <f ca="1">IF(COUNTA(O$1493:O2381)=1,"",OFFSET(B2379,-COUNTA(O$1493:O2381)+3,1))</f>
        <v>a16Dm000000LZe8IAG</v>
      </c>
      <c r="D2381" s="389"/>
      <c r="E2381" s="386" t="str">
        <f ca="1">IFERROR(IF(VLOOKUP(C2381,' Disaggregation - Section E '!A$618:J2707,7,0)="","",VLOOKUP(C2381,' Disaggregation - Section E '!A$618:J2707,7,0)*100),"")</f>
        <v/>
      </c>
      <c r="F2381" s="388" t="str">
        <f ca="1">IFERROR(VLOOKUP(C2381,' Disaggregation - Section E '!A$618:J2707,5,0),"")</f>
        <v/>
      </c>
      <c r="G2381" s="387" t="str">
        <f ca="1">IFERROR(IF(VLOOKUP(C2381,' Disaggregation - Section E '!A$618:J2707,6,0)="","",VLOOKUP(C2381,' Disaggregation - Section E '!A$618:J2707,6,0)),"")</f>
        <v/>
      </c>
      <c r="H2381" s="387" t="str">
        <f ca="1">IFERROR(IF(INDEX(' Disaggregation - Section E '!F$618:F2707,MATCH(C2381,' Disaggregation - Section E '!A$618:A2707,0)+1,1)&lt;&gt;0,INDEX(' Disaggregation - Section E '!F$618:F2707,MATCH(C2381,' Disaggregation - Section E '!A$618:A2707,0)+1,1),""),"")</f>
        <v/>
      </c>
      <c r="I2381" s="388" t="str">
        <f ca="1">IFERROR(IF(VLOOKUP(C2381,' Disaggregation - Section E '!A$618:J2707,8,0)=0,"",VLOOKUP(C2381,' Disaggregation - Section E '!A$618:J2707,8,0)),"")</f>
        <v/>
      </c>
      <c r="J2381" s="388" t="str">
        <f ca="1">IFERROR(IF(VLOOKUP(C2381,' Disaggregation - Section E '!A$618:J2707,9,0)="","",VLOOKUP(C2381,' Disaggregation - Section E '!A$618:J2707,9,0)),"")</f>
        <v/>
      </c>
      <c r="K2381" s="384" t="str">
        <f ca="1">IFERROR(VLOOKUP(C2381,' Disaggregation - Section E '!A$618:J2707,3,0),"")</f>
        <v>KP-8 Percentage of people who inject drugs receiving opioid substitution therapy</v>
      </c>
      <c r="L2381" s="384"/>
      <c r="M2381" s="384" t="str">
        <f ca="1">IFERROR(IF(VLOOKUP(C2381,' Disaggregation - Section E '!A$618:O1510,15,0)=0,"",VLOOKUP(C2381,' Disaggregation - Section E '!A$618:O1510,15,0)),"")</f>
        <v/>
      </c>
      <c r="N2381" s="388" t="str">
        <f ca="1">IFERROR(IF(VLOOKUP(C2381,' Disaggregation - Section E '!A$618:J2707,10,0)=0,"",VLOOKUP(C2381,' Disaggregation - Section E '!A$618:J2707,10,0)),"")</f>
        <v/>
      </c>
      <c r="O2381" s="384"/>
    </row>
    <row r="2382" spans="1:15" x14ac:dyDescent="0.3">
      <c r="A2382" s="384" t="b">
        <f t="shared" ca="1" si="139"/>
        <v>0</v>
      </c>
      <c r="B2382" s="384"/>
      <c r="C2382" s="393" t="str">
        <f ca="1">IF(COUNTA(O$1493:O2382)=1,"",OFFSET(B2380,-COUNTA(O$1493:O2382)+3,1))</f>
        <v>a16Dm000000LZe9IAG</v>
      </c>
      <c r="D2382" s="389"/>
      <c r="E2382" s="386" t="str">
        <f ca="1">IFERROR(IF(VLOOKUP(C2382,' Disaggregation - Section E '!A$618:J2708,7,0)="","",VLOOKUP(C2382,' Disaggregation - Section E '!A$618:J2708,7,0)*100),"")</f>
        <v/>
      </c>
      <c r="F2382" s="388" t="str">
        <f ca="1">IFERROR(VLOOKUP(C2382,' Disaggregation - Section E '!A$618:J2708,5,0),"")</f>
        <v/>
      </c>
      <c r="G2382" s="387" t="str">
        <f ca="1">IFERROR(IF(VLOOKUP(C2382,' Disaggregation - Section E '!A$618:J2708,6,0)="","",VLOOKUP(C2382,' Disaggregation - Section E '!A$618:J2708,6,0)),"")</f>
        <v/>
      </c>
      <c r="H2382" s="387" t="str">
        <f ca="1">IFERROR(IF(INDEX(' Disaggregation - Section E '!F$618:F2708,MATCH(C2382,' Disaggregation - Section E '!A$618:A2708,0)+1,1)&lt;&gt;0,INDEX(' Disaggregation - Section E '!F$618:F2708,MATCH(C2382,' Disaggregation - Section E '!A$618:A2708,0)+1,1),""),"")</f>
        <v/>
      </c>
      <c r="I2382" s="388" t="str">
        <f ca="1">IFERROR(IF(VLOOKUP(C2382,' Disaggregation - Section E '!A$618:J2708,8,0)=0,"",VLOOKUP(C2382,' Disaggregation - Section E '!A$618:J2708,8,0)),"")</f>
        <v/>
      </c>
      <c r="J2382" s="388" t="str">
        <f ca="1">IFERROR(IF(VLOOKUP(C2382,' Disaggregation - Section E '!A$618:J2708,9,0)="","",VLOOKUP(C2382,' Disaggregation - Section E '!A$618:J2708,9,0)),"")</f>
        <v/>
      </c>
      <c r="K2382" s="384" t="str">
        <f ca="1">IFERROR(VLOOKUP(C2382,' Disaggregation - Section E '!A$618:J2708,3,0),"")</f>
        <v>KP-8 Percentage of people who inject drugs receiving opioid substitution therapy</v>
      </c>
      <c r="L2382" s="384"/>
      <c r="M2382" s="384" t="str">
        <f ca="1">IFERROR(IF(VLOOKUP(C2382,' Disaggregation - Section E '!A$618:O1511,15,0)=0,"",VLOOKUP(C2382,' Disaggregation - Section E '!A$618:O1511,15,0)),"")</f>
        <v/>
      </c>
      <c r="N2382" s="388" t="str">
        <f ca="1">IFERROR(IF(VLOOKUP(C2382,' Disaggregation - Section E '!A$618:J2708,10,0)=0,"",VLOOKUP(C2382,' Disaggregation - Section E '!A$618:J2708,10,0)),"")</f>
        <v/>
      </c>
      <c r="O2382" s="384"/>
    </row>
    <row r="2383" spans="1:15" x14ac:dyDescent="0.3">
      <c r="A2383" s="384" t="b">
        <f t="shared" ca="1" si="139"/>
        <v>0</v>
      </c>
      <c r="B2383" s="384"/>
      <c r="C2383" s="393" t="str">
        <f ca="1">IF(COUNTA(O$1493:O2383)=1,"",OFFSET(B2381,-COUNTA(O$1493:O2383)+3,1))</f>
        <v>a16Dm000000LZeAIAW</v>
      </c>
      <c r="D2383" s="389"/>
      <c r="E2383" s="386" t="str">
        <f ca="1">IFERROR(IF(VLOOKUP(C2383,' Disaggregation - Section E '!A$618:J2709,7,0)="","",VLOOKUP(C2383,' Disaggregation - Section E '!A$618:J2709,7,0)*100),"")</f>
        <v/>
      </c>
      <c r="F2383" s="388" t="str">
        <f ca="1">IFERROR(VLOOKUP(C2383,' Disaggregation - Section E '!A$618:J2709,5,0),"")</f>
        <v/>
      </c>
      <c r="G2383" s="387" t="str">
        <f ca="1">IFERROR(IF(VLOOKUP(C2383,' Disaggregation - Section E '!A$618:J2709,6,0)="","",VLOOKUP(C2383,' Disaggregation - Section E '!A$618:J2709,6,0)),"")</f>
        <v/>
      </c>
      <c r="H2383" s="387" t="str">
        <f ca="1">IFERROR(IF(INDEX(' Disaggregation - Section E '!F$618:F2709,MATCH(C2383,' Disaggregation - Section E '!A$618:A2709,0)+1,1)&lt;&gt;0,INDEX(' Disaggregation - Section E '!F$618:F2709,MATCH(C2383,' Disaggregation - Section E '!A$618:A2709,0)+1,1),""),"")</f>
        <v/>
      </c>
      <c r="I2383" s="388" t="str">
        <f ca="1">IFERROR(IF(VLOOKUP(C2383,' Disaggregation - Section E '!A$618:J2709,8,0)=0,"",VLOOKUP(C2383,' Disaggregation - Section E '!A$618:J2709,8,0)),"")</f>
        <v/>
      </c>
      <c r="J2383" s="388" t="str">
        <f ca="1">IFERROR(IF(VLOOKUP(C2383,' Disaggregation - Section E '!A$618:J2709,9,0)="","",VLOOKUP(C2383,' Disaggregation - Section E '!A$618:J2709,9,0)),"")</f>
        <v/>
      </c>
      <c r="K2383" s="384" t="str">
        <f ca="1">IFERROR(VLOOKUP(C2383,' Disaggregation - Section E '!A$618:J2709,3,0),"")</f>
        <v>KP-8 Percentage of people who inject drugs receiving opioid substitution therapy</v>
      </c>
      <c r="L2383" s="384"/>
      <c r="M2383" s="384" t="str">
        <f ca="1">IFERROR(IF(VLOOKUP(C2383,' Disaggregation - Section E '!A$618:O1512,15,0)=0,"",VLOOKUP(C2383,' Disaggregation - Section E '!A$618:O1512,15,0)),"")</f>
        <v/>
      </c>
      <c r="N2383" s="388" t="str">
        <f ca="1">IFERROR(IF(VLOOKUP(C2383,' Disaggregation - Section E '!A$618:J2709,10,0)=0,"",VLOOKUP(C2383,' Disaggregation - Section E '!A$618:J2709,10,0)),"")</f>
        <v/>
      </c>
      <c r="O2383" s="384"/>
    </row>
    <row r="2384" spans="1:15" x14ac:dyDescent="0.3">
      <c r="A2384" s="384" t="b">
        <f t="shared" ca="1" si="139"/>
        <v>0</v>
      </c>
      <c r="B2384" s="384"/>
      <c r="C2384" s="393" t="str">
        <f ca="1">IF(COUNTA(O$1493:O2384)=1,"",OFFSET(B2382,-COUNTA(O$1493:O2384)+3,1))</f>
        <v>a16Dm000000LZeBIAW</v>
      </c>
      <c r="D2384" s="389"/>
      <c r="E2384" s="386" t="str">
        <f ca="1">IFERROR(IF(VLOOKUP(C2384,' Disaggregation - Section E '!A$618:J2710,7,0)="","",VLOOKUP(C2384,' Disaggregation - Section E '!A$618:J2710,7,0)*100),"")</f>
        <v/>
      </c>
      <c r="F2384" s="388" t="str">
        <f ca="1">IFERROR(VLOOKUP(C2384,' Disaggregation - Section E '!A$618:J2710,5,0),"")</f>
        <v/>
      </c>
      <c r="G2384" s="387" t="str">
        <f ca="1">IFERROR(IF(VLOOKUP(C2384,' Disaggregation - Section E '!A$618:J2710,6,0)="","",VLOOKUP(C2384,' Disaggregation - Section E '!A$618:J2710,6,0)),"")</f>
        <v/>
      </c>
      <c r="H2384" s="387" t="str">
        <f ca="1">IFERROR(IF(INDEX(' Disaggregation - Section E '!F$618:F2710,MATCH(C2384,' Disaggregation - Section E '!A$618:A2710,0)+1,1)&lt;&gt;0,INDEX(' Disaggregation - Section E '!F$618:F2710,MATCH(C2384,' Disaggregation - Section E '!A$618:A2710,0)+1,1),""),"")</f>
        <v/>
      </c>
      <c r="I2384" s="388" t="str">
        <f ca="1">IFERROR(IF(VLOOKUP(C2384,' Disaggregation - Section E '!A$618:J2710,8,0)=0,"",VLOOKUP(C2384,' Disaggregation - Section E '!A$618:J2710,8,0)),"")</f>
        <v/>
      </c>
      <c r="J2384" s="388" t="str">
        <f ca="1">IFERROR(IF(VLOOKUP(C2384,' Disaggregation - Section E '!A$618:J2710,9,0)="","",VLOOKUP(C2384,' Disaggregation - Section E '!A$618:J2710,9,0)),"")</f>
        <v/>
      </c>
      <c r="K2384" s="384" t="str">
        <f ca="1">IFERROR(VLOOKUP(C2384,' Disaggregation - Section E '!A$618:J2710,3,0),"")</f>
        <v>KP-8 Percentage of people who inject drugs receiving opioid substitution therapy</v>
      </c>
      <c r="L2384" s="384"/>
      <c r="M2384" s="384" t="str">
        <f ca="1">IFERROR(IF(VLOOKUP(C2384,' Disaggregation - Section E '!A$618:O1513,15,0)=0,"",VLOOKUP(C2384,' Disaggregation - Section E '!A$618:O1513,15,0)),"")</f>
        <v/>
      </c>
      <c r="N2384" s="388" t="str">
        <f ca="1">IFERROR(IF(VLOOKUP(C2384,' Disaggregation - Section E '!A$618:J2710,10,0)=0,"",VLOOKUP(C2384,' Disaggregation - Section E '!A$618:J2710,10,0)),"")</f>
        <v/>
      </c>
      <c r="O2384" s="384"/>
    </row>
    <row r="2385" spans="1:15" x14ac:dyDescent="0.3">
      <c r="A2385" s="384" t="b">
        <f t="shared" ca="1" si="139"/>
        <v>0</v>
      </c>
      <c r="B2385" s="384"/>
      <c r="C2385" s="393" t="str">
        <f ca="1">IF(COUNTA(O$1493:O2385)=1,"",OFFSET(B2383,-COUNTA(O$1493:O2385)+3,1))</f>
        <v>a16Dm000000LZeCIAW</v>
      </c>
      <c r="D2385" s="389"/>
      <c r="E2385" s="386" t="str">
        <f ca="1">IFERROR(IF(VLOOKUP(C2385,' Disaggregation - Section E '!A$618:J2711,7,0)="","",VLOOKUP(C2385,' Disaggregation - Section E '!A$618:J2711,7,0)*100),"")</f>
        <v/>
      </c>
      <c r="F2385" s="388" t="str">
        <f ca="1">IFERROR(VLOOKUP(C2385,' Disaggregation - Section E '!A$618:J2711,5,0),"")</f>
        <v/>
      </c>
      <c r="G2385" s="387" t="str">
        <f ca="1">IFERROR(IF(VLOOKUP(C2385,' Disaggregation - Section E '!A$618:J2711,6,0)="","",VLOOKUP(C2385,' Disaggregation - Section E '!A$618:J2711,6,0)),"")</f>
        <v/>
      </c>
      <c r="H2385" s="387" t="str">
        <f ca="1">IFERROR(IF(INDEX(' Disaggregation - Section E '!F$618:F2711,MATCH(C2385,' Disaggregation - Section E '!A$618:A2711,0)+1,1)&lt;&gt;0,INDEX(' Disaggregation - Section E '!F$618:F2711,MATCH(C2385,' Disaggregation - Section E '!A$618:A2711,0)+1,1),""),"")</f>
        <v/>
      </c>
      <c r="I2385" s="388" t="str">
        <f ca="1">IFERROR(IF(VLOOKUP(C2385,' Disaggregation - Section E '!A$618:J2711,8,0)=0,"",VLOOKUP(C2385,' Disaggregation - Section E '!A$618:J2711,8,0)),"")</f>
        <v/>
      </c>
      <c r="J2385" s="388" t="str">
        <f ca="1">IFERROR(IF(VLOOKUP(C2385,' Disaggregation - Section E '!A$618:J2711,9,0)="","",VLOOKUP(C2385,' Disaggregation - Section E '!A$618:J2711,9,0)),"")</f>
        <v/>
      </c>
      <c r="K2385" s="384" t="str">
        <f ca="1">IFERROR(VLOOKUP(C2385,' Disaggregation - Section E '!A$618:J2711,3,0),"")</f>
        <v>KP-8 Percentage of people who inject drugs receiving opioid substitution therapy</v>
      </c>
      <c r="L2385" s="384"/>
      <c r="M2385" s="384" t="str">
        <f ca="1">IFERROR(IF(VLOOKUP(C2385,' Disaggregation - Section E '!A$618:O1514,15,0)=0,"",VLOOKUP(C2385,' Disaggregation - Section E '!A$618:O1514,15,0)),"")</f>
        <v/>
      </c>
      <c r="N2385" s="388" t="str">
        <f ca="1">IFERROR(IF(VLOOKUP(C2385,' Disaggregation - Section E '!A$618:J2711,10,0)=0,"",VLOOKUP(C2385,' Disaggregation - Section E '!A$618:J2711,10,0)),"")</f>
        <v/>
      </c>
      <c r="O2385" s="384"/>
    </row>
    <row r="2386" spans="1:15" x14ac:dyDescent="0.3">
      <c r="A2386" s="384" t="b">
        <f t="shared" ca="1" si="139"/>
        <v>0</v>
      </c>
      <c r="B2386" s="384"/>
      <c r="C2386" s="393" t="str">
        <f ca="1">IF(COUNTA(O$1493:O2386)=1,"",OFFSET(B2384,-COUNTA(O$1493:O2386)+3,1))</f>
        <v>a16Dm000000LZeDIAW</v>
      </c>
      <c r="D2386" s="389"/>
      <c r="E2386" s="386" t="str">
        <f ca="1">IFERROR(IF(VLOOKUP(C2386,' Disaggregation - Section E '!A$618:J2712,7,0)="","",VLOOKUP(C2386,' Disaggregation - Section E '!A$618:J2712,7,0)*100),"")</f>
        <v/>
      </c>
      <c r="F2386" s="388" t="str">
        <f ca="1">IFERROR(VLOOKUP(C2386,' Disaggregation - Section E '!A$618:J2712,5,0),"")</f>
        <v/>
      </c>
      <c r="G2386" s="387" t="str">
        <f ca="1">IFERROR(IF(VLOOKUP(C2386,' Disaggregation - Section E '!A$618:J2712,6,0)="","",VLOOKUP(C2386,' Disaggregation - Section E '!A$618:J2712,6,0)),"")</f>
        <v/>
      </c>
      <c r="H2386" s="387" t="str">
        <f ca="1">IFERROR(IF(INDEX(' Disaggregation - Section E '!F$618:F2712,MATCH(C2386,' Disaggregation - Section E '!A$618:A2712,0)+1,1)&lt;&gt;0,INDEX(' Disaggregation - Section E '!F$618:F2712,MATCH(C2386,' Disaggregation - Section E '!A$618:A2712,0)+1,1),""),"")</f>
        <v/>
      </c>
      <c r="I2386" s="388" t="str">
        <f ca="1">IFERROR(IF(VLOOKUP(C2386,' Disaggregation - Section E '!A$618:J2712,8,0)=0,"",VLOOKUP(C2386,' Disaggregation - Section E '!A$618:J2712,8,0)),"")</f>
        <v/>
      </c>
      <c r="J2386" s="388" t="str">
        <f ca="1">IFERROR(IF(VLOOKUP(C2386,' Disaggregation - Section E '!A$618:J2712,9,0)="","",VLOOKUP(C2386,' Disaggregation - Section E '!A$618:J2712,9,0)),"")</f>
        <v/>
      </c>
      <c r="K2386" s="384" t="str">
        <f ca="1">IFERROR(VLOOKUP(C2386,' Disaggregation - Section E '!A$618:J2712,3,0),"")</f>
        <v>KP-8 Percentage of people who inject drugs receiving opioid substitution therapy</v>
      </c>
      <c r="L2386" s="384"/>
      <c r="M2386" s="384" t="str">
        <f ca="1">IFERROR(IF(VLOOKUP(C2386,' Disaggregation - Section E '!A$618:O1515,15,0)=0,"",VLOOKUP(C2386,' Disaggregation - Section E '!A$618:O1515,15,0)),"")</f>
        <v/>
      </c>
      <c r="N2386" s="388" t="str">
        <f ca="1">IFERROR(IF(VLOOKUP(C2386,' Disaggregation - Section E '!A$618:J2712,10,0)=0,"",VLOOKUP(C2386,' Disaggregation - Section E '!A$618:J2712,10,0)),"")</f>
        <v/>
      </c>
      <c r="O2386" s="384"/>
    </row>
    <row r="2387" spans="1:15" x14ac:dyDescent="0.3">
      <c r="A2387" s="384" t="b">
        <f t="shared" ca="1" si="139"/>
        <v>0</v>
      </c>
      <c r="B2387" s="384"/>
      <c r="C2387" s="393" t="str">
        <f ca="1">IF(COUNTA(O$1493:O2387)=1,"",OFFSET(B2385,-COUNTA(O$1493:O2387)+3,1))</f>
        <v>a16Dm000000LZeEIAW</v>
      </c>
      <c r="D2387" s="389"/>
      <c r="E2387" s="386" t="str">
        <f ca="1">IFERROR(IF(VLOOKUP(C2387,' Disaggregation - Section E '!A$618:J2713,7,0)="","",VLOOKUP(C2387,' Disaggregation - Section E '!A$618:J2713,7,0)*100),"")</f>
        <v/>
      </c>
      <c r="F2387" s="388" t="str">
        <f ca="1">IFERROR(VLOOKUP(C2387,' Disaggregation - Section E '!A$618:J2713,5,0),"")</f>
        <v/>
      </c>
      <c r="G2387" s="387" t="str">
        <f ca="1">IFERROR(IF(VLOOKUP(C2387,' Disaggregation - Section E '!A$618:J2713,6,0)="","",VLOOKUP(C2387,' Disaggregation - Section E '!A$618:J2713,6,0)),"")</f>
        <v/>
      </c>
      <c r="H2387" s="387" t="str">
        <f ca="1">IFERROR(IF(INDEX(' Disaggregation - Section E '!F$618:F2713,MATCH(C2387,' Disaggregation - Section E '!A$618:A2713,0)+1,1)&lt;&gt;0,INDEX(' Disaggregation - Section E '!F$618:F2713,MATCH(C2387,' Disaggregation - Section E '!A$618:A2713,0)+1,1),""),"")</f>
        <v/>
      </c>
      <c r="I2387" s="388" t="str">
        <f ca="1">IFERROR(IF(VLOOKUP(C2387,' Disaggregation - Section E '!A$618:J2713,8,0)=0,"",VLOOKUP(C2387,' Disaggregation - Section E '!A$618:J2713,8,0)),"")</f>
        <v/>
      </c>
      <c r="J2387" s="388" t="str">
        <f ca="1">IFERROR(IF(VLOOKUP(C2387,' Disaggregation - Section E '!A$618:J2713,9,0)="","",VLOOKUP(C2387,' Disaggregation - Section E '!A$618:J2713,9,0)),"")</f>
        <v/>
      </c>
      <c r="K2387" s="384" t="str">
        <f ca="1">IFERROR(VLOOKUP(C2387,' Disaggregation - Section E '!A$618:J2713,3,0),"")</f>
        <v>KP-8 Percentage of people who inject drugs receiving opioid substitution therapy</v>
      </c>
      <c r="L2387" s="384"/>
      <c r="M2387" s="384" t="str">
        <f ca="1">IFERROR(IF(VLOOKUP(C2387,' Disaggregation - Section E '!A$618:O1516,15,0)=0,"",VLOOKUP(C2387,' Disaggregation - Section E '!A$618:O1516,15,0)),"")</f>
        <v/>
      </c>
      <c r="N2387" s="388" t="str">
        <f ca="1">IFERROR(IF(VLOOKUP(C2387,' Disaggregation - Section E '!A$618:J2713,10,0)=0,"",VLOOKUP(C2387,' Disaggregation - Section E '!A$618:J2713,10,0)),"")</f>
        <v/>
      </c>
      <c r="O2387" s="384"/>
    </row>
    <row r="2388" spans="1:15" x14ac:dyDescent="0.3">
      <c r="A2388" s="384" t="b">
        <f t="shared" ca="1" si="139"/>
        <v>0</v>
      </c>
      <c r="B2388" s="384"/>
      <c r="C2388" s="393" t="str">
        <f ca="1">IF(COUNTA(O$1493:O2388)=1,"",OFFSET(B2386,-COUNTA(O$1493:O2388)+3,1))</f>
        <v>a16Dm000000LZeFIAW</v>
      </c>
      <c r="D2388" s="389"/>
      <c r="E2388" s="386" t="str">
        <f ca="1">IFERROR(IF(VLOOKUP(C2388,' Disaggregation - Section E '!A$618:J2714,7,0)="","",VLOOKUP(C2388,' Disaggregation - Section E '!A$618:J2714,7,0)*100),"")</f>
        <v/>
      </c>
      <c r="F2388" s="388" t="str">
        <f ca="1">IFERROR(VLOOKUP(C2388,' Disaggregation - Section E '!A$618:J2714,5,0),"")</f>
        <v/>
      </c>
      <c r="G2388" s="387" t="str">
        <f ca="1">IFERROR(IF(VLOOKUP(C2388,' Disaggregation - Section E '!A$618:J2714,6,0)="","",VLOOKUP(C2388,' Disaggregation - Section E '!A$618:J2714,6,0)),"")</f>
        <v/>
      </c>
      <c r="H2388" s="387" t="str">
        <f ca="1">IFERROR(IF(INDEX(' Disaggregation - Section E '!F$618:F2714,MATCH(C2388,' Disaggregation - Section E '!A$618:A2714,0)+1,1)&lt;&gt;0,INDEX(' Disaggregation - Section E '!F$618:F2714,MATCH(C2388,' Disaggregation - Section E '!A$618:A2714,0)+1,1),""),"")</f>
        <v/>
      </c>
      <c r="I2388" s="388" t="str">
        <f ca="1">IFERROR(IF(VLOOKUP(C2388,' Disaggregation - Section E '!A$618:J2714,8,0)=0,"",VLOOKUP(C2388,' Disaggregation - Section E '!A$618:J2714,8,0)),"")</f>
        <v/>
      </c>
      <c r="J2388" s="388" t="str">
        <f ca="1">IFERROR(IF(VLOOKUP(C2388,' Disaggregation - Section E '!A$618:J2714,9,0)="","",VLOOKUP(C2388,' Disaggregation - Section E '!A$618:J2714,9,0)),"")</f>
        <v/>
      </c>
      <c r="K2388" s="384" t="str">
        <f ca="1">IFERROR(VLOOKUP(C2388,' Disaggregation - Section E '!A$618:J2714,3,0),"")</f>
        <v>KP-8 Percentage of people who inject drugs receiving opioid substitution therapy</v>
      </c>
      <c r="L2388" s="384"/>
      <c r="M2388" s="384" t="str">
        <f ca="1">IFERROR(IF(VLOOKUP(C2388,' Disaggregation - Section E '!A$618:O1517,15,0)=0,"",VLOOKUP(C2388,' Disaggregation - Section E '!A$618:O1517,15,0)),"")</f>
        <v/>
      </c>
      <c r="N2388" s="388" t="str">
        <f ca="1">IFERROR(IF(VLOOKUP(C2388,' Disaggregation - Section E '!A$618:J2714,10,0)=0,"",VLOOKUP(C2388,' Disaggregation - Section E '!A$618:J2714,10,0)),"")</f>
        <v/>
      </c>
      <c r="O2388" s="384"/>
    </row>
    <row r="2389" spans="1:15" x14ac:dyDescent="0.3">
      <c r="A2389" s="384" t="b">
        <f t="shared" ca="1" si="139"/>
        <v>0</v>
      </c>
      <c r="B2389" s="384"/>
      <c r="C2389" s="393" t="str">
        <f ca="1">IF(COUNTA(O$1493:O2389)=1,"",OFFSET(B2387,-COUNTA(O$1493:O2389)+3,1))</f>
        <v>a16Dm000000LZeGIAW</v>
      </c>
      <c r="D2389" s="389"/>
      <c r="E2389" s="386" t="str">
        <f ca="1">IFERROR(IF(VLOOKUP(C2389,' Disaggregation - Section E '!A$618:J2715,7,0)="","",VLOOKUP(C2389,' Disaggregation - Section E '!A$618:J2715,7,0)*100),"")</f>
        <v/>
      </c>
      <c r="F2389" s="388" t="str">
        <f ca="1">IFERROR(VLOOKUP(C2389,' Disaggregation - Section E '!A$618:J2715,5,0),"")</f>
        <v/>
      </c>
      <c r="G2389" s="387" t="str">
        <f ca="1">IFERROR(IF(VLOOKUP(C2389,' Disaggregation - Section E '!A$618:J2715,6,0)="","",VLOOKUP(C2389,' Disaggregation - Section E '!A$618:J2715,6,0)),"")</f>
        <v/>
      </c>
      <c r="H2389" s="387" t="str">
        <f ca="1">IFERROR(IF(INDEX(' Disaggregation - Section E '!F$618:F2715,MATCH(C2389,' Disaggregation - Section E '!A$618:A2715,0)+1,1)&lt;&gt;0,INDEX(' Disaggregation - Section E '!F$618:F2715,MATCH(C2389,' Disaggregation - Section E '!A$618:A2715,0)+1,1),""),"")</f>
        <v/>
      </c>
      <c r="I2389" s="388" t="str">
        <f ca="1">IFERROR(IF(VLOOKUP(C2389,' Disaggregation - Section E '!A$618:J2715,8,0)=0,"",VLOOKUP(C2389,' Disaggregation - Section E '!A$618:J2715,8,0)),"")</f>
        <v/>
      </c>
      <c r="J2389" s="388" t="str">
        <f ca="1">IFERROR(IF(VLOOKUP(C2389,' Disaggregation - Section E '!A$618:J2715,9,0)="","",VLOOKUP(C2389,' Disaggregation - Section E '!A$618:J2715,9,0)),"")</f>
        <v/>
      </c>
      <c r="K2389" s="384" t="str">
        <f ca="1">IFERROR(VLOOKUP(C2389,' Disaggregation - Section E '!A$618:J2715,3,0),"")</f>
        <v>KP-8 Percentage of people who inject drugs receiving opioid substitution therapy</v>
      </c>
      <c r="L2389" s="384"/>
      <c r="M2389" s="384" t="str">
        <f ca="1">IFERROR(IF(VLOOKUP(C2389,' Disaggregation - Section E '!A$618:O1518,15,0)=0,"",VLOOKUP(C2389,' Disaggregation - Section E '!A$618:O1518,15,0)),"")</f>
        <v/>
      </c>
      <c r="N2389" s="388" t="str">
        <f ca="1">IFERROR(IF(VLOOKUP(C2389,' Disaggregation - Section E '!A$618:J2715,10,0)=0,"",VLOOKUP(C2389,' Disaggregation - Section E '!A$618:J2715,10,0)),"")</f>
        <v/>
      </c>
      <c r="O2389" s="384"/>
    </row>
    <row r="2390" spans="1:15" x14ac:dyDescent="0.3">
      <c r="A2390" s="384" t="b">
        <f t="shared" ca="1" si="139"/>
        <v>0</v>
      </c>
      <c r="B2390" s="384"/>
      <c r="C2390" s="393" t="str">
        <f ca="1">IF(COUNTA(O$1493:O2390)=1,"",OFFSET(B2388,-COUNTA(O$1493:O2390)+3,1))</f>
        <v>a16Dm000000LZeHIAW</v>
      </c>
      <c r="D2390" s="389"/>
      <c r="E2390" s="386" t="str">
        <f ca="1">IFERROR(IF(VLOOKUP(C2390,' Disaggregation - Section E '!A$618:J2716,7,0)="","",VLOOKUP(C2390,' Disaggregation - Section E '!A$618:J2716,7,0)*100),"")</f>
        <v/>
      </c>
      <c r="F2390" s="388" t="str">
        <f ca="1">IFERROR(VLOOKUP(C2390,' Disaggregation - Section E '!A$618:J2716,5,0),"")</f>
        <v/>
      </c>
      <c r="G2390" s="387" t="str">
        <f ca="1">IFERROR(IF(VLOOKUP(C2390,' Disaggregation - Section E '!A$618:J2716,6,0)="","",VLOOKUP(C2390,' Disaggregation - Section E '!A$618:J2716,6,0)),"")</f>
        <v/>
      </c>
      <c r="H2390" s="387" t="str">
        <f ca="1">IFERROR(IF(INDEX(' Disaggregation - Section E '!F$618:F2716,MATCH(C2390,' Disaggregation - Section E '!A$618:A2716,0)+1,1)&lt;&gt;0,INDEX(' Disaggregation - Section E '!F$618:F2716,MATCH(C2390,' Disaggregation - Section E '!A$618:A2716,0)+1,1),""),"")</f>
        <v/>
      </c>
      <c r="I2390" s="388" t="str">
        <f ca="1">IFERROR(IF(VLOOKUP(C2390,' Disaggregation - Section E '!A$618:J2716,8,0)=0,"",VLOOKUP(C2390,' Disaggregation - Section E '!A$618:J2716,8,0)),"")</f>
        <v/>
      </c>
      <c r="J2390" s="388" t="str">
        <f ca="1">IFERROR(IF(VLOOKUP(C2390,' Disaggregation - Section E '!A$618:J2716,9,0)="","",VLOOKUP(C2390,' Disaggregation - Section E '!A$618:J2716,9,0)),"")</f>
        <v/>
      </c>
      <c r="K2390" s="384" t="str">
        <f ca="1">IFERROR(VLOOKUP(C2390,' Disaggregation - Section E '!A$618:J2716,3,0),"")</f>
        <v>KP-8 Percentage of people who inject drugs receiving opioid substitution therapy</v>
      </c>
      <c r="L2390" s="384"/>
      <c r="M2390" s="384" t="str">
        <f ca="1">IFERROR(IF(VLOOKUP(C2390,' Disaggregation - Section E '!A$618:O1519,15,0)=0,"",VLOOKUP(C2390,' Disaggregation - Section E '!A$618:O1519,15,0)),"")</f>
        <v/>
      </c>
      <c r="N2390" s="388" t="str">
        <f ca="1">IFERROR(IF(VLOOKUP(C2390,' Disaggregation - Section E '!A$618:J2716,10,0)=0,"",VLOOKUP(C2390,' Disaggregation - Section E '!A$618:J2716,10,0)),"")</f>
        <v/>
      </c>
      <c r="O2390" s="384"/>
    </row>
    <row r="2391" spans="1:15" x14ac:dyDescent="0.3">
      <c r="A2391" s="384" t="b">
        <f t="shared" ca="1" si="139"/>
        <v>0</v>
      </c>
      <c r="B2391" s="384"/>
      <c r="C2391" s="393" t="str">
        <f ca="1">IF(COUNTA(O$1493:O2391)=1,"",OFFSET(B2389,-COUNTA(O$1493:O2391)+3,1))</f>
        <v>a16Dm000000LZeIIAW</v>
      </c>
      <c r="D2391" s="389"/>
      <c r="E2391" s="386" t="str">
        <f ca="1">IFERROR(IF(VLOOKUP(C2391,' Disaggregation - Section E '!A$618:J2717,7,0)="","",VLOOKUP(C2391,' Disaggregation - Section E '!A$618:J2717,7,0)*100),"")</f>
        <v/>
      </c>
      <c r="F2391" s="388" t="str">
        <f ca="1">IFERROR(VLOOKUP(C2391,' Disaggregation - Section E '!A$618:J2717,5,0),"")</f>
        <v/>
      </c>
      <c r="G2391" s="387" t="str">
        <f ca="1">IFERROR(IF(VLOOKUP(C2391,' Disaggregation - Section E '!A$618:J2717,6,0)="","",VLOOKUP(C2391,' Disaggregation - Section E '!A$618:J2717,6,0)),"")</f>
        <v/>
      </c>
      <c r="H2391" s="387" t="str">
        <f ca="1">IFERROR(IF(INDEX(' Disaggregation - Section E '!F$618:F2717,MATCH(C2391,' Disaggregation - Section E '!A$618:A2717,0)+1,1)&lt;&gt;0,INDEX(' Disaggregation - Section E '!F$618:F2717,MATCH(C2391,' Disaggregation - Section E '!A$618:A2717,0)+1,1),""),"")</f>
        <v/>
      </c>
      <c r="I2391" s="388" t="str">
        <f ca="1">IFERROR(IF(VLOOKUP(C2391,' Disaggregation - Section E '!A$618:J2717,8,0)=0,"",VLOOKUP(C2391,' Disaggregation - Section E '!A$618:J2717,8,0)),"")</f>
        <v/>
      </c>
      <c r="J2391" s="388" t="str">
        <f ca="1">IFERROR(IF(VLOOKUP(C2391,' Disaggregation - Section E '!A$618:J2717,9,0)="","",VLOOKUP(C2391,' Disaggregation - Section E '!A$618:J2717,9,0)),"")</f>
        <v/>
      </c>
      <c r="K2391" s="384" t="str">
        <f ca="1">IFERROR(VLOOKUP(C2391,' Disaggregation - Section E '!A$618:J2717,3,0),"")</f>
        <v>KP-8 Percentage of people who inject drugs receiving opioid substitution therapy</v>
      </c>
      <c r="L2391" s="384"/>
      <c r="M2391" s="384" t="str">
        <f ca="1">IFERROR(IF(VLOOKUP(C2391,' Disaggregation - Section E '!A$618:O1520,15,0)=0,"",VLOOKUP(C2391,' Disaggregation - Section E '!A$618:O1520,15,0)),"")</f>
        <v/>
      </c>
      <c r="N2391" s="388" t="str">
        <f ca="1">IFERROR(IF(VLOOKUP(C2391,' Disaggregation - Section E '!A$618:J2717,10,0)=0,"",VLOOKUP(C2391,' Disaggregation - Section E '!A$618:J2717,10,0)),"")</f>
        <v/>
      </c>
      <c r="O2391" s="384"/>
    </row>
    <row r="2392" spans="1:15" x14ac:dyDescent="0.3">
      <c r="A2392" s="384" t="b">
        <f t="shared" ca="1" si="139"/>
        <v>0</v>
      </c>
      <c r="B2392" s="384"/>
      <c r="C2392" s="393" t="str">
        <f ca="1">IF(COUNTA(O$1493:O2392)=1,"",OFFSET(B2390,-COUNTA(O$1493:O2392)+3,1))</f>
        <v>a16Dm000000LZeJIAW</v>
      </c>
      <c r="D2392" s="389"/>
      <c r="E2392" s="386" t="str">
        <f ca="1">IFERROR(IF(VLOOKUP(C2392,' Disaggregation - Section E '!A$618:J2718,7,0)="","",VLOOKUP(C2392,' Disaggregation - Section E '!A$618:J2718,7,0)*100),"")</f>
        <v/>
      </c>
      <c r="F2392" s="388" t="str">
        <f ca="1">IFERROR(VLOOKUP(C2392,' Disaggregation - Section E '!A$618:J2718,5,0),"")</f>
        <v/>
      </c>
      <c r="G2392" s="387" t="str">
        <f ca="1">IFERROR(IF(VLOOKUP(C2392,' Disaggregation - Section E '!A$618:J2718,6,0)="","",VLOOKUP(C2392,' Disaggregation - Section E '!A$618:J2718,6,0)),"")</f>
        <v/>
      </c>
      <c r="H2392" s="387" t="str">
        <f ca="1">IFERROR(IF(INDEX(' Disaggregation - Section E '!F$618:F2718,MATCH(C2392,' Disaggregation - Section E '!A$618:A2718,0)+1,1)&lt;&gt;0,INDEX(' Disaggregation - Section E '!F$618:F2718,MATCH(C2392,' Disaggregation - Section E '!A$618:A2718,0)+1,1),""),"")</f>
        <v/>
      </c>
      <c r="I2392" s="388" t="str">
        <f ca="1">IFERROR(IF(VLOOKUP(C2392,' Disaggregation - Section E '!A$618:J2718,8,0)=0,"",VLOOKUP(C2392,' Disaggregation - Section E '!A$618:J2718,8,0)),"")</f>
        <v/>
      </c>
      <c r="J2392" s="388" t="str">
        <f ca="1">IFERROR(IF(VLOOKUP(C2392,' Disaggregation - Section E '!A$618:J2718,9,0)="","",VLOOKUP(C2392,' Disaggregation - Section E '!A$618:J2718,9,0)),"")</f>
        <v/>
      </c>
      <c r="K2392" s="384" t="str">
        <f ca="1">IFERROR(VLOOKUP(C2392,' Disaggregation - Section E '!A$618:J2718,3,0),"")</f>
        <v>KP-8 Percentage of people who inject drugs receiving opioid substitution therapy</v>
      </c>
      <c r="L2392" s="384"/>
      <c r="M2392" s="384" t="str">
        <f ca="1">IFERROR(IF(VLOOKUP(C2392,' Disaggregation - Section E '!A$618:O1521,15,0)=0,"",VLOOKUP(C2392,' Disaggregation - Section E '!A$618:O1521,15,0)),"")</f>
        <v/>
      </c>
      <c r="N2392" s="388" t="str">
        <f ca="1">IFERROR(IF(VLOOKUP(C2392,' Disaggregation - Section E '!A$618:J2718,10,0)=0,"",VLOOKUP(C2392,' Disaggregation - Section E '!A$618:J2718,10,0)),"")</f>
        <v/>
      </c>
      <c r="O2392" s="384"/>
    </row>
    <row r="2393" spans="1:15" x14ac:dyDescent="0.3">
      <c r="A2393" s="384" t="b">
        <f t="shared" ca="1" si="139"/>
        <v>0</v>
      </c>
      <c r="B2393" s="384"/>
      <c r="C2393" s="393" t="str">
        <f ca="1">IF(COUNTA(O$1493:O2393)=1,"",OFFSET(B2391,-COUNTA(O$1493:O2393)+3,1))</f>
        <v>a16Dm000000LZeKIAW</v>
      </c>
      <c r="D2393" s="389"/>
      <c r="E2393" s="386" t="str">
        <f ca="1">IFERROR(IF(VLOOKUP(C2393,' Disaggregation - Section E '!A$618:J2719,7,0)="","",VLOOKUP(C2393,' Disaggregation - Section E '!A$618:J2719,7,0)*100),"")</f>
        <v/>
      </c>
      <c r="F2393" s="388" t="str">
        <f ca="1">IFERROR(VLOOKUP(C2393,' Disaggregation - Section E '!A$618:J2719,5,0),"")</f>
        <v/>
      </c>
      <c r="G2393" s="387" t="str">
        <f ca="1">IFERROR(IF(VLOOKUP(C2393,' Disaggregation - Section E '!A$618:J2719,6,0)="","",VLOOKUP(C2393,' Disaggregation - Section E '!A$618:J2719,6,0)),"")</f>
        <v/>
      </c>
      <c r="H2393" s="387" t="str">
        <f ca="1">IFERROR(IF(INDEX(' Disaggregation - Section E '!F$618:F2719,MATCH(C2393,' Disaggregation - Section E '!A$618:A2719,0)+1,1)&lt;&gt;0,INDEX(' Disaggregation - Section E '!F$618:F2719,MATCH(C2393,' Disaggregation - Section E '!A$618:A2719,0)+1,1),""),"")</f>
        <v/>
      </c>
      <c r="I2393" s="388" t="str">
        <f ca="1">IFERROR(IF(VLOOKUP(C2393,' Disaggregation - Section E '!A$618:J2719,8,0)=0,"",VLOOKUP(C2393,' Disaggregation - Section E '!A$618:J2719,8,0)),"")</f>
        <v/>
      </c>
      <c r="J2393" s="388" t="str">
        <f ca="1">IFERROR(IF(VLOOKUP(C2393,' Disaggregation - Section E '!A$618:J2719,9,0)="","",VLOOKUP(C2393,' Disaggregation - Section E '!A$618:J2719,9,0)),"")</f>
        <v/>
      </c>
      <c r="K2393" s="384" t="str">
        <f ca="1">IFERROR(VLOOKUP(C2393,' Disaggregation - Section E '!A$618:J2719,3,0),"")</f>
        <v>KP-8 Percentage of people who inject drugs receiving opioid substitution therapy</v>
      </c>
      <c r="L2393" s="384"/>
      <c r="M2393" s="384" t="str">
        <f ca="1">IFERROR(IF(VLOOKUP(C2393,' Disaggregation - Section E '!A$618:O1522,15,0)=0,"",VLOOKUP(C2393,' Disaggregation - Section E '!A$618:O1522,15,0)),"")</f>
        <v/>
      </c>
      <c r="N2393" s="388" t="str">
        <f ca="1">IFERROR(IF(VLOOKUP(C2393,' Disaggregation - Section E '!A$618:J2719,10,0)=0,"",VLOOKUP(C2393,' Disaggregation - Section E '!A$618:J2719,10,0)),"")</f>
        <v/>
      </c>
      <c r="O2393" s="384"/>
    </row>
    <row r="2394" spans="1:15" x14ac:dyDescent="0.3">
      <c r="A2394" s="384" t="b">
        <f t="shared" ca="1" si="139"/>
        <v>0</v>
      </c>
      <c r="B2394" s="384"/>
      <c r="C2394" s="393" t="str">
        <f ca="1">IF(COUNTA(O$1493:O2394)=1,"",OFFSET(B2392,-COUNTA(O$1493:O2394)+3,1))</f>
        <v>a16Dm000000LZeLIAW</v>
      </c>
      <c r="D2394" s="389"/>
      <c r="E2394" s="386" t="str">
        <f ca="1">IFERROR(IF(VLOOKUP(C2394,' Disaggregation - Section E '!A$618:J2720,7,0)="","",VLOOKUP(C2394,' Disaggregation - Section E '!A$618:J2720,7,0)*100),"")</f>
        <v/>
      </c>
      <c r="F2394" s="388" t="str">
        <f ca="1">IFERROR(VLOOKUP(C2394,' Disaggregation - Section E '!A$618:J2720,5,0),"")</f>
        <v/>
      </c>
      <c r="G2394" s="387" t="str">
        <f ca="1">IFERROR(IF(VLOOKUP(C2394,' Disaggregation - Section E '!A$618:J2720,6,0)="","",VLOOKUP(C2394,' Disaggregation - Section E '!A$618:J2720,6,0)),"")</f>
        <v/>
      </c>
      <c r="H2394" s="387" t="str">
        <f ca="1">IFERROR(IF(INDEX(' Disaggregation - Section E '!F$618:F2720,MATCH(C2394,' Disaggregation - Section E '!A$618:A2720,0)+1,1)&lt;&gt;0,INDEX(' Disaggregation - Section E '!F$618:F2720,MATCH(C2394,' Disaggregation - Section E '!A$618:A2720,0)+1,1),""),"")</f>
        <v/>
      </c>
      <c r="I2394" s="388" t="str">
        <f ca="1">IFERROR(IF(VLOOKUP(C2394,' Disaggregation - Section E '!A$618:J2720,8,0)=0,"",VLOOKUP(C2394,' Disaggregation - Section E '!A$618:J2720,8,0)),"")</f>
        <v/>
      </c>
      <c r="J2394" s="388" t="str">
        <f ca="1">IFERROR(IF(VLOOKUP(C2394,' Disaggregation - Section E '!A$618:J2720,9,0)="","",VLOOKUP(C2394,' Disaggregation - Section E '!A$618:J2720,9,0)),"")</f>
        <v/>
      </c>
      <c r="K2394" s="384" t="str">
        <f ca="1">IFERROR(VLOOKUP(C2394,' Disaggregation - Section E '!A$618:J2720,3,0),"")</f>
        <v>KP-8 Percentage of people who inject drugs receiving opioid substitution therapy</v>
      </c>
      <c r="L2394" s="384"/>
      <c r="M2394" s="384" t="str">
        <f ca="1">IFERROR(IF(VLOOKUP(C2394,' Disaggregation - Section E '!A$618:O1523,15,0)=0,"",VLOOKUP(C2394,' Disaggregation - Section E '!A$618:O1523,15,0)),"")</f>
        <v/>
      </c>
      <c r="N2394" s="388" t="str">
        <f ca="1">IFERROR(IF(VLOOKUP(C2394,' Disaggregation - Section E '!A$618:J2720,10,0)=0,"",VLOOKUP(C2394,' Disaggregation - Section E '!A$618:J2720,10,0)),"")</f>
        <v/>
      </c>
      <c r="O2394" s="384"/>
    </row>
    <row r="2395" spans="1:15" x14ac:dyDescent="0.3">
      <c r="A2395" s="384" t="b">
        <f t="shared" ca="1" si="139"/>
        <v>1</v>
      </c>
      <c r="B2395" s="384"/>
      <c r="C2395" s="393" t="str">
        <f ca="1">IF(COUNTA(O$1493:O2395)=1,"",OFFSET(B2393,-COUNTA(O$1493:O2395)+3,1))</f>
        <v>a16Dm000000LZeMIAW</v>
      </c>
      <c r="D2395" s="389"/>
      <c r="E2395" s="386">
        <f ca="1">IFERROR(IF(VLOOKUP(C2395,' Disaggregation - Section E '!A$618:J2721,7,0)="","",VLOOKUP(C2395,' Disaggregation - Section E '!A$618:J2721,7,0)*100),"")</f>
        <v>92.130115424973766</v>
      </c>
      <c r="F2395" s="388" t="str">
        <f ca="1">IFERROR(VLOOKUP(C2395,' Disaggregation - Section E '!A$618:J2721,5,0),"")</f>
        <v>15+</v>
      </c>
      <c r="G2395" s="387">
        <f ca="1">IFERROR(IF(VLOOKUP(C2395,' Disaggregation - Section E '!A$618:J2721,6,0)="","",VLOOKUP(C2395,' Disaggregation - Section E '!A$618:J2721,6,0)),"")</f>
        <v>878</v>
      </c>
      <c r="H2395" s="387">
        <f ca="1">IFERROR(IF(INDEX(' Disaggregation - Section E '!F$618:F2721,MATCH(C2395,' Disaggregation - Section E '!A$618:A2721,0)+1,1)&lt;&gt;0,INDEX(' Disaggregation - Section E '!F$618:F2721,MATCH(C2395,' Disaggregation - Section E '!A$618:A2721,0)+1,1),""),"")</f>
        <v>953</v>
      </c>
      <c r="I2395" s="388">
        <f ca="1">IFERROR(IF(VLOOKUP(C2395,' Disaggregation - Section E '!A$618:J2721,8,0)=0,"",VLOOKUP(C2395,' Disaggregation - Section E '!A$618:J2721,8,0)),"")</f>
        <v>2022</v>
      </c>
      <c r="J2395" s="388" t="str">
        <f ca="1">IFERROR(IF(VLOOKUP(C2395,' Disaggregation - Section E '!A$618:J2721,9,0)="","",VLOOKUP(C2395,' Disaggregation - Section E '!A$618:J2721,9,0)),"")</f>
        <v>Electronic HIV Case Tracking System and RCHV&amp;HIV report</v>
      </c>
      <c r="K2395" s="384" t="str">
        <f ca="1">IFERROR(VLOOKUP(C2395,' Disaggregation - Section E '!A$618:J2721,3,0),"")</f>
        <v>HTS-5 Percentage of people newly diagnosed with HIV initiated on ART</v>
      </c>
      <c r="L2395" s="384"/>
      <c r="M2395" s="384" t="str">
        <f ca="1">IFERROR(IF(VLOOKUP(C2395,' Disaggregation - Section E '!A$618:O1524,15,0)=0,"",VLOOKUP(C2395,' Disaggregation - Section E '!A$618:O1524,15,0)),"")</f>
        <v>IDR-01296</v>
      </c>
      <c r="N2395" s="388" t="str">
        <f ca="1">IFERROR(IF(VLOOKUP(C2395,' Disaggregation - Section E '!A$618:J2721,10,0)=0,"",VLOOKUP(C2395,' Disaggregation - Section E '!A$618:J2721,10,0)),"")</f>
        <v xml:space="preserve">"Numerator: Number of people newly diagnosed with HIV during the reporting period in this age group who started ART. Initiation on ART will be measured for treatment initiation- 30 days of diagnosis.  Denominator: Number of people 
newly diagnosed with HIV in this age group during the reporting period. Denominator will include number of people newly diagnosed with HIV during the reporting period who already have 30 days of diagnosis. 
</v>
      </c>
      <c r="O2395" s="384"/>
    </row>
    <row r="2396" spans="1:15" x14ac:dyDescent="0.3">
      <c r="A2396" s="384" t="b">
        <f t="shared" ca="1" si="139"/>
        <v>1</v>
      </c>
      <c r="B2396" s="384"/>
      <c r="C2396" s="393" t="str">
        <f ca="1">IF(COUNTA(O$1493:O2396)=1,"",OFFSET(B2394,-COUNTA(O$1493:O2396)+3,1))</f>
        <v>a16Dm000000LZeNIAW</v>
      </c>
      <c r="D2396" s="389"/>
      <c r="E2396" s="386">
        <f ca="1">IFERROR(IF(VLOOKUP(C2396,' Disaggregation - Section E '!A$618:J2722,7,0)="","",VLOOKUP(C2396,' Disaggregation - Section E '!A$618:J2722,7,0)*100),"")</f>
        <v>88.888888888888886</v>
      </c>
      <c r="F2396" s="388" t="str">
        <f ca="1">IFERROR(VLOOKUP(C2396,' Disaggregation - Section E '!A$618:J2722,5,0),"")</f>
        <v>&lt;15</v>
      </c>
      <c r="G2396" s="387">
        <f ca="1">IFERROR(IF(VLOOKUP(C2396,' Disaggregation - Section E '!A$618:J2722,6,0)="","",VLOOKUP(C2396,' Disaggregation - Section E '!A$618:J2722,6,0)),"")</f>
        <v>16</v>
      </c>
      <c r="H2396" s="387">
        <f ca="1">IFERROR(IF(INDEX(' Disaggregation - Section E '!F$618:F2722,MATCH(C2396,' Disaggregation - Section E '!A$618:A2722,0)+1,1)&lt;&gt;0,INDEX(' Disaggregation - Section E '!F$618:F2722,MATCH(C2396,' Disaggregation - Section E '!A$618:A2722,0)+1,1),""),"")</f>
        <v>18</v>
      </c>
      <c r="I2396" s="388">
        <f ca="1">IFERROR(IF(VLOOKUP(C2396,' Disaggregation - Section E '!A$618:J2722,8,0)=0,"",VLOOKUP(C2396,' Disaggregation - Section E '!A$618:J2722,8,0)),"")</f>
        <v>2022</v>
      </c>
      <c r="J2396" s="388" t="str">
        <f ca="1">IFERROR(IF(VLOOKUP(C2396,' Disaggregation - Section E '!A$618:J2722,9,0)="","",VLOOKUP(C2396,' Disaggregation - Section E '!A$618:J2722,9,0)),"")</f>
        <v>Electronic HIV Case Tracking System and RCHV&amp;HIV report</v>
      </c>
      <c r="K2396" s="384" t="str">
        <f ca="1">IFERROR(VLOOKUP(C2396,' Disaggregation - Section E '!A$618:J2722,3,0),"")</f>
        <v>HTS-5 Percentage of people newly diagnosed with HIV initiated on ART</v>
      </c>
      <c r="L2396" s="384"/>
      <c r="M2396" s="384" t="str">
        <f ca="1">IFERROR(IF(VLOOKUP(C2396,' Disaggregation - Section E '!A$618:O1525,15,0)=0,"",VLOOKUP(C2396,' Disaggregation - Section E '!A$618:O1525,15,0)),"")</f>
        <v>IDR-01295</v>
      </c>
      <c r="N2396" s="388" t="str">
        <f ca="1">IFERROR(IF(VLOOKUP(C2396,' Disaggregation - Section E '!A$618:J2722,10,0)=0,"",VLOOKUP(C2396,' Disaggregation - Section E '!A$618:J2722,10,0)),"")</f>
        <v xml:space="preserve">"Numerator: Number of people newly diagnosed with HIV during the reporting period in this age group who started ART. Initiation on ART will be measured for treatment initiation- 30 days of diagnosis.  Denominator: Number of people 
newly diagnosed with HIV in this age group during the reporting period. Denominator will include number of people newly diagnosed with HIV during the reporting period who already have 30 days of diagnosis. 
</v>
      </c>
      <c r="O2396" s="384"/>
    </row>
    <row r="2397" spans="1:15" x14ac:dyDescent="0.3">
      <c r="A2397" s="384" t="b">
        <f t="shared" ca="1" si="139"/>
        <v>1</v>
      </c>
      <c r="B2397" s="384"/>
      <c r="C2397" s="393" t="str">
        <f ca="1">IF(COUNTA(O$1493:O2397)=1,"",OFFSET(B2395,-COUNTA(O$1493:O2397)+3,1))</f>
        <v>a16Dm000000LZeOIAW</v>
      </c>
      <c r="D2397" s="389"/>
      <c r="E2397" s="386">
        <f ca="1">IFERROR(IF(VLOOKUP(C2397,' Disaggregation - Section E '!A$618:J2723,7,0)="","",VLOOKUP(C2397,' Disaggregation - Section E '!A$618:J2723,7,0)*100),"")</f>
        <v>91.811846689895475</v>
      </c>
      <c r="F2397" s="388" t="str">
        <f ca="1">IFERROR(VLOOKUP(C2397,' Disaggregation - Section E '!A$618:J2723,5,0),"")</f>
        <v>Male 15+</v>
      </c>
      <c r="G2397" s="387">
        <f ca="1">IFERROR(IF(VLOOKUP(C2397,' Disaggregation - Section E '!A$618:J2723,6,0)="","",VLOOKUP(C2397,' Disaggregation - Section E '!A$618:J2723,6,0)),"")</f>
        <v>527</v>
      </c>
      <c r="H2397" s="387">
        <f ca="1">IFERROR(IF(INDEX(' Disaggregation - Section E '!F$618:F2723,MATCH(C2397,' Disaggregation - Section E '!A$618:A2723,0)+1,1)&lt;&gt;0,INDEX(' Disaggregation - Section E '!F$618:F2723,MATCH(C2397,' Disaggregation - Section E '!A$618:A2723,0)+1,1),""),"")</f>
        <v>574</v>
      </c>
      <c r="I2397" s="388">
        <f ca="1">IFERROR(IF(VLOOKUP(C2397,' Disaggregation - Section E '!A$618:J2723,8,0)=0,"",VLOOKUP(C2397,' Disaggregation - Section E '!A$618:J2723,8,0)),"")</f>
        <v>2022</v>
      </c>
      <c r="J2397" s="388" t="str">
        <f ca="1">IFERROR(IF(VLOOKUP(C2397,' Disaggregation - Section E '!A$618:J2723,9,0)="","",VLOOKUP(C2397,' Disaggregation - Section E '!A$618:J2723,9,0)),"")</f>
        <v>Electronic HIV Case Tracking System and RCHV&amp;HIV report</v>
      </c>
      <c r="K2397" s="384" t="str">
        <f ca="1">IFERROR(VLOOKUP(C2397,' Disaggregation - Section E '!A$618:J2723,3,0),"")</f>
        <v>HTS-5 Percentage of people newly diagnosed with HIV initiated on ART</v>
      </c>
      <c r="L2397" s="384"/>
      <c r="M2397" s="384" t="str">
        <f ca="1">IFERROR(IF(VLOOKUP(C2397,' Disaggregation - Section E '!A$618:O1526,15,0)=0,"",VLOOKUP(C2397,' Disaggregation - Section E '!A$618:O1526,15,0)),"")</f>
        <v>IDR-01294</v>
      </c>
      <c r="N2397" s="388" t="str">
        <f ca="1">IFERROR(IF(VLOOKUP(C2397,' Disaggregation - Section E '!A$618:J2723,10,0)=0,"",VLOOKUP(C2397,' Disaggregation - Section E '!A$618:J2723,10,0)),"")</f>
        <v xml:space="preserve">"Numerator: Number of people newly diagnosed with HIV during the reporting period in this age group who started ART. Initiation on ART will be measured for treatment initiation- 30 days of diagnosis.  Denominator: Number of people 
newly diagnosed with HIV in this age group during the reporting period. Denominator will include number of people newly diagnosed with HIV during the reporting period who already have 30 days of diagnosis. 
</v>
      </c>
      <c r="O2397" s="384"/>
    </row>
    <row r="2398" spans="1:15" x14ac:dyDescent="0.3">
      <c r="A2398" s="384" t="b">
        <f t="shared" ca="1" si="139"/>
        <v>1</v>
      </c>
      <c r="B2398" s="384"/>
      <c r="C2398" s="393" t="str">
        <f ca="1">IF(COUNTA(O$1493:O2398)=1,"",OFFSET(B2396,-COUNTA(O$1493:O2398)+3,1))</f>
        <v>a16Dm000000LZePIAW</v>
      </c>
      <c r="D2398" s="389"/>
      <c r="E2398" s="386">
        <f ca="1">IFERROR(IF(VLOOKUP(C2398,' Disaggregation - Section E '!A$618:J2724,7,0)="","",VLOOKUP(C2398,' Disaggregation - Section E '!A$618:J2724,7,0)*100),"")</f>
        <v>92.612137203166228</v>
      </c>
      <c r="F2398" s="388" t="str">
        <f ca="1">IFERROR(VLOOKUP(C2398,' Disaggregation - Section E '!A$618:J2724,5,0),"")</f>
        <v>Female 15+</v>
      </c>
      <c r="G2398" s="387">
        <f ca="1">IFERROR(IF(VLOOKUP(C2398,' Disaggregation - Section E '!A$618:J2724,6,0)="","",VLOOKUP(C2398,' Disaggregation - Section E '!A$618:J2724,6,0)),"")</f>
        <v>351</v>
      </c>
      <c r="H2398" s="387">
        <f ca="1">IFERROR(IF(INDEX(' Disaggregation - Section E '!F$618:F2724,MATCH(C2398,' Disaggregation - Section E '!A$618:A2724,0)+1,1)&lt;&gt;0,INDEX(' Disaggregation - Section E '!F$618:F2724,MATCH(C2398,' Disaggregation - Section E '!A$618:A2724,0)+1,1),""),"")</f>
        <v>379</v>
      </c>
      <c r="I2398" s="388">
        <f ca="1">IFERROR(IF(VLOOKUP(C2398,' Disaggregation - Section E '!A$618:J2724,8,0)=0,"",VLOOKUP(C2398,' Disaggregation - Section E '!A$618:J2724,8,0)),"")</f>
        <v>2022</v>
      </c>
      <c r="J2398" s="388" t="str">
        <f ca="1">IFERROR(IF(VLOOKUP(C2398,' Disaggregation - Section E '!A$618:J2724,9,0)="","",VLOOKUP(C2398,' Disaggregation - Section E '!A$618:J2724,9,0)),"")</f>
        <v>Electronic HIV Case Tracking System and RCHV&amp;HIV report</v>
      </c>
      <c r="K2398" s="384" t="str">
        <f ca="1">IFERROR(VLOOKUP(C2398,' Disaggregation - Section E '!A$618:J2724,3,0),"")</f>
        <v>HTS-5 Percentage of people newly diagnosed with HIV initiated on ART</v>
      </c>
      <c r="L2398" s="384"/>
      <c r="M2398" s="384" t="str">
        <f ca="1">IFERROR(IF(VLOOKUP(C2398,' Disaggregation - Section E '!A$618:O1527,15,0)=0,"",VLOOKUP(C2398,' Disaggregation - Section E '!A$618:O1527,15,0)),"")</f>
        <v>IDR-01293</v>
      </c>
      <c r="N2398" s="388" t="str">
        <f ca="1">IFERROR(IF(VLOOKUP(C2398,' Disaggregation - Section E '!A$618:J2724,10,0)=0,"",VLOOKUP(C2398,' Disaggregation - Section E '!A$618:J2724,10,0)),"")</f>
        <v xml:space="preserve">"Numerator: Number of people newly diagnosed with HIV during the reporting period in this age group who started ART. Initiation on ART will be measured for treatment initiation- 30 days of diagnosis.  Denominator: Number of people 
newly diagnosed with HIV in this age group during the reporting period. Denominator will include number of people newly diagnosed with HIV during the reporting period who already have 30 days of diagnosis. 
</v>
      </c>
      <c r="O2398" s="384"/>
    </row>
    <row r="2399" spans="1:15" x14ac:dyDescent="0.3">
      <c r="A2399" s="384" t="b">
        <f t="shared" ca="1" si="139"/>
        <v>0</v>
      </c>
      <c r="B2399" s="384"/>
      <c r="C2399" s="393" t="str">
        <f ca="1">IF(COUNTA(O$1493:O2399)=1,"",OFFSET(B2397,-COUNTA(O$1493:O2399)+3,1))</f>
        <v>a16Dm000000LZeQIAW</v>
      </c>
      <c r="D2399" s="389"/>
      <c r="E2399" s="386" t="str">
        <f ca="1">IFERROR(IF(VLOOKUP(C2399,' Disaggregation - Section E '!A$618:J2725,7,0)="","",VLOOKUP(C2399,' Disaggregation - Section E '!A$618:J2725,7,0)*100),"")</f>
        <v/>
      </c>
      <c r="F2399" s="388" t="str">
        <f ca="1">IFERROR(VLOOKUP(C2399,' Disaggregation - Section E '!A$618:J2725,5,0),"")</f>
        <v/>
      </c>
      <c r="G2399" s="387" t="str">
        <f ca="1">IFERROR(IF(VLOOKUP(C2399,' Disaggregation - Section E '!A$618:J2725,6,0)="","",VLOOKUP(C2399,' Disaggregation - Section E '!A$618:J2725,6,0)),"")</f>
        <v/>
      </c>
      <c r="H2399" s="387" t="str">
        <f ca="1">IFERROR(IF(INDEX(' Disaggregation - Section E '!F$618:F2725,MATCH(C2399,' Disaggregation - Section E '!A$618:A2725,0)+1,1)&lt;&gt;0,INDEX(' Disaggregation - Section E '!F$618:F2725,MATCH(C2399,' Disaggregation - Section E '!A$618:A2725,0)+1,1),""),"")</f>
        <v/>
      </c>
      <c r="I2399" s="388">
        <f ca="1">IFERROR(IF(VLOOKUP(C2399,' Disaggregation - Section E '!A$618:J2725,8,0)=0,"",VLOOKUP(C2399,' Disaggregation - Section E '!A$618:J2725,8,0)),"")</f>
        <v>2022</v>
      </c>
      <c r="J2399" s="388" t="str">
        <f ca="1">IFERROR(IF(VLOOKUP(C2399,' Disaggregation - Section E '!A$618:J2725,9,0)="","",VLOOKUP(C2399,' Disaggregation - Section E '!A$618:J2725,9,0)),"")</f>
        <v xml:space="preserve">Electronic HIV Case Tracking System and RCHV&amp;HIV report
</v>
      </c>
      <c r="K2399" s="384" t="str">
        <f ca="1">IFERROR(VLOOKUP(C2399,' Disaggregation - Section E '!A$618:J2725,3,0),"")</f>
        <v>HTS-5 Percentage of people newly diagnosed with HIV initiated on ART</v>
      </c>
      <c r="L2399" s="384"/>
      <c r="M2399" s="384" t="str">
        <f ca="1">IFERROR(IF(VLOOKUP(C2399,' Disaggregation - Section E '!A$618:O1528,15,0)=0,"",VLOOKUP(C2399,' Disaggregation - Section E '!A$618:O1528,15,0)),"")</f>
        <v/>
      </c>
      <c r="N2399" s="388" t="str">
        <f ca="1">IFERROR(IF(VLOOKUP(C2399,' Disaggregation - Section E '!A$618:J2725,10,0)=0,"",VLOOKUP(C2399,' Disaggregation - Section E '!A$618:J2725,10,0)),"")</f>
        <v/>
      </c>
      <c r="O2399" s="384"/>
    </row>
    <row r="2400" spans="1:15" x14ac:dyDescent="0.3">
      <c r="A2400" s="384" t="b">
        <f t="shared" ca="1" si="139"/>
        <v>0</v>
      </c>
      <c r="B2400" s="384"/>
      <c r="C2400" s="393" t="str">
        <f ca="1">IF(COUNTA(O$1493:O2400)=1,"",OFFSET(B2398,-COUNTA(O$1493:O2400)+3,1))</f>
        <v>a16Dm000000LZeRIAW</v>
      </c>
      <c r="D2400" s="389"/>
      <c r="E2400" s="386" t="str">
        <f ca="1">IFERROR(IF(VLOOKUP(C2400,' Disaggregation - Section E '!A$618:J2726,7,0)="","",VLOOKUP(C2400,' Disaggregation - Section E '!A$618:J2726,7,0)*100),"")</f>
        <v/>
      </c>
      <c r="F2400" s="388" t="str">
        <f ca="1">IFERROR(VLOOKUP(C2400,' Disaggregation - Section E '!A$618:J2726,5,0),"")</f>
        <v/>
      </c>
      <c r="G2400" s="387" t="str">
        <f ca="1">IFERROR(IF(VLOOKUP(C2400,' Disaggregation - Section E '!A$618:J2726,6,0)="","",VLOOKUP(C2400,' Disaggregation - Section E '!A$618:J2726,6,0)),"")</f>
        <v/>
      </c>
      <c r="H2400" s="387" t="str">
        <f ca="1">IFERROR(IF(INDEX(' Disaggregation - Section E '!F$618:F2726,MATCH(C2400,' Disaggregation - Section E '!A$618:A2726,0)+1,1)&lt;&gt;0,INDEX(' Disaggregation - Section E '!F$618:F2726,MATCH(C2400,' Disaggregation - Section E '!A$618:A2726,0)+1,1),""),"")</f>
        <v/>
      </c>
      <c r="I2400" s="388" t="str">
        <f ca="1">IFERROR(IF(VLOOKUP(C2400,' Disaggregation - Section E '!A$618:J2726,8,0)=0,"",VLOOKUP(C2400,' Disaggregation - Section E '!A$618:J2726,8,0)),"")</f>
        <v/>
      </c>
      <c r="J2400" s="388" t="str">
        <f ca="1">IFERROR(IF(VLOOKUP(C2400,' Disaggregation - Section E '!A$618:J2726,9,0)="","",VLOOKUP(C2400,' Disaggregation - Section E '!A$618:J2726,9,0)),"")</f>
        <v/>
      </c>
      <c r="K2400" s="384" t="str">
        <f ca="1">IFERROR(VLOOKUP(C2400,' Disaggregation - Section E '!A$618:J2726,3,0),"")</f>
        <v>HTS-5 Percentage of people newly diagnosed with HIV initiated on ART</v>
      </c>
      <c r="L2400" s="384"/>
      <c r="M2400" s="384" t="str">
        <f ca="1">IFERROR(IF(VLOOKUP(C2400,' Disaggregation - Section E '!A$618:O1529,15,0)=0,"",VLOOKUP(C2400,' Disaggregation - Section E '!A$618:O1529,15,0)),"")</f>
        <v/>
      </c>
      <c r="N2400" s="388" t="str">
        <f ca="1">IFERROR(IF(VLOOKUP(C2400,' Disaggregation - Section E '!A$618:J2726,10,0)=0,"",VLOOKUP(C2400,' Disaggregation - Section E '!A$618:J2726,10,0)),"")</f>
        <v/>
      </c>
      <c r="O2400" s="384"/>
    </row>
    <row r="2401" spans="1:15" x14ac:dyDescent="0.3">
      <c r="A2401" s="384" t="b">
        <f t="shared" ca="1" si="139"/>
        <v>0</v>
      </c>
      <c r="B2401" s="384"/>
      <c r="C2401" s="393" t="str">
        <f ca="1">IF(COUNTA(O$1493:O2401)=1,"",OFFSET(B2399,-COUNTA(O$1493:O2401)+3,1))</f>
        <v>a16Dm000000LZeSIAW</v>
      </c>
      <c r="D2401" s="389"/>
      <c r="E2401" s="386" t="str">
        <f ca="1">IFERROR(IF(VLOOKUP(C2401,' Disaggregation - Section E '!A$618:J2727,7,0)="","",VLOOKUP(C2401,' Disaggregation - Section E '!A$618:J2727,7,0)*100),"")</f>
        <v/>
      </c>
      <c r="F2401" s="388" t="str">
        <f ca="1">IFERROR(VLOOKUP(C2401,' Disaggregation - Section E '!A$618:J2727,5,0),"")</f>
        <v/>
      </c>
      <c r="G2401" s="387" t="str">
        <f ca="1">IFERROR(IF(VLOOKUP(C2401,' Disaggregation - Section E '!A$618:J2727,6,0)="","",VLOOKUP(C2401,' Disaggregation - Section E '!A$618:J2727,6,0)),"")</f>
        <v/>
      </c>
      <c r="H2401" s="387" t="str">
        <f ca="1">IFERROR(IF(INDEX(' Disaggregation - Section E '!F$618:F2727,MATCH(C2401,' Disaggregation - Section E '!A$618:A2727,0)+1,1)&lt;&gt;0,INDEX(' Disaggregation - Section E '!F$618:F2727,MATCH(C2401,' Disaggregation - Section E '!A$618:A2727,0)+1,1),""),"")</f>
        <v/>
      </c>
      <c r="I2401" s="388" t="str">
        <f ca="1">IFERROR(IF(VLOOKUP(C2401,' Disaggregation - Section E '!A$618:J2727,8,0)=0,"",VLOOKUP(C2401,' Disaggregation - Section E '!A$618:J2727,8,0)),"")</f>
        <v/>
      </c>
      <c r="J2401" s="388" t="str">
        <f ca="1">IFERROR(IF(VLOOKUP(C2401,' Disaggregation - Section E '!A$618:J2727,9,0)="","",VLOOKUP(C2401,' Disaggregation - Section E '!A$618:J2727,9,0)),"")</f>
        <v/>
      </c>
      <c r="K2401" s="384" t="str">
        <f ca="1">IFERROR(VLOOKUP(C2401,' Disaggregation - Section E '!A$618:J2727,3,0),"")</f>
        <v>HTS-5 Percentage of people newly diagnosed with HIV initiated on ART</v>
      </c>
      <c r="L2401" s="384"/>
      <c r="M2401" s="384" t="str">
        <f ca="1">IFERROR(IF(VLOOKUP(C2401,' Disaggregation - Section E '!A$618:O1530,15,0)=0,"",VLOOKUP(C2401,' Disaggregation - Section E '!A$618:O1530,15,0)),"")</f>
        <v/>
      </c>
      <c r="N2401" s="388" t="str">
        <f ca="1">IFERROR(IF(VLOOKUP(C2401,' Disaggregation - Section E '!A$618:J2727,10,0)=0,"",VLOOKUP(C2401,' Disaggregation - Section E '!A$618:J2727,10,0)),"")</f>
        <v/>
      </c>
      <c r="O2401" s="384"/>
    </row>
    <row r="2402" spans="1:15" x14ac:dyDescent="0.3">
      <c r="A2402" s="384" t="b">
        <f t="shared" ca="1" si="139"/>
        <v>0</v>
      </c>
      <c r="B2402" s="384"/>
      <c r="C2402" s="393" t="str">
        <f ca="1">IF(COUNTA(O$1493:O2402)=1,"",OFFSET(B2400,-COUNTA(O$1493:O2402)+3,1))</f>
        <v>a16Dm000000LZeTIAW</v>
      </c>
      <c r="D2402" s="389"/>
      <c r="E2402" s="386" t="str">
        <f ca="1">IFERROR(IF(VLOOKUP(C2402,' Disaggregation - Section E '!A$618:J2728,7,0)="","",VLOOKUP(C2402,' Disaggregation - Section E '!A$618:J2728,7,0)*100),"")</f>
        <v/>
      </c>
      <c r="F2402" s="388" t="str">
        <f ca="1">IFERROR(VLOOKUP(C2402,' Disaggregation - Section E '!A$618:J2728,5,0),"")</f>
        <v/>
      </c>
      <c r="G2402" s="387" t="str">
        <f ca="1">IFERROR(IF(VLOOKUP(C2402,' Disaggregation - Section E '!A$618:J2728,6,0)="","",VLOOKUP(C2402,' Disaggregation - Section E '!A$618:J2728,6,0)),"")</f>
        <v/>
      </c>
      <c r="H2402" s="387" t="str">
        <f ca="1">IFERROR(IF(INDEX(' Disaggregation - Section E '!F$618:F2728,MATCH(C2402,' Disaggregation - Section E '!A$618:A2728,0)+1,1)&lt;&gt;0,INDEX(' Disaggregation - Section E '!F$618:F2728,MATCH(C2402,' Disaggregation - Section E '!A$618:A2728,0)+1,1),""),"")</f>
        <v/>
      </c>
      <c r="I2402" s="388" t="str">
        <f ca="1">IFERROR(IF(VLOOKUP(C2402,' Disaggregation - Section E '!A$618:J2728,8,0)=0,"",VLOOKUP(C2402,' Disaggregation - Section E '!A$618:J2728,8,0)),"")</f>
        <v/>
      </c>
      <c r="J2402" s="388" t="str">
        <f ca="1">IFERROR(IF(VLOOKUP(C2402,' Disaggregation - Section E '!A$618:J2728,9,0)="","",VLOOKUP(C2402,' Disaggregation - Section E '!A$618:J2728,9,0)),"")</f>
        <v/>
      </c>
      <c r="K2402" s="384" t="str">
        <f ca="1">IFERROR(VLOOKUP(C2402,' Disaggregation - Section E '!A$618:J2728,3,0),"")</f>
        <v>HTS-5 Percentage of people newly diagnosed with HIV initiated on ART</v>
      </c>
      <c r="L2402" s="384"/>
      <c r="M2402" s="384" t="str">
        <f ca="1">IFERROR(IF(VLOOKUP(C2402,' Disaggregation - Section E '!A$618:O1531,15,0)=0,"",VLOOKUP(C2402,' Disaggregation - Section E '!A$618:O1531,15,0)),"")</f>
        <v/>
      </c>
      <c r="N2402" s="388" t="str">
        <f ca="1">IFERROR(IF(VLOOKUP(C2402,' Disaggregation - Section E '!A$618:J2728,10,0)=0,"",VLOOKUP(C2402,' Disaggregation - Section E '!A$618:J2728,10,0)),"")</f>
        <v/>
      </c>
      <c r="O2402" s="384"/>
    </row>
    <row r="2403" spans="1:15" x14ac:dyDescent="0.3">
      <c r="A2403" s="384" t="b">
        <f t="shared" ca="1" si="139"/>
        <v>0</v>
      </c>
      <c r="B2403" s="384"/>
      <c r="C2403" s="393" t="str">
        <f ca="1">IF(COUNTA(O$1493:O2403)=1,"",OFFSET(B2401,-COUNTA(O$1493:O2403)+3,1))</f>
        <v>a16Dm000000LZeUIAW</v>
      </c>
      <c r="D2403" s="389"/>
      <c r="E2403" s="386" t="str">
        <f ca="1">IFERROR(IF(VLOOKUP(C2403,' Disaggregation - Section E '!A$618:J2729,7,0)="","",VLOOKUP(C2403,' Disaggregation - Section E '!A$618:J2729,7,0)*100),"")</f>
        <v/>
      </c>
      <c r="F2403" s="388" t="str">
        <f ca="1">IFERROR(VLOOKUP(C2403,' Disaggregation - Section E '!A$618:J2729,5,0),"")</f>
        <v/>
      </c>
      <c r="G2403" s="387" t="str">
        <f ca="1">IFERROR(IF(VLOOKUP(C2403,' Disaggregation - Section E '!A$618:J2729,6,0)="","",VLOOKUP(C2403,' Disaggregation - Section E '!A$618:J2729,6,0)),"")</f>
        <v/>
      </c>
      <c r="H2403" s="387" t="str">
        <f ca="1">IFERROR(IF(INDEX(' Disaggregation - Section E '!F$618:F2729,MATCH(C2403,' Disaggregation - Section E '!A$618:A2729,0)+1,1)&lt;&gt;0,INDEX(' Disaggregation - Section E '!F$618:F2729,MATCH(C2403,' Disaggregation - Section E '!A$618:A2729,0)+1,1),""),"")</f>
        <v/>
      </c>
      <c r="I2403" s="388" t="str">
        <f ca="1">IFERROR(IF(VLOOKUP(C2403,' Disaggregation - Section E '!A$618:J2729,8,0)=0,"",VLOOKUP(C2403,' Disaggregation - Section E '!A$618:J2729,8,0)),"")</f>
        <v/>
      </c>
      <c r="J2403" s="388" t="str">
        <f ca="1">IFERROR(IF(VLOOKUP(C2403,' Disaggregation - Section E '!A$618:J2729,9,0)="","",VLOOKUP(C2403,' Disaggregation - Section E '!A$618:J2729,9,0)),"")</f>
        <v/>
      </c>
      <c r="K2403" s="384" t="str">
        <f ca="1">IFERROR(VLOOKUP(C2403,' Disaggregation - Section E '!A$618:J2729,3,0),"")</f>
        <v>HTS-5 Percentage of people newly diagnosed with HIV initiated on ART</v>
      </c>
      <c r="L2403" s="384"/>
      <c r="M2403" s="384" t="str">
        <f ca="1">IFERROR(IF(VLOOKUP(C2403,' Disaggregation - Section E '!A$618:O1532,15,0)=0,"",VLOOKUP(C2403,' Disaggregation - Section E '!A$618:O1532,15,0)),"")</f>
        <v/>
      </c>
      <c r="N2403" s="388" t="str">
        <f ca="1">IFERROR(IF(VLOOKUP(C2403,' Disaggregation - Section E '!A$618:J2729,10,0)=0,"",VLOOKUP(C2403,' Disaggregation - Section E '!A$618:J2729,10,0)),"")</f>
        <v/>
      </c>
      <c r="O2403" s="384"/>
    </row>
    <row r="2404" spans="1:15" x14ac:dyDescent="0.3">
      <c r="A2404" s="384" t="b">
        <f t="shared" ca="1" si="139"/>
        <v>0</v>
      </c>
      <c r="B2404" s="384"/>
      <c r="C2404" s="393" t="str">
        <f ca="1">IF(COUNTA(O$1493:O2404)=1,"",OFFSET(B2402,-COUNTA(O$1493:O2404)+3,1))</f>
        <v>a16Dm000000LZeVIAW</v>
      </c>
      <c r="D2404" s="389"/>
      <c r="E2404" s="386" t="str">
        <f ca="1">IFERROR(IF(VLOOKUP(C2404,' Disaggregation - Section E '!A$618:J2730,7,0)="","",VLOOKUP(C2404,' Disaggregation - Section E '!A$618:J2730,7,0)*100),"")</f>
        <v/>
      </c>
      <c r="F2404" s="388" t="str">
        <f ca="1">IFERROR(VLOOKUP(C2404,' Disaggregation - Section E '!A$618:J2730,5,0),"")</f>
        <v/>
      </c>
      <c r="G2404" s="387" t="str">
        <f ca="1">IFERROR(IF(VLOOKUP(C2404,' Disaggregation - Section E '!A$618:J2730,6,0)="","",VLOOKUP(C2404,' Disaggregation - Section E '!A$618:J2730,6,0)),"")</f>
        <v/>
      </c>
      <c r="H2404" s="387" t="str">
        <f ca="1">IFERROR(IF(INDEX(' Disaggregation - Section E '!F$618:F2730,MATCH(C2404,' Disaggregation - Section E '!A$618:A2730,0)+1,1)&lt;&gt;0,INDEX(' Disaggregation - Section E '!F$618:F2730,MATCH(C2404,' Disaggregation - Section E '!A$618:A2730,0)+1,1),""),"")</f>
        <v/>
      </c>
      <c r="I2404" s="388" t="str">
        <f ca="1">IFERROR(IF(VLOOKUP(C2404,' Disaggregation - Section E '!A$618:J2730,8,0)=0,"",VLOOKUP(C2404,' Disaggregation - Section E '!A$618:J2730,8,0)),"")</f>
        <v/>
      </c>
      <c r="J2404" s="388" t="str">
        <f ca="1">IFERROR(IF(VLOOKUP(C2404,' Disaggregation - Section E '!A$618:J2730,9,0)="","",VLOOKUP(C2404,' Disaggregation - Section E '!A$618:J2730,9,0)),"")</f>
        <v/>
      </c>
      <c r="K2404" s="384" t="str">
        <f ca="1">IFERROR(VLOOKUP(C2404,' Disaggregation - Section E '!A$618:J2730,3,0),"")</f>
        <v>HTS-5 Percentage of people newly diagnosed with HIV initiated on ART</v>
      </c>
      <c r="L2404" s="384"/>
      <c r="M2404" s="384" t="str">
        <f ca="1">IFERROR(IF(VLOOKUP(C2404,' Disaggregation - Section E '!A$618:O1533,15,0)=0,"",VLOOKUP(C2404,' Disaggregation - Section E '!A$618:O1533,15,0)),"")</f>
        <v/>
      </c>
      <c r="N2404" s="388" t="str">
        <f ca="1">IFERROR(IF(VLOOKUP(C2404,' Disaggregation - Section E '!A$618:J2730,10,0)=0,"",VLOOKUP(C2404,' Disaggregation - Section E '!A$618:J2730,10,0)),"")</f>
        <v/>
      </c>
      <c r="O2404" s="384"/>
    </row>
    <row r="2405" spans="1:15" x14ac:dyDescent="0.3">
      <c r="A2405" s="384" t="b">
        <f t="shared" ca="1" si="139"/>
        <v>0</v>
      </c>
      <c r="B2405" s="384"/>
      <c r="C2405" s="393" t="str">
        <f ca="1">IF(COUNTA(O$1493:O2405)=1,"",OFFSET(B2403,-COUNTA(O$1493:O2405)+3,1))</f>
        <v>a16Dm000000LZeWIAW</v>
      </c>
      <c r="D2405" s="389"/>
      <c r="E2405" s="386" t="str">
        <f ca="1">IFERROR(IF(VLOOKUP(C2405,' Disaggregation - Section E '!A$618:J2731,7,0)="","",VLOOKUP(C2405,' Disaggregation - Section E '!A$618:J2731,7,0)*100),"")</f>
        <v/>
      </c>
      <c r="F2405" s="388" t="str">
        <f ca="1">IFERROR(VLOOKUP(C2405,' Disaggregation - Section E '!A$618:J2731,5,0),"")</f>
        <v/>
      </c>
      <c r="G2405" s="387" t="str">
        <f ca="1">IFERROR(IF(VLOOKUP(C2405,' Disaggregation - Section E '!A$618:J2731,6,0)="","",VLOOKUP(C2405,' Disaggregation - Section E '!A$618:J2731,6,0)),"")</f>
        <v/>
      </c>
      <c r="H2405" s="387" t="str">
        <f ca="1">IFERROR(IF(INDEX(' Disaggregation - Section E '!F$618:F2731,MATCH(C2405,' Disaggregation - Section E '!A$618:A2731,0)+1,1)&lt;&gt;0,INDEX(' Disaggregation - Section E '!F$618:F2731,MATCH(C2405,' Disaggregation - Section E '!A$618:A2731,0)+1,1),""),"")</f>
        <v/>
      </c>
      <c r="I2405" s="388" t="str">
        <f ca="1">IFERROR(IF(VLOOKUP(C2405,' Disaggregation - Section E '!A$618:J2731,8,0)=0,"",VLOOKUP(C2405,' Disaggregation - Section E '!A$618:J2731,8,0)),"")</f>
        <v/>
      </c>
      <c r="J2405" s="388" t="str">
        <f ca="1">IFERROR(IF(VLOOKUP(C2405,' Disaggregation - Section E '!A$618:J2731,9,0)="","",VLOOKUP(C2405,' Disaggregation - Section E '!A$618:J2731,9,0)),"")</f>
        <v/>
      </c>
      <c r="K2405" s="384" t="str">
        <f ca="1">IFERROR(VLOOKUP(C2405,' Disaggregation - Section E '!A$618:J2731,3,0),"")</f>
        <v>HTS-5 Percentage of people newly diagnosed with HIV initiated on ART</v>
      </c>
      <c r="L2405" s="384"/>
      <c r="M2405" s="384" t="str">
        <f ca="1">IFERROR(IF(VLOOKUP(C2405,' Disaggregation - Section E '!A$618:O1534,15,0)=0,"",VLOOKUP(C2405,' Disaggregation - Section E '!A$618:O1534,15,0)),"")</f>
        <v/>
      </c>
      <c r="N2405" s="388" t="str">
        <f ca="1">IFERROR(IF(VLOOKUP(C2405,' Disaggregation - Section E '!A$618:J2731,10,0)=0,"",VLOOKUP(C2405,' Disaggregation - Section E '!A$618:J2731,10,0)),"")</f>
        <v/>
      </c>
      <c r="O2405" s="384"/>
    </row>
    <row r="2406" spans="1:15" x14ac:dyDescent="0.3">
      <c r="A2406" s="384" t="b">
        <f t="shared" ca="1" si="139"/>
        <v>0</v>
      </c>
      <c r="B2406" s="384"/>
      <c r="C2406" s="393" t="str">
        <f ca="1">IF(COUNTA(O$1493:O2406)=1,"",OFFSET(B2404,-COUNTA(O$1493:O2406)+3,1))</f>
        <v>a16Dm000000LZeXIAW</v>
      </c>
      <c r="D2406" s="389"/>
      <c r="E2406" s="386" t="str">
        <f ca="1">IFERROR(IF(VLOOKUP(C2406,' Disaggregation - Section E '!A$618:J2732,7,0)="","",VLOOKUP(C2406,' Disaggregation - Section E '!A$618:J2732,7,0)*100),"")</f>
        <v/>
      </c>
      <c r="F2406" s="388" t="str">
        <f ca="1">IFERROR(VLOOKUP(C2406,' Disaggregation - Section E '!A$618:J2732,5,0),"")</f>
        <v/>
      </c>
      <c r="G2406" s="387" t="str">
        <f ca="1">IFERROR(IF(VLOOKUP(C2406,' Disaggregation - Section E '!A$618:J2732,6,0)="","",VLOOKUP(C2406,' Disaggregation - Section E '!A$618:J2732,6,0)),"")</f>
        <v/>
      </c>
      <c r="H2406" s="387" t="str">
        <f ca="1">IFERROR(IF(INDEX(' Disaggregation - Section E '!F$618:F2732,MATCH(C2406,' Disaggregation - Section E '!A$618:A2732,0)+1,1)&lt;&gt;0,INDEX(' Disaggregation - Section E '!F$618:F2732,MATCH(C2406,' Disaggregation - Section E '!A$618:A2732,0)+1,1),""),"")</f>
        <v/>
      </c>
      <c r="I2406" s="388" t="str">
        <f ca="1">IFERROR(IF(VLOOKUP(C2406,' Disaggregation - Section E '!A$618:J2732,8,0)=0,"",VLOOKUP(C2406,' Disaggregation - Section E '!A$618:J2732,8,0)),"")</f>
        <v/>
      </c>
      <c r="J2406" s="388" t="str">
        <f ca="1">IFERROR(IF(VLOOKUP(C2406,' Disaggregation - Section E '!A$618:J2732,9,0)="","",VLOOKUP(C2406,' Disaggregation - Section E '!A$618:J2732,9,0)),"")</f>
        <v/>
      </c>
      <c r="K2406" s="384" t="str">
        <f ca="1">IFERROR(VLOOKUP(C2406,' Disaggregation - Section E '!A$618:J2732,3,0),"")</f>
        <v>HTS-5 Percentage of people newly diagnosed with HIV initiated on ART</v>
      </c>
      <c r="L2406" s="384"/>
      <c r="M2406" s="384" t="str">
        <f ca="1">IFERROR(IF(VLOOKUP(C2406,' Disaggregation - Section E '!A$618:O1535,15,0)=0,"",VLOOKUP(C2406,' Disaggregation - Section E '!A$618:O1535,15,0)),"")</f>
        <v/>
      </c>
      <c r="N2406" s="388" t="str">
        <f ca="1">IFERROR(IF(VLOOKUP(C2406,' Disaggregation - Section E '!A$618:J2732,10,0)=0,"",VLOOKUP(C2406,' Disaggregation - Section E '!A$618:J2732,10,0)),"")</f>
        <v/>
      </c>
      <c r="O2406" s="384"/>
    </row>
    <row r="2407" spans="1:15" x14ac:dyDescent="0.3">
      <c r="A2407" s="384" t="b">
        <f t="shared" ca="1" si="139"/>
        <v>0</v>
      </c>
      <c r="B2407" s="384"/>
      <c r="C2407" s="393" t="str">
        <f ca="1">IF(COUNTA(O$1493:O2407)=1,"",OFFSET(B2405,-COUNTA(O$1493:O2407)+3,1))</f>
        <v>a16Dm000000LZeYIAW</v>
      </c>
      <c r="D2407" s="389"/>
      <c r="E2407" s="386" t="str">
        <f ca="1">IFERROR(IF(VLOOKUP(C2407,' Disaggregation - Section E '!A$618:J2733,7,0)="","",VLOOKUP(C2407,' Disaggregation - Section E '!A$618:J2733,7,0)*100),"")</f>
        <v/>
      </c>
      <c r="F2407" s="388" t="str">
        <f ca="1">IFERROR(VLOOKUP(C2407,' Disaggregation - Section E '!A$618:J2733,5,0),"")</f>
        <v/>
      </c>
      <c r="G2407" s="387" t="str">
        <f ca="1">IFERROR(IF(VLOOKUP(C2407,' Disaggregation - Section E '!A$618:J2733,6,0)="","",VLOOKUP(C2407,' Disaggregation - Section E '!A$618:J2733,6,0)),"")</f>
        <v/>
      </c>
      <c r="H2407" s="387" t="str">
        <f ca="1">IFERROR(IF(INDEX(' Disaggregation - Section E '!F$618:F2733,MATCH(C2407,' Disaggregation - Section E '!A$618:A2733,0)+1,1)&lt;&gt;0,INDEX(' Disaggregation - Section E '!F$618:F2733,MATCH(C2407,' Disaggregation - Section E '!A$618:A2733,0)+1,1),""),"")</f>
        <v/>
      </c>
      <c r="I2407" s="388" t="str">
        <f ca="1">IFERROR(IF(VLOOKUP(C2407,' Disaggregation - Section E '!A$618:J2733,8,0)=0,"",VLOOKUP(C2407,' Disaggregation - Section E '!A$618:J2733,8,0)),"")</f>
        <v/>
      </c>
      <c r="J2407" s="388" t="str">
        <f ca="1">IFERROR(IF(VLOOKUP(C2407,' Disaggregation - Section E '!A$618:J2733,9,0)="","",VLOOKUP(C2407,' Disaggregation - Section E '!A$618:J2733,9,0)),"")</f>
        <v/>
      </c>
      <c r="K2407" s="384" t="str">
        <f ca="1">IFERROR(VLOOKUP(C2407,' Disaggregation - Section E '!A$618:J2733,3,0),"")</f>
        <v>HTS-5 Percentage of people newly diagnosed with HIV initiated on ART</v>
      </c>
      <c r="L2407" s="384"/>
      <c r="M2407" s="384" t="str">
        <f ca="1">IFERROR(IF(VLOOKUP(C2407,' Disaggregation - Section E '!A$618:O1536,15,0)=0,"",VLOOKUP(C2407,' Disaggregation - Section E '!A$618:O1536,15,0)),"")</f>
        <v/>
      </c>
      <c r="N2407" s="388" t="str">
        <f ca="1">IFERROR(IF(VLOOKUP(C2407,' Disaggregation - Section E '!A$618:J2733,10,0)=0,"",VLOOKUP(C2407,' Disaggregation - Section E '!A$618:J2733,10,0)),"")</f>
        <v/>
      </c>
      <c r="O2407" s="384"/>
    </row>
    <row r="2408" spans="1:15" x14ac:dyDescent="0.3">
      <c r="A2408" s="384" t="b">
        <f t="shared" ca="1" si="139"/>
        <v>0</v>
      </c>
      <c r="B2408" s="384"/>
      <c r="C2408" s="393" t="str">
        <f ca="1">IF(COUNTA(O$1493:O2408)=1,"",OFFSET(B2406,-COUNTA(O$1493:O2408)+3,1))</f>
        <v>a16Dm000000LZeZIAW</v>
      </c>
      <c r="D2408" s="389"/>
      <c r="E2408" s="386" t="str">
        <f ca="1">IFERROR(IF(VLOOKUP(C2408,' Disaggregation - Section E '!A$618:J2734,7,0)="","",VLOOKUP(C2408,' Disaggregation - Section E '!A$618:J2734,7,0)*100),"")</f>
        <v/>
      </c>
      <c r="F2408" s="388" t="str">
        <f ca="1">IFERROR(VLOOKUP(C2408,' Disaggregation - Section E '!A$618:J2734,5,0),"")</f>
        <v/>
      </c>
      <c r="G2408" s="387" t="str">
        <f ca="1">IFERROR(IF(VLOOKUP(C2408,' Disaggregation - Section E '!A$618:J2734,6,0)="","",VLOOKUP(C2408,' Disaggregation - Section E '!A$618:J2734,6,0)),"")</f>
        <v/>
      </c>
      <c r="H2408" s="387" t="str">
        <f ca="1">IFERROR(IF(INDEX(' Disaggregation - Section E '!F$618:F2734,MATCH(C2408,' Disaggregation - Section E '!A$618:A2734,0)+1,1)&lt;&gt;0,INDEX(' Disaggregation - Section E '!F$618:F2734,MATCH(C2408,' Disaggregation - Section E '!A$618:A2734,0)+1,1),""),"")</f>
        <v/>
      </c>
      <c r="I2408" s="388" t="str">
        <f ca="1">IFERROR(IF(VLOOKUP(C2408,' Disaggregation - Section E '!A$618:J2734,8,0)=0,"",VLOOKUP(C2408,' Disaggregation - Section E '!A$618:J2734,8,0)),"")</f>
        <v/>
      </c>
      <c r="J2408" s="388" t="str">
        <f ca="1">IFERROR(IF(VLOOKUP(C2408,' Disaggregation - Section E '!A$618:J2734,9,0)="","",VLOOKUP(C2408,' Disaggregation - Section E '!A$618:J2734,9,0)),"")</f>
        <v/>
      </c>
      <c r="K2408" s="384" t="str">
        <f ca="1">IFERROR(VLOOKUP(C2408,' Disaggregation - Section E '!A$618:J2734,3,0),"")</f>
        <v>HTS-5 Percentage of people newly diagnosed with HIV initiated on ART</v>
      </c>
      <c r="L2408" s="384"/>
      <c r="M2408" s="384" t="str">
        <f ca="1">IFERROR(IF(VLOOKUP(C2408,' Disaggregation - Section E '!A$618:O1537,15,0)=0,"",VLOOKUP(C2408,' Disaggregation - Section E '!A$618:O1537,15,0)),"")</f>
        <v/>
      </c>
      <c r="N2408" s="388" t="str">
        <f ca="1">IFERROR(IF(VLOOKUP(C2408,' Disaggregation - Section E '!A$618:J2734,10,0)=0,"",VLOOKUP(C2408,' Disaggregation - Section E '!A$618:J2734,10,0)),"")</f>
        <v/>
      </c>
      <c r="O2408" s="384"/>
    </row>
    <row r="2409" spans="1:15" x14ac:dyDescent="0.3">
      <c r="A2409" s="384" t="b">
        <f t="shared" ca="1" si="139"/>
        <v>0</v>
      </c>
      <c r="B2409" s="384"/>
      <c r="C2409" s="393" t="str">
        <f ca="1">IF(COUNTA(O$1493:O2409)=1,"",OFFSET(B2407,-COUNTA(O$1493:O2409)+3,1))</f>
        <v>a16Dm000000LZeaIAG</v>
      </c>
      <c r="D2409" s="389"/>
      <c r="E2409" s="386" t="str">
        <f ca="1">IFERROR(IF(VLOOKUP(C2409,' Disaggregation - Section E '!A$618:J2735,7,0)="","",VLOOKUP(C2409,' Disaggregation - Section E '!A$618:J2735,7,0)*100),"")</f>
        <v/>
      </c>
      <c r="F2409" s="388" t="str">
        <f ca="1">IFERROR(VLOOKUP(C2409,' Disaggregation - Section E '!A$618:J2735,5,0),"")</f>
        <v/>
      </c>
      <c r="G2409" s="387" t="str">
        <f ca="1">IFERROR(IF(VLOOKUP(C2409,' Disaggregation - Section E '!A$618:J2735,6,0)="","",VLOOKUP(C2409,' Disaggregation - Section E '!A$618:J2735,6,0)),"")</f>
        <v/>
      </c>
      <c r="H2409" s="387" t="str">
        <f ca="1">IFERROR(IF(INDEX(' Disaggregation - Section E '!F$618:F2735,MATCH(C2409,' Disaggregation - Section E '!A$618:A2735,0)+1,1)&lt;&gt;0,INDEX(' Disaggregation - Section E '!F$618:F2735,MATCH(C2409,' Disaggregation - Section E '!A$618:A2735,0)+1,1),""),"")</f>
        <v/>
      </c>
      <c r="I2409" s="388" t="str">
        <f ca="1">IFERROR(IF(VLOOKUP(C2409,' Disaggregation - Section E '!A$618:J2735,8,0)=0,"",VLOOKUP(C2409,' Disaggregation - Section E '!A$618:J2735,8,0)),"")</f>
        <v/>
      </c>
      <c r="J2409" s="388" t="str">
        <f ca="1">IFERROR(IF(VLOOKUP(C2409,' Disaggregation - Section E '!A$618:J2735,9,0)="","",VLOOKUP(C2409,' Disaggregation - Section E '!A$618:J2735,9,0)),"")</f>
        <v/>
      </c>
      <c r="K2409" s="384" t="str">
        <f ca="1">IFERROR(VLOOKUP(C2409,' Disaggregation - Section E '!A$618:J2735,3,0),"")</f>
        <v>HTS-5 Percentage of people newly diagnosed with HIV initiated on ART</v>
      </c>
      <c r="L2409" s="384"/>
      <c r="M2409" s="384" t="str">
        <f ca="1">IFERROR(IF(VLOOKUP(C2409,' Disaggregation - Section E '!A$618:O1538,15,0)=0,"",VLOOKUP(C2409,' Disaggregation - Section E '!A$618:O1538,15,0)),"")</f>
        <v/>
      </c>
      <c r="N2409" s="388" t="str">
        <f ca="1">IFERROR(IF(VLOOKUP(C2409,' Disaggregation - Section E '!A$618:J2735,10,0)=0,"",VLOOKUP(C2409,' Disaggregation - Section E '!A$618:J2735,10,0)),"")</f>
        <v/>
      </c>
      <c r="O2409" s="384"/>
    </row>
    <row r="2410" spans="1:15" x14ac:dyDescent="0.3">
      <c r="A2410" s="384" t="b">
        <f t="shared" ca="1" si="139"/>
        <v>0</v>
      </c>
      <c r="B2410" s="384"/>
      <c r="C2410" s="393" t="str">
        <f ca="1">IF(COUNTA(O$1493:O2410)=1,"",OFFSET(B2408,-COUNTA(O$1493:O2410)+3,1))</f>
        <v>a16Dm000000LZebIAG</v>
      </c>
      <c r="D2410" s="389"/>
      <c r="E2410" s="386" t="str">
        <f ca="1">IFERROR(IF(VLOOKUP(C2410,' Disaggregation - Section E '!A$618:J2736,7,0)="","",VLOOKUP(C2410,' Disaggregation - Section E '!A$618:J2736,7,0)*100),"")</f>
        <v/>
      </c>
      <c r="F2410" s="388" t="str">
        <f ca="1">IFERROR(VLOOKUP(C2410,' Disaggregation - Section E '!A$618:J2736,5,0),"")</f>
        <v/>
      </c>
      <c r="G2410" s="387" t="str">
        <f ca="1">IFERROR(IF(VLOOKUP(C2410,' Disaggregation - Section E '!A$618:J2736,6,0)="","",VLOOKUP(C2410,' Disaggregation - Section E '!A$618:J2736,6,0)),"")</f>
        <v/>
      </c>
      <c r="H2410" s="387" t="str">
        <f ca="1">IFERROR(IF(INDEX(' Disaggregation - Section E '!F$618:F2736,MATCH(C2410,' Disaggregation - Section E '!A$618:A2736,0)+1,1)&lt;&gt;0,INDEX(' Disaggregation - Section E '!F$618:F2736,MATCH(C2410,' Disaggregation - Section E '!A$618:A2736,0)+1,1),""),"")</f>
        <v/>
      </c>
      <c r="I2410" s="388" t="str">
        <f ca="1">IFERROR(IF(VLOOKUP(C2410,' Disaggregation - Section E '!A$618:J2736,8,0)=0,"",VLOOKUP(C2410,' Disaggregation - Section E '!A$618:J2736,8,0)),"")</f>
        <v/>
      </c>
      <c r="J2410" s="388" t="str">
        <f ca="1">IFERROR(IF(VLOOKUP(C2410,' Disaggregation - Section E '!A$618:J2736,9,0)="","",VLOOKUP(C2410,' Disaggregation - Section E '!A$618:J2736,9,0)),"")</f>
        <v/>
      </c>
      <c r="K2410" s="384" t="str">
        <f ca="1">IFERROR(VLOOKUP(C2410,' Disaggregation - Section E '!A$618:J2736,3,0),"")</f>
        <v>HTS-5 Percentage of people newly diagnosed with HIV initiated on ART</v>
      </c>
      <c r="L2410" s="384"/>
      <c r="M2410" s="384" t="str">
        <f ca="1">IFERROR(IF(VLOOKUP(C2410,' Disaggregation - Section E '!A$618:O1539,15,0)=0,"",VLOOKUP(C2410,' Disaggregation - Section E '!A$618:O1539,15,0)),"")</f>
        <v/>
      </c>
      <c r="N2410" s="388" t="str">
        <f ca="1">IFERROR(IF(VLOOKUP(C2410,' Disaggregation - Section E '!A$618:J2736,10,0)=0,"",VLOOKUP(C2410,' Disaggregation - Section E '!A$618:J2736,10,0)),"")</f>
        <v/>
      </c>
      <c r="O2410" s="384"/>
    </row>
    <row r="2411" spans="1:15" x14ac:dyDescent="0.3">
      <c r="A2411" s="384" t="b">
        <f t="shared" ca="1" si="139"/>
        <v>0</v>
      </c>
      <c r="B2411" s="384"/>
      <c r="C2411" s="393" t="str">
        <f ca="1">IF(COUNTA(O$1493:O2411)=1,"",OFFSET(B2409,-COUNTA(O$1493:O2411)+3,1))</f>
        <v>a16Dm000000LZecIAG</v>
      </c>
      <c r="D2411" s="389"/>
      <c r="E2411" s="386" t="str">
        <f ca="1">IFERROR(IF(VLOOKUP(C2411,' Disaggregation - Section E '!A$618:J2737,7,0)="","",VLOOKUP(C2411,' Disaggregation - Section E '!A$618:J2737,7,0)*100),"")</f>
        <v/>
      </c>
      <c r="F2411" s="388" t="str">
        <f ca="1">IFERROR(VLOOKUP(C2411,' Disaggregation - Section E '!A$618:J2737,5,0),"")</f>
        <v/>
      </c>
      <c r="G2411" s="387" t="str">
        <f ca="1">IFERROR(IF(VLOOKUP(C2411,' Disaggregation - Section E '!A$618:J2737,6,0)="","",VLOOKUP(C2411,' Disaggregation - Section E '!A$618:J2737,6,0)),"")</f>
        <v/>
      </c>
      <c r="H2411" s="387" t="str">
        <f ca="1">IFERROR(IF(INDEX(' Disaggregation - Section E '!F$618:F2737,MATCH(C2411,' Disaggregation - Section E '!A$618:A2737,0)+1,1)&lt;&gt;0,INDEX(' Disaggregation - Section E '!F$618:F2737,MATCH(C2411,' Disaggregation - Section E '!A$618:A2737,0)+1,1),""),"")</f>
        <v/>
      </c>
      <c r="I2411" s="388" t="str">
        <f ca="1">IFERROR(IF(VLOOKUP(C2411,' Disaggregation - Section E '!A$618:J2737,8,0)=0,"",VLOOKUP(C2411,' Disaggregation - Section E '!A$618:J2737,8,0)),"")</f>
        <v/>
      </c>
      <c r="J2411" s="388" t="str">
        <f ca="1">IFERROR(IF(VLOOKUP(C2411,' Disaggregation - Section E '!A$618:J2737,9,0)="","",VLOOKUP(C2411,' Disaggregation - Section E '!A$618:J2737,9,0)),"")</f>
        <v/>
      </c>
      <c r="K2411" s="384" t="str">
        <f ca="1">IFERROR(VLOOKUP(C2411,' Disaggregation - Section E '!A$618:J2737,3,0),"")</f>
        <v>HTS-5 Percentage of people newly diagnosed with HIV initiated on ART</v>
      </c>
      <c r="L2411" s="384"/>
      <c r="M2411" s="384" t="str">
        <f ca="1">IFERROR(IF(VLOOKUP(C2411,' Disaggregation - Section E '!A$618:O1540,15,0)=0,"",VLOOKUP(C2411,' Disaggregation - Section E '!A$618:O1540,15,0)),"")</f>
        <v/>
      </c>
      <c r="N2411" s="388" t="str">
        <f ca="1">IFERROR(IF(VLOOKUP(C2411,' Disaggregation - Section E '!A$618:J2737,10,0)=0,"",VLOOKUP(C2411,' Disaggregation - Section E '!A$618:J2737,10,0)),"")</f>
        <v/>
      </c>
      <c r="O2411" s="384"/>
    </row>
    <row r="2412" spans="1:15" x14ac:dyDescent="0.3">
      <c r="A2412" s="384" t="b">
        <f t="shared" ca="1" si="139"/>
        <v>0</v>
      </c>
      <c r="B2412" s="384"/>
      <c r="C2412" s="393" t="str">
        <f ca="1">IF(COUNTA(O$1493:O2412)=1,"",OFFSET(B2410,-COUNTA(O$1493:O2412)+3,1))</f>
        <v>a16Dm000000LZedIAG</v>
      </c>
      <c r="D2412" s="389"/>
      <c r="E2412" s="386" t="str">
        <f ca="1">IFERROR(IF(VLOOKUP(C2412,' Disaggregation - Section E '!A$618:J2738,7,0)="","",VLOOKUP(C2412,' Disaggregation - Section E '!A$618:J2738,7,0)*100),"")</f>
        <v/>
      </c>
      <c r="F2412" s="388" t="str">
        <f ca="1">IFERROR(VLOOKUP(C2412,' Disaggregation - Section E '!A$618:J2738,5,0),"")</f>
        <v/>
      </c>
      <c r="G2412" s="387" t="str">
        <f ca="1">IFERROR(IF(VLOOKUP(C2412,' Disaggregation - Section E '!A$618:J2738,6,0)="","",VLOOKUP(C2412,' Disaggregation - Section E '!A$618:J2738,6,0)),"")</f>
        <v/>
      </c>
      <c r="H2412" s="387" t="str">
        <f ca="1">IFERROR(IF(INDEX(' Disaggregation - Section E '!F$618:F2738,MATCH(C2412,' Disaggregation - Section E '!A$618:A2738,0)+1,1)&lt;&gt;0,INDEX(' Disaggregation - Section E '!F$618:F2738,MATCH(C2412,' Disaggregation - Section E '!A$618:A2738,0)+1,1),""),"")</f>
        <v/>
      </c>
      <c r="I2412" s="388" t="str">
        <f ca="1">IFERROR(IF(VLOOKUP(C2412,' Disaggregation - Section E '!A$618:J2738,8,0)=0,"",VLOOKUP(C2412,' Disaggregation - Section E '!A$618:J2738,8,0)),"")</f>
        <v/>
      </c>
      <c r="J2412" s="388" t="str">
        <f ca="1">IFERROR(IF(VLOOKUP(C2412,' Disaggregation - Section E '!A$618:J2738,9,0)="","",VLOOKUP(C2412,' Disaggregation - Section E '!A$618:J2738,9,0)),"")</f>
        <v/>
      </c>
      <c r="K2412" s="384" t="str">
        <f ca="1">IFERROR(VLOOKUP(C2412,' Disaggregation - Section E '!A$618:J2738,3,0),"")</f>
        <v>HTS-5 Percentage of people newly diagnosed with HIV initiated on ART</v>
      </c>
      <c r="L2412" s="384"/>
      <c r="M2412" s="384" t="str">
        <f ca="1">IFERROR(IF(VLOOKUP(C2412,' Disaggregation - Section E '!A$618:O1541,15,0)=0,"",VLOOKUP(C2412,' Disaggregation - Section E '!A$618:O1541,15,0)),"")</f>
        <v/>
      </c>
      <c r="N2412" s="388" t="str">
        <f ca="1">IFERROR(IF(VLOOKUP(C2412,' Disaggregation - Section E '!A$618:J2738,10,0)=0,"",VLOOKUP(C2412,' Disaggregation - Section E '!A$618:J2738,10,0)),"")</f>
        <v/>
      </c>
      <c r="O2412" s="384"/>
    </row>
    <row r="2413" spans="1:15" x14ac:dyDescent="0.3">
      <c r="A2413" s="384" t="b">
        <f t="shared" ca="1" si="139"/>
        <v>0</v>
      </c>
      <c r="B2413" s="384"/>
      <c r="C2413" s="393" t="str">
        <f ca="1">IF(COUNTA(O$1493:O2413)=1,"",OFFSET(B2411,-COUNTA(O$1493:O2413)+3,1))</f>
        <v>a16Dm000000LZeeIAG</v>
      </c>
      <c r="D2413" s="389"/>
      <c r="E2413" s="386" t="str">
        <f ca="1">IFERROR(IF(VLOOKUP(C2413,' Disaggregation - Section E '!A$618:J2739,7,0)="","",VLOOKUP(C2413,' Disaggregation - Section E '!A$618:J2739,7,0)*100),"")</f>
        <v/>
      </c>
      <c r="F2413" s="388" t="str">
        <f ca="1">IFERROR(VLOOKUP(C2413,' Disaggregation - Section E '!A$618:J2739,5,0),"")</f>
        <v/>
      </c>
      <c r="G2413" s="387" t="str">
        <f ca="1">IFERROR(IF(VLOOKUP(C2413,' Disaggregation - Section E '!A$618:J2739,6,0)="","",VLOOKUP(C2413,' Disaggregation - Section E '!A$618:J2739,6,0)),"")</f>
        <v/>
      </c>
      <c r="H2413" s="387" t="str">
        <f ca="1">IFERROR(IF(INDEX(' Disaggregation - Section E '!F$618:F2739,MATCH(C2413,' Disaggregation - Section E '!A$618:A2739,0)+1,1)&lt;&gt;0,INDEX(' Disaggregation - Section E '!F$618:F2739,MATCH(C2413,' Disaggregation - Section E '!A$618:A2739,0)+1,1),""),"")</f>
        <v/>
      </c>
      <c r="I2413" s="388" t="str">
        <f ca="1">IFERROR(IF(VLOOKUP(C2413,' Disaggregation - Section E '!A$618:J2739,8,0)=0,"",VLOOKUP(C2413,' Disaggregation - Section E '!A$618:J2739,8,0)),"")</f>
        <v/>
      </c>
      <c r="J2413" s="388" t="str">
        <f ca="1">IFERROR(IF(VLOOKUP(C2413,' Disaggregation - Section E '!A$618:J2739,9,0)="","",VLOOKUP(C2413,' Disaggregation - Section E '!A$618:J2739,9,0)),"")</f>
        <v/>
      </c>
      <c r="K2413" s="384" t="str">
        <f ca="1">IFERROR(VLOOKUP(C2413,' Disaggregation - Section E '!A$618:J2739,3,0),"")</f>
        <v>HTS-5 Percentage of people newly diagnosed with HIV initiated on ART</v>
      </c>
      <c r="L2413" s="384"/>
      <c r="M2413" s="384" t="str">
        <f ca="1">IFERROR(IF(VLOOKUP(C2413,' Disaggregation - Section E '!A$618:O1542,15,0)=0,"",VLOOKUP(C2413,' Disaggregation - Section E '!A$618:O1542,15,0)),"")</f>
        <v/>
      </c>
      <c r="N2413" s="388" t="str">
        <f ca="1">IFERROR(IF(VLOOKUP(C2413,' Disaggregation - Section E '!A$618:J2739,10,0)=0,"",VLOOKUP(C2413,' Disaggregation - Section E '!A$618:J2739,10,0)),"")</f>
        <v/>
      </c>
      <c r="O2413" s="384"/>
    </row>
    <row r="2414" spans="1:15" x14ac:dyDescent="0.3">
      <c r="A2414" s="384" t="b">
        <f t="shared" ca="1" si="139"/>
        <v>0</v>
      </c>
      <c r="B2414" s="384"/>
      <c r="C2414" s="393" t="str">
        <f ca="1">IF(COUNTA(O$1493:O2414)=1,"",OFFSET(B2412,-COUNTA(O$1493:O2414)+3,1))</f>
        <v>a16Dm000000LZefIAG</v>
      </c>
      <c r="D2414" s="389"/>
      <c r="E2414" s="386" t="str">
        <f ca="1">IFERROR(IF(VLOOKUP(C2414,' Disaggregation - Section E '!A$618:J2740,7,0)="","",VLOOKUP(C2414,' Disaggregation - Section E '!A$618:J2740,7,0)*100),"")</f>
        <v/>
      </c>
      <c r="F2414" s="388" t="str">
        <f ca="1">IFERROR(VLOOKUP(C2414,' Disaggregation - Section E '!A$618:J2740,5,0),"")</f>
        <v/>
      </c>
      <c r="G2414" s="387" t="str">
        <f ca="1">IFERROR(IF(VLOOKUP(C2414,' Disaggregation - Section E '!A$618:J2740,6,0)="","",VLOOKUP(C2414,' Disaggregation - Section E '!A$618:J2740,6,0)),"")</f>
        <v/>
      </c>
      <c r="H2414" s="387" t="str">
        <f ca="1">IFERROR(IF(INDEX(' Disaggregation - Section E '!F$618:F2740,MATCH(C2414,' Disaggregation - Section E '!A$618:A2740,0)+1,1)&lt;&gt;0,INDEX(' Disaggregation - Section E '!F$618:F2740,MATCH(C2414,' Disaggregation - Section E '!A$618:A2740,0)+1,1),""),"")</f>
        <v/>
      </c>
      <c r="I2414" s="388" t="str">
        <f ca="1">IFERROR(IF(VLOOKUP(C2414,' Disaggregation - Section E '!A$618:J2740,8,0)=0,"",VLOOKUP(C2414,' Disaggregation - Section E '!A$618:J2740,8,0)),"")</f>
        <v/>
      </c>
      <c r="J2414" s="388" t="str">
        <f ca="1">IFERROR(IF(VLOOKUP(C2414,' Disaggregation - Section E '!A$618:J2740,9,0)="","",VLOOKUP(C2414,' Disaggregation - Section E '!A$618:J2740,9,0)),"")</f>
        <v/>
      </c>
      <c r="K2414" s="384" t="str">
        <f ca="1">IFERROR(VLOOKUP(C2414,' Disaggregation - Section E '!A$618:J2740,3,0),"")</f>
        <v>HTS-5 Percentage of people newly diagnosed with HIV initiated on ART</v>
      </c>
      <c r="L2414" s="384"/>
      <c r="M2414" s="384" t="str">
        <f ca="1">IFERROR(IF(VLOOKUP(C2414,' Disaggregation - Section E '!A$618:O1543,15,0)=0,"",VLOOKUP(C2414,' Disaggregation - Section E '!A$618:O1543,15,0)),"")</f>
        <v/>
      </c>
      <c r="N2414" s="388" t="str">
        <f ca="1">IFERROR(IF(VLOOKUP(C2414,' Disaggregation - Section E '!A$618:J2740,10,0)=0,"",VLOOKUP(C2414,' Disaggregation - Section E '!A$618:J2740,10,0)),"")</f>
        <v/>
      </c>
      <c r="O2414" s="384"/>
    </row>
    <row r="2415" spans="1:15" x14ac:dyDescent="0.3">
      <c r="A2415" s="384" t="b">
        <f t="shared" ref="A2415:A2478" ca="1" si="140">IF(M2415&lt;&gt;"",TRUE,FALSE)</f>
        <v>1</v>
      </c>
      <c r="B2415" s="384"/>
      <c r="C2415" s="393" t="str">
        <f ca="1">IF(COUNTA(O$1493:O2415)=1,"",OFFSET(B2413,-COUNTA(O$1493:O2415)+3,1))</f>
        <v>a16Dm000000LZegIAG</v>
      </c>
      <c r="D2415" s="389"/>
      <c r="E2415" s="386">
        <f ca="1">IFERROR(IF(VLOOKUP(C2415,' Disaggregation - Section E '!A$618:J2741,7,0)="","",VLOOKUP(C2415,' Disaggregation - Section E '!A$618:J2741,7,0)*100),"")</f>
        <v>42.656449553001274</v>
      </c>
      <c r="F2415" s="388" t="str">
        <f ca="1">IFERROR(VLOOKUP(C2415,' Disaggregation - Section E '!A$618:J2741,5,0),"")</f>
        <v>15+</v>
      </c>
      <c r="G2415" s="387">
        <f ca="1">IFERROR(IF(VLOOKUP(C2415,' Disaggregation - Section E '!A$618:J2741,6,0)="","",VLOOKUP(C2415,' Disaggregation - Section E '!A$618:J2741,6,0)),"")</f>
        <v>334</v>
      </c>
      <c r="H2415" s="387">
        <f ca="1">IFERROR(IF(INDEX(' Disaggregation - Section E '!F$618:F2741,MATCH(C2415,' Disaggregation - Section E '!A$618:A2741,0)+1,1)&lt;&gt;0,INDEX(' Disaggregation - Section E '!F$618:F2741,MATCH(C2415,' Disaggregation - Section E '!A$618:A2741,0)+1,1),""),"")</f>
        <v>783</v>
      </c>
      <c r="I2415" s="388">
        <f ca="1">IFERROR(IF(VLOOKUP(C2415,' Disaggregation - Section E '!A$618:J2741,8,0)=0,"",VLOOKUP(C2415,' Disaggregation - Section E '!A$618:J2741,8,0)),"")</f>
        <v>2022</v>
      </c>
      <c r="J2415" s="388" t="str">
        <f ca="1">IFERROR(IF(VLOOKUP(C2415,' Disaggregation - Section E '!A$618:J2741,9,0)="","",VLOOKUP(C2415,' Disaggregation - Section E '!A$618:J2741,9,0)),"")</f>
        <v xml:space="preserve">Electronic HIV Case Tracking System and RCHV&amp;HIV report
</v>
      </c>
      <c r="K2415" s="384" t="str">
        <f ca="1">IFERROR(VLOOKUP(C2415,' Disaggregation - Section E '!A$618:J2741,3,0),"")</f>
        <v>TB/HIV-7.1 Percentage of people living with HIV currently enrolled on antiretroviral therapy who started TB preventive treatment (TPT) during the reporting period</v>
      </c>
      <c r="L2415" s="384"/>
      <c r="M2415" s="384" t="str">
        <f ca="1">IFERROR(IF(VLOOKUP(C2415,' Disaggregation - Section E '!A$618:O1544,15,0)=0,"",VLOOKUP(C2415,' Disaggregation - Section E '!A$618:O1544,15,0)),"")</f>
        <v>IDR-01371</v>
      </c>
      <c r="N2415" s="388" t="str">
        <f ca="1">IFERROR(IF(VLOOKUP(C2415,' Disaggregation - Section E '!A$618:J2741,10,0)=0,"",VLOOKUP(C2415,' Disaggregation - Section E '!A$618:J2741,10,0)),"")</f>
        <v>Numerator:Total number of people living with HIV currently enrolled on antiretroviral therapy who started TB preventive treatment (TPT) during the reporting period in this age group. 
Denumerator:Total number who started ART and without active TB</v>
      </c>
      <c r="O2415" s="384"/>
    </row>
    <row r="2416" spans="1:15" x14ac:dyDescent="0.3">
      <c r="A2416" s="384" t="b">
        <f t="shared" ca="1" si="140"/>
        <v>1</v>
      </c>
      <c r="B2416" s="384"/>
      <c r="C2416" s="393" t="str">
        <f ca="1">IF(COUNTA(O$1493:O2416)=1,"",OFFSET(B2414,-COUNTA(O$1493:O2416)+3,1))</f>
        <v>a16Dm000000LZehIAG</v>
      </c>
      <c r="D2416" s="389"/>
      <c r="E2416" s="386">
        <f ca="1">IFERROR(IF(VLOOKUP(C2416,' Disaggregation - Section E '!A$618:J2742,7,0)="","",VLOOKUP(C2416,' Disaggregation - Section E '!A$618:J2742,7,0)*100),"")</f>
        <v>42</v>
      </c>
      <c r="F2416" s="388" t="str">
        <f ca="1">IFERROR(VLOOKUP(C2416,' Disaggregation - Section E '!A$618:J2742,5,0),"")</f>
        <v>6H</v>
      </c>
      <c r="G2416" s="387">
        <f ca="1">IFERROR(IF(VLOOKUP(C2416,' Disaggregation - Section E '!A$618:J2742,6,0)="","",VLOOKUP(C2416,' Disaggregation - Section E '!A$618:J2742,6,0)),"")</f>
        <v>336</v>
      </c>
      <c r="H2416" s="387">
        <f ca="1">IFERROR(IF(INDEX(' Disaggregation - Section E '!F$618:F2742,MATCH(C2416,' Disaggregation - Section E '!A$618:A2742,0)+1,1)&lt;&gt;0,INDEX(' Disaggregation - Section E '!F$618:F2742,MATCH(C2416,' Disaggregation - Section E '!A$618:A2742,0)+1,1),""),"")</f>
        <v>800</v>
      </c>
      <c r="I2416" s="388">
        <f ca="1">IFERROR(IF(VLOOKUP(C2416,' Disaggregation - Section E '!A$618:J2742,8,0)=0,"",VLOOKUP(C2416,' Disaggregation - Section E '!A$618:J2742,8,0)),"")</f>
        <v>2022</v>
      </c>
      <c r="J2416" s="388" t="str">
        <f ca="1">IFERROR(IF(VLOOKUP(C2416,' Disaggregation - Section E '!A$618:J2742,9,0)="","",VLOOKUP(C2416,' Disaggregation - Section E '!A$618:J2742,9,0)),"")</f>
        <v xml:space="preserve">Electronic HIV Case Tracking System and RCHV&amp;HIV report
</v>
      </c>
      <c r="K2416" s="384" t="str">
        <f ca="1">IFERROR(VLOOKUP(C2416,' Disaggregation - Section E '!A$618:J2742,3,0),"")</f>
        <v>TB/HIV-7.1 Percentage of people living with HIV currently enrolled on antiretroviral therapy who started TB preventive treatment (TPT) during the reporting period</v>
      </c>
      <c r="L2416" s="384"/>
      <c r="M2416" s="384" t="str">
        <f ca="1">IFERROR(IF(VLOOKUP(C2416,' Disaggregation - Section E '!A$618:O1545,15,0)=0,"",VLOOKUP(C2416,' Disaggregation - Section E '!A$618:O1545,15,0)),"")</f>
        <v>IDR-01370</v>
      </c>
      <c r="N2416" s="388" t="str">
        <f ca="1">IFERROR(IF(VLOOKUP(C2416,' Disaggregation - Section E '!A$618:J2742,10,0)=0,"",VLOOKUP(C2416,' Disaggregation - Section E '!A$618:J2742,10,0)),"")</f>
        <v>Numerator:Total number of people living with HIV currently enrolled on antiretroviral therapy who started TB preventive treatment (TPT) during the reporting period in this age group. 
Denumerator:Total number who started ART and without active TB</v>
      </c>
      <c r="O2416" s="384"/>
    </row>
    <row r="2417" spans="1:15" x14ac:dyDescent="0.3">
      <c r="A2417" s="384" t="b">
        <f t="shared" ca="1" si="140"/>
        <v>1</v>
      </c>
      <c r="B2417" s="384"/>
      <c r="C2417" s="393" t="str">
        <f ca="1">IF(COUNTA(O$1493:O2417)=1,"",OFFSET(B2415,-COUNTA(O$1493:O2417)+3,1))</f>
        <v>a16Dm000000LZeiIAG</v>
      </c>
      <c r="D2417" s="389"/>
      <c r="E2417" s="386" t="str">
        <f ca="1">IFERROR(IF(VLOOKUP(C2417,' Disaggregation - Section E '!A$618:J2743,7,0)="","",VLOOKUP(C2417,' Disaggregation - Section E '!A$618:J2743,7,0)*100),"")</f>
        <v/>
      </c>
      <c r="F2417" s="388" t="str">
        <f ca="1">IFERROR(VLOOKUP(C2417,' Disaggregation - Section E '!A$618:J2743,5,0),"")</f>
        <v>3RH</v>
      </c>
      <c r="G2417" s="387" t="str">
        <f ca="1">IFERROR(IF(VLOOKUP(C2417,' Disaggregation - Section E '!A$618:J2743,6,0)="","",VLOOKUP(C2417,' Disaggregation - Section E '!A$618:J2743,6,0)),"")</f>
        <v/>
      </c>
      <c r="H2417" s="387" t="str">
        <f ca="1">IFERROR(IF(INDEX(' Disaggregation - Section E '!F$618:F2743,MATCH(C2417,' Disaggregation - Section E '!A$618:A2743,0)+1,1)&lt;&gt;0,INDEX(' Disaggregation - Section E '!F$618:F2743,MATCH(C2417,' Disaggregation - Section E '!A$618:A2743,0)+1,1),""),"")</f>
        <v/>
      </c>
      <c r="I2417" s="388">
        <f ca="1">IFERROR(IF(VLOOKUP(C2417,' Disaggregation - Section E '!A$618:J2743,8,0)=0,"",VLOOKUP(C2417,' Disaggregation - Section E '!A$618:J2743,8,0)),"")</f>
        <v>2022</v>
      </c>
      <c r="J2417" s="388" t="str">
        <f ca="1">IFERROR(IF(VLOOKUP(C2417,' Disaggregation - Section E '!A$618:J2743,9,0)="","",VLOOKUP(C2417,' Disaggregation - Section E '!A$618:J2743,9,0)),"")</f>
        <v xml:space="preserve">Electronic HIV Case Tracking System and RCHV&amp;HIV report
</v>
      </c>
      <c r="K2417" s="384" t="str">
        <f ca="1">IFERROR(VLOOKUP(C2417,' Disaggregation - Section E '!A$618:J2743,3,0),"")</f>
        <v>TB/HIV-7.1 Percentage of people living with HIV currently enrolled on antiretroviral therapy who started TB preventive treatment (TPT) during the reporting period</v>
      </c>
      <c r="L2417" s="384"/>
      <c r="M2417" s="384" t="str">
        <f ca="1">IFERROR(IF(VLOOKUP(C2417,' Disaggregation - Section E '!A$618:O1546,15,0)=0,"",VLOOKUP(C2417,' Disaggregation - Section E '!A$618:O1546,15,0)),"")</f>
        <v>IDR-01369</v>
      </c>
      <c r="N2417" s="388" t="str">
        <f ca="1">IFERROR(IF(VLOOKUP(C2417,' Disaggregation - Section E '!A$618:J2743,10,0)=0,"",VLOOKUP(C2417,' Disaggregation - Section E '!A$618:J2743,10,0)),"")</f>
        <v>The data is not available</v>
      </c>
      <c r="O2417" s="384"/>
    </row>
    <row r="2418" spans="1:15" x14ac:dyDescent="0.3">
      <c r="A2418" s="384" t="b">
        <f t="shared" ca="1" si="140"/>
        <v>1</v>
      </c>
      <c r="B2418" s="384"/>
      <c r="C2418" s="393" t="str">
        <f ca="1">IF(COUNTA(O$1493:O2418)=1,"",OFFSET(B2416,-COUNTA(O$1493:O2418)+3,1))</f>
        <v>a16Dm000000LZejIAG</v>
      </c>
      <c r="D2418" s="389"/>
      <c r="E2418" s="386" t="str">
        <f ca="1">IFERROR(IF(VLOOKUP(C2418,' Disaggregation - Section E '!A$618:J2744,7,0)="","",VLOOKUP(C2418,' Disaggregation - Section E '!A$618:J2744,7,0)*100),"")</f>
        <v/>
      </c>
      <c r="F2418" s="388" t="str">
        <f ca="1">IFERROR(VLOOKUP(C2418,' Disaggregation - Section E '!A$618:J2744,5,0),"")</f>
        <v>RIF</v>
      </c>
      <c r="G2418" s="387" t="str">
        <f ca="1">IFERROR(IF(VLOOKUP(C2418,' Disaggregation - Section E '!A$618:J2744,6,0)="","",VLOOKUP(C2418,' Disaggregation - Section E '!A$618:J2744,6,0)),"")</f>
        <v/>
      </c>
      <c r="H2418" s="387" t="str">
        <f ca="1">IFERROR(IF(INDEX(' Disaggregation - Section E '!F$618:F2744,MATCH(C2418,' Disaggregation - Section E '!A$618:A2744,0)+1,1)&lt;&gt;0,INDEX(' Disaggregation - Section E '!F$618:F2744,MATCH(C2418,' Disaggregation - Section E '!A$618:A2744,0)+1,1),""),"")</f>
        <v/>
      </c>
      <c r="I2418" s="388">
        <f ca="1">IFERROR(IF(VLOOKUP(C2418,' Disaggregation - Section E '!A$618:J2744,8,0)=0,"",VLOOKUP(C2418,' Disaggregation - Section E '!A$618:J2744,8,0)),"")</f>
        <v>2022</v>
      </c>
      <c r="J2418" s="388" t="str">
        <f ca="1">IFERROR(IF(VLOOKUP(C2418,' Disaggregation - Section E '!A$618:J2744,9,0)="","",VLOOKUP(C2418,' Disaggregation - Section E '!A$618:J2744,9,0)),"")</f>
        <v xml:space="preserve">Electronic HIV Case Tracking System and RCHV&amp;HIV report
</v>
      </c>
      <c r="K2418" s="384" t="str">
        <f ca="1">IFERROR(VLOOKUP(C2418,' Disaggregation - Section E '!A$618:J2744,3,0),"")</f>
        <v>TB/HIV-7.1 Percentage of people living with HIV currently enrolled on antiretroviral therapy who started TB preventive treatment (TPT) during the reporting period</v>
      </c>
      <c r="L2418" s="384"/>
      <c r="M2418" s="384" t="str">
        <f ca="1">IFERROR(IF(VLOOKUP(C2418,' Disaggregation - Section E '!A$618:O1547,15,0)=0,"",VLOOKUP(C2418,' Disaggregation - Section E '!A$618:O1547,15,0)),"")</f>
        <v>IDR-01368</v>
      </c>
      <c r="N2418" s="388" t="str">
        <f ca="1">IFERROR(IF(VLOOKUP(C2418,' Disaggregation - Section E '!A$618:J2744,10,0)=0,"",VLOOKUP(C2418,' Disaggregation - Section E '!A$618:J2744,10,0)),"")</f>
        <v xml:space="preserve">The data is not available
</v>
      </c>
      <c r="O2418" s="384"/>
    </row>
    <row r="2419" spans="1:15" x14ac:dyDescent="0.3">
      <c r="A2419" s="384" t="b">
        <f t="shared" ca="1" si="140"/>
        <v>1</v>
      </c>
      <c r="B2419" s="384"/>
      <c r="C2419" s="393" t="str">
        <f ca="1">IF(COUNTA(O$1493:O2419)=1,"",OFFSET(B2417,-COUNTA(O$1493:O2419)+3,1))</f>
        <v>a16Dm000000LZekIAG</v>
      </c>
      <c r="D2419" s="389"/>
      <c r="E2419" s="386">
        <f ca="1">IFERROR(IF(VLOOKUP(C2419,' Disaggregation - Section E '!A$618:J2745,7,0)="","",VLOOKUP(C2419,' Disaggregation - Section E '!A$618:J2745,7,0)*100),"")</f>
        <v>42.061855670103093</v>
      </c>
      <c r="F2419" s="388" t="str">
        <f ca="1">IFERROR(VLOOKUP(C2419,' Disaggregation - Section E '!A$618:J2745,5,0),"")</f>
        <v>Male</v>
      </c>
      <c r="G2419" s="387">
        <f ca="1">IFERROR(IF(VLOOKUP(C2419,' Disaggregation - Section E '!A$618:J2745,6,0)="","",VLOOKUP(C2419,' Disaggregation - Section E '!A$618:J2745,6,0)),"")</f>
        <v>204</v>
      </c>
      <c r="H2419" s="387">
        <f ca="1">IFERROR(IF(INDEX(' Disaggregation - Section E '!F$618:F2745,MATCH(C2419,' Disaggregation - Section E '!A$618:A2745,0)+1,1)&lt;&gt;0,INDEX(' Disaggregation - Section E '!F$618:F2745,MATCH(C2419,' Disaggregation - Section E '!A$618:A2745,0)+1,1),""),"")</f>
        <v>485</v>
      </c>
      <c r="I2419" s="388">
        <f ca="1">IFERROR(IF(VLOOKUP(C2419,' Disaggregation - Section E '!A$618:J2745,8,0)=0,"",VLOOKUP(C2419,' Disaggregation - Section E '!A$618:J2745,8,0)),"")</f>
        <v>2022</v>
      </c>
      <c r="J2419" s="388" t="str">
        <f ca="1">IFERROR(IF(VLOOKUP(C2419,' Disaggregation - Section E '!A$618:J2745,9,0)="","",VLOOKUP(C2419,' Disaggregation - Section E '!A$618:J2745,9,0)),"")</f>
        <v xml:space="preserve">Electronic HIV Case Tracking System and RCHV&amp;HIV report
</v>
      </c>
      <c r="K2419" s="384" t="str">
        <f ca="1">IFERROR(VLOOKUP(C2419,' Disaggregation - Section E '!A$618:J2745,3,0),"")</f>
        <v>TB/HIV-7.1 Percentage of people living with HIV currently enrolled on antiretroviral therapy who started TB preventive treatment (TPT) during the reporting period</v>
      </c>
      <c r="L2419" s="384"/>
      <c r="M2419" s="384" t="str">
        <f ca="1">IFERROR(IF(VLOOKUP(C2419,' Disaggregation - Section E '!A$618:O1548,15,0)=0,"",VLOOKUP(C2419,' Disaggregation - Section E '!A$618:O1548,15,0)),"")</f>
        <v>IDR-01367</v>
      </c>
      <c r="N2419" s="388" t="str">
        <f ca="1">IFERROR(IF(VLOOKUP(C2419,' Disaggregation - Section E '!A$618:J2745,10,0)=0,"",VLOOKUP(C2419,' Disaggregation - Section E '!A$618:J2745,10,0)),"")</f>
        <v>"Numerator:Total number of people living with HIV currently enrolled on antiretroviral therapy who started TB preventive treatment (TPT) during the reporting period in this age group. 
Denumerator:Total number who started ART and without active TB"</v>
      </c>
      <c r="O2419" s="384"/>
    </row>
    <row r="2420" spans="1:15" x14ac:dyDescent="0.3">
      <c r="A2420" s="384" t="b">
        <f t="shared" ca="1" si="140"/>
        <v>1</v>
      </c>
      <c r="B2420" s="384"/>
      <c r="C2420" s="393" t="str">
        <f ca="1">IF(COUNTA(O$1493:O2420)=1,"",OFFSET(B2418,-COUNTA(O$1493:O2420)+3,1))</f>
        <v>a16Dm000000LZelIAG</v>
      </c>
      <c r="D2420" s="389"/>
      <c r="E2420" s="386">
        <f ca="1">IFERROR(IF(VLOOKUP(C2420,' Disaggregation - Section E '!A$618:J2746,7,0)="","",VLOOKUP(C2420,' Disaggregation - Section E '!A$618:J2746,7,0)*100),"")</f>
        <v>0</v>
      </c>
      <c r="F2420" s="388" t="str">
        <f ca="1">IFERROR(VLOOKUP(C2420,' Disaggregation - Section E '!A$618:J2746,5,0),"")</f>
        <v>5-14</v>
      </c>
      <c r="G2420" s="387">
        <f ca="1">IFERROR(IF(VLOOKUP(C2420,' Disaggregation - Section E '!A$618:J2746,6,0)="","",VLOOKUP(C2420,' Disaggregation - Section E '!A$618:J2746,6,0)),"")</f>
        <v>0</v>
      </c>
      <c r="H2420" s="387">
        <f ca="1">IFERROR(IF(INDEX(' Disaggregation - Section E '!F$618:F2746,MATCH(C2420,' Disaggregation - Section E '!A$618:A2746,0)+1,1)&lt;&gt;0,INDEX(' Disaggregation - Section E '!F$618:F2746,MATCH(C2420,' Disaggregation - Section E '!A$618:A2746,0)+1,1),""),"")</f>
        <v>4</v>
      </c>
      <c r="I2420" s="388">
        <f ca="1">IFERROR(IF(VLOOKUP(C2420,' Disaggregation - Section E '!A$618:J2746,8,0)=0,"",VLOOKUP(C2420,' Disaggregation - Section E '!A$618:J2746,8,0)),"")</f>
        <v>2022</v>
      </c>
      <c r="J2420" s="388" t="str">
        <f ca="1">IFERROR(IF(VLOOKUP(C2420,' Disaggregation - Section E '!A$618:J2746,9,0)="","",VLOOKUP(C2420,' Disaggregation - Section E '!A$618:J2746,9,0)),"")</f>
        <v xml:space="preserve">Electronic HIV Case Tracking System and RCHV&amp;HIV report
</v>
      </c>
      <c r="K2420" s="384" t="str">
        <f ca="1">IFERROR(VLOOKUP(C2420,' Disaggregation - Section E '!A$618:J2746,3,0),"")</f>
        <v>TB/HIV-7.1 Percentage of people living with HIV currently enrolled on antiretroviral therapy who started TB preventive treatment (TPT) during the reporting period</v>
      </c>
      <c r="L2420" s="384"/>
      <c r="M2420" s="384" t="str">
        <f ca="1">IFERROR(IF(VLOOKUP(C2420,' Disaggregation - Section E '!A$618:O1549,15,0)=0,"",VLOOKUP(C2420,' Disaggregation - Section E '!A$618:O1549,15,0)),"")</f>
        <v>IDR-01366</v>
      </c>
      <c r="N2420" s="388" t="str">
        <f ca="1">IFERROR(IF(VLOOKUP(C2420,' Disaggregation - Section E '!A$618:J2746,10,0)=0,"",VLOOKUP(C2420,' Disaggregation - Section E '!A$618:J2746,10,0)),"")</f>
        <v>"Numerator:Total number of people living with HIV currently enrolled on antiretroviral therapy who started TB preventive treatment (TPT) during the reporting period in this age group. 
Denumerator:Total number who started ART and without active TB"</v>
      </c>
      <c r="O2420" s="384"/>
    </row>
    <row r="2421" spans="1:15" x14ac:dyDescent="0.3">
      <c r="A2421" s="384" t="b">
        <f t="shared" ca="1" si="140"/>
        <v>1</v>
      </c>
      <c r="B2421" s="384"/>
      <c r="C2421" s="393" t="str">
        <f ca="1">IF(COUNTA(O$1493:O2421)=1,"",OFFSET(B2419,-COUNTA(O$1493:O2421)+3,1))</f>
        <v>a16Dm000000LZemIAG</v>
      </c>
      <c r="D2421" s="389"/>
      <c r="E2421" s="386" t="str">
        <f ca="1">IFERROR(IF(VLOOKUP(C2421,' Disaggregation - Section E '!A$618:J2747,7,0)="","",VLOOKUP(C2421,' Disaggregation - Section E '!A$618:J2747,7,0)*100),"")</f>
        <v/>
      </c>
      <c r="F2421" s="388" t="str">
        <f ca="1">IFERROR(VLOOKUP(C2421,' Disaggregation - Section E '!A$618:J2747,5,0),"")</f>
        <v>1HP</v>
      </c>
      <c r="G2421" s="387" t="str">
        <f ca="1">IFERROR(IF(VLOOKUP(C2421,' Disaggregation - Section E '!A$618:J2747,6,0)="","",VLOOKUP(C2421,' Disaggregation - Section E '!A$618:J2747,6,0)),"")</f>
        <v/>
      </c>
      <c r="H2421" s="387" t="str">
        <f ca="1">IFERROR(IF(INDEX(' Disaggregation - Section E '!F$618:F2747,MATCH(C2421,' Disaggregation - Section E '!A$618:A2747,0)+1,1)&lt;&gt;0,INDEX(' Disaggregation - Section E '!F$618:F2747,MATCH(C2421,' Disaggregation - Section E '!A$618:A2747,0)+1,1),""),"")</f>
        <v/>
      </c>
      <c r="I2421" s="388">
        <f ca="1">IFERROR(IF(VLOOKUP(C2421,' Disaggregation - Section E '!A$618:J2747,8,0)=0,"",VLOOKUP(C2421,' Disaggregation - Section E '!A$618:J2747,8,0)),"")</f>
        <v>2022</v>
      </c>
      <c r="J2421" s="388" t="str">
        <f ca="1">IFERROR(IF(VLOOKUP(C2421,' Disaggregation - Section E '!A$618:J2747,9,0)="","",VLOOKUP(C2421,' Disaggregation - Section E '!A$618:J2747,9,0)),"")</f>
        <v xml:space="preserve">Electronic HIV Case Tracking System and RCHV&amp;HIV report
</v>
      </c>
      <c r="K2421" s="384" t="str">
        <f ca="1">IFERROR(VLOOKUP(C2421,' Disaggregation - Section E '!A$618:J2747,3,0),"")</f>
        <v>TB/HIV-7.1 Percentage of people living with HIV currently enrolled on antiretroviral therapy who started TB preventive treatment (TPT) during the reporting period</v>
      </c>
      <c r="L2421" s="384"/>
      <c r="M2421" s="384" t="str">
        <f ca="1">IFERROR(IF(VLOOKUP(C2421,' Disaggregation - Section E '!A$618:O1550,15,0)=0,"",VLOOKUP(C2421,' Disaggregation - Section E '!A$618:O1550,15,0)),"")</f>
        <v>IDR-01365</v>
      </c>
      <c r="N2421" s="388" t="str">
        <f ca="1">IFERROR(IF(VLOOKUP(C2421,' Disaggregation - Section E '!A$618:J2747,10,0)=0,"",VLOOKUP(C2421,' Disaggregation - Section E '!A$618:J2747,10,0)),"")</f>
        <v xml:space="preserve">The data is not available
</v>
      </c>
      <c r="O2421" s="384"/>
    </row>
    <row r="2422" spans="1:15" x14ac:dyDescent="0.3">
      <c r="A2422" s="384" t="b">
        <f t="shared" ca="1" si="140"/>
        <v>1</v>
      </c>
      <c r="B2422" s="384"/>
      <c r="C2422" s="393" t="str">
        <f ca="1">IF(COUNTA(O$1493:O2422)=1,"",OFFSET(B2420,-COUNTA(O$1493:O2422)+3,1))</f>
        <v>a16Dm000000LZenIAG</v>
      </c>
      <c r="D2422" s="389"/>
      <c r="E2422" s="386">
        <f ca="1">IFERROR(IF(VLOOKUP(C2422,' Disaggregation - Section E '!A$618:J2748,7,0)="","",VLOOKUP(C2422,' Disaggregation - Section E '!A$618:J2748,7,0)*100),"")</f>
        <v>14.285714285714285</v>
      </c>
      <c r="F2422" s="388" t="str">
        <f ca="1">IFERROR(VLOOKUP(C2422,' Disaggregation - Section E '!A$618:J2748,5,0),"")</f>
        <v>&lt;5</v>
      </c>
      <c r="G2422" s="387">
        <f ca="1">IFERROR(IF(VLOOKUP(C2422,' Disaggregation - Section E '!A$618:J2748,6,0)="","",VLOOKUP(C2422,' Disaggregation - Section E '!A$618:J2748,6,0)),"")</f>
        <v>2</v>
      </c>
      <c r="H2422" s="387">
        <f ca="1">IFERROR(IF(INDEX(' Disaggregation - Section E '!F$618:F2748,MATCH(C2422,' Disaggregation - Section E '!A$618:A2748,0)+1,1)&lt;&gt;0,INDEX(' Disaggregation - Section E '!F$618:F2748,MATCH(C2422,' Disaggregation - Section E '!A$618:A2748,0)+1,1),""),"")</f>
        <v>14</v>
      </c>
      <c r="I2422" s="388">
        <f ca="1">IFERROR(IF(VLOOKUP(C2422,' Disaggregation - Section E '!A$618:J2748,8,0)=0,"",VLOOKUP(C2422,' Disaggregation - Section E '!A$618:J2748,8,0)),"")</f>
        <v>2022</v>
      </c>
      <c r="J2422" s="388" t="str">
        <f ca="1">IFERROR(IF(VLOOKUP(C2422,' Disaggregation - Section E '!A$618:J2748,9,0)="","",VLOOKUP(C2422,' Disaggregation - Section E '!A$618:J2748,9,0)),"")</f>
        <v xml:space="preserve">Electronic HIV Case Tracking System and RCHV&amp;HIV report
</v>
      </c>
      <c r="K2422" s="384" t="str">
        <f ca="1">IFERROR(VLOOKUP(C2422,' Disaggregation - Section E '!A$618:J2748,3,0),"")</f>
        <v>TB/HIV-7.1 Percentage of people living with HIV currently enrolled on antiretroviral therapy who started TB preventive treatment (TPT) during the reporting period</v>
      </c>
      <c r="L2422" s="384"/>
      <c r="M2422" s="384" t="str">
        <f ca="1">IFERROR(IF(VLOOKUP(C2422,' Disaggregation - Section E '!A$618:O1551,15,0)=0,"",VLOOKUP(C2422,' Disaggregation - Section E '!A$618:O1551,15,0)),"")</f>
        <v>IDR-01364</v>
      </c>
      <c r="N2422" s="388" t="str">
        <f ca="1">IFERROR(IF(VLOOKUP(C2422,' Disaggregation - Section E '!A$618:J2748,10,0)=0,"",VLOOKUP(C2422,' Disaggregation - Section E '!A$618:J2748,10,0)),"")</f>
        <v>"Numerator:Total number of people living with HIV currently enrolled on antiretroviral therapy who started TB preventive treatment (TPT) during the reporting period in this age group. 
Denumerator:Total number who started ART and without active TB"</v>
      </c>
      <c r="O2422" s="384"/>
    </row>
    <row r="2423" spans="1:15" x14ac:dyDescent="0.3">
      <c r="A2423" s="384" t="b">
        <f t="shared" ca="1" si="140"/>
        <v>1</v>
      </c>
      <c r="B2423" s="384"/>
      <c r="C2423" s="393" t="str">
        <f ca="1">IF(COUNTA(O$1493:O2423)=1,"",OFFSET(B2421,-COUNTA(O$1493:O2423)+3,1))</f>
        <v>a16Dm000000LZeoIAG</v>
      </c>
      <c r="D2423" s="389"/>
      <c r="E2423" s="386" t="str">
        <f ca="1">IFERROR(IF(VLOOKUP(C2423,' Disaggregation - Section E '!A$618:J2749,7,0)="","",VLOOKUP(C2423,' Disaggregation - Section E '!A$618:J2749,7,0)*100),"")</f>
        <v/>
      </c>
      <c r="F2423" s="388" t="str">
        <f ca="1">IFERROR(VLOOKUP(C2423,' Disaggregation - Section E '!A$618:J2749,5,0),"")</f>
        <v>3HP</v>
      </c>
      <c r="G2423" s="387" t="str">
        <f ca="1">IFERROR(IF(VLOOKUP(C2423,' Disaggregation - Section E '!A$618:J2749,6,0)="","",VLOOKUP(C2423,' Disaggregation - Section E '!A$618:J2749,6,0)),"")</f>
        <v/>
      </c>
      <c r="H2423" s="387" t="str">
        <f ca="1">IFERROR(IF(INDEX(' Disaggregation - Section E '!F$618:F2749,MATCH(C2423,' Disaggregation - Section E '!A$618:A2749,0)+1,1)&lt;&gt;0,INDEX(' Disaggregation - Section E '!F$618:F2749,MATCH(C2423,' Disaggregation - Section E '!A$618:A2749,0)+1,1),""),"")</f>
        <v/>
      </c>
      <c r="I2423" s="388">
        <f ca="1">IFERROR(IF(VLOOKUP(C2423,' Disaggregation - Section E '!A$618:J2749,8,0)=0,"",VLOOKUP(C2423,' Disaggregation - Section E '!A$618:J2749,8,0)),"")</f>
        <v>2022</v>
      </c>
      <c r="J2423" s="388" t="str">
        <f ca="1">IFERROR(IF(VLOOKUP(C2423,' Disaggregation - Section E '!A$618:J2749,9,0)="","",VLOOKUP(C2423,' Disaggregation - Section E '!A$618:J2749,9,0)),"")</f>
        <v xml:space="preserve">Electronic HIV Case Tracking System and RCHV&amp;HIV report
</v>
      </c>
      <c r="K2423" s="384" t="str">
        <f ca="1">IFERROR(VLOOKUP(C2423,' Disaggregation - Section E '!A$618:J2749,3,0),"")</f>
        <v>TB/HIV-7.1 Percentage of people living with HIV currently enrolled on antiretroviral therapy who started TB preventive treatment (TPT) during the reporting period</v>
      </c>
      <c r="L2423" s="384"/>
      <c r="M2423" s="384" t="str">
        <f ca="1">IFERROR(IF(VLOOKUP(C2423,' Disaggregation - Section E '!A$618:O1552,15,0)=0,"",VLOOKUP(C2423,' Disaggregation - Section E '!A$618:O1552,15,0)),"")</f>
        <v>IDR-01363</v>
      </c>
      <c r="N2423" s="388" t="str">
        <f ca="1">IFERROR(IF(VLOOKUP(C2423,' Disaggregation - Section E '!A$618:J2749,10,0)=0,"",VLOOKUP(C2423,' Disaggregation - Section E '!A$618:J2749,10,0)),"")</f>
        <v xml:space="preserve">The data is not available
</v>
      </c>
      <c r="O2423" s="384"/>
    </row>
    <row r="2424" spans="1:15" x14ac:dyDescent="0.3">
      <c r="A2424" s="384" t="b">
        <f t="shared" ca="1" si="140"/>
        <v>1</v>
      </c>
      <c r="B2424" s="384"/>
      <c r="C2424" s="393" t="str">
        <f ca="1">IF(COUNTA(O$1493:O2424)=1,"",OFFSET(B2422,-COUNTA(O$1493:O2424)+3,1))</f>
        <v>a16Dm000000LZepIAG</v>
      </c>
      <c r="D2424" s="389"/>
      <c r="E2424" s="386">
        <f ca="1">IFERROR(IF(VLOOKUP(C2424,' Disaggregation - Section E '!A$618:J2750,7,0)="","",VLOOKUP(C2424,' Disaggregation - Section E '!A$618:J2750,7,0)*100),"")</f>
        <v>41.904761904761905</v>
      </c>
      <c r="F2424" s="388" t="str">
        <f ca="1">IFERROR(VLOOKUP(C2424,' Disaggregation - Section E '!A$618:J2750,5,0),"")</f>
        <v>Female</v>
      </c>
      <c r="G2424" s="387">
        <f ca="1">IFERROR(IF(VLOOKUP(C2424,' Disaggregation - Section E '!A$618:J2750,6,0)="","",VLOOKUP(C2424,' Disaggregation - Section E '!A$618:J2750,6,0)),"")</f>
        <v>132</v>
      </c>
      <c r="H2424" s="387">
        <f ca="1">IFERROR(IF(INDEX(' Disaggregation - Section E '!F$618:F2750,MATCH(C2424,' Disaggregation - Section E '!A$618:A2750,0)+1,1)&lt;&gt;0,INDEX(' Disaggregation - Section E '!F$618:F2750,MATCH(C2424,' Disaggregation - Section E '!A$618:A2750,0)+1,1),""),"")</f>
        <v>315</v>
      </c>
      <c r="I2424" s="388">
        <f ca="1">IFERROR(IF(VLOOKUP(C2424,' Disaggregation - Section E '!A$618:J2750,8,0)=0,"",VLOOKUP(C2424,' Disaggregation - Section E '!A$618:J2750,8,0)),"")</f>
        <v>2022</v>
      </c>
      <c r="J2424" s="388" t="str">
        <f ca="1">IFERROR(IF(VLOOKUP(C2424,' Disaggregation - Section E '!A$618:J2750,9,0)="","",VLOOKUP(C2424,' Disaggregation - Section E '!A$618:J2750,9,0)),"")</f>
        <v xml:space="preserve">Electronic HIV Case Tracking System and RCHV&amp;HIV report
</v>
      </c>
      <c r="K2424" s="384" t="str">
        <f ca="1">IFERROR(VLOOKUP(C2424,' Disaggregation - Section E '!A$618:J2750,3,0),"")</f>
        <v>TB/HIV-7.1 Percentage of people living with HIV currently enrolled on antiretroviral therapy who started TB preventive treatment (TPT) during the reporting period</v>
      </c>
      <c r="L2424" s="384"/>
      <c r="M2424" s="384" t="str">
        <f ca="1">IFERROR(IF(VLOOKUP(C2424,' Disaggregation - Section E '!A$618:O1553,15,0)=0,"",VLOOKUP(C2424,' Disaggregation - Section E '!A$618:O1553,15,0)),"")</f>
        <v>IDR-01362</v>
      </c>
      <c r="N2424" s="388" t="str">
        <f ca="1">IFERROR(IF(VLOOKUP(C2424,' Disaggregation - Section E '!A$618:J2750,10,0)=0,"",VLOOKUP(C2424,' Disaggregation - Section E '!A$618:J2750,10,0)),"")</f>
        <v>"Numerator:Total number of people living with HIV currently enrolled on antiretroviral therapy who started TB preventive treatment (TPT) during the reporting period in this age group. 
Denumerator:Total number who started ART and without active TB"</v>
      </c>
      <c r="O2424" s="384"/>
    </row>
    <row r="2425" spans="1:15" x14ac:dyDescent="0.3">
      <c r="A2425" s="384" t="b">
        <f t="shared" ca="1" si="140"/>
        <v>0</v>
      </c>
      <c r="B2425" s="384"/>
      <c r="C2425" s="393" t="str">
        <f ca="1">IF(COUNTA(O$1493:O2425)=1,"",OFFSET(B2423,-COUNTA(O$1493:O2425)+3,1))</f>
        <v>a16Dm000000LZeqIAG</v>
      </c>
      <c r="D2425" s="389"/>
      <c r="E2425" s="386" t="str">
        <f ca="1">IFERROR(IF(VLOOKUP(C2425,' Disaggregation - Section E '!A$618:J2751,7,0)="","",VLOOKUP(C2425,' Disaggregation - Section E '!A$618:J2751,7,0)*100),"")</f>
        <v/>
      </c>
      <c r="F2425" s="388" t="str">
        <f ca="1">IFERROR(VLOOKUP(C2425,' Disaggregation - Section E '!A$618:J2751,5,0),"")</f>
        <v/>
      </c>
      <c r="G2425" s="387" t="str">
        <f ca="1">IFERROR(IF(VLOOKUP(C2425,' Disaggregation - Section E '!A$618:J2751,6,0)="","",VLOOKUP(C2425,' Disaggregation - Section E '!A$618:J2751,6,0)),"")</f>
        <v/>
      </c>
      <c r="H2425" s="387" t="str">
        <f ca="1">IFERROR(IF(INDEX(' Disaggregation - Section E '!F$618:F2751,MATCH(C2425,' Disaggregation - Section E '!A$618:A2751,0)+1,1)&lt;&gt;0,INDEX(' Disaggregation - Section E '!F$618:F2751,MATCH(C2425,' Disaggregation - Section E '!A$618:A2751,0)+1,1),""),"")</f>
        <v/>
      </c>
      <c r="I2425" s="388" t="str">
        <f ca="1">IFERROR(IF(VLOOKUP(C2425,' Disaggregation - Section E '!A$618:J2751,8,0)=0,"",VLOOKUP(C2425,' Disaggregation - Section E '!A$618:J2751,8,0)),"")</f>
        <v/>
      </c>
      <c r="J2425" s="388" t="str">
        <f ca="1">IFERROR(IF(VLOOKUP(C2425,' Disaggregation - Section E '!A$618:J2751,9,0)="","",VLOOKUP(C2425,' Disaggregation - Section E '!A$618:J2751,9,0)),"")</f>
        <v/>
      </c>
      <c r="K2425" s="384" t="str">
        <f ca="1">IFERROR(VLOOKUP(C2425,' Disaggregation - Section E '!A$618:J2751,3,0),"")</f>
        <v>TB/HIV-7.1 Percentage of people living with HIV currently enrolled on antiretroviral therapy who started TB preventive treatment (TPT) during the reporting period</v>
      </c>
      <c r="L2425" s="384"/>
      <c r="M2425" s="384" t="str">
        <f ca="1">IFERROR(IF(VLOOKUP(C2425,' Disaggregation - Section E '!A$618:O1554,15,0)=0,"",VLOOKUP(C2425,' Disaggregation - Section E '!A$618:O1554,15,0)),"")</f>
        <v/>
      </c>
      <c r="N2425" s="388" t="str">
        <f ca="1">IFERROR(IF(VLOOKUP(C2425,' Disaggregation - Section E '!A$618:J2751,10,0)=0,"",VLOOKUP(C2425,' Disaggregation - Section E '!A$618:J2751,10,0)),"")</f>
        <v/>
      </c>
      <c r="O2425" s="384"/>
    </row>
    <row r="2426" spans="1:15" x14ac:dyDescent="0.3">
      <c r="A2426" s="384" t="b">
        <f t="shared" ca="1" si="140"/>
        <v>0</v>
      </c>
      <c r="B2426" s="384"/>
      <c r="C2426" s="393" t="str">
        <f ca="1">IF(COUNTA(O$1493:O2426)=1,"",OFFSET(B2424,-COUNTA(O$1493:O2426)+3,1))</f>
        <v>a16Dm000000LZerIAG</v>
      </c>
      <c r="D2426" s="389"/>
      <c r="E2426" s="386" t="str">
        <f ca="1">IFERROR(IF(VLOOKUP(C2426,' Disaggregation - Section E '!A$618:J2752,7,0)="","",VLOOKUP(C2426,' Disaggregation - Section E '!A$618:J2752,7,0)*100),"")</f>
        <v/>
      </c>
      <c r="F2426" s="388" t="str">
        <f ca="1">IFERROR(VLOOKUP(C2426,' Disaggregation - Section E '!A$618:J2752,5,0),"")</f>
        <v/>
      </c>
      <c r="G2426" s="387" t="str">
        <f ca="1">IFERROR(IF(VLOOKUP(C2426,' Disaggregation - Section E '!A$618:J2752,6,0)="","",VLOOKUP(C2426,' Disaggregation - Section E '!A$618:J2752,6,0)),"")</f>
        <v/>
      </c>
      <c r="H2426" s="387" t="str">
        <f ca="1">IFERROR(IF(INDEX(' Disaggregation - Section E '!F$618:F2752,MATCH(C2426,' Disaggregation - Section E '!A$618:A2752,0)+1,1)&lt;&gt;0,INDEX(' Disaggregation - Section E '!F$618:F2752,MATCH(C2426,' Disaggregation - Section E '!A$618:A2752,0)+1,1),""),"")</f>
        <v/>
      </c>
      <c r="I2426" s="388" t="str">
        <f ca="1">IFERROR(IF(VLOOKUP(C2426,' Disaggregation - Section E '!A$618:J2752,8,0)=0,"",VLOOKUP(C2426,' Disaggregation - Section E '!A$618:J2752,8,0)),"")</f>
        <v/>
      </c>
      <c r="J2426" s="388" t="str">
        <f ca="1">IFERROR(IF(VLOOKUP(C2426,' Disaggregation - Section E '!A$618:J2752,9,0)="","",VLOOKUP(C2426,' Disaggregation - Section E '!A$618:J2752,9,0)),"")</f>
        <v/>
      </c>
      <c r="K2426" s="384" t="str">
        <f ca="1">IFERROR(VLOOKUP(C2426,' Disaggregation - Section E '!A$618:J2752,3,0),"")</f>
        <v>TB/HIV-7.1 Percentage of people living with HIV currently enrolled on antiretroviral therapy who started TB preventive treatment (TPT) during the reporting period</v>
      </c>
      <c r="L2426" s="384"/>
      <c r="M2426" s="384" t="str">
        <f ca="1">IFERROR(IF(VLOOKUP(C2426,' Disaggregation - Section E '!A$618:O1555,15,0)=0,"",VLOOKUP(C2426,' Disaggregation - Section E '!A$618:O1555,15,0)),"")</f>
        <v/>
      </c>
      <c r="N2426" s="388" t="str">
        <f ca="1">IFERROR(IF(VLOOKUP(C2426,' Disaggregation - Section E '!A$618:J2752,10,0)=0,"",VLOOKUP(C2426,' Disaggregation - Section E '!A$618:J2752,10,0)),"")</f>
        <v/>
      </c>
      <c r="O2426" s="384"/>
    </row>
    <row r="2427" spans="1:15" x14ac:dyDescent="0.3">
      <c r="A2427" s="384" t="b">
        <f t="shared" ca="1" si="140"/>
        <v>0</v>
      </c>
      <c r="B2427" s="384"/>
      <c r="C2427" s="393" t="str">
        <f ca="1">IF(COUNTA(O$1493:O2427)=1,"",OFFSET(B2425,-COUNTA(O$1493:O2427)+3,1))</f>
        <v>a16Dm000000LZesIAG</v>
      </c>
      <c r="D2427" s="389"/>
      <c r="E2427" s="386" t="str">
        <f ca="1">IFERROR(IF(VLOOKUP(C2427,' Disaggregation - Section E '!A$618:J2753,7,0)="","",VLOOKUP(C2427,' Disaggregation - Section E '!A$618:J2753,7,0)*100),"")</f>
        <v/>
      </c>
      <c r="F2427" s="388" t="str">
        <f ca="1">IFERROR(VLOOKUP(C2427,' Disaggregation - Section E '!A$618:J2753,5,0),"")</f>
        <v/>
      </c>
      <c r="G2427" s="387" t="str">
        <f ca="1">IFERROR(IF(VLOOKUP(C2427,' Disaggregation - Section E '!A$618:J2753,6,0)="","",VLOOKUP(C2427,' Disaggregation - Section E '!A$618:J2753,6,0)),"")</f>
        <v/>
      </c>
      <c r="H2427" s="387" t="str">
        <f ca="1">IFERROR(IF(INDEX(' Disaggregation - Section E '!F$618:F2753,MATCH(C2427,' Disaggregation - Section E '!A$618:A2753,0)+1,1)&lt;&gt;0,INDEX(' Disaggregation - Section E '!F$618:F2753,MATCH(C2427,' Disaggregation - Section E '!A$618:A2753,0)+1,1),""),"")</f>
        <v/>
      </c>
      <c r="I2427" s="388" t="str">
        <f ca="1">IFERROR(IF(VLOOKUP(C2427,' Disaggregation - Section E '!A$618:J2753,8,0)=0,"",VLOOKUP(C2427,' Disaggregation - Section E '!A$618:J2753,8,0)),"")</f>
        <v/>
      </c>
      <c r="J2427" s="388" t="str">
        <f ca="1">IFERROR(IF(VLOOKUP(C2427,' Disaggregation - Section E '!A$618:J2753,9,0)="","",VLOOKUP(C2427,' Disaggregation - Section E '!A$618:J2753,9,0)),"")</f>
        <v/>
      </c>
      <c r="K2427" s="384" t="str">
        <f ca="1">IFERROR(VLOOKUP(C2427,' Disaggregation - Section E '!A$618:J2753,3,0),"")</f>
        <v>TB/HIV-7.1 Percentage of people living with HIV currently enrolled on antiretroviral therapy who started TB preventive treatment (TPT) during the reporting period</v>
      </c>
      <c r="L2427" s="384"/>
      <c r="M2427" s="384" t="str">
        <f ca="1">IFERROR(IF(VLOOKUP(C2427,' Disaggregation - Section E '!A$618:O1556,15,0)=0,"",VLOOKUP(C2427,' Disaggregation - Section E '!A$618:O1556,15,0)),"")</f>
        <v/>
      </c>
      <c r="N2427" s="388" t="str">
        <f ca="1">IFERROR(IF(VLOOKUP(C2427,' Disaggregation - Section E '!A$618:J2753,10,0)=0,"",VLOOKUP(C2427,' Disaggregation - Section E '!A$618:J2753,10,0)),"")</f>
        <v/>
      </c>
      <c r="O2427" s="384"/>
    </row>
    <row r="2428" spans="1:15" x14ac:dyDescent="0.3">
      <c r="A2428" s="384" t="b">
        <f t="shared" ca="1" si="140"/>
        <v>0</v>
      </c>
      <c r="B2428" s="384"/>
      <c r="C2428" s="393" t="str">
        <f ca="1">IF(COUNTA(O$1493:O2428)=1,"",OFFSET(B2426,-COUNTA(O$1493:O2428)+3,1))</f>
        <v>a16Dm000000LZetIAG</v>
      </c>
      <c r="D2428" s="389"/>
      <c r="E2428" s="386" t="str">
        <f ca="1">IFERROR(IF(VLOOKUP(C2428,' Disaggregation - Section E '!A$618:J2754,7,0)="","",VLOOKUP(C2428,' Disaggregation - Section E '!A$618:J2754,7,0)*100),"")</f>
        <v/>
      </c>
      <c r="F2428" s="388" t="str">
        <f ca="1">IFERROR(VLOOKUP(C2428,' Disaggregation - Section E '!A$618:J2754,5,0),"")</f>
        <v/>
      </c>
      <c r="G2428" s="387" t="str">
        <f ca="1">IFERROR(IF(VLOOKUP(C2428,' Disaggregation - Section E '!A$618:J2754,6,0)="","",VLOOKUP(C2428,' Disaggregation - Section E '!A$618:J2754,6,0)),"")</f>
        <v/>
      </c>
      <c r="H2428" s="387" t="str">
        <f ca="1">IFERROR(IF(INDEX(' Disaggregation - Section E '!F$618:F2754,MATCH(C2428,' Disaggregation - Section E '!A$618:A2754,0)+1,1)&lt;&gt;0,INDEX(' Disaggregation - Section E '!F$618:F2754,MATCH(C2428,' Disaggregation - Section E '!A$618:A2754,0)+1,1),""),"")</f>
        <v/>
      </c>
      <c r="I2428" s="388" t="str">
        <f ca="1">IFERROR(IF(VLOOKUP(C2428,' Disaggregation - Section E '!A$618:J2754,8,0)=0,"",VLOOKUP(C2428,' Disaggregation - Section E '!A$618:J2754,8,0)),"")</f>
        <v/>
      </c>
      <c r="J2428" s="388" t="str">
        <f ca="1">IFERROR(IF(VLOOKUP(C2428,' Disaggregation - Section E '!A$618:J2754,9,0)="","",VLOOKUP(C2428,' Disaggregation - Section E '!A$618:J2754,9,0)),"")</f>
        <v/>
      </c>
      <c r="K2428" s="384" t="str">
        <f ca="1">IFERROR(VLOOKUP(C2428,' Disaggregation - Section E '!A$618:J2754,3,0),"")</f>
        <v>TB/HIV-7.1 Percentage of people living with HIV currently enrolled on antiretroviral therapy who started TB preventive treatment (TPT) during the reporting period</v>
      </c>
      <c r="L2428" s="384"/>
      <c r="M2428" s="384" t="str">
        <f ca="1">IFERROR(IF(VLOOKUP(C2428,' Disaggregation - Section E '!A$618:O1557,15,0)=0,"",VLOOKUP(C2428,' Disaggregation - Section E '!A$618:O1557,15,0)),"")</f>
        <v/>
      </c>
      <c r="N2428" s="388" t="str">
        <f ca="1">IFERROR(IF(VLOOKUP(C2428,' Disaggregation - Section E '!A$618:J2754,10,0)=0,"",VLOOKUP(C2428,' Disaggregation - Section E '!A$618:J2754,10,0)),"")</f>
        <v/>
      </c>
      <c r="O2428" s="384"/>
    </row>
    <row r="2429" spans="1:15" x14ac:dyDescent="0.3">
      <c r="A2429" s="384" t="b">
        <f t="shared" ca="1" si="140"/>
        <v>0</v>
      </c>
      <c r="B2429" s="384"/>
      <c r="C2429" s="393" t="str">
        <f ca="1">IF(COUNTA(O$1493:O2429)=1,"",OFFSET(B2427,-COUNTA(O$1493:O2429)+3,1))</f>
        <v>a16Dm000000LZeuIAG</v>
      </c>
      <c r="D2429" s="389"/>
      <c r="E2429" s="386" t="str">
        <f ca="1">IFERROR(IF(VLOOKUP(C2429,' Disaggregation - Section E '!A$618:J2755,7,0)="","",VLOOKUP(C2429,' Disaggregation - Section E '!A$618:J2755,7,0)*100),"")</f>
        <v/>
      </c>
      <c r="F2429" s="388" t="str">
        <f ca="1">IFERROR(VLOOKUP(C2429,' Disaggregation - Section E '!A$618:J2755,5,0),"")</f>
        <v/>
      </c>
      <c r="G2429" s="387" t="str">
        <f ca="1">IFERROR(IF(VLOOKUP(C2429,' Disaggregation - Section E '!A$618:J2755,6,0)="","",VLOOKUP(C2429,' Disaggregation - Section E '!A$618:J2755,6,0)),"")</f>
        <v/>
      </c>
      <c r="H2429" s="387" t="str">
        <f ca="1">IFERROR(IF(INDEX(' Disaggregation - Section E '!F$618:F2755,MATCH(C2429,' Disaggregation - Section E '!A$618:A2755,0)+1,1)&lt;&gt;0,INDEX(' Disaggregation - Section E '!F$618:F2755,MATCH(C2429,' Disaggregation - Section E '!A$618:A2755,0)+1,1),""),"")</f>
        <v/>
      </c>
      <c r="I2429" s="388" t="str">
        <f ca="1">IFERROR(IF(VLOOKUP(C2429,' Disaggregation - Section E '!A$618:J2755,8,0)=0,"",VLOOKUP(C2429,' Disaggregation - Section E '!A$618:J2755,8,0)),"")</f>
        <v/>
      </c>
      <c r="J2429" s="388" t="str">
        <f ca="1">IFERROR(IF(VLOOKUP(C2429,' Disaggregation - Section E '!A$618:J2755,9,0)="","",VLOOKUP(C2429,' Disaggregation - Section E '!A$618:J2755,9,0)),"")</f>
        <v/>
      </c>
      <c r="K2429" s="384" t="str">
        <f ca="1">IFERROR(VLOOKUP(C2429,' Disaggregation - Section E '!A$618:J2755,3,0),"")</f>
        <v>TB/HIV-7.1 Percentage of people living with HIV currently enrolled on antiretroviral therapy who started TB preventive treatment (TPT) during the reporting period</v>
      </c>
      <c r="L2429" s="384"/>
      <c r="M2429" s="384" t="str">
        <f ca="1">IFERROR(IF(VLOOKUP(C2429,' Disaggregation - Section E '!A$618:O1558,15,0)=0,"",VLOOKUP(C2429,' Disaggregation - Section E '!A$618:O1558,15,0)),"")</f>
        <v/>
      </c>
      <c r="N2429" s="388" t="str">
        <f ca="1">IFERROR(IF(VLOOKUP(C2429,' Disaggregation - Section E '!A$618:J2755,10,0)=0,"",VLOOKUP(C2429,' Disaggregation - Section E '!A$618:J2755,10,0)),"")</f>
        <v/>
      </c>
      <c r="O2429" s="384"/>
    </row>
    <row r="2430" spans="1:15" x14ac:dyDescent="0.3">
      <c r="A2430" s="384" t="b">
        <f t="shared" ca="1" si="140"/>
        <v>0</v>
      </c>
      <c r="B2430" s="384"/>
      <c r="C2430" s="393" t="str">
        <f ca="1">IF(COUNTA(O$1493:O2430)=1,"",OFFSET(B2428,-COUNTA(O$1493:O2430)+3,1))</f>
        <v>a16Dm000000LZevIAG</v>
      </c>
      <c r="D2430" s="389"/>
      <c r="E2430" s="386" t="str">
        <f ca="1">IFERROR(IF(VLOOKUP(C2430,' Disaggregation - Section E '!A$618:J2756,7,0)="","",VLOOKUP(C2430,' Disaggregation - Section E '!A$618:J2756,7,0)*100),"")</f>
        <v/>
      </c>
      <c r="F2430" s="388" t="str">
        <f ca="1">IFERROR(VLOOKUP(C2430,' Disaggregation - Section E '!A$618:J2756,5,0),"")</f>
        <v/>
      </c>
      <c r="G2430" s="387" t="str">
        <f ca="1">IFERROR(IF(VLOOKUP(C2430,' Disaggregation - Section E '!A$618:J2756,6,0)="","",VLOOKUP(C2430,' Disaggregation - Section E '!A$618:J2756,6,0)),"")</f>
        <v/>
      </c>
      <c r="H2430" s="387" t="str">
        <f ca="1">IFERROR(IF(INDEX(' Disaggregation - Section E '!F$618:F2756,MATCH(C2430,' Disaggregation - Section E '!A$618:A2756,0)+1,1)&lt;&gt;0,INDEX(' Disaggregation - Section E '!F$618:F2756,MATCH(C2430,' Disaggregation - Section E '!A$618:A2756,0)+1,1),""),"")</f>
        <v/>
      </c>
      <c r="I2430" s="388" t="str">
        <f ca="1">IFERROR(IF(VLOOKUP(C2430,' Disaggregation - Section E '!A$618:J2756,8,0)=0,"",VLOOKUP(C2430,' Disaggregation - Section E '!A$618:J2756,8,0)),"")</f>
        <v/>
      </c>
      <c r="J2430" s="388" t="str">
        <f ca="1">IFERROR(IF(VLOOKUP(C2430,' Disaggregation - Section E '!A$618:J2756,9,0)="","",VLOOKUP(C2430,' Disaggregation - Section E '!A$618:J2756,9,0)),"")</f>
        <v/>
      </c>
      <c r="K2430" s="384" t="str">
        <f ca="1">IFERROR(VLOOKUP(C2430,' Disaggregation - Section E '!A$618:J2756,3,0),"")</f>
        <v>TB/HIV-7.1 Percentage of people living with HIV currently enrolled on antiretroviral therapy who started TB preventive treatment (TPT) during the reporting period</v>
      </c>
      <c r="L2430" s="384"/>
      <c r="M2430" s="384" t="str">
        <f ca="1">IFERROR(IF(VLOOKUP(C2430,' Disaggregation - Section E '!A$618:O1559,15,0)=0,"",VLOOKUP(C2430,' Disaggregation - Section E '!A$618:O1559,15,0)),"")</f>
        <v/>
      </c>
      <c r="N2430" s="388" t="str">
        <f ca="1">IFERROR(IF(VLOOKUP(C2430,' Disaggregation - Section E '!A$618:J2756,10,0)=0,"",VLOOKUP(C2430,' Disaggregation - Section E '!A$618:J2756,10,0)),"")</f>
        <v/>
      </c>
      <c r="O2430" s="384"/>
    </row>
    <row r="2431" spans="1:15" x14ac:dyDescent="0.3">
      <c r="A2431" s="384" t="b">
        <f t="shared" ca="1" si="140"/>
        <v>0</v>
      </c>
      <c r="B2431" s="384"/>
      <c r="C2431" s="393" t="str">
        <f ca="1">IF(COUNTA(O$1493:O2431)=1,"",OFFSET(B2429,-COUNTA(O$1493:O2431)+3,1))</f>
        <v>a16Dm000000LZewIAG</v>
      </c>
      <c r="D2431" s="389"/>
      <c r="E2431" s="386" t="str">
        <f ca="1">IFERROR(IF(VLOOKUP(C2431,' Disaggregation - Section E '!A$618:J2757,7,0)="","",VLOOKUP(C2431,' Disaggregation - Section E '!A$618:J2757,7,0)*100),"")</f>
        <v/>
      </c>
      <c r="F2431" s="388" t="str">
        <f ca="1">IFERROR(VLOOKUP(C2431,' Disaggregation - Section E '!A$618:J2757,5,0),"")</f>
        <v/>
      </c>
      <c r="G2431" s="387" t="str">
        <f ca="1">IFERROR(IF(VLOOKUP(C2431,' Disaggregation - Section E '!A$618:J2757,6,0)="","",VLOOKUP(C2431,' Disaggregation - Section E '!A$618:J2757,6,0)),"")</f>
        <v/>
      </c>
      <c r="H2431" s="387" t="str">
        <f ca="1">IFERROR(IF(INDEX(' Disaggregation - Section E '!F$618:F2757,MATCH(C2431,' Disaggregation - Section E '!A$618:A2757,0)+1,1)&lt;&gt;0,INDEX(' Disaggregation - Section E '!F$618:F2757,MATCH(C2431,' Disaggregation - Section E '!A$618:A2757,0)+1,1),""),"")</f>
        <v/>
      </c>
      <c r="I2431" s="388" t="str">
        <f ca="1">IFERROR(IF(VLOOKUP(C2431,' Disaggregation - Section E '!A$618:J2757,8,0)=0,"",VLOOKUP(C2431,' Disaggregation - Section E '!A$618:J2757,8,0)),"")</f>
        <v/>
      </c>
      <c r="J2431" s="388" t="str">
        <f ca="1">IFERROR(IF(VLOOKUP(C2431,' Disaggregation - Section E '!A$618:J2757,9,0)="","",VLOOKUP(C2431,' Disaggregation - Section E '!A$618:J2757,9,0)),"")</f>
        <v/>
      </c>
      <c r="K2431" s="384" t="str">
        <f ca="1">IFERROR(VLOOKUP(C2431,' Disaggregation - Section E '!A$618:J2757,3,0),"")</f>
        <v>TB/HIV-7.1 Percentage of people living with HIV currently enrolled on antiretroviral therapy who started TB preventive treatment (TPT) during the reporting period</v>
      </c>
      <c r="L2431" s="384"/>
      <c r="M2431" s="384" t="str">
        <f ca="1">IFERROR(IF(VLOOKUP(C2431,' Disaggregation - Section E '!A$618:O1560,15,0)=0,"",VLOOKUP(C2431,' Disaggregation - Section E '!A$618:O1560,15,0)),"")</f>
        <v/>
      </c>
      <c r="N2431" s="388" t="str">
        <f ca="1">IFERROR(IF(VLOOKUP(C2431,' Disaggregation - Section E '!A$618:J2757,10,0)=0,"",VLOOKUP(C2431,' Disaggregation - Section E '!A$618:J2757,10,0)),"")</f>
        <v/>
      </c>
      <c r="O2431" s="384"/>
    </row>
    <row r="2432" spans="1:15" x14ac:dyDescent="0.3">
      <c r="A2432" s="384" t="b">
        <f t="shared" ca="1" si="140"/>
        <v>0</v>
      </c>
      <c r="B2432" s="384"/>
      <c r="C2432" s="393" t="str">
        <f ca="1">IF(COUNTA(O$1493:O2432)=1,"",OFFSET(B2430,-COUNTA(O$1493:O2432)+3,1))</f>
        <v>a16Dm000000LZexIAG</v>
      </c>
      <c r="D2432" s="389"/>
      <c r="E2432" s="386" t="str">
        <f ca="1">IFERROR(IF(VLOOKUP(C2432,' Disaggregation - Section E '!A$618:J2758,7,0)="","",VLOOKUP(C2432,' Disaggregation - Section E '!A$618:J2758,7,0)*100),"")</f>
        <v/>
      </c>
      <c r="F2432" s="388" t="str">
        <f ca="1">IFERROR(VLOOKUP(C2432,' Disaggregation - Section E '!A$618:J2758,5,0),"")</f>
        <v/>
      </c>
      <c r="G2432" s="387" t="str">
        <f ca="1">IFERROR(IF(VLOOKUP(C2432,' Disaggregation - Section E '!A$618:J2758,6,0)="","",VLOOKUP(C2432,' Disaggregation - Section E '!A$618:J2758,6,0)),"")</f>
        <v/>
      </c>
      <c r="H2432" s="387" t="str">
        <f ca="1">IFERROR(IF(INDEX(' Disaggregation - Section E '!F$618:F2758,MATCH(C2432,' Disaggregation - Section E '!A$618:A2758,0)+1,1)&lt;&gt;0,INDEX(' Disaggregation - Section E '!F$618:F2758,MATCH(C2432,' Disaggregation - Section E '!A$618:A2758,0)+1,1),""),"")</f>
        <v/>
      </c>
      <c r="I2432" s="388" t="str">
        <f ca="1">IFERROR(IF(VLOOKUP(C2432,' Disaggregation - Section E '!A$618:J2758,8,0)=0,"",VLOOKUP(C2432,' Disaggregation - Section E '!A$618:J2758,8,0)),"")</f>
        <v/>
      </c>
      <c r="J2432" s="388" t="str">
        <f ca="1">IFERROR(IF(VLOOKUP(C2432,' Disaggregation - Section E '!A$618:J2758,9,0)="","",VLOOKUP(C2432,' Disaggregation - Section E '!A$618:J2758,9,0)),"")</f>
        <v/>
      </c>
      <c r="K2432" s="384" t="str">
        <f ca="1">IFERROR(VLOOKUP(C2432,' Disaggregation - Section E '!A$618:J2758,3,0),"")</f>
        <v>TB/HIV-7.1 Percentage of people living with HIV currently enrolled on antiretroviral therapy who started TB preventive treatment (TPT) during the reporting period</v>
      </c>
      <c r="L2432" s="384"/>
      <c r="M2432" s="384" t="str">
        <f ca="1">IFERROR(IF(VLOOKUP(C2432,' Disaggregation - Section E '!A$618:O1561,15,0)=0,"",VLOOKUP(C2432,' Disaggregation - Section E '!A$618:O1561,15,0)),"")</f>
        <v/>
      </c>
      <c r="N2432" s="388" t="str">
        <f ca="1">IFERROR(IF(VLOOKUP(C2432,' Disaggregation - Section E '!A$618:J2758,10,0)=0,"",VLOOKUP(C2432,' Disaggregation - Section E '!A$618:J2758,10,0)),"")</f>
        <v/>
      </c>
      <c r="O2432" s="384"/>
    </row>
    <row r="2433" spans="1:15" x14ac:dyDescent="0.3">
      <c r="A2433" s="384" t="b">
        <f t="shared" ca="1" si="140"/>
        <v>0</v>
      </c>
      <c r="B2433" s="384"/>
      <c r="C2433" s="393" t="str">
        <f ca="1">IF(COUNTA(O$1493:O2433)=1,"",OFFSET(B2431,-COUNTA(O$1493:O2433)+3,1))</f>
        <v>a16Dm000000LZeyIAG</v>
      </c>
      <c r="D2433" s="389"/>
      <c r="E2433" s="386" t="str">
        <f ca="1">IFERROR(IF(VLOOKUP(C2433,' Disaggregation - Section E '!A$618:J2759,7,0)="","",VLOOKUP(C2433,' Disaggregation - Section E '!A$618:J2759,7,0)*100),"")</f>
        <v/>
      </c>
      <c r="F2433" s="388" t="str">
        <f ca="1">IFERROR(VLOOKUP(C2433,' Disaggregation - Section E '!A$618:J2759,5,0),"")</f>
        <v/>
      </c>
      <c r="G2433" s="387" t="str">
        <f ca="1">IFERROR(IF(VLOOKUP(C2433,' Disaggregation - Section E '!A$618:J2759,6,0)="","",VLOOKUP(C2433,' Disaggregation - Section E '!A$618:J2759,6,0)),"")</f>
        <v/>
      </c>
      <c r="H2433" s="387" t="str">
        <f ca="1">IFERROR(IF(INDEX(' Disaggregation - Section E '!F$618:F2759,MATCH(C2433,' Disaggregation - Section E '!A$618:A2759,0)+1,1)&lt;&gt;0,INDEX(' Disaggregation - Section E '!F$618:F2759,MATCH(C2433,' Disaggregation - Section E '!A$618:A2759,0)+1,1),""),"")</f>
        <v/>
      </c>
      <c r="I2433" s="388" t="str">
        <f ca="1">IFERROR(IF(VLOOKUP(C2433,' Disaggregation - Section E '!A$618:J2759,8,0)=0,"",VLOOKUP(C2433,' Disaggregation - Section E '!A$618:J2759,8,0)),"")</f>
        <v/>
      </c>
      <c r="J2433" s="388" t="str">
        <f ca="1">IFERROR(IF(VLOOKUP(C2433,' Disaggregation - Section E '!A$618:J2759,9,0)="","",VLOOKUP(C2433,' Disaggregation - Section E '!A$618:J2759,9,0)),"")</f>
        <v/>
      </c>
      <c r="K2433" s="384" t="str">
        <f ca="1">IFERROR(VLOOKUP(C2433,' Disaggregation - Section E '!A$618:J2759,3,0),"")</f>
        <v>TB/HIV-7.1 Percentage of people living with HIV currently enrolled on antiretroviral therapy who started TB preventive treatment (TPT) during the reporting period</v>
      </c>
      <c r="L2433" s="384"/>
      <c r="M2433" s="384" t="str">
        <f ca="1">IFERROR(IF(VLOOKUP(C2433,' Disaggregation - Section E '!A$618:O1562,15,0)=0,"",VLOOKUP(C2433,' Disaggregation - Section E '!A$618:O1562,15,0)),"")</f>
        <v/>
      </c>
      <c r="N2433" s="388" t="str">
        <f ca="1">IFERROR(IF(VLOOKUP(C2433,' Disaggregation - Section E '!A$618:J2759,10,0)=0,"",VLOOKUP(C2433,' Disaggregation - Section E '!A$618:J2759,10,0)),"")</f>
        <v/>
      </c>
      <c r="O2433" s="384"/>
    </row>
    <row r="2434" spans="1:15" x14ac:dyDescent="0.3">
      <c r="A2434" s="384" t="b">
        <f t="shared" ca="1" si="140"/>
        <v>0</v>
      </c>
      <c r="B2434" s="384"/>
      <c r="C2434" s="393" t="str">
        <f ca="1">IF(COUNTA(O$1493:O2434)=1,"",OFFSET(B2432,-COUNTA(O$1493:O2434)+3,1))</f>
        <v>a16Dm000000LZezIAG</v>
      </c>
      <c r="D2434" s="389"/>
      <c r="E2434" s="386" t="str">
        <f ca="1">IFERROR(IF(VLOOKUP(C2434,' Disaggregation - Section E '!A$618:J2760,7,0)="","",VLOOKUP(C2434,' Disaggregation - Section E '!A$618:J2760,7,0)*100),"")</f>
        <v/>
      </c>
      <c r="F2434" s="388" t="str">
        <f ca="1">IFERROR(VLOOKUP(C2434,' Disaggregation - Section E '!A$618:J2760,5,0),"")</f>
        <v/>
      </c>
      <c r="G2434" s="387" t="str">
        <f ca="1">IFERROR(IF(VLOOKUP(C2434,' Disaggregation - Section E '!A$618:J2760,6,0)="","",VLOOKUP(C2434,' Disaggregation - Section E '!A$618:J2760,6,0)),"")</f>
        <v/>
      </c>
      <c r="H2434" s="387" t="str">
        <f ca="1">IFERROR(IF(INDEX(' Disaggregation - Section E '!F$618:F2760,MATCH(C2434,' Disaggregation - Section E '!A$618:A2760,0)+1,1)&lt;&gt;0,INDEX(' Disaggregation - Section E '!F$618:F2760,MATCH(C2434,' Disaggregation - Section E '!A$618:A2760,0)+1,1),""),"")</f>
        <v/>
      </c>
      <c r="I2434" s="388" t="str">
        <f ca="1">IFERROR(IF(VLOOKUP(C2434,' Disaggregation - Section E '!A$618:J2760,8,0)=0,"",VLOOKUP(C2434,' Disaggregation - Section E '!A$618:J2760,8,0)),"")</f>
        <v/>
      </c>
      <c r="J2434" s="388" t="str">
        <f ca="1">IFERROR(IF(VLOOKUP(C2434,' Disaggregation - Section E '!A$618:J2760,9,0)="","",VLOOKUP(C2434,' Disaggregation - Section E '!A$618:J2760,9,0)),"")</f>
        <v/>
      </c>
      <c r="K2434" s="384" t="str">
        <f ca="1">IFERROR(VLOOKUP(C2434,' Disaggregation - Section E '!A$618:J2760,3,0),"")</f>
        <v>TB/HIV-7.1 Percentage of people living with HIV currently enrolled on antiretroviral therapy who started TB preventive treatment (TPT) during the reporting period</v>
      </c>
      <c r="L2434" s="384"/>
      <c r="M2434" s="384" t="str">
        <f ca="1">IFERROR(IF(VLOOKUP(C2434,' Disaggregation - Section E '!A$618:O1563,15,0)=0,"",VLOOKUP(C2434,' Disaggregation - Section E '!A$618:O1563,15,0)),"")</f>
        <v/>
      </c>
      <c r="N2434" s="388" t="str">
        <f ca="1">IFERROR(IF(VLOOKUP(C2434,' Disaggregation - Section E '!A$618:J2760,10,0)=0,"",VLOOKUP(C2434,' Disaggregation - Section E '!A$618:J2760,10,0)),"")</f>
        <v/>
      </c>
      <c r="O2434" s="384"/>
    </row>
    <row r="2435" spans="1:15" x14ac:dyDescent="0.3">
      <c r="A2435" s="384" t="b">
        <f t="shared" ca="1" si="140"/>
        <v>0</v>
      </c>
      <c r="B2435" s="384"/>
      <c r="C2435" s="393" t="str">
        <f ca="1">IF(COUNTA(O$1493:O2435)=1,"",OFFSET(B2433,-COUNTA(O$1493:O2435)+3,1))</f>
        <v>a16Dm000000LZf0IAG</v>
      </c>
      <c r="D2435" s="389"/>
      <c r="E2435" s="386" t="str">
        <f ca="1">IFERROR(IF(VLOOKUP(C2435,' Disaggregation - Section E '!A$618:J2761,7,0)="","",VLOOKUP(C2435,' Disaggregation - Section E '!A$618:J2761,7,0)*100),"")</f>
        <v/>
      </c>
      <c r="F2435" s="388" t="str">
        <f ca="1">IFERROR(VLOOKUP(C2435,' Disaggregation - Section E '!A$618:J2761,5,0),"")</f>
        <v/>
      </c>
      <c r="G2435" s="387" t="str">
        <f ca="1">IFERROR(IF(VLOOKUP(C2435,' Disaggregation - Section E '!A$618:J2761,6,0)="","",VLOOKUP(C2435,' Disaggregation - Section E '!A$618:J2761,6,0)),"")</f>
        <v/>
      </c>
      <c r="H2435" s="387" t="str">
        <f ca="1">IFERROR(IF(INDEX(' Disaggregation - Section E '!F$618:F2761,MATCH(C2435,' Disaggregation - Section E '!A$618:A2761,0)+1,1)&lt;&gt;0,INDEX(' Disaggregation - Section E '!F$618:F2761,MATCH(C2435,' Disaggregation - Section E '!A$618:A2761,0)+1,1),""),"")</f>
        <v/>
      </c>
      <c r="I2435" s="388" t="str">
        <f ca="1">IFERROR(IF(VLOOKUP(C2435,' Disaggregation - Section E '!A$618:J2761,8,0)=0,"",VLOOKUP(C2435,' Disaggregation - Section E '!A$618:J2761,8,0)),"")</f>
        <v/>
      </c>
      <c r="J2435" s="388" t="str">
        <f ca="1">IFERROR(IF(VLOOKUP(C2435,' Disaggregation - Section E '!A$618:J2761,9,0)="","",VLOOKUP(C2435,' Disaggregation - Section E '!A$618:J2761,9,0)),"")</f>
        <v/>
      </c>
      <c r="K2435" s="384" t="str">
        <f ca="1">IFERROR(VLOOKUP(C2435,' Disaggregation - Section E '!A$618:J2761,3,0),"")</f>
        <v>HTS-6 Number of individual HIV self-test kits distributed</v>
      </c>
      <c r="L2435" s="384"/>
      <c r="M2435" s="384" t="str">
        <f ca="1">IFERROR(IF(VLOOKUP(C2435,' Disaggregation - Section E '!A$618:O1564,15,0)=0,"",VLOOKUP(C2435,' Disaggregation - Section E '!A$618:O1564,15,0)),"")</f>
        <v/>
      </c>
      <c r="N2435" s="388" t="str">
        <f ca="1">IFERROR(IF(VLOOKUP(C2435,' Disaggregation - Section E '!A$618:J2761,10,0)=0,"",VLOOKUP(C2435,' Disaggregation - Section E '!A$618:J2761,10,0)),"")</f>
        <v/>
      </c>
      <c r="O2435" s="384"/>
    </row>
    <row r="2436" spans="1:15" x14ac:dyDescent="0.3">
      <c r="A2436" s="384" t="b">
        <f t="shared" ca="1" si="140"/>
        <v>0</v>
      </c>
      <c r="B2436" s="384"/>
      <c r="C2436" s="393" t="str">
        <f ca="1">IF(COUNTA(O$1493:O2436)=1,"",OFFSET(B2434,-COUNTA(O$1493:O2436)+3,1))</f>
        <v>a16Dm000000LZf1IAG</v>
      </c>
      <c r="D2436" s="389"/>
      <c r="E2436" s="386" t="str">
        <f ca="1">IFERROR(IF(VLOOKUP(C2436,' Disaggregation - Section E '!A$618:J2762,7,0)="","",VLOOKUP(C2436,' Disaggregation - Section E '!A$618:J2762,7,0)*100),"")</f>
        <v/>
      </c>
      <c r="F2436" s="388" t="str">
        <f ca="1">IFERROR(VLOOKUP(C2436,' Disaggregation - Section E '!A$618:J2762,5,0),"")</f>
        <v/>
      </c>
      <c r="G2436" s="387" t="str">
        <f ca="1">IFERROR(IF(VLOOKUP(C2436,' Disaggregation - Section E '!A$618:J2762,6,0)="","",VLOOKUP(C2436,' Disaggregation - Section E '!A$618:J2762,6,0)),"")</f>
        <v/>
      </c>
      <c r="H2436" s="387" t="str">
        <f ca="1">IFERROR(IF(INDEX(' Disaggregation - Section E '!F$618:F2762,MATCH(C2436,' Disaggregation - Section E '!A$618:A2762,0)+1,1)&lt;&gt;0,INDEX(' Disaggregation - Section E '!F$618:F2762,MATCH(C2436,' Disaggregation - Section E '!A$618:A2762,0)+1,1),""),"")</f>
        <v/>
      </c>
      <c r="I2436" s="388" t="str">
        <f ca="1">IFERROR(IF(VLOOKUP(C2436,' Disaggregation - Section E '!A$618:J2762,8,0)=0,"",VLOOKUP(C2436,' Disaggregation - Section E '!A$618:J2762,8,0)),"")</f>
        <v/>
      </c>
      <c r="J2436" s="388" t="str">
        <f ca="1">IFERROR(IF(VLOOKUP(C2436,' Disaggregation - Section E '!A$618:J2762,9,0)="","",VLOOKUP(C2436,' Disaggregation - Section E '!A$618:J2762,9,0)),"")</f>
        <v/>
      </c>
      <c r="K2436" s="384" t="str">
        <f ca="1">IFERROR(VLOOKUP(C2436,' Disaggregation - Section E '!A$618:J2762,3,0),"")</f>
        <v>HTS-6 Number of individual HIV self-test kits distributed</v>
      </c>
      <c r="L2436" s="384"/>
      <c r="M2436" s="384" t="str">
        <f ca="1">IFERROR(IF(VLOOKUP(C2436,' Disaggregation - Section E '!A$618:O1565,15,0)=0,"",VLOOKUP(C2436,' Disaggregation - Section E '!A$618:O1565,15,0)),"")</f>
        <v/>
      </c>
      <c r="N2436" s="388" t="str">
        <f ca="1">IFERROR(IF(VLOOKUP(C2436,' Disaggregation - Section E '!A$618:J2762,10,0)=0,"",VLOOKUP(C2436,' Disaggregation - Section E '!A$618:J2762,10,0)),"")</f>
        <v/>
      </c>
      <c r="O2436" s="384"/>
    </row>
    <row r="2437" spans="1:15" x14ac:dyDescent="0.3">
      <c r="A2437" s="384" t="b">
        <f t="shared" ca="1" si="140"/>
        <v>0</v>
      </c>
      <c r="B2437" s="384"/>
      <c r="C2437" s="393" t="str">
        <f ca="1">IF(COUNTA(O$1493:O2437)=1,"",OFFSET(B2435,-COUNTA(O$1493:O2437)+3,1))</f>
        <v>a16Dm000000LZf2IAG</v>
      </c>
      <c r="D2437" s="389"/>
      <c r="E2437" s="386" t="str">
        <f ca="1">IFERROR(IF(VLOOKUP(C2437,' Disaggregation - Section E '!A$618:J2763,7,0)="","",VLOOKUP(C2437,' Disaggregation - Section E '!A$618:J2763,7,0)*100),"")</f>
        <v/>
      </c>
      <c r="F2437" s="388" t="str">
        <f ca="1">IFERROR(VLOOKUP(C2437,' Disaggregation - Section E '!A$618:J2763,5,0),"")</f>
        <v/>
      </c>
      <c r="G2437" s="387" t="str">
        <f ca="1">IFERROR(IF(VLOOKUP(C2437,' Disaggregation - Section E '!A$618:J2763,6,0)="","",VLOOKUP(C2437,' Disaggregation - Section E '!A$618:J2763,6,0)),"")</f>
        <v/>
      </c>
      <c r="H2437" s="387" t="str">
        <f ca="1">IFERROR(IF(INDEX(' Disaggregation - Section E '!F$618:F2763,MATCH(C2437,' Disaggregation - Section E '!A$618:A2763,0)+1,1)&lt;&gt;0,INDEX(' Disaggregation - Section E '!F$618:F2763,MATCH(C2437,' Disaggregation - Section E '!A$618:A2763,0)+1,1),""),"")</f>
        <v/>
      </c>
      <c r="I2437" s="388" t="str">
        <f ca="1">IFERROR(IF(VLOOKUP(C2437,' Disaggregation - Section E '!A$618:J2763,8,0)=0,"",VLOOKUP(C2437,' Disaggregation - Section E '!A$618:J2763,8,0)),"")</f>
        <v/>
      </c>
      <c r="J2437" s="388" t="str">
        <f ca="1">IFERROR(IF(VLOOKUP(C2437,' Disaggregation - Section E '!A$618:J2763,9,0)="","",VLOOKUP(C2437,' Disaggregation - Section E '!A$618:J2763,9,0)),"")</f>
        <v/>
      </c>
      <c r="K2437" s="384" t="str">
        <f ca="1">IFERROR(VLOOKUP(C2437,' Disaggregation - Section E '!A$618:J2763,3,0),"")</f>
        <v>HTS-6 Number of individual HIV self-test kits distributed</v>
      </c>
      <c r="L2437" s="384"/>
      <c r="M2437" s="384" t="str">
        <f ca="1">IFERROR(IF(VLOOKUP(C2437,' Disaggregation - Section E '!A$618:O1566,15,0)=0,"",VLOOKUP(C2437,' Disaggregation - Section E '!A$618:O1566,15,0)),"")</f>
        <v/>
      </c>
      <c r="N2437" s="388" t="str">
        <f ca="1">IFERROR(IF(VLOOKUP(C2437,' Disaggregation - Section E '!A$618:J2763,10,0)=0,"",VLOOKUP(C2437,' Disaggregation - Section E '!A$618:J2763,10,0)),"")</f>
        <v/>
      </c>
      <c r="O2437" s="384"/>
    </row>
    <row r="2438" spans="1:15" x14ac:dyDescent="0.3">
      <c r="A2438" s="384" t="b">
        <f t="shared" ca="1" si="140"/>
        <v>0</v>
      </c>
      <c r="B2438" s="384"/>
      <c r="C2438" s="393" t="str">
        <f ca="1">IF(COUNTA(O$1493:O2438)=1,"",OFFSET(B2436,-COUNTA(O$1493:O2438)+3,1))</f>
        <v>a16Dm000000LZf3IAG</v>
      </c>
      <c r="D2438" s="389"/>
      <c r="E2438" s="386" t="str">
        <f ca="1">IFERROR(IF(VLOOKUP(C2438,' Disaggregation - Section E '!A$618:J2764,7,0)="","",VLOOKUP(C2438,' Disaggregation - Section E '!A$618:J2764,7,0)*100),"")</f>
        <v/>
      </c>
      <c r="F2438" s="388" t="str">
        <f ca="1">IFERROR(VLOOKUP(C2438,' Disaggregation - Section E '!A$618:J2764,5,0),"")</f>
        <v/>
      </c>
      <c r="G2438" s="387" t="str">
        <f ca="1">IFERROR(IF(VLOOKUP(C2438,' Disaggregation - Section E '!A$618:J2764,6,0)="","",VLOOKUP(C2438,' Disaggregation - Section E '!A$618:J2764,6,0)),"")</f>
        <v/>
      </c>
      <c r="H2438" s="387" t="str">
        <f ca="1">IFERROR(IF(INDEX(' Disaggregation - Section E '!F$618:F2764,MATCH(C2438,' Disaggregation - Section E '!A$618:A2764,0)+1,1)&lt;&gt;0,INDEX(' Disaggregation - Section E '!F$618:F2764,MATCH(C2438,' Disaggregation - Section E '!A$618:A2764,0)+1,1),""),"")</f>
        <v/>
      </c>
      <c r="I2438" s="388" t="str">
        <f ca="1">IFERROR(IF(VLOOKUP(C2438,' Disaggregation - Section E '!A$618:J2764,8,0)=0,"",VLOOKUP(C2438,' Disaggregation - Section E '!A$618:J2764,8,0)),"")</f>
        <v/>
      </c>
      <c r="J2438" s="388" t="str">
        <f ca="1">IFERROR(IF(VLOOKUP(C2438,' Disaggregation - Section E '!A$618:J2764,9,0)="","",VLOOKUP(C2438,' Disaggregation - Section E '!A$618:J2764,9,0)),"")</f>
        <v/>
      </c>
      <c r="K2438" s="384" t="str">
        <f ca="1">IFERROR(VLOOKUP(C2438,' Disaggregation - Section E '!A$618:J2764,3,0),"")</f>
        <v>HTS-6 Number of individual HIV self-test kits distributed</v>
      </c>
      <c r="L2438" s="384"/>
      <c r="M2438" s="384" t="str">
        <f ca="1">IFERROR(IF(VLOOKUP(C2438,' Disaggregation - Section E '!A$618:O1567,15,0)=0,"",VLOOKUP(C2438,' Disaggregation - Section E '!A$618:O1567,15,0)),"")</f>
        <v/>
      </c>
      <c r="N2438" s="388" t="str">
        <f ca="1">IFERROR(IF(VLOOKUP(C2438,' Disaggregation - Section E '!A$618:J2764,10,0)=0,"",VLOOKUP(C2438,' Disaggregation - Section E '!A$618:J2764,10,0)),"")</f>
        <v/>
      </c>
      <c r="O2438" s="384"/>
    </row>
    <row r="2439" spans="1:15" x14ac:dyDescent="0.3">
      <c r="A2439" s="384" t="b">
        <f t="shared" ca="1" si="140"/>
        <v>0</v>
      </c>
      <c r="B2439" s="384"/>
      <c r="C2439" s="393" t="str">
        <f ca="1">IF(COUNTA(O$1493:O2439)=1,"",OFFSET(B2437,-COUNTA(O$1493:O2439)+3,1))</f>
        <v>a16Dm000000LZf4IAG</v>
      </c>
      <c r="D2439" s="389"/>
      <c r="E2439" s="386" t="str">
        <f ca="1">IFERROR(IF(VLOOKUP(C2439,' Disaggregation - Section E '!A$618:J2765,7,0)="","",VLOOKUP(C2439,' Disaggregation - Section E '!A$618:J2765,7,0)*100),"")</f>
        <v/>
      </c>
      <c r="F2439" s="388" t="str">
        <f ca="1">IFERROR(VLOOKUP(C2439,' Disaggregation - Section E '!A$618:J2765,5,0),"")</f>
        <v/>
      </c>
      <c r="G2439" s="387" t="str">
        <f ca="1">IFERROR(IF(VLOOKUP(C2439,' Disaggregation - Section E '!A$618:J2765,6,0)="","",VLOOKUP(C2439,' Disaggregation - Section E '!A$618:J2765,6,0)),"")</f>
        <v/>
      </c>
      <c r="H2439" s="387" t="str">
        <f ca="1">IFERROR(IF(INDEX(' Disaggregation - Section E '!F$618:F2765,MATCH(C2439,' Disaggregation - Section E '!A$618:A2765,0)+1,1)&lt;&gt;0,INDEX(' Disaggregation - Section E '!F$618:F2765,MATCH(C2439,' Disaggregation - Section E '!A$618:A2765,0)+1,1),""),"")</f>
        <v/>
      </c>
      <c r="I2439" s="388" t="str">
        <f ca="1">IFERROR(IF(VLOOKUP(C2439,' Disaggregation - Section E '!A$618:J2765,8,0)=0,"",VLOOKUP(C2439,' Disaggregation - Section E '!A$618:J2765,8,0)),"")</f>
        <v/>
      </c>
      <c r="J2439" s="388" t="str">
        <f ca="1">IFERROR(IF(VLOOKUP(C2439,' Disaggregation - Section E '!A$618:J2765,9,0)="","",VLOOKUP(C2439,' Disaggregation - Section E '!A$618:J2765,9,0)),"")</f>
        <v/>
      </c>
      <c r="K2439" s="384" t="str">
        <f ca="1">IFERROR(VLOOKUP(C2439,' Disaggregation - Section E '!A$618:J2765,3,0),"")</f>
        <v>HTS-6 Number of individual HIV self-test kits distributed</v>
      </c>
      <c r="L2439" s="384"/>
      <c r="M2439" s="384" t="str">
        <f ca="1">IFERROR(IF(VLOOKUP(C2439,' Disaggregation - Section E '!A$618:O1568,15,0)=0,"",VLOOKUP(C2439,' Disaggregation - Section E '!A$618:O1568,15,0)),"")</f>
        <v/>
      </c>
      <c r="N2439" s="388" t="str">
        <f ca="1">IFERROR(IF(VLOOKUP(C2439,' Disaggregation - Section E '!A$618:J2765,10,0)=0,"",VLOOKUP(C2439,' Disaggregation - Section E '!A$618:J2765,10,0)),"")</f>
        <v/>
      </c>
      <c r="O2439" s="384"/>
    </row>
    <row r="2440" spans="1:15" x14ac:dyDescent="0.3">
      <c r="A2440" s="384" t="b">
        <f t="shared" ca="1" si="140"/>
        <v>0</v>
      </c>
      <c r="B2440" s="384"/>
      <c r="C2440" s="393" t="str">
        <f ca="1">IF(COUNTA(O$1493:O2440)=1,"",OFFSET(B2438,-COUNTA(O$1493:O2440)+3,1))</f>
        <v>a16Dm000000LZf5IAG</v>
      </c>
      <c r="D2440" s="389"/>
      <c r="E2440" s="386" t="str">
        <f ca="1">IFERROR(IF(VLOOKUP(C2440,' Disaggregation - Section E '!A$618:J2766,7,0)="","",VLOOKUP(C2440,' Disaggregation - Section E '!A$618:J2766,7,0)*100),"")</f>
        <v/>
      </c>
      <c r="F2440" s="388" t="str">
        <f ca="1">IFERROR(VLOOKUP(C2440,' Disaggregation - Section E '!A$618:J2766,5,0),"")</f>
        <v/>
      </c>
      <c r="G2440" s="387" t="str">
        <f ca="1">IFERROR(IF(VLOOKUP(C2440,' Disaggregation - Section E '!A$618:J2766,6,0)="","",VLOOKUP(C2440,' Disaggregation - Section E '!A$618:J2766,6,0)),"")</f>
        <v/>
      </c>
      <c r="H2440" s="387" t="str">
        <f ca="1">IFERROR(IF(INDEX(' Disaggregation - Section E '!F$618:F2766,MATCH(C2440,' Disaggregation - Section E '!A$618:A2766,0)+1,1)&lt;&gt;0,INDEX(' Disaggregation - Section E '!F$618:F2766,MATCH(C2440,' Disaggregation - Section E '!A$618:A2766,0)+1,1),""),"")</f>
        <v/>
      </c>
      <c r="I2440" s="388" t="str">
        <f ca="1">IFERROR(IF(VLOOKUP(C2440,' Disaggregation - Section E '!A$618:J2766,8,0)=0,"",VLOOKUP(C2440,' Disaggregation - Section E '!A$618:J2766,8,0)),"")</f>
        <v/>
      </c>
      <c r="J2440" s="388" t="str">
        <f ca="1">IFERROR(IF(VLOOKUP(C2440,' Disaggregation - Section E '!A$618:J2766,9,0)="","",VLOOKUP(C2440,' Disaggregation - Section E '!A$618:J2766,9,0)),"")</f>
        <v/>
      </c>
      <c r="K2440" s="384" t="str">
        <f ca="1">IFERROR(VLOOKUP(C2440,' Disaggregation - Section E '!A$618:J2766,3,0),"")</f>
        <v>HTS-6 Number of individual HIV self-test kits distributed</v>
      </c>
      <c r="L2440" s="384"/>
      <c r="M2440" s="384" t="str">
        <f ca="1">IFERROR(IF(VLOOKUP(C2440,' Disaggregation - Section E '!A$618:O1569,15,0)=0,"",VLOOKUP(C2440,' Disaggregation - Section E '!A$618:O1569,15,0)),"")</f>
        <v/>
      </c>
      <c r="N2440" s="388" t="str">
        <f ca="1">IFERROR(IF(VLOOKUP(C2440,' Disaggregation - Section E '!A$618:J2766,10,0)=0,"",VLOOKUP(C2440,' Disaggregation - Section E '!A$618:J2766,10,0)),"")</f>
        <v/>
      </c>
      <c r="O2440" s="384"/>
    </row>
    <row r="2441" spans="1:15" x14ac:dyDescent="0.3">
      <c r="A2441" s="384" t="b">
        <f t="shared" ca="1" si="140"/>
        <v>0</v>
      </c>
      <c r="B2441" s="384"/>
      <c r="C2441" s="393" t="str">
        <f ca="1">IF(COUNTA(O$1493:O2441)=1,"",OFFSET(B2439,-COUNTA(O$1493:O2441)+3,1))</f>
        <v>a16Dm000000LZf6IAG</v>
      </c>
      <c r="D2441" s="389"/>
      <c r="E2441" s="386" t="str">
        <f ca="1">IFERROR(IF(VLOOKUP(C2441,' Disaggregation - Section E '!A$618:J2767,7,0)="","",VLOOKUP(C2441,' Disaggregation - Section E '!A$618:J2767,7,0)*100),"")</f>
        <v/>
      </c>
      <c r="F2441" s="388" t="str">
        <f ca="1">IFERROR(VLOOKUP(C2441,' Disaggregation - Section E '!A$618:J2767,5,0),"")</f>
        <v/>
      </c>
      <c r="G2441" s="387" t="str">
        <f ca="1">IFERROR(IF(VLOOKUP(C2441,' Disaggregation - Section E '!A$618:J2767,6,0)="","",VLOOKUP(C2441,' Disaggregation - Section E '!A$618:J2767,6,0)),"")</f>
        <v/>
      </c>
      <c r="H2441" s="387" t="str">
        <f ca="1">IFERROR(IF(INDEX(' Disaggregation - Section E '!F$618:F2767,MATCH(C2441,' Disaggregation - Section E '!A$618:A2767,0)+1,1)&lt;&gt;0,INDEX(' Disaggregation - Section E '!F$618:F2767,MATCH(C2441,' Disaggregation - Section E '!A$618:A2767,0)+1,1),""),"")</f>
        <v/>
      </c>
      <c r="I2441" s="388" t="str">
        <f ca="1">IFERROR(IF(VLOOKUP(C2441,' Disaggregation - Section E '!A$618:J2767,8,0)=0,"",VLOOKUP(C2441,' Disaggregation - Section E '!A$618:J2767,8,0)),"")</f>
        <v/>
      </c>
      <c r="J2441" s="388" t="str">
        <f ca="1">IFERROR(IF(VLOOKUP(C2441,' Disaggregation - Section E '!A$618:J2767,9,0)="","",VLOOKUP(C2441,' Disaggregation - Section E '!A$618:J2767,9,0)),"")</f>
        <v/>
      </c>
      <c r="K2441" s="384" t="str">
        <f ca="1">IFERROR(VLOOKUP(C2441,' Disaggregation - Section E '!A$618:J2767,3,0),"")</f>
        <v>HTS-6 Number of individual HIV self-test kits distributed</v>
      </c>
      <c r="L2441" s="384"/>
      <c r="M2441" s="384" t="str">
        <f ca="1">IFERROR(IF(VLOOKUP(C2441,' Disaggregation - Section E '!A$618:O1570,15,0)=0,"",VLOOKUP(C2441,' Disaggregation - Section E '!A$618:O1570,15,0)),"")</f>
        <v/>
      </c>
      <c r="N2441" s="388" t="str">
        <f ca="1">IFERROR(IF(VLOOKUP(C2441,' Disaggregation - Section E '!A$618:J2767,10,0)=0,"",VLOOKUP(C2441,' Disaggregation - Section E '!A$618:J2767,10,0)),"")</f>
        <v/>
      </c>
      <c r="O2441" s="384"/>
    </row>
    <row r="2442" spans="1:15" x14ac:dyDescent="0.3">
      <c r="A2442" s="384" t="b">
        <f t="shared" ca="1" si="140"/>
        <v>0</v>
      </c>
      <c r="B2442" s="384"/>
      <c r="C2442" s="393" t="str">
        <f ca="1">IF(COUNTA(O$1493:O2442)=1,"",OFFSET(B2440,-COUNTA(O$1493:O2442)+3,1))</f>
        <v>a16Dm000000LZf7IAG</v>
      </c>
      <c r="D2442" s="389"/>
      <c r="E2442" s="386" t="str">
        <f ca="1">IFERROR(IF(VLOOKUP(C2442,' Disaggregation - Section E '!A$618:J2768,7,0)="","",VLOOKUP(C2442,' Disaggregation - Section E '!A$618:J2768,7,0)*100),"")</f>
        <v/>
      </c>
      <c r="F2442" s="388" t="str">
        <f ca="1">IFERROR(VLOOKUP(C2442,' Disaggregation - Section E '!A$618:J2768,5,0),"")</f>
        <v/>
      </c>
      <c r="G2442" s="387" t="str">
        <f ca="1">IFERROR(IF(VLOOKUP(C2442,' Disaggregation - Section E '!A$618:J2768,6,0)="","",VLOOKUP(C2442,' Disaggregation - Section E '!A$618:J2768,6,0)),"")</f>
        <v/>
      </c>
      <c r="H2442" s="387" t="str">
        <f ca="1">IFERROR(IF(INDEX(' Disaggregation - Section E '!F$618:F2768,MATCH(C2442,' Disaggregation - Section E '!A$618:A2768,0)+1,1)&lt;&gt;0,INDEX(' Disaggregation - Section E '!F$618:F2768,MATCH(C2442,' Disaggregation - Section E '!A$618:A2768,0)+1,1),""),"")</f>
        <v/>
      </c>
      <c r="I2442" s="388" t="str">
        <f ca="1">IFERROR(IF(VLOOKUP(C2442,' Disaggregation - Section E '!A$618:J2768,8,0)=0,"",VLOOKUP(C2442,' Disaggregation - Section E '!A$618:J2768,8,0)),"")</f>
        <v/>
      </c>
      <c r="J2442" s="388" t="str">
        <f ca="1">IFERROR(IF(VLOOKUP(C2442,' Disaggregation - Section E '!A$618:J2768,9,0)="","",VLOOKUP(C2442,' Disaggregation - Section E '!A$618:J2768,9,0)),"")</f>
        <v/>
      </c>
      <c r="K2442" s="384" t="str">
        <f ca="1">IFERROR(VLOOKUP(C2442,' Disaggregation - Section E '!A$618:J2768,3,0),"")</f>
        <v>HTS-6 Number of individual HIV self-test kits distributed</v>
      </c>
      <c r="L2442" s="384"/>
      <c r="M2442" s="384" t="str">
        <f ca="1">IFERROR(IF(VLOOKUP(C2442,' Disaggregation - Section E '!A$618:O1571,15,0)=0,"",VLOOKUP(C2442,' Disaggregation - Section E '!A$618:O1571,15,0)),"")</f>
        <v/>
      </c>
      <c r="N2442" s="388" t="str">
        <f ca="1">IFERROR(IF(VLOOKUP(C2442,' Disaggregation - Section E '!A$618:J2768,10,0)=0,"",VLOOKUP(C2442,' Disaggregation - Section E '!A$618:J2768,10,0)),"")</f>
        <v/>
      </c>
      <c r="O2442" s="384"/>
    </row>
    <row r="2443" spans="1:15" x14ac:dyDescent="0.3">
      <c r="A2443" s="384" t="b">
        <f t="shared" ca="1" si="140"/>
        <v>0</v>
      </c>
      <c r="B2443" s="384"/>
      <c r="C2443" s="393" t="str">
        <f ca="1">IF(COUNTA(O$1493:O2443)=1,"",OFFSET(B2441,-COUNTA(O$1493:O2443)+3,1))</f>
        <v>a16Dm000000LZf8IAG</v>
      </c>
      <c r="D2443" s="389"/>
      <c r="E2443" s="386" t="str">
        <f ca="1">IFERROR(IF(VLOOKUP(C2443,' Disaggregation - Section E '!A$618:J2769,7,0)="","",VLOOKUP(C2443,' Disaggregation - Section E '!A$618:J2769,7,0)*100),"")</f>
        <v/>
      </c>
      <c r="F2443" s="388" t="str">
        <f ca="1">IFERROR(VLOOKUP(C2443,' Disaggregation - Section E '!A$618:J2769,5,0),"")</f>
        <v/>
      </c>
      <c r="G2443" s="387" t="str">
        <f ca="1">IFERROR(IF(VLOOKUP(C2443,' Disaggregation - Section E '!A$618:J2769,6,0)="","",VLOOKUP(C2443,' Disaggregation - Section E '!A$618:J2769,6,0)),"")</f>
        <v/>
      </c>
      <c r="H2443" s="387" t="str">
        <f ca="1">IFERROR(IF(INDEX(' Disaggregation - Section E '!F$618:F2769,MATCH(C2443,' Disaggregation - Section E '!A$618:A2769,0)+1,1)&lt;&gt;0,INDEX(' Disaggregation - Section E '!F$618:F2769,MATCH(C2443,' Disaggregation - Section E '!A$618:A2769,0)+1,1),""),"")</f>
        <v/>
      </c>
      <c r="I2443" s="388" t="str">
        <f ca="1">IFERROR(IF(VLOOKUP(C2443,' Disaggregation - Section E '!A$618:J2769,8,0)=0,"",VLOOKUP(C2443,' Disaggregation - Section E '!A$618:J2769,8,0)),"")</f>
        <v/>
      </c>
      <c r="J2443" s="388" t="str">
        <f ca="1">IFERROR(IF(VLOOKUP(C2443,' Disaggregation - Section E '!A$618:J2769,9,0)="","",VLOOKUP(C2443,' Disaggregation - Section E '!A$618:J2769,9,0)),"")</f>
        <v/>
      </c>
      <c r="K2443" s="384" t="str">
        <f ca="1">IFERROR(VLOOKUP(C2443,' Disaggregation - Section E '!A$618:J2769,3,0),"")</f>
        <v>HTS-6 Number of individual HIV self-test kits distributed</v>
      </c>
      <c r="L2443" s="384"/>
      <c r="M2443" s="384" t="str">
        <f ca="1">IFERROR(IF(VLOOKUP(C2443,' Disaggregation - Section E '!A$618:O1572,15,0)=0,"",VLOOKUP(C2443,' Disaggregation - Section E '!A$618:O1572,15,0)),"")</f>
        <v/>
      </c>
      <c r="N2443" s="388" t="str">
        <f ca="1">IFERROR(IF(VLOOKUP(C2443,' Disaggregation - Section E '!A$618:J2769,10,0)=0,"",VLOOKUP(C2443,' Disaggregation - Section E '!A$618:J2769,10,0)),"")</f>
        <v/>
      </c>
      <c r="O2443" s="384"/>
    </row>
    <row r="2444" spans="1:15" x14ac:dyDescent="0.3">
      <c r="A2444" s="384" t="b">
        <f t="shared" ca="1" si="140"/>
        <v>0</v>
      </c>
      <c r="B2444" s="384"/>
      <c r="C2444" s="393" t="str">
        <f ca="1">IF(COUNTA(O$1493:O2444)=1,"",OFFSET(B2442,-COUNTA(O$1493:O2444)+3,1))</f>
        <v>a16Dm000000LZf9IAG</v>
      </c>
      <c r="D2444" s="389"/>
      <c r="E2444" s="386" t="str">
        <f ca="1">IFERROR(IF(VLOOKUP(C2444,' Disaggregation - Section E '!A$618:J2770,7,0)="","",VLOOKUP(C2444,' Disaggregation - Section E '!A$618:J2770,7,0)*100),"")</f>
        <v/>
      </c>
      <c r="F2444" s="388" t="str">
        <f ca="1">IFERROR(VLOOKUP(C2444,' Disaggregation - Section E '!A$618:J2770,5,0),"")</f>
        <v/>
      </c>
      <c r="G2444" s="387" t="str">
        <f ca="1">IFERROR(IF(VLOOKUP(C2444,' Disaggregation - Section E '!A$618:J2770,6,0)="","",VLOOKUP(C2444,' Disaggregation - Section E '!A$618:J2770,6,0)),"")</f>
        <v/>
      </c>
      <c r="H2444" s="387" t="str">
        <f ca="1">IFERROR(IF(INDEX(' Disaggregation - Section E '!F$618:F2770,MATCH(C2444,' Disaggregation - Section E '!A$618:A2770,0)+1,1)&lt;&gt;0,INDEX(' Disaggregation - Section E '!F$618:F2770,MATCH(C2444,' Disaggregation - Section E '!A$618:A2770,0)+1,1),""),"")</f>
        <v/>
      </c>
      <c r="I2444" s="388" t="str">
        <f ca="1">IFERROR(IF(VLOOKUP(C2444,' Disaggregation - Section E '!A$618:J2770,8,0)=0,"",VLOOKUP(C2444,' Disaggregation - Section E '!A$618:J2770,8,0)),"")</f>
        <v/>
      </c>
      <c r="J2444" s="388" t="str">
        <f ca="1">IFERROR(IF(VLOOKUP(C2444,' Disaggregation - Section E '!A$618:J2770,9,0)="","",VLOOKUP(C2444,' Disaggregation - Section E '!A$618:J2770,9,0)),"")</f>
        <v/>
      </c>
      <c r="K2444" s="384" t="str">
        <f ca="1">IFERROR(VLOOKUP(C2444,' Disaggregation - Section E '!A$618:J2770,3,0),"")</f>
        <v>HTS-6 Number of individual HIV self-test kits distributed</v>
      </c>
      <c r="L2444" s="384"/>
      <c r="M2444" s="384" t="str">
        <f ca="1">IFERROR(IF(VLOOKUP(C2444,' Disaggregation - Section E '!A$618:O1573,15,0)=0,"",VLOOKUP(C2444,' Disaggregation - Section E '!A$618:O1573,15,0)),"")</f>
        <v/>
      </c>
      <c r="N2444" s="388" t="str">
        <f ca="1">IFERROR(IF(VLOOKUP(C2444,' Disaggregation - Section E '!A$618:J2770,10,0)=0,"",VLOOKUP(C2444,' Disaggregation - Section E '!A$618:J2770,10,0)),"")</f>
        <v/>
      </c>
      <c r="O2444" s="384"/>
    </row>
    <row r="2445" spans="1:15" x14ac:dyDescent="0.3">
      <c r="A2445" s="384" t="b">
        <f t="shared" ca="1" si="140"/>
        <v>0</v>
      </c>
      <c r="B2445" s="384"/>
      <c r="C2445" s="393" t="str">
        <f ca="1">IF(COUNTA(O$1493:O2445)=1,"",OFFSET(B2443,-COUNTA(O$1493:O2445)+3,1))</f>
        <v>a16Dm000000LZfAIAW</v>
      </c>
      <c r="D2445" s="389"/>
      <c r="E2445" s="386" t="str">
        <f ca="1">IFERROR(IF(VLOOKUP(C2445,' Disaggregation - Section E '!A$618:J2771,7,0)="","",VLOOKUP(C2445,' Disaggregation - Section E '!A$618:J2771,7,0)*100),"")</f>
        <v/>
      </c>
      <c r="F2445" s="388" t="str">
        <f ca="1">IFERROR(VLOOKUP(C2445,' Disaggregation - Section E '!A$618:J2771,5,0),"")</f>
        <v/>
      </c>
      <c r="G2445" s="387" t="str">
        <f ca="1">IFERROR(IF(VLOOKUP(C2445,' Disaggregation - Section E '!A$618:J2771,6,0)="","",VLOOKUP(C2445,' Disaggregation - Section E '!A$618:J2771,6,0)),"")</f>
        <v/>
      </c>
      <c r="H2445" s="387" t="str">
        <f ca="1">IFERROR(IF(INDEX(' Disaggregation - Section E '!F$618:F2771,MATCH(C2445,' Disaggregation - Section E '!A$618:A2771,0)+1,1)&lt;&gt;0,INDEX(' Disaggregation - Section E '!F$618:F2771,MATCH(C2445,' Disaggregation - Section E '!A$618:A2771,0)+1,1),""),"")</f>
        <v/>
      </c>
      <c r="I2445" s="388" t="str">
        <f ca="1">IFERROR(IF(VLOOKUP(C2445,' Disaggregation - Section E '!A$618:J2771,8,0)=0,"",VLOOKUP(C2445,' Disaggregation - Section E '!A$618:J2771,8,0)),"")</f>
        <v/>
      </c>
      <c r="J2445" s="388" t="str">
        <f ca="1">IFERROR(IF(VLOOKUP(C2445,' Disaggregation - Section E '!A$618:J2771,9,0)="","",VLOOKUP(C2445,' Disaggregation - Section E '!A$618:J2771,9,0)),"")</f>
        <v/>
      </c>
      <c r="K2445" s="384" t="str">
        <f ca="1">IFERROR(VLOOKUP(C2445,' Disaggregation - Section E '!A$618:J2771,3,0),"")</f>
        <v>HTS-6 Number of individual HIV self-test kits distributed</v>
      </c>
      <c r="L2445" s="384"/>
      <c r="M2445" s="384" t="str">
        <f ca="1">IFERROR(IF(VLOOKUP(C2445,' Disaggregation - Section E '!A$618:O1574,15,0)=0,"",VLOOKUP(C2445,' Disaggregation - Section E '!A$618:O1574,15,0)),"")</f>
        <v/>
      </c>
      <c r="N2445" s="388" t="str">
        <f ca="1">IFERROR(IF(VLOOKUP(C2445,' Disaggregation - Section E '!A$618:J2771,10,0)=0,"",VLOOKUP(C2445,' Disaggregation - Section E '!A$618:J2771,10,0)),"")</f>
        <v/>
      </c>
      <c r="O2445" s="384"/>
    </row>
    <row r="2446" spans="1:15" x14ac:dyDescent="0.3">
      <c r="A2446" s="384" t="b">
        <f t="shared" ca="1" si="140"/>
        <v>0</v>
      </c>
      <c r="B2446" s="384"/>
      <c r="C2446" s="393" t="str">
        <f ca="1">IF(COUNTA(O$1493:O2446)=1,"",OFFSET(B2444,-COUNTA(O$1493:O2446)+3,1))</f>
        <v>a16Dm000000LZfBIAW</v>
      </c>
      <c r="D2446" s="389"/>
      <c r="E2446" s="386" t="str">
        <f ca="1">IFERROR(IF(VLOOKUP(C2446,' Disaggregation - Section E '!A$618:J2772,7,0)="","",VLOOKUP(C2446,' Disaggregation - Section E '!A$618:J2772,7,0)*100),"")</f>
        <v/>
      </c>
      <c r="F2446" s="388" t="str">
        <f ca="1">IFERROR(VLOOKUP(C2446,' Disaggregation - Section E '!A$618:J2772,5,0),"")</f>
        <v/>
      </c>
      <c r="G2446" s="387" t="str">
        <f ca="1">IFERROR(IF(VLOOKUP(C2446,' Disaggregation - Section E '!A$618:J2772,6,0)="","",VLOOKUP(C2446,' Disaggregation - Section E '!A$618:J2772,6,0)),"")</f>
        <v/>
      </c>
      <c r="H2446" s="387" t="str">
        <f ca="1">IFERROR(IF(INDEX(' Disaggregation - Section E '!F$618:F2772,MATCH(C2446,' Disaggregation - Section E '!A$618:A2772,0)+1,1)&lt;&gt;0,INDEX(' Disaggregation - Section E '!F$618:F2772,MATCH(C2446,' Disaggregation - Section E '!A$618:A2772,0)+1,1),""),"")</f>
        <v/>
      </c>
      <c r="I2446" s="388" t="str">
        <f ca="1">IFERROR(IF(VLOOKUP(C2446,' Disaggregation - Section E '!A$618:J2772,8,0)=0,"",VLOOKUP(C2446,' Disaggregation - Section E '!A$618:J2772,8,0)),"")</f>
        <v/>
      </c>
      <c r="J2446" s="388" t="str">
        <f ca="1">IFERROR(IF(VLOOKUP(C2446,' Disaggregation - Section E '!A$618:J2772,9,0)="","",VLOOKUP(C2446,' Disaggregation - Section E '!A$618:J2772,9,0)),"")</f>
        <v/>
      </c>
      <c r="K2446" s="384" t="str">
        <f ca="1">IFERROR(VLOOKUP(C2446,' Disaggregation - Section E '!A$618:J2772,3,0),"")</f>
        <v>HTS-6 Number of individual HIV self-test kits distributed</v>
      </c>
      <c r="L2446" s="384"/>
      <c r="M2446" s="384" t="str">
        <f ca="1">IFERROR(IF(VLOOKUP(C2446,' Disaggregation - Section E '!A$618:O1575,15,0)=0,"",VLOOKUP(C2446,' Disaggregation - Section E '!A$618:O1575,15,0)),"")</f>
        <v/>
      </c>
      <c r="N2446" s="388" t="str">
        <f ca="1">IFERROR(IF(VLOOKUP(C2446,' Disaggregation - Section E '!A$618:J2772,10,0)=0,"",VLOOKUP(C2446,' Disaggregation - Section E '!A$618:J2772,10,0)),"")</f>
        <v/>
      </c>
      <c r="O2446" s="384"/>
    </row>
    <row r="2447" spans="1:15" x14ac:dyDescent="0.3">
      <c r="A2447" s="384" t="b">
        <f t="shared" ca="1" si="140"/>
        <v>0</v>
      </c>
      <c r="B2447" s="384"/>
      <c r="C2447" s="393" t="str">
        <f ca="1">IF(COUNTA(O$1493:O2447)=1,"",OFFSET(B2445,-COUNTA(O$1493:O2447)+3,1))</f>
        <v>a16Dm000000LZfCIAW</v>
      </c>
      <c r="D2447" s="389"/>
      <c r="E2447" s="386" t="str">
        <f ca="1">IFERROR(IF(VLOOKUP(C2447,' Disaggregation - Section E '!A$618:J2773,7,0)="","",VLOOKUP(C2447,' Disaggregation - Section E '!A$618:J2773,7,0)*100),"")</f>
        <v/>
      </c>
      <c r="F2447" s="388" t="str">
        <f ca="1">IFERROR(VLOOKUP(C2447,' Disaggregation - Section E '!A$618:J2773,5,0),"")</f>
        <v/>
      </c>
      <c r="G2447" s="387" t="str">
        <f ca="1">IFERROR(IF(VLOOKUP(C2447,' Disaggregation - Section E '!A$618:J2773,6,0)="","",VLOOKUP(C2447,' Disaggregation - Section E '!A$618:J2773,6,0)),"")</f>
        <v/>
      </c>
      <c r="H2447" s="387" t="str">
        <f ca="1">IFERROR(IF(INDEX(' Disaggregation - Section E '!F$618:F2773,MATCH(C2447,' Disaggregation - Section E '!A$618:A2773,0)+1,1)&lt;&gt;0,INDEX(' Disaggregation - Section E '!F$618:F2773,MATCH(C2447,' Disaggregation - Section E '!A$618:A2773,0)+1,1),""),"")</f>
        <v/>
      </c>
      <c r="I2447" s="388" t="str">
        <f ca="1">IFERROR(IF(VLOOKUP(C2447,' Disaggregation - Section E '!A$618:J2773,8,0)=0,"",VLOOKUP(C2447,' Disaggregation - Section E '!A$618:J2773,8,0)),"")</f>
        <v/>
      </c>
      <c r="J2447" s="388" t="str">
        <f ca="1">IFERROR(IF(VLOOKUP(C2447,' Disaggregation - Section E '!A$618:J2773,9,0)="","",VLOOKUP(C2447,' Disaggregation - Section E '!A$618:J2773,9,0)),"")</f>
        <v/>
      </c>
      <c r="K2447" s="384" t="str">
        <f ca="1">IFERROR(VLOOKUP(C2447,' Disaggregation - Section E '!A$618:J2773,3,0),"")</f>
        <v>HTS-6 Number of individual HIV self-test kits distributed</v>
      </c>
      <c r="L2447" s="384"/>
      <c r="M2447" s="384" t="str">
        <f ca="1">IFERROR(IF(VLOOKUP(C2447,' Disaggregation - Section E '!A$618:O1576,15,0)=0,"",VLOOKUP(C2447,' Disaggregation - Section E '!A$618:O1576,15,0)),"")</f>
        <v/>
      </c>
      <c r="N2447" s="388" t="str">
        <f ca="1">IFERROR(IF(VLOOKUP(C2447,' Disaggregation - Section E '!A$618:J2773,10,0)=0,"",VLOOKUP(C2447,' Disaggregation - Section E '!A$618:J2773,10,0)),"")</f>
        <v/>
      </c>
      <c r="O2447" s="384"/>
    </row>
    <row r="2448" spans="1:15" x14ac:dyDescent="0.3">
      <c r="A2448" s="384" t="b">
        <f t="shared" ca="1" si="140"/>
        <v>0</v>
      </c>
      <c r="B2448" s="384"/>
      <c r="C2448" s="393" t="str">
        <f ca="1">IF(COUNTA(O$1493:O2448)=1,"",OFFSET(B2446,-COUNTA(O$1493:O2448)+3,1))</f>
        <v>a16Dm000000LZfDIAW</v>
      </c>
      <c r="D2448" s="389"/>
      <c r="E2448" s="386" t="str">
        <f ca="1">IFERROR(IF(VLOOKUP(C2448,' Disaggregation - Section E '!A$618:J2774,7,0)="","",VLOOKUP(C2448,' Disaggregation - Section E '!A$618:J2774,7,0)*100),"")</f>
        <v/>
      </c>
      <c r="F2448" s="388" t="str">
        <f ca="1">IFERROR(VLOOKUP(C2448,' Disaggregation - Section E '!A$618:J2774,5,0),"")</f>
        <v/>
      </c>
      <c r="G2448" s="387" t="str">
        <f ca="1">IFERROR(IF(VLOOKUP(C2448,' Disaggregation - Section E '!A$618:J2774,6,0)="","",VLOOKUP(C2448,' Disaggregation - Section E '!A$618:J2774,6,0)),"")</f>
        <v/>
      </c>
      <c r="H2448" s="387" t="str">
        <f ca="1">IFERROR(IF(INDEX(' Disaggregation - Section E '!F$618:F2774,MATCH(C2448,' Disaggregation - Section E '!A$618:A2774,0)+1,1)&lt;&gt;0,INDEX(' Disaggregation - Section E '!F$618:F2774,MATCH(C2448,' Disaggregation - Section E '!A$618:A2774,0)+1,1),""),"")</f>
        <v/>
      </c>
      <c r="I2448" s="388" t="str">
        <f ca="1">IFERROR(IF(VLOOKUP(C2448,' Disaggregation - Section E '!A$618:J2774,8,0)=0,"",VLOOKUP(C2448,' Disaggregation - Section E '!A$618:J2774,8,0)),"")</f>
        <v/>
      </c>
      <c r="J2448" s="388" t="str">
        <f ca="1">IFERROR(IF(VLOOKUP(C2448,' Disaggregation - Section E '!A$618:J2774,9,0)="","",VLOOKUP(C2448,' Disaggregation - Section E '!A$618:J2774,9,0)),"")</f>
        <v/>
      </c>
      <c r="K2448" s="384" t="str">
        <f ca="1">IFERROR(VLOOKUP(C2448,' Disaggregation - Section E '!A$618:J2774,3,0),"")</f>
        <v>HTS-6 Number of individual HIV self-test kits distributed</v>
      </c>
      <c r="L2448" s="384"/>
      <c r="M2448" s="384" t="str">
        <f ca="1">IFERROR(IF(VLOOKUP(C2448,' Disaggregation - Section E '!A$618:O1577,15,0)=0,"",VLOOKUP(C2448,' Disaggregation - Section E '!A$618:O1577,15,0)),"")</f>
        <v/>
      </c>
      <c r="N2448" s="388" t="str">
        <f ca="1">IFERROR(IF(VLOOKUP(C2448,' Disaggregation - Section E '!A$618:J2774,10,0)=0,"",VLOOKUP(C2448,' Disaggregation - Section E '!A$618:J2774,10,0)),"")</f>
        <v/>
      </c>
      <c r="O2448" s="384"/>
    </row>
    <row r="2449" spans="1:15" x14ac:dyDescent="0.3">
      <c r="A2449" s="384" t="b">
        <f t="shared" ca="1" si="140"/>
        <v>0</v>
      </c>
      <c r="B2449" s="384"/>
      <c r="C2449" s="393" t="str">
        <f ca="1">IF(COUNTA(O$1493:O2449)=1,"",OFFSET(B2447,-COUNTA(O$1493:O2449)+3,1))</f>
        <v>a16Dm000000LZfEIAW</v>
      </c>
      <c r="D2449" s="389"/>
      <c r="E2449" s="386" t="str">
        <f ca="1">IFERROR(IF(VLOOKUP(C2449,' Disaggregation - Section E '!A$618:J2775,7,0)="","",VLOOKUP(C2449,' Disaggregation - Section E '!A$618:J2775,7,0)*100),"")</f>
        <v/>
      </c>
      <c r="F2449" s="388" t="str">
        <f ca="1">IFERROR(VLOOKUP(C2449,' Disaggregation - Section E '!A$618:J2775,5,0),"")</f>
        <v/>
      </c>
      <c r="G2449" s="387" t="str">
        <f ca="1">IFERROR(IF(VLOOKUP(C2449,' Disaggregation - Section E '!A$618:J2775,6,0)="","",VLOOKUP(C2449,' Disaggregation - Section E '!A$618:J2775,6,0)),"")</f>
        <v/>
      </c>
      <c r="H2449" s="387" t="str">
        <f ca="1">IFERROR(IF(INDEX(' Disaggregation - Section E '!F$618:F2775,MATCH(C2449,' Disaggregation - Section E '!A$618:A2775,0)+1,1)&lt;&gt;0,INDEX(' Disaggregation - Section E '!F$618:F2775,MATCH(C2449,' Disaggregation - Section E '!A$618:A2775,0)+1,1),""),"")</f>
        <v/>
      </c>
      <c r="I2449" s="388" t="str">
        <f ca="1">IFERROR(IF(VLOOKUP(C2449,' Disaggregation - Section E '!A$618:J2775,8,0)=0,"",VLOOKUP(C2449,' Disaggregation - Section E '!A$618:J2775,8,0)),"")</f>
        <v/>
      </c>
      <c r="J2449" s="388" t="str">
        <f ca="1">IFERROR(IF(VLOOKUP(C2449,' Disaggregation - Section E '!A$618:J2775,9,0)="","",VLOOKUP(C2449,' Disaggregation - Section E '!A$618:J2775,9,0)),"")</f>
        <v/>
      </c>
      <c r="K2449" s="384" t="str">
        <f ca="1">IFERROR(VLOOKUP(C2449,' Disaggregation - Section E '!A$618:J2775,3,0),"")</f>
        <v>HTS-6 Number of individual HIV self-test kits distributed</v>
      </c>
      <c r="L2449" s="384"/>
      <c r="M2449" s="384" t="str">
        <f ca="1">IFERROR(IF(VLOOKUP(C2449,' Disaggregation - Section E '!A$618:O1578,15,0)=0,"",VLOOKUP(C2449,' Disaggregation - Section E '!A$618:O1578,15,0)),"")</f>
        <v/>
      </c>
      <c r="N2449" s="388" t="str">
        <f ca="1">IFERROR(IF(VLOOKUP(C2449,' Disaggregation - Section E '!A$618:J2775,10,0)=0,"",VLOOKUP(C2449,' Disaggregation - Section E '!A$618:J2775,10,0)),"")</f>
        <v/>
      </c>
      <c r="O2449" s="384"/>
    </row>
    <row r="2450" spans="1:15" x14ac:dyDescent="0.3">
      <c r="A2450" s="384" t="b">
        <f t="shared" ca="1" si="140"/>
        <v>0</v>
      </c>
      <c r="B2450" s="384"/>
      <c r="C2450" s="393" t="str">
        <f ca="1">IF(COUNTA(O$1493:O2450)=1,"",OFFSET(B2448,-COUNTA(O$1493:O2450)+3,1))</f>
        <v>a16Dm000000LZfFIAW</v>
      </c>
      <c r="D2450" s="389"/>
      <c r="E2450" s="386" t="str">
        <f ca="1">IFERROR(IF(VLOOKUP(C2450,' Disaggregation - Section E '!A$618:J2776,7,0)="","",VLOOKUP(C2450,' Disaggregation - Section E '!A$618:J2776,7,0)*100),"")</f>
        <v/>
      </c>
      <c r="F2450" s="388" t="str">
        <f ca="1">IFERROR(VLOOKUP(C2450,' Disaggregation - Section E '!A$618:J2776,5,0),"")</f>
        <v/>
      </c>
      <c r="G2450" s="387" t="str">
        <f ca="1">IFERROR(IF(VLOOKUP(C2450,' Disaggregation - Section E '!A$618:J2776,6,0)="","",VLOOKUP(C2450,' Disaggregation - Section E '!A$618:J2776,6,0)),"")</f>
        <v/>
      </c>
      <c r="H2450" s="387" t="str">
        <f ca="1">IFERROR(IF(INDEX(' Disaggregation - Section E '!F$618:F2776,MATCH(C2450,' Disaggregation - Section E '!A$618:A2776,0)+1,1)&lt;&gt;0,INDEX(' Disaggregation - Section E '!F$618:F2776,MATCH(C2450,' Disaggregation - Section E '!A$618:A2776,0)+1,1),""),"")</f>
        <v/>
      </c>
      <c r="I2450" s="388" t="str">
        <f ca="1">IFERROR(IF(VLOOKUP(C2450,' Disaggregation - Section E '!A$618:J2776,8,0)=0,"",VLOOKUP(C2450,' Disaggregation - Section E '!A$618:J2776,8,0)),"")</f>
        <v/>
      </c>
      <c r="J2450" s="388" t="str">
        <f ca="1">IFERROR(IF(VLOOKUP(C2450,' Disaggregation - Section E '!A$618:J2776,9,0)="","",VLOOKUP(C2450,' Disaggregation - Section E '!A$618:J2776,9,0)),"")</f>
        <v/>
      </c>
      <c r="K2450" s="384" t="str">
        <f ca="1">IFERROR(VLOOKUP(C2450,' Disaggregation - Section E '!A$618:J2776,3,0),"")</f>
        <v>HTS-6 Number of individual HIV self-test kits distributed</v>
      </c>
      <c r="L2450" s="384"/>
      <c r="M2450" s="384" t="str">
        <f ca="1">IFERROR(IF(VLOOKUP(C2450,' Disaggregation - Section E '!A$618:O1579,15,0)=0,"",VLOOKUP(C2450,' Disaggregation - Section E '!A$618:O1579,15,0)),"")</f>
        <v/>
      </c>
      <c r="N2450" s="388" t="str">
        <f ca="1">IFERROR(IF(VLOOKUP(C2450,' Disaggregation - Section E '!A$618:J2776,10,0)=0,"",VLOOKUP(C2450,' Disaggregation - Section E '!A$618:J2776,10,0)),"")</f>
        <v/>
      </c>
      <c r="O2450" s="384"/>
    </row>
    <row r="2451" spans="1:15" x14ac:dyDescent="0.3">
      <c r="A2451" s="384" t="b">
        <f t="shared" ca="1" si="140"/>
        <v>0</v>
      </c>
      <c r="B2451" s="384"/>
      <c r="C2451" s="393" t="str">
        <f ca="1">IF(COUNTA(O$1493:O2451)=1,"",OFFSET(B2449,-COUNTA(O$1493:O2451)+3,1))</f>
        <v>a16Dm000000LZfGIAW</v>
      </c>
      <c r="D2451" s="389"/>
      <c r="E2451" s="386" t="str">
        <f ca="1">IFERROR(IF(VLOOKUP(C2451,' Disaggregation - Section E '!A$618:J2777,7,0)="","",VLOOKUP(C2451,' Disaggregation - Section E '!A$618:J2777,7,0)*100),"")</f>
        <v/>
      </c>
      <c r="F2451" s="388" t="str">
        <f ca="1">IFERROR(VLOOKUP(C2451,' Disaggregation - Section E '!A$618:J2777,5,0),"")</f>
        <v/>
      </c>
      <c r="G2451" s="387" t="str">
        <f ca="1">IFERROR(IF(VLOOKUP(C2451,' Disaggregation - Section E '!A$618:J2777,6,0)="","",VLOOKUP(C2451,' Disaggregation - Section E '!A$618:J2777,6,0)),"")</f>
        <v/>
      </c>
      <c r="H2451" s="387" t="str">
        <f ca="1">IFERROR(IF(INDEX(' Disaggregation - Section E '!F$618:F2777,MATCH(C2451,' Disaggregation - Section E '!A$618:A2777,0)+1,1)&lt;&gt;0,INDEX(' Disaggregation - Section E '!F$618:F2777,MATCH(C2451,' Disaggregation - Section E '!A$618:A2777,0)+1,1),""),"")</f>
        <v/>
      </c>
      <c r="I2451" s="388" t="str">
        <f ca="1">IFERROR(IF(VLOOKUP(C2451,' Disaggregation - Section E '!A$618:J2777,8,0)=0,"",VLOOKUP(C2451,' Disaggregation - Section E '!A$618:J2777,8,0)),"")</f>
        <v/>
      </c>
      <c r="J2451" s="388" t="str">
        <f ca="1">IFERROR(IF(VLOOKUP(C2451,' Disaggregation - Section E '!A$618:J2777,9,0)="","",VLOOKUP(C2451,' Disaggregation - Section E '!A$618:J2777,9,0)),"")</f>
        <v/>
      </c>
      <c r="K2451" s="384" t="str">
        <f ca="1">IFERROR(VLOOKUP(C2451,' Disaggregation - Section E '!A$618:J2777,3,0),"")</f>
        <v>HTS-6 Number of individual HIV self-test kits distributed</v>
      </c>
      <c r="L2451" s="384"/>
      <c r="M2451" s="384" t="str">
        <f ca="1">IFERROR(IF(VLOOKUP(C2451,' Disaggregation - Section E '!A$618:O1580,15,0)=0,"",VLOOKUP(C2451,' Disaggregation - Section E '!A$618:O1580,15,0)),"")</f>
        <v/>
      </c>
      <c r="N2451" s="388" t="str">
        <f ca="1">IFERROR(IF(VLOOKUP(C2451,' Disaggregation - Section E '!A$618:J2777,10,0)=0,"",VLOOKUP(C2451,' Disaggregation - Section E '!A$618:J2777,10,0)),"")</f>
        <v/>
      </c>
      <c r="O2451" s="384"/>
    </row>
    <row r="2452" spans="1:15" x14ac:dyDescent="0.3">
      <c r="A2452" s="384" t="b">
        <f t="shared" ca="1" si="140"/>
        <v>0</v>
      </c>
      <c r="B2452" s="384"/>
      <c r="C2452" s="393" t="str">
        <f ca="1">IF(COUNTA(O$1493:O2452)=1,"",OFFSET(B2450,-COUNTA(O$1493:O2452)+3,1))</f>
        <v>a16Dm000000LZfHIAW</v>
      </c>
      <c r="D2452" s="389"/>
      <c r="E2452" s="386" t="str">
        <f ca="1">IFERROR(IF(VLOOKUP(C2452,' Disaggregation - Section E '!A$618:J2778,7,0)="","",VLOOKUP(C2452,' Disaggregation - Section E '!A$618:J2778,7,0)*100),"")</f>
        <v/>
      </c>
      <c r="F2452" s="388" t="str">
        <f ca="1">IFERROR(VLOOKUP(C2452,' Disaggregation - Section E '!A$618:J2778,5,0),"")</f>
        <v/>
      </c>
      <c r="G2452" s="387" t="str">
        <f ca="1">IFERROR(IF(VLOOKUP(C2452,' Disaggregation - Section E '!A$618:J2778,6,0)="","",VLOOKUP(C2452,' Disaggregation - Section E '!A$618:J2778,6,0)),"")</f>
        <v/>
      </c>
      <c r="H2452" s="387" t="str">
        <f ca="1">IFERROR(IF(INDEX(' Disaggregation - Section E '!F$618:F2778,MATCH(C2452,' Disaggregation - Section E '!A$618:A2778,0)+1,1)&lt;&gt;0,INDEX(' Disaggregation - Section E '!F$618:F2778,MATCH(C2452,' Disaggregation - Section E '!A$618:A2778,0)+1,1),""),"")</f>
        <v/>
      </c>
      <c r="I2452" s="388" t="str">
        <f ca="1">IFERROR(IF(VLOOKUP(C2452,' Disaggregation - Section E '!A$618:J2778,8,0)=0,"",VLOOKUP(C2452,' Disaggregation - Section E '!A$618:J2778,8,0)),"")</f>
        <v/>
      </c>
      <c r="J2452" s="388" t="str">
        <f ca="1">IFERROR(IF(VLOOKUP(C2452,' Disaggregation - Section E '!A$618:J2778,9,0)="","",VLOOKUP(C2452,' Disaggregation - Section E '!A$618:J2778,9,0)),"")</f>
        <v/>
      </c>
      <c r="K2452" s="384" t="str">
        <f ca="1">IFERROR(VLOOKUP(C2452,' Disaggregation - Section E '!A$618:J2778,3,0),"")</f>
        <v>HTS-6 Number of individual HIV self-test kits distributed</v>
      </c>
      <c r="L2452" s="384"/>
      <c r="M2452" s="384" t="str">
        <f ca="1">IFERROR(IF(VLOOKUP(C2452,' Disaggregation - Section E '!A$618:O1581,15,0)=0,"",VLOOKUP(C2452,' Disaggregation - Section E '!A$618:O1581,15,0)),"")</f>
        <v/>
      </c>
      <c r="N2452" s="388" t="str">
        <f ca="1">IFERROR(IF(VLOOKUP(C2452,' Disaggregation - Section E '!A$618:J2778,10,0)=0,"",VLOOKUP(C2452,' Disaggregation - Section E '!A$618:J2778,10,0)),"")</f>
        <v/>
      </c>
      <c r="O2452" s="384"/>
    </row>
    <row r="2453" spans="1:15" x14ac:dyDescent="0.3">
      <c r="A2453" s="384" t="b">
        <f t="shared" ca="1" si="140"/>
        <v>0</v>
      </c>
      <c r="B2453" s="384"/>
      <c r="C2453" s="393" t="str">
        <f ca="1">IF(COUNTA(O$1493:O2453)=1,"",OFFSET(B2451,-COUNTA(O$1493:O2453)+3,1))</f>
        <v>a16Dm000000LZfIIAW</v>
      </c>
      <c r="D2453" s="389"/>
      <c r="E2453" s="386" t="str">
        <f ca="1">IFERROR(IF(VLOOKUP(C2453,' Disaggregation - Section E '!A$618:J2779,7,0)="","",VLOOKUP(C2453,' Disaggregation - Section E '!A$618:J2779,7,0)*100),"")</f>
        <v/>
      </c>
      <c r="F2453" s="388" t="str">
        <f ca="1">IFERROR(VLOOKUP(C2453,' Disaggregation - Section E '!A$618:J2779,5,0),"")</f>
        <v/>
      </c>
      <c r="G2453" s="387" t="str">
        <f ca="1">IFERROR(IF(VLOOKUP(C2453,' Disaggregation - Section E '!A$618:J2779,6,0)="","",VLOOKUP(C2453,' Disaggregation - Section E '!A$618:J2779,6,0)),"")</f>
        <v/>
      </c>
      <c r="H2453" s="387" t="str">
        <f ca="1">IFERROR(IF(INDEX(' Disaggregation - Section E '!F$618:F2779,MATCH(C2453,' Disaggregation - Section E '!A$618:A2779,0)+1,1)&lt;&gt;0,INDEX(' Disaggregation - Section E '!F$618:F2779,MATCH(C2453,' Disaggregation - Section E '!A$618:A2779,0)+1,1),""),"")</f>
        <v/>
      </c>
      <c r="I2453" s="388" t="str">
        <f ca="1">IFERROR(IF(VLOOKUP(C2453,' Disaggregation - Section E '!A$618:J2779,8,0)=0,"",VLOOKUP(C2453,' Disaggregation - Section E '!A$618:J2779,8,0)),"")</f>
        <v/>
      </c>
      <c r="J2453" s="388" t="str">
        <f ca="1">IFERROR(IF(VLOOKUP(C2453,' Disaggregation - Section E '!A$618:J2779,9,0)="","",VLOOKUP(C2453,' Disaggregation - Section E '!A$618:J2779,9,0)),"")</f>
        <v/>
      </c>
      <c r="K2453" s="384" t="str">
        <f ca="1">IFERROR(VLOOKUP(C2453,' Disaggregation - Section E '!A$618:J2779,3,0),"")</f>
        <v>HTS-6 Number of individual HIV self-test kits distributed</v>
      </c>
      <c r="L2453" s="384"/>
      <c r="M2453" s="384" t="str">
        <f ca="1">IFERROR(IF(VLOOKUP(C2453,' Disaggregation - Section E '!A$618:O1582,15,0)=0,"",VLOOKUP(C2453,' Disaggregation - Section E '!A$618:O1582,15,0)),"")</f>
        <v/>
      </c>
      <c r="N2453" s="388" t="str">
        <f ca="1">IFERROR(IF(VLOOKUP(C2453,' Disaggregation - Section E '!A$618:J2779,10,0)=0,"",VLOOKUP(C2453,' Disaggregation - Section E '!A$618:J2779,10,0)),"")</f>
        <v/>
      </c>
      <c r="O2453" s="384"/>
    </row>
    <row r="2454" spans="1:15" x14ac:dyDescent="0.3">
      <c r="A2454" s="384" t="b">
        <f t="shared" ca="1" si="140"/>
        <v>0</v>
      </c>
      <c r="B2454" s="384"/>
      <c r="C2454" s="393" t="str">
        <f ca="1">IF(COUNTA(O$1493:O2454)=1,"",OFFSET(B2452,-COUNTA(O$1493:O2454)+3,1))</f>
        <v>a16Dm000000LZfJIAW</v>
      </c>
      <c r="D2454" s="389"/>
      <c r="E2454" s="386" t="str">
        <f ca="1">IFERROR(IF(VLOOKUP(C2454,' Disaggregation - Section E '!A$618:J2780,7,0)="","",VLOOKUP(C2454,' Disaggregation - Section E '!A$618:J2780,7,0)*100),"")</f>
        <v/>
      </c>
      <c r="F2454" s="388" t="str">
        <f ca="1">IFERROR(VLOOKUP(C2454,' Disaggregation - Section E '!A$618:J2780,5,0),"")</f>
        <v/>
      </c>
      <c r="G2454" s="387" t="str">
        <f ca="1">IFERROR(IF(VLOOKUP(C2454,' Disaggregation - Section E '!A$618:J2780,6,0)="","",VLOOKUP(C2454,' Disaggregation - Section E '!A$618:J2780,6,0)),"")</f>
        <v/>
      </c>
      <c r="H2454" s="387" t="str">
        <f ca="1">IFERROR(IF(INDEX(' Disaggregation - Section E '!F$618:F2780,MATCH(C2454,' Disaggregation - Section E '!A$618:A2780,0)+1,1)&lt;&gt;0,INDEX(' Disaggregation - Section E '!F$618:F2780,MATCH(C2454,' Disaggregation - Section E '!A$618:A2780,0)+1,1),""),"")</f>
        <v/>
      </c>
      <c r="I2454" s="388" t="str">
        <f ca="1">IFERROR(IF(VLOOKUP(C2454,' Disaggregation - Section E '!A$618:J2780,8,0)=0,"",VLOOKUP(C2454,' Disaggregation - Section E '!A$618:J2780,8,0)),"")</f>
        <v/>
      </c>
      <c r="J2454" s="388" t="str">
        <f ca="1">IFERROR(IF(VLOOKUP(C2454,' Disaggregation - Section E '!A$618:J2780,9,0)="","",VLOOKUP(C2454,' Disaggregation - Section E '!A$618:J2780,9,0)),"")</f>
        <v/>
      </c>
      <c r="K2454" s="384" t="str">
        <f ca="1">IFERROR(VLOOKUP(C2454,' Disaggregation - Section E '!A$618:J2780,3,0),"")</f>
        <v>HTS-6 Number of individual HIV self-test kits distributed</v>
      </c>
      <c r="L2454" s="384"/>
      <c r="M2454" s="384" t="str">
        <f ca="1">IFERROR(IF(VLOOKUP(C2454,' Disaggregation - Section E '!A$618:O1583,15,0)=0,"",VLOOKUP(C2454,' Disaggregation - Section E '!A$618:O1583,15,0)),"")</f>
        <v/>
      </c>
      <c r="N2454" s="388" t="str">
        <f ca="1">IFERROR(IF(VLOOKUP(C2454,' Disaggregation - Section E '!A$618:J2780,10,0)=0,"",VLOOKUP(C2454,' Disaggregation - Section E '!A$618:J2780,10,0)),"")</f>
        <v/>
      </c>
      <c r="O2454" s="384"/>
    </row>
    <row r="2455" spans="1:15" x14ac:dyDescent="0.3">
      <c r="A2455" s="384" t="b">
        <f t="shared" ca="1" si="140"/>
        <v>1</v>
      </c>
      <c r="B2455" s="384"/>
      <c r="C2455" s="393" t="str">
        <f ca="1">IF(COUNTA(O$1493:O2455)=1,"",OFFSET(B2453,-COUNTA(O$1493:O2455)+3,1))</f>
        <v>a16Dm000000LZfKIAW</v>
      </c>
      <c r="D2455" s="389"/>
      <c r="E2455" s="386">
        <f ca="1">IFERROR(IF(VLOOKUP(C2455,' Disaggregation - Section E '!A$618:J2781,7,0)="","",VLOOKUP(C2455,' Disaggregation - Section E '!A$618:J2781,7,0)*100),"")</f>
        <v>71.10992148465381</v>
      </c>
      <c r="F2455" s="388" t="str">
        <f ca="1">IFERROR(VLOOKUP(C2455,' Disaggregation - Section E '!A$618:J2781,5,0),"")</f>
        <v>15+</v>
      </c>
      <c r="G2455" s="387">
        <f ca="1">IFERROR(IF(VLOOKUP(C2455,' Disaggregation - Section E '!A$618:J2781,6,0)="","",VLOOKUP(C2455,' Disaggregation - Section E '!A$618:J2781,6,0)),"")</f>
        <v>3985</v>
      </c>
      <c r="H2455" s="387">
        <f ca="1">IFERROR(IF(INDEX(' Disaggregation - Section E '!F$618:F2781,MATCH(C2455,' Disaggregation - Section E '!A$618:A2781,0)+1,1)&lt;&gt;0,INDEX(' Disaggregation - Section E '!F$618:F2781,MATCH(C2455,' Disaggregation - Section E '!A$618:A2781,0)+1,1),""),"")</f>
        <v>5604</v>
      </c>
      <c r="I2455" s="388">
        <f ca="1">IFERROR(IF(VLOOKUP(C2455,' Disaggregation - Section E '!A$618:J2781,8,0)=0,"",VLOOKUP(C2455,' Disaggregation - Section E '!A$618:J2781,8,0)),"")</f>
        <v>2022</v>
      </c>
      <c r="J2455" s="388" t="str">
        <f ca="1">IFERROR(IF(VLOOKUP(C2455,' Disaggregation - Section E '!A$618:J2781,9,0)="","",VLOOKUP(C2455,' Disaggregation - Section E '!A$618:J2781,9,0)),"")</f>
        <v xml:space="preserve">Electronic HIV Case Tracking System and RCHV&amp;HIV report
</v>
      </c>
      <c r="K2455" s="384" t="str">
        <f ca="1">IFERROR(VLOOKUP(C2455,' Disaggregation - Section E '!A$618:J2781,3,0),"")</f>
        <v>TCS-9 Percentage of people living with HIV and currently on antiretroviral therapy who are receiving multi month dispensing of antiretroviral medicine</v>
      </c>
      <c r="L2455" s="384"/>
      <c r="M2455" s="384" t="str">
        <f ca="1">IFERROR(IF(VLOOKUP(C2455,' Disaggregation - Section E '!A$618:O1584,15,0)=0,"",VLOOKUP(C2455,' Disaggregation - Section E '!A$618:O1584,15,0)),"")</f>
        <v>IDR-01310</v>
      </c>
      <c r="N2455" s="388" t="str">
        <f ca="1">IFERROR(IF(VLOOKUP(C2455,' Disaggregation - Section E '!A$618:J2781,10,0)=0,"",VLOOKUP(C2455,' Disaggregation - Section E '!A$618:J2781,10,0)),"")</f>
        <v xml:space="preserve">Аs a baseline, the results for 2022 are taken.                                    Numerator: Number of people living with HIV in this age group and currently on ART who received 3 – 5 or &gt;6 months of ARV medicine at their most recent ARV medicine pick-up                                                                          Denominator: Number of people living with HIV in this age group and currently on ART
</v>
      </c>
      <c r="O2455" s="384"/>
    </row>
    <row r="2456" spans="1:15" x14ac:dyDescent="0.3">
      <c r="A2456" s="384" t="b">
        <f t="shared" ca="1" si="140"/>
        <v>1</v>
      </c>
      <c r="B2456" s="384"/>
      <c r="C2456" s="393" t="str">
        <f ca="1">IF(COUNTA(O$1493:O2456)=1,"",OFFSET(B2454,-COUNTA(O$1493:O2456)+3,1))</f>
        <v>a16Dm000000LZfLIAW</v>
      </c>
      <c r="D2456" s="389"/>
      <c r="E2456" s="386">
        <f ca="1">IFERROR(IF(VLOOKUP(C2456,' Disaggregation - Section E '!A$618:J2782,7,0)="","",VLOOKUP(C2456,' Disaggregation - Section E '!A$618:J2782,7,0)*100),"")</f>
        <v>56.886227544910184</v>
      </c>
      <c r="F2456" s="388" t="str">
        <f ca="1">IFERROR(VLOOKUP(C2456,' Disaggregation - Section E '!A$618:J2782,5,0),"")</f>
        <v>&lt;15</v>
      </c>
      <c r="G2456" s="387">
        <f ca="1">IFERROR(IF(VLOOKUP(C2456,' Disaggregation - Section E '!A$618:J2782,6,0)="","",VLOOKUP(C2456,' Disaggregation - Section E '!A$618:J2782,6,0)),"")</f>
        <v>95</v>
      </c>
      <c r="H2456" s="387">
        <f ca="1">IFERROR(IF(INDEX(' Disaggregation - Section E '!F$618:F2782,MATCH(C2456,' Disaggregation - Section E '!A$618:A2782,0)+1,1)&lt;&gt;0,INDEX(' Disaggregation - Section E '!F$618:F2782,MATCH(C2456,' Disaggregation - Section E '!A$618:A2782,0)+1,1),""),"")</f>
        <v>167</v>
      </c>
      <c r="I2456" s="388">
        <f ca="1">IFERROR(IF(VLOOKUP(C2456,' Disaggregation - Section E '!A$618:J2782,8,0)=0,"",VLOOKUP(C2456,' Disaggregation - Section E '!A$618:J2782,8,0)),"")</f>
        <v>2022</v>
      </c>
      <c r="J2456" s="388" t="str">
        <f ca="1">IFERROR(IF(VLOOKUP(C2456,' Disaggregation - Section E '!A$618:J2782,9,0)="","",VLOOKUP(C2456,' Disaggregation - Section E '!A$618:J2782,9,0)),"")</f>
        <v xml:space="preserve">Electronic HIV Case Tracking System and RCHV&amp;HIV report
</v>
      </c>
      <c r="K2456" s="384" t="str">
        <f ca="1">IFERROR(VLOOKUP(C2456,' Disaggregation - Section E '!A$618:J2782,3,0),"")</f>
        <v>TCS-9 Percentage of people living with HIV and currently on antiretroviral therapy who are receiving multi month dispensing of antiretroviral medicine</v>
      </c>
      <c r="L2456" s="384"/>
      <c r="M2456" s="384" t="str">
        <f ca="1">IFERROR(IF(VLOOKUP(C2456,' Disaggregation - Section E '!A$618:O1585,15,0)=0,"",VLOOKUP(C2456,' Disaggregation - Section E '!A$618:O1585,15,0)),"")</f>
        <v>IDR-01309</v>
      </c>
      <c r="N2456" s="388" t="str">
        <f ca="1">IFERROR(IF(VLOOKUP(C2456,' Disaggregation - Section E '!A$618:J2782,10,0)=0,"",VLOOKUP(C2456,' Disaggregation - Section E '!A$618:J2782,10,0)),"")</f>
        <v xml:space="preserve">Аs a baseline, the results for 2022 are taken.                                    Numerator: Number of people living with HIV in this age group and currently on ART who received 3 – 5 or &gt;6 months of ARV medicine at their most recent ARV medicine pick-up                                                                          Denominator: Number of people living with HIV in this age group and currently on ART
</v>
      </c>
      <c r="O2456" s="384"/>
    </row>
    <row r="2457" spans="1:15" x14ac:dyDescent="0.3">
      <c r="A2457" s="384" t="b">
        <f t="shared" ca="1" si="140"/>
        <v>1</v>
      </c>
      <c r="B2457" s="384"/>
      <c r="C2457" s="393" t="str">
        <f ca="1">IF(COUNTA(O$1493:O2457)=1,"",OFFSET(B2455,-COUNTA(O$1493:O2457)+3,1))</f>
        <v>a16Dm000000LZfMIAW</v>
      </c>
      <c r="D2457" s="389"/>
      <c r="E2457" s="386">
        <f ca="1">IFERROR(IF(VLOOKUP(C2457,' Disaggregation - Section E '!A$618:J2783,7,0)="","",VLOOKUP(C2457,' Disaggregation - Section E '!A$618:J2783,7,0)*100),"")</f>
        <v>68.465816159633633</v>
      </c>
      <c r="F2457" s="388" t="str">
        <f ca="1">IFERROR(VLOOKUP(C2457,' Disaggregation - Section E '!A$618:J2783,5,0),"")</f>
        <v>Male 15+</v>
      </c>
      <c r="G2457" s="387">
        <f ca="1">IFERROR(IF(VLOOKUP(C2457,' Disaggregation - Section E '!A$618:J2783,6,0)="","",VLOOKUP(C2457,' Disaggregation - Section E '!A$618:J2783,6,0)),"")</f>
        <v>2093</v>
      </c>
      <c r="H2457" s="387">
        <f ca="1">IFERROR(IF(INDEX(' Disaggregation - Section E '!F$618:F2783,MATCH(C2457,' Disaggregation - Section E '!A$618:A2783,0)+1,1)&lt;&gt;0,INDEX(' Disaggregation - Section E '!F$618:F2783,MATCH(C2457,' Disaggregation - Section E '!A$618:A2783,0)+1,1),""),"")</f>
        <v>3057</v>
      </c>
      <c r="I2457" s="388">
        <f ca="1">IFERROR(IF(VLOOKUP(C2457,' Disaggregation - Section E '!A$618:J2783,8,0)=0,"",VLOOKUP(C2457,' Disaggregation - Section E '!A$618:J2783,8,0)),"")</f>
        <v>2022</v>
      </c>
      <c r="J2457" s="388" t="str">
        <f ca="1">IFERROR(IF(VLOOKUP(C2457,' Disaggregation - Section E '!A$618:J2783,9,0)="","",VLOOKUP(C2457,' Disaggregation - Section E '!A$618:J2783,9,0)),"")</f>
        <v xml:space="preserve">Electronic HIV Case Tracking System and RCHV&amp;HIV report
</v>
      </c>
      <c r="K2457" s="384" t="str">
        <f ca="1">IFERROR(VLOOKUP(C2457,' Disaggregation - Section E '!A$618:J2783,3,0),"")</f>
        <v>TCS-9 Percentage of people living with HIV and currently on antiretroviral therapy who are receiving multi month dispensing of antiretroviral medicine</v>
      </c>
      <c r="L2457" s="384"/>
      <c r="M2457" s="384" t="str">
        <f ca="1">IFERROR(IF(VLOOKUP(C2457,' Disaggregation - Section E '!A$618:O1586,15,0)=0,"",VLOOKUP(C2457,' Disaggregation - Section E '!A$618:O1586,15,0)),"")</f>
        <v>IDR-01308</v>
      </c>
      <c r="N2457" s="388" t="str">
        <f ca="1">IFERROR(IF(VLOOKUP(C2457,' Disaggregation - Section E '!A$618:J2783,10,0)=0,"",VLOOKUP(C2457,' Disaggregation - Section E '!A$618:J2783,10,0)),"")</f>
        <v xml:space="preserve">Аs a baseline, the results for 2022 are taken.                                    Numerator: Number of people living with HIV in this age group and currently on ART who received 3 – 5 or &gt;6 months of ARV medicine at their most recent ARV medicine pick-up                                                                          Denominator: Number of people living with HIV in this age group and currently on ART
</v>
      </c>
      <c r="O2457" s="384"/>
    </row>
    <row r="2458" spans="1:15" x14ac:dyDescent="0.3">
      <c r="A2458" s="384" t="b">
        <f t="shared" ca="1" si="140"/>
        <v>1</v>
      </c>
      <c r="B2458" s="384"/>
      <c r="C2458" s="393" t="str">
        <f ca="1">IF(COUNTA(O$1493:O2458)=1,"",OFFSET(B2456,-COUNTA(O$1493:O2458)+3,1))</f>
        <v>a16Dm000000LZfNIAW</v>
      </c>
      <c r="D2458" s="389"/>
      <c r="E2458" s="386">
        <f ca="1">IFERROR(IF(VLOOKUP(C2458,' Disaggregation - Section E '!A$618:J2784,7,0)="","",VLOOKUP(C2458,' Disaggregation - Section E '!A$618:J2784,7,0)*100),"")</f>
        <v>74.283470749901852</v>
      </c>
      <c r="F2458" s="388" t="str">
        <f ca="1">IFERROR(VLOOKUP(C2458,' Disaggregation - Section E '!A$618:J2784,5,0),"")</f>
        <v>Female 15+</v>
      </c>
      <c r="G2458" s="387">
        <f ca="1">IFERROR(IF(VLOOKUP(C2458,' Disaggregation - Section E '!A$618:J2784,6,0)="","",VLOOKUP(C2458,' Disaggregation - Section E '!A$618:J2784,6,0)),"")</f>
        <v>1892</v>
      </c>
      <c r="H2458" s="387">
        <f ca="1">IFERROR(IF(INDEX(' Disaggregation - Section E '!F$618:F2784,MATCH(C2458,' Disaggregation - Section E '!A$618:A2784,0)+1,1)&lt;&gt;0,INDEX(' Disaggregation - Section E '!F$618:F2784,MATCH(C2458,' Disaggregation - Section E '!A$618:A2784,0)+1,1),""),"")</f>
        <v>2547</v>
      </c>
      <c r="I2458" s="388">
        <f ca="1">IFERROR(IF(VLOOKUP(C2458,' Disaggregation - Section E '!A$618:J2784,8,0)=0,"",VLOOKUP(C2458,' Disaggregation - Section E '!A$618:J2784,8,0)),"")</f>
        <v>2022</v>
      </c>
      <c r="J2458" s="388" t="str">
        <f ca="1">IFERROR(IF(VLOOKUP(C2458,' Disaggregation - Section E '!A$618:J2784,9,0)="","",VLOOKUP(C2458,' Disaggregation - Section E '!A$618:J2784,9,0)),"")</f>
        <v xml:space="preserve">Electronic HIV Case Tracking System and RCHV&amp;HIV report
</v>
      </c>
      <c r="K2458" s="384" t="str">
        <f ca="1">IFERROR(VLOOKUP(C2458,' Disaggregation - Section E '!A$618:J2784,3,0),"")</f>
        <v>TCS-9 Percentage of people living with HIV and currently on antiretroviral therapy who are receiving multi month dispensing of antiretroviral medicine</v>
      </c>
      <c r="L2458" s="384"/>
      <c r="M2458" s="384" t="str">
        <f ca="1">IFERROR(IF(VLOOKUP(C2458,' Disaggregation - Section E '!A$618:O1587,15,0)=0,"",VLOOKUP(C2458,' Disaggregation - Section E '!A$618:O1587,15,0)),"")</f>
        <v>IDR-01307</v>
      </c>
      <c r="N2458" s="388" t="str">
        <f ca="1">IFERROR(IF(VLOOKUP(C2458,' Disaggregation - Section E '!A$618:J2784,10,0)=0,"",VLOOKUP(C2458,' Disaggregation - Section E '!A$618:J2784,10,0)),"")</f>
        <v xml:space="preserve">Аs a baseline, the results for 2022 are taken.                                    Numerator: Number of people living with HIV in this age group and currently on ART who received 3 – 5 or &gt;6 months of ARV medicine at their most recent ARV medicine pick-up                                                                          Denominator: Number of people living with HIV in this age group and currently on ART
</v>
      </c>
      <c r="O2458" s="384"/>
    </row>
    <row r="2459" spans="1:15" x14ac:dyDescent="0.3">
      <c r="A2459" s="384" t="b">
        <f t="shared" ca="1" si="140"/>
        <v>0</v>
      </c>
      <c r="B2459" s="384"/>
      <c r="C2459" s="393" t="str">
        <f ca="1">IF(COUNTA(O$1493:O2459)=1,"",OFFSET(B2457,-COUNTA(O$1493:O2459)+3,1))</f>
        <v>a16Dm000000LZfOIAW</v>
      </c>
      <c r="D2459" s="389"/>
      <c r="E2459" s="386" t="str">
        <f ca="1">IFERROR(IF(VLOOKUP(C2459,' Disaggregation - Section E '!A$618:J2785,7,0)="","",VLOOKUP(C2459,' Disaggregation - Section E '!A$618:J2785,7,0)*100),"")</f>
        <v/>
      </c>
      <c r="F2459" s="388" t="str">
        <f ca="1">IFERROR(VLOOKUP(C2459,' Disaggregation - Section E '!A$618:J2785,5,0),"")</f>
        <v/>
      </c>
      <c r="G2459" s="387" t="str">
        <f ca="1">IFERROR(IF(VLOOKUP(C2459,' Disaggregation - Section E '!A$618:J2785,6,0)="","",VLOOKUP(C2459,' Disaggregation - Section E '!A$618:J2785,6,0)),"")</f>
        <v/>
      </c>
      <c r="H2459" s="387" t="str">
        <f ca="1">IFERROR(IF(INDEX(' Disaggregation - Section E '!F$618:F2785,MATCH(C2459,' Disaggregation - Section E '!A$618:A2785,0)+1,1)&lt;&gt;0,INDEX(' Disaggregation - Section E '!F$618:F2785,MATCH(C2459,' Disaggregation - Section E '!A$618:A2785,0)+1,1),""),"")</f>
        <v/>
      </c>
      <c r="I2459" s="388">
        <f ca="1">IFERROR(IF(VLOOKUP(C2459,' Disaggregation - Section E '!A$618:J2785,8,0)=0,"",VLOOKUP(C2459,' Disaggregation - Section E '!A$618:J2785,8,0)),"")</f>
        <v>2022</v>
      </c>
      <c r="J2459" s="388" t="str">
        <f ca="1">IFERROR(IF(VLOOKUP(C2459,' Disaggregation - Section E '!A$618:J2785,9,0)="","",VLOOKUP(C2459,' Disaggregation - Section E '!A$618:J2785,9,0)),"")</f>
        <v xml:space="preserve">Electronic HIV Case Tracking System and RCHV&amp;HIV report
</v>
      </c>
      <c r="K2459" s="384" t="str">
        <f ca="1">IFERROR(VLOOKUP(C2459,' Disaggregation - Section E '!A$618:J2785,3,0),"")</f>
        <v>TCS-9 Percentage of people living with HIV and currently on antiretroviral therapy who are receiving multi month dispensing of antiretroviral medicine</v>
      </c>
      <c r="L2459" s="384"/>
      <c r="M2459" s="384" t="str">
        <f ca="1">IFERROR(IF(VLOOKUP(C2459,' Disaggregation - Section E '!A$618:O1588,15,0)=0,"",VLOOKUP(C2459,' Disaggregation - Section E '!A$618:O1588,15,0)),"")</f>
        <v/>
      </c>
      <c r="N2459" s="388" t="str">
        <f ca="1">IFERROR(IF(VLOOKUP(C2459,' Disaggregation - Section E '!A$618:J2785,10,0)=0,"",VLOOKUP(C2459,' Disaggregation - Section E '!A$618:J2785,10,0)),"")</f>
        <v/>
      </c>
      <c r="O2459" s="384"/>
    </row>
    <row r="2460" spans="1:15" x14ac:dyDescent="0.3">
      <c r="A2460" s="384" t="b">
        <f t="shared" ca="1" si="140"/>
        <v>0</v>
      </c>
      <c r="B2460" s="384"/>
      <c r="C2460" s="393" t="str">
        <f ca="1">IF(COUNTA(O$1493:O2460)=1,"",OFFSET(B2458,-COUNTA(O$1493:O2460)+3,1))</f>
        <v>a16Dm000000LZfPIAW</v>
      </c>
      <c r="D2460" s="389"/>
      <c r="E2460" s="386" t="str">
        <f ca="1">IFERROR(IF(VLOOKUP(C2460,' Disaggregation - Section E '!A$618:J2786,7,0)="","",VLOOKUP(C2460,' Disaggregation - Section E '!A$618:J2786,7,0)*100),"")</f>
        <v/>
      </c>
      <c r="F2460" s="388" t="str">
        <f ca="1">IFERROR(VLOOKUP(C2460,' Disaggregation - Section E '!A$618:J2786,5,0),"")</f>
        <v/>
      </c>
      <c r="G2460" s="387" t="str">
        <f ca="1">IFERROR(IF(VLOOKUP(C2460,' Disaggregation - Section E '!A$618:J2786,6,0)="","",VLOOKUP(C2460,' Disaggregation - Section E '!A$618:J2786,6,0)),"")</f>
        <v/>
      </c>
      <c r="H2460" s="387" t="str">
        <f ca="1">IFERROR(IF(INDEX(' Disaggregation - Section E '!F$618:F2786,MATCH(C2460,' Disaggregation - Section E '!A$618:A2786,0)+1,1)&lt;&gt;0,INDEX(' Disaggregation - Section E '!F$618:F2786,MATCH(C2460,' Disaggregation - Section E '!A$618:A2786,0)+1,1),""),"")</f>
        <v/>
      </c>
      <c r="I2460" s="388" t="str">
        <f ca="1">IFERROR(IF(VLOOKUP(C2460,' Disaggregation - Section E '!A$618:J2786,8,0)=0,"",VLOOKUP(C2460,' Disaggregation - Section E '!A$618:J2786,8,0)),"")</f>
        <v/>
      </c>
      <c r="J2460" s="388" t="str">
        <f ca="1">IFERROR(IF(VLOOKUP(C2460,' Disaggregation - Section E '!A$618:J2786,9,0)="","",VLOOKUP(C2460,' Disaggregation - Section E '!A$618:J2786,9,0)),"")</f>
        <v/>
      </c>
      <c r="K2460" s="384" t="str">
        <f ca="1">IFERROR(VLOOKUP(C2460,' Disaggregation - Section E '!A$618:J2786,3,0),"")</f>
        <v>TCS-9 Percentage of people living with HIV and currently on antiretroviral therapy who are receiving multi month dispensing of antiretroviral medicine</v>
      </c>
      <c r="L2460" s="384"/>
      <c r="M2460" s="384" t="str">
        <f ca="1">IFERROR(IF(VLOOKUP(C2460,' Disaggregation - Section E '!A$618:O1589,15,0)=0,"",VLOOKUP(C2460,' Disaggregation - Section E '!A$618:O1589,15,0)),"")</f>
        <v/>
      </c>
      <c r="N2460" s="388" t="str">
        <f ca="1">IFERROR(IF(VLOOKUP(C2460,' Disaggregation - Section E '!A$618:J2786,10,0)=0,"",VLOOKUP(C2460,' Disaggregation - Section E '!A$618:J2786,10,0)),"")</f>
        <v/>
      </c>
      <c r="O2460" s="384"/>
    </row>
    <row r="2461" spans="1:15" x14ac:dyDescent="0.3">
      <c r="A2461" s="384" t="b">
        <f t="shared" ca="1" si="140"/>
        <v>0</v>
      </c>
      <c r="B2461" s="384"/>
      <c r="C2461" s="393" t="str">
        <f ca="1">IF(COUNTA(O$1493:O2461)=1,"",OFFSET(B2459,-COUNTA(O$1493:O2461)+3,1))</f>
        <v>a16Dm000000LZfQIAW</v>
      </c>
      <c r="D2461" s="389"/>
      <c r="E2461" s="386" t="str">
        <f ca="1">IFERROR(IF(VLOOKUP(C2461,' Disaggregation - Section E '!A$618:J2787,7,0)="","",VLOOKUP(C2461,' Disaggregation - Section E '!A$618:J2787,7,0)*100),"")</f>
        <v/>
      </c>
      <c r="F2461" s="388" t="str">
        <f ca="1">IFERROR(VLOOKUP(C2461,' Disaggregation - Section E '!A$618:J2787,5,0),"")</f>
        <v/>
      </c>
      <c r="G2461" s="387" t="str">
        <f ca="1">IFERROR(IF(VLOOKUP(C2461,' Disaggregation - Section E '!A$618:J2787,6,0)="","",VLOOKUP(C2461,' Disaggregation - Section E '!A$618:J2787,6,0)),"")</f>
        <v/>
      </c>
      <c r="H2461" s="387" t="str">
        <f ca="1">IFERROR(IF(INDEX(' Disaggregation - Section E '!F$618:F2787,MATCH(C2461,' Disaggregation - Section E '!A$618:A2787,0)+1,1)&lt;&gt;0,INDEX(' Disaggregation - Section E '!F$618:F2787,MATCH(C2461,' Disaggregation - Section E '!A$618:A2787,0)+1,1),""),"")</f>
        <v/>
      </c>
      <c r="I2461" s="388" t="str">
        <f ca="1">IFERROR(IF(VLOOKUP(C2461,' Disaggregation - Section E '!A$618:J2787,8,0)=0,"",VLOOKUP(C2461,' Disaggregation - Section E '!A$618:J2787,8,0)),"")</f>
        <v/>
      </c>
      <c r="J2461" s="388" t="str">
        <f ca="1">IFERROR(IF(VLOOKUP(C2461,' Disaggregation - Section E '!A$618:J2787,9,0)="","",VLOOKUP(C2461,' Disaggregation - Section E '!A$618:J2787,9,0)),"")</f>
        <v/>
      </c>
      <c r="K2461" s="384" t="str">
        <f ca="1">IFERROR(VLOOKUP(C2461,' Disaggregation - Section E '!A$618:J2787,3,0),"")</f>
        <v>TCS-9 Percentage of people living with HIV and currently on antiretroviral therapy who are receiving multi month dispensing of antiretroviral medicine</v>
      </c>
      <c r="L2461" s="384"/>
      <c r="M2461" s="384" t="str">
        <f ca="1">IFERROR(IF(VLOOKUP(C2461,' Disaggregation - Section E '!A$618:O1590,15,0)=0,"",VLOOKUP(C2461,' Disaggregation - Section E '!A$618:O1590,15,0)),"")</f>
        <v/>
      </c>
      <c r="N2461" s="388" t="str">
        <f ca="1">IFERROR(IF(VLOOKUP(C2461,' Disaggregation - Section E '!A$618:J2787,10,0)=0,"",VLOOKUP(C2461,' Disaggregation - Section E '!A$618:J2787,10,0)),"")</f>
        <v/>
      </c>
      <c r="O2461" s="384"/>
    </row>
    <row r="2462" spans="1:15" x14ac:dyDescent="0.3">
      <c r="A2462" s="384" t="b">
        <f t="shared" ca="1" si="140"/>
        <v>0</v>
      </c>
      <c r="B2462" s="384"/>
      <c r="C2462" s="393" t="str">
        <f ca="1">IF(COUNTA(O$1493:O2462)=1,"",OFFSET(B2460,-COUNTA(O$1493:O2462)+3,1))</f>
        <v>a16Dm000000LZfRIAW</v>
      </c>
      <c r="D2462" s="389"/>
      <c r="E2462" s="386" t="str">
        <f ca="1">IFERROR(IF(VLOOKUP(C2462,' Disaggregation - Section E '!A$618:J2788,7,0)="","",VLOOKUP(C2462,' Disaggregation - Section E '!A$618:J2788,7,0)*100),"")</f>
        <v/>
      </c>
      <c r="F2462" s="388" t="str">
        <f ca="1">IFERROR(VLOOKUP(C2462,' Disaggregation - Section E '!A$618:J2788,5,0),"")</f>
        <v/>
      </c>
      <c r="G2462" s="387" t="str">
        <f ca="1">IFERROR(IF(VLOOKUP(C2462,' Disaggregation - Section E '!A$618:J2788,6,0)="","",VLOOKUP(C2462,' Disaggregation - Section E '!A$618:J2788,6,0)),"")</f>
        <v/>
      </c>
      <c r="H2462" s="387" t="str">
        <f ca="1">IFERROR(IF(INDEX(' Disaggregation - Section E '!F$618:F2788,MATCH(C2462,' Disaggregation - Section E '!A$618:A2788,0)+1,1)&lt;&gt;0,INDEX(' Disaggregation - Section E '!F$618:F2788,MATCH(C2462,' Disaggregation - Section E '!A$618:A2788,0)+1,1),""),"")</f>
        <v/>
      </c>
      <c r="I2462" s="388" t="str">
        <f ca="1">IFERROR(IF(VLOOKUP(C2462,' Disaggregation - Section E '!A$618:J2788,8,0)=0,"",VLOOKUP(C2462,' Disaggregation - Section E '!A$618:J2788,8,0)),"")</f>
        <v/>
      </c>
      <c r="J2462" s="388" t="str">
        <f ca="1">IFERROR(IF(VLOOKUP(C2462,' Disaggregation - Section E '!A$618:J2788,9,0)="","",VLOOKUP(C2462,' Disaggregation - Section E '!A$618:J2788,9,0)),"")</f>
        <v/>
      </c>
      <c r="K2462" s="384" t="str">
        <f ca="1">IFERROR(VLOOKUP(C2462,' Disaggregation - Section E '!A$618:J2788,3,0),"")</f>
        <v>TCS-9 Percentage of people living with HIV and currently on antiretroviral therapy who are receiving multi month dispensing of antiretroviral medicine</v>
      </c>
      <c r="L2462" s="384"/>
      <c r="M2462" s="384" t="str">
        <f ca="1">IFERROR(IF(VLOOKUP(C2462,' Disaggregation - Section E '!A$618:O1591,15,0)=0,"",VLOOKUP(C2462,' Disaggregation - Section E '!A$618:O1591,15,0)),"")</f>
        <v/>
      </c>
      <c r="N2462" s="388" t="str">
        <f ca="1">IFERROR(IF(VLOOKUP(C2462,' Disaggregation - Section E '!A$618:J2788,10,0)=0,"",VLOOKUP(C2462,' Disaggregation - Section E '!A$618:J2788,10,0)),"")</f>
        <v/>
      </c>
      <c r="O2462" s="384"/>
    </row>
    <row r="2463" spans="1:15" x14ac:dyDescent="0.3">
      <c r="A2463" s="384" t="b">
        <f t="shared" ca="1" si="140"/>
        <v>0</v>
      </c>
      <c r="B2463" s="384"/>
      <c r="C2463" s="393" t="str">
        <f ca="1">IF(COUNTA(O$1493:O2463)=1,"",OFFSET(B2461,-COUNTA(O$1493:O2463)+3,1))</f>
        <v>a16Dm000000LZfSIAW</v>
      </c>
      <c r="D2463" s="389"/>
      <c r="E2463" s="386" t="str">
        <f ca="1">IFERROR(IF(VLOOKUP(C2463,' Disaggregation - Section E '!A$618:J2789,7,0)="","",VLOOKUP(C2463,' Disaggregation - Section E '!A$618:J2789,7,0)*100),"")</f>
        <v/>
      </c>
      <c r="F2463" s="388" t="str">
        <f ca="1">IFERROR(VLOOKUP(C2463,' Disaggregation - Section E '!A$618:J2789,5,0),"")</f>
        <v/>
      </c>
      <c r="G2463" s="387" t="str">
        <f ca="1">IFERROR(IF(VLOOKUP(C2463,' Disaggregation - Section E '!A$618:J2789,6,0)="","",VLOOKUP(C2463,' Disaggregation - Section E '!A$618:J2789,6,0)),"")</f>
        <v/>
      </c>
      <c r="H2463" s="387" t="str">
        <f ca="1">IFERROR(IF(INDEX(' Disaggregation - Section E '!F$618:F2789,MATCH(C2463,' Disaggregation - Section E '!A$618:A2789,0)+1,1)&lt;&gt;0,INDEX(' Disaggregation - Section E '!F$618:F2789,MATCH(C2463,' Disaggregation - Section E '!A$618:A2789,0)+1,1),""),"")</f>
        <v/>
      </c>
      <c r="I2463" s="388" t="str">
        <f ca="1">IFERROR(IF(VLOOKUP(C2463,' Disaggregation - Section E '!A$618:J2789,8,0)=0,"",VLOOKUP(C2463,' Disaggregation - Section E '!A$618:J2789,8,0)),"")</f>
        <v/>
      </c>
      <c r="J2463" s="388" t="str">
        <f ca="1">IFERROR(IF(VLOOKUP(C2463,' Disaggregation - Section E '!A$618:J2789,9,0)="","",VLOOKUP(C2463,' Disaggregation - Section E '!A$618:J2789,9,0)),"")</f>
        <v/>
      </c>
      <c r="K2463" s="384" t="str">
        <f ca="1">IFERROR(VLOOKUP(C2463,' Disaggregation - Section E '!A$618:J2789,3,0),"")</f>
        <v>TCS-9 Percentage of people living with HIV and currently on antiretroviral therapy who are receiving multi month dispensing of antiretroviral medicine</v>
      </c>
      <c r="L2463" s="384"/>
      <c r="M2463" s="384" t="str">
        <f ca="1">IFERROR(IF(VLOOKUP(C2463,' Disaggregation - Section E '!A$618:O1592,15,0)=0,"",VLOOKUP(C2463,' Disaggregation - Section E '!A$618:O1592,15,0)),"")</f>
        <v/>
      </c>
      <c r="N2463" s="388" t="str">
        <f ca="1">IFERROR(IF(VLOOKUP(C2463,' Disaggregation - Section E '!A$618:J2789,10,0)=0,"",VLOOKUP(C2463,' Disaggregation - Section E '!A$618:J2789,10,0)),"")</f>
        <v/>
      </c>
      <c r="O2463" s="384"/>
    </row>
    <row r="2464" spans="1:15" x14ac:dyDescent="0.3">
      <c r="A2464" s="384" t="b">
        <f t="shared" ca="1" si="140"/>
        <v>0</v>
      </c>
      <c r="B2464" s="384"/>
      <c r="C2464" s="393" t="str">
        <f ca="1">IF(COUNTA(O$1493:O2464)=1,"",OFFSET(B2462,-COUNTA(O$1493:O2464)+3,1))</f>
        <v>a16Dm000000LZfTIAW</v>
      </c>
      <c r="D2464" s="389"/>
      <c r="E2464" s="386" t="str">
        <f ca="1">IFERROR(IF(VLOOKUP(C2464,' Disaggregation - Section E '!A$618:J2790,7,0)="","",VLOOKUP(C2464,' Disaggregation - Section E '!A$618:J2790,7,0)*100),"")</f>
        <v/>
      </c>
      <c r="F2464" s="388" t="str">
        <f ca="1">IFERROR(VLOOKUP(C2464,' Disaggregation - Section E '!A$618:J2790,5,0),"")</f>
        <v/>
      </c>
      <c r="G2464" s="387" t="str">
        <f ca="1">IFERROR(IF(VLOOKUP(C2464,' Disaggregation - Section E '!A$618:J2790,6,0)="","",VLOOKUP(C2464,' Disaggregation - Section E '!A$618:J2790,6,0)),"")</f>
        <v/>
      </c>
      <c r="H2464" s="387" t="str">
        <f ca="1">IFERROR(IF(INDEX(' Disaggregation - Section E '!F$618:F2790,MATCH(C2464,' Disaggregation - Section E '!A$618:A2790,0)+1,1)&lt;&gt;0,INDEX(' Disaggregation - Section E '!F$618:F2790,MATCH(C2464,' Disaggregation - Section E '!A$618:A2790,0)+1,1),""),"")</f>
        <v/>
      </c>
      <c r="I2464" s="388" t="str">
        <f ca="1">IFERROR(IF(VLOOKUP(C2464,' Disaggregation - Section E '!A$618:J2790,8,0)=0,"",VLOOKUP(C2464,' Disaggregation - Section E '!A$618:J2790,8,0)),"")</f>
        <v/>
      </c>
      <c r="J2464" s="388" t="str">
        <f ca="1">IFERROR(IF(VLOOKUP(C2464,' Disaggregation - Section E '!A$618:J2790,9,0)="","",VLOOKUP(C2464,' Disaggregation - Section E '!A$618:J2790,9,0)),"")</f>
        <v/>
      </c>
      <c r="K2464" s="384" t="str">
        <f ca="1">IFERROR(VLOOKUP(C2464,' Disaggregation - Section E '!A$618:J2790,3,0),"")</f>
        <v>TCS-9 Percentage of people living with HIV and currently on antiretroviral therapy who are receiving multi month dispensing of antiretroviral medicine</v>
      </c>
      <c r="L2464" s="384"/>
      <c r="M2464" s="384" t="str">
        <f ca="1">IFERROR(IF(VLOOKUP(C2464,' Disaggregation - Section E '!A$618:O1593,15,0)=0,"",VLOOKUP(C2464,' Disaggregation - Section E '!A$618:O1593,15,0)),"")</f>
        <v/>
      </c>
      <c r="N2464" s="388" t="str">
        <f ca="1">IFERROR(IF(VLOOKUP(C2464,' Disaggregation - Section E '!A$618:J2790,10,0)=0,"",VLOOKUP(C2464,' Disaggregation - Section E '!A$618:J2790,10,0)),"")</f>
        <v/>
      </c>
      <c r="O2464" s="384"/>
    </row>
    <row r="2465" spans="1:15" x14ac:dyDescent="0.3">
      <c r="A2465" s="384" t="b">
        <f t="shared" ca="1" si="140"/>
        <v>0</v>
      </c>
      <c r="B2465" s="384"/>
      <c r="C2465" s="393" t="str">
        <f ca="1">IF(COUNTA(O$1493:O2465)=1,"",OFFSET(B2463,-COUNTA(O$1493:O2465)+3,1))</f>
        <v>a16Dm000000LZfUIAW</v>
      </c>
      <c r="D2465" s="389"/>
      <c r="E2465" s="386" t="str">
        <f ca="1">IFERROR(IF(VLOOKUP(C2465,' Disaggregation - Section E '!A$618:J2791,7,0)="","",VLOOKUP(C2465,' Disaggregation - Section E '!A$618:J2791,7,0)*100),"")</f>
        <v/>
      </c>
      <c r="F2465" s="388" t="str">
        <f ca="1">IFERROR(VLOOKUP(C2465,' Disaggregation - Section E '!A$618:J2791,5,0),"")</f>
        <v/>
      </c>
      <c r="G2465" s="387" t="str">
        <f ca="1">IFERROR(IF(VLOOKUP(C2465,' Disaggregation - Section E '!A$618:J2791,6,0)="","",VLOOKUP(C2465,' Disaggregation - Section E '!A$618:J2791,6,0)),"")</f>
        <v/>
      </c>
      <c r="H2465" s="387" t="str">
        <f ca="1">IFERROR(IF(INDEX(' Disaggregation - Section E '!F$618:F2791,MATCH(C2465,' Disaggregation - Section E '!A$618:A2791,0)+1,1)&lt;&gt;0,INDEX(' Disaggregation - Section E '!F$618:F2791,MATCH(C2465,' Disaggregation - Section E '!A$618:A2791,0)+1,1),""),"")</f>
        <v/>
      </c>
      <c r="I2465" s="388" t="str">
        <f ca="1">IFERROR(IF(VLOOKUP(C2465,' Disaggregation - Section E '!A$618:J2791,8,0)=0,"",VLOOKUP(C2465,' Disaggregation - Section E '!A$618:J2791,8,0)),"")</f>
        <v/>
      </c>
      <c r="J2465" s="388" t="str">
        <f ca="1">IFERROR(IF(VLOOKUP(C2465,' Disaggregation - Section E '!A$618:J2791,9,0)="","",VLOOKUP(C2465,' Disaggregation - Section E '!A$618:J2791,9,0)),"")</f>
        <v/>
      </c>
      <c r="K2465" s="384" t="str">
        <f ca="1">IFERROR(VLOOKUP(C2465,' Disaggregation - Section E '!A$618:J2791,3,0),"")</f>
        <v>TCS-9 Percentage of people living with HIV and currently on antiretroviral therapy who are receiving multi month dispensing of antiretroviral medicine</v>
      </c>
      <c r="L2465" s="384"/>
      <c r="M2465" s="384" t="str">
        <f ca="1">IFERROR(IF(VLOOKUP(C2465,' Disaggregation - Section E '!A$618:O1594,15,0)=0,"",VLOOKUP(C2465,' Disaggregation - Section E '!A$618:O1594,15,0)),"")</f>
        <v/>
      </c>
      <c r="N2465" s="388" t="str">
        <f ca="1">IFERROR(IF(VLOOKUP(C2465,' Disaggregation - Section E '!A$618:J2791,10,0)=0,"",VLOOKUP(C2465,' Disaggregation - Section E '!A$618:J2791,10,0)),"")</f>
        <v/>
      </c>
      <c r="O2465" s="384"/>
    </row>
    <row r="2466" spans="1:15" x14ac:dyDescent="0.3">
      <c r="A2466" s="384" t="b">
        <f t="shared" ca="1" si="140"/>
        <v>0</v>
      </c>
      <c r="B2466" s="384"/>
      <c r="C2466" s="393" t="str">
        <f ca="1">IF(COUNTA(O$1493:O2466)=1,"",OFFSET(B2464,-COUNTA(O$1493:O2466)+3,1))</f>
        <v>a16Dm000000LZfVIAW</v>
      </c>
      <c r="D2466" s="389"/>
      <c r="E2466" s="386" t="str">
        <f ca="1">IFERROR(IF(VLOOKUP(C2466,' Disaggregation - Section E '!A$618:J2792,7,0)="","",VLOOKUP(C2466,' Disaggregation - Section E '!A$618:J2792,7,0)*100),"")</f>
        <v/>
      </c>
      <c r="F2466" s="388" t="str">
        <f ca="1">IFERROR(VLOOKUP(C2466,' Disaggregation - Section E '!A$618:J2792,5,0),"")</f>
        <v/>
      </c>
      <c r="G2466" s="387" t="str">
        <f ca="1">IFERROR(IF(VLOOKUP(C2466,' Disaggregation - Section E '!A$618:J2792,6,0)="","",VLOOKUP(C2466,' Disaggregation - Section E '!A$618:J2792,6,0)),"")</f>
        <v/>
      </c>
      <c r="H2466" s="387" t="str">
        <f ca="1">IFERROR(IF(INDEX(' Disaggregation - Section E '!F$618:F2792,MATCH(C2466,' Disaggregation - Section E '!A$618:A2792,0)+1,1)&lt;&gt;0,INDEX(' Disaggregation - Section E '!F$618:F2792,MATCH(C2466,' Disaggregation - Section E '!A$618:A2792,0)+1,1),""),"")</f>
        <v/>
      </c>
      <c r="I2466" s="388" t="str">
        <f ca="1">IFERROR(IF(VLOOKUP(C2466,' Disaggregation - Section E '!A$618:J2792,8,0)=0,"",VLOOKUP(C2466,' Disaggregation - Section E '!A$618:J2792,8,0)),"")</f>
        <v/>
      </c>
      <c r="J2466" s="388" t="str">
        <f ca="1">IFERROR(IF(VLOOKUP(C2466,' Disaggregation - Section E '!A$618:J2792,9,0)="","",VLOOKUP(C2466,' Disaggregation - Section E '!A$618:J2792,9,0)),"")</f>
        <v/>
      </c>
      <c r="K2466" s="384" t="str">
        <f ca="1">IFERROR(VLOOKUP(C2466,' Disaggregation - Section E '!A$618:J2792,3,0),"")</f>
        <v>TCS-9 Percentage of people living with HIV and currently on antiretroviral therapy who are receiving multi month dispensing of antiretroviral medicine</v>
      </c>
      <c r="L2466" s="384"/>
      <c r="M2466" s="384" t="str">
        <f ca="1">IFERROR(IF(VLOOKUP(C2466,' Disaggregation - Section E '!A$618:O1595,15,0)=0,"",VLOOKUP(C2466,' Disaggregation - Section E '!A$618:O1595,15,0)),"")</f>
        <v/>
      </c>
      <c r="N2466" s="388" t="str">
        <f ca="1">IFERROR(IF(VLOOKUP(C2466,' Disaggregation - Section E '!A$618:J2792,10,0)=0,"",VLOOKUP(C2466,' Disaggregation - Section E '!A$618:J2792,10,0)),"")</f>
        <v/>
      </c>
      <c r="O2466" s="384"/>
    </row>
    <row r="2467" spans="1:15" x14ac:dyDescent="0.3">
      <c r="A2467" s="384" t="b">
        <f t="shared" ca="1" si="140"/>
        <v>0</v>
      </c>
      <c r="B2467" s="384"/>
      <c r="C2467" s="393" t="str">
        <f ca="1">IF(COUNTA(O$1493:O2467)=1,"",OFFSET(B2465,-COUNTA(O$1493:O2467)+3,1))</f>
        <v>a16Dm000000LZfWIAW</v>
      </c>
      <c r="D2467" s="389"/>
      <c r="E2467" s="386" t="str">
        <f ca="1">IFERROR(IF(VLOOKUP(C2467,' Disaggregation - Section E '!A$618:J2793,7,0)="","",VLOOKUP(C2467,' Disaggregation - Section E '!A$618:J2793,7,0)*100),"")</f>
        <v/>
      </c>
      <c r="F2467" s="388" t="str">
        <f ca="1">IFERROR(VLOOKUP(C2467,' Disaggregation - Section E '!A$618:J2793,5,0),"")</f>
        <v/>
      </c>
      <c r="G2467" s="387" t="str">
        <f ca="1">IFERROR(IF(VLOOKUP(C2467,' Disaggregation - Section E '!A$618:J2793,6,0)="","",VLOOKUP(C2467,' Disaggregation - Section E '!A$618:J2793,6,0)),"")</f>
        <v/>
      </c>
      <c r="H2467" s="387" t="str">
        <f ca="1">IFERROR(IF(INDEX(' Disaggregation - Section E '!F$618:F2793,MATCH(C2467,' Disaggregation - Section E '!A$618:A2793,0)+1,1)&lt;&gt;0,INDEX(' Disaggregation - Section E '!F$618:F2793,MATCH(C2467,' Disaggregation - Section E '!A$618:A2793,0)+1,1),""),"")</f>
        <v/>
      </c>
      <c r="I2467" s="388" t="str">
        <f ca="1">IFERROR(IF(VLOOKUP(C2467,' Disaggregation - Section E '!A$618:J2793,8,0)=0,"",VLOOKUP(C2467,' Disaggregation - Section E '!A$618:J2793,8,0)),"")</f>
        <v/>
      </c>
      <c r="J2467" s="388" t="str">
        <f ca="1">IFERROR(IF(VLOOKUP(C2467,' Disaggregation - Section E '!A$618:J2793,9,0)="","",VLOOKUP(C2467,' Disaggregation - Section E '!A$618:J2793,9,0)),"")</f>
        <v/>
      </c>
      <c r="K2467" s="384" t="str">
        <f ca="1">IFERROR(VLOOKUP(C2467,' Disaggregation - Section E '!A$618:J2793,3,0),"")</f>
        <v>TCS-9 Percentage of people living with HIV and currently on antiretroviral therapy who are receiving multi month dispensing of antiretroviral medicine</v>
      </c>
      <c r="L2467" s="384"/>
      <c r="M2467" s="384" t="str">
        <f ca="1">IFERROR(IF(VLOOKUP(C2467,' Disaggregation - Section E '!A$618:O1596,15,0)=0,"",VLOOKUP(C2467,' Disaggregation - Section E '!A$618:O1596,15,0)),"")</f>
        <v/>
      </c>
      <c r="N2467" s="388" t="str">
        <f ca="1">IFERROR(IF(VLOOKUP(C2467,' Disaggregation - Section E '!A$618:J2793,10,0)=0,"",VLOOKUP(C2467,' Disaggregation - Section E '!A$618:J2793,10,0)),"")</f>
        <v/>
      </c>
      <c r="O2467" s="384"/>
    </row>
    <row r="2468" spans="1:15" x14ac:dyDescent="0.3">
      <c r="A2468" s="384" t="b">
        <f t="shared" ca="1" si="140"/>
        <v>0</v>
      </c>
      <c r="B2468" s="384"/>
      <c r="C2468" s="393" t="str">
        <f ca="1">IF(COUNTA(O$1493:O2468)=1,"",OFFSET(B2466,-COUNTA(O$1493:O2468)+3,1))</f>
        <v>a16Dm000000LZfXIAW</v>
      </c>
      <c r="D2468" s="389"/>
      <c r="E2468" s="386" t="str">
        <f ca="1">IFERROR(IF(VLOOKUP(C2468,' Disaggregation - Section E '!A$618:J2794,7,0)="","",VLOOKUP(C2468,' Disaggregation - Section E '!A$618:J2794,7,0)*100),"")</f>
        <v/>
      </c>
      <c r="F2468" s="388" t="str">
        <f ca="1">IFERROR(VLOOKUP(C2468,' Disaggregation - Section E '!A$618:J2794,5,0),"")</f>
        <v/>
      </c>
      <c r="G2468" s="387" t="str">
        <f ca="1">IFERROR(IF(VLOOKUP(C2468,' Disaggregation - Section E '!A$618:J2794,6,0)="","",VLOOKUP(C2468,' Disaggregation - Section E '!A$618:J2794,6,0)),"")</f>
        <v/>
      </c>
      <c r="H2468" s="387" t="str">
        <f ca="1">IFERROR(IF(INDEX(' Disaggregation - Section E '!F$618:F2794,MATCH(C2468,' Disaggregation - Section E '!A$618:A2794,0)+1,1)&lt;&gt;0,INDEX(' Disaggregation - Section E '!F$618:F2794,MATCH(C2468,' Disaggregation - Section E '!A$618:A2794,0)+1,1),""),"")</f>
        <v/>
      </c>
      <c r="I2468" s="388" t="str">
        <f ca="1">IFERROR(IF(VLOOKUP(C2468,' Disaggregation - Section E '!A$618:J2794,8,0)=0,"",VLOOKUP(C2468,' Disaggregation - Section E '!A$618:J2794,8,0)),"")</f>
        <v/>
      </c>
      <c r="J2468" s="388" t="str">
        <f ca="1">IFERROR(IF(VLOOKUP(C2468,' Disaggregation - Section E '!A$618:J2794,9,0)="","",VLOOKUP(C2468,' Disaggregation - Section E '!A$618:J2794,9,0)),"")</f>
        <v/>
      </c>
      <c r="K2468" s="384" t="str">
        <f ca="1">IFERROR(VLOOKUP(C2468,' Disaggregation - Section E '!A$618:J2794,3,0),"")</f>
        <v>TCS-9 Percentage of people living with HIV and currently on antiretroviral therapy who are receiving multi month dispensing of antiretroviral medicine</v>
      </c>
      <c r="L2468" s="384"/>
      <c r="M2468" s="384" t="str">
        <f ca="1">IFERROR(IF(VLOOKUP(C2468,' Disaggregation - Section E '!A$618:O1597,15,0)=0,"",VLOOKUP(C2468,' Disaggregation - Section E '!A$618:O1597,15,0)),"")</f>
        <v/>
      </c>
      <c r="N2468" s="388" t="str">
        <f ca="1">IFERROR(IF(VLOOKUP(C2468,' Disaggregation - Section E '!A$618:J2794,10,0)=0,"",VLOOKUP(C2468,' Disaggregation - Section E '!A$618:J2794,10,0)),"")</f>
        <v/>
      </c>
      <c r="O2468" s="384"/>
    </row>
    <row r="2469" spans="1:15" x14ac:dyDescent="0.3">
      <c r="A2469" s="384" t="b">
        <f t="shared" ca="1" si="140"/>
        <v>0</v>
      </c>
      <c r="B2469" s="384"/>
      <c r="C2469" s="393" t="str">
        <f ca="1">IF(COUNTA(O$1493:O2469)=1,"",OFFSET(B2467,-COUNTA(O$1493:O2469)+3,1))</f>
        <v>a16Dm000000LZfYIAW</v>
      </c>
      <c r="D2469" s="389"/>
      <c r="E2469" s="386" t="str">
        <f ca="1">IFERROR(IF(VLOOKUP(C2469,' Disaggregation - Section E '!A$618:J2795,7,0)="","",VLOOKUP(C2469,' Disaggregation - Section E '!A$618:J2795,7,0)*100),"")</f>
        <v/>
      </c>
      <c r="F2469" s="388" t="str">
        <f ca="1">IFERROR(VLOOKUP(C2469,' Disaggregation - Section E '!A$618:J2795,5,0),"")</f>
        <v/>
      </c>
      <c r="G2469" s="387" t="str">
        <f ca="1">IFERROR(IF(VLOOKUP(C2469,' Disaggregation - Section E '!A$618:J2795,6,0)="","",VLOOKUP(C2469,' Disaggregation - Section E '!A$618:J2795,6,0)),"")</f>
        <v/>
      </c>
      <c r="H2469" s="387" t="str">
        <f ca="1">IFERROR(IF(INDEX(' Disaggregation - Section E '!F$618:F2795,MATCH(C2469,' Disaggregation - Section E '!A$618:A2795,0)+1,1)&lt;&gt;0,INDEX(' Disaggregation - Section E '!F$618:F2795,MATCH(C2469,' Disaggregation - Section E '!A$618:A2795,0)+1,1),""),"")</f>
        <v/>
      </c>
      <c r="I2469" s="388" t="str">
        <f ca="1">IFERROR(IF(VLOOKUP(C2469,' Disaggregation - Section E '!A$618:J2795,8,0)=0,"",VLOOKUP(C2469,' Disaggregation - Section E '!A$618:J2795,8,0)),"")</f>
        <v/>
      </c>
      <c r="J2469" s="388" t="str">
        <f ca="1">IFERROR(IF(VLOOKUP(C2469,' Disaggregation - Section E '!A$618:J2795,9,0)="","",VLOOKUP(C2469,' Disaggregation - Section E '!A$618:J2795,9,0)),"")</f>
        <v/>
      </c>
      <c r="K2469" s="384" t="str">
        <f ca="1">IFERROR(VLOOKUP(C2469,' Disaggregation - Section E '!A$618:J2795,3,0),"")</f>
        <v>TCS-9 Percentage of people living with HIV and currently on antiretroviral therapy who are receiving multi month dispensing of antiretroviral medicine</v>
      </c>
      <c r="L2469" s="384"/>
      <c r="M2469" s="384" t="str">
        <f ca="1">IFERROR(IF(VLOOKUP(C2469,' Disaggregation - Section E '!A$618:O1598,15,0)=0,"",VLOOKUP(C2469,' Disaggregation - Section E '!A$618:O1598,15,0)),"")</f>
        <v/>
      </c>
      <c r="N2469" s="388" t="str">
        <f ca="1">IFERROR(IF(VLOOKUP(C2469,' Disaggregation - Section E '!A$618:J2795,10,0)=0,"",VLOOKUP(C2469,' Disaggregation - Section E '!A$618:J2795,10,0)),"")</f>
        <v/>
      </c>
      <c r="O2469" s="384"/>
    </row>
    <row r="2470" spans="1:15" x14ac:dyDescent="0.3">
      <c r="A2470" s="384" t="b">
        <f t="shared" ca="1" si="140"/>
        <v>0</v>
      </c>
      <c r="B2470" s="384"/>
      <c r="C2470" s="393" t="str">
        <f ca="1">IF(COUNTA(O$1493:O2470)=1,"",OFFSET(B2468,-COUNTA(O$1493:O2470)+3,1))</f>
        <v>a16Dm000000LZfZIAW</v>
      </c>
      <c r="D2470" s="389"/>
      <c r="E2470" s="386" t="str">
        <f ca="1">IFERROR(IF(VLOOKUP(C2470,' Disaggregation - Section E '!A$618:J2796,7,0)="","",VLOOKUP(C2470,' Disaggregation - Section E '!A$618:J2796,7,0)*100),"")</f>
        <v/>
      </c>
      <c r="F2470" s="388" t="str">
        <f ca="1">IFERROR(VLOOKUP(C2470,' Disaggregation - Section E '!A$618:J2796,5,0),"")</f>
        <v/>
      </c>
      <c r="G2470" s="387" t="str">
        <f ca="1">IFERROR(IF(VLOOKUP(C2470,' Disaggregation - Section E '!A$618:J2796,6,0)="","",VLOOKUP(C2470,' Disaggregation - Section E '!A$618:J2796,6,0)),"")</f>
        <v/>
      </c>
      <c r="H2470" s="387" t="str">
        <f ca="1">IFERROR(IF(INDEX(' Disaggregation - Section E '!F$618:F2796,MATCH(C2470,' Disaggregation - Section E '!A$618:A2796,0)+1,1)&lt;&gt;0,INDEX(' Disaggregation - Section E '!F$618:F2796,MATCH(C2470,' Disaggregation - Section E '!A$618:A2796,0)+1,1),""),"")</f>
        <v/>
      </c>
      <c r="I2470" s="388" t="str">
        <f ca="1">IFERROR(IF(VLOOKUP(C2470,' Disaggregation - Section E '!A$618:J2796,8,0)=0,"",VLOOKUP(C2470,' Disaggregation - Section E '!A$618:J2796,8,0)),"")</f>
        <v/>
      </c>
      <c r="J2470" s="388" t="str">
        <f ca="1">IFERROR(IF(VLOOKUP(C2470,' Disaggregation - Section E '!A$618:J2796,9,0)="","",VLOOKUP(C2470,' Disaggregation - Section E '!A$618:J2796,9,0)),"")</f>
        <v/>
      </c>
      <c r="K2470" s="384" t="str">
        <f ca="1">IFERROR(VLOOKUP(C2470,' Disaggregation - Section E '!A$618:J2796,3,0),"")</f>
        <v>TCS-9 Percentage of people living with HIV and currently on antiretroviral therapy who are receiving multi month dispensing of antiretroviral medicine</v>
      </c>
      <c r="L2470" s="384"/>
      <c r="M2470" s="384" t="str">
        <f ca="1">IFERROR(IF(VLOOKUP(C2470,' Disaggregation - Section E '!A$618:O1599,15,0)=0,"",VLOOKUP(C2470,' Disaggregation - Section E '!A$618:O1599,15,0)),"")</f>
        <v/>
      </c>
      <c r="N2470" s="388" t="str">
        <f ca="1">IFERROR(IF(VLOOKUP(C2470,' Disaggregation - Section E '!A$618:J2796,10,0)=0,"",VLOOKUP(C2470,' Disaggregation - Section E '!A$618:J2796,10,0)),"")</f>
        <v/>
      </c>
      <c r="O2470" s="384"/>
    </row>
    <row r="2471" spans="1:15" x14ac:dyDescent="0.3">
      <c r="A2471" s="384" t="b">
        <f t="shared" ca="1" si="140"/>
        <v>0</v>
      </c>
      <c r="B2471" s="384"/>
      <c r="C2471" s="393" t="str">
        <f ca="1">IF(COUNTA(O$1493:O2471)=1,"",OFFSET(B2469,-COUNTA(O$1493:O2471)+3,1))</f>
        <v>a16Dm000000LZfaIAG</v>
      </c>
      <c r="D2471" s="389"/>
      <c r="E2471" s="386" t="str">
        <f ca="1">IFERROR(IF(VLOOKUP(C2471,' Disaggregation - Section E '!A$618:J2797,7,0)="","",VLOOKUP(C2471,' Disaggregation - Section E '!A$618:J2797,7,0)*100),"")</f>
        <v/>
      </c>
      <c r="F2471" s="388" t="str">
        <f ca="1">IFERROR(VLOOKUP(C2471,' Disaggregation - Section E '!A$618:J2797,5,0),"")</f>
        <v/>
      </c>
      <c r="G2471" s="387" t="str">
        <f ca="1">IFERROR(IF(VLOOKUP(C2471,' Disaggregation - Section E '!A$618:J2797,6,0)="","",VLOOKUP(C2471,' Disaggregation - Section E '!A$618:J2797,6,0)),"")</f>
        <v/>
      </c>
      <c r="H2471" s="387" t="str">
        <f ca="1">IFERROR(IF(INDEX(' Disaggregation - Section E '!F$618:F2797,MATCH(C2471,' Disaggregation - Section E '!A$618:A2797,0)+1,1)&lt;&gt;0,INDEX(' Disaggregation - Section E '!F$618:F2797,MATCH(C2471,' Disaggregation - Section E '!A$618:A2797,0)+1,1),""),"")</f>
        <v/>
      </c>
      <c r="I2471" s="388" t="str">
        <f ca="1">IFERROR(IF(VLOOKUP(C2471,' Disaggregation - Section E '!A$618:J2797,8,0)=0,"",VLOOKUP(C2471,' Disaggregation - Section E '!A$618:J2797,8,0)),"")</f>
        <v/>
      </c>
      <c r="J2471" s="388" t="str">
        <f ca="1">IFERROR(IF(VLOOKUP(C2471,' Disaggregation - Section E '!A$618:J2797,9,0)="","",VLOOKUP(C2471,' Disaggregation - Section E '!A$618:J2797,9,0)),"")</f>
        <v/>
      </c>
      <c r="K2471" s="384" t="str">
        <f ca="1">IFERROR(VLOOKUP(C2471,' Disaggregation - Section E '!A$618:J2797,3,0),"")</f>
        <v>TCS-9 Percentage of people living with HIV and currently on antiretroviral therapy who are receiving multi month dispensing of antiretroviral medicine</v>
      </c>
      <c r="L2471" s="384"/>
      <c r="M2471" s="384" t="str">
        <f ca="1">IFERROR(IF(VLOOKUP(C2471,' Disaggregation - Section E '!A$618:O1600,15,0)=0,"",VLOOKUP(C2471,' Disaggregation - Section E '!A$618:O1600,15,0)),"")</f>
        <v/>
      </c>
      <c r="N2471" s="388" t="str">
        <f ca="1">IFERROR(IF(VLOOKUP(C2471,' Disaggregation - Section E '!A$618:J2797,10,0)=0,"",VLOOKUP(C2471,' Disaggregation - Section E '!A$618:J2797,10,0)),"")</f>
        <v/>
      </c>
      <c r="O2471" s="384"/>
    </row>
    <row r="2472" spans="1:15" x14ac:dyDescent="0.3">
      <c r="A2472" s="384" t="b">
        <f t="shared" ca="1" si="140"/>
        <v>0</v>
      </c>
      <c r="B2472" s="384"/>
      <c r="C2472" s="393" t="str">
        <f ca="1">IF(COUNTA(O$1493:O2472)=1,"",OFFSET(B2470,-COUNTA(O$1493:O2472)+3,1))</f>
        <v>a16Dm000000LZfbIAG</v>
      </c>
      <c r="D2472" s="389"/>
      <c r="E2472" s="386" t="str">
        <f ca="1">IFERROR(IF(VLOOKUP(C2472,' Disaggregation - Section E '!A$618:J2798,7,0)="","",VLOOKUP(C2472,' Disaggregation - Section E '!A$618:J2798,7,0)*100),"")</f>
        <v/>
      </c>
      <c r="F2472" s="388" t="str">
        <f ca="1">IFERROR(VLOOKUP(C2472,' Disaggregation - Section E '!A$618:J2798,5,0),"")</f>
        <v/>
      </c>
      <c r="G2472" s="387" t="str">
        <f ca="1">IFERROR(IF(VLOOKUP(C2472,' Disaggregation - Section E '!A$618:J2798,6,0)="","",VLOOKUP(C2472,' Disaggregation - Section E '!A$618:J2798,6,0)),"")</f>
        <v/>
      </c>
      <c r="H2472" s="387" t="str">
        <f ca="1">IFERROR(IF(INDEX(' Disaggregation - Section E '!F$618:F2798,MATCH(C2472,' Disaggregation - Section E '!A$618:A2798,0)+1,1)&lt;&gt;0,INDEX(' Disaggregation - Section E '!F$618:F2798,MATCH(C2472,' Disaggregation - Section E '!A$618:A2798,0)+1,1),""),"")</f>
        <v/>
      </c>
      <c r="I2472" s="388" t="str">
        <f ca="1">IFERROR(IF(VLOOKUP(C2472,' Disaggregation - Section E '!A$618:J2798,8,0)=0,"",VLOOKUP(C2472,' Disaggregation - Section E '!A$618:J2798,8,0)),"")</f>
        <v/>
      </c>
      <c r="J2472" s="388" t="str">
        <f ca="1">IFERROR(IF(VLOOKUP(C2472,' Disaggregation - Section E '!A$618:J2798,9,0)="","",VLOOKUP(C2472,' Disaggregation - Section E '!A$618:J2798,9,0)),"")</f>
        <v/>
      </c>
      <c r="K2472" s="384" t="str">
        <f ca="1">IFERROR(VLOOKUP(C2472,' Disaggregation - Section E '!A$618:J2798,3,0),"")</f>
        <v>TCS-9 Percentage of people living with HIV and currently on antiretroviral therapy who are receiving multi month dispensing of antiretroviral medicine</v>
      </c>
      <c r="L2472" s="384"/>
      <c r="M2472" s="384" t="str">
        <f ca="1">IFERROR(IF(VLOOKUP(C2472,' Disaggregation - Section E '!A$618:O1601,15,0)=0,"",VLOOKUP(C2472,' Disaggregation - Section E '!A$618:O1601,15,0)),"")</f>
        <v/>
      </c>
      <c r="N2472" s="388" t="str">
        <f ca="1">IFERROR(IF(VLOOKUP(C2472,' Disaggregation - Section E '!A$618:J2798,10,0)=0,"",VLOOKUP(C2472,' Disaggregation - Section E '!A$618:J2798,10,0)),"")</f>
        <v/>
      </c>
      <c r="O2472" s="384"/>
    </row>
    <row r="2473" spans="1:15" x14ac:dyDescent="0.3">
      <c r="A2473" s="384" t="b">
        <f t="shared" ca="1" si="140"/>
        <v>0</v>
      </c>
      <c r="B2473" s="384"/>
      <c r="C2473" s="393" t="str">
        <f ca="1">IF(COUNTA(O$1493:O2473)=1,"",OFFSET(B2471,-COUNTA(O$1493:O2473)+3,1))</f>
        <v>a16Dm000000LZfcIAG</v>
      </c>
      <c r="D2473" s="389"/>
      <c r="E2473" s="386" t="str">
        <f ca="1">IFERROR(IF(VLOOKUP(C2473,' Disaggregation - Section E '!A$618:J2799,7,0)="","",VLOOKUP(C2473,' Disaggregation - Section E '!A$618:J2799,7,0)*100),"")</f>
        <v/>
      </c>
      <c r="F2473" s="388" t="str">
        <f ca="1">IFERROR(VLOOKUP(C2473,' Disaggregation - Section E '!A$618:J2799,5,0),"")</f>
        <v/>
      </c>
      <c r="G2473" s="387" t="str">
        <f ca="1">IFERROR(IF(VLOOKUP(C2473,' Disaggregation - Section E '!A$618:J2799,6,0)="","",VLOOKUP(C2473,' Disaggregation - Section E '!A$618:J2799,6,0)),"")</f>
        <v/>
      </c>
      <c r="H2473" s="387" t="str">
        <f ca="1">IFERROR(IF(INDEX(' Disaggregation - Section E '!F$618:F2799,MATCH(C2473,' Disaggregation - Section E '!A$618:A2799,0)+1,1)&lt;&gt;0,INDEX(' Disaggregation - Section E '!F$618:F2799,MATCH(C2473,' Disaggregation - Section E '!A$618:A2799,0)+1,1),""),"")</f>
        <v/>
      </c>
      <c r="I2473" s="388" t="str">
        <f ca="1">IFERROR(IF(VLOOKUP(C2473,' Disaggregation - Section E '!A$618:J2799,8,0)=0,"",VLOOKUP(C2473,' Disaggregation - Section E '!A$618:J2799,8,0)),"")</f>
        <v/>
      </c>
      <c r="J2473" s="388" t="str">
        <f ca="1">IFERROR(IF(VLOOKUP(C2473,' Disaggregation - Section E '!A$618:J2799,9,0)="","",VLOOKUP(C2473,' Disaggregation - Section E '!A$618:J2799,9,0)),"")</f>
        <v/>
      </c>
      <c r="K2473" s="384" t="str">
        <f ca="1">IFERROR(VLOOKUP(C2473,' Disaggregation - Section E '!A$618:J2799,3,0),"")</f>
        <v>TCS-9 Percentage of people living with HIV and currently on antiretroviral therapy who are receiving multi month dispensing of antiretroviral medicine</v>
      </c>
      <c r="L2473" s="384"/>
      <c r="M2473" s="384" t="str">
        <f ca="1">IFERROR(IF(VLOOKUP(C2473,' Disaggregation - Section E '!A$618:O1602,15,0)=0,"",VLOOKUP(C2473,' Disaggregation - Section E '!A$618:O1602,15,0)),"")</f>
        <v/>
      </c>
      <c r="N2473" s="388" t="str">
        <f ca="1">IFERROR(IF(VLOOKUP(C2473,' Disaggregation - Section E '!A$618:J2799,10,0)=0,"",VLOOKUP(C2473,' Disaggregation - Section E '!A$618:J2799,10,0)),"")</f>
        <v/>
      </c>
      <c r="O2473" s="384"/>
    </row>
    <row r="2474" spans="1:15" x14ac:dyDescent="0.3">
      <c r="A2474" s="384" t="b">
        <f t="shared" ca="1" si="140"/>
        <v>0</v>
      </c>
      <c r="B2474" s="384"/>
      <c r="C2474" s="393" t="str">
        <f ca="1">IF(COUNTA(O$1493:O2474)=1,"",OFFSET(B2472,-COUNTA(O$1493:O2474)+3,1))</f>
        <v>a16Dm000000LZfdIAG</v>
      </c>
      <c r="D2474" s="389"/>
      <c r="E2474" s="386" t="str">
        <f ca="1">IFERROR(IF(VLOOKUP(C2474,' Disaggregation - Section E '!A$618:J2800,7,0)="","",VLOOKUP(C2474,' Disaggregation - Section E '!A$618:J2800,7,0)*100),"")</f>
        <v/>
      </c>
      <c r="F2474" s="388" t="str">
        <f ca="1">IFERROR(VLOOKUP(C2474,' Disaggregation - Section E '!A$618:J2800,5,0),"")</f>
        <v/>
      </c>
      <c r="G2474" s="387" t="str">
        <f ca="1">IFERROR(IF(VLOOKUP(C2474,' Disaggregation - Section E '!A$618:J2800,6,0)="","",VLOOKUP(C2474,' Disaggregation - Section E '!A$618:J2800,6,0)),"")</f>
        <v/>
      </c>
      <c r="H2474" s="387" t="str">
        <f ca="1">IFERROR(IF(INDEX(' Disaggregation - Section E '!F$618:F2800,MATCH(C2474,' Disaggregation - Section E '!A$618:A2800,0)+1,1)&lt;&gt;0,INDEX(' Disaggregation - Section E '!F$618:F2800,MATCH(C2474,' Disaggregation - Section E '!A$618:A2800,0)+1,1),""),"")</f>
        <v/>
      </c>
      <c r="I2474" s="388" t="str">
        <f ca="1">IFERROR(IF(VLOOKUP(C2474,' Disaggregation - Section E '!A$618:J2800,8,0)=0,"",VLOOKUP(C2474,' Disaggregation - Section E '!A$618:J2800,8,0)),"")</f>
        <v/>
      </c>
      <c r="J2474" s="388" t="str">
        <f ca="1">IFERROR(IF(VLOOKUP(C2474,' Disaggregation - Section E '!A$618:J2800,9,0)="","",VLOOKUP(C2474,' Disaggregation - Section E '!A$618:J2800,9,0)),"")</f>
        <v/>
      </c>
      <c r="K2474" s="384" t="str">
        <f ca="1">IFERROR(VLOOKUP(C2474,' Disaggregation - Section E '!A$618:J2800,3,0),"")</f>
        <v>TCS-9 Percentage of people living with HIV and currently on antiretroviral therapy who are receiving multi month dispensing of antiretroviral medicine</v>
      </c>
      <c r="L2474" s="384"/>
      <c r="M2474" s="384" t="str">
        <f ca="1">IFERROR(IF(VLOOKUP(C2474,' Disaggregation - Section E '!A$618:O1603,15,0)=0,"",VLOOKUP(C2474,' Disaggregation - Section E '!A$618:O1603,15,0)),"")</f>
        <v/>
      </c>
      <c r="N2474" s="388" t="str">
        <f ca="1">IFERROR(IF(VLOOKUP(C2474,' Disaggregation - Section E '!A$618:J2800,10,0)=0,"",VLOOKUP(C2474,' Disaggregation - Section E '!A$618:J2800,10,0)),"")</f>
        <v/>
      </c>
      <c r="O2474" s="384"/>
    </row>
    <row r="2475" spans="1:15" x14ac:dyDescent="0.3">
      <c r="A2475" s="384" t="b">
        <f t="shared" ca="1" si="140"/>
        <v>1</v>
      </c>
      <c r="B2475" s="384"/>
      <c r="C2475" s="393" t="str">
        <f ca="1">IF(COUNTA(O$1493:O2475)=1,"",OFFSET(B2473,-COUNTA(O$1493:O2475)+3,1))</f>
        <v>a16Dm000000LZfeIAG</v>
      </c>
      <c r="D2475" s="389"/>
      <c r="E2475" s="386">
        <f ca="1">IFERROR(IF(VLOOKUP(C2475,' Disaggregation - Section E '!A$618:J2801,7,0)="","",VLOOKUP(C2475,' Disaggregation - Section E '!A$618:J2801,7,0)*100),"")</f>
        <v>98</v>
      </c>
      <c r="F2475" s="388" t="str">
        <f ca="1">IFERROR(VLOOKUP(C2475,' Disaggregation - Section E '!A$618:J2801,5,0),"")</f>
        <v>15+</v>
      </c>
      <c r="G2475" s="387">
        <f ca="1">IFERROR(IF(VLOOKUP(C2475,' Disaggregation - Section E '!A$618:J2801,6,0)="","",VLOOKUP(C2475,' Disaggregation - Section E '!A$618:J2801,6,0)),"")</f>
        <v>901</v>
      </c>
      <c r="H2475" s="387">
        <f ca="1">IFERROR(IF(INDEX(' Disaggregation - Section E '!F$618:F2801,MATCH(C2475,' Disaggregation - Section E '!A$618:A2801,0)+1,1)&lt;&gt;0,INDEX(' Disaggregation - Section E '!F$618:F2801,MATCH(C2475,' Disaggregation - Section E '!A$618:A2801,0)+1,1),""),"")</f>
        <v>908</v>
      </c>
      <c r="I2475" s="388">
        <f ca="1">IFERROR(IF(VLOOKUP(C2475,' Disaggregation - Section E '!A$618:J2801,8,0)=0,"",VLOOKUP(C2475,' Disaggregation - Section E '!A$618:J2801,8,0)),"")</f>
        <v>2021</v>
      </c>
      <c r="J2475" s="388" t="str">
        <f ca="1">IFERROR(IF(VLOOKUP(C2475,' Disaggregation - Section E '!A$618:J2801,9,0)="","",VLOOKUP(C2475,' Disaggregation - Section E '!A$618:J2801,9,0)),"")</f>
        <v>The report of the National TB Center</v>
      </c>
      <c r="K2475" s="384" t="str">
        <f ca="1">IFERROR(VLOOKUP(C2475,' Disaggregation - Section E '!A$618:J2801,3,0),"")</f>
        <v>DRTB-2⁽ᴹ⁾ Number of people with confirmed RR-TB and/or MDR-TB notified</v>
      </c>
      <c r="L2475" s="384"/>
      <c r="M2475" s="384" t="str">
        <f ca="1">IFERROR(IF(VLOOKUP(C2475,' Disaggregation - Section E '!A$618:O1604,15,0)=0,"",VLOOKUP(C2475,' Disaggregation - Section E '!A$618:O1604,15,0)),"")</f>
        <v>IDR-01378</v>
      </c>
      <c r="N2475" s="388" t="str">
        <f ca="1">IFERROR(IF(VLOOKUP(C2475,' Disaggregation - Section E '!A$618:J2801,10,0)=0,"",VLOOKUP(C2475,' Disaggregation - Section E '!A$618:J2801,10,0)),"")</f>
        <v xml:space="preserve">Totally 59 children under 15 years old were notified in the reporting period, but only 19 out of them were bacteriologically confirmed. Proportion of children among all RR/MDR TB cases was traditionally about 2%. </v>
      </c>
      <c r="O2475" s="384"/>
    </row>
    <row r="2476" spans="1:15" x14ac:dyDescent="0.3">
      <c r="A2476" s="384" t="b">
        <f t="shared" ca="1" si="140"/>
        <v>1</v>
      </c>
      <c r="B2476" s="384"/>
      <c r="C2476" s="393" t="str">
        <f ca="1">IF(COUNTA(O$1493:O2476)=1,"",OFFSET(B2474,-COUNTA(O$1493:O2476)+3,1))</f>
        <v>a16Dm000000LZffIAG</v>
      </c>
      <c r="D2476" s="389"/>
      <c r="E2476" s="386" t="str">
        <f ca="1">IFERROR(IF(VLOOKUP(C2476,' Disaggregation - Section E '!A$618:J2802,7,0)="","",VLOOKUP(C2476,' Disaggregation - Section E '!A$618:J2802,7,0)*100),"")</f>
        <v/>
      </c>
      <c r="F2476" s="388" t="str">
        <f ca="1">IFERROR(VLOOKUP(C2476,' Disaggregation - Section E '!A$618:J2802,5,0),"")</f>
        <v>Unknown</v>
      </c>
      <c r="G2476" s="387" t="str">
        <f ca="1">IFERROR(IF(VLOOKUP(C2476,' Disaggregation - Section E '!A$618:J2802,6,0)="","",VLOOKUP(C2476,' Disaggregation - Section E '!A$618:J2802,6,0)),"")</f>
        <v/>
      </c>
      <c r="H2476" s="387" t="str">
        <f ca="1">IFERROR(IF(INDEX(' Disaggregation - Section E '!F$618:F2802,MATCH(C2476,' Disaggregation - Section E '!A$618:A2802,0)+1,1)&lt;&gt;0,INDEX(' Disaggregation - Section E '!F$618:F2802,MATCH(C2476,' Disaggregation - Section E '!A$618:A2802,0)+1,1),""),"")</f>
        <v/>
      </c>
      <c r="I2476" s="388">
        <f ca="1">IFERROR(IF(VLOOKUP(C2476,' Disaggregation - Section E '!A$618:J2802,8,0)=0,"",VLOOKUP(C2476,' Disaggregation - Section E '!A$618:J2802,8,0)),"")</f>
        <v>2021</v>
      </c>
      <c r="J2476" s="388" t="str">
        <f ca="1">IFERROR(IF(VLOOKUP(C2476,' Disaggregation - Section E '!A$618:J2802,9,0)="","",VLOOKUP(C2476,' Disaggregation - Section E '!A$618:J2802,9,0)),"")</f>
        <v>The report of the National TB Center</v>
      </c>
      <c r="K2476" s="384" t="str">
        <f ca="1">IFERROR(VLOOKUP(C2476,' Disaggregation - Section E '!A$618:J2802,3,0),"")</f>
        <v>DRTB-2⁽ᴹ⁾ Number of people with confirmed RR-TB and/or MDR-TB notified</v>
      </c>
      <c r="L2476" s="384"/>
      <c r="M2476" s="384" t="str">
        <f ca="1">IFERROR(IF(VLOOKUP(C2476,' Disaggregation - Section E '!A$618:O1605,15,0)=0,"",VLOOKUP(C2476,' Disaggregation - Section E '!A$618:O1605,15,0)),"")</f>
        <v>IDR-01377</v>
      </c>
      <c r="N2476" s="388" t="str">
        <f ca="1">IFERROR(IF(VLOOKUP(C2476,' Disaggregation - Section E '!A$618:J2802,10,0)=0,"",VLOOKUP(C2476,' Disaggregation - Section E '!A$618:J2802,10,0)),"")</f>
        <v xml:space="preserve">The national R&amp;R system allows to diagregate data only at RR/MDR TB cases whith HIV positive status and other cases.   </v>
      </c>
      <c r="O2476" s="384"/>
    </row>
    <row r="2477" spans="1:15" x14ac:dyDescent="0.3">
      <c r="A2477" s="384" t="b">
        <f t="shared" ca="1" si="140"/>
        <v>1</v>
      </c>
      <c r="B2477" s="384"/>
      <c r="C2477" s="393" t="str">
        <f ca="1">IF(COUNTA(O$1493:O2477)=1,"",OFFSET(B2475,-COUNTA(O$1493:O2477)+3,1))</f>
        <v>a16Dm000000LZfgIAG</v>
      </c>
      <c r="D2477" s="389"/>
      <c r="E2477" s="386">
        <f ca="1">IFERROR(IF(VLOOKUP(C2477,' Disaggregation - Section E '!A$618:J2803,7,0)="","",VLOOKUP(C2477,' Disaggregation - Section E '!A$618:J2803,7,0)*100),"")</f>
        <v>1.8722466960352422</v>
      </c>
      <c r="F2477" s="388" t="str">
        <f ca="1">IFERROR(VLOOKUP(C2477,' Disaggregation - Section E '!A$618:J2803,5,0),"")</f>
        <v>&lt;15</v>
      </c>
      <c r="G2477" s="387">
        <f ca="1">IFERROR(IF(VLOOKUP(C2477,' Disaggregation - Section E '!A$618:J2803,6,0)="","",VLOOKUP(C2477,' Disaggregation - Section E '!A$618:J2803,6,0)),"")</f>
        <v>17</v>
      </c>
      <c r="H2477" s="387">
        <f ca="1">IFERROR(IF(INDEX(' Disaggregation - Section E '!F$618:F2803,MATCH(C2477,' Disaggregation - Section E '!A$618:A2803,0)+1,1)&lt;&gt;0,INDEX(' Disaggregation - Section E '!F$618:F2803,MATCH(C2477,' Disaggregation - Section E '!A$618:A2803,0)+1,1),""),"")</f>
        <v>908</v>
      </c>
      <c r="I2477" s="388">
        <f ca="1">IFERROR(IF(VLOOKUP(C2477,' Disaggregation - Section E '!A$618:J2803,8,0)=0,"",VLOOKUP(C2477,' Disaggregation - Section E '!A$618:J2803,8,0)),"")</f>
        <v>2021</v>
      </c>
      <c r="J2477" s="388" t="str">
        <f ca="1">IFERROR(IF(VLOOKUP(C2477,' Disaggregation - Section E '!A$618:J2803,9,0)="","",VLOOKUP(C2477,' Disaggregation - Section E '!A$618:J2803,9,0)),"")</f>
        <v>The report of the National TB Center</v>
      </c>
      <c r="K2477" s="384" t="str">
        <f ca="1">IFERROR(VLOOKUP(C2477,' Disaggregation - Section E '!A$618:J2803,3,0),"")</f>
        <v>DRTB-2⁽ᴹ⁾ Number of people with confirmed RR-TB and/or MDR-TB notified</v>
      </c>
      <c r="L2477" s="384"/>
      <c r="M2477" s="384" t="str">
        <f ca="1">IFERROR(IF(VLOOKUP(C2477,' Disaggregation - Section E '!A$618:O1606,15,0)=0,"",VLOOKUP(C2477,' Disaggregation - Section E '!A$618:O1606,15,0)),"")</f>
        <v>IDR-01376</v>
      </c>
      <c r="N2477" s="388" t="str">
        <f ca="1">IFERROR(IF(VLOOKUP(C2477,' Disaggregation - Section E '!A$618:J2803,10,0)=0,"",VLOOKUP(C2477,' Disaggregation - Section E '!A$618:J2803,10,0)),"")</f>
        <v xml:space="preserve">Totally 59 children under 15 years old were notified in the reporting period, but only 19 out of them were bacteriologically confirmed. Proportion of children among all RR/MDR TB cases was traditionally about 2%. </v>
      </c>
      <c r="O2477" s="384"/>
    </row>
    <row r="2478" spans="1:15" x14ac:dyDescent="0.3">
      <c r="A2478" s="384" t="b">
        <f t="shared" ca="1" si="140"/>
        <v>1</v>
      </c>
      <c r="B2478" s="384"/>
      <c r="C2478" s="393" t="str">
        <f ca="1">IF(COUNTA(O$1493:O2478)=1,"",OFFSET(B2476,-COUNTA(O$1493:O2478)+3,1))</f>
        <v>a16Dm000000LZfhIAG</v>
      </c>
      <c r="D2478" s="389"/>
      <c r="E2478" s="386" t="str">
        <f ca="1">IFERROR(IF(VLOOKUP(C2478,' Disaggregation - Section E '!A$618:J2804,7,0)="","",VLOOKUP(C2478,' Disaggregation - Section E '!A$618:J2804,7,0)*100),"")</f>
        <v/>
      </c>
      <c r="F2478" s="388" t="str">
        <f ca="1">IFERROR(VLOOKUP(C2478,' Disaggregation - Section E '!A$618:J2804,5,0),"")</f>
        <v>Male</v>
      </c>
      <c r="G2478" s="387" t="str">
        <f ca="1">IFERROR(IF(VLOOKUP(C2478,' Disaggregation - Section E '!A$618:J2804,6,0)="","",VLOOKUP(C2478,' Disaggregation - Section E '!A$618:J2804,6,0)),"")</f>
        <v/>
      </c>
      <c r="H2478" s="387" t="str">
        <f ca="1">IFERROR(IF(INDEX(' Disaggregation - Section E '!F$618:F2804,MATCH(C2478,' Disaggregation - Section E '!A$618:A2804,0)+1,1)&lt;&gt;0,INDEX(' Disaggregation - Section E '!F$618:F2804,MATCH(C2478,' Disaggregation - Section E '!A$618:A2804,0)+1,1),""),"")</f>
        <v/>
      </c>
      <c r="I2478" s="388">
        <f ca="1">IFERROR(IF(VLOOKUP(C2478,' Disaggregation - Section E '!A$618:J2804,8,0)=0,"",VLOOKUP(C2478,' Disaggregation - Section E '!A$618:J2804,8,0)),"")</f>
        <v>2021</v>
      </c>
      <c r="J2478" s="388" t="str">
        <f ca="1">IFERROR(IF(VLOOKUP(C2478,' Disaggregation - Section E '!A$618:J2804,9,0)="","",VLOOKUP(C2478,' Disaggregation - Section E '!A$618:J2804,9,0)),"")</f>
        <v>The report of the National TB Center</v>
      </c>
      <c r="K2478" s="384" t="str">
        <f ca="1">IFERROR(VLOOKUP(C2478,' Disaggregation - Section E '!A$618:J2804,3,0),"")</f>
        <v>DRTB-2⁽ᴹ⁾ Number of people with confirmed RR-TB and/or MDR-TB notified</v>
      </c>
      <c r="L2478" s="384"/>
      <c r="M2478" s="384" t="str">
        <f ca="1">IFERROR(IF(VLOOKUP(C2478,' Disaggregation - Section E '!A$618:O1607,15,0)=0,"",VLOOKUP(C2478,' Disaggregation - Section E '!A$618:O1607,15,0)),"")</f>
        <v>IDR-01375</v>
      </c>
      <c r="N2478" s="388" t="str">
        <f ca="1">IFERROR(IF(VLOOKUP(C2478,' Disaggregation - Section E '!A$618:J2804,10,0)=0,"",VLOOKUP(C2478,' Disaggregation - Section E '!A$618:J2804,10,0)),"")</f>
        <v xml:space="preserve">Approximately, 69% out of all RR/MDR TB cases notified in 2021 were males. According to NTP, the national digital data base doesn’t allow to get a report on # of cases disaggregated by gender. National R&amp;R system includes only disaggregated data for all RR/MDR TB cases (bacteriologically confirmed and clinically diagnosed). </v>
      </c>
      <c r="O2478" s="384"/>
    </row>
    <row r="2479" spans="1:15" x14ac:dyDescent="0.3">
      <c r="A2479" s="384" t="b">
        <f t="shared" ref="A2479:A2542" ca="1" si="141">IF(M2479&lt;&gt;"",TRUE,FALSE)</f>
        <v>1</v>
      </c>
      <c r="B2479" s="384"/>
      <c r="C2479" s="393" t="str">
        <f ca="1">IF(COUNTA(O$1493:O2479)=1,"",OFFSET(B2477,-COUNTA(O$1493:O2479)+3,1))</f>
        <v>a16Dm000000LZfiIAG</v>
      </c>
      <c r="D2479" s="389"/>
      <c r="E2479" s="386">
        <f ca="1">IFERROR(IF(VLOOKUP(C2479,' Disaggregation - Section E '!A$618:J2805,7,0)="","",VLOOKUP(C2479,' Disaggregation - Section E '!A$618:J2805,7,0)*100),"")</f>
        <v>97.907488986784145</v>
      </c>
      <c r="F2479" s="388" t="str">
        <f ca="1">IFERROR(VLOOKUP(C2479,' Disaggregation - Section E '!A$618:J2805,5,0),"")</f>
        <v>Negative</v>
      </c>
      <c r="G2479" s="387">
        <f ca="1">IFERROR(IF(VLOOKUP(C2479,' Disaggregation - Section E '!A$618:J2805,6,0)="","",VLOOKUP(C2479,' Disaggregation - Section E '!A$618:J2805,6,0)),"")</f>
        <v>889</v>
      </c>
      <c r="H2479" s="387">
        <f ca="1">IFERROR(IF(INDEX(' Disaggregation - Section E '!F$618:F2805,MATCH(C2479,' Disaggregation - Section E '!A$618:A2805,0)+1,1)&lt;&gt;0,INDEX(' Disaggregation - Section E '!F$618:F2805,MATCH(C2479,' Disaggregation - Section E '!A$618:A2805,0)+1,1),""),"")</f>
        <v>908</v>
      </c>
      <c r="I2479" s="388">
        <f ca="1">IFERROR(IF(VLOOKUP(C2479,' Disaggregation - Section E '!A$618:J2805,8,0)=0,"",VLOOKUP(C2479,' Disaggregation - Section E '!A$618:J2805,8,0)),"")</f>
        <v>2021</v>
      </c>
      <c r="J2479" s="388" t="str">
        <f ca="1">IFERROR(IF(VLOOKUP(C2479,' Disaggregation - Section E '!A$618:J2805,9,0)="","",VLOOKUP(C2479,' Disaggregation - Section E '!A$618:J2805,9,0)),"")</f>
        <v>The report of the National TB Center</v>
      </c>
      <c r="K2479" s="384" t="str">
        <f ca="1">IFERROR(VLOOKUP(C2479,' Disaggregation - Section E '!A$618:J2805,3,0),"")</f>
        <v>DRTB-2⁽ᴹ⁾ Number of people with confirmed RR-TB and/or MDR-TB notified</v>
      </c>
      <c r="L2479" s="384"/>
      <c r="M2479" s="384" t="str">
        <f ca="1">IFERROR(IF(VLOOKUP(C2479,' Disaggregation - Section E '!A$618:O1608,15,0)=0,"",VLOOKUP(C2479,' Disaggregation - Section E '!A$618:O1608,15,0)),"")</f>
        <v>IDR-01374</v>
      </c>
      <c r="N2479" s="388" t="str">
        <f ca="1">IFERROR(IF(VLOOKUP(C2479,' Disaggregation - Section E '!A$618:J2805,10,0)=0,"",VLOOKUP(C2479,' Disaggregation - Section E '!A$618:J2805,10,0)),"")</f>
        <v xml:space="preserve">The national R&amp;R system allows to diagregate data only at RR/MDR TB cases whith HIV positive status and other cases.   </v>
      </c>
      <c r="O2479" s="384"/>
    </row>
    <row r="2480" spans="1:15" x14ac:dyDescent="0.3">
      <c r="A2480" s="384" t="b">
        <f t="shared" ca="1" si="141"/>
        <v>1</v>
      </c>
      <c r="B2480" s="384"/>
      <c r="C2480" s="393" t="str">
        <f ca="1">IF(COUNTA(O$1493:O2480)=1,"",OFFSET(B2478,-COUNTA(O$1493:O2480)+3,1))</f>
        <v>a16Dm000000LZfjIAG</v>
      </c>
      <c r="D2480" s="389"/>
      <c r="E2480" s="386" t="str">
        <f ca="1">IFERROR(IF(VLOOKUP(C2480,' Disaggregation - Section E '!A$618:J2806,7,0)="","",VLOOKUP(C2480,' Disaggregation - Section E '!A$618:J2806,7,0)*100),"")</f>
        <v/>
      </c>
      <c r="F2480" s="388" t="str">
        <f ca="1">IFERROR(VLOOKUP(C2480,' Disaggregation - Section E '!A$618:J2806,5,0),"")</f>
        <v>Female</v>
      </c>
      <c r="G2480" s="387" t="str">
        <f ca="1">IFERROR(IF(VLOOKUP(C2480,' Disaggregation - Section E '!A$618:J2806,6,0)="","",VLOOKUP(C2480,' Disaggregation - Section E '!A$618:J2806,6,0)),"")</f>
        <v/>
      </c>
      <c r="H2480" s="387" t="str">
        <f ca="1">IFERROR(IF(INDEX(' Disaggregation - Section E '!F$618:F2806,MATCH(C2480,' Disaggregation - Section E '!A$618:A2806,0)+1,1)&lt;&gt;0,INDEX(' Disaggregation - Section E '!F$618:F2806,MATCH(C2480,' Disaggregation - Section E '!A$618:A2806,0)+1,1),""),"")</f>
        <v/>
      </c>
      <c r="I2480" s="388">
        <f ca="1">IFERROR(IF(VLOOKUP(C2480,' Disaggregation - Section E '!A$618:J2806,8,0)=0,"",VLOOKUP(C2480,' Disaggregation - Section E '!A$618:J2806,8,0)),"")</f>
        <v>2021</v>
      </c>
      <c r="J2480" s="388" t="str">
        <f ca="1">IFERROR(IF(VLOOKUP(C2480,' Disaggregation - Section E '!A$618:J2806,9,0)="","",VLOOKUP(C2480,' Disaggregation - Section E '!A$618:J2806,9,0)),"")</f>
        <v>The report of the National TB Center</v>
      </c>
      <c r="K2480" s="384" t="str">
        <f ca="1">IFERROR(VLOOKUP(C2480,' Disaggregation - Section E '!A$618:J2806,3,0),"")</f>
        <v>DRTB-2⁽ᴹ⁾ Number of people with confirmed RR-TB and/or MDR-TB notified</v>
      </c>
      <c r="L2480" s="384"/>
      <c r="M2480" s="384" t="str">
        <f ca="1">IFERROR(IF(VLOOKUP(C2480,' Disaggregation - Section E '!A$618:O1609,15,0)=0,"",VLOOKUP(C2480,' Disaggregation - Section E '!A$618:O1609,15,0)),"")</f>
        <v>IDR-01373</v>
      </c>
      <c r="N2480" s="388" t="str">
        <f ca="1">IFERROR(IF(VLOOKUP(C2480,' Disaggregation - Section E '!A$618:J2806,10,0)=0,"",VLOOKUP(C2480,' Disaggregation - Section E '!A$618:J2806,10,0)),"")</f>
        <v xml:space="preserve">405 out of 986 all RR/MDR TB cases (bacteriologically confirmed and clinically diagnosed) were notified in 2021 what made up 41% among all RR/MDR TB cases. According to NTP, the national digital data base doesn’t allow to get a report on # of cases disaggregated by gender. National R&amp;R system includes only disaggregated data for all RR/MDR TB cases (bacteriologically confirmed and clinically diagnosed). </v>
      </c>
      <c r="O2480" s="384"/>
    </row>
    <row r="2481" spans="1:15" x14ac:dyDescent="0.3">
      <c r="A2481" s="384" t="b">
        <f t="shared" ca="1" si="141"/>
        <v>1</v>
      </c>
      <c r="B2481" s="384"/>
      <c r="C2481" s="393" t="str">
        <f ca="1">IF(COUNTA(O$1493:O2481)=1,"",OFFSET(B2479,-COUNTA(O$1493:O2481)+3,1))</f>
        <v>a16Dm000000LZfkIAG</v>
      </c>
      <c r="D2481" s="389"/>
      <c r="E2481" s="386">
        <f ca="1">IFERROR(IF(VLOOKUP(C2481,' Disaggregation - Section E '!A$618:J2807,7,0)="","",VLOOKUP(C2481,' Disaggregation - Section E '!A$618:J2807,7,0)*100),"")</f>
        <v>3.1938325991189425</v>
      </c>
      <c r="F2481" s="388" t="str">
        <f ca="1">IFERROR(VLOOKUP(C2481,' Disaggregation - Section E '!A$618:J2807,5,0),"")</f>
        <v>Positive</v>
      </c>
      <c r="G2481" s="387">
        <f ca="1">IFERROR(IF(VLOOKUP(C2481,' Disaggregation - Section E '!A$618:J2807,6,0)="","",VLOOKUP(C2481,' Disaggregation - Section E '!A$618:J2807,6,0)),"")</f>
        <v>29</v>
      </c>
      <c r="H2481" s="387">
        <f ca="1">IFERROR(IF(INDEX(' Disaggregation - Section E '!F$618:F2807,MATCH(C2481,' Disaggregation - Section E '!A$618:A2807,0)+1,1)&lt;&gt;0,INDEX(' Disaggregation - Section E '!F$618:F2807,MATCH(C2481,' Disaggregation - Section E '!A$618:A2807,0)+1,1),""),"")</f>
        <v>908</v>
      </c>
      <c r="I2481" s="388">
        <f ca="1">IFERROR(IF(VLOOKUP(C2481,' Disaggregation - Section E '!A$618:J2807,8,0)=0,"",VLOOKUP(C2481,' Disaggregation - Section E '!A$618:J2807,8,0)),"")</f>
        <v>2021</v>
      </c>
      <c r="J2481" s="388" t="str">
        <f ca="1">IFERROR(IF(VLOOKUP(C2481,' Disaggregation - Section E '!A$618:J2807,9,0)="","",VLOOKUP(C2481,' Disaggregation - Section E '!A$618:J2807,9,0)),"")</f>
        <v>The report of the National TB Center</v>
      </c>
      <c r="K2481" s="384" t="str">
        <f ca="1">IFERROR(VLOOKUP(C2481,' Disaggregation - Section E '!A$618:J2807,3,0),"")</f>
        <v>DRTB-2⁽ᴹ⁾ Number of people with confirmed RR-TB and/or MDR-TB notified</v>
      </c>
      <c r="L2481" s="384"/>
      <c r="M2481" s="384" t="str">
        <f ca="1">IFERROR(IF(VLOOKUP(C2481,' Disaggregation - Section E '!A$618:O1610,15,0)=0,"",VLOOKUP(C2481,' Disaggregation - Section E '!A$618:O1610,15,0)),"")</f>
        <v>IDR-01372</v>
      </c>
      <c r="N2481" s="388" t="str">
        <f ca="1">IFERROR(IF(VLOOKUP(C2481,' Disaggregation - Section E '!A$618:J2807,10,0)=0,"",VLOOKUP(C2481,' Disaggregation - Section E '!A$618:J2807,10,0)),"")</f>
        <v xml:space="preserve">The national R&amp;R system allows to diagregate data only at RR/MDR TB cases whith HIV positive status and other cases.   </v>
      </c>
      <c r="O2481" s="384"/>
    </row>
    <row r="2482" spans="1:15" x14ac:dyDescent="0.3">
      <c r="A2482" s="384" t="b">
        <f t="shared" ca="1" si="141"/>
        <v>0</v>
      </c>
      <c r="B2482" s="384"/>
      <c r="C2482" s="393" t="str">
        <f ca="1">IF(COUNTA(O$1493:O2482)=1,"",OFFSET(B2480,-COUNTA(O$1493:O2482)+3,1))</f>
        <v>a16Dm000000LZflIAG</v>
      </c>
      <c r="D2482" s="389"/>
      <c r="E2482" s="386" t="str">
        <f ca="1">IFERROR(IF(VLOOKUP(C2482,' Disaggregation - Section E '!A$618:J2808,7,0)="","",VLOOKUP(C2482,' Disaggregation - Section E '!A$618:J2808,7,0)*100),"")</f>
        <v/>
      </c>
      <c r="F2482" s="388" t="str">
        <f ca="1">IFERROR(VLOOKUP(C2482,' Disaggregation - Section E '!A$618:J2808,5,0),"")</f>
        <v/>
      </c>
      <c r="G2482" s="387" t="str">
        <f ca="1">IFERROR(IF(VLOOKUP(C2482,' Disaggregation - Section E '!A$618:J2808,6,0)="","",VLOOKUP(C2482,' Disaggregation - Section E '!A$618:J2808,6,0)),"")</f>
        <v/>
      </c>
      <c r="H2482" s="387" t="str">
        <f ca="1">IFERROR(IF(INDEX(' Disaggregation - Section E '!F$618:F2808,MATCH(C2482,' Disaggregation - Section E '!A$618:A2808,0)+1,1)&lt;&gt;0,INDEX(' Disaggregation - Section E '!F$618:F2808,MATCH(C2482,' Disaggregation - Section E '!A$618:A2808,0)+1,1),""),"")</f>
        <v/>
      </c>
      <c r="I2482" s="388">
        <f ca="1">IFERROR(IF(VLOOKUP(C2482,' Disaggregation - Section E '!A$618:J2808,8,0)=0,"",VLOOKUP(C2482,' Disaggregation - Section E '!A$618:J2808,8,0)),"")</f>
        <v>2022</v>
      </c>
      <c r="J2482" s="388" t="str">
        <f ca="1">IFERROR(IF(VLOOKUP(C2482,' Disaggregation - Section E '!A$618:J2808,9,0)="","",VLOOKUP(C2482,' Disaggregation - Section E '!A$618:J2808,9,0)),"")</f>
        <v xml:space="preserve">Electronic HIV Case Tracking System and RCHV&amp;HIV report
</v>
      </c>
      <c r="K2482" s="384" t="str">
        <f ca="1">IFERROR(VLOOKUP(C2482,' Disaggregation - Section E '!A$618:J2808,3,0),"")</f>
        <v>DRTB-2⁽ᴹ⁾ Number of people with confirmed RR-TB and/or MDR-TB notified</v>
      </c>
      <c r="L2482" s="384"/>
      <c r="M2482" s="384" t="str">
        <f ca="1">IFERROR(IF(VLOOKUP(C2482,' Disaggregation - Section E '!A$618:O1611,15,0)=0,"",VLOOKUP(C2482,' Disaggregation - Section E '!A$618:O1611,15,0)),"")</f>
        <v/>
      </c>
      <c r="N2482" s="388" t="str">
        <f ca="1">IFERROR(IF(VLOOKUP(C2482,' Disaggregation - Section E '!A$618:J2808,10,0)=0,"",VLOOKUP(C2482,' Disaggregation - Section E '!A$618:J2808,10,0)),"")</f>
        <v/>
      </c>
      <c r="O2482" s="384"/>
    </row>
    <row r="2483" spans="1:15" x14ac:dyDescent="0.3">
      <c r="A2483" s="384" t="b">
        <f t="shared" ca="1" si="141"/>
        <v>0</v>
      </c>
      <c r="B2483" s="384"/>
      <c r="C2483" s="393" t="str">
        <f ca="1">IF(COUNTA(O$1493:O2483)=1,"",OFFSET(B2481,-COUNTA(O$1493:O2483)+3,1))</f>
        <v>a16Dm000000LZfmIAG</v>
      </c>
      <c r="D2483" s="389"/>
      <c r="E2483" s="386" t="str">
        <f ca="1">IFERROR(IF(VLOOKUP(C2483,' Disaggregation - Section E '!A$618:J2809,7,0)="","",VLOOKUP(C2483,' Disaggregation - Section E '!A$618:J2809,7,0)*100),"")</f>
        <v/>
      </c>
      <c r="F2483" s="388" t="str">
        <f ca="1">IFERROR(VLOOKUP(C2483,' Disaggregation - Section E '!A$618:J2809,5,0),"")</f>
        <v/>
      </c>
      <c r="G2483" s="387" t="str">
        <f ca="1">IFERROR(IF(VLOOKUP(C2483,' Disaggregation - Section E '!A$618:J2809,6,0)="","",VLOOKUP(C2483,' Disaggregation - Section E '!A$618:J2809,6,0)),"")</f>
        <v/>
      </c>
      <c r="H2483" s="387" t="str">
        <f ca="1">IFERROR(IF(INDEX(' Disaggregation - Section E '!F$618:F2809,MATCH(C2483,' Disaggregation - Section E '!A$618:A2809,0)+1,1)&lt;&gt;0,INDEX(' Disaggregation - Section E '!F$618:F2809,MATCH(C2483,' Disaggregation - Section E '!A$618:A2809,0)+1,1),""),"")</f>
        <v/>
      </c>
      <c r="I2483" s="388">
        <f ca="1">IFERROR(IF(VLOOKUP(C2483,' Disaggregation - Section E '!A$618:J2809,8,0)=0,"",VLOOKUP(C2483,' Disaggregation - Section E '!A$618:J2809,8,0)),"")</f>
        <v>2022</v>
      </c>
      <c r="J2483" s="388" t="str">
        <f ca="1">IFERROR(IF(VLOOKUP(C2483,' Disaggregation - Section E '!A$618:J2809,9,0)="","",VLOOKUP(C2483,' Disaggregation - Section E '!A$618:J2809,9,0)),"")</f>
        <v xml:space="preserve">Electronic HIV Case Tracking System and RCHV&amp;HIV report
</v>
      </c>
      <c r="K2483" s="384" t="str">
        <f ca="1">IFERROR(VLOOKUP(C2483,' Disaggregation - Section E '!A$618:J2809,3,0),"")</f>
        <v>DRTB-2⁽ᴹ⁾ Number of people with confirmed RR-TB and/or MDR-TB notified</v>
      </c>
      <c r="L2483" s="384"/>
      <c r="M2483" s="384" t="str">
        <f ca="1">IFERROR(IF(VLOOKUP(C2483,' Disaggregation - Section E '!A$618:O1612,15,0)=0,"",VLOOKUP(C2483,' Disaggregation - Section E '!A$618:O1612,15,0)),"")</f>
        <v/>
      </c>
      <c r="N2483" s="388" t="str">
        <f ca="1">IFERROR(IF(VLOOKUP(C2483,' Disaggregation - Section E '!A$618:J2809,10,0)=0,"",VLOOKUP(C2483,' Disaggregation - Section E '!A$618:J2809,10,0)),"")</f>
        <v/>
      </c>
      <c r="O2483" s="384"/>
    </row>
    <row r="2484" spans="1:15" x14ac:dyDescent="0.3">
      <c r="A2484" s="384" t="b">
        <f t="shared" ca="1" si="141"/>
        <v>0</v>
      </c>
      <c r="B2484" s="384"/>
      <c r="C2484" s="393" t="str">
        <f ca="1">IF(COUNTA(O$1493:O2484)=1,"",OFFSET(B2482,-COUNTA(O$1493:O2484)+3,1))</f>
        <v>a16Dm000000LZfnIAG</v>
      </c>
      <c r="D2484" s="389"/>
      <c r="E2484" s="386" t="str">
        <f ca="1">IFERROR(IF(VLOOKUP(C2484,' Disaggregation - Section E '!A$618:J2810,7,0)="","",VLOOKUP(C2484,' Disaggregation - Section E '!A$618:J2810,7,0)*100),"")</f>
        <v/>
      </c>
      <c r="F2484" s="388" t="str">
        <f ca="1">IFERROR(VLOOKUP(C2484,' Disaggregation - Section E '!A$618:J2810,5,0),"")</f>
        <v/>
      </c>
      <c r="G2484" s="387" t="str">
        <f ca="1">IFERROR(IF(VLOOKUP(C2484,' Disaggregation - Section E '!A$618:J2810,6,0)="","",VLOOKUP(C2484,' Disaggregation - Section E '!A$618:J2810,6,0)),"")</f>
        <v/>
      </c>
      <c r="H2484" s="387" t="str">
        <f ca="1">IFERROR(IF(INDEX(' Disaggregation - Section E '!F$618:F2810,MATCH(C2484,' Disaggregation - Section E '!A$618:A2810,0)+1,1)&lt;&gt;0,INDEX(' Disaggregation - Section E '!F$618:F2810,MATCH(C2484,' Disaggregation - Section E '!A$618:A2810,0)+1,1),""),"")</f>
        <v/>
      </c>
      <c r="I2484" s="388">
        <f ca="1">IFERROR(IF(VLOOKUP(C2484,' Disaggregation - Section E '!A$618:J2810,8,0)=0,"",VLOOKUP(C2484,' Disaggregation - Section E '!A$618:J2810,8,0)),"")</f>
        <v>2022</v>
      </c>
      <c r="J2484" s="388" t="str">
        <f ca="1">IFERROR(IF(VLOOKUP(C2484,' Disaggregation - Section E '!A$618:J2810,9,0)="","",VLOOKUP(C2484,' Disaggregation - Section E '!A$618:J2810,9,0)),"")</f>
        <v xml:space="preserve">Electronic HIV Case Tracking System and RCHV&amp;HIV report
</v>
      </c>
      <c r="K2484" s="384" t="str">
        <f ca="1">IFERROR(VLOOKUP(C2484,' Disaggregation - Section E '!A$618:J2810,3,0),"")</f>
        <v>DRTB-2⁽ᴹ⁾ Number of people with confirmed RR-TB and/or MDR-TB notified</v>
      </c>
      <c r="L2484" s="384"/>
      <c r="M2484" s="384" t="str">
        <f ca="1">IFERROR(IF(VLOOKUP(C2484,' Disaggregation - Section E '!A$618:O1613,15,0)=0,"",VLOOKUP(C2484,' Disaggregation - Section E '!A$618:O1613,15,0)),"")</f>
        <v/>
      </c>
      <c r="N2484" s="388" t="str">
        <f ca="1">IFERROR(IF(VLOOKUP(C2484,' Disaggregation - Section E '!A$618:J2810,10,0)=0,"",VLOOKUP(C2484,' Disaggregation - Section E '!A$618:J2810,10,0)),"")</f>
        <v/>
      </c>
      <c r="O2484" s="384"/>
    </row>
    <row r="2485" spans="1:15" x14ac:dyDescent="0.3">
      <c r="A2485" s="384" t="b">
        <f t="shared" ca="1" si="141"/>
        <v>0</v>
      </c>
      <c r="B2485" s="384"/>
      <c r="C2485" s="393" t="str">
        <f ca="1">IF(COUNTA(O$1493:O2485)=1,"",OFFSET(B2483,-COUNTA(O$1493:O2485)+3,1))</f>
        <v>a16Dm000000LZfoIAG</v>
      </c>
      <c r="D2485" s="389"/>
      <c r="E2485" s="386" t="str">
        <f ca="1">IFERROR(IF(VLOOKUP(C2485,' Disaggregation - Section E '!A$618:J2811,7,0)="","",VLOOKUP(C2485,' Disaggregation - Section E '!A$618:J2811,7,0)*100),"")</f>
        <v/>
      </c>
      <c r="F2485" s="388" t="str">
        <f ca="1">IFERROR(VLOOKUP(C2485,' Disaggregation - Section E '!A$618:J2811,5,0),"")</f>
        <v/>
      </c>
      <c r="G2485" s="387" t="str">
        <f ca="1">IFERROR(IF(VLOOKUP(C2485,' Disaggregation - Section E '!A$618:J2811,6,0)="","",VLOOKUP(C2485,' Disaggregation - Section E '!A$618:J2811,6,0)),"")</f>
        <v/>
      </c>
      <c r="H2485" s="387" t="str">
        <f ca="1">IFERROR(IF(INDEX(' Disaggregation - Section E '!F$618:F2811,MATCH(C2485,' Disaggregation - Section E '!A$618:A2811,0)+1,1)&lt;&gt;0,INDEX(' Disaggregation - Section E '!F$618:F2811,MATCH(C2485,' Disaggregation - Section E '!A$618:A2811,0)+1,1),""),"")</f>
        <v/>
      </c>
      <c r="I2485" s="388" t="str">
        <f ca="1">IFERROR(IF(VLOOKUP(C2485,' Disaggregation - Section E '!A$618:J2811,8,0)=0,"",VLOOKUP(C2485,' Disaggregation - Section E '!A$618:J2811,8,0)),"")</f>
        <v/>
      </c>
      <c r="J2485" s="388" t="str">
        <f ca="1">IFERROR(IF(VLOOKUP(C2485,' Disaggregation - Section E '!A$618:J2811,9,0)="","",VLOOKUP(C2485,' Disaggregation - Section E '!A$618:J2811,9,0)),"")</f>
        <v/>
      </c>
      <c r="K2485" s="384" t="str">
        <f ca="1">IFERROR(VLOOKUP(C2485,' Disaggregation - Section E '!A$618:J2811,3,0),"")</f>
        <v>DRTB-2⁽ᴹ⁾ Number of people with confirmed RR-TB and/or MDR-TB notified</v>
      </c>
      <c r="L2485" s="384"/>
      <c r="M2485" s="384" t="str">
        <f ca="1">IFERROR(IF(VLOOKUP(C2485,' Disaggregation - Section E '!A$618:O1614,15,0)=0,"",VLOOKUP(C2485,' Disaggregation - Section E '!A$618:O1614,15,0)),"")</f>
        <v/>
      </c>
      <c r="N2485" s="388" t="str">
        <f ca="1">IFERROR(IF(VLOOKUP(C2485,' Disaggregation - Section E '!A$618:J2811,10,0)=0,"",VLOOKUP(C2485,' Disaggregation - Section E '!A$618:J2811,10,0)),"")</f>
        <v/>
      </c>
      <c r="O2485" s="384"/>
    </row>
    <row r="2486" spans="1:15" x14ac:dyDescent="0.3">
      <c r="A2486" s="384" t="b">
        <f t="shared" ca="1" si="141"/>
        <v>0</v>
      </c>
      <c r="B2486" s="384"/>
      <c r="C2486" s="393" t="str">
        <f ca="1">IF(COUNTA(O$1493:O2486)=1,"",OFFSET(B2484,-COUNTA(O$1493:O2486)+3,1))</f>
        <v>a16Dm000000LZfpIAG</v>
      </c>
      <c r="D2486" s="389"/>
      <c r="E2486" s="386" t="str">
        <f ca="1">IFERROR(IF(VLOOKUP(C2486,' Disaggregation - Section E '!A$618:J2812,7,0)="","",VLOOKUP(C2486,' Disaggregation - Section E '!A$618:J2812,7,0)*100),"")</f>
        <v/>
      </c>
      <c r="F2486" s="388" t="str">
        <f ca="1">IFERROR(VLOOKUP(C2486,' Disaggregation - Section E '!A$618:J2812,5,0),"")</f>
        <v/>
      </c>
      <c r="G2486" s="387" t="str">
        <f ca="1">IFERROR(IF(VLOOKUP(C2486,' Disaggregation - Section E '!A$618:J2812,6,0)="","",VLOOKUP(C2486,' Disaggregation - Section E '!A$618:J2812,6,0)),"")</f>
        <v/>
      </c>
      <c r="H2486" s="387" t="str">
        <f ca="1">IFERROR(IF(INDEX(' Disaggregation - Section E '!F$618:F2812,MATCH(C2486,' Disaggregation - Section E '!A$618:A2812,0)+1,1)&lt;&gt;0,INDEX(' Disaggregation - Section E '!F$618:F2812,MATCH(C2486,' Disaggregation - Section E '!A$618:A2812,0)+1,1),""),"")</f>
        <v/>
      </c>
      <c r="I2486" s="388" t="str">
        <f ca="1">IFERROR(IF(VLOOKUP(C2486,' Disaggregation - Section E '!A$618:J2812,8,0)=0,"",VLOOKUP(C2486,' Disaggregation - Section E '!A$618:J2812,8,0)),"")</f>
        <v/>
      </c>
      <c r="J2486" s="388" t="str">
        <f ca="1">IFERROR(IF(VLOOKUP(C2486,' Disaggregation - Section E '!A$618:J2812,9,0)="","",VLOOKUP(C2486,' Disaggregation - Section E '!A$618:J2812,9,0)),"")</f>
        <v/>
      </c>
      <c r="K2486" s="384" t="str">
        <f ca="1">IFERROR(VLOOKUP(C2486,' Disaggregation - Section E '!A$618:J2812,3,0),"")</f>
        <v>DRTB-2⁽ᴹ⁾ Number of people with confirmed RR-TB and/or MDR-TB notified</v>
      </c>
      <c r="L2486" s="384"/>
      <c r="M2486" s="384" t="str">
        <f ca="1">IFERROR(IF(VLOOKUP(C2486,' Disaggregation - Section E '!A$618:O1615,15,0)=0,"",VLOOKUP(C2486,' Disaggregation - Section E '!A$618:O1615,15,0)),"")</f>
        <v/>
      </c>
      <c r="N2486" s="388" t="str">
        <f ca="1">IFERROR(IF(VLOOKUP(C2486,' Disaggregation - Section E '!A$618:J2812,10,0)=0,"",VLOOKUP(C2486,' Disaggregation - Section E '!A$618:J2812,10,0)),"")</f>
        <v/>
      </c>
      <c r="O2486" s="384"/>
    </row>
    <row r="2487" spans="1:15" x14ac:dyDescent="0.3">
      <c r="A2487" s="384" t="b">
        <f t="shared" ca="1" si="141"/>
        <v>0</v>
      </c>
      <c r="B2487" s="384"/>
      <c r="C2487" s="393" t="str">
        <f ca="1">IF(COUNTA(O$1493:O2487)=1,"",OFFSET(B2485,-COUNTA(O$1493:O2487)+3,1))</f>
        <v>a16Dm000000LZfqIAG</v>
      </c>
      <c r="D2487" s="389"/>
      <c r="E2487" s="386" t="str">
        <f ca="1">IFERROR(IF(VLOOKUP(C2487,' Disaggregation - Section E '!A$618:J2813,7,0)="","",VLOOKUP(C2487,' Disaggregation - Section E '!A$618:J2813,7,0)*100),"")</f>
        <v/>
      </c>
      <c r="F2487" s="388" t="str">
        <f ca="1">IFERROR(VLOOKUP(C2487,' Disaggregation - Section E '!A$618:J2813,5,0),"")</f>
        <v/>
      </c>
      <c r="G2487" s="387" t="str">
        <f ca="1">IFERROR(IF(VLOOKUP(C2487,' Disaggregation - Section E '!A$618:J2813,6,0)="","",VLOOKUP(C2487,' Disaggregation - Section E '!A$618:J2813,6,0)),"")</f>
        <v/>
      </c>
      <c r="H2487" s="387" t="str">
        <f ca="1">IFERROR(IF(INDEX(' Disaggregation - Section E '!F$618:F2813,MATCH(C2487,' Disaggregation - Section E '!A$618:A2813,0)+1,1)&lt;&gt;0,INDEX(' Disaggregation - Section E '!F$618:F2813,MATCH(C2487,' Disaggregation - Section E '!A$618:A2813,0)+1,1),""),"")</f>
        <v/>
      </c>
      <c r="I2487" s="388" t="str">
        <f ca="1">IFERROR(IF(VLOOKUP(C2487,' Disaggregation - Section E '!A$618:J2813,8,0)=0,"",VLOOKUP(C2487,' Disaggregation - Section E '!A$618:J2813,8,0)),"")</f>
        <v/>
      </c>
      <c r="J2487" s="388" t="str">
        <f ca="1">IFERROR(IF(VLOOKUP(C2487,' Disaggregation - Section E '!A$618:J2813,9,0)="","",VLOOKUP(C2487,' Disaggregation - Section E '!A$618:J2813,9,0)),"")</f>
        <v/>
      </c>
      <c r="K2487" s="384" t="str">
        <f ca="1">IFERROR(VLOOKUP(C2487,' Disaggregation - Section E '!A$618:J2813,3,0),"")</f>
        <v>DRTB-2⁽ᴹ⁾ Number of people with confirmed RR-TB and/or MDR-TB notified</v>
      </c>
      <c r="L2487" s="384"/>
      <c r="M2487" s="384" t="str">
        <f ca="1">IFERROR(IF(VLOOKUP(C2487,' Disaggregation - Section E '!A$618:O1616,15,0)=0,"",VLOOKUP(C2487,' Disaggregation - Section E '!A$618:O1616,15,0)),"")</f>
        <v/>
      </c>
      <c r="N2487" s="388" t="str">
        <f ca="1">IFERROR(IF(VLOOKUP(C2487,' Disaggregation - Section E '!A$618:J2813,10,0)=0,"",VLOOKUP(C2487,' Disaggregation - Section E '!A$618:J2813,10,0)),"")</f>
        <v/>
      </c>
      <c r="O2487" s="384"/>
    </row>
    <row r="2488" spans="1:15" x14ac:dyDescent="0.3">
      <c r="A2488" s="384" t="b">
        <f t="shared" ca="1" si="141"/>
        <v>0</v>
      </c>
      <c r="B2488" s="384"/>
      <c r="C2488" s="393" t="str">
        <f ca="1">IF(COUNTA(O$1493:O2488)=1,"",OFFSET(B2486,-COUNTA(O$1493:O2488)+3,1))</f>
        <v>a16Dm000000LZfrIAG</v>
      </c>
      <c r="D2488" s="389"/>
      <c r="E2488" s="386" t="str">
        <f ca="1">IFERROR(IF(VLOOKUP(C2488,' Disaggregation - Section E '!A$618:J2814,7,0)="","",VLOOKUP(C2488,' Disaggregation - Section E '!A$618:J2814,7,0)*100),"")</f>
        <v/>
      </c>
      <c r="F2488" s="388" t="str">
        <f ca="1">IFERROR(VLOOKUP(C2488,' Disaggregation - Section E '!A$618:J2814,5,0),"")</f>
        <v/>
      </c>
      <c r="G2488" s="387" t="str">
        <f ca="1">IFERROR(IF(VLOOKUP(C2488,' Disaggregation - Section E '!A$618:J2814,6,0)="","",VLOOKUP(C2488,' Disaggregation - Section E '!A$618:J2814,6,0)),"")</f>
        <v/>
      </c>
      <c r="H2488" s="387" t="str">
        <f ca="1">IFERROR(IF(INDEX(' Disaggregation - Section E '!F$618:F2814,MATCH(C2488,' Disaggregation - Section E '!A$618:A2814,0)+1,1)&lt;&gt;0,INDEX(' Disaggregation - Section E '!F$618:F2814,MATCH(C2488,' Disaggregation - Section E '!A$618:A2814,0)+1,1),""),"")</f>
        <v/>
      </c>
      <c r="I2488" s="388" t="str">
        <f ca="1">IFERROR(IF(VLOOKUP(C2488,' Disaggregation - Section E '!A$618:J2814,8,0)=0,"",VLOOKUP(C2488,' Disaggregation - Section E '!A$618:J2814,8,0)),"")</f>
        <v/>
      </c>
      <c r="J2488" s="388" t="str">
        <f ca="1">IFERROR(IF(VLOOKUP(C2488,' Disaggregation - Section E '!A$618:J2814,9,0)="","",VLOOKUP(C2488,' Disaggregation - Section E '!A$618:J2814,9,0)),"")</f>
        <v/>
      </c>
      <c r="K2488" s="384" t="str">
        <f ca="1">IFERROR(VLOOKUP(C2488,' Disaggregation - Section E '!A$618:J2814,3,0),"")</f>
        <v>DRTB-2⁽ᴹ⁾ Number of people with confirmed RR-TB and/or MDR-TB notified</v>
      </c>
      <c r="L2488" s="384"/>
      <c r="M2488" s="384" t="str">
        <f ca="1">IFERROR(IF(VLOOKUP(C2488,' Disaggregation - Section E '!A$618:O1617,15,0)=0,"",VLOOKUP(C2488,' Disaggregation - Section E '!A$618:O1617,15,0)),"")</f>
        <v/>
      </c>
      <c r="N2488" s="388" t="str">
        <f ca="1">IFERROR(IF(VLOOKUP(C2488,' Disaggregation - Section E '!A$618:J2814,10,0)=0,"",VLOOKUP(C2488,' Disaggregation - Section E '!A$618:J2814,10,0)),"")</f>
        <v/>
      </c>
      <c r="O2488" s="384"/>
    </row>
    <row r="2489" spans="1:15" x14ac:dyDescent="0.3">
      <c r="A2489" s="384" t="b">
        <f t="shared" ca="1" si="141"/>
        <v>0</v>
      </c>
      <c r="B2489" s="384"/>
      <c r="C2489" s="393" t="str">
        <f ca="1">IF(COUNTA(O$1493:O2489)=1,"",OFFSET(B2487,-COUNTA(O$1493:O2489)+3,1))</f>
        <v>a16Dm000000LZfsIAG</v>
      </c>
      <c r="D2489" s="389"/>
      <c r="E2489" s="386" t="str">
        <f ca="1">IFERROR(IF(VLOOKUP(C2489,' Disaggregation - Section E '!A$618:J2815,7,0)="","",VLOOKUP(C2489,' Disaggregation - Section E '!A$618:J2815,7,0)*100),"")</f>
        <v/>
      </c>
      <c r="F2489" s="388" t="str">
        <f ca="1">IFERROR(VLOOKUP(C2489,' Disaggregation - Section E '!A$618:J2815,5,0),"")</f>
        <v/>
      </c>
      <c r="G2489" s="387" t="str">
        <f ca="1">IFERROR(IF(VLOOKUP(C2489,' Disaggregation - Section E '!A$618:J2815,6,0)="","",VLOOKUP(C2489,' Disaggregation - Section E '!A$618:J2815,6,0)),"")</f>
        <v/>
      </c>
      <c r="H2489" s="387" t="str">
        <f ca="1">IFERROR(IF(INDEX(' Disaggregation - Section E '!F$618:F2815,MATCH(C2489,' Disaggregation - Section E '!A$618:A2815,0)+1,1)&lt;&gt;0,INDEX(' Disaggregation - Section E '!F$618:F2815,MATCH(C2489,' Disaggregation - Section E '!A$618:A2815,0)+1,1),""),"")</f>
        <v/>
      </c>
      <c r="I2489" s="388" t="str">
        <f ca="1">IFERROR(IF(VLOOKUP(C2489,' Disaggregation - Section E '!A$618:J2815,8,0)=0,"",VLOOKUP(C2489,' Disaggregation - Section E '!A$618:J2815,8,0)),"")</f>
        <v/>
      </c>
      <c r="J2489" s="388" t="str">
        <f ca="1">IFERROR(IF(VLOOKUP(C2489,' Disaggregation - Section E '!A$618:J2815,9,0)="","",VLOOKUP(C2489,' Disaggregation - Section E '!A$618:J2815,9,0)),"")</f>
        <v/>
      </c>
      <c r="K2489" s="384" t="str">
        <f ca="1">IFERROR(VLOOKUP(C2489,' Disaggregation - Section E '!A$618:J2815,3,0),"")</f>
        <v>DRTB-2⁽ᴹ⁾ Number of people with confirmed RR-TB and/or MDR-TB notified</v>
      </c>
      <c r="L2489" s="384"/>
      <c r="M2489" s="384" t="str">
        <f ca="1">IFERROR(IF(VLOOKUP(C2489,' Disaggregation - Section E '!A$618:O1618,15,0)=0,"",VLOOKUP(C2489,' Disaggregation - Section E '!A$618:O1618,15,0)),"")</f>
        <v/>
      </c>
      <c r="N2489" s="388" t="str">
        <f ca="1">IFERROR(IF(VLOOKUP(C2489,' Disaggregation - Section E '!A$618:J2815,10,0)=0,"",VLOOKUP(C2489,' Disaggregation - Section E '!A$618:J2815,10,0)),"")</f>
        <v/>
      </c>
      <c r="O2489" s="384"/>
    </row>
    <row r="2490" spans="1:15" x14ac:dyDescent="0.3">
      <c r="A2490" s="384" t="b">
        <f t="shared" ca="1" si="141"/>
        <v>0</v>
      </c>
      <c r="B2490" s="384"/>
      <c r="C2490" s="393" t="str">
        <f ca="1">IF(COUNTA(O$1493:O2490)=1,"",OFFSET(B2488,-COUNTA(O$1493:O2490)+3,1))</f>
        <v>a16Dm000000LZftIAG</v>
      </c>
      <c r="D2490" s="389"/>
      <c r="E2490" s="386" t="str">
        <f ca="1">IFERROR(IF(VLOOKUP(C2490,' Disaggregation - Section E '!A$618:J2816,7,0)="","",VLOOKUP(C2490,' Disaggregation - Section E '!A$618:J2816,7,0)*100),"")</f>
        <v/>
      </c>
      <c r="F2490" s="388" t="str">
        <f ca="1">IFERROR(VLOOKUP(C2490,' Disaggregation - Section E '!A$618:J2816,5,0),"")</f>
        <v/>
      </c>
      <c r="G2490" s="387" t="str">
        <f ca="1">IFERROR(IF(VLOOKUP(C2490,' Disaggregation - Section E '!A$618:J2816,6,0)="","",VLOOKUP(C2490,' Disaggregation - Section E '!A$618:J2816,6,0)),"")</f>
        <v/>
      </c>
      <c r="H2490" s="387" t="str">
        <f ca="1">IFERROR(IF(INDEX(' Disaggregation - Section E '!F$618:F2816,MATCH(C2490,' Disaggregation - Section E '!A$618:A2816,0)+1,1)&lt;&gt;0,INDEX(' Disaggregation - Section E '!F$618:F2816,MATCH(C2490,' Disaggregation - Section E '!A$618:A2816,0)+1,1),""),"")</f>
        <v/>
      </c>
      <c r="I2490" s="388" t="str">
        <f ca="1">IFERROR(IF(VLOOKUP(C2490,' Disaggregation - Section E '!A$618:J2816,8,0)=0,"",VLOOKUP(C2490,' Disaggregation - Section E '!A$618:J2816,8,0)),"")</f>
        <v/>
      </c>
      <c r="J2490" s="388" t="str">
        <f ca="1">IFERROR(IF(VLOOKUP(C2490,' Disaggregation - Section E '!A$618:J2816,9,0)="","",VLOOKUP(C2490,' Disaggregation - Section E '!A$618:J2816,9,0)),"")</f>
        <v/>
      </c>
      <c r="K2490" s="384" t="str">
        <f ca="1">IFERROR(VLOOKUP(C2490,' Disaggregation - Section E '!A$618:J2816,3,0),"")</f>
        <v>DRTB-2⁽ᴹ⁾ Number of people with confirmed RR-TB and/or MDR-TB notified</v>
      </c>
      <c r="L2490" s="384"/>
      <c r="M2490" s="384" t="str">
        <f ca="1">IFERROR(IF(VLOOKUP(C2490,' Disaggregation - Section E '!A$618:O1619,15,0)=0,"",VLOOKUP(C2490,' Disaggregation - Section E '!A$618:O1619,15,0)),"")</f>
        <v/>
      </c>
      <c r="N2490" s="388" t="str">
        <f ca="1">IFERROR(IF(VLOOKUP(C2490,' Disaggregation - Section E '!A$618:J2816,10,0)=0,"",VLOOKUP(C2490,' Disaggregation - Section E '!A$618:J2816,10,0)),"")</f>
        <v/>
      </c>
      <c r="O2490" s="384"/>
    </row>
    <row r="2491" spans="1:15" x14ac:dyDescent="0.3">
      <c r="A2491" s="384" t="b">
        <f t="shared" ca="1" si="141"/>
        <v>0</v>
      </c>
      <c r="B2491" s="384"/>
      <c r="C2491" s="393" t="str">
        <f ca="1">IF(COUNTA(O$1493:O2491)=1,"",OFFSET(B2489,-COUNTA(O$1493:O2491)+3,1))</f>
        <v>a16Dm000000LZfuIAG</v>
      </c>
      <c r="D2491" s="389"/>
      <c r="E2491" s="386" t="str">
        <f ca="1">IFERROR(IF(VLOOKUP(C2491,' Disaggregation - Section E '!A$618:J2817,7,0)="","",VLOOKUP(C2491,' Disaggregation - Section E '!A$618:J2817,7,0)*100),"")</f>
        <v/>
      </c>
      <c r="F2491" s="388" t="str">
        <f ca="1">IFERROR(VLOOKUP(C2491,' Disaggregation - Section E '!A$618:J2817,5,0),"")</f>
        <v/>
      </c>
      <c r="G2491" s="387" t="str">
        <f ca="1">IFERROR(IF(VLOOKUP(C2491,' Disaggregation - Section E '!A$618:J2817,6,0)="","",VLOOKUP(C2491,' Disaggregation - Section E '!A$618:J2817,6,0)),"")</f>
        <v/>
      </c>
      <c r="H2491" s="387" t="str">
        <f ca="1">IFERROR(IF(INDEX(' Disaggregation - Section E '!F$618:F2817,MATCH(C2491,' Disaggregation - Section E '!A$618:A2817,0)+1,1)&lt;&gt;0,INDEX(' Disaggregation - Section E '!F$618:F2817,MATCH(C2491,' Disaggregation - Section E '!A$618:A2817,0)+1,1),""),"")</f>
        <v/>
      </c>
      <c r="I2491" s="388" t="str">
        <f ca="1">IFERROR(IF(VLOOKUP(C2491,' Disaggregation - Section E '!A$618:J2817,8,0)=0,"",VLOOKUP(C2491,' Disaggregation - Section E '!A$618:J2817,8,0)),"")</f>
        <v/>
      </c>
      <c r="J2491" s="388" t="str">
        <f ca="1">IFERROR(IF(VLOOKUP(C2491,' Disaggregation - Section E '!A$618:J2817,9,0)="","",VLOOKUP(C2491,' Disaggregation - Section E '!A$618:J2817,9,0)),"")</f>
        <v/>
      </c>
      <c r="K2491" s="384" t="str">
        <f ca="1">IFERROR(VLOOKUP(C2491,' Disaggregation - Section E '!A$618:J2817,3,0),"")</f>
        <v>DRTB-2⁽ᴹ⁾ Number of people with confirmed RR-TB and/or MDR-TB notified</v>
      </c>
      <c r="L2491" s="384"/>
      <c r="M2491" s="384" t="str">
        <f ca="1">IFERROR(IF(VLOOKUP(C2491,' Disaggregation - Section E '!A$618:O1620,15,0)=0,"",VLOOKUP(C2491,' Disaggregation - Section E '!A$618:O1620,15,0)),"")</f>
        <v/>
      </c>
      <c r="N2491" s="388" t="str">
        <f ca="1">IFERROR(IF(VLOOKUP(C2491,' Disaggregation - Section E '!A$618:J2817,10,0)=0,"",VLOOKUP(C2491,' Disaggregation - Section E '!A$618:J2817,10,0)),"")</f>
        <v/>
      </c>
      <c r="O2491" s="384"/>
    </row>
    <row r="2492" spans="1:15" x14ac:dyDescent="0.3">
      <c r="A2492" s="384" t="b">
        <f t="shared" ca="1" si="141"/>
        <v>0</v>
      </c>
      <c r="B2492" s="384"/>
      <c r="C2492" s="393" t="str">
        <f ca="1">IF(COUNTA(O$1493:O2492)=1,"",OFFSET(B2490,-COUNTA(O$1493:O2492)+3,1))</f>
        <v>a16Dm000000LZfvIAG</v>
      </c>
      <c r="D2492" s="389"/>
      <c r="E2492" s="386" t="str">
        <f ca="1">IFERROR(IF(VLOOKUP(C2492,' Disaggregation - Section E '!A$618:J2818,7,0)="","",VLOOKUP(C2492,' Disaggregation - Section E '!A$618:J2818,7,0)*100),"")</f>
        <v/>
      </c>
      <c r="F2492" s="388" t="str">
        <f ca="1">IFERROR(VLOOKUP(C2492,' Disaggregation - Section E '!A$618:J2818,5,0),"")</f>
        <v/>
      </c>
      <c r="G2492" s="387" t="str">
        <f ca="1">IFERROR(IF(VLOOKUP(C2492,' Disaggregation - Section E '!A$618:J2818,6,0)="","",VLOOKUP(C2492,' Disaggregation - Section E '!A$618:J2818,6,0)),"")</f>
        <v/>
      </c>
      <c r="H2492" s="387" t="str">
        <f ca="1">IFERROR(IF(INDEX(' Disaggregation - Section E '!F$618:F2818,MATCH(C2492,' Disaggregation - Section E '!A$618:A2818,0)+1,1)&lt;&gt;0,INDEX(' Disaggregation - Section E '!F$618:F2818,MATCH(C2492,' Disaggregation - Section E '!A$618:A2818,0)+1,1),""),"")</f>
        <v/>
      </c>
      <c r="I2492" s="388" t="str">
        <f ca="1">IFERROR(IF(VLOOKUP(C2492,' Disaggregation - Section E '!A$618:J2818,8,0)=0,"",VLOOKUP(C2492,' Disaggregation - Section E '!A$618:J2818,8,0)),"")</f>
        <v/>
      </c>
      <c r="J2492" s="388" t="str">
        <f ca="1">IFERROR(IF(VLOOKUP(C2492,' Disaggregation - Section E '!A$618:J2818,9,0)="","",VLOOKUP(C2492,' Disaggregation - Section E '!A$618:J2818,9,0)),"")</f>
        <v/>
      </c>
      <c r="K2492" s="384" t="str">
        <f ca="1">IFERROR(VLOOKUP(C2492,' Disaggregation - Section E '!A$618:J2818,3,0),"")</f>
        <v>DRTB-2⁽ᴹ⁾ Number of people with confirmed RR-TB and/or MDR-TB notified</v>
      </c>
      <c r="L2492" s="384"/>
      <c r="M2492" s="384" t="str">
        <f ca="1">IFERROR(IF(VLOOKUP(C2492,' Disaggregation - Section E '!A$618:O1621,15,0)=0,"",VLOOKUP(C2492,' Disaggregation - Section E '!A$618:O1621,15,0)),"")</f>
        <v/>
      </c>
      <c r="N2492" s="388" t="str">
        <f ca="1">IFERROR(IF(VLOOKUP(C2492,' Disaggregation - Section E '!A$618:J2818,10,0)=0,"",VLOOKUP(C2492,' Disaggregation - Section E '!A$618:J2818,10,0)),"")</f>
        <v/>
      </c>
      <c r="O2492" s="384"/>
    </row>
    <row r="2493" spans="1:15" x14ac:dyDescent="0.3">
      <c r="A2493" s="384" t="b">
        <f t="shared" ca="1" si="141"/>
        <v>0</v>
      </c>
      <c r="B2493" s="384"/>
      <c r="C2493" s="393" t="str">
        <f ca="1">IF(COUNTA(O$1493:O2493)=1,"",OFFSET(B2491,-COUNTA(O$1493:O2493)+3,1))</f>
        <v>a16Dm000000LZfwIAG</v>
      </c>
      <c r="D2493" s="389"/>
      <c r="E2493" s="386" t="str">
        <f ca="1">IFERROR(IF(VLOOKUP(C2493,' Disaggregation - Section E '!A$618:J2819,7,0)="","",VLOOKUP(C2493,' Disaggregation - Section E '!A$618:J2819,7,0)*100),"")</f>
        <v/>
      </c>
      <c r="F2493" s="388" t="str">
        <f ca="1">IFERROR(VLOOKUP(C2493,' Disaggregation - Section E '!A$618:J2819,5,0),"")</f>
        <v/>
      </c>
      <c r="G2493" s="387" t="str">
        <f ca="1">IFERROR(IF(VLOOKUP(C2493,' Disaggregation - Section E '!A$618:J2819,6,0)="","",VLOOKUP(C2493,' Disaggregation - Section E '!A$618:J2819,6,0)),"")</f>
        <v/>
      </c>
      <c r="H2493" s="387" t="str">
        <f ca="1">IFERROR(IF(INDEX(' Disaggregation - Section E '!F$618:F2819,MATCH(C2493,' Disaggregation - Section E '!A$618:A2819,0)+1,1)&lt;&gt;0,INDEX(' Disaggregation - Section E '!F$618:F2819,MATCH(C2493,' Disaggregation - Section E '!A$618:A2819,0)+1,1),""),"")</f>
        <v/>
      </c>
      <c r="I2493" s="388" t="str">
        <f ca="1">IFERROR(IF(VLOOKUP(C2493,' Disaggregation - Section E '!A$618:J2819,8,0)=0,"",VLOOKUP(C2493,' Disaggregation - Section E '!A$618:J2819,8,0)),"")</f>
        <v/>
      </c>
      <c r="J2493" s="388" t="str">
        <f ca="1">IFERROR(IF(VLOOKUP(C2493,' Disaggregation - Section E '!A$618:J2819,9,0)="","",VLOOKUP(C2493,' Disaggregation - Section E '!A$618:J2819,9,0)),"")</f>
        <v/>
      </c>
      <c r="K2493" s="384" t="str">
        <f ca="1">IFERROR(VLOOKUP(C2493,' Disaggregation - Section E '!A$618:J2819,3,0),"")</f>
        <v>DRTB-2⁽ᴹ⁾ Number of people with confirmed RR-TB and/or MDR-TB notified</v>
      </c>
      <c r="L2493" s="384"/>
      <c r="M2493" s="384" t="str">
        <f ca="1">IFERROR(IF(VLOOKUP(C2493,' Disaggregation - Section E '!A$618:O1622,15,0)=0,"",VLOOKUP(C2493,' Disaggregation - Section E '!A$618:O1622,15,0)),"")</f>
        <v/>
      </c>
      <c r="N2493" s="388" t="str">
        <f ca="1">IFERROR(IF(VLOOKUP(C2493,' Disaggregation - Section E '!A$618:J2819,10,0)=0,"",VLOOKUP(C2493,' Disaggregation - Section E '!A$618:J2819,10,0)),"")</f>
        <v/>
      </c>
      <c r="O2493" s="384"/>
    </row>
    <row r="2494" spans="1:15" x14ac:dyDescent="0.3">
      <c r="A2494" s="384" t="b">
        <f t="shared" ca="1" si="141"/>
        <v>0</v>
      </c>
      <c r="B2494" s="384"/>
      <c r="C2494" s="393" t="str">
        <f ca="1">IF(COUNTA(O$1493:O2494)=1,"",OFFSET(B2492,-COUNTA(O$1493:O2494)+3,1))</f>
        <v>a16Dm000000LZfxIAG</v>
      </c>
      <c r="D2494" s="389"/>
      <c r="E2494" s="386" t="str">
        <f ca="1">IFERROR(IF(VLOOKUP(C2494,' Disaggregation - Section E '!A$618:J2820,7,0)="","",VLOOKUP(C2494,' Disaggregation - Section E '!A$618:J2820,7,0)*100),"")</f>
        <v/>
      </c>
      <c r="F2494" s="388" t="str">
        <f ca="1">IFERROR(VLOOKUP(C2494,' Disaggregation - Section E '!A$618:J2820,5,0),"")</f>
        <v/>
      </c>
      <c r="G2494" s="387" t="str">
        <f ca="1">IFERROR(IF(VLOOKUP(C2494,' Disaggregation - Section E '!A$618:J2820,6,0)="","",VLOOKUP(C2494,' Disaggregation - Section E '!A$618:J2820,6,0)),"")</f>
        <v/>
      </c>
      <c r="H2494" s="387" t="str">
        <f ca="1">IFERROR(IF(INDEX(' Disaggregation - Section E '!F$618:F2820,MATCH(C2494,' Disaggregation - Section E '!A$618:A2820,0)+1,1)&lt;&gt;0,INDEX(' Disaggregation - Section E '!F$618:F2820,MATCH(C2494,' Disaggregation - Section E '!A$618:A2820,0)+1,1),""),"")</f>
        <v/>
      </c>
      <c r="I2494" s="388" t="str">
        <f ca="1">IFERROR(IF(VLOOKUP(C2494,' Disaggregation - Section E '!A$618:J2820,8,0)=0,"",VLOOKUP(C2494,' Disaggregation - Section E '!A$618:J2820,8,0)),"")</f>
        <v/>
      </c>
      <c r="J2494" s="388" t="str">
        <f ca="1">IFERROR(IF(VLOOKUP(C2494,' Disaggregation - Section E '!A$618:J2820,9,0)="","",VLOOKUP(C2494,' Disaggregation - Section E '!A$618:J2820,9,0)),"")</f>
        <v/>
      </c>
      <c r="K2494" s="384" t="str">
        <f ca="1">IFERROR(VLOOKUP(C2494,' Disaggregation - Section E '!A$618:J2820,3,0),"")</f>
        <v>DRTB-2⁽ᴹ⁾ Number of people with confirmed RR-TB and/or MDR-TB notified</v>
      </c>
      <c r="L2494" s="384"/>
      <c r="M2494" s="384" t="str">
        <f ca="1">IFERROR(IF(VLOOKUP(C2494,' Disaggregation - Section E '!A$618:O1623,15,0)=0,"",VLOOKUP(C2494,' Disaggregation - Section E '!A$618:O1623,15,0)),"")</f>
        <v/>
      </c>
      <c r="N2494" s="388" t="str">
        <f ca="1">IFERROR(IF(VLOOKUP(C2494,' Disaggregation - Section E '!A$618:J2820,10,0)=0,"",VLOOKUP(C2494,' Disaggregation - Section E '!A$618:J2820,10,0)),"")</f>
        <v/>
      </c>
      <c r="O2494" s="384"/>
    </row>
    <row r="2495" spans="1:15" x14ac:dyDescent="0.3">
      <c r="A2495" s="384" t="b">
        <f t="shared" ca="1" si="141"/>
        <v>1</v>
      </c>
      <c r="B2495" s="384"/>
      <c r="C2495" s="393" t="str">
        <f ca="1">IF(COUNTA(O$1493:O2495)=1,"",OFFSET(B2493,-COUNTA(O$1493:O2495)+3,1))</f>
        <v>a16Dm000000LZfyIAG</v>
      </c>
      <c r="D2495" s="389"/>
      <c r="E2495" s="386" t="str">
        <f ca="1">IFERROR(IF(VLOOKUP(C2495,' Disaggregation - Section E '!A$618:J2821,7,0)="","",VLOOKUP(C2495,' Disaggregation - Section E '!A$618:J2821,7,0)*100),"")</f>
        <v/>
      </c>
      <c r="F2495" s="388" t="str">
        <f ca="1">IFERROR(VLOOKUP(C2495,' Disaggregation - Section E '!A$618:J2821,5,0),"")</f>
        <v>15+</v>
      </c>
      <c r="G2495" s="387" t="str">
        <f ca="1">IFERROR(IF(VLOOKUP(C2495,' Disaggregation - Section E '!A$618:J2821,6,0)="","",VLOOKUP(C2495,' Disaggregation - Section E '!A$618:J2821,6,0)),"")</f>
        <v/>
      </c>
      <c r="H2495" s="387" t="str">
        <f ca="1">IFERROR(IF(INDEX(' Disaggregation - Section E '!F$618:F2821,MATCH(C2495,' Disaggregation - Section E '!A$618:A2821,0)+1,1)&lt;&gt;0,INDEX(' Disaggregation - Section E '!F$618:F2821,MATCH(C2495,' Disaggregation - Section E '!A$618:A2821,0)+1,1),""),"")</f>
        <v/>
      </c>
      <c r="I2495" s="388" t="str">
        <f ca="1">IFERROR(IF(VLOOKUP(C2495,' Disaggregation - Section E '!A$618:J2821,8,0)=0,"",VLOOKUP(C2495,' Disaggregation - Section E '!A$618:J2821,8,0)),"")</f>
        <v/>
      </c>
      <c r="J2495" s="388" t="str">
        <f ca="1">IFERROR(IF(VLOOKUP(C2495,' Disaggregation - Section E '!A$618:J2821,9,0)="","",VLOOKUP(C2495,' Disaggregation - Section E '!A$618:J2821,9,0)),"")</f>
        <v/>
      </c>
      <c r="K2495" s="384" t="str">
        <f ca="1">IFERROR(VLOOKUP(C2495,' Disaggregation - Section E '!A$618:J2821,3,0),"")</f>
        <v>DRTB-3⁽ᴹ⁾ Percentage of people with confirmed RR-TB and/or MDR-TB that began second-line treatment</v>
      </c>
      <c r="L2495" s="384"/>
      <c r="M2495" s="384" t="str">
        <f ca="1">IFERROR(IF(VLOOKUP(C2495,' Disaggregation - Section E '!A$618:O1624,15,0)=0,"",VLOOKUP(C2495,' Disaggregation - Section E '!A$618:O1624,15,0)),"")</f>
        <v>IDR-01384</v>
      </c>
      <c r="N2495" s="388" t="str">
        <f ca="1">IFERROR(IF(VLOOKUP(C2495,' Disaggregation - Section E '!A$618:J2821,10,0)=0,"",VLOOKUP(C2495,' Disaggregation - Section E '!A$618:J2821,10,0)),"")</f>
        <v/>
      </c>
      <c r="O2495" s="384"/>
    </row>
    <row r="2496" spans="1:15" x14ac:dyDescent="0.3">
      <c r="A2496" s="384" t="b">
        <f t="shared" ca="1" si="141"/>
        <v>0</v>
      </c>
      <c r="B2496" s="384"/>
      <c r="C2496" s="393" t="str">
        <f ca="1">IF(COUNTA(O$1493:O2496)=1,"",OFFSET(B2494,-COUNTA(O$1493:O2496)+3,1))</f>
        <v>a16Dm000000LZfzIAG</v>
      </c>
      <c r="D2496" s="389"/>
      <c r="E2496" s="386" t="str">
        <f ca="1">IFERROR(IF(VLOOKUP(C2496,' Disaggregation - Section E '!A$618:J2822,7,0)="","",VLOOKUP(C2496,' Disaggregation - Section E '!A$618:J2822,7,0)*100),"")</f>
        <v/>
      </c>
      <c r="F2496" s="388" t="str">
        <f ca="1">IFERROR(VLOOKUP(C2496,' Disaggregation - Section E '!A$618:J2822,5,0),"")</f>
        <v/>
      </c>
      <c r="G2496" s="387" t="str">
        <f ca="1">IFERROR(IF(VLOOKUP(C2496,' Disaggregation - Section E '!A$618:J2822,6,0)="","",VLOOKUP(C2496,' Disaggregation - Section E '!A$618:J2822,6,0)),"")</f>
        <v/>
      </c>
      <c r="H2496" s="387" t="str">
        <f ca="1">IFERROR(IF(INDEX(' Disaggregation - Section E '!F$618:F2822,MATCH(C2496,' Disaggregation - Section E '!A$618:A2822,0)+1,1)&lt;&gt;0,INDEX(' Disaggregation - Section E '!F$618:F2822,MATCH(C2496,' Disaggregation - Section E '!A$618:A2822,0)+1,1),""),"")</f>
        <v/>
      </c>
      <c r="I2496" s="388" t="str">
        <f ca="1">IFERROR(IF(VLOOKUP(C2496,' Disaggregation - Section E '!A$618:J2822,8,0)=0,"",VLOOKUP(C2496,' Disaggregation - Section E '!A$618:J2822,8,0)),"")</f>
        <v/>
      </c>
      <c r="J2496" s="388" t="str">
        <f ca="1">IFERROR(IF(VLOOKUP(C2496,' Disaggregation - Section E '!A$618:J2822,9,0)="","",VLOOKUP(C2496,' Disaggregation - Section E '!A$618:J2822,9,0)),"")</f>
        <v/>
      </c>
      <c r="K2496" s="384" t="str">
        <f ca="1">IFERROR(VLOOKUP(C2496,' Disaggregation - Section E '!A$618:J2822,3,0),"")</f>
        <v/>
      </c>
      <c r="L2496" s="384"/>
      <c r="M2496" s="384" t="str">
        <f ca="1">IFERROR(IF(VLOOKUP(C2496,' Disaggregation - Section E '!A$618:O1625,15,0)=0,"",VLOOKUP(C2496,' Disaggregation - Section E '!A$618:O1625,15,0)),"")</f>
        <v/>
      </c>
      <c r="N2496" s="388" t="str">
        <f ca="1">IFERROR(IF(VLOOKUP(C2496,' Disaggregation - Section E '!A$618:J2822,10,0)=0,"",VLOOKUP(C2496,' Disaggregation - Section E '!A$618:J2822,10,0)),"")</f>
        <v/>
      </c>
      <c r="O2496" s="384"/>
    </row>
    <row r="2497" spans="1:15" x14ac:dyDescent="0.3">
      <c r="A2497" s="384" t="b">
        <f t="shared" ca="1" si="141"/>
        <v>1</v>
      </c>
      <c r="B2497" s="384"/>
      <c r="C2497" s="393" t="str">
        <f ca="1">IF(COUNTA(O$1493:O2497)=1,"",OFFSET(B2495,-COUNTA(O$1493:O2497)+3,1))</f>
        <v>a16Dm000000LZg0IAG</v>
      </c>
      <c r="D2497" s="389"/>
      <c r="E2497" s="386" t="str">
        <f ca="1">IFERROR(IF(VLOOKUP(C2497,' Disaggregation - Section E '!A$618:J2823,7,0)="","",VLOOKUP(C2497,' Disaggregation - Section E '!A$618:J2823,7,0)*100),"")</f>
        <v/>
      </c>
      <c r="F2497" s="388" t="str">
        <f ca="1">IFERROR(VLOOKUP(C2497,' Disaggregation - Section E '!A$618:J2823,5,0),"")</f>
        <v>15+</v>
      </c>
      <c r="G2497" s="387" t="str">
        <f ca="1">IFERROR(IF(VLOOKUP(C2497,' Disaggregation - Section E '!A$618:J2823,6,0)="","",VLOOKUP(C2497,' Disaggregation - Section E '!A$618:J2823,6,0)),"")</f>
        <v/>
      </c>
      <c r="H2497" s="387" t="str">
        <f ca="1">IFERROR(IF(INDEX(' Disaggregation - Section E '!F$618:F2823,MATCH(C2497,' Disaggregation - Section E '!A$618:A2823,0)+1,1)&lt;&gt;0,INDEX(' Disaggregation - Section E '!F$618:F2823,MATCH(C2497,' Disaggregation - Section E '!A$618:A2823,0)+1,1),""),"")</f>
        <v/>
      </c>
      <c r="I2497" s="388" t="str">
        <f ca="1">IFERROR(IF(VLOOKUP(C2497,' Disaggregation - Section E '!A$618:J2823,8,0)=0,"",VLOOKUP(C2497,' Disaggregation - Section E '!A$618:J2823,8,0)),"")</f>
        <v/>
      </c>
      <c r="J2497" s="388" t="str">
        <f ca="1">IFERROR(IF(VLOOKUP(C2497,' Disaggregation - Section E '!A$618:J2823,9,0)="","",VLOOKUP(C2497,' Disaggregation - Section E '!A$618:J2823,9,0)),"")</f>
        <v/>
      </c>
      <c r="K2497" s="384" t="str">
        <f ca="1">IFERROR(VLOOKUP(C2497,' Disaggregation - Section E '!A$618:J2823,3,0),"")</f>
        <v>DRTB-3⁽ᴹ⁾ Percentage of people with confirmed RR-TB and/or MDR-TB that began second-line treatment</v>
      </c>
      <c r="L2497" s="384"/>
      <c r="M2497" s="384" t="str">
        <f ca="1">IFERROR(IF(VLOOKUP(C2497,' Disaggregation - Section E '!A$618:O1626,15,0)=0,"",VLOOKUP(C2497,' Disaggregation - Section E '!A$618:O1626,15,0)),"")</f>
        <v>IDR-01384</v>
      </c>
      <c r="N2497" s="388" t="str">
        <f ca="1">IFERROR(IF(VLOOKUP(C2497,' Disaggregation - Section E '!A$618:J2823,10,0)=0,"",VLOOKUP(C2497,' Disaggregation - Section E '!A$618:J2823,10,0)),"")</f>
        <v xml:space="preserve">About 6% out of all RR/MDR TB cases enrolled on treatment made up  children under 15 years old, but % of children among bacteriologically confirmed cases is unknown. The national recording and reporting (R&amp;R) system doesn't allow to disaggregate the data on bacteriligically confirmed cases by age.
</v>
      </c>
      <c r="O2497" s="384"/>
    </row>
    <row r="2498" spans="1:15" x14ac:dyDescent="0.3">
      <c r="A2498" s="384" t="b">
        <f t="shared" ca="1" si="141"/>
        <v>1</v>
      </c>
      <c r="B2498" s="384"/>
      <c r="C2498" s="393" t="str">
        <f ca="1">IF(COUNTA(O$1493:O2498)=1,"",OFFSET(B2496,-COUNTA(O$1493:O2498)+3,1))</f>
        <v>a16Dm000000LZg1IAG</v>
      </c>
      <c r="D2498" s="389"/>
      <c r="E2498" s="386" t="str">
        <f ca="1">IFERROR(IF(VLOOKUP(C2498,' Disaggregation - Section E '!A$618:J2824,7,0)="","",VLOOKUP(C2498,' Disaggregation - Section E '!A$618:J2824,7,0)*100),"")</f>
        <v/>
      </c>
      <c r="F2498" s="388" t="str">
        <f ca="1">IFERROR(VLOOKUP(C2498,' Disaggregation - Section E '!A$618:J2824,5,0),"")</f>
        <v>&lt;15</v>
      </c>
      <c r="G2498" s="387" t="str">
        <f ca="1">IFERROR(IF(VLOOKUP(C2498,' Disaggregation - Section E '!A$618:J2824,6,0)="","",VLOOKUP(C2498,' Disaggregation - Section E '!A$618:J2824,6,0)),"")</f>
        <v/>
      </c>
      <c r="H2498" s="387" t="str">
        <f ca="1">IFERROR(IF(INDEX(' Disaggregation - Section E '!F$618:F2824,MATCH(C2498,' Disaggregation - Section E '!A$618:A2824,0)+1,1)&lt;&gt;0,INDEX(' Disaggregation - Section E '!F$618:F2824,MATCH(C2498,' Disaggregation - Section E '!A$618:A2824,0)+1,1),""),"")</f>
        <v/>
      </c>
      <c r="I2498" s="388" t="str">
        <f ca="1">IFERROR(IF(VLOOKUP(C2498,' Disaggregation - Section E '!A$618:J2824,8,0)=0,"",VLOOKUP(C2498,' Disaggregation - Section E '!A$618:J2824,8,0)),"")</f>
        <v/>
      </c>
      <c r="J2498" s="388" t="str">
        <f ca="1">IFERROR(IF(VLOOKUP(C2498,' Disaggregation - Section E '!A$618:J2824,9,0)="","",VLOOKUP(C2498,' Disaggregation - Section E '!A$618:J2824,9,0)),"")</f>
        <v/>
      </c>
      <c r="K2498" s="384" t="str">
        <f ca="1">IFERROR(VLOOKUP(C2498,' Disaggregation - Section E '!A$618:J2824,3,0),"")</f>
        <v>DRTB-3⁽ᴹ⁾ Percentage of people with confirmed RR-TB and/or MDR-TB that began second-line treatment</v>
      </c>
      <c r="L2498" s="384"/>
      <c r="M2498" s="384" t="str">
        <f ca="1">IFERROR(IF(VLOOKUP(C2498,' Disaggregation - Section E '!A$618:O1627,15,0)=0,"",VLOOKUP(C2498,' Disaggregation - Section E '!A$618:O1627,15,0)),"")</f>
        <v>IDR-01383</v>
      </c>
      <c r="N2498" s="388" t="str">
        <f ca="1">IFERROR(IF(VLOOKUP(C2498,' Disaggregation - Section E '!A$618:J2824,10,0)=0,"",VLOOKUP(C2498,' Disaggregation - Section E '!A$618:J2824,10,0)),"")</f>
        <v xml:space="preserve">About 6% out of all RR/MDR TB cases enrolled on treatment made up  children under 15 years old, but % of children among bacteriologically confirmed cases is unknown. The national recording and reporting (R&amp;R) system doesn't allow to disaggregate the data on bacteriligically confirmed cases by age.
</v>
      </c>
      <c r="O2498" s="384"/>
    </row>
    <row r="2499" spans="1:15" x14ac:dyDescent="0.3">
      <c r="A2499" s="384" t="b">
        <f t="shared" ca="1" si="141"/>
        <v>1</v>
      </c>
      <c r="B2499" s="384"/>
      <c r="C2499" s="393" t="str">
        <f ca="1">IF(COUNTA(O$1493:O2499)=1,"",OFFSET(B2497,-COUNTA(O$1493:O2499)+3,1))</f>
        <v>a16Dm000000LZg2IAG</v>
      </c>
      <c r="D2499" s="389"/>
      <c r="E2499" s="386" t="str">
        <f ca="1">IFERROR(IF(VLOOKUP(C2499,' Disaggregation - Section E '!A$618:J2825,7,0)="","",VLOOKUP(C2499,' Disaggregation - Section E '!A$618:J2825,7,0)*100),"")</f>
        <v/>
      </c>
      <c r="F2499" s="388" t="str">
        <f ca="1">IFERROR(VLOOKUP(C2499,' Disaggregation - Section E '!A$618:J2825,5,0),"")</f>
        <v>Male</v>
      </c>
      <c r="G2499" s="387" t="str">
        <f ca="1">IFERROR(IF(VLOOKUP(C2499,' Disaggregation - Section E '!A$618:J2825,6,0)="","",VLOOKUP(C2499,' Disaggregation - Section E '!A$618:J2825,6,0)),"")</f>
        <v/>
      </c>
      <c r="H2499" s="387" t="str">
        <f ca="1">IFERROR(IF(INDEX(' Disaggregation - Section E '!F$618:F2825,MATCH(C2499,' Disaggregation - Section E '!A$618:A2825,0)+1,1)&lt;&gt;0,INDEX(' Disaggregation - Section E '!F$618:F2825,MATCH(C2499,' Disaggregation - Section E '!A$618:A2825,0)+1,1),""),"")</f>
        <v/>
      </c>
      <c r="I2499" s="388" t="str">
        <f ca="1">IFERROR(IF(VLOOKUP(C2499,' Disaggregation - Section E '!A$618:J2825,8,0)=0,"",VLOOKUP(C2499,' Disaggregation - Section E '!A$618:J2825,8,0)),"")</f>
        <v/>
      </c>
      <c r="J2499" s="388" t="str">
        <f ca="1">IFERROR(IF(VLOOKUP(C2499,' Disaggregation - Section E '!A$618:J2825,9,0)="","",VLOOKUP(C2499,' Disaggregation - Section E '!A$618:J2825,9,0)),"")</f>
        <v/>
      </c>
      <c r="K2499" s="384" t="str">
        <f ca="1">IFERROR(VLOOKUP(C2499,' Disaggregation - Section E '!A$618:J2825,3,0),"")</f>
        <v>DRTB-3⁽ᴹ⁾ Percentage of people with confirmed RR-TB and/or MDR-TB that began second-line treatment</v>
      </c>
      <c r="L2499" s="384"/>
      <c r="M2499" s="384" t="str">
        <f ca="1">IFERROR(IF(VLOOKUP(C2499,' Disaggregation - Section E '!A$618:O1628,15,0)=0,"",VLOOKUP(C2499,' Disaggregation - Section E '!A$618:O1628,15,0)),"")</f>
        <v>IDR-01382</v>
      </c>
      <c r="N2499" s="388" t="str">
        <f ca="1">IFERROR(IF(VLOOKUP(C2499,' Disaggregation - Section E '!A$618:J2825,10,0)=0,"",VLOOKUP(C2499,' Disaggregation - Section E '!A$618:J2825,10,0)),"")</f>
        <v xml:space="preserve">About 41% out of all RR/MDR TB cases enrolled on treatment made up  women, but % of women among bacteriologically confirmed cases is unknown. The national recording and reporting (R&amp;R) system doesn't allow to disaggregate the data on bacteriligically confirmed cases by age.
</v>
      </c>
      <c r="O2499" s="384"/>
    </row>
    <row r="2500" spans="1:15" x14ac:dyDescent="0.3">
      <c r="A2500" s="384" t="b">
        <f t="shared" ca="1" si="141"/>
        <v>1</v>
      </c>
      <c r="B2500" s="384"/>
      <c r="C2500" s="393" t="str">
        <f ca="1">IF(COUNTA(O$1493:O2500)=1,"",OFFSET(B2498,-COUNTA(O$1493:O2500)+3,1))</f>
        <v>a16Dm000000LZg3IAG</v>
      </c>
      <c r="D2500" s="389"/>
      <c r="E2500" s="386">
        <f ca="1">IFERROR(IF(VLOOKUP(C2500,' Disaggregation - Section E '!A$618:J2826,7,0)="","",VLOOKUP(C2500,' Disaggregation - Section E '!A$618:J2826,7,0)*100),"")</f>
        <v>82.298850574712645</v>
      </c>
      <c r="F2500" s="388" t="str">
        <f ca="1">IFERROR(VLOOKUP(C2500,' Disaggregation - Section E '!A$618:J2826,5,0),"")</f>
        <v>Longer individualized</v>
      </c>
      <c r="G2500" s="387">
        <f ca="1">IFERROR(IF(VLOOKUP(C2500,' Disaggregation - Section E '!A$618:J2826,6,0)="","",VLOOKUP(C2500,' Disaggregation - Section E '!A$618:J2826,6,0)),"")</f>
        <v>716</v>
      </c>
      <c r="H2500" s="387">
        <f ca="1">IFERROR(IF(INDEX(' Disaggregation - Section E '!F$618:F2826,MATCH(C2500,' Disaggregation - Section E '!A$618:A2826,0)+1,1)&lt;&gt;0,INDEX(' Disaggregation - Section E '!F$618:F2826,MATCH(C2500,' Disaggregation - Section E '!A$618:A2826,0)+1,1),""),"")</f>
        <v>870</v>
      </c>
      <c r="I2500" s="388">
        <f ca="1">IFERROR(IF(VLOOKUP(C2500,' Disaggregation - Section E '!A$618:J2826,8,0)=0,"",VLOOKUP(C2500,' Disaggregation - Section E '!A$618:J2826,8,0)),"")</f>
        <v>2021</v>
      </c>
      <c r="J2500" s="388" t="str">
        <f ca="1">IFERROR(IF(VLOOKUP(C2500,' Disaggregation - Section E '!A$618:J2826,9,0)="","",VLOOKUP(C2500,' Disaggregation - Section E '!A$618:J2826,9,0)),"")</f>
        <v>The report of the National TB Center</v>
      </c>
      <c r="K2500" s="384" t="str">
        <f ca="1">IFERROR(VLOOKUP(C2500,' Disaggregation - Section E '!A$618:J2826,3,0),"")</f>
        <v>DRTB-3⁽ᴹ⁾ Percentage of people with confirmed RR-TB and/or MDR-TB that began second-line treatment</v>
      </c>
      <c r="L2500" s="384"/>
      <c r="M2500" s="384" t="str">
        <f ca="1">IFERROR(IF(VLOOKUP(C2500,' Disaggregation - Section E '!A$618:O1629,15,0)=0,"",VLOOKUP(C2500,' Disaggregation - Section E '!A$618:O1629,15,0)),"")</f>
        <v>IDR-01381</v>
      </c>
      <c r="N2500" s="388" t="str">
        <f ca="1">IFERROR(IF(VLOOKUP(C2500,' Disaggregation - Section E '!A$618:J2826,10,0)=0,"",VLOOKUP(C2500,' Disaggregation - Section E '!A$618:J2826,10,0)),"")</f>
        <v xml:space="preserve">Starting from 2017 both longer individualized and shorten regimens are available in the country. The longer individualized regimens are includes regimens with Bdq/Dlm and without these new TB drugs. 695 (97%) cases o individualized regimen recieved the scheme with Bdq or/and Dlm. </v>
      </c>
      <c r="O2500" s="384"/>
    </row>
    <row r="2501" spans="1:15" x14ac:dyDescent="0.3">
      <c r="A2501" s="384" t="b">
        <f t="shared" ca="1" si="141"/>
        <v>1</v>
      </c>
      <c r="B2501" s="384"/>
      <c r="C2501" s="393" t="str">
        <f ca="1">IF(COUNTA(O$1493:O2501)=1,"",OFFSET(B2499,-COUNTA(O$1493:O2501)+3,1))</f>
        <v>a16Dm000000LZg4IAG</v>
      </c>
      <c r="D2501" s="389"/>
      <c r="E2501" s="386" t="str">
        <f ca="1">IFERROR(IF(VLOOKUP(C2501,' Disaggregation - Section E '!A$618:J2827,7,0)="","",VLOOKUP(C2501,' Disaggregation - Section E '!A$618:J2827,7,0)*100),"")</f>
        <v/>
      </c>
      <c r="F2501" s="388" t="str">
        <f ca="1">IFERROR(VLOOKUP(C2501,' Disaggregation - Section E '!A$618:J2827,5,0),"")</f>
        <v>Female</v>
      </c>
      <c r="G2501" s="387" t="str">
        <f ca="1">IFERROR(IF(VLOOKUP(C2501,' Disaggregation - Section E '!A$618:J2827,6,0)="","",VLOOKUP(C2501,' Disaggregation - Section E '!A$618:J2827,6,0)),"")</f>
        <v/>
      </c>
      <c r="H2501" s="387" t="str">
        <f ca="1">IFERROR(IF(INDEX(' Disaggregation - Section E '!F$618:F2827,MATCH(C2501,' Disaggregation - Section E '!A$618:A2827,0)+1,1)&lt;&gt;0,INDEX(' Disaggregation - Section E '!F$618:F2827,MATCH(C2501,' Disaggregation - Section E '!A$618:A2827,0)+1,1),""),"")</f>
        <v/>
      </c>
      <c r="I2501" s="388" t="str">
        <f ca="1">IFERROR(IF(VLOOKUP(C2501,' Disaggregation - Section E '!A$618:J2827,8,0)=0,"",VLOOKUP(C2501,' Disaggregation - Section E '!A$618:J2827,8,0)),"")</f>
        <v/>
      </c>
      <c r="J2501" s="388" t="str">
        <f ca="1">IFERROR(IF(VLOOKUP(C2501,' Disaggregation - Section E '!A$618:J2827,9,0)="","",VLOOKUP(C2501,' Disaggregation - Section E '!A$618:J2827,9,0)),"")</f>
        <v/>
      </c>
      <c r="K2501" s="384" t="str">
        <f ca="1">IFERROR(VLOOKUP(C2501,' Disaggregation - Section E '!A$618:J2827,3,0),"")</f>
        <v>DRTB-3⁽ᴹ⁾ Percentage of people with confirmed RR-TB and/or MDR-TB that began second-line treatment</v>
      </c>
      <c r="L2501" s="384"/>
      <c r="M2501" s="384" t="str">
        <f ca="1">IFERROR(IF(VLOOKUP(C2501,' Disaggregation - Section E '!A$618:O1630,15,0)=0,"",VLOOKUP(C2501,' Disaggregation - Section E '!A$618:O1630,15,0)),"")</f>
        <v>IDR-01380</v>
      </c>
      <c r="N2501" s="388" t="str">
        <f ca="1">IFERROR(IF(VLOOKUP(C2501,' Disaggregation - Section E '!A$618:J2827,10,0)=0,"",VLOOKUP(C2501,' Disaggregation - Section E '!A$618:J2827,10,0)),"")</f>
        <v xml:space="preserve">About 41% out of all RR/MDR TB cases enrolled on treatment made up  women, but % of women among bacteriologically confirmed cases is unknown. The national recording and reporting (R&amp;R) system doesn't allow to disaggregate the data on bacteriligically confirmed cases by age.
</v>
      </c>
      <c r="O2501" s="384"/>
    </row>
    <row r="2502" spans="1:15" x14ac:dyDescent="0.3">
      <c r="A2502" s="384" t="b">
        <f t="shared" ca="1" si="141"/>
        <v>1</v>
      </c>
      <c r="B2502" s="384"/>
      <c r="C2502" s="393" t="str">
        <f ca="1">IF(COUNTA(O$1493:O2502)=1,"",OFFSET(B2500,-COUNTA(O$1493:O2502)+3,1))</f>
        <v>a16Dm000000LZg5IAG</v>
      </c>
      <c r="D2502" s="389"/>
      <c r="E2502" s="386">
        <f ca="1">IFERROR(IF(VLOOKUP(C2502,' Disaggregation - Section E '!A$618:J2828,7,0)="","",VLOOKUP(C2502,' Disaggregation - Section E '!A$618:J2828,7,0)*100),"")</f>
        <v>17.701149425287358</v>
      </c>
      <c r="F2502" s="388" t="str">
        <f ca="1">IFERROR(VLOOKUP(C2502,' Disaggregation - Section E '!A$618:J2828,5,0),"")</f>
        <v>Shorter 6-9 month</v>
      </c>
      <c r="G2502" s="387">
        <f ca="1">IFERROR(IF(VLOOKUP(C2502,' Disaggregation - Section E '!A$618:J2828,6,0)="","",VLOOKUP(C2502,' Disaggregation - Section E '!A$618:J2828,6,0)),"")</f>
        <v>154</v>
      </c>
      <c r="H2502" s="387">
        <f ca="1">IFERROR(IF(INDEX(' Disaggregation - Section E '!F$618:F2828,MATCH(C2502,' Disaggregation - Section E '!A$618:A2828,0)+1,1)&lt;&gt;0,INDEX(' Disaggregation - Section E '!F$618:F2828,MATCH(C2502,' Disaggregation - Section E '!A$618:A2828,0)+1,1),""),"")</f>
        <v>870</v>
      </c>
      <c r="I2502" s="388">
        <f ca="1">IFERROR(IF(VLOOKUP(C2502,' Disaggregation - Section E '!A$618:J2828,8,0)=0,"",VLOOKUP(C2502,' Disaggregation - Section E '!A$618:J2828,8,0)),"")</f>
        <v>2021</v>
      </c>
      <c r="J2502" s="388" t="str">
        <f ca="1">IFERROR(IF(VLOOKUP(C2502,' Disaggregation - Section E '!A$618:J2828,9,0)="","",VLOOKUP(C2502,' Disaggregation - Section E '!A$618:J2828,9,0)),"")</f>
        <v>The report of the National TB Center</v>
      </c>
      <c r="K2502" s="384" t="str">
        <f ca="1">IFERROR(VLOOKUP(C2502,' Disaggregation - Section E '!A$618:J2828,3,0),"")</f>
        <v>DRTB-3⁽ᴹ⁾ Percentage of people with confirmed RR-TB and/or MDR-TB that began second-line treatment</v>
      </c>
      <c r="L2502" s="384"/>
      <c r="M2502" s="384" t="str">
        <f ca="1">IFERROR(IF(VLOOKUP(C2502,' Disaggregation - Section E '!A$618:O1631,15,0)=0,"",VLOOKUP(C2502,' Disaggregation - Section E '!A$618:O1631,15,0)),"")</f>
        <v>IDR-01379</v>
      </c>
      <c r="N2502" s="388" t="str">
        <f ca="1">IFERROR(IF(VLOOKUP(C2502,' Disaggregation - Section E '!A$618:J2828,10,0)=0,"",VLOOKUP(C2502,' Disaggregation - Section E '!A$618:J2828,10,0)),"")</f>
        <v xml:space="preserve">Starting from 2017 both longer individualized and shorten regimens are available in the country. From 2021 shorten regimens includes BPaL and mSTR. 24 (16%) cases were enrolled on BPaL regimen, 69 (45%) were enrolled on mSTR, and 61 (40%) were enrolled on standart STR regimen. </v>
      </c>
      <c r="O2502" s="384"/>
    </row>
    <row r="2503" spans="1:15" x14ac:dyDescent="0.3">
      <c r="A2503" s="384" t="b">
        <f t="shared" ca="1" si="141"/>
        <v>0</v>
      </c>
      <c r="B2503" s="384"/>
      <c r="C2503" s="393" t="str">
        <f ca="1">IF(COUNTA(O$1493:O2503)=1,"",OFFSET(B2501,-COUNTA(O$1493:O2503)+3,1))</f>
        <v>a16Dm000000LZg6IAG</v>
      </c>
      <c r="D2503" s="389"/>
      <c r="E2503" s="386" t="str">
        <f ca="1">IFERROR(IF(VLOOKUP(C2503,' Disaggregation - Section E '!A$618:J2829,7,0)="","",VLOOKUP(C2503,' Disaggregation - Section E '!A$618:J2829,7,0)*100),"")</f>
        <v/>
      </c>
      <c r="F2503" s="388" t="str">
        <f ca="1">IFERROR(VLOOKUP(C2503,' Disaggregation - Section E '!A$618:J2829,5,0),"")</f>
        <v/>
      </c>
      <c r="G2503" s="387" t="str">
        <f ca="1">IFERROR(IF(VLOOKUP(C2503,' Disaggregation - Section E '!A$618:J2829,6,0)="","",VLOOKUP(C2503,' Disaggregation - Section E '!A$618:J2829,6,0)),"")</f>
        <v/>
      </c>
      <c r="H2503" s="387" t="str">
        <f ca="1">IFERROR(IF(INDEX(' Disaggregation - Section E '!F$618:F2829,MATCH(C2503,' Disaggregation - Section E '!A$618:A2829,0)+1,1)&lt;&gt;0,INDEX(' Disaggregation - Section E '!F$618:F2829,MATCH(C2503,' Disaggregation - Section E '!A$618:A2829,0)+1,1),""),"")</f>
        <v/>
      </c>
      <c r="I2503" s="388" t="str">
        <f ca="1">IFERROR(IF(VLOOKUP(C2503,' Disaggregation - Section E '!A$618:J2829,8,0)=0,"",VLOOKUP(C2503,' Disaggregation - Section E '!A$618:J2829,8,0)),"")</f>
        <v/>
      </c>
      <c r="J2503" s="388" t="str">
        <f ca="1">IFERROR(IF(VLOOKUP(C2503,' Disaggregation - Section E '!A$618:J2829,9,0)="","",VLOOKUP(C2503,' Disaggregation - Section E '!A$618:J2829,9,0)),"")</f>
        <v/>
      </c>
      <c r="K2503" s="384" t="str">
        <f ca="1">IFERROR(VLOOKUP(C2503,' Disaggregation - Section E '!A$618:J2829,3,0),"")</f>
        <v>DRTB-3⁽ᴹ⁾ Percentage of people with confirmed RR-TB and/or MDR-TB that began second-line treatment</v>
      </c>
      <c r="L2503" s="384"/>
      <c r="M2503" s="384" t="str">
        <f ca="1">IFERROR(IF(VLOOKUP(C2503,' Disaggregation - Section E '!A$618:O1632,15,0)=0,"",VLOOKUP(C2503,' Disaggregation - Section E '!A$618:O1632,15,0)),"")</f>
        <v/>
      </c>
      <c r="N2503" s="388" t="str">
        <f ca="1">IFERROR(IF(VLOOKUP(C2503,' Disaggregation - Section E '!A$618:J2829,10,0)=0,"",VLOOKUP(C2503,' Disaggregation - Section E '!A$618:J2829,10,0)),"")</f>
        <v/>
      </c>
      <c r="O2503" s="384"/>
    </row>
    <row r="2504" spans="1:15" x14ac:dyDescent="0.3">
      <c r="A2504" s="384" t="b">
        <f t="shared" ca="1" si="141"/>
        <v>0</v>
      </c>
      <c r="B2504" s="384"/>
      <c r="C2504" s="393" t="str">
        <f ca="1">IF(COUNTA(O$1493:O2504)=1,"",OFFSET(B2502,-COUNTA(O$1493:O2504)+3,1))</f>
        <v>a16Dm000000LZg7IAG</v>
      </c>
      <c r="D2504" s="389"/>
      <c r="E2504" s="386" t="str">
        <f ca="1">IFERROR(IF(VLOOKUP(C2504,' Disaggregation - Section E '!A$618:J2830,7,0)="","",VLOOKUP(C2504,' Disaggregation - Section E '!A$618:J2830,7,0)*100),"")</f>
        <v/>
      </c>
      <c r="F2504" s="388" t="str">
        <f ca="1">IFERROR(VLOOKUP(C2504,' Disaggregation - Section E '!A$618:J2830,5,0),"")</f>
        <v/>
      </c>
      <c r="G2504" s="387" t="str">
        <f ca="1">IFERROR(IF(VLOOKUP(C2504,' Disaggregation - Section E '!A$618:J2830,6,0)="","",VLOOKUP(C2504,' Disaggregation - Section E '!A$618:J2830,6,0)),"")</f>
        <v/>
      </c>
      <c r="H2504" s="387" t="str">
        <f ca="1">IFERROR(IF(INDEX(' Disaggregation - Section E '!F$618:F2830,MATCH(C2504,' Disaggregation - Section E '!A$618:A2830,0)+1,1)&lt;&gt;0,INDEX(' Disaggregation - Section E '!F$618:F2830,MATCH(C2504,' Disaggregation - Section E '!A$618:A2830,0)+1,1),""),"")</f>
        <v/>
      </c>
      <c r="I2504" s="388" t="str">
        <f ca="1">IFERROR(IF(VLOOKUP(C2504,' Disaggregation - Section E '!A$618:J2830,8,0)=0,"",VLOOKUP(C2504,' Disaggregation - Section E '!A$618:J2830,8,0)),"")</f>
        <v/>
      </c>
      <c r="J2504" s="388" t="str">
        <f ca="1">IFERROR(IF(VLOOKUP(C2504,' Disaggregation - Section E '!A$618:J2830,9,0)="","",VLOOKUP(C2504,' Disaggregation - Section E '!A$618:J2830,9,0)),"")</f>
        <v/>
      </c>
      <c r="K2504" s="384" t="str">
        <f ca="1">IFERROR(VLOOKUP(C2504,' Disaggregation - Section E '!A$618:J2830,3,0),"")</f>
        <v>DRTB-3⁽ᴹ⁾ Percentage of people with confirmed RR-TB and/or MDR-TB that began second-line treatment</v>
      </c>
      <c r="L2504" s="384"/>
      <c r="M2504" s="384" t="str">
        <f ca="1">IFERROR(IF(VLOOKUP(C2504,' Disaggregation - Section E '!A$618:O1633,15,0)=0,"",VLOOKUP(C2504,' Disaggregation - Section E '!A$618:O1633,15,0)),"")</f>
        <v/>
      </c>
      <c r="N2504" s="388" t="str">
        <f ca="1">IFERROR(IF(VLOOKUP(C2504,' Disaggregation - Section E '!A$618:J2830,10,0)=0,"",VLOOKUP(C2504,' Disaggregation - Section E '!A$618:J2830,10,0)),"")</f>
        <v/>
      </c>
      <c r="O2504" s="384"/>
    </row>
    <row r="2505" spans="1:15" x14ac:dyDescent="0.3">
      <c r="A2505" s="384" t="b">
        <f t="shared" ca="1" si="141"/>
        <v>0</v>
      </c>
      <c r="B2505" s="384"/>
      <c r="C2505" s="393" t="str">
        <f ca="1">IF(COUNTA(O$1493:O2505)=1,"",OFFSET(B2503,-COUNTA(O$1493:O2505)+3,1))</f>
        <v>a16Dm000000LZg8IAG</v>
      </c>
      <c r="D2505" s="389"/>
      <c r="E2505" s="386" t="str">
        <f ca="1">IFERROR(IF(VLOOKUP(C2505,' Disaggregation - Section E '!A$618:J2831,7,0)="","",VLOOKUP(C2505,' Disaggregation - Section E '!A$618:J2831,7,0)*100),"")</f>
        <v/>
      </c>
      <c r="F2505" s="388" t="str">
        <f ca="1">IFERROR(VLOOKUP(C2505,' Disaggregation - Section E '!A$618:J2831,5,0),"")</f>
        <v/>
      </c>
      <c r="G2505" s="387" t="str">
        <f ca="1">IFERROR(IF(VLOOKUP(C2505,' Disaggregation - Section E '!A$618:J2831,6,0)="","",VLOOKUP(C2505,' Disaggregation - Section E '!A$618:J2831,6,0)),"")</f>
        <v/>
      </c>
      <c r="H2505" s="387" t="str">
        <f ca="1">IFERROR(IF(INDEX(' Disaggregation - Section E '!F$618:F2831,MATCH(C2505,' Disaggregation - Section E '!A$618:A2831,0)+1,1)&lt;&gt;0,INDEX(' Disaggregation - Section E '!F$618:F2831,MATCH(C2505,' Disaggregation - Section E '!A$618:A2831,0)+1,1),""),"")</f>
        <v/>
      </c>
      <c r="I2505" s="388" t="str">
        <f ca="1">IFERROR(IF(VLOOKUP(C2505,' Disaggregation - Section E '!A$618:J2831,8,0)=0,"",VLOOKUP(C2505,' Disaggregation - Section E '!A$618:J2831,8,0)),"")</f>
        <v/>
      </c>
      <c r="J2505" s="388" t="str">
        <f ca="1">IFERROR(IF(VLOOKUP(C2505,' Disaggregation - Section E '!A$618:J2831,9,0)="","",VLOOKUP(C2505,' Disaggregation - Section E '!A$618:J2831,9,0)),"")</f>
        <v/>
      </c>
      <c r="K2505" s="384" t="str">
        <f ca="1">IFERROR(VLOOKUP(C2505,' Disaggregation - Section E '!A$618:J2831,3,0),"")</f>
        <v>DRTB-3⁽ᴹ⁾ Percentage of people with confirmed RR-TB and/or MDR-TB that began second-line treatment</v>
      </c>
      <c r="L2505" s="384"/>
      <c r="M2505" s="384" t="str">
        <f ca="1">IFERROR(IF(VLOOKUP(C2505,' Disaggregation - Section E '!A$618:O1634,15,0)=0,"",VLOOKUP(C2505,' Disaggregation - Section E '!A$618:O1634,15,0)),"")</f>
        <v/>
      </c>
      <c r="N2505" s="388" t="str">
        <f ca="1">IFERROR(IF(VLOOKUP(C2505,' Disaggregation - Section E '!A$618:J2831,10,0)=0,"",VLOOKUP(C2505,' Disaggregation - Section E '!A$618:J2831,10,0)),"")</f>
        <v/>
      </c>
      <c r="O2505" s="384"/>
    </row>
    <row r="2506" spans="1:15" x14ac:dyDescent="0.3">
      <c r="A2506" s="384" t="b">
        <f t="shared" ca="1" si="141"/>
        <v>0</v>
      </c>
      <c r="B2506" s="384"/>
      <c r="C2506" s="393" t="str">
        <f ca="1">IF(COUNTA(O$1493:O2506)=1,"",OFFSET(B2504,-COUNTA(O$1493:O2506)+3,1))</f>
        <v>a16Dm000000LZg9IAG</v>
      </c>
      <c r="D2506" s="389"/>
      <c r="E2506" s="386" t="str">
        <f ca="1">IFERROR(IF(VLOOKUP(C2506,' Disaggregation - Section E '!A$618:J2832,7,0)="","",VLOOKUP(C2506,' Disaggregation - Section E '!A$618:J2832,7,0)*100),"")</f>
        <v/>
      </c>
      <c r="F2506" s="388" t="str">
        <f ca="1">IFERROR(VLOOKUP(C2506,' Disaggregation - Section E '!A$618:J2832,5,0),"")</f>
        <v/>
      </c>
      <c r="G2506" s="387" t="str">
        <f ca="1">IFERROR(IF(VLOOKUP(C2506,' Disaggregation - Section E '!A$618:J2832,6,0)="","",VLOOKUP(C2506,' Disaggregation - Section E '!A$618:J2832,6,0)),"")</f>
        <v/>
      </c>
      <c r="H2506" s="387" t="str">
        <f ca="1">IFERROR(IF(INDEX(' Disaggregation - Section E '!F$618:F2832,MATCH(C2506,' Disaggregation - Section E '!A$618:A2832,0)+1,1)&lt;&gt;0,INDEX(' Disaggregation - Section E '!F$618:F2832,MATCH(C2506,' Disaggregation - Section E '!A$618:A2832,0)+1,1),""),"")</f>
        <v/>
      </c>
      <c r="I2506" s="388" t="str">
        <f ca="1">IFERROR(IF(VLOOKUP(C2506,' Disaggregation - Section E '!A$618:J2832,8,0)=0,"",VLOOKUP(C2506,' Disaggregation - Section E '!A$618:J2832,8,0)),"")</f>
        <v/>
      </c>
      <c r="J2506" s="388" t="str">
        <f ca="1">IFERROR(IF(VLOOKUP(C2506,' Disaggregation - Section E '!A$618:J2832,9,0)="","",VLOOKUP(C2506,' Disaggregation - Section E '!A$618:J2832,9,0)),"")</f>
        <v/>
      </c>
      <c r="K2506" s="384" t="str">
        <f ca="1">IFERROR(VLOOKUP(C2506,' Disaggregation - Section E '!A$618:J2832,3,0),"")</f>
        <v>DRTB-3⁽ᴹ⁾ Percentage of people with confirmed RR-TB and/or MDR-TB that began second-line treatment</v>
      </c>
      <c r="L2506" s="384"/>
      <c r="M2506" s="384" t="str">
        <f ca="1">IFERROR(IF(VLOOKUP(C2506,' Disaggregation - Section E '!A$618:O1635,15,0)=0,"",VLOOKUP(C2506,' Disaggregation - Section E '!A$618:O1635,15,0)),"")</f>
        <v/>
      </c>
      <c r="N2506" s="388" t="str">
        <f ca="1">IFERROR(IF(VLOOKUP(C2506,' Disaggregation - Section E '!A$618:J2832,10,0)=0,"",VLOOKUP(C2506,' Disaggregation - Section E '!A$618:J2832,10,0)),"")</f>
        <v/>
      </c>
      <c r="O2506" s="384"/>
    </row>
    <row r="2507" spans="1:15" x14ac:dyDescent="0.3">
      <c r="A2507" s="384" t="b">
        <f t="shared" ca="1" si="141"/>
        <v>0</v>
      </c>
      <c r="B2507" s="384"/>
      <c r="C2507" s="393" t="str">
        <f ca="1">IF(COUNTA(O$1493:O2507)=1,"",OFFSET(B2505,-COUNTA(O$1493:O2507)+3,1))</f>
        <v>a16Dm000000LZgAIAW</v>
      </c>
      <c r="D2507" s="389"/>
      <c r="E2507" s="386" t="str">
        <f ca="1">IFERROR(IF(VLOOKUP(C2507,' Disaggregation - Section E '!A$618:J2833,7,0)="","",VLOOKUP(C2507,' Disaggregation - Section E '!A$618:J2833,7,0)*100),"")</f>
        <v/>
      </c>
      <c r="F2507" s="388" t="str">
        <f ca="1">IFERROR(VLOOKUP(C2507,' Disaggregation - Section E '!A$618:J2833,5,0),"")</f>
        <v/>
      </c>
      <c r="G2507" s="387" t="str">
        <f ca="1">IFERROR(IF(VLOOKUP(C2507,' Disaggregation - Section E '!A$618:J2833,6,0)="","",VLOOKUP(C2507,' Disaggregation - Section E '!A$618:J2833,6,0)),"")</f>
        <v/>
      </c>
      <c r="H2507" s="387" t="str">
        <f ca="1">IFERROR(IF(INDEX(' Disaggregation - Section E '!F$618:F2833,MATCH(C2507,' Disaggregation - Section E '!A$618:A2833,0)+1,1)&lt;&gt;0,INDEX(' Disaggregation - Section E '!F$618:F2833,MATCH(C2507,' Disaggregation - Section E '!A$618:A2833,0)+1,1),""),"")</f>
        <v/>
      </c>
      <c r="I2507" s="388" t="str">
        <f ca="1">IFERROR(IF(VLOOKUP(C2507,' Disaggregation - Section E '!A$618:J2833,8,0)=0,"",VLOOKUP(C2507,' Disaggregation - Section E '!A$618:J2833,8,0)),"")</f>
        <v/>
      </c>
      <c r="J2507" s="388" t="str">
        <f ca="1">IFERROR(IF(VLOOKUP(C2507,' Disaggregation - Section E '!A$618:J2833,9,0)="","",VLOOKUP(C2507,' Disaggregation - Section E '!A$618:J2833,9,0)),"")</f>
        <v/>
      </c>
      <c r="K2507" s="384" t="str">
        <f ca="1">IFERROR(VLOOKUP(C2507,' Disaggregation - Section E '!A$618:J2833,3,0),"")</f>
        <v>DRTB-3⁽ᴹ⁾ Percentage of people with confirmed RR-TB and/or MDR-TB that began second-line treatment</v>
      </c>
      <c r="L2507" s="384"/>
      <c r="M2507" s="384" t="str">
        <f ca="1">IFERROR(IF(VLOOKUP(C2507,' Disaggregation - Section E '!A$618:O1636,15,0)=0,"",VLOOKUP(C2507,' Disaggregation - Section E '!A$618:O1636,15,0)),"")</f>
        <v/>
      </c>
      <c r="N2507" s="388" t="str">
        <f ca="1">IFERROR(IF(VLOOKUP(C2507,' Disaggregation - Section E '!A$618:J2833,10,0)=0,"",VLOOKUP(C2507,' Disaggregation - Section E '!A$618:J2833,10,0)),"")</f>
        <v/>
      </c>
      <c r="O2507" s="384"/>
    </row>
    <row r="2508" spans="1:15" x14ac:dyDescent="0.3">
      <c r="A2508" s="384" t="b">
        <f t="shared" ca="1" si="141"/>
        <v>0</v>
      </c>
      <c r="B2508" s="384"/>
      <c r="C2508" s="393" t="str">
        <f ca="1">IF(COUNTA(O$1493:O2508)=1,"",OFFSET(B2506,-COUNTA(O$1493:O2508)+3,1))</f>
        <v>a16Dm000000LZgBIAW</v>
      </c>
      <c r="D2508" s="389"/>
      <c r="E2508" s="386" t="str">
        <f ca="1">IFERROR(IF(VLOOKUP(C2508,' Disaggregation - Section E '!A$618:J2834,7,0)="","",VLOOKUP(C2508,' Disaggregation - Section E '!A$618:J2834,7,0)*100),"")</f>
        <v/>
      </c>
      <c r="F2508" s="388" t="str">
        <f ca="1">IFERROR(VLOOKUP(C2508,' Disaggregation - Section E '!A$618:J2834,5,0),"")</f>
        <v/>
      </c>
      <c r="G2508" s="387" t="str">
        <f ca="1">IFERROR(IF(VLOOKUP(C2508,' Disaggregation - Section E '!A$618:J2834,6,0)="","",VLOOKUP(C2508,' Disaggregation - Section E '!A$618:J2834,6,0)),"")</f>
        <v/>
      </c>
      <c r="H2508" s="387" t="str">
        <f ca="1">IFERROR(IF(INDEX(' Disaggregation - Section E '!F$618:F2834,MATCH(C2508,' Disaggregation - Section E '!A$618:A2834,0)+1,1)&lt;&gt;0,INDEX(' Disaggregation - Section E '!F$618:F2834,MATCH(C2508,' Disaggregation - Section E '!A$618:A2834,0)+1,1),""),"")</f>
        <v/>
      </c>
      <c r="I2508" s="388" t="str">
        <f ca="1">IFERROR(IF(VLOOKUP(C2508,' Disaggregation - Section E '!A$618:J2834,8,0)=0,"",VLOOKUP(C2508,' Disaggregation - Section E '!A$618:J2834,8,0)),"")</f>
        <v/>
      </c>
      <c r="J2508" s="388" t="str">
        <f ca="1">IFERROR(IF(VLOOKUP(C2508,' Disaggregation - Section E '!A$618:J2834,9,0)="","",VLOOKUP(C2508,' Disaggregation - Section E '!A$618:J2834,9,0)),"")</f>
        <v/>
      </c>
      <c r="K2508" s="384" t="str">
        <f ca="1">IFERROR(VLOOKUP(C2508,' Disaggregation - Section E '!A$618:J2834,3,0),"")</f>
        <v>DRTB-3⁽ᴹ⁾ Percentage of people with confirmed RR-TB and/or MDR-TB that began second-line treatment</v>
      </c>
      <c r="L2508" s="384"/>
      <c r="M2508" s="384" t="str">
        <f ca="1">IFERROR(IF(VLOOKUP(C2508,' Disaggregation - Section E '!A$618:O1637,15,0)=0,"",VLOOKUP(C2508,' Disaggregation - Section E '!A$618:O1637,15,0)),"")</f>
        <v/>
      </c>
      <c r="N2508" s="388" t="str">
        <f ca="1">IFERROR(IF(VLOOKUP(C2508,' Disaggregation - Section E '!A$618:J2834,10,0)=0,"",VLOOKUP(C2508,' Disaggregation - Section E '!A$618:J2834,10,0)),"")</f>
        <v/>
      </c>
      <c r="O2508" s="384"/>
    </row>
    <row r="2509" spans="1:15" x14ac:dyDescent="0.3">
      <c r="A2509" s="384" t="b">
        <f t="shared" ca="1" si="141"/>
        <v>0</v>
      </c>
      <c r="B2509" s="384"/>
      <c r="C2509" s="393" t="str">
        <f ca="1">IF(COUNTA(O$1493:O2509)=1,"",OFFSET(B2507,-COUNTA(O$1493:O2509)+3,1))</f>
        <v>a16Dm000000LZgCIAW</v>
      </c>
      <c r="D2509" s="389"/>
      <c r="E2509" s="386" t="str">
        <f ca="1">IFERROR(IF(VLOOKUP(C2509,' Disaggregation - Section E '!A$618:J2835,7,0)="","",VLOOKUP(C2509,' Disaggregation - Section E '!A$618:J2835,7,0)*100),"")</f>
        <v/>
      </c>
      <c r="F2509" s="388" t="str">
        <f ca="1">IFERROR(VLOOKUP(C2509,' Disaggregation - Section E '!A$618:J2835,5,0),"")</f>
        <v/>
      </c>
      <c r="G2509" s="387" t="str">
        <f ca="1">IFERROR(IF(VLOOKUP(C2509,' Disaggregation - Section E '!A$618:J2835,6,0)="","",VLOOKUP(C2509,' Disaggregation - Section E '!A$618:J2835,6,0)),"")</f>
        <v/>
      </c>
      <c r="H2509" s="387" t="str">
        <f ca="1">IFERROR(IF(INDEX(' Disaggregation - Section E '!F$618:F2835,MATCH(C2509,' Disaggregation - Section E '!A$618:A2835,0)+1,1)&lt;&gt;0,INDEX(' Disaggregation - Section E '!F$618:F2835,MATCH(C2509,' Disaggregation - Section E '!A$618:A2835,0)+1,1),""),"")</f>
        <v/>
      </c>
      <c r="I2509" s="388" t="str">
        <f ca="1">IFERROR(IF(VLOOKUP(C2509,' Disaggregation - Section E '!A$618:J2835,8,0)=0,"",VLOOKUP(C2509,' Disaggregation - Section E '!A$618:J2835,8,0)),"")</f>
        <v/>
      </c>
      <c r="J2509" s="388" t="str">
        <f ca="1">IFERROR(IF(VLOOKUP(C2509,' Disaggregation - Section E '!A$618:J2835,9,0)="","",VLOOKUP(C2509,' Disaggregation - Section E '!A$618:J2835,9,0)),"")</f>
        <v/>
      </c>
      <c r="K2509" s="384" t="str">
        <f ca="1">IFERROR(VLOOKUP(C2509,' Disaggregation - Section E '!A$618:J2835,3,0),"")</f>
        <v>DRTB-3⁽ᴹ⁾ Percentage of people with confirmed RR-TB and/or MDR-TB that began second-line treatment</v>
      </c>
      <c r="L2509" s="384"/>
      <c r="M2509" s="384" t="str">
        <f ca="1">IFERROR(IF(VLOOKUP(C2509,' Disaggregation - Section E '!A$618:O1638,15,0)=0,"",VLOOKUP(C2509,' Disaggregation - Section E '!A$618:O1638,15,0)),"")</f>
        <v/>
      </c>
      <c r="N2509" s="388" t="str">
        <f ca="1">IFERROR(IF(VLOOKUP(C2509,' Disaggregation - Section E '!A$618:J2835,10,0)=0,"",VLOOKUP(C2509,' Disaggregation - Section E '!A$618:J2835,10,0)),"")</f>
        <v/>
      </c>
      <c r="O2509" s="384"/>
    </row>
    <row r="2510" spans="1:15" x14ac:dyDescent="0.3">
      <c r="A2510" s="384" t="b">
        <f t="shared" ca="1" si="141"/>
        <v>0</v>
      </c>
      <c r="B2510" s="384"/>
      <c r="C2510" s="393" t="str">
        <f ca="1">IF(COUNTA(O$1493:O2510)=1,"",OFFSET(B2508,-COUNTA(O$1493:O2510)+3,1))</f>
        <v>a16Dm000000LZgDIAW</v>
      </c>
      <c r="D2510" s="389"/>
      <c r="E2510" s="386" t="str">
        <f ca="1">IFERROR(IF(VLOOKUP(C2510,' Disaggregation - Section E '!A$618:J2836,7,0)="","",VLOOKUP(C2510,' Disaggregation - Section E '!A$618:J2836,7,0)*100),"")</f>
        <v/>
      </c>
      <c r="F2510" s="388" t="str">
        <f ca="1">IFERROR(VLOOKUP(C2510,' Disaggregation - Section E '!A$618:J2836,5,0),"")</f>
        <v/>
      </c>
      <c r="G2510" s="387" t="str">
        <f ca="1">IFERROR(IF(VLOOKUP(C2510,' Disaggregation - Section E '!A$618:J2836,6,0)="","",VLOOKUP(C2510,' Disaggregation - Section E '!A$618:J2836,6,0)),"")</f>
        <v/>
      </c>
      <c r="H2510" s="387" t="str">
        <f ca="1">IFERROR(IF(INDEX(' Disaggregation - Section E '!F$618:F2836,MATCH(C2510,' Disaggregation - Section E '!A$618:A2836,0)+1,1)&lt;&gt;0,INDEX(' Disaggregation - Section E '!F$618:F2836,MATCH(C2510,' Disaggregation - Section E '!A$618:A2836,0)+1,1),""),"")</f>
        <v/>
      </c>
      <c r="I2510" s="388" t="str">
        <f ca="1">IFERROR(IF(VLOOKUP(C2510,' Disaggregation - Section E '!A$618:J2836,8,0)=0,"",VLOOKUP(C2510,' Disaggregation - Section E '!A$618:J2836,8,0)),"")</f>
        <v/>
      </c>
      <c r="J2510" s="388" t="str">
        <f ca="1">IFERROR(IF(VLOOKUP(C2510,' Disaggregation - Section E '!A$618:J2836,9,0)="","",VLOOKUP(C2510,' Disaggregation - Section E '!A$618:J2836,9,0)),"")</f>
        <v/>
      </c>
      <c r="K2510" s="384" t="str">
        <f ca="1">IFERROR(VLOOKUP(C2510,' Disaggregation - Section E '!A$618:J2836,3,0),"")</f>
        <v>DRTB-3⁽ᴹ⁾ Percentage of people with confirmed RR-TB and/or MDR-TB that began second-line treatment</v>
      </c>
      <c r="L2510" s="384"/>
      <c r="M2510" s="384" t="str">
        <f ca="1">IFERROR(IF(VLOOKUP(C2510,' Disaggregation - Section E '!A$618:O1639,15,0)=0,"",VLOOKUP(C2510,' Disaggregation - Section E '!A$618:O1639,15,0)),"")</f>
        <v/>
      </c>
      <c r="N2510" s="388" t="str">
        <f ca="1">IFERROR(IF(VLOOKUP(C2510,' Disaggregation - Section E '!A$618:J2836,10,0)=0,"",VLOOKUP(C2510,' Disaggregation - Section E '!A$618:J2836,10,0)),"")</f>
        <v/>
      </c>
      <c r="O2510" s="384"/>
    </row>
    <row r="2511" spans="1:15" x14ac:dyDescent="0.3">
      <c r="A2511" s="384" t="b">
        <f t="shared" ca="1" si="141"/>
        <v>0</v>
      </c>
      <c r="B2511" s="384"/>
      <c r="C2511" s="393" t="str">
        <f ca="1">IF(COUNTA(O$1493:O2511)=1,"",OFFSET(B2509,-COUNTA(O$1493:O2511)+3,1))</f>
        <v>a16Dm000000LZgEIAW</v>
      </c>
      <c r="D2511" s="389"/>
      <c r="E2511" s="386" t="str">
        <f ca="1">IFERROR(IF(VLOOKUP(C2511,' Disaggregation - Section E '!A$618:J2837,7,0)="","",VLOOKUP(C2511,' Disaggregation - Section E '!A$618:J2837,7,0)*100),"")</f>
        <v/>
      </c>
      <c r="F2511" s="388" t="str">
        <f ca="1">IFERROR(VLOOKUP(C2511,' Disaggregation - Section E '!A$618:J2837,5,0),"")</f>
        <v/>
      </c>
      <c r="G2511" s="387" t="str">
        <f ca="1">IFERROR(IF(VLOOKUP(C2511,' Disaggregation - Section E '!A$618:J2837,6,0)="","",VLOOKUP(C2511,' Disaggregation - Section E '!A$618:J2837,6,0)),"")</f>
        <v/>
      </c>
      <c r="H2511" s="387" t="str">
        <f ca="1">IFERROR(IF(INDEX(' Disaggregation - Section E '!F$618:F2837,MATCH(C2511,' Disaggregation - Section E '!A$618:A2837,0)+1,1)&lt;&gt;0,INDEX(' Disaggregation - Section E '!F$618:F2837,MATCH(C2511,' Disaggregation - Section E '!A$618:A2837,0)+1,1),""),"")</f>
        <v/>
      </c>
      <c r="I2511" s="388" t="str">
        <f ca="1">IFERROR(IF(VLOOKUP(C2511,' Disaggregation - Section E '!A$618:J2837,8,0)=0,"",VLOOKUP(C2511,' Disaggregation - Section E '!A$618:J2837,8,0)),"")</f>
        <v/>
      </c>
      <c r="J2511" s="388" t="str">
        <f ca="1">IFERROR(IF(VLOOKUP(C2511,' Disaggregation - Section E '!A$618:J2837,9,0)="","",VLOOKUP(C2511,' Disaggregation - Section E '!A$618:J2837,9,0)),"")</f>
        <v/>
      </c>
      <c r="K2511" s="384" t="str">
        <f ca="1">IFERROR(VLOOKUP(C2511,' Disaggregation - Section E '!A$618:J2837,3,0),"")</f>
        <v>DRTB-3⁽ᴹ⁾ Percentage of people with confirmed RR-TB and/or MDR-TB that began second-line treatment</v>
      </c>
      <c r="L2511" s="384"/>
      <c r="M2511" s="384" t="str">
        <f ca="1">IFERROR(IF(VLOOKUP(C2511,' Disaggregation - Section E '!A$618:O1640,15,0)=0,"",VLOOKUP(C2511,' Disaggregation - Section E '!A$618:O1640,15,0)),"")</f>
        <v/>
      </c>
      <c r="N2511" s="388" t="str">
        <f ca="1">IFERROR(IF(VLOOKUP(C2511,' Disaggregation - Section E '!A$618:J2837,10,0)=0,"",VLOOKUP(C2511,' Disaggregation - Section E '!A$618:J2837,10,0)),"")</f>
        <v/>
      </c>
      <c r="O2511" s="384"/>
    </row>
    <row r="2512" spans="1:15" x14ac:dyDescent="0.3">
      <c r="A2512" s="384" t="b">
        <f t="shared" ca="1" si="141"/>
        <v>0</v>
      </c>
      <c r="B2512" s="384"/>
      <c r="C2512" s="393" t="str">
        <f ca="1">IF(COUNTA(O$1493:O2512)=1,"",OFFSET(B2510,-COUNTA(O$1493:O2512)+3,1))</f>
        <v>a16Dm000000LZgFIAW</v>
      </c>
      <c r="D2512" s="389"/>
      <c r="E2512" s="386" t="str">
        <f ca="1">IFERROR(IF(VLOOKUP(C2512,' Disaggregation - Section E '!A$618:J2838,7,0)="","",VLOOKUP(C2512,' Disaggregation - Section E '!A$618:J2838,7,0)*100),"")</f>
        <v/>
      </c>
      <c r="F2512" s="388" t="str">
        <f ca="1">IFERROR(VLOOKUP(C2512,' Disaggregation - Section E '!A$618:J2838,5,0),"")</f>
        <v/>
      </c>
      <c r="G2512" s="387" t="str">
        <f ca="1">IFERROR(IF(VLOOKUP(C2512,' Disaggregation - Section E '!A$618:J2838,6,0)="","",VLOOKUP(C2512,' Disaggregation - Section E '!A$618:J2838,6,0)),"")</f>
        <v/>
      </c>
      <c r="H2512" s="387" t="str">
        <f ca="1">IFERROR(IF(INDEX(' Disaggregation - Section E '!F$618:F2838,MATCH(C2512,' Disaggregation - Section E '!A$618:A2838,0)+1,1)&lt;&gt;0,INDEX(' Disaggregation - Section E '!F$618:F2838,MATCH(C2512,' Disaggregation - Section E '!A$618:A2838,0)+1,1),""),"")</f>
        <v/>
      </c>
      <c r="I2512" s="388" t="str">
        <f ca="1">IFERROR(IF(VLOOKUP(C2512,' Disaggregation - Section E '!A$618:J2838,8,0)=0,"",VLOOKUP(C2512,' Disaggregation - Section E '!A$618:J2838,8,0)),"")</f>
        <v/>
      </c>
      <c r="J2512" s="388" t="str">
        <f ca="1">IFERROR(IF(VLOOKUP(C2512,' Disaggregation - Section E '!A$618:J2838,9,0)="","",VLOOKUP(C2512,' Disaggregation - Section E '!A$618:J2838,9,0)),"")</f>
        <v/>
      </c>
      <c r="K2512" s="384" t="str">
        <f ca="1">IFERROR(VLOOKUP(C2512,' Disaggregation - Section E '!A$618:J2838,3,0),"")</f>
        <v>DRTB-3⁽ᴹ⁾ Percentage of people with confirmed RR-TB and/or MDR-TB that began second-line treatment</v>
      </c>
      <c r="L2512" s="384"/>
      <c r="M2512" s="384" t="str">
        <f ca="1">IFERROR(IF(VLOOKUP(C2512,' Disaggregation - Section E '!A$618:O1641,15,0)=0,"",VLOOKUP(C2512,' Disaggregation - Section E '!A$618:O1641,15,0)),"")</f>
        <v/>
      </c>
      <c r="N2512" s="388" t="str">
        <f ca="1">IFERROR(IF(VLOOKUP(C2512,' Disaggregation - Section E '!A$618:J2838,10,0)=0,"",VLOOKUP(C2512,' Disaggregation - Section E '!A$618:J2838,10,0)),"")</f>
        <v/>
      </c>
      <c r="O2512" s="384"/>
    </row>
    <row r="2513" spans="1:15" x14ac:dyDescent="0.3">
      <c r="A2513" s="384" t="b">
        <f t="shared" ca="1" si="141"/>
        <v>0</v>
      </c>
      <c r="B2513" s="384"/>
      <c r="C2513" s="393" t="str">
        <f ca="1">IF(COUNTA(O$1493:O2513)=1,"",OFFSET(B2511,-COUNTA(O$1493:O2513)+3,1))</f>
        <v>a16Dm000000LZgGIAW</v>
      </c>
      <c r="D2513" s="389"/>
      <c r="E2513" s="386" t="str">
        <f ca="1">IFERROR(IF(VLOOKUP(C2513,' Disaggregation - Section E '!A$618:J2839,7,0)="","",VLOOKUP(C2513,' Disaggregation - Section E '!A$618:J2839,7,0)*100),"")</f>
        <v/>
      </c>
      <c r="F2513" s="388" t="str">
        <f ca="1">IFERROR(VLOOKUP(C2513,' Disaggregation - Section E '!A$618:J2839,5,0),"")</f>
        <v/>
      </c>
      <c r="G2513" s="387" t="str">
        <f ca="1">IFERROR(IF(VLOOKUP(C2513,' Disaggregation - Section E '!A$618:J2839,6,0)="","",VLOOKUP(C2513,' Disaggregation - Section E '!A$618:J2839,6,0)),"")</f>
        <v/>
      </c>
      <c r="H2513" s="387" t="str">
        <f ca="1">IFERROR(IF(INDEX(' Disaggregation - Section E '!F$618:F2839,MATCH(C2513,' Disaggregation - Section E '!A$618:A2839,0)+1,1)&lt;&gt;0,INDEX(' Disaggregation - Section E '!F$618:F2839,MATCH(C2513,' Disaggregation - Section E '!A$618:A2839,0)+1,1),""),"")</f>
        <v/>
      </c>
      <c r="I2513" s="388" t="str">
        <f ca="1">IFERROR(IF(VLOOKUP(C2513,' Disaggregation - Section E '!A$618:J2839,8,0)=0,"",VLOOKUP(C2513,' Disaggregation - Section E '!A$618:J2839,8,0)),"")</f>
        <v/>
      </c>
      <c r="J2513" s="388" t="str">
        <f ca="1">IFERROR(IF(VLOOKUP(C2513,' Disaggregation - Section E '!A$618:J2839,9,0)="","",VLOOKUP(C2513,' Disaggregation - Section E '!A$618:J2839,9,0)),"")</f>
        <v/>
      </c>
      <c r="K2513" s="384" t="str">
        <f ca="1">IFERROR(VLOOKUP(C2513,' Disaggregation - Section E '!A$618:J2839,3,0),"")</f>
        <v>DRTB-3⁽ᴹ⁾ Percentage of people with confirmed RR-TB and/or MDR-TB that began second-line treatment</v>
      </c>
      <c r="L2513" s="384"/>
      <c r="M2513" s="384" t="str">
        <f ca="1">IFERROR(IF(VLOOKUP(C2513,' Disaggregation - Section E '!A$618:O1642,15,0)=0,"",VLOOKUP(C2513,' Disaggregation - Section E '!A$618:O1642,15,0)),"")</f>
        <v/>
      </c>
      <c r="N2513" s="388" t="str">
        <f ca="1">IFERROR(IF(VLOOKUP(C2513,' Disaggregation - Section E '!A$618:J2839,10,0)=0,"",VLOOKUP(C2513,' Disaggregation - Section E '!A$618:J2839,10,0)),"")</f>
        <v/>
      </c>
      <c r="O2513" s="384"/>
    </row>
    <row r="2514" spans="1:15" x14ac:dyDescent="0.3">
      <c r="A2514" s="384" t="b">
        <f t="shared" ca="1" si="141"/>
        <v>0</v>
      </c>
      <c r="B2514" s="384"/>
      <c r="C2514" s="393" t="str">
        <f ca="1">IF(COUNTA(O$1493:O2514)=1,"",OFFSET(B2512,-COUNTA(O$1493:O2514)+3,1))</f>
        <v>a16Dm000000LZgHIAW</v>
      </c>
      <c r="D2514" s="389"/>
      <c r="E2514" s="386" t="str">
        <f ca="1">IFERROR(IF(VLOOKUP(C2514,' Disaggregation - Section E '!A$618:J2840,7,0)="","",VLOOKUP(C2514,' Disaggregation - Section E '!A$618:J2840,7,0)*100),"")</f>
        <v/>
      </c>
      <c r="F2514" s="388" t="str">
        <f ca="1">IFERROR(VLOOKUP(C2514,' Disaggregation - Section E '!A$618:J2840,5,0),"")</f>
        <v/>
      </c>
      <c r="G2514" s="387" t="str">
        <f ca="1">IFERROR(IF(VLOOKUP(C2514,' Disaggregation - Section E '!A$618:J2840,6,0)="","",VLOOKUP(C2514,' Disaggregation - Section E '!A$618:J2840,6,0)),"")</f>
        <v/>
      </c>
      <c r="H2514" s="387" t="str">
        <f ca="1">IFERROR(IF(INDEX(' Disaggregation - Section E '!F$618:F2840,MATCH(C2514,' Disaggregation - Section E '!A$618:A2840,0)+1,1)&lt;&gt;0,INDEX(' Disaggregation - Section E '!F$618:F2840,MATCH(C2514,' Disaggregation - Section E '!A$618:A2840,0)+1,1),""),"")</f>
        <v/>
      </c>
      <c r="I2514" s="388" t="str">
        <f ca="1">IFERROR(IF(VLOOKUP(C2514,' Disaggregation - Section E '!A$618:J2840,8,0)=0,"",VLOOKUP(C2514,' Disaggregation - Section E '!A$618:J2840,8,0)),"")</f>
        <v/>
      </c>
      <c r="J2514" s="388" t="str">
        <f ca="1">IFERROR(IF(VLOOKUP(C2514,' Disaggregation - Section E '!A$618:J2840,9,0)="","",VLOOKUP(C2514,' Disaggregation - Section E '!A$618:J2840,9,0)),"")</f>
        <v/>
      </c>
      <c r="K2514" s="384" t="str">
        <f ca="1">IFERROR(VLOOKUP(C2514,' Disaggregation - Section E '!A$618:J2840,3,0),"")</f>
        <v>DRTB-3⁽ᴹ⁾ Percentage of people with confirmed RR-TB and/or MDR-TB that began second-line treatment</v>
      </c>
      <c r="L2514" s="384"/>
      <c r="M2514" s="384" t="str">
        <f ca="1">IFERROR(IF(VLOOKUP(C2514,' Disaggregation - Section E '!A$618:O1643,15,0)=0,"",VLOOKUP(C2514,' Disaggregation - Section E '!A$618:O1643,15,0)),"")</f>
        <v/>
      </c>
      <c r="N2514" s="388" t="str">
        <f ca="1">IFERROR(IF(VLOOKUP(C2514,' Disaggregation - Section E '!A$618:J2840,10,0)=0,"",VLOOKUP(C2514,' Disaggregation - Section E '!A$618:J2840,10,0)),"")</f>
        <v/>
      </c>
      <c r="O2514" s="384"/>
    </row>
    <row r="2515" spans="1:15" x14ac:dyDescent="0.3">
      <c r="A2515" s="384" t="b">
        <f t="shared" ca="1" si="141"/>
        <v>0</v>
      </c>
      <c r="B2515" s="384"/>
      <c r="C2515" s="393" t="str">
        <f ca="1">IF(COUNTA(O$1493:O2515)=1,"",OFFSET(B2513,-COUNTA(O$1493:O2515)+3,1))</f>
        <v>a16Dm000000LZgIIAW</v>
      </c>
      <c r="D2515" s="389"/>
      <c r="E2515" s="386" t="str">
        <f ca="1">IFERROR(IF(VLOOKUP(C2515,' Disaggregation - Section E '!A$618:J2841,7,0)="","",VLOOKUP(C2515,' Disaggregation - Section E '!A$618:J2841,7,0)*100),"")</f>
        <v/>
      </c>
      <c r="F2515" s="388" t="str">
        <f ca="1">IFERROR(VLOOKUP(C2515,' Disaggregation - Section E '!A$618:J2841,5,0),"")</f>
        <v/>
      </c>
      <c r="G2515" s="387" t="str">
        <f ca="1">IFERROR(IF(VLOOKUP(C2515,' Disaggregation - Section E '!A$618:J2841,6,0)="","",VLOOKUP(C2515,' Disaggregation - Section E '!A$618:J2841,6,0)),"")</f>
        <v/>
      </c>
      <c r="H2515" s="387" t="str">
        <f ca="1">IFERROR(IF(INDEX(' Disaggregation - Section E '!F$618:F2841,MATCH(C2515,' Disaggregation - Section E '!A$618:A2841,0)+1,1)&lt;&gt;0,INDEX(' Disaggregation - Section E '!F$618:F2841,MATCH(C2515,' Disaggregation - Section E '!A$618:A2841,0)+1,1),""),"")</f>
        <v/>
      </c>
      <c r="I2515" s="388" t="str">
        <f ca="1">IFERROR(IF(VLOOKUP(C2515,' Disaggregation - Section E '!A$618:J2841,8,0)=0,"",VLOOKUP(C2515,' Disaggregation - Section E '!A$618:J2841,8,0)),"")</f>
        <v/>
      </c>
      <c r="J2515" s="388" t="str">
        <f ca="1">IFERROR(IF(VLOOKUP(C2515,' Disaggregation - Section E '!A$618:J2841,9,0)="","",VLOOKUP(C2515,' Disaggregation - Section E '!A$618:J2841,9,0)),"")</f>
        <v/>
      </c>
      <c r="K2515" s="384" t="str">
        <f ca="1">IFERROR(VLOOKUP(C2515,' Disaggregation - Section E '!A$618:J2841,3,0),"")</f>
        <v>DRTB-6 Percentage of TB patients with DST result for at least Rifampicin among the total number of notified (new and retreatment) patients during the reporting period</v>
      </c>
      <c r="L2515" s="384"/>
      <c r="M2515" s="384" t="str">
        <f ca="1">IFERROR(IF(VLOOKUP(C2515,' Disaggregation - Section E '!A$618:O1644,15,0)=0,"",VLOOKUP(C2515,' Disaggregation - Section E '!A$618:O1644,15,0)),"")</f>
        <v/>
      </c>
      <c r="N2515" s="388" t="str">
        <f ca="1">IFERROR(IF(VLOOKUP(C2515,' Disaggregation - Section E '!A$618:J2841,10,0)=0,"",VLOOKUP(C2515,' Disaggregation - Section E '!A$618:J2841,10,0)),"")</f>
        <v/>
      </c>
      <c r="O2515" s="384"/>
    </row>
    <row r="2516" spans="1:15" x14ac:dyDescent="0.3">
      <c r="A2516" s="384" t="b">
        <f t="shared" ca="1" si="141"/>
        <v>0</v>
      </c>
      <c r="B2516" s="384"/>
      <c r="C2516" s="393" t="str">
        <f ca="1">IF(COUNTA(O$1493:O2516)=1,"",OFFSET(B2514,-COUNTA(O$1493:O2516)+3,1))</f>
        <v>a16Dm000000LZgJIAW</v>
      </c>
      <c r="D2516" s="389"/>
      <c r="E2516" s="386" t="str">
        <f ca="1">IFERROR(IF(VLOOKUP(C2516,' Disaggregation - Section E '!A$618:J2842,7,0)="","",VLOOKUP(C2516,' Disaggregation - Section E '!A$618:J2842,7,0)*100),"")</f>
        <v/>
      </c>
      <c r="F2516" s="388" t="str">
        <f ca="1">IFERROR(VLOOKUP(C2516,' Disaggregation - Section E '!A$618:J2842,5,0),"")</f>
        <v/>
      </c>
      <c r="G2516" s="387" t="str">
        <f ca="1">IFERROR(IF(VLOOKUP(C2516,' Disaggregation - Section E '!A$618:J2842,6,0)="","",VLOOKUP(C2516,' Disaggregation - Section E '!A$618:J2842,6,0)),"")</f>
        <v/>
      </c>
      <c r="H2516" s="387" t="str">
        <f ca="1">IFERROR(IF(INDEX(' Disaggregation - Section E '!F$618:F2842,MATCH(C2516,' Disaggregation - Section E '!A$618:A2842,0)+1,1)&lt;&gt;0,INDEX(' Disaggregation - Section E '!F$618:F2842,MATCH(C2516,' Disaggregation - Section E '!A$618:A2842,0)+1,1),""),"")</f>
        <v/>
      </c>
      <c r="I2516" s="388" t="str">
        <f ca="1">IFERROR(IF(VLOOKUP(C2516,' Disaggregation - Section E '!A$618:J2842,8,0)=0,"",VLOOKUP(C2516,' Disaggregation - Section E '!A$618:J2842,8,0)),"")</f>
        <v/>
      </c>
      <c r="J2516" s="388" t="str">
        <f ca="1">IFERROR(IF(VLOOKUP(C2516,' Disaggregation - Section E '!A$618:J2842,9,0)="","",VLOOKUP(C2516,' Disaggregation - Section E '!A$618:J2842,9,0)),"")</f>
        <v/>
      </c>
      <c r="K2516" s="384" t="str">
        <f ca="1">IFERROR(VLOOKUP(C2516,' Disaggregation - Section E '!A$618:J2842,3,0),"")</f>
        <v>DRTB-6 Percentage of TB patients with DST result for at least Rifampicin among the total number of notified (new and retreatment) patients during the reporting period</v>
      </c>
      <c r="L2516" s="384"/>
      <c r="M2516" s="384" t="str">
        <f ca="1">IFERROR(IF(VLOOKUP(C2516,' Disaggregation - Section E '!A$618:O1645,15,0)=0,"",VLOOKUP(C2516,' Disaggregation - Section E '!A$618:O1645,15,0)),"")</f>
        <v/>
      </c>
      <c r="N2516" s="388" t="str">
        <f ca="1">IFERROR(IF(VLOOKUP(C2516,' Disaggregation - Section E '!A$618:J2842,10,0)=0,"",VLOOKUP(C2516,' Disaggregation - Section E '!A$618:J2842,10,0)),"")</f>
        <v/>
      </c>
      <c r="O2516" s="384"/>
    </row>
    <row r="2517" spans="1:15" x14ac:dyDescent="0.3">
      <c r="A2517" s="384" t="b">
        <f t="shared" ca="1" si="141"/>
        <v>0</v>
      </c>
      <c r="B2517" s="384"/>
      <c r="C2517" s="393" t="str">
        <f ca="1">IF(COUNTA(O$1493:O2517)=1,"",OFFSET(B2515,-COUNTA(O$1493:O2517)+3,1))</f>
        <v>a16Dm000000LZgKIAW</v>
      </c>
      <c r="D2517" s="389"/>
      <c r="E2517" s="386" t="str">
        <f ca="1">IFERROR(IF(VLOOKUP(C2517,' Disaggregation - Section E '!A$618:J2843,7,0)="","",VLOOKUP(C2517,' Disaggregation - Section E '!A$618:J2843,7,0)*100),"")</f>
        <v/>
      </c>
      <c r="F2517" s="388" t="str">
        <f ca="1">IFERROR(VLOOKUP(C2517,' Disaggregation - Section E '!A$618:J2843,5,0),"")</f>
        <v/>
      </c>
      <c r="G2517" s="387" t="str">
        <f ca="1">IFERROR(IF(VLOOKUP(C2517,' Disaggregation - Section E '!A$618:J2843,6,0)="","",VLOOKUP(C2517,' Disaggregation - Section E '!A$618:J2843,6,0)),"")</f>
        <v/>
      </c>
      <c r="H2517" s="387" t="str">
        <f ca="1">IFERROR(IF(INDEX(' Disaggregation - Section E '!F$618:F2843,MATCH(C2517,' Disaggregation - Section E '!A$618:A2843,0)+1,1)&lt;&gt;0,INDEX(' Disaggregation - Section E '!F$618:F2843,MATCH(C2517,' Disaggregation - Section E '!A$618:A2843,0)+1,1),""),"")</f>
        <v/>
      </c>
      <c r="I2517" s="388" t="str">
        <f ca="1">IFERROR(IF(VLOOKUP(C2517,' Disaggregation - Section E '!A$618:J2843,8,0)=0,"",VLOOKUP(C2517,' Disaggregation - Section E '!A$618:J2843,8,0)),"")</f>
        <v/>
      </c>
      <c r="J2517" s="388" t="str">
        <f ca="1">IFERROR(IF(VLOOKUP(C2517,' Disaggregation - Section E '!A$618:J2843,9,0)="","",VLOOKUP(C2517,' Disaggregation - Section E '!A$618:J2843,9,0)),"")</f>
        <v/>
      </c>
      <c r="K2517" s="384" t="str">
        <f ca="1">IFERROR(VLOOKUP(C2517,' Disaggregation - Section E '!A$618:J2843,3,0),"")</f>
        <v>DRTB-6 Percentage of TB patients with DST result for at least Rifampicin among the total number of notified (new and retreatment) patients during the reporting period</v>
      </c>
      <c r="L2517" s="384"/>
      <c r="M2517" s="384" t="str">
        <f ca="1">IFERROR(IF(VLOOKUP(C2517,' Disaggregation - Section E '!A$618:O1646,15,0)=0,"",VLOOKUP(C2517,' Disaggregation - Section E '!A$618:O1646,15,0)),"")</f>
        <v/>
      </c>
      <c r="N2517" s="388" t="str">
        <f ca="1">IFERROR(IF(VLOOKUP(C2517,' Disaggregation - Section E '!A$618:J2843,10,0)=0,"",VLOOKUP(C2517,' Disaggregation - Section E '!A$618:J2843,10,0)),"")</f>
        <v/>
      </c>
      <c r="O2517" s="384"/>
    </row>
    <row r="2518" spans="1:15" x14ac:dyDescent="0.3">
      <c r="A2518" s="384" t="b">
        <f t="shared" ca="1" si="141"/>
        <v>0</v>
      </c>
      <c r="B2518" s="384"/>
      <c r="C2518" s="393" t="str">
        <f ca="1">IF(COUNTA(O$1493:O2518)=1,"",OFFSET(B2516,-COUNTA(O$1493:O2518)+3,1))</f>
        <v>a16Dm000000LZgLIAW</v>
      </c>
      <c r="D2518" s="389"/>
      <c r="E2518" s="386" t="str">
        <f ca="1">IFERROR(IF(VLOOKUP(C2518,' Disaggregation - Section E '!A$618:J2844,7,0)="","",VLOOKUP(C2518,' Disaggregation - Section E '!A$618:J2844,7,0)*100),"")</f>
        <v/>
      </c>
      <c r="F2518" s="388" t="str">
        <f ca="1">IFERROR(VLOOKUP(C2518,' Disaggregation - Section E '!A$618:J2844,5,0),"")</f>
        <v/>
      </c>
      <c r="G2518" s="387" t="str">
        <f ca="1">IFERROR(IF(VLOOKUP(C2518,' Disaggregation - Section E '!A$618:J2844,6,0)="","",VLOOKUP(C2518,' Disaggregation - Section E '!A$618:J2844,6,0)),"")</f>
        <v/>
      </c>
      <c r="H2518" s="387" t="str">
        <f ca="1">IFERROR(IF(INDEX(' Disaggregation - Section E '!F$618:F2844,MATCH(C2518,' Disaggregation - Section E '!A$618:A2844,0)+1,1)&lt;&gt;0,INDEX(' Disaggregation - Section E '!F$618:F2844,MATCH(C2518,' Disaggregation - Section E '!A$618:A2844,0)+1,1),""),"")</f>
        <v/>
      </c>
      <c r="I2518" s="388" t="str">
        <f ca="1">IFERROR(IF(VLOOKUP(C2518,' Disaggregation - Section E '!A$618:J2844,8,0)=0,"",VLOOKUP(C2518,' Disaggregation - Section E '!A$618:J2844,8,0)),"")</f>
        <v/>
      </c>
      <c r="J2518" s="388" t="str">
        <f ca="1">IFERROR(IF(VLOOKUP(C2518,' Disaggregation - Section E '!A$618:J2844,9,0)="","",VLOOKUP(C2518,' Disaggregation - Section E '!A$618:J2844,9,0)),"")</f>
        <v/>
      </c>
      <c r="K2518" s="384" t="str">
        <f ca="1">IFERROR(VLOOKUP(C2518,' Disaggregation - Section E '!A$618:J2844,3,0),"")</f>
        <v>DRTB-6 Percentage of TB patients with DST result for at least Rifampicin among the total number of notified (new and retreatment) patients during the reporting period</v>
      </c>
      <c r="L2518" s="384"/>
      <c r="M2518" s="384" t="str">
        <f ca="1">IFERROR(IF(VLOOKUP(C2518,' Disaggregation - Section E '!A$618:O1647,15,0)=0,"",VLOOKUP(C2518,' Disaggregation - Section E '!A$618:O1647,15,0)),"")</f>
        <v/>
      </c>
      <c r="N2518" s="388" t="str">
        <f ca="1">IFERROR(IF(VLOOKUP(C2518,' Disaggregation - Section E '!A$618:J2844,10,0)=0,"",VLOOKUP(C2518,' Disaggregation - Section E '!A$618:J2844,10,0)),"")</f>
        <v/>
      </c>
      <c r="O2518" s="384"/>
    </row>
    <row r="2519" spans="1:15" x14ac:dyDescent="0.3">
      <c r="A2519" s="384" t="b">
        <f t="shared" ca="1" si="141"/>
        <v>0</v>
      </c>
      <c r="B2519" s="384"/>
      <c r="C2519" s="393" t="str">
        <f ca="1">IF(COUNTA(O$1493:O2519)=1,"",OFFSET(B2517,-COUNTA(O$1493:O2519)+3,1))</f>
        <v>a16Dm000000LZgMIAW</v>
      </c>
      <c r="D2519" s="389"/>
      <c r="E2519" s="386" t="str">
        <f ca="1">IFERROR(IF(VLOOKUP(C2519,' Disaggregation - Section E '!A$618:J2845,7,0)="","",VLOOKUP(C2519,' Disaggregation - Section E '!A$618:J2845,7,0)*100),"")</f>
        <v/>
      </c>
      <c r="F2519" s="388" t="str">
        <f ca="1">IFERROR(VLOOKUP(C2519,' Disaggregation - Section E '!A$618:J2845,5,0),"")</f>
        <v/>
      </c>
      <c r="G2519" s="387" t="str">
        <f ca="1">IFERROR(IF(VLOOKUP(C2519,' Disaggregation - Section E '!A$618:J2845,6,0)="","",VLOOKUP(C2519,' Disaggregation - Section E '!A$618:J2845,6,0)),"")</f>
        <v/>
      </c>
      <c r="H2519" s="387" t="str">
        <f ca="1">IFERROR(IF(INDEX(' Disaggregation - Section E '!F$618:F2845,MATCH(C2519,' Disaggregation - Section E '!A$618:A2845,0)+1,1)&lt;&gt;0,INDEX(' Disaggregation - Section E '!F$618:F2845,MATCH(C2519,' Disaggregation - Section E '!A$618:A2845,0)+1,1),""),"")</f>
        <v/>
      </c>
      <c r="I2519" s="388" t="str">
        <f ca="1">IFERROR(IF(VLOOKUP(C2519,' Disaggregation - Section E '!A$618:J2845,8,0)=0,"",VLOOKUP(C2519,' Disaggregation - Section E '!A$618:J2845,8,0)),"")</f>
        <v/>
      </c>
      <c r="J2519" s="388" t="str">
        <f ca="1">IFERROR(IF(VLOOKUP(C2519,' Disaggregation - Section E '!A$618:J2845,9,0)="","",VLOOKUP(C2519,' Disaggregation - Section E '!A$618:J2845,9,0)),"")</f>
        <v/>
      </c>
      <c r="K2519" s="384" t="str">
        <f ca="1">IFERROR(VLOOKUP(C2519,' Disaggregation - Section E '!A$618:J2845,3,0),"")</f>
        <v>DRTB-6 Percentage of TB patients with DST result for at least Rifampicin among the total number of notified (new and retreatment) patients during the reporting period</v>
      </c>
      <c r="L2519" s="384"/>
      <c r="M2519" s="384" t="str">
        <f ca="1">IFERROR(IF(VLOOKUP(C2519,' Disaggregation - Section E '!A$618:O1648,15,0)=0,"",VLOOKUP(C2519,' Disaggregation - Section E '!A$618:O1648,15,0)),"")</f>
        <v/>
      </c>
      <c r="N2519" s="388" t="str">
        <f ca="1">IFERROR(IF(VLOOKUP(C2519,' Disaggregation - Section E '!A$618:J2845,10,0)=0,"",VLOOKUP(C2519,' Disaggregation - Section E '!A$618:J2845,10,0)),"")</f>
        <v/>
      </c>
      <c r="O2519" s="384"/>
    </row>
    <row r="2520" spans="1:15" x14ac:dyDescent="0.3">
      <c r="A2520" s="384" t="b">
        <f t="shared" ca="1" si="141"/>
        <v>0</v>
      </c>
      <c r="B2520" s="384"/>
      <c r="C2520" s="393" t="str">
        <f ca="1">IF(COUNTA(O$1493:O2520)=1,"",OFFSET(B2518,-COUNTA(O$1493:O2520)+3,1))</f>
        <v>a16Dm000000LZgNIAW</v>
      </c>
      <c r="D2520" s="389"/>
      <c r="E2520" s="386" t="str">
        <f ca="1">IFERROR(IF(VLOOKUP(C2520,' Disaggregation - Section E '!A$618:J2846,7,0)="","",VLOOKUP(C2520,' Disaggregation - Section E '!A$618:J2846,7,0)*100),"")</f>
        <v/>
      </c>
      <c r="F2520" s="388" t="str">
        <f ca="1">IFERROR(VLOOKUP(C2520,' Disaggregation - Section E '!A$618:J2846,5,0),"")</f>
        <v/>
      </c>
      <c r="G2520" s="387" t="str">
        <f ca="1">IFERROR(IF(VLOOKUP(C2520,' Disaggregation - Section E '!A$618:J2846,6,0)="","",VLOOKUP(C2520,' Disaggregation - Section E '!A$618:J2846,6,0)),"")</f>
        <v/>
      </c>
      <c r="H2520" s="387" t="str">
        <f ca="1">IFERROR(IF(INDEX(' Disaggregation - Section E '!F$618:F2846,MATCH(C2520,' Disaggregation - Section E '!A$618:A2846,0)+1,1)&lt;&gt;0,INDEX(' Disaggregation - Section E '!F$618:F2846,MATCH(C2520,' Disaggregation - Section E '!A$618:A2846,0)+1,1),""),"")</f>
        <v/>
      </c>
      <c r="I2520" s="388" t="str">
        <f ca="1">IFERROR(IF(VLOOKUP(C2520,' Disaggregation - Section E '!A$618:J2846,8,0)=0,"",VLOOKUP(C2520,' Disaggregation - Section E '!A$618:J2846,8,0)),"")</f>
        <v/>
      </c>
      <c r="J2520" s="388" t="str">
        <f ca="1">IFERROR(IF(VLOOKUP(C2520,' Disaggregation - Section E '!A$618:J2846,9,0)="","",VLOOKUP(C2520,' Disaggregation - Section E '!A$618:J2846,9,0)),"")</f>
        <v/>
      </c>
      <c r="K2520" s="384" t="str">
        <f ca="1">IFERROR(VLOOKUP(C2520,' Disaggregation - Section E '!A$618:J2846,3,0),"")</f>
        <v>DRTB-6 Percentage of TB patients with DST result for at least Rifampicin among the total number of notified (new and retreatment) patients during the reporting period</v>
      </c>
      <c r="L2520" s="384"/>
      <c r="M2520" s="384" t="str">
        <f ca="1">IFERROR(IF(VLOOKUP(C2520,' Disaggregation - Section E '!A$618:O1649,15,0)=0,"",VLOOKUP(C2520,' Disaggregation - Section E '!A$618:O1649,15,0)),"")</f>
        <v/>
      </c>
      <c r="N2520" s="388" t="str">
        <f ca="1">IFERROR(IF(VLOOKUP(C2520,' Disaggregation - Section E '!A$618:J2846,10,0)=0,"",VLOOKUP(C2520,' Disaggregation - Section E '!A$618:J2846,10,0)),"")</f>
        <v/>
      </c>
      <c r="O2520" s="384"/>
    </row>
    <row r="2521" spans="1:15" x14ac:dyDescent="0.3">
      <c r="A2521" s="384" t="b">
        <f t="shared" ca="1" si="141"/>
        <v>0</v>
      </c>
      <c r="B2521" s="384"/>
      <c r="C2521" s="393" t="str">
        <f ca="1">IF(COUNTA(O$1493:O2521)=1,"",OFFSET(B2519,-COUNTA(O$1493:O2521)+3,1))</f>
        <v>a16Dm000000LZgOIAW</v>
      </c>
      <c r="D2521" s="389"/>
      <c r="E2521" s="386" t="str">
        <f ca="1">IFERROR(IF(VLOOKUP(C2521,' Disaggregation - Section E '!A$618:J2847,7,0)="","",VLOOKUP(C2521,' Disaggregation - Section E '!A$618:J2847,7,0)*100),"")</f>
        <v/>
      </c>
      <c r="F2521" s="388" t="str">
        <f ca="1">IFERROR(VLOOKUP(C2521,' Disaggregation - Section E '!A$618:J2847,5,0),"")</f>
        <v/>
      </c>
      <c r="G2521" s="387" t="str">
        <f ca="1">IFERROR(IF(VLOOKUP(C2521,' Disaggregation - Section E '!A$618:J2847,6,0)="","",VLOOKUP(C2521,' Disaggregation - Section E '!A$618:J2847,6,0)),"")</f>
        <v/>
      </c>
      <c r="H2521" s="387" t="str">
        <f ca="1">IFERROR(IF(INDEX(' Disaggregation - Section E '!F$618:F2847,MATCH(C2521,' Disaggregation - Section E '!A$618:A2847,0)+1,1)&lt;&gt;0,INDEX(' Disaggregation - Section E '!F$618:F2847,MATCH(C2521,' Disaggregation - Section E '!A$618:A2847,0)+1,1),""),"")</f>
        <v/>
      </c>
      <c r="I2521" s="388" t="str">
        <f ca="1">IFERROR(IF(VLOOKUP(C2521,' Disaggregation - Section E '!A$618:J2847,8,0)=0,"",VLOOKUP(C2521,' Disaggregation - Section E '!A$618:J2847,8,0)),"")</f>
        <v/>
      </c>
      <c r="J2521" s="388" t="str">
        <f ca="1">IFERROR(IF(VLOOKUP(C2521,' Disaggregation - Section E '!A$618:J2847,9,0)="","",VLOOKUP(C2521,' Disaggregation - Section E '!A$618:J2847,9,0)),"")</f>
        <v/>
      </c>
      <c r="K2521" s="384" t="str">
        <f ca="1">IFERROR(VLOOKUP(C2521,' Disaggregation - Section E '!A$618:J2847,3,0),"")</f>
        <v>DRTB-6 Percentage of TB patients with DST result for at least Rifampicin among the total number of notified (new and retreatment) patients during the reporting period</v>
      </c>
      <c r="L2521" s="384"/>
      <c r="M2521" s="384" t="str">
        <f ca="1">IFERROR(IF(VLOOKUP(C2521,' Disaggregation - Section E '!A$618:O1650,15,0)=0,"",VLOOKUP(C2521,' Disaggregation - Section E '!A$618:O1650,15,0)),"")</f>
        <v/>
      </c>
      <c r="N2521" s="388" t="str">
        <f ca="1">IFERROR(IF(VLOOKUP(C2521,' Disaggregation - Section E '!A$618:J2847,10,0)=0,"",VLOOKUP(C2521,' Disaggregation - Section E '!A$618:J2847,10,0)),"")</f>
        <v/>
      </c>
      <c r="O2521" s="384"/>
    </row>
    <row r="2522" spans="1:15" x14ac:dyDescent="0.3">
      <c r="A2522" s="384" t="b">
        <f t="shared" ca="1" si="141"/>
        <v>0</v>
      </c>
      <c r="B2522" s="384"/>
      <c r="C2522" s="393" t="str">
        <f ca="1">IF(COUNTA(O$1493:O2522)=1,"",OFFSET(B2520,-COUNTA(O$1493:O2522)+3,1))</f>
        <v>a16Dm000000LZgPIAW</v>
      </c>
      <c r="D2522" s="389"/>
      <c r="E2522" s="386" t="str">
        <f ca="1">IFERROR(IF(VLOOKUP(C2522,' Disaggregation - Section E '!A$618:J2848,7,0)="","",VLOOKUP(C2522,' Disaggregation - Section E '!A$618:J2848,7,0)*100),"")</f>
        <v/>
      </c>
      <c r="F2522" s="388" t="str">
        <f ca="1">IFERROR(VLOOKUP(C2522,' Disaggregation - Section E '!A$618:J2848,5,0),"")</f>
        <v/>
      </c>
      <c r="G2522" s="387" t="str">
        <f ca="1">IFERROR(IF(VLOOKUP(C2522,' Disaggregation - Section E '!A$618:J2848,6,0)="","",VLOOKUP(C2522,' Disaggregation - Section E '!A$618:J2848,6,0)),"")</f>
        <v/>
      </c>
      <c r="H2522" s="387" t="str">
        <f ca="1">IFERROR(IF(INDEX(' Disaggregation - Section E '!F$618:F2848,MATCH(C2522,' Disaggregation - Section E '!A$618:A2848,0)+1,1)&lt;&gt;0,INDEX(' Disaggregation - Section E '!F$618:F2848,MATCH(C2522,' Disaggregation - Section E '!A$618:A2848,0)+1,1),""),"")</f>
        <v/>
      </c>
      <c r="I2522" s="388" t="str">
        <f ca="1">IFERROR(IF(VLOOKUP(C2522,' Disaggregation - Section E '!A$618:J2848,8,0)=0,"",VLOOKUP(C2522,' Disaggregation - Section E '!A$618:J2848,8,0)),"")</f>
        <v/>
      </c>
      <c r="J2522" s="388" t="str">
        <f ca="1">IFERROR(IF(VLOOKUP(C2522,' Disaggregation - Section E '!A$618:J2848,9,0)="","",VLOOKUP(C2522,' Disaggregation - Section E '!A$618:J2848,9,0)),"")</f>
        <v/>
      </c>
      <c r="K2522" s="384" t="str">
        <f ca="1">IFERROR(VLOOKUP(C2522,' Disaggregation - Section E '!A$618:J2848,3,0),"")</f>
        <v>DRTB-6 Percentage of TB patients with DST result for at least Rifampicin among the total number of notified (new and retreatment) patients during the reporting period</v>
      </c>
      <c r="L2522" s="384"/>
      <c r="M2522" s="384" t="str">
        <f ca="1">IFERROR(IF(VLOOKUP(C2522,' Disaggregation - Section E '!A$618:O1651,15,0)=0,"",VLOOKUP(C2522,' Disaggregation - Section E '!A$618:O1651,15,0)),"")</f>
        <v/>
      </c>
      <c r="N2522" s="388" t="str">
        <f ca="1">IFERROR(IF(VLOOKUP(C2522,' Disaggregation - Section E '!A$618:J2848,10,0)=0,"",VLOOKUP(C2522,' Disaggregation - Section E '!A$618:J2848,10,0)),"")</f>
        <v/>
      </c>
      <c r="O2522" s="384"/>
    </row>
    <row r="2523" spans="1:15" x14ac:dyDescent="0.3">
      <c r="A2523" s="384" t="b">
        <f t="shared" ca="1" si="141"/>
        <v>0</v>
      </c>
      <c r="B2523" s="384"/>
      <c r="C2523" s="393" t="str">
        <f ca="1">IF(COUNTA(O$1493:O2523)=1,"",OFFSET(B2521,-COUNTA(O$1493:O2523)+3,1))</f>
        <v>a16Dm000000LZgQIAW</v>
      </c>
      <c r="D2523" s="389"/>
      <c r="E2523" s="386" t="str">
        <f ca="1">IFERROR(IF(VLOOKUP(C2523,' Disaggregation - Section E '!A$618:J2849,7,0)="","",VLOOKUP(C2523,' Disaggregation - Section E '!A$618:J2849,7,0)*100),"")</f>
        <v/>
      </c>
      <c r="F2523" s="388" t="str">
        <f ca="1">IFERROR(VLOOKUP(C2523,' Disaggregation - Section E '!A$618:J2849,5,0),"")</f>
        <v/>
      </c>
      <c r="G2523" s="387" t="str">
        <f ca="1">IFERROR(IF(VLOOKUP(C2523,' Disaggregation - Section E '!A$618:J2849,6,0)="","",VLOOKUP(C2523,' Disaggregation - Section E '!A$618:J2849,6,0)),"")</f>
        <v/>
      </c>
      <c r="H2523" s="387" t="str">
        <f ca="1">IFERROR(IF(INDEX(' Disaggregation - Section E '!F$618:F2849,MATCH(C2523,' Disaggregation - Section E '!A$618:A2849,0)+1,1)&lt;&gt;0,INDEX(' Disaggregation - Section E '!F$618:F2849,MATCH(C2523,' Disaggregation - Section E '!A$618:A2849,0)+1,1),""),"")</f>
        <v/>
      </c>
      <c r="I2523" s="388" t="str">
        <f ca="1">IFERROR(IF(VLOOKUP(C2523,' Disaggregation - Section E '!A$618:J2849,8,0)=0,"",VLOOKUP(C2523,' Disaggregation - Section E '!A$618:J2849,8,0)),"")</f>
        <v/>
      </c>
      <c r="J2523" s="388" t="str">
        <f ca="1">IFERROR(IF(VLOOKUP(C2523,' Disaggregation - Section E '!A$618:J2849,9,0)="","",VLOOKUP(C2523,' Disaggregation - Section E '!A$618:J2849,9,0)),"")</f>
        <v/>
      </c>
      <c r="K2523" s="384" t="str">
        <f ca="1">IFERROR(VLOOKUP(C2523,' Disaggregation - Section E '!A$618:J2849,3,0),"")</f>
        <v>DRTB-6 Percentage of TB patients with DST result for at least Rifampicin among the total number of notified (new and retreatment) patients during the reporting period</v>
      </c>
      <c r="L2523" s="384"/>
      <c r="M2523" s="384" t="str">
        <f ca="1">IFERROR(IF(VLOOKUP(C2523,' Disaggregation - Section E '!A$618:O1652,15,0)=0,"",VLOOKUP(C2523,' Disaggregation - Section E '!A$618:O1652,15,0)),"")</f>
        <v/>
      </c>
      <c r="N2523" s="388" t="str">
        <f ca="1">IFERROR(IF(VLOOKUP(C2523,' Disaggregation - Section E '!A$618:J2849,10,0)=0,"",VLOOKUP(C2523,' Disaggregation - Section E '!A$618:J2849,10,0)),"")</f>
        <v/>
      </c>
      <c r="O2523" s="384"/>
    </row>
    <row r="2524" spans="1:15" x14ac:dyDescent="0.3">
      <c r="A2524" s="384" t="b">
        <f t="shared" ca="1" si="141"/>
        <v>0</v>
      </c>
      <c r="B2524" s="384"/>
      <c r="C2524" s="393" t="str">
        <f ca="1">IF(COUNTA(O$1493:O2524)=1,"",OFFSET(B2522,-COUNTA(O$1493:O2524)+3,1))</f>
        <v>a16Dm000000LZgRIAW</v>
      </c>
      <c r="D2524" s="389"/>
      <c r="E2524" s="386" t="str">
        <f ca="1">IFERROR(IF(VLOOKUP(C2524,' Disaggregation - Section E '!A$618:J2850,7,0)="","",VLOOKUP(C2524,' Disaggregation - Section E '!A$618:J2850,7,0)*100),"")</f>
        <v/>
      </c>
      <c r="F2524" s="388" t="str">
        <f ca="1">IFERROR(VLOOKUP(C2524,' Disaggregation - Section E '!A$618:J2850,5,0),"")</f>
        <v/>
      </c>
      <c r="G2524" s="387" t="str">
        <f ca="1">IFERROR(IF(VLOOKUP(C2524,' Disaggregation - Section E '!A$618:J2850,6,0)="","",VLOOKUP(C2524,' Disaggregation - Section E '!A$618:J2850,6,0)),"")</f>
        <v/>
      </c>
      <c r="H2524" s="387" t="str">
        <f ca="1">IFERROR(IF(INDEX(' Disaggregation - Section E '!F$618:F2850,MATCH(C2524,' Disaggregation - Section E '!A$618:A2850,0)+1,1)&lt;&gt;0,INDEX(' Disaggregation - Section E '!F$618:F2850,MATCH(C2524,' Disaggregation - Section E '!A$618:A2850,0)+1,1),""),"")</f>
        <v/>
      </c>
      <c r="I2524" s="388" t="str">
        <f ca="1">IFERROR(IF(VLOOKUP(C2524,' Disaggregation - Section E '!A$618:J2850,8,0)=0,"",VLOOKUP(C2524,' Disaggregation - Section E '!A$618:J2850,8,0)),"")</f>
        <v/>
      </c>
      <c r="J2524" s="388" t="str">
        <f ca="1">IFERROR(IF(VLOOKUP(C2524,' Disaggregation - Section E '!A$618:J2850,9,0)="","",VLOOKUP(C2524,' Disaggregation - Section E '!A$618:J2850,9,0)),"")</f>
        <v/>
      </c>
      <c r="K2524" s="384" t="str">
        <f ca="1">IFERROR(VLOOKUP(C2524,' Disaggregation - Section E '!A$618:J2850,3,0),"")</f>
        <v>DRTB-6 Percentage of TB patients with DST result for at least Rifampicin among the total number of notified (new and retreatment) patients during the reporting period</v>
      </c>
      <c r="L2524" s="384"/>
      <c r="M2524" s="384" t="str">
        <f ca="1">IFERROR(IF(VLOOKUP(C2524,' Disaggregation - Section E '!A$618:O1653,15,0)=0,"",VLOOKUP(C2524,' Disaggregation - Section E '!A$618:O1653,15,0)),"")</f>
        <v/>
      </c>
      <c r="N2524" s="388" t="str">
        <f ca="1">IFERROR(IF(VLOOKUP(C2524,' Disaggregation - Section E '!A$618:J2850,10,0)=0,"",VLOOKUP(C2524,' Disaggregation - Section E '!A$618:J2850,10,0)),"")</f>
        <v/>
      </c>
      <c r="O2524" s="384"/>
    </row>
    <row r="2525" spans="1:15" x14ac:dyDescent="0.3">
      <c r="A2525" s="384" t="b">
        <f t="shared" ca="1" si="141"/>
        <v>0</v>
      </c>
      <c r="B2525" s="384"/>
      <c r="C2525" s="393" t="str">
        <f ca="1">IF(COUNTA(O$1493:O2525)=1,"",OFFSET(B2523,-COUNTA(O$1493:O2525)+3,1))</f>
        <v>a16Dm000000LZgSIAW</v>
      </c>
      <c r="D2525" s="389"/>
      <c r="E2525" s="386" t="str">
        <f ca="1">IFERROR(IF(VLOOKUP(C2525,' Disaggregation - Section E '!A$618:J2851,7,0)="","",VLOOKUP(C2525,' Disaggregation - Section E '!A$618:J2851,7,0)*100),"")</f>
        <v/>
      </c>
      <c r="F2525" s="388" t="str">
        <f ca="1">IFERROR(VLOOKUP(C2525,' Disaggregation - Section E '!A$618:J2851,5,0),"")</f>
        <v/>
      </c>
      <c r="G2525" s="387" t="str">
        <f ca="1">IFERROR(IF(VLOOKUP(C2525,' Disaggregation - Section E '!A$618:J2851,6,0)="","",VLOOKUP(C2525,' Disaggregation - Section E '!A$618:J2851,6,0)),"")</f>
        <v/>
      </c>
      <c r="H2525" s="387" t="str">
        <f ca="1">IFERROR(IF(INDEX(' Disaggregation - Section E '!F$618:F2851,MATCH(C2525,' Disaggregation - Section E '!A$618:A2851,0)+1,1)&lt;&gt;0,INDEX(' Disaggregation - Section E '!F$618:F2851,MATCH(C2525,' Disaggregation - Section E '!A$618:A2851,0)+1,1),""),"")</f>
        <v/>
      </c>
      <c r="I2525" s="388" t="str">
        <f ca="1">IFERROR(IF(VLOOKUP(C2525,' Disaggregation - Section E '!A$618:J2851,8,0)=0,"",VLOOKUP(C2525,' Disaggregation - Section E '!A$618:J2851,8,0)),"")</f>
        <v/>
      </c>
      <c r="J2525" s="388" t="str">
        <f ca="1">IFERROR(IF(VLOOKUP(C2525,' Disaggregation - Section E '!A$618:J2851,9,0)="","",VLOOKUP(C2525,' Disaggregation - Section E '!A$618:J2851,9,0)),"")</f>
        <v/>
      </c>
      <c r="K2525" s="384" t="str">
        <f ca="1">IFERROR(VLOOKUP(C2525,' Disaggregation - Section E '!A$618:J2851,3,0),"")</f>
        <v>DRTB-6 Percentage of TB patients with DST result for at least Rifampicin among the total number of notified (new and retreatment) patients during the reporting period</v>
      </c>
      <c r="L2525" s="384"/>
      <c r="M2525" s="384" t="str">
        <f ca="1">IFERROR(IF(VLOOKUP(C2525,' Disaggregation - Section E '!A$618:O1654,15,0)=0,"",VLOOKUP(C2525,' Disaggregation - Section E '!A$618:O1654,15,0)),"")</f>
        <v/>
      </c>
      <c r="N2525" s="388" t="str">
        <f ca="1">IFERROR(IF(VLOOKUP(C2525,' Disaggregation - Section E '!A$618:J2851,10,0)=0,"",VLOOKUP(C2525,' Disaggregation - Section E '!A$618:J2851,10,0)),"")</f>
        <v/>
      </c>
      <c r="O2525" s="384"/>
    </row>
    <row r="2526" spans="1:15" x14ac:dyDescent="0.3">
      <c r="A2526" s="384" t="b">
        <f t="shared" ca="1" si="141"/>
        <v>0</v>
      </c>
      <c r="B2526" s="384"/>
      <c r="C2526" s="393" t="str">
        <f ca="1">IF(COUNTA(O$1493:O2526)=1,"",OFFSET(B2524,-COUNTA(O$1493:O2526)+3,1))</f>
        <v>a16Dm000000LZgTIAW</v>
      </c>
      <c r="D2526" s="389"/>
      <c r="E2526" s="386" t="str">
        <f ca="1">IFERROR(IF(VLOOKUP(C2526,' Disaggregation - Section E '!A$618:J2852,7,0)="","",VLOOKUP(C2526,' Disaggregation - Section E '!A$618:J2852,7,0)*100),"")</f>
        <v/>
      </c>
      <c r="F2526" s="388" t="str">
        <f ca="1">IFERROR(VLOOKUP(C2526,' Disaggregation - Section E '!A$618:J2852,5,0),"")</f>
        <v/>
      </c>
      <c r="G2526" s="387" t="str">
        <f ca="1">IFERROR(IF(VLOOKUP(C2526,' Disaggregation - Section E '!A$618:J2852,6,0)="","",VLOOKUP(C2526,' Disaggregation - Section E '!A$618:J2852,6,0)),"")</f>
        <v/>
      </c>
      <c r="H2526" s="387" t="str">
        <f ca="1">IFERROR(IF(INDEX(' Disaggregation - Section E '!F$618:F2852,MATCH(C2526,' Disaggregation - Section E '!A$618:A2852,0)+1,1)&lt;&gt;0,INDEX(' Disaggregation - Section E '!F$618:F2852,MATCH(C2526,' Disaggregation - Section E '!A$618:A2852,0)+1,1),""),"")</f>
        <v/>
      </c>
      <c r="I2526" s="388" t="str">
        <f ca="1">IFERROR(IF(VLOOKUP(C2526,' Disaggregation - Section E '!A$618:J2852,8,0)=0,"",VLOOKUP(C2526,' Disaggregation - Section E '!A$618:J2852,8,0)),"")</f>
        <v/>
      </c>
      <c r="J2526" s="388" t="str">
        <f ca="1">IFERROR(IF(VLOOKUP(C2526,' Disaggregation - Section E '!A$618:J2852,9,0)="","",VLOOKUP(C2526,' Disaggregation - Section E '!A$618:J2852,9,0)),"")</f>
        <v/>
      </c>
      <c r="K2526" s="384" t="str">
        <f ca="1">IFERROR(VLOOKUP(C2526,' Disaggregation - Section E '!A$618:J2852,3,0),"")</f>
        <v>DRTB-6 Percentage of TB patients with DST result for at least Rifampicin among the total number of notified (new and retreatment) patients during the reporting period</v>
      </c>
      <c r="L2526" s="384"/>
      <c r="M2526" s="384" t="str">
        <f ca="1">IFERROR(IF(VLOOKUP(C2526,' Disaggregation - Section E '!A$618:O1655,15,0)=0,"",VLOOKUP(C2526,' Disaggregation - Section E '!A$618:O1655,15,0)),"")</f>
        <v/>
      </c>
      <c r="N2526" s="388" t="str">
        <f ca="1">IFERROR(IF(VLOOKUP(C2526,' Disaggregation - Section E '!A$618:J2852,10,0)=0,"",VLOOKUP(C2526,' Disaggregation - Section E '!A$618:J2852,10,0)),"")</f>
        <v/>
      </c>
      <c r="O2526" s="384"/>
    </row>
    <row r="2527" spans="1:15" x14ac:dyDescent="0.3">
      <c r="A2527" s="384" t="b">
        <f t="shared" ca="1" si="141"/>
        <v>0</v>
      </c>
      <c r="B2527" s="384"/>
      <c r="C2527" s="393" t="str">
        <f ca="1">IF(COUNTA(O$1493:O2527)=1,"",OFFSET(B2525,-COUNTA(O$1493:O2527)+3,1))</f>
        <v>a16Dm000000LZgUIAW</v>
      </c>
      <c r="D2527" s="389"/>
      <c r="E2527" s="386" t="str">
        <f ca="1">IFERROR(IF(VLOOKUP(C2527,' Disaggregation - Section E '!A$618:J2853,7,0)="","",VLOOKUP(C2527,' Disaggregation - Section E '!A$618:J2853,7,0)*100),"")</f>
        <v/>
      </c>
      <c r="F2527" s="388" t="str">
        <f ca="1">IFERROR(VLOOKUP(C2527,' Disaggregation - Section E '!A$618:J2853,5,0),"")</f>
        <v/>
      </c>
      <c r="G2527" s="387" t="str">
        <f ca="1">IFERROR(IF(VLOOKUP(C2527,' Disaggregation - Section E '!A$618:J2853,6,0)="","",VLOOKUP(C2527,' Disaggregation - Section E '!A$618:J2853,6,0)),"")</f>
        <v/>
      </c>
      <c r="H2527" s="387" t="str">
        <f ca="1">IFERROR(IF(INDEX(' Disaggregation - Section E '!F$618:F2853,MATCH(C2527,' Disaggregation - Section E '!A$618:A2853,0)+1,1)&lt;&gt;0,INDEX(' Disaggregation - Section E '!F$618:F2853,MATCH(C2527,' Disaggregation - Section E '!A$618:A2853,0)+1,1),""),"")</f>
        <v/>
      </c>
      <c r="I2527" s="388" t="str">
        <f ca="1">IFERROR(IF(VLOOKUP(C2527,' Disaggregation - Section E '!A$618:J2853,8,0)=0,"",VLOOKUP(C2527,' Disaggregation - Section E '!A$618:J2853,8,0)),"")</f>
        <v/>
      </c>
      <c r="J2527" s="388" t="str">
        <f ca="1">IFERROR(IF(VLOOKUP(C2527,' Disaggregation - Section E '!A$618:J2853,9,0)="","",VLOOKUP(C2527,' Disaggregation - Section E '!A$618:J2853,9,0)),"")</f>
        <v/>
      </c>
      <c r="K2527" s="384" t="str">
        <f ca="1">IFERROR(VLOOKUP(C2527,' Disaggregation - Section E '!A$618:J2853,3,0),"")</f>
        <v>DRTB-6 Percentage of TB patients with DST result for at least Rifampicin among the total number of notified (new and retreatment) patients during the reporting period</v>
      </c>
      <c r="L2527" s="384"/>
      <c r="M2527" s="384" t="str">
        <f ca="1">IFERROR(IF(VLOOKUP(C2527,' Disaggregation - Section E '!A$618:O1656,15,0)=0,"",VLOOKUP(C2527,' Disaggregation - Section E '!A$618:O1656,15,0)),"")</f>
        <v/>
      </c>
      <c r="N2527" s="388" t="str">
        <f ca="1">IFERROR(IF(VLOOKUP(C2527,' Disaggregation - Section E '!A$618:J2853,10,0)=0,"",VLOOKUP(C2527,' Disaggregation - Section E '!A$618:J2853,10,0)),"")</f>
        <v/>
      </c>
      <c r="O2527" s="384"/>
    </row>
    <row r="2528" spans="1:15" x14ac:dyDescent="0.3">
      <c r="A2528" s="384" t="b">
        <f t="shared" ca="1" si="141"/>
        <v>0</v>
      </c>
      <c r="B2528" s="384"/>
      <c r="C2528" s="393" t="str">
        <f ca="1">IF(COUNTA(O$1493:O2528)=1,"",OFFSET(B2526,-COUNTA(O$1493:O2528)+3,1))</f>
        <v>a16Dm000000LZgVIAW</v>
      </c>
      <c r="D2528" s="389"/>
      <c r="E2528" s="386" t="str">
        <f ca="1">IFERROR(IF(VLOOKUP(C2528,' Disaggregation - Section E '!A$618:J2854,7,0)="","",VLOOKUP(C2528,' Disaggregation - Section E '!A$618:J2854,7,0)*100),"")</f>
        <v/>
      </c>
      <c r="F2528" s="388" t="str">
        <f ca="1">IFERROR(VLOOKUP(C2528,' Disaggregation - Section E '!A$618:J2854,5,0),"")</f>
        <v/>
      </c>
      <c r="G2528" s="387" t="str">
        <f ca="1">IFERROR(IF(VLOOKUP(C2528,' Disaggregation - Section E '!A$618:J2854,6,0)="","",VLOOKUP(C2528,' Disaggregation - Section E '!A$618:J2854,6,0)),"")</f>
        <v/>
      </c>
      <c r="H2528" s="387" t="str">
        <f ca="1">IFERROR(IF(INDEX(' Disaggregation - Section E '!F$618:F2854,MATCH(C2528,' Disaggregation - Section E '!A$618:A2854,0)+1,1)&lt;&gt;0,INDEX(' Disaggregation - Section E '!F$618:F2854,MATCH(C2528,' Disaggregation - Section E '!A$618:A2854,0)+1,1),""),"")</f>
        <v/>
      </c>
      <c r="I2528" s="388" t="str">
        <f ca="1">IFERROR(IF(VLOOKUP(C2528,' Disaggregation - Section E '!A$618:J2854,8,0)=0,"",VLOOKUP(C2528,' Disaggregation - Section E '!A$618:J2854,8,0)),"")</f>
        <v/>
      </c>
      <c r="J2528" s="388" t="str">
        <f ca="1">IFERROR(IF(VLOOKUP(C2528,' Disaggregation - Section E '!A$618:J2854,9,0)="","",VLOOKUP(C2528,' Disaggregation - Section E '!A$618:J2854,9,0)),"")</f>
        <v/>
      </c>
      <c r="K2528" s="384" t="str">
        <f ca="1">IFERROR(VLOOKUP(C2528,' Disaggregation - Section E '!A$618:J2854,3,0),"")</f>
        <v>DRTB-6 Percentage of TB patients with DST result for at least Rifampicin among the total number of notified (new and retreatment) patients during the reporting period</v>
      </c>
      <c r="L2528" s="384"/>
      <c r="M2528" s="384" t="str">
        <f ca="1">IFERROR(IF(VLOOKUP(C2528,' Disaggregation - Section E '!A$618:O1657,15,0)=0,"",VLOOKUP(C2528,' Disaggregation - Section E '!A$618:O1657,15,0)),"")</f>
        <v/>
      </c>
      <c r="N2528" s="388" t="str">
        <f ca="1">IFERROR(IF(VLOOKUP(C2528,' Disaggregation - Section E '!A$618:J2854,10,0)=0,"",VLOOKUP(C2528,' Disaggregation - Section E '!A$618:J2854,10,0)),"")</f>
        <v/>
      </c>
      <c r="O2528" s="384"/>
    </row>
    <row r="2529" spans="1:15" x14ac:dyDescent="0.3">
      <c r="A2529" s="384" t="b">
        <f t="shared" ca="1" si="141"/>
        <v>0</v>
      </c>
      <c r="B2529" s="384"/>
      <c r="C2529" s="393" t="str">
        <f ca="1">IF(COUNTA(O$1493:O2529)=1,"",OFFSET(B2527,-COUNTA(O$1493:O2529)+3,1))</f>
        <v>a16Dm000000LZgWIAW</v>
      </c>
      <c r="D2529" s="389"/>
      <c r="E2529" s="386" t="str">
        <f ca="1">IFERROR(IF(VLOOKUP(C2529,' Disaggregation - Section E '!A$618:J2855,7,0)="","",VLOOKUP(C2529,' Disaggregation - Section E '!A$618:J2855,7,0)*100),"")</f>
        <v/>
      </c>
      <c r="F2529" s="388" t="str">
        <f ca="1">IFERROR(VLOOKUP(C2529,' Disaggregation - Section E '!A$618:J2855,5,0),"")</f>
        <v/>
      </c>
      <c r="G2529" s="387" t="str">
        <f ca="1">IFERROR(IF(VLOOKUP(C2529,' Disaggregation - Section E '!A$618:J2855,6,0)="","",VLOOKUP(C2529,' Disaggregation - Section E '!A$618:J2855,6,0)),"")</f>
        <v/>
      </c>
      <c r="H2529" s="387" t="str">
        <f ca="1">IFERROR(IF(INDEX(' Disaggregation - Section E '!F$618:F2855,MATCH(C2529,' Disaggregation - Section E '!A$618:A2855,0)+1,1)&lt;&gt;0,INDEX(' Disaggregation - Section E '!F$618:F2855,MATCH(C2529,' Disaggregation - Section E '!A$618:A2855,0)+1,1),""),"")</f>
        <v/>
      </c>
      <c r="I2529" s="388" t="str">
        <f ca="1">IFERROR(IF(VLOOKUP(C2529,' Disaggregation - Section E '!A$618:J2855,8,0)=0,"",VLOOKUP(C2529,' Disaggregation - Section E '!A$618:J2855,8,0)),"")</f>
        <v/>
      </c>
      <c r="J2529" s="388" t="str">
        <f ca="1">IFERROR(IF(VLOOKUP(C2529,' Disaggregation - Section E '!A$618:J2855,9,0)="","",VLOOKUP(C2529,' Disaggregation - Section E '!A$618:J2855,9,0)),"")</f>
        <v/>
      </c>
      <c r="K2529" s="384" t="str">
        <f ca="1">IFERROR(VLOOKUP(C2529,' Disaggregation - Section E '!A$618:J2855,3,0),"")</f>
        <v>DRTB-6 Percentage of TB patients with DST result for at least Rifampicin among the total number of notified (new and retreatment) patients during the reporting period</v>
      </c>
      <c r="L2529" s="384"/>
      <c r="M2529" s="384" t="str">
        <f ca="1">IFERROR(IF(VLOOKUP(C2529,' Disaggregation - Section E '!A$618:O1658,15,0)=0,"",VLOOKUP(C2529,' Disaggregation - Section E '!A$618:O1658,15,0)),"")</f>
        <v/>
      </c>
      <c r="N2529" s="388" t="str">
        <f ca="1">IFERROR(IF(VLOOKUP(C2529,' Disaggregation - Section E '!A$618:J2855,10,0)=0,"",VLOOKUP(C2529,' Disaggregation - Section E '!A$618:J2855,10,0)),"")</f>
        <v/>
      </c>
      <c r="O2529" s="384"/>
    </row>
    <row r="2530" spans="1:15" x14ac:dyDescent="0.3">
      <c r="A2530" s="384" t="b">
        <f t="shared" ca="1" si="141"/>
        <v>0</v>
      </c>
      <c r="B2530" s="384"/>
      <c r="C2530" s="393" t="str">
        <f ca="1">IF(COUNTA(O$1493:O2530)=1,"",OFFSET(B2528,-COUNTA(O$1493:O2530)+3,1))</f>
        <v>a16Dm000000LZgXIAW</v>
      </c>
      <c r="D2530" s="389"/>
      <c r="E2530" s="386" t="str">
        <f ca="1">IFERROR(IF(VLOOKUP(C2530,' Disaggregation - Section E '!A$618:J2856,7,0)="","",VLOOKUP(C2530,' Disaggregation - Section E '!A$618:J2856,7,0)*100),"")</f>
        <v/>
      </c>
      <c r="F2530" s="388" t="str">
        <f ca="1">IFERROR(VLOOKUP(C2530,' Disaggregation - Section E '!A$618:J2856,5,0),"")</f>
        <v/>
      </c>
      <c r="G2530" s="387" t="str">
        <f ca="1">IFERROR(IF(VLOOKUP(C2530,' Disaggregation - Section E '!A$618:J2856,6,0)="","",VLOOKUP(C2530,' Disaggregation - Section E '!A$618:J2856,6,0)),"")</f>
        <v/>
      </c>
      <c r="H2530" s="387" t="str">
        <f ca="1">IFERROR(IF(INDEX(' Disaggregation - Section E '!F$618:F2856,MATCH(C2530,' Disaggregation - Section E '!A$618:A2856,0)+1,1)&lt;&gt;0,INDEX(' Disaggregation - Section E '!F$618:F2856,MATCH(C2530,' Disaggregation - Section E '!A$618:A2856,0)+1,1),""),"")</f>
        <v/>
      </c>
      <c r="I2530" s="388" t="str">
        <f ca="1">IFERROR(IF(VLOOKUP(C2530,' Disaggregation - Section E '!A$618:J2856,8,0)=0,"",VLOOKUP(C2530,' Disaggregation - Section E '!A$618:J2856,8,0)),"")</f>
        <v/>
      </c>
      <c r="J2530" s="388" t="str">
        <f ca="1">IFERROR(IF(VLOOKUP(C2530,' Disaggregation - Section E '!A$618:J2856,9,0)="","",VLOOKUP(C2530,' Disaggregation - Section E '!A$618:J2856,9,0)),"")</f>
        <v/>
      </c>
      <c r="K2530" s="384" t="str">
        <f ca="1">IFERROR(VLOOKUP(C2530,' Disaggregation - Section E '!A$618:J2856,3,0),"")</f>
        <v>DRTB-6 Percentage of TB patients with DST result for at least Rifampicin among the total number of notified (new and retreatment) patients during the reporting period</v>
      </c>
      <c r="L2530" s="384"/>
      <c r="M2530" s="384" t="str">
        <f ca="1">IFERROR(IF(VLOOKUP(C2530,' Disaggregation - Section E '!A$618:O1659,15,0)=0,"",VLOOKUP(C2530,' Disaggregation - Section E '!A$618:O1659,15,0)),"")</f>
        <v/>
      </c>
      <c r="N2530" s="388" t="str">
        <f ca="1">IFERROR(IF(VLOOKUP(C2530,' Disaggregation - Section E '!A$618:J2856,10,0)=0,"",VLOOKUP(C2530,' Disaggregation - Section E '!A$618:J2856,10,0)),"")</f>
        <v/>
      </c>
      <c r="O2530" s="384"/>
    </row>
    <row r="2531" spans="1:15" x14ac:dyDescent="0.3">
      <c r="A2531" s="384" t="b">
        <f t="shared" ca="1" si="141"/>
        <v>0</v>
      </c>
      <c r="B2531" s="384"/>
      <c r="C2531" s="393" t="str">
        <f ca="1">IF(COUNTA(O$1493:O2531)=1,"",OFFSET(B2529,-COUNTA(O$1493:O2531)+3,1))</f>
        <v>a16Dm000000LZgYIAW</v>
      </c>
      <c r="D2531" s="389"/>
      <c r="E2531" s="386" t="str">
        <f ca="1">IFERROR(IF(VLOOKUP(C2531,' Disaggregation - Section E '!A$618:J2857,7,0)="","",VLOOKUP(C2531,' Disaggregation - Section E '!A$618:J2857,7,0)*100),"")</f>
        <v/>
      </c>
      <c r="F2531" s="388" t="str">
        <f ca="1">IFERROR(VLOOKUP(C2531,' Disaggregation - Section E '!A$618:J2857,5,0),"")</f>
        <v/>
      </c>
      <c r="G2531" s="387" t="str">
        <f ca="1">IFERROR(IF(VLOOKUP(C2531,' Disaggregation - Section E '!A$618:J2857,6,0)="","",VLOOKUP(C2531,' Disaggregation - Section E '!A$618:J2857,6,0)),"")</f>
        <v/>
      </c>
      <c r="H2531" s="387" t="str">
        <f ca="1">IFERROR(IF(INDEX(' Disaggregation - Section E '!F$618:F2857,MATCH(C2531,' Disaggregation - Section E '!A$618:A2857,0)+1,1)&lt;&gt;0,INDEX(' Disaggregation - Section E '!F$618:F2857,MATCH(C2531,' Disaggregation - Section E '!A$618:A2857,0)+1,1),""),"")</f>
        <v/>
      </c>
      <c r="I2531" s="388" t="str">
        <f ca="1">IFERROR(IF(VLOOKUP(C2531,' Disaggregation - Section E '!A$618:J2857,8,0)=0,"",VLOOKUP(C2531,' Disaggregation - Section E '!A$618:J2857,8,0)),"")</f>
        <v/>
      </c>
      <c r="J2531" s="388" t="str">
        <f ca="1">IFERROR(IF(VLOOKUP(C2531,' Disaggregation - Section E '!A$618:J2857,9,0)="","",VLOOKUP(C2531,' Disaggregation - Section E '!A$618:J2857,9,0)),"")</f>
        <v/>
      </c>
      <c r="K2531" s="384" t="str">
        <f ca="1">IFERROR(VLOOKUP(C2531,' Disaggregation - Section E '!A$618:J2857,3,0),"")</f>
        <v>DRTB-6 Percentage of TB patients with DST result for at least Rifampicin among the total number of notified (new and retreatment) patients during the reporting period</v>
      </c>
      <c r="L2531" s="384"/>
      <c r="M2531" s="384" t="str">
        <f ca="1">IFERROR(IF(VLOOKUP(C2531,' Disaggregation - Section E '!A$618:O1660,15,0)=0,"",VLOOKUP(C2531,' Disaggregation - Section E '!A$618:O1660,15,0)),"")</f>
        <v/>
      </c>
      <c r="N2531" s="388" t="str">
        <f ca="1">IFERROR(IF(VLOOKUP(C2531,' Disaggregation - Section E '!A$618:J2857,10,0)=0,"",VLOOKUP(C2531,' Disaggregation - Section E '!A$618:J2857,10,0)),"")</f>
        <v/>
      </c>
      <c r="O2531" s="384"/>
    </row>
    <row r="2532" spans="1:15" x14ac:dyDescent="0.3">
      <c r="A2532" s="384" t="b">
        <f t="shared" ca="1" si="141"/>
        <v>0</v>
      </c>
      <c r="B2532" s="384"/>
      <c r="C2532" s="393" t="str">
        <f ca="1">IF(COUNTA(O$1493:O2532)=1,"",OFFSET(B2530,-COUNTA(O$1493:O2532)+3,1))</f>
        <v>a16Dm000000LZgZIAW</v>
      </c>
      <c r="D2532" s="389"/>
      <c r="E2532" s="386" t="str">
        <f ca="1">IFERROR(IF(VLOOKUP(C2532,' Disaggregation - Section E '!A$618:J2858,7,0)="","",VLOOKUP(C2532,' Disaggregation - Section E '!A$618:J2858,7,0)*100),"")</f>
        <v/>
      </c>
      <c r="F2532" s="388" t="str">
        <f ca="1">IFERROR(VLOOKUP(C2532,' Disaggregation - Section E '!A$618:J2858,5,0),"")</f>
        <v/>
      </c>
      <c r="G2532" s="387" t="str">
        <f ca="1">IFERROR(IF(VLOOKUP(C2532,' Disaggregation - Section E '!A$618:J2858,6,0)="","",VLOOKUP(C2532,' Disaggregation - Section E '!A$618:J2858,6,0)),"")</f>
        <v/>
      </c>
      <c r="H2532" s="387" t="str">
        <f ca="1">IFERROR(IF(INDEX(' Disaggregation - Section E '!F$618:F2858,MATCH(C2532,' Disaggregation - Section E '!A$618:A2858,0)+1,1)&lt;&gt;0,INDEX(' Disaggregation - Section E '!F$618:F2858,MATCH(C2532,' Disaggregation - Section E '!A$618:A2858,0)+1,1),""),"")</f>
        <v/>
      </c>
      <c r="I2532" s="388" t="str">
        <f ca="1">IFERROR(IF(VLOOKUP(C2532,' Disaggregation - Section E '!A$618:J2858,8,0)=0,"",VLOOKUP(C2532,' Disaggregation - Section E '!A$618:J2858,8,0)),"")</f>
        <v/>
      </c>
      <c r="J2532" s="388" t="str">
        <f ca="1">IFERROR(IF(VLOOKUP(C2532,' Disaggregation - Section E '!A$618:J2858,9,0)="","",VLOOKUP(C2532,' Disaggregation - Section E '!A$618:J2858,9,0)),"")</f>
        <v/>
      </c>
      <c r="K2532" s="384" t="str">
        <f ca="1">IFERROR(VLOOKUP(C2532,' Disaggregation - Section E '!A$618:J2858,3,0),"")</f>
        <v>DRTB-6 Percentage of TB patients with DST result for at least Rifampicin among the total number of notified (new and retreatment) patients during the reporting period</v>
      </c>
      <c r="L2532" s="384"/>
      <c r="M2532" s="384" t="str">
        <f ca="1">IFERROR(IF(VLOOKUP(C2532,' Disaggregation - Section E '!A$618:O1661,15,0)=0,"",VLOOKUP(C2532,' Disaggregation - Section E '!A$618:O1661,15,0)),"")</f>
        <v/>
      </c>
      <c r="N2532" s="388" t="str">
        <f ca="1">IFERROR(IF(VLOOKUP(C2532,' Disaggregation - Section E '!A$618:J2858,10,0)=0,"",VLOOKUP(C2532,' Disaggregation - Section E '!A$618:J2858,10,0)),"")</f>
        <v/>
      </c>
      <c r="O2532" s="384"/>
    </row>
    <row r="2533" spans="1:15" x14ac:dyDescent="0.3">
      <c r="A2533" s="384" t="b">
        <f t="shared" ca="1" si="141"/>
        <v>0</v>
      </c>
      <c r="B2533" s="384"/>
      <c r="C2533" s="393" t="str">
        <f ca="1">IF(COUNTA(O$1493:O2533)=1,"",OFFSET(B2531,-COUNTA(O$1493:O2533)+3,1))</f>
        <v>a16Dm000000LZgaIAG</v>
      </c>
      <c r="D2533" s="389"/>
      <c r="E2533" s="386" t="str">
        <f ca="1">IFERROR(IF(VLOOKUP(C2533,' Disaggregation - Section E '!A$618:J2859,7,0)="","",VLOOKUP(C2533,' Disaggregation - Section E '!A$618:J2859,7,0)*100),"")</f>
        <v/>
      </c>
      <c r="F2533" s="388" t="str">
        <f ca="1">IFERROR(VLOOKUP(C2533,' Disaggregation - Section E '!A$618:J2859,5,0),"")</f>
        <v/>
      </c>
      <c r="G2533" s="387" t="str">
        <f ca="1">IFERROR(IF(VLOOKUP(C2533,' Disaggregation - Section E '!A$618:J2859,6,0)="","",VLOOKUP(C2533,' Disaggregation - Section E '!A$618:J2859,6,0)),"")</f>
        <v/>
      </c>
      <c r="H2533" s="387" t="str">
        <f ca="1">IFERROR(IF(INDEX(' Disaggregation - Section E '!F$618:F2859,MATCH(C2533,' Disaggregation - Section E '!A$618:A2859,0)+1,1)&lt;&gt;0,INDEX(' Disaggregation - Section E '!F$618:F2859,MATCH(C2533,' Disaggregation - Section E '!A$618:A2859,0)+1,1),""),"")</f>
        <v/>
      </c>
      <c r="I2533" s="388" t="str">
        <f ca="1">IFERROR(IF(VLOOKUP(C2533,' Disaggregation - Section E '!A$618:J2859,8,0)=0,"",VLOOKUP(C2533,' Disaggregation - Section E '!A$618:J2859,8,0)),"")</f>
        <v/>
      </c>
      <c r="J2533" s="388" t="str">
        <f ca="1">IFERROR(IF(VLOOKUP(C2533,' Disaggregation - Section E '!A$618:J2859,9,0)="","",VLOOKUP(C2533,' Disaggregation - Section E '!A$618:J2859,9,0)),"")</f>
        <v/>
      </c>
      <c r="K2533" s="384" t="str">
        <f ca="1">IFERROR(VLOOKUP(C2533,' Disaggregation - Section E '!A$618:J2859,3,0),"")</f>
        <v>DRTB-6 Percentage of TB patients with DST result for at least Rifampicin among the total number of notified (new and retreatment) patients during the reporting period</v>
      </c>
      <c r="L2533" s="384"/>
      <c r="M2533" s="384" t="str">
        <f ca="1">IFERROR(IF(VLOOKUP(C2533,' Disaggregation - Section E '!A$618:O1662,15,0)=0,"",VLOOKUP(C2533,' Disaggregation - Section E '!A$618:O1662,15,0)),"")</f>
        <v/>
      </c>
      <c r="N2533" s="388" t="str">
        <f ca="1">IFERROR(IF(VLOOKUP(C2533,' Disaggregation - Section E '!A$618:J2859,10,0)=0,"",VLOOKUP(C2533,' Disaggregation - Section E '!A$618:J2859,10,0)),"")</f>
        <v/>
      </c>
      <c r="O2533" s="384"/>
    </row>
    <row r="2534" spans="1:15" x14ac:dyDescent="0.3">
      <c r="A2534" s="384" t="b">
        <f t="shared" ca="1" si="141"/>
        <v>0</v>
      </c>
      <c r="B2534" s="384"/>
      <c r="C2534" s="393" t="str">
        <f ca="1">IF(COUNTA(O$1493:O2534)=1,"",OFFSET(B2532,-COUNTA(O$1493:O2534)+3,1))</f>
        <v>a16Dm000000LZgbIAG</v>
      </c>
      <c r="D2534" s="389"/>
      <c r="E2534" s="386" t="str">
        <f ca="1">IFERROR(IF(VLOOKUP(C2534,' Disaggregation - Section E '!A$618:J2860,7,0)="","",VLOOKUP(C2534,' Disaggregation - Section E '!A$618:J2860,7,0)*100),"")</f>
        <v/>
      </c>
      <c r="F2534" s="388" t="str">
        <f ca="1">IFERROR(VLOOKUP(C2534,' Disaggregation - Section E '!A$618:J2860,5,0),"")</f>
        <v/>
      </c>
      <c r="G2534" s="387" t="str">
        <f ca="1">IFERROR(IF(VLOOKUP(C2534,' Disaggregation - Section E '!A$618:J2860,6,0)="","",VLOOKUP(C2534,' Disaggregation - Section E '!A$618:J2860,6,0)),"")</f>
        <v/>
      </c>
      <c r="H2534" s="387" t="str">
        <f ca="1">IFERROR(IF(INDEX(' Disaggregation - Section E '!F$618:F2860,MATCH(C2534,' Disaggregation - Section E '!A$618:A2860,0)+1,1)&lt;&gt;0,INDEX(' Disaggregation - Section E '!F$618:F2860,MATCH(C2534,' Disaggregation - Section E '!A$618:A2860,0)+1,1),""),"")</f>
        <v/>
      </c>
      <c r="I2534" s="388" t="str">
        <f ca="1">IFERROR(IF(VLOOKUP(C2534,' Disaggregation - Section E '!A$618:J2860,8,0)=0,"",VLOOKUP(C2534,' Disaggregation - Section E '!A$618:J2860,8,0)),"")</f>
        <v/>
      </c>
      <c r="J2534" s="388" t="str">
        <f ca="1">IFERROR(IF(VLOOKUP(C2534,' Disaggregation - Section E '!A$618:J2860,9,0)="","",VLOOKUP(C2534,' Disaggregation - Section E '!A$618:J2860,9,0)),"")</f>
        <v/>
      </c>
      <c r="K2534" s="384" t="str">
        <f ca="1">IFERROR(VLOOKUP(C2534,' Disaggregation - Section E '!A$618:J2860,3,0),"")</f>
        <v>DRTB-6 Percentage of TB patients with DST result for at least Rifampicin among the total number of notified (new and retreatment) patients during the reporting period</v>
      </c>
      <c r="L2534" s="384"/>
      <c r="M2534" s="384" t="str">
        <f ca="1">IFERROR(IF(VLOOKUP(C2534,' Disaggregation - Section E '!A$618:O1663,15,0)=0,"",VLOOKUP(C2534,' Disaggregation - Section E '!A$618:O1663,15,0)),"")</f>
        <v/>
      </c>
      <c r="N2534" s="388" t="str">
        <f ca="1">IFERROR(IF(VLOOKUP(C2534,' Disaggregation - Section E '!A$618:J2860,10,0)=0,"",VLOOKUP(C2534,' Disaggregation - Section E '!A$618:J2860,10,0)),"")</f>
        <v/>
      </c>
      <c r="O2534" s="384"/>
    </row>
    <row r="2535" spans="1:15" x14ac:dyDescent="0.3">
      <c r="A2535" s="384" t="b">
        <f t="shared" ca="1" si="141"/>
        <v>0</v>
      </c>
      <c r="B2535" s="384"/>
      <c r="C2535" s="393" t="str">
        <f ca="1">IF(COUNTA(O$1493:O2535)=1,"",OFFSET(B2533,-COUNTA(O$1493:O2535)+3,1))</f>
        <v>a16Dm000000LZgcIAG</v>
      </c>
      <c r="D2535" s="389"/>
      <c r="E2535" s="386" t="str">
        <f ca="1">IFERROR(IF(VLOOKUP(C2535,' Disaggregation - Section E '!A$618:J2861,7,0)="","",VLOOKUP(C2535,' Disaggregation - Section E '!A$618:J2861,7,0)*100),"")</f>
        <v/>
      </c>
      <c r="F2535" s="388" t="str">
        <f ca="1">IFERROR(VLOOKUP(C2535,' Disaggregation - Section E '!A$618:J2861,5,0),"")</f>
        <v/>
      </c>
      <c r="G2535" s="387" t="str">
        <f ca="1">IFERROR(IF(VLOOKUP(C2535,' Disaggregation - Section E '!A$618:J2861,6,0)="","",VLOOKUP(C2535,' Disaggregation - Section E '!A$618:J2861,6,0)),"")</f>
        <v/>
      </c>
      <c r="H2535" s="387" t="str">
        <f ca="1">IFERROR(IF(INDEX(' Disaggregation - Section E '!F$618:F2861,MATCH(C2535,' Disaggregation - Section E '!A$618:A2861,0)+1,1)&lt;&gt;0,INDEX(' Disaggregation - Section E '!F$618:F2861,MATCH(C2535,' Disaggregation - Section E '!A$618:A2861,0)+1,1),""),"")</f>
        <v/>
      </c>
      <c r="I2535" s="388" t="str">
        <f ca="1">IFERROR(IF(VLOOKUP(C2535,' Disaggregation - Section E '!A$618:J2861,8,0)=0,"",VLOOKUP(C2535,' Disaggregation - Section E '!A$618:J2861,8,0)),"")</f>
        <v/>
      </c>
      <c r="J2535" s="388" t="str">
        <f ca="1">IFERROR(IF(VLOOKUP(C2535,' Disaggregation - Section E '!A$618:J2861,9,0)="","",VLOOKUP(C2535,' Disaggregation - Section E '!A$618:J2861,9,0)),"")</f>
        <v/>
      </c>
      <c r="K2535" s="384" t="str">
        <f ca="1">IFERROR(VLOOKUP(C2535,' Disaggregation - Section E '!A$618:J2861,3,0),"")</f>
        <v>DRTB-7 Percentage of RR/MDR-TB patients with DST results for Fluoroquinolone among the total number of notified RR/MDR-TB patients during the reporting period</v>
      </c>
      <c r="L2535" s="384"/>
      <c r="M2535" s="384" t="str">
        <f ca="1">IFERROR(IF(VLOOKUP(C2535,' Disaggregation - Section E '!A$618:O1664,15,0)=0,"",VLOOKUP(C2535,' Disaggregation - Section E '!A$618:O1664,15,0)),"")</f>
        <v/>
      </c>
      <c r="N2535" s="388" t="str">
        <f ca="1">IFERROR(IF(VLOOKUP(C2535,' Disaggregation - Section E '!A$618:J2861,10,0)=0,"",VLOOKUP(C2535,' Disaggregation - Section E '!A$618:J2861,10,0)),"")</f>
        <v/>
      </c>
      <c r="O2535" s="384"/>
    </row>
    <row r="2536" spans="1:15" x14ac:dyDescent="0.3">
      <c r="A2536" s="384" t="b">
        <f t="shared" ca="1" si="141"/>
        <v>0</v>
      </c>
      <c r="B2536" s="384"/>
      <c r="C2536" s="393" t="str">
        <f ca="1">IF(COUNTA(O$1493:O2536)=1,"",OFFSET(B2534,-COUNTA(O$1493:O2536)+3,1))</f>
        <v>a16Dm000000LZgdIAG</v>
      </c>
      <c r="D2536" s="389"/>
      <c r="E2536" s="386" t="str">
        <f ca="1">IFERROR(IF(VLOOKUP(C2536,' Disaggregation - Section E '!A$618:J2862,7,0)="","",VLOOKUP(C2536,' Disaggregation - Section E '!A$618:J2862,7,0)*100),"")</f>
        <v/>
      </c>
      <c r="F2536" s="388" t="str">
        <f ca="1">IFERROR(VLOOKUP(C2536,' Disaggregation - Section E '!A$618:J2862,5,0),"")</f>
        <v/>
      </c>
      <c r="G2536" s="387" t="str">
        <f ca="1">IFERROR(IF(VLOOKUP(C2536,' Disaggregation - Section E '!A$618:J2862,6,0)="","",VLOOKUP(C2536,' Disaggregation - Section E '!A$618:J2862,6,0)),"")</f>
        <v/>
      </c>
      <c r="H2536" s="387" t="str">
        <f ca="1">IFERROR(IF(INDEX(' Disaggregation - Section E '!F$618:F2862,MATCH(C2536,' Disaggregation - Section E '!A$618:A2862,0)+1,1)&lt;&gt;0,INDEX(' Disaggregation - Section E '!F$618:F2862,MATCH(C2536,' Disaggregation - Section E '!A$618:A2862,0)+1,1),""),"")</f>
        <v/>
      </c>
      <c r="I2536" s="388" t="str">
        <f ca="1">IFERROR(IF(VLOOKUP(C2536,' Disaggregation - Section E '!A$618:J2862,8,0)=0,"",VLOOKUP(C2536,' Disaggregation - Section E '!A$618:J2862,8,0)),"")</f>
        <v/>
      </c>
      <c r="J2536" s="388" t="str">
        <f ca="1">IFERROR(IF(VLOOKUP(C2536,' Disaggregation - Section E '!A$618:J2862,9,0)="","",VLOOKUP(C2536,' Disaggregation - Section E '!A$618:J2862,9,0)),"")</f>
        <v/>
      </c>
      <c r="K2536" s="384" t="str">
        <f ca="1">IFERROR(VLOOKUP(C2536,' Disaggregation - Section E '!A$618:J2862,3,0),"")</f>
        <v>DRTB-7 Percentage of RR/MDR-TB patients with DST results for Fluoroquinolone among the total number of notified RR/MDR-TB patients during the reporting period</v>
      </c>
      <c r="L2536" s="384"/>
      <c r="M2536" s="384" t="str">
        <f ca="1">IFERROR(IF(VLOOKUP(C2536,' Disaggregation - Section E '!A$618:O1665,15,0)=0,"",VLOOKUP(C2536,' Disaggregation - Section E '!A$618:O1665,15,0)),"")</f>
        <v/>
      </c>
      <c r="N2536" s="388" t="str">
        <f ca="1">IFERROR(IF(VLOOKUP(C2536,' Disaggregation - Section E '!A$618:J2862,10,0)=0,"",VLOOKUP(C2536,' Disaggregation - Section E '!A$618:J2862,10,0)),"")</f>
        <v/>
      </c>
      <c r="O2536" s="384"/>
    </row>
    <row r="2537" spans="1:15" x14ac:dyDescent="0.3">
      <c r="A2537" s="384" t="b">
        <f t="shared" ca="1" si="141"/>
        <v>0</v>
      </c>
      <c r="B2537" s="384"/>
      <c r="C2537" s="393" t="str">
        <f ca="1">IF(COUNTA(O$1493:O2537)=1,"",OFFSET(B2535,-COUNTA(O$1493:O2537)+3,1))</f>
        <v>a16Dm000000LZgeIAG</v>
      </c>
      <c r="D2537" s="389"/>
      <c r="E2537" s="386" t="str">
        <f ca="1">IFERROR(IF(VLOOKUP(C2537,' Disaggregation - Section E '!A$618:J2863,7,0)="","",VLOOKUP(C2537,' Disaggregation - Section E '!A$618:J2863,7,0)*100),"")</f>
        <v/>
      </c>
      <c r="F2537" s="388" t="str">
        <f ca="1">IFERROR(VLOOKUP(C2537,' Disaggregation - Section E '!A$618:J2863,5,0),"")</f>
        <v/>
      </c>
      <c r="G2537" s="387" t="str">
        <f ca="1">IFERROR(IF(VLOOKUP(C2537,' Disaggregation - Section E '!A$618:J2863,6,0)="","",VLOOKUP(C2537,' Disaggregation - Section E '!A$618:J2863,6,0)),"")</f>
        <v/>
      </c>
      <c r="H2537" s="387" t="str">
        <f ca="1">IFERROR(IF(INDEX(' Disaggregation - Section E '!F$618:F2863,MATCH(C2537,' Disaggregation - Section E '!A$618:A2863,0)+1,1)&lt;&gt;0,INDEX(' Disaggregation - Section E '!F$618:F2863,MATCH(C2537,' Disaggregation - Section E '!A$618:A2863,0)+1,1),""),"")</f>
        <v/>
      </c>
      <c r="I2537" s="388" t="str">
        <f ca="1">IFERROR(IF(VLOOKUP(C2537,' Disaggregation - Section E '!A$618:J2863,8,0)=0,"",VLOOKUP(C2537,' Disaggregation - Section E '!A$618:J2863,8,0)),"")</f>
        <v/>
      </c>
      <c r="J2537" s="388" t="str">
        <f ca="1">IFERROR(IF(VLOOKUP(C2537,' Disaggregation - Section E '!A$618:J2863,9,0)="","",VLOOKUP(C2537,' Disaggregation - Section E '!A$618:J2863,9,0)),"")</f>
        <v/>
      </c>
      <c r="K2537" s="384" t="str">
        <f ca="1">IFERROR(VLOOKUP(C2537,' Disaggregation - Section E '!A$618:J2863,3,0),"")</f>
        <v>DRTB-7 Percentage of RR/MDR-TB patients with DST results for Fluoroquinolone among the total number of notified RR/MDR-TB patients during the reporting period</v>
      </c>
      <c r="L2537" s="384"/>
      <c r="M2537" s="384" t="str">
        <f ca="1">IFERROR(IF(VLOOKUP(C2537,' Disaggregation - Section E '!A$618:O1666,15,0)=0,"",VLOOKUP(C2537,' Disaggregation - Section E '!A$618:O1666,15,0)),"")</f>
        <v/>
      </c>
      <c r="N2537" s="388" t="str">
        <f ca="1">IFERROR(IF(VLOOKUP(C2537,' Disaggregation - Section E '!A$618:J2863,10,0)=0,"",VLOOKUP(C2537,' Disaggregation - Section E '!A$618:J2863,10,0)),"")</f>
        <v/>
      </c>
      <c r="O2537" s="384"/>
    </row>
    <row r="2538" spans="1:15" x14ac:dyDescent="0.3">
      <c r="A2538" s="384" t="b">
        <f t="shared" ca="1" si="141"/>
        <v>0</v>
      </c>
      <c r="B2538" s="384"/>
      <c r="C2538" s="393" t="str">
        <f ca="1">IF(COUNTA(O$1493:O2538)=1,"",OFFSET(B2536,-COUNTA(O$1493:O2538)+3,1))</f>
        <v>a16Dm000000LZgfIAG</v>
      </c>
      <c r="D2538" s="389"/>
      <c r="E2538" s="386" t="str">
        <f ca="1">IFERROR(IF(VLOOKUP(C2538,' Disaggregation - Section E '!A$618:J2864,7,0)="","",VLOOKUP(C2538,' Disaggregation - Section E '!A$618:J2864,7,0)*100),"")</f>
        <v/>
      </c>
      <c r="F2538" s="388" t="str">
        <f ca="1">IFERROR(VLOOKUP(C2538,' Disaggregation - Section E '!A$618:J2864,5,0),"")</f>
        <v/>
      </c>
      <c r="G2538" s="387" t="str">
        <f ca="1">IFERROR(IF(VLOOKUP(C2538,' Disaggregation - Section E '!A$618:J2864,6,0)="","",VLOOKUP(C2538,' Disaggregation - Section E '!A$618:J2864,6,0)),"")</f>
        <v/>
      </c>
      <c r="H2538" s="387" t="str">
        <f ca="1">IFERROR(IF(INDEX(' Disaggregation - Section E '!F$618:F2864,MATCH(C2538,' Disaggregation - Section E '!A$618:A2864,0)+1,1)&lt;&gt;0,INDEX(' Disaggregation - Section E '!F$618:F2864,MATCH(C2538,' Disaggregation - Section E '!A$618:A2864,0)+1,1),""),"")</f>
        <v/>
      </c>
      <c r="I2538" s="388" t="str">
        <f ca="1">IFERROR(IF(VLOOKUP(C2538,' Disaggregation - Section E '!A$618:J2864,8,0)=0,"",VLOOKUP(C2538,' Disaggregation - Section E '!A$618:J2864,8,0)),"")</f>
        <v/>
      </c>
      <c r="J2538" s="388" t="str">
        <f ca="1">IFERROR(IF(VLOOKUP(C2538,' Disaggregation - Section E '!A$618:J2864,9,0)="","",VLOOKUP(C2538,' Disaggregation - Section E '!A$618:J2864,9,0)),"")</f>
        <v/>
      </c>
      <c r="K2538" s="384" t="str">
        <f ca="1">IFERROR(VLOOKUP(C2538,' Disaggregation - Section E '!A$618:J2864,3,0),"")</f>
        <v>DRTB-7 Percentage of RR/MDR-TB patients with DST results for Fluoroquinolone among the total number of notified RR/MDR-TB patients during the reporting period</v>
      </c>
      <c r="L2538" s="384"/>
      <c r="M2538" s="384" t="str">
        <f ca="1">IFERROR(IF(VLOOKUP(C2538,' Disaggregation - Section E '!A$618:O1667,15,0)=0,"",VLOOKUP(C2538,' Disaggregation - Section E '!A$618:O1667,15,0)),"")</f>
        <v/>
      </c>
      <c r="N2538" s="388" t="str">
        <f ca="1">IFERROR(IF(VLOOKUP(C2538,' Disaggregation - Section E '!A$618:J2864,10,0)=0,"",VLOOKUP(C2538,' Disaggregation - Section E '!A$618:J2864,10,0)),"")</f>
        <v/>
      </c>
      <c r="O2538" s="384"/>
    </row>
    <row r="2539" spans="1:15" x14ac:dyDescent="0.3">
      <c r="A2539" s="384" t="b">
        <f t="shared" ca="1" si="141"/>
        <v>0</v>
      </c>
      <c r="B2539" s="384"/>
      <c r="C2539" s="393" t="str">
        <f ca="1">IF(COUNTA(O$1493:O2539)=1,"",OFFSET(B2537,-COUNTA(O$1493:O2539)+3,1))</f>
        <v>a16Dm000000LZggIAG</v>
      </c>
      <c r="D2539" s="389"/>
      <c r="E2539" s="386" t="str">
        <f ca="1">IFERROR(IF(VLOOKUP(C2539,' Disaggregation - Section E '!A$618:J2865,7,0)="","",VLOOKUP(C2539,' Disaggregation - Section E '!A$618:J2865,7,0)*100),"")</f>
        <v/>
      </c>
      <c r="F2539" s="388" t="str">
        <f ca="1">IFERROR(VLOOKUP(C2539,' Disaggregation - Section E '!A$618:J2865,5,0),"")</f>
        <v/>
      </c>
      <c r="G2539" s="387" t="str">
        <f ca="1">IFERROR(IF(VLOOKUP(C2539,' Disaggregation - Section E '!A$618:J2865,6,0)="","",VLOOKUP(C2539,' Disaggregation - Section E '!A$618:J2865,6,0)),"")</f>
        <v/>
      </c>
      <c r="H2539" s="387" t="str">
        <f ca="1">IFERROR(IF(INDEX(' Disaggregation - Section E '!F$618:F2865,MATCH(C2539,' Disaggregation - Section E '!A$618:A2865,0)+1,1)&lt;&gt;0,INDEX(' Disaggregation - Section E '!F$618:F2865,MATCH(C2539,' Disaggregation - Section E '!A$618:A2865,0)+1,1),""),"")</f>
        <v/>
      </c>
      <c r="I2539" s="388" t="str">
        <f ca="1">IFERROR(IF(VLOOKUP(C2539,' Disaggregation - Section E '!A$618:J2865,8,0)=0,"",VLOOKUP(C2539,' Disaggregation - Section E '!A$618:J2865,8,0)),"")</f>
        <v/>
      </c>
      <c r="J2539" s="388" t="str">
        <f ca="1">IFERROR(IF(VLOOKUP(C2539,' Disaggregation - Section E '!A$618:J2865,9,0)="","",VLOOKUP(C2539,' Disaggregation - Section E '!A$618:J2865,9,0)),"")</f>
        <v/>
      </c>
      <c r="K2539" s="384" t="str">
        <f ca="1">IFERROR(VLOOKUP(C2539,' Disaggregation - Section E '!A$618:J2865,3,0),"")</f>
        <v>DRTB-7 Percentage of RR/MDR-TB patients with DST results for Fluoroquinolone among the total number of notified RR/MDR-TB patients during the reporting period</v>
      </c>
      <c r="L2539" s="384"/>
      <c r="M2539" s="384" t="str">
        <f ca="1">IFERROR(IF(VLOOKUP(C2539,' Disaggregation - Section E '!A$618:O1668,15,0)=0,"",VLOOKUP(C2539,' Disaggregation - Section E '!A$618:O1668,15,0)),"")</f>
        <v/>
      </c>
      <c r="N2539" s="388" t="str">
        <f ca="1">IFERROR(IF(VLOOKUP(C2539,' Disaggregation - Section E '!A$618:J2865,10,0)=0,"",VLOOKUP(C2539,' Disaggregation - Section E '!A$618:J2865,10,0)),"")</f>
        <v/>
      </c>
      <c r="O2539" s="384"/>
    </row>
    <row r="2540" spans="1:15" x14ac:dyDescent="0.3">
      <c r="A2540" s="384" t="b">
        <f t="shared" ca="1" si="141"/>
        <v>0</v>
      </c>
      <c r="B2540" s="384"/>
      <c r="C2540" s="393" t="str">
        <f ca="1">IF(COUNTA(O$1493:O2540)=1,"",OFFSET(B2538,-COUNTA(O$1493:O2540)+3,1))</f>
        <v>a16Dm000000LZghIAG</v>
      </c>
      <c r="D2540" s="389"/>
      <c r="E2540" s="386" t="str">
        <f ca="1">IFERROR(IF(VLOOKUP(C2540,' Disaggregation - Section E '!A$618:J2866,7,0)="","",VLOOKUP(C2540,' Disaggregation - Section E '!A$618:J2866,7,0)*100),"")</f>
        <v/>
      </c>
      <c r="F2540" s="388" t="str">
        <f ca="1">IFERROR(VLOOKUP(C2540,' Disaggregation - Section E '!A$618:J2866,5,0),"")</f>
        <v/>
      </c>
      <c r="G2540" s="387" t="str">
        <f ca="1">IFERROR(IF(VLOOKUP(C2540,' Disaggregation - Section E '!A$618:J2866,6,0)="","",VLOOKUP(C2540,' Disaggregation - Section E '!A$618:J2866,6,0)),"")</f>
        <v/>
      </c>
      <c r="H2540" s="387" t="str">
        <f ca="1">IFERROR(IF(INDEX(' Disaggregation - Section E '!F$618:F2866,MATCH(C2540,' Disaggregation - Section E '!A$618:A2866,0)+1,1)&lt;&gt;0,INDEX(' Disaggregation - Section E '!F$618:F2866,MATCH(C2540,' Disaggregation - Section E '!A$618:A2866,0)+1,1),""),"")</f>
        <v/>
      </c>
      <c r="I2540" s="388" t="str">
        <f ca="1">IFERROR(IF(VLOOKUP(C2540,' Disaggregation - Section E '!A$618:J2866,8,0)=0,"",VLOOKUP(C2540,' Disaggregation - Section E '!A$618:J2866,8,0)),"")</f>
        <v/>
      </c>
      <c r="J2540" s="388" t="str">
        <f ca="1">IFERROR(IF(VLOOKUP(C2540,' Disaggregation - Section E '!A$618:J2866,9,0)="","",VLOOKUP(C2540,' Disaggregation - Section E '!A$618:J2866,9,0)),"")</f>
        <v/>
      </c>
      <c r="K2540" s="384" t="str">
        <f ca="1">IFERROR(VLOOKUP(C2540,' Disaggregation - Section E '!A$618:J2866,3,0),"")</f>
        <v>DRTB-7 Percentage of RR/MDR-TB patients with DST results for Fluoroquinolone among the total number of notified RR/MDR-TB patients during the reporting period</v>
      </c>
      <c r="L2540" s="384"/>
      <c r="M2540" s="384" t="str">
        <f ca="1">IFERROR(IF(VLOOKUP(C2540,' Disaggregation - Section E '!A$618:O1669,15,0)=0,"",VLOOKUP(C2540,' Disaggregation - Section E '!A$618:O1669,15,0)),"")</f>
        <v/>
      </c>
      <c r="N2540" s="388" t="str">
        <f ca="1">IFERROR(IF(VLOOKUP(C2540,' Disaggregation - Section E '!A$618:J2866,10,0)=0,"",VLOOKUP(C2540,' Disaggregation - Section E '!A$618:J2866,10,0)),"")</f>
        <v/>
      </c>
      <c r="O2540" s="384"/>
    </row>
    <row r="2541" spans="1:15" x14ac:dyDescent="0.3">
      <c r="A2541" s="384" t="b">
        <f t="shared" ca="1" si="141"/>
        <v>0</v>
      </c>
      <c r="B2541" s="384"/>
      <c r="C2541" s="393" t="str">
        <f ca="1">IF(COUNTA(O$1493:O2541)=1,"",OFFSET(B2539,-COUNTA(O$1493:O2541)+3,1))</f>
        <v>a16Dm000000LZgiIAG</v>
      </c>
      <c r="D2541" s="389"/>
      <c r="E2541" s="386" t="str">
        <f ca="1">IFERROR(IF(VLOOKUP(C2541,' Disaggregation - Section E '!A$618:J2867,7,0)="","",VLOOKUP(C2541,' Disaggregation - Section E '!A$618:J2867,7,0)*100),"")</f>
        <v/>
      </c>
      <c r="F2541" s="388" t="str">
        <f ca="1">IFERROR(VLOOKUP(C2541,' Disaggregation - Section E '!A$618:J2867,5,0),"")</f>
        <v/>
      </c>
      <c r="G2541" s="387" t="str">
        <f ca="1">IFERROR(IF(VLOOKUP(C2541,' Disaggregation - Section E '!A$618:J2867,6,0)="","",VLOOKUP(C2541,' Disaggregation - Section E '!A$618:J2867,6,0)),"")</f>
        <v/>
      </c>
      <c r="H2541" s="387" t="str">
        <f ca="1">IFERROR(IF(INDEX(' Disaggregation - Section E '!F$618:F2867,MATCH(C2541,' Disaggregation - Section E '!A$618:A2867,0)+1,1)&lt;&gt;0,INDEX(' Disaggregation - Section E '!F$618:F2867,MATCH(C2541,' Disaggregation - Section E '!A$618:A2867,0)+1,1),""),"")</f>
        <v/>
      </c>
      <c r="I2541" s="388" t="str">
        <f ca="1">IFERROR(IF(VLOOKUP(C2541,' Disaggregation - Section E '!A$618:J2867,8,0)=0,"",VLOOKUP(C2541,' Disaggregation - Section E '!A$618:J2867,8,0)),"")</f>
        <v/>
      </c>
      <c r="J2541" s="388" t="str">
        <f ca="1">IFERROR(IF(VLOOKUP(C2541,' Disaggregation - Section E '!A$618:J2867,9,0)="","",VLOOKUP(C2541,' Disaggregation - Section E '!A$618:J2867,9,0)),"")</f>
        <v/>
      </c>
      <c r="K2541" s="384" t="str">
        <f ca="1">IFERROR(VLOOKUP(C2541,' Disaggregation - Section E '!A$618:J2867,3,0),"")</f>
        <v>DRTB-7 Percentage of RR/MDR-TB patients with DST results for Fluoroquinolone among the total number of notified RR/MDR-TB patients during the reporting period</v>
      </c>
      <c r="L2541" s="384"/>
      <c r="M2541" s="384" t="str">
        <f ca="1">IFERROR(IF(VLOOKUP(C2541,' Disaggregation - Section E '!A$618:O1670,15,0)=0,"",VLOOKUP(C2541,' Disaggregation - Section E '!A$618:O1670,15,0)),"")</f>
        <v/>
      </c>
      <c r="N2541" s="388" t="str">
        <f ca="1">IFERROR(IF(VLOOKUP(C2541,' Disaggregation - Section E '!A$618:J2867,10,0)=0,"",VLOOKUP(C2541,' Disaggregation - Section E '!A$618:J2867,10,0)),"")</f>
        <v/>
      </c>
      <c r="O2541" s="384"/>
    </row>
    <row r="2542" spans="1:15" x14ac:dyDescent="0.3">
      <c r="A2542" s="384" t="b">
        <f t="shared" ca="1" si="141"/>
        <v>0</v>
      </c>
      <c r="B2542" s="384"/>
      <c r="C2542" s="393" t="str">
        <f ca="1">IF(COUNTA(O$1493:O2542)=1,"",OFFSET(B2540,-COUNTA(O$1493:O2542)+3,1))</f>
        <v>a16Dm000000LZgjIAG</v>
      </c>
      <c r="D2542" s="389"/>
      <c r="E2542" s="386" t="str">
        <f ca="1">IFERROR(IF(VLOOKUP(C2542,' Disaggregation - Section E '!A$618:J2868,7,0)="","",VLOOKUP(C2542,' Disaggregation - Section E '!A$618:J2868,7,0)*100),"")</f>
        <v/>
      </c>
      <c r="F2542" s="388" t="str">
        <f ca="1">IFERROR(VLOOKUP(C2542,' Disaggregation - Section E '!A$618:J2868,5,0),"")</f>
        <v/>
      </c>
      <c r="G2542" s="387" t="str">
        <f ca="1">IFERROR(IF(VLOOKUP(C2542,' Disaggregation - Section E '!A$618:J2868,6,0)="","",VLOOKUP(C2542,' Disaggregation - Section E '!A$618:J2868,6,0)),"")</f>
        <v/>
      </c>
      <c r="H2542" s="387" t="str">
        <f ca="1">IFERROR(IF(INDEX(' Disaggregation - Section E '!F$618:F2868,MATCH(C2542,' Disaggregation - Section E '!A$618:A2868,0)+1,1)&lt;&gt;0,INDEX(' Disaggregation - Section E '!F$618:F2868,MATCH(C2542,' Disaggregation - Section E '!A$618:A2868,0)+1,1),""),"")</f>
        <v/>
      </c>
      <c r="I2542" s="388" t="str">
        <f ca="1">IFERROR(IF(VLOOKUP(C2542,' Disaggregation - Section E '!A$618:J2868,8,0)=0,"",VLOOKUP(C2542,' Disaggregation - Section E '!A$618:J2868,8,0)),"")</f>
        <v/>
      </c>
      <c r="J2542" s="388" t="str">
        <f ca="1">IFERROR(IF(VLOOKUP(C2542,' Disaggregation - Section E '!A$618:J2868,9,0)="","",VLOOKUP(C2542,' Disaggregation - Section E '!A$618:J2868,9,0)),"")</f>
        <v/>
      </c>
      <c r="K2542" s="384" t="str">
        <f ca="1">IFERROR(VLOOKUP(C2542,' Disaggregation - Section E '!A$618:J2868,3,0),"")</f>
        <v>DRTB-7 Percentage of RR/MDR-TB patients with DST results for Fluoroquinolone among the total number of notified RR/MDR-TB patients during the reporting period</v>
      </c>
      <c r="L2542" s="384"/>
      <c r="M2542" s="384" t="str">
        <f ca="1">IFERROR(IF(VLOOKUP(C2542,' Disaggregation - Section E '!A$618:O1671,15,0)=0,"",VLOOKUP(C2542,' Disaggregation - Section E '!A$618:O1671,15,0)),"")</f>
        <v/>
      </c>
      <c r="N2542" s="388" t="str">
        <f ca="1">IFERROR(IF(VLOOKUP(C2542,' Disaggregation - Section E '!A$618:J2868,10,0)=0,"",VLOOKUP(C2542,' Disaggregation - Section E '!A$618:J2868,10,0)),"")</f>
        <v/>
      </c>
      <c r="O2542" s="384"/>
    </row>
    <row r="2543" spans="1:15" x14ac:dyDescent="0.3">
      <c r="A2543" s="384" t="b">
        <f t="shared" ref="A2543:A2606" ca="1" si="142">IF(M2543&lt;&gt;"",TRUE,FALSE)</f>
        <v>0</v>
      </c>
      <c r="B2543" s="384"/>
      <c r="C2543" s="393" t="str">
        <f ca="1">IF(COUNTA(O$1493:O2543)=1,"",OFFSET(B2541,-COUNTA(O$1493:O2543)+3,1))</f>
        <v>a16Dm000000LZgkIAG</v>
      </c>
      <c r="D2543" s="389"/>
      <c r="E2543" s="386" t="str">
        <f ca="1">IFERROR(IF(VLOOKUP(C2543,' Disaggregation - Section E '!A$618:J2869,7,0)="","",VLOOKUP(C2543,' Disaggregation - Section E '!A$618:J2869,7,0)*100),"")</f>
        <v/>
      </c>
      <c r="F2543" s="388" t="str">
        <f ca="1">IFERROR(VLOOKUP(C2543,' Disaggregation - Section E '!A$618:J2869,5,0),"")</f>
        <v/>
      </c>
      <c r="G2543" s="387" t="str">
        <f ca="1">IFERROR(IF(VLOOKUP(C2543,' Disaggregation - Section E '!A$618:J2869,6,0)="","",VLOOKUP(C2543,' Disaggregation - Section E '!A$618:J2869,6,0)),"")</f>
        <v/>
      </c>
      <c r="H2543" s="387" t="str">
        <f ca="1">IFERROR(IF(INDEX(' Disaggregation - Section E '!F$618:F2869,MATCH(C2543,' Disaggregation - Section E '!A$618:A2869,0)+1,1)&lt;&gt;0,INDEX(' Disaggregation - Section E '!F$618:F2869,MATCH(C2543,' Disaggregation - Section E '!A$618:A2869,0)+1,1),""),"")</f>
        <v/>
      </c>
      <c r="I2543" s="388" t="str">
        <f ca="1">IFERROR(IF(VLOOKUP(C2543,' Disaggregation - Section E '!A$618:J2869,8,0)=0,"",VLOOKUP(C2543,' Disaggregation - Section E '!A$618:J2869,8,0)),"")</f>
        <v/>
      </c>
      <c r="J2543" s="388" t="str">
        <f ca="1">IFERROR(IF(VLOOKUP(C2543,' Disaggregation - Section E '!A$618:J2869,9,0)="","",VLOOKUP(C2543,' Disaggregation - Section E '!A$618:J2869,9,0)),"")</f>
        <v/>
      </c>
      <c r="K2543" s="384" t="str">
        <f ca="1">IFERROR(VLOOKUP(C2543,' Disaggregation - Section E '!A$618:J2869,3,0),"")</f>
        <v>DRTB-7 Percentage of RR/MDR-TB patients with DST results for Fluoroquinolone among the total number of notified RR/MDR-TB patients during the reporting period</v>
      </c>
      <c r="L2543" s="384"/>
      <c r="M2543" s="384" t="str">
        <f ca="1">IFERROR(IF(VLOOKUP(C2543,' Disaggregation - Section E '!A$618:O1672,15,0)=0,"",VLOOKUP(C2543,' Disaggregation - Section E '!A$618:O1672,15,0)),"")</f>
        <v/>
      </c>
      <c r="N2543" s="388" t="str">
        <f ca="1">IFERROR(IF(VLOOKUP(C2543,' Disaggregation - Section E '!A$618:J2869,10,0)=0,"",VLOOKUP(C2543,' Disaggregation - Section E '!A$618:J2869,10,0)),"")</f>
        <v/>
      </c>
      <c r="O2543" s="384"/>
    </row>
    <row r="2544" spans="1:15" x14ac:dyDescent="0.3">
      <c r="A2544" s="384" t="b">
        <f t="shared" ca="1" si="142"/>
        <v>0</v>
      </c>
      <c r="B2544" s="384"/>
      <c r="C2544" s="393" t="str">
        <f ca="1">IF(COUNTA(O$1493:O2544)=1,"",OFFSET(B2542,-COUNTA(O$1493:O2544)+3,1))</f>
        <v>a16Dm000000LZglIAG</v>
      </c>
      <c r="D2544" s="389"/>
      <c r="E2544" s="386" t="str">
        <f ca="1">IFERROR(IF(VLOOKUP(C2544,' Disaggregation - Section E '!A$618:J2870,7,0)="","",VLOOKUP(C2544,' Disaggregation - Section E '!A$618:J2870,7,0)*100),"")</f>
        <v/>
      </c>
      <c r="F2544" s="388" t="str">
        <f ca="1">IFERROR(VLOOKUP(C2544,' Disaggregation - Section E '!A$618:J2870,5,0),"")</f>
        <v/>
      </c>
      <c r="G2544" s="387" t="str">
        <f ca="1">IFERROR(IF(VLOOKUP(C2544,' Disaggregation - Section E '!A$618:J2870,6,0)="","",VLOOKUP(C2544,' Disaggregation - Section E '!A$618:J2870,6,0)),"")</f>
        <v/>
      </c>
      <c r="H2544" s="387" t="str">
        <f ca="1">IFERROR(IF(INDEX(' Disaggregation - Section E '!F$618:F2870,MATCH(C2544,' Disaggregation - Section E '!A$618:A2870,0)+1,1)&lt;&gt;0,INDEX(' Disaggregation - Section E '!F$618:F2870,MATCH(C2544,' Disaggregation - Section E '!A$618:A2870,0)+1,1),""),"")</f>
        <v/>
      </c>
      <c r="I2544" s="388" t="str">
        <f ca="1">IFERROR(IF(VLOOKUP(C2544,' Disaggregation - Section E '!A$618:J2870,8,0)=0,"",VLOOKUP(C2544,' Disaggregation - Section E '!A$618:J2870,8,0)),"")</f>
        <v/>
      </c>
      <c r="J2544" s="388" t="str">
        <f ca="1">IFERROR(IF(VLOOKUP(C2544,' Disaggregation - Section E '!A$618:J2870,9,0)="","",VLOOKUP(C2544,' Disaggregation - Section E '!A$618:J2870,9,0)),"")</f>
        <v/>
      </c>
      <c r="K2544" s="384" t="str">
        <f ca="1">IFERROR(VLOOKUP(C2544,' Disaggregation - Section E '!A$618:J2870,3,0),"")</f>
        <v>DRTB-7 Percentage of RR/MDR-TB patients with DST results for Fluoroquinolone among the total number of notified RR/MDR-TB patients during the reporting period</v>
      </c>
      <c r="L2544" s="384"/>
      <c r="M2544" s="384" t="str">
        <f ca="1">IFERROR(IF(VLOOKUP(C2544,' Disaggregation - Section E '!A$618:O1673,15,0)=0,"",VLOOKUP(C2544,' Disaggregation - Section E '!A$618:O1673,15,0)),"")</f>
        <v/>
      </c>
      <c r="N2544" s="388" t="str">
        <f ca="1">IFERROR(IF(VLOOKUP(C2544,' Disaggregation - Section E '!A$618:J2870,10,0)=0,"",VLOOKUP(C2544,' Disaggregation - Section E '!A$618:J2870,10,0)),"")</f>
        <v/>
      </c>
      <c r="O2544" s="384"/>
    </row>
    <row r="2545" spans="1:15" x14ac:dyDescent="0.3">
      <c r="A2545" s="384" t="b">
        <f t="shared" ca="1" si="142"/>
        <v>0</v>
      </c>
      <c r="B2545" s="384"/>
      <c r="C2545" s="393" t="str">
        <f ca="1">IF(COUNTA(O$1493:O2545)=1,"",OFFSET(B2543,-COUNTA(O$1493:O2545)+3,1))</f>
        <v>a16Dm000000LZgmIAG</v>
      </c>
      <c r="D2545" s="389"/>
      <c r="E2545" s="386" t="str">
        <f ca="1">IFERROR(IF(VLOOKUP(C2545,' Disaggregation - Section E '!A$618:J2871,7,0)="","",VLOOKUP(C2545,' Disaggregation - Section E '!A$618:J2871,7,0)*100),"")</f>
        <v/>
      </c>
      <c r="F2545" s="388" t="str">
        <f ca="1">IFERROR(VLOOKUP(C2545,' Disaggregation - Section E '!A$618:J2871,5,0),"")</f>
        <v/>
      </c>
      <c r="G2545" s="387" t="str">
        <f ca="1">IFERROR(IF(VLOOKUP(C2545,' Disaggregation - Section E '!A$618:J2871,6,0)="","",VLOOKUP(C2545,' Disaggregation - Section E '!A$618:J2871,6,0)),"")</f>
        <v/>
      </c>
      <c r="H2545" s="387" t="str">
        <f ca="1">IFERROR(IF(INDEX(' Disaggregation - Section E '!F$618:F2871,MATCH(C2545,' Disaggregation - Section E '!A$618:A2871,0)+1,1)&lt;&gt;0,INDEX(' Disaggregation - Section E '!F$618:F2871,MATCH(C2545,' Disaggregation - Section E '!A$618:A2871,0)+1,1),""),"")</f>
        <v/>
      </c>
      <c r="I2545" s="388" t="str">
        <f ca="1">IFERROR(IF(VLOOKUP(C2545,' Disaggregation - Section E '!A$618:J2871,8,0)=0,"",VLOOKUP(C2545,' Disaggregation - Section E '!A$618:J2871,8,0)),"")</f>
        <v/>
      </c>
      <c r="J2545" s="388" t="str">
        <f ca="1">IFERROR(IF(VLOOKUP(C2545,' Disaggregation - Section E '!A$618:J2871,9,0)="","",VLOOKUP(C2545,' Disaggregation - Section E '!A$618:J2871,9,0)),"")</f>
        <v/>
      </c>
      <c r="K2545" s="384" t="str">
        <f ca="1">IFERROR(VLOOKUP(C2545,' Disaggregation - Section E '!A$618:J2871,3,0),"")</f>
        <v>DRTB-7 Percentage of RR/MDR-TB patients with DST results for Fluoroquinolone among the total number of notified RR/MDR-TB patients during the reporting period</v>
      </c>
      <c r="L2545" s="384"/>
      <c r="M2545" s="384" t="str">
        <f ca="1">IFERROR(IF(VLOOKUP(C2545,' Disaggregation - Section E '!A$618:O1674,15,0)=0,"",VLOOKUP(C2545,' Disaggregation - Section E '!A$618:O1674,15,0)),"")</f>
        <v/>
      </c>
      <c r="N2545" s="388" t="str">
        <f ca="1">IFERROR(IF(VLOOKUP(C2545,' Disaggregation - Section E '!A$618:J2871,10,0)=0,"",VLOOKUP(C2545,' Disaggregation - Section E '!A$618:J2871,10,0)),"")</f>
        <v/>
      </c>
      <c r="O2545" s="384"/>
    </row>
    <row r="2546" spans="1:15" x14ac:dyDescent="0.3">
      <c r="A2546" s="384" t="b">
        <f t="shared" ca="1" si="142"/>
        <v>0</v>
      </c>
      <c r="B2546" s="384"/>
      <c r="C2546" s="393" t="str">
        <f ca="1">IF(COUNTA(O$1493:O2546)=1,"",OFFSET(B2544,-COUNTA(O$1493:O2546)+3,1))</f>
        <v>a16Dm000000LZgnIAG</v>
      </c>
      <c r="D2546" s="389"/>
      <c r="E2546" s="386" t="str">
        <f ca="1">IFERROR(IF(VLOOKUP(C2546,' Disaggregation - Section E '!A$618:J2872,7,0)="","",VLOOKUP(C2546,' Disaggregation - Section E '!A$618:J2872,7,0)*100),"")</f>
        <v/>
      </c>
      <c r="F2546" s="388" t="str">
        <f ca="1">IFERROR(VLOOKUP(C2546,' Disaggregation - Section E '!A$618:J2872,5,0),"")</f>
        <v/>
      </c>
      <c r="G2546" s="387" t="str">
        <f ca="1">IFERROR(IF(VLOOKUP(C2546,' Disaggregation - Section E '!A$618:J2872,6,0)="","",VLOOKUP(C2546,' Disaggregation - Section E '!A$618:J2872,6,0)),"")</f>
        <v/>
      </c>
      <c r="H2546" s="387" t="str">
        <f ca="1">IFERROR(IF(INDEX(' Disaggregation - Section E '!F$618:F2872,MATCH(C2546,' Disaggregation - Section E '!A$618:A2872,0)+1,1)&lt;&gt;0,INDEX(' Disaggregation - Section E '!F$618:F2872,MATCH(C2546,' Disaggregation - Section E '!A$618:A2872,0)+1,1),""),"")</f>
        <v/>
      </c>
      <c r="I2546" s="388" t="str">
        <f ca="1">IFERROR(IF(VLOOKUP(C2546,' Disaggregation - Section E '!A$618:J2872,8,0)=0,"",VLOOKUP(C2546,' Disaggregation - Section E '!A$618:J2872,8,0)),"")</f>
        <v/>
      </c>
      <c r="J2546" s="388" t="str">
        <f ca="1">IFERROR(IF(VLOOKUP(C2546,' Disaggregation - Section E '!A$618:J2872,9,0)="","",VLOOKUP(C2546,' Disaggregation - Section E '!A$618:J2872,9,0)),"")</f>
        <v/>
      </c>
      <c r="K2546" s="384" t="str">
        <f ca="1">IFERROR(VLOOKUP(C2546,' Disaggregation - Section E '!A$618:J2872,3,0),"")</f>
        <v>DRTB-7 Percentage of RR/MDR-TB patients with DST results for Fluoroquinolone among the total number of notified RR/MDR-TB patients during the reporting period</v>
      </c>
      <c r="L2546" s="384"/>
      <c r="M2546" s="384" t="str">
        <f ca="1">IFERROR(IF(VLOOKUP(C2546,' Disaggregation - Section E '!A$618:O1675,15,0)=0,"",VLOOKUP(C2546,' Disaggregation - Section E '!A$618:O1675,15,0)),"")</f>
        <v/>
      </c>
      <c r="N2546" s="388" t="str">
        <f ca="1">IFERROR(IF(VLOOKUP(C2546,' Disaggregation - Section E '!A$618:J2872,10,0)=0,"",VLOOKUP(C2546,' Disaggregation - Section E '!A$618:J2872,10,0)),"")</f>
        <v/>
      </c>
      <c r="O2546" s="384"/>
    </row>
    <row r="2547" spans="1:15" x14ac:dyDescent="0.3">
      <c r="A2547" s="384" t="b">
        <f t="shared" ca="1" si="142"/>
        <v>0</v>
      </c>
      <c r="B2547" s="384"/>
      <c r="C2547" s="393" t="str">
        <f ca="1">IF(COUNTA(O$1493:O2547)=1,"",OFFSET(B2545,-COUNTA(O$1493:O2547)+3,1))</f>
        <v>a16Dm000000LZgoIAG</v>
      </c>
      <c r="D2547" s="389"/>
      <c r="E2547" s="386" t="str">
        <f ca="1">IFERROR(IF(VLOOKUP(C2547,' Disaggregation - Section E '!A$618:J2873,7,0)="","",VLOOKUP(C2547,' Disaggregation - Section E '!A$618:J2873,7,0)*100),"")</f>
        <v/>
      </c>
      <c r="F2547" s="388" t="str">
        <f ca="1">IFERROR(VLOOKUP(C2547,' Disaggregation - Section E '!A$618:J2873,5,0),"")</f>
        <v/>
      </c>
      <c r="G2547" s="387" t="str">
        <f ca="1">IFERROR(IF(VLOOKUP(C2547,' Disaggregation - Section E '!A$618:J2873,6,0)="","",VLOOKUP(C2547,' Disaggregation - Section E '!A$618:J2873,6,0)),"")</f>
        <v/>
      </c>
      <c r="H2547" s="387" t="str">
        <f ca="1">IFERROR(IF(INDEX(' Disaggregation - Section E '!F$618:F2873,MATCH(C2547,' Disaggregation - Section E '!A$618:A2873,0)+1,1)&lt;&gt;0,INDEX(' Disaggregation - Section E '!F$618:F2873,MATCH(C2547,' Disaggregation - Section E '!A$618:A2873,0)+1,1),""),"")</f>
        <v/>
      </c>
      <c r="I2547" s="388" t="str">
        <f ca="1">IFERROR(IF(VLOOKUP(C2547,' Disaggregation - Section E '!A$618:J2873,8,0)=0,"",VLOOKUP(C2547,' Disaggregation - Section E '!A$618:J2873,8,0)),"")</f>
        <v/>
      </c>
      <c r="J2547" s="388" t="str">
        <f ca="1">IFERROR(IF(VLOOKUP(C2547,' Disaggregation - Section E '!A$618:J2873,9,0)="","",VLOOKUP(C2547,' Disaggregation - Section E '!A$618:J2873,9,0)),"")</f>
        <v/>
      </c>
      <c r="K2547" s="384" t="str">
        <f ca="1">IFERROR(VLOOKUP(C2547,' Disaggregation - Section E '!A$618:J2873,3,0),"")</f>
        <v>DRTB-7 Percentage of RR/MDR-TB patients with DST results for Fluoroquinolone among the total number of notified RR/MDR-TB patients during the reporting period</v>
      </c>
      <c r="L2547" s="384"/>
      <c r="M2547" s="384" t="str">
        <f ca="1">IFERROR(IF(VLOOKUP(C2547,' Disaggregation - Section E '!A$618:O1676,15,0)=0,"",VLOOKUP(C2547,' Disaggregation - Section E '!A$618:O1676,15,0)),"")</f>
        <v/>
      </c>
      <c r="N2547" s="388" t="str">
        <f ca="1">IFERROR(IF(VLOOKUP(C2547,' Disaggregation - Section E '!A$618:J2873,10,0)=0,"",VLOOKUP(C2547,' Disaggregation - Section E '!A$618:J2873,10,0)),"")</f>
        <v/>
      </c>
      <c r="O2547" s="384"/>
    </row>
    <row r="2548" spans="1:15" x14ac:dyDescent="0.3">
      <c r="A2548" s="384" t="b">
        <f t="shared" ca="1" si="142"/>
        <v>0</v>
      </c>
      <c r="B2548" s="384"/>
      <c r="C2548" s="393" t="str">
        <f ca="1">IF(COUNTA(O$1493:O2548)=1,"",OFFSET(B2546,-COUNTA(O$1493:O2548)+3,1))</f>
        <v>a16Dm000000LZgpIAG</v>
      </c>
      <c r="D2548" s="389"/>
      <c r="E2548" s="386" t="str">
        <f ca="1">IFERROR(IF(VLOOKUP(C2548,' Disaggregation - Section E '!A$618:J2874,7,0)="","",VLOOKUP(C2548,' Disaggregation - Section E '!A$618:J2874,7,0)*100),"")</f>
        <v/>
      </c>
      <c r="F2548" s="388" t="str">
        <f ca="1">IFERROR(VLOOKUP(C2548,' Disaggregation - Section E '!A$618:J2874,5,0),"")</f>
        <v/>
      </c>
      <c r="G2548" s="387" t="str">
        <f ca="1">IFERROR(IF(VLOOKUP(C2548,' Disaggregation - Section E '!A$618:J2874,6,0)="","",VLOOKUP(C2548,' Disaggregation - Section E '!A$618:J2874,6,0)),"")</f>
        <v/>
      </c>
      <c r="H2548" s="387" t="str">
        <f ca="1">IFERROR(IF(INDEX(' Disaggregation - Section E '!F$618:F2874,MATCH(C2548,' Disaggregation - Section E '!A$618:A2874,0)+1,1)&lt;&gt;0,INDEX(' Disaggregation - Section E '!F$618:F2874,MATCH(C2548,' Disaggregation - Section E '!A$618:A2874,0)+1,1),""),"")</f>
        <v/>
      </c>
      <c r="I2548" s="388" t="str">
        <f ca="1">IFERROR(IF(VLOOKUP(C2548,' Disaggregation - Section E '!A$618:J2874,8,0)=0,"",VLOOKUP(C2548,' Disaggregation - Section E '!A$618:J2874,8,0)),"")</f>
        <v/>
      </c>
      <c r="J2548" s="388" t="str">
        <f ca="1">IFERROR(IF(VLOOKUP(C2548,' Disaggregation - Section E '!A$618:J2874,9,0)="","",VLOOKUP(C2548,' Disaggregation - Section E '!A$618:J2874,9,0)),"")</f>
        <v/>
      </c>
      <c r="K2548" s="384" t="str">
        <f ca="1">IFERROR(VLOOKUP(C2548,' Disaggregation - Section E '!A$618:J2874,3,0),"")</f>
        <v>DRTB-7 Percentage of RR/MDR-TB patients with DST results for Fluoroquinolone among the total number of notified RR/MDR-TB patients during the reporting period</v>
      </c>
      <c r="L2548" s="384"/>
      <c r="M2548" s="384" t="str">
        <f ca="1">IFERROR(IF(VLOOKUP(C2548,' Disaggregation - Section E '!A$618:O1677,15,0)=0,"",VLOOKUP(C2548,' Disaggregation - Section E '!A$618:O1677,15,0)),"")</f>
        <v/>
      </c>
      <c r="N2548" s="388" t="str">
        <f ca="1">IFERROR(IF(VLOOKUP(C2548,' Disaggregation - Section E '!A$618:J2874,10,0)=0,"",VLOOKUP(C2548,' Disaggregation - Section E '!A$618:J2874,10,0)),"")</f>
        <v/>
      </c>
      <c r="O2548" s="384"/>
    </row>
    <row r="2549" spans="1:15" x14ac:dyDescent="0.3">
      <c r="A2549" s="384" t="b">
        <f t="shared" ca="1" si="142"/>
        <v>0</v>
      </c>
      <c r="B2549" s="384"/>
      <c r="C2549" s="393" t="str">
        <f ca="1">IF(COUNTA(O$1493:O2549)=1,"",OFFSET(B2547,-COUNTA(O$1493:O2549)+3,1))</f>
        <v>a16Dm000000LZgqIAG</v>
      </c>
      <c r="D2549" s="389"/>
      <c r="E2549" s="386" t="str">
        <f ca="1">IFERROR(IF(VLOOKUP(C2549,' Disaggregation - Section E '!A$618:J2875,7,0)="","",VLOOKUP(C2549,' Disaggregation - Section E '!A$618:J2875,7,0)*100),"")</f>
        <v/>
      </c>
      <c r="F2549" s="388" t="str">
        <f ca="1">IFERROR(VLOOKUP(C2549,' Disaggregation - Section E '!A$618:J2875,5,0),"")</f>
        <v/>
      </c>
      <c r="G2549" s="387" t="str">
        <f ca="1">IFERROR(IF(VLOOKUP(C2549,' Disaggregation - Section E '!A$618:J2875,6,0)="","",VLOOKUP(C2549,' Disaggregation - Section E '!A$618:J2875,6,0)),"")</f>
        <v/>
      </c>
      <c r="H2549" s="387" t="str">
        <f ca="1">IFERROR(IF(INDEX(' Disaggregation - Section E '!F$618:F2875,MATCH(C2549,' Disaggregation - Section E '!A$618:A2875,0)+1,1)&lt;&gt;0,INDEX(' Disaggregation - Section E '!F$618:F2875,MATCH(C2549,' Disaggregation - Section E '!A$618:A2875,0)+1,1),""),"")</f>
        <v/>
      </c>
      <c r="I2549" s="388" t="str">
        <f ca="1">IFERROR(IF(VLOOKUP(C2549,' Disaggregation - Section E '!A$618:J2875,8,0)=0,"",VLOOKUP(C2549,' Disaggregation - Section E '!A$618:J2875,8,0)),"")</f>
        <v/>
      </c>
      <c r="J2549" s="388" t="str">
        <f ca="1">IFERROR(IF(VLOOKUP(C2549,' Disaggregation - Section E '!A$618:J2875,9,0)="","",VLOOKUP(C2549,' Disaggregation - Section E '!A$618:J2875,9,0)),"")</f>
        <v/>
      </c>
      <c r="K2549" s="384" t="str">
        <f ca="1">IFERROR(VLOOKUP(C2549,' Disaggregation - Section E '!A$618:J2875,3,0),"")</f>
        <v>DRTB-7 Percentage of RR/MDR-TB patients with DST results for Fluoroquinolone among the total number of notified RR/MDR-TB patients during the reporting period</v>
      </c>
      <c r="L2549" s="384"/>
      <c r="M2549" s="384" t="str">
        <f ca="1">IFERROR(IF(VLOOKUP(C2549,' Disaggregation - Section E '!A$618:O1678,15,0)=0,"",VLOOKUP(C2549,' Disaggregation - Section E '!A$618:O1678,15,0)),"")</f>
        <v/>
      </c>
      <c r="N2549" s="388" t="str">
        <f ca="1">IFERROR(IF(VLOOKUP(C2549,' Disaggregation - Section E '!A$618:J2875,10,0)=0,"",VLOOKUP(C2549,' Disaggregation - Section E '!A$618:J2875,10,0)),"")</f>
        <v/>
      </c>
      <c r="O2549" s="384"/>
    </row>
    <row r="2550" spans="1:15" x14ac:dyDescent="0.3">
      <c r="A2550" s="384" t="b">
        <f t="shared" ca="1" si="142"/>
        <v>0</v>
      </c>
      <c r="B2550" s="384"/>
      <c r="C2550" s="393" t="str">
        <f ca="1">IF(COUNTA(O$1493:O2550)=1,"",OFFSET(B2548,-COUNTA(O$1493:O2550)+3,1))</f>
        <v>a16Dm000000LZgrIAG</v>
      </c>
      <c r="D2550" s="389"/>
      <c r="E2550" s="386" t="str">
        <f ca="1">IFERROR(IF(VLOOKUP(C2550,' Disaggregation - Section E '!A$618:J2876,7,0)="","",VLOOKUP(C2550,' Disaggregation - Section E '!A$618:J2876,7,0)*100),"")</f>
        <v/>
      </c>
      <c r="F2550" s="388" t="str">
        <f ca="1">IFERROR(VLOOKUP(C2550,' Disaggregation - Section E '!A$618:J2876,5,0),"")</f>
        <v/>
      </c>
      <c r="G2550" s="387" t="str">
        <f ca="1">IFERROR(IF(VLOOKUP(C2550,' Disaggregation - Section E '!A$618:J2876,6,0)="","",VLOOKUP(C2550,' Disaggregation - Section E '!A$618:J2876,6,0)),"")</f>
        <v/>
      </c>
      <c r="H2550" s="387" t="str">
        <f ca="1">IFERROR(IF(INDEX(' Disaggregation - Section E '!F$618:F2876,MATCH(C2550,' Disaggregation - Section E '!A$618:A2876,0)+1,1)&lt;&gt;0,INDEX(' Disaggregation - Section E '!F$618:F2876,MATCH(C2550,' Disaggregation - Section E '!A$618:A2876,0)+1,1),""),"")</f>
        <v/>
      </c>
      <c r="I2550" s="388" t="str">
        <f ca="1">IFERROR(IF(VLOOKUP(C2550,' Disaggregation - Section E '!A$618:J2876,8,0)=0,"",VLOOKUP(C2550,' Disaggregation - Section E '!A$618:J2876,8,0)),"")</f>
        <v/>
      </c>
      <c r="J2550" s="388" t="str">
        <f ca="1">IFERROR(IF(VLOOKUP(C2550,' Disaggregation - Section E '!A$618:J2876,9,0)="","",VLOOKUP(C2550,' Disaggregation - Section E '!A$618:J2876,9,0)),"")</f>
        <v/>
      </c>
      <c r="K2550" s="384" t="str">
        <f ca="1">IFERROR(VLOOKUP(C2550,' Disaggregation - Section E '!A$618:J2876,3,0),"")</f>
        <v>DRTB-7 Percentage of RR/MDR-TB patients with DST results for Fluoroquinolone among the total number of notified RR/MDR-TB patients during the reporting period</v>
      </c>
      <c r="L2550" s="384"/>
      <c r="M2550" s="384" t="str">
        <f ca="1">IFERROR(IF(VLOOKUP(C2550,' Disaggregation - Section E '!A$618:O1679,15,0)=0,"",VLOOKUP(C2550,' Disaggregation - Section E '!A$618:O1679,15,0)),"")</f>
        <v/>
      </c>
      <c r="N2550" s="388" t="str">
        <f ca="1">IFERROR(IF(VLOOKUP(C2550,' Disaggregation - Section E '!A$618:J2876,10,0)=0,"",VLOOKUP(C2550,' Disaggregation - Section E '!A$618:J2876,10,0)),"")</f>
        <v/>
      </c>
      <c r="O2550" s="384"/>
    </row>
    <row r="2551" spans="1:15" x14ac:dyDescent="0.3">
      <c r="A2551" s="384" t="b">
        <f t="shared" ca="1" si="142"/>
        <v>0</v>
      </c>
      <c r="B2551" s="384"/>
      <c r="C2551" s="393" t="str">
        <f ca="1">IF(COUNTA(O$1493:O2551)=1,"",OFFSET(B2549,-COUNTA(O$1493:O2551)+3,1))</f>
        <v>a16Dm000000LZgsIAG</v>
      </c>
      <c r="D2551" s="389"/>
      <c r="E2551" s="386" t="str">
        <f ca="1">IFERROR(IF(VLOOKUP(C2551,' Disaggregation - Section E '!A$618:J2877,7,0)="","",VLOOKUP(C2551,' Disaggregation - Section E '!A$618:J2877,7,0)*100),"")</f>
        <v/>
      </c>
      <c r="F2551" s="388" t="str">
        <f ca="1">IFERROR(VLOOKUP(C2551,' Disaggregation - Section E '!A$618:J2877,5,0),"")</f>
        <v/>
      </c>
      <c r="G2551" s="387" t="str">
        <f ca="1">IFERROR(IF(VLOOKUP(C2551,' Disaggregation - Section E '!A$618:J2877,6,0)="","",VLOOKUP(C2551,' Disaggregation - Section E '!A$618:J2877,6,0)),"")</f>
        <v/>
      </c>
      <c r="H2551" s="387" t="str">
        <f ca="1">IFERROR(IF(INDEX(' Disaggregation - Section E '!F$618:F2877,MATCH(C2551,' Disaggregation - Section E '!A$618:A2877,0)+1,1)&lt;&gt;0,INDEX(' Disaggregation - Section E '!F$618:F2877,MATCH(C2551,' Disaggregation - Section E '!A$618:A2877,0)+1,1),""),"")</f>
        <v/>
      </c>
      <c r="I2551" s="388" t="str">
        <f ca="1">IFERROR(IF(VLOOKUP(C2551,' Disaggregation - Section E '!A$618:J2877,8,0)=0,"",VLOOKUP(C2551,' Disaggregation - Section E '!A$618:J2877,8,0)),"")</f>
        <v/>
      </c>
      <c r="J2551" s="388" t="str">
        <f ca="1">IFERROR(IF(VLOOKUP(C2551,' Disaggregation - Section E '!A$618:J2877,9,0)="","",VLOOKUP(C2551,' Disaggregation - Section E '!A$618:J2877,9,0)),"")</f>
        <v/>
      </c>
      <c r="K2551" s="384" t="str">
        <f ca="1">IFERROR(VLOOKUP(C2551,' Disaggregation - Section E '!A$618:J2877,3,0),"")</f>
        <v>DRTB-7 Percentage of RR/MDR-TB patients with DST results for Fluoroquinolone among the total number of notified RR/MDR-TB patients during the reporting period</v>
      </c>
      <c r="L2551" s="384"/>
      <c r="M2551" s="384" t="str">
        <f ca="1">IFERROR(IF(VLOOKUP(C2551,' Disaggregation - Section E '!A$618:O1680,15,0)=0,"",VLOOKUP(C2551,' Disaggregation - Section E '!A$618:O1680,15,0)),"")</f>
        <v/>
      </c>
      <c r="N2551" s="388" t="str">
        <f ca="1">IFERROR(IF(VLOOKUP(C2551,' Disaggregation - Section E '!A$618:J2877,10,0)=0,"",VLOOKUP(C2551,' Disaggregation - Section E '!A$618:J2877,10,0)),"")</f>
        <v/>
      </c>
      <c r="O2551" s="384"/>
    </row>
    <row r="2552" spans="1:15" x14ac:dyDescent="0.3">
      <c r="A2552" s="384" t="b">
        <f t="shared" ca="1" si="142"/>
        <v>0</v>
      </c>
      <c r="B2552" s="384"/>
      <c r="C2552" s="393" t="str">
        <f ca="1">IF(COUNTA(O$1493:O2552)=1,"",OFFSET(B2550,-COUNTA(O$1493:O2552)+3,1))</f>
        <v>a16Dm000000LZgtIAG</v>
      </c>
      <c r="D2552" s="389"/>
      <c r="E2552" s="386" t="str">
        <f ca="1">IFERROR(IF(VLOOKUP(C2552,' Disaggregation - Section E '!A$618:J2878,7,0)="","",VLOOKUP(C2552,' Disaggregation - Section E '!A$618:J2878,7,0)*100),"")</f>
        <v/>
      </c>
      <c r="F2552" s="388" t="str">
        <f ca="1">IFERROR(VLOOKUP(C2552,' Disaggregation - Section E '!A$618:J2878,5,0),"")</f>
        <v/>
      </c>
      <c r="G2552" s="387" t="str">
        <f ca="1">IFERROR(IF(VLOOKUP(C2552,' Disaggregation - Section E '!A$618:J2878,6,0)="","",VLOOKUP(C2552,' Disaggregation - Section E '!A$618:J2878,6,0)),"")</f>
        <v/>
      </c>
      <c r="H2552" s="387" t="str">
        <f ca="1">IFERROR(IF(INDEX(' Disaggregation - Section E '!F$618:F2878,MATCH(C2552,' Disaggregation - Section E '!A$618:A2878,0)+1,1)&lt;&gt;0,INDEX(' Disaggregation - Section E '!F$618:F2878,MATCH(C2552,' Disaggregation - Section E '!A$618:A2878,0)+1,1),""),"")</f>
        <v/>
      </c>
      <c r="I2552" s="388" t="str">
        <f ca="1">IFERROR(IF(VLOOKUP(C2552,' Disaggregation - Section E '!A$618:J2878,8,0)=0,"",VLOOKUP(C2552,' Disaggregation - Section E '!A$618:J2878,8,0)),"")</f>
        <v/>
      </c>
      <c r="J2552" s="388" t="str">
        <f ca="1">IFERROR(IF(VLOOKUP(C2552,' Disaggregation - Section E '!A$618:J2878,9,0)="","",VLOOKUP(C2552,' Disaggregation - Section E '!A$618:J2878,9,0)),"")</f>
        <v/>
      </c>
      <c r="K2552" s="384" t="str">
        <f ca="1">IFERROR(VLOOKUP(C2552,' Disaggregation - Section E '!A$618:J2878,3,0),"")</f>
        <v>DRTB-7 Percentage of RR/MDR-TB patients with DST results for Fluoroquinolone among the total number of notified RR/MDR-TB patients during the reporting period</v>
      </c>
      <c r="L2552" s="384"/>
      <c r="M2552" s="384" t="str">
        <f ca="1">IFERROR(IF(VLOOKUP(C2552,' Disaggregation - Section E '!A$618:O1681,15,0)=0,"",VLOOKUP(C2552,' Disaggregation - Section E '!A$618:O1681,15,0)),"")</f>
        <v/>
      </c>
      <c r="N2552" s="388" t="str">
        <f ca="1">IFERROR(IF(VLOOKUP(C2552,' Disaggregation - Section E '!A$618:J2878,10,0)=0,"",VLOOKUP(C2552,' Disaggregation - Section E '!A$618:J2878,10,0)),"")</f>
        <v/>
      </c>
      <c r="O2552" s="384"/>
    </row>
    <row r="2553" spans="1:15" x14ac:dyDescent="0.3">
      <c r="A2553" s="384" t="b">
        <f t="shared" ca="1" si="142"/>
        <v>0</v>
      </c>
      <c r="B2553" s="384"/>
      <c r="C2553" s="393" t="str">
        <f ca="1">IF(COUNTA(O$1493:O2553)=1,"",OFFSET(B2551,-COUNTA(O$1493:O2553)+3,1))</f>
        <v>a16Dm000000LZguIAG</v>
      </c>
      <c r="D2553" s="389"/>
      <c r="E2553" s="386" t="str">
        <f ca="1">IFERROR(IF(VLOOKUP(C2553,' Disaggregation - Section E '!A$618:J2879,7,0)="","",VLOOKUP(C2553,' Disaggregation - Section E '!A$618:J2879,7,0)*100),"")</f>
        <v/>
      </c>
      <c r="F2553" s="388" t="str">
        <f ca="1">IFERROR(VLOOKUP(C2553,' Disaggregation - Section E '!A$618:J2879,5,0),"")</f>
        <v/>
      </c>
      <c r="G2553" s="387" t="str">
        <f ca="1">IFERROR(IF(VLOOKUP(C2553,' Disaggregation - Section E '!A$618:J2879,6,0)="","",VLOOKUP(C2553,' Disaggregation - Section E '!A$618:J2879,6,0)),"")</f>
        <v/>
      </c>
      <c r="H2553" s="387" t="str">
        <f ca="1">IFERROR(IF(INDEX(' Disaggregation - Section E '!F$618:F2879,MATCH(C2553,' Disaggregation - Section E '!A$618:A2879,0)+1,1)&lt;&gt;0,INDEX(' Disaggregation - Section E '!F$618:F2879,MATCH(C2553,' Disaggregation - Section E '!A$618:A2879,0)+1,1),""),"")</f>
        <v/>
      </c>
      <c r="I2553" s="388" t="str">
        <f ca="1">IFERROR(IF(VLOOKUP(C2553,' Disaggregation - Section E '!A$618:J2879,8,0)=0,"",VLOOKUP(C2553,' Disaggregation - Section E '!A$618:J2879,8,0)),"")</f>
        <v/>
      </c>
      <c r="J2553" s="388" t="str">
        <f ca="1">IFERROR(IF(VLOOKUP(C2553,' Disaggregation - Section E '!A$618:J2879,9,0)="","",VLOOKUP(C2553,' Disaggregation - Section E '!A$618:J2879,9,0)),"")</f>
        <v/>
      </c>
      <c r="K2553" s="384" t="str">
        <f ca="1">IFERROR(VLOOKUP(C2553,' Disaggregation - Section E '!A$618:J2879,3,0),"")</f>
        <v>DRTB-7 Percentage of RR/MDR-TB patients with DST results for Fluoroquinolone among the total number of notified RR/MDR-TB patients during the reporting period</v>
      </c>
      <c r="L2553" s="384"/>
      <c r="M2553" s="384" t="str">
        <f ca="1">IFERROR(IF(VLOOKUP(C2553,' Disaggregation - Section E '!A$618:O1682,15,0)=0,"",VLOOKUP(C2553,' Disaggregation - Section E '!A$618:O1682,15,0)),"")</f>
        <v/>
      </c>
      <c r="N2553" s="388" t="str">
        <f ca="1">IFERROR(IF(VLOOKUP(C2553,' Disaggregation - Section E '!A$618:J2879,10,0)=0,"",VLOOKUP(C2553,' Disaggregation - Section E '!A$618:J2879,10,0)),"")</f>
        <v/>
      </c>
      <c r="O2553" s="384"/>
    </row>
    <row r="2554" spans="1:15" x14ac:dyDescent="0.3">
      <c r="A2554" s="384" t="b">
        <f t="shared" ca="1" si="142"/>
        <v>0</v>
      </c>
      <c r="B2554" s="384"/>
      <c r="C2554" s="393" t="str">
        <f ca="1">IF(COUNTA(O$1493:O2554)=1,"",OFFSET(B2552,-COUNTA(O$1493:O2554)+3,1))</f>
        <v>a16Dm000000LZgvIAG</v>
      </c>
      <c r="D2554" s="389"/>
      <c r="E2554" s="386" t="str">
        <f ca="1">IFERROR(IF(VLOOKUP(C2554,' Disaggregation - Section E '!A$618:J2880,7,0)="","",VLOOKUP(C2554,' Disaggregation - Section E '!A$618:J2880,7,0)*100),"")</f>
        <v/>
      </c>
      <c r="F2554" s="388" t="str">
        <f ca="1">IFERROR(VLOOKUP(C2554,' Disaggregation - Section E '!A$618:J2880,5,0),"")</f>
        <v/>
      </c>
      <c r="G2554" s="387" t="str">
        <f ca="1">IFERROR(IF(VLOOKUP(C2554,' Disaggregation - Section E '!A$618:J2880,6,0)="","",VLOOKUP(C2554,' Disaggregation - Section E '!A$618:J2880,6,0)),"")</f>
        <v/>
      </c>
      <c r="H2554" s="387" t="str">
        <f ca="1">IFERROR(IF(INDEX(' Disaggregation - Section E '!F$618:F2880,MATCH(C2554,' Disaggregation - Section E '!A$618:A2880,0)+1,1)&lt;&gt;0,INDEX(' Disaggregation - Section E '!F$618:F2880,MATCH(C2554,' Disaggregation - Section E '!A$618:A2880,0)+1,1),""),"")</f>
        <v/>
      </c>
      <c r="I2554" s="388" t="str">
        <f ca="1">IFERROR(IF(VLOOKUP(C2554,' Disaggregation - Section E '!A$618:J2880,8,0)=0,"",VLOOKUP(C2554,' Disaggregation - Section E '!A$618:J2880,8,0)),"")</f>
        <v/>
      </c>
      <c r="J2554" s="388" t="str">
        <f ca="1">IFERROR(IF(VLOOKUP(C2554,' Disaggregation - Section E '!A$618:J2880,9,0)="","",VLOOKUP(C2554,' Disaggregation - Section E '!A$618:J2880,9,0)),"")</f>
        <v/>
      </c>
      <c r="K2554" s="384" t="str">
        <f ca="1">IFERROR(VLOOKUP(C2554,' Disaggregation - Section E '!A$618:J2880,3,0),"")</f>
        <v>DRTB-7 Percentage of RR/MDR-TB patients with DST results for Fluoroquinolone among the total number of notified RR/MDR-TB patients during the reporting period</v>
      </c>
      <c r="L2554" s="384"/>
      <c r="M2554" s="384" t="str">
        <f ca="1">IFERROR(IF(VLOOKUP(C2554,' Disaggregation - Section E '!A$618:O1683,15,0)=0,"",VLOOKUP(C2554,' Disaggregation - Section E '!A$618:O1683,15,0)),"")</f>
        <v/>
      </c>
      <c r="N2554" s="388" t="str">
        <f ca="1">IFERROR(IF(VLOOKUP(C2554,' Disaggregation - Section E '!A$618:J2880,10,0)=0,"",VLOOKUP(C2554,' Disaggregation - Section E '!A$618:J2880,10,0)),"")</f>
        <v/>
      </c>
      <c r="O2554" s="384"/>
    </row>
    <row r="2555" spans="1:15" x14ac:dyDescent="0.3">
      <c r="A2555" s="384" t="b">
        <f t="shared" ca="1" si="142"/>
        <v>1</v>
      </c>
      <c r="B2555" s="384"/>
      <c r="C2555" s="393" t="str">
        <f ca="1">IF(COUNTA(O$1493:O2555)=1,"",OFFSET(B2553,-COUNTA(O$1493:O2555)+3,1))</f>
        <v>a16Dm000000LZgwIAG</v>
      </c>
      <c r="D2555" s="389"/>
      <c r="E2555" s="386">
        <f ca="1">IFERROR(IF(VLOOKUP(C2555,' Disaggregation - Section E '!A$618:J2881,7,0)="","",VLOOKUP(C2555,' Disaggregation - Section E '!A$618:J2881,7,0)*100),"")</f>
        <v>70.403225806451601</v>
      </c>
      <c r="F2555" s="388" t="str">
        <f ca="1">IFERROR(VLOOKUP(C2555,' Disaggregation - Section E '!A$618:J2881,5,0),"")</f>
        <v>15+</v>
      </c>
      <c r="G2555" s="387">
        <f ca="1">IFERROR(IF(VLOOKUP(C2555,' Disaggregation - Section E '!A$618:J2881,6,0)="","",VLOOKUP(C2555,' Disaggregation - Section E '!A$618:J2881,6,0)),"")</f>
        <v>873</v>
      </c>
      <c r="H2555" s="387">
        <f ca="1">IFERROR(IF(INDEX(' Disaggregation - Section E '!F$618:F2881,MATCH(C2555,' Disaggregation - Section E '!A$618:A2881,0)+1,1)&lt;&gt;0,INDEX(' Disaggregation - Section E '!F$618:F2881,MATCH(C2555,' Disaggregation - Section E '!A$618:A2881,0)+1,1),""),"")</f>
        <v>1240</v>
      </c>
      <c r="I2555" s="388" t="str">
        <f ca="1">IFERROR(IF(VLOOKUP(C2555,' Disaggregation - Section E '!A$618:J2881,8,0)=0,"",VLOOKUP(C2555,' Disaggregation - Section E '!A$618:J2881,8,0)),"")</f>
        <v/>
      </c>
      <c r="J2555" s="388" t="str">
        <f ca="1">IFERROR(IF(VLOOKUP(C2555,' Disaggregation - Section E '!A$618:J2881,9,0)="","",VLOOKUP(C2555,' Disaggregation - Section E '!A$618:J2881,9,0)),"")</f>
        <v/>
      </c>
      <c r="K2555" s="384" t="str">
        <f ca="1">IFERROR(VLOOKUP(C2555,' Disaggregation - Section E '!A$618:J2881,3,0),"")</f>
        <v>DRTB-9 Treatment success rate of RR-TB and/or MDR-TB: Percentage of patients with RR and/or MDR-TB successfully treated</v>
      </c>
      <c r="L2555" s="384"/>
      <c r="M2555" s="384" t="str">
        <f ca="1">IFERROR(IF(VLOOKUP(C2555,' Disaggregation - Section E '!A$618:O1684,15,0)=0,"",VLOOKUP(C2555,' Disaggregation - Section E '!A$618:O1684,15,0)),"")</f>
        <v>IDR-01395</v>
      </c>
      <c r="N2555" s="388" t="str">
        <f ca="1">IFERROR(IF(VLOOKUP(C2555,' Disaggregation - Section E '!A$618:J2881,10,0)=0,"",VLOOKUP(C2555,' Disaggregation - Section E '!A$618:J2881,10,0)),"")</f>
        <v/>
      </c>
      <c r="O2555" s="384"/>
    </row>
    <row r="2556" spans="1:15" x14ac:dyDescent="0.3">
      <c r="A2556" s="384" t="b">
        <f t="shared" ca="1" si="142"/>
        <v>1</v>
      </c>
      <c r="B2556" s="384"/>
      <c r="C2556" s="393" t="str">
        <f ca="1">IF(COUNTA(O$1493:O2556)=1,"",OFFSET(B2554,-COUNTA(O$1493:O2556)+3,1))</f>
        <v>a16Dm000000LZgxIAG</v>
      </c>
      <c r="D2556" s="389"/>
      <c r="E2556" s="386">
        <f ca="1">IFERROR(IF(VLOOKUP(C2556,' Disaggregation - Section E '!A$618:J2882,7,0)="","",VLOOKUP(C2556,' Disaggregation - Section E '!A$618:J2882,7,0)*100),"")</f>
        <v>93.333333333333329</v>
      </c>
      <c r="F2556" s="388" t="str">
        <f ca="1">IFERROR(VLOOKUP(C2556,' Disaggregation - Section E '!A$618:J2882,5,0),"")</f>
        <v>&lt;15</v>
      </c>
      <c r="G2556" s="387">
        <f ca="1">IFERROR(IF(VLOOKUP(C2556,' Disaggregation - Section E '!A$618:J2882,6,0)="","",VLOOKUP(C2556,' Disaggregation - Section E '!A$618:J2882,6,0)),"")</f>
        <v>28</v>
      </c>
      <c r="H2556" s="387">
        <f ca="1">IFERROR(IF(INDEX(' Disaggregation - Section E '!F$618:F2882,MATCH(C2556,' Disaggregation - Section E '!A$618:A2882,0)+1,1)&lt;&gt;0,INDEX(' Disaggregation - Section E '!F$618:F2882,MATCH(C2556,' Disaggregation - Section E '!A$618:A2882,0)+1,1),""),"")</f>
        <v>30</v>
      </c>
      <c r="I2556" s="388" t="str">
        <f ca="1">IFERROR(IF(VLOOKUP(C2556,' Disaggregation - Section E '!A$618:J2882,8,0)=0,"",VLOOKUP(C2556,' Disaggregation - Section E '!A$618:J2882,8,0)),"")</f>
        <v/>
      </c>
      <c r="J2556" s="388" t="str">
        <f ca="1">IFERROR(IF(VLOOKUP(C2556,' Disaggregation - Section E '!A$618:J2882,9,0)="","",VLOOKUP(C2556,' Disaggregation - Section E '!A$618:J2882,9,0)),"")</f>
        <v/>
      </c>
      <c r="K2556" s="384" t="str">
        <f ca="1">IFERROR(VLOOKUP(C2556,' Disaggregation - Section E '!A$618:J2882,3,0),"")</f>
        <v>DRTB-9 Treatment success rate of RR-TB and/or MDR-TB: Percentage of patients with RR and/or MDR-TB successfully treated</v>
      </c>
      <c r="L2556" s="384"/>
      <c r="M2556" s="384" t="str">
        <f ca="1">IFERROR(IF(VLOOKUP(C2556,' Disaggregation - Section E '!A$618:O1685,15,0)=0,"",VLOOKUP(C2556,' Disaggregation - Section E '!A$618:O1685,15,0)),"")</f>
        <v>IDR-01394</v>
      </c>
      <c r="N2556" s="388" t="str">
        <f ca="1">IFERROR(IF(VLOOKUP(C2556,' Disaggregation - Section E '!A$618:J2882,10,0)=0,"",VLOOKUP(C2556,' Disaggregation - Section E '!A$618:J2882,10,0)),"")</f>
        <v/>
      </c>
      <c r="O2556" s="384"/>
    </row>
    <row r="2557" spans="1:15" x14ac:dyDescent="0.3">
      <c r="A2557" s="384" t="b">
        <f t="shared" ca="1" si="142"/>
        <v>1</v>
      </c>
      <c r="B2557" s="384"/>
      <c r="C2557" s="393" t="str">
        <f ca="1">IF(COUNTA(O$1493:O2557)=1,"",OFFSET(B2555,-COUNTA(O$1493:O2557)+3,1))</f>
        <v>a16Dm000000LZgyIAG</v>
      </c>
      <c r="D2557" s="389"/>
      <c r="E2557" s="386" t="str">
        <f ca="1">IFERROR(IF(VLOOKUP(C2557,' Disaggregation - Section E '!A$618:J2883,7,0)="","",VLOOKUP(C2557,' Disaggregation - Section E '!A$618:J2883,7,0)*100),"")</f>
        <v/>
      </c>
      <c r="F2557" s="388" t="str">
        <f ca="1">IFERROR(VLOOKUP(C2557,' Disaggregation - Section E '!A$618:J2883,5,0),"")</f>
        <v>Unknown</v>
      </c>
      <c r="G2557" s="387" t="str">
        <f ca="1">IFERROR(IF(VLOOKUP(C2557,' Disaggregation - Section E '!A$618:J2883,6,0)="","",VLOOKUP(C2557,' Disaggregation - Section E '!A$618:J2883,6,0)),"")</f>
        <v/>
      </c>
      <c r="H2557" s="387" t="str">
        <f ca="1">IFERROR(IF(INDEX(' Disaggregation - Section E '!F$618:F2883,MATCH(C2557,' Disaggregation - Section E '!A$618:A2883,0)+1,1)&lt;&gt;0,INDEX(' Disaggregation - Section E '!F$618:F2883,MATCH(C2557,' Disaggregation - Section E '!A$618:A2883,0)+1,1),""),"")</f>
        <v/>
      </c>
      <c r="I2557" s="388" t="str">
        <f ca="1">IFERROR(IF(VLOOKUP(C2557,' Disaggregation - Section E '!A$618:J2883,8,0)=0,"",VLOOKUP(C2557,' Disaggregation - Section E '!A$618:J2883,8,0)),"")</f>
        <v/>
      </c>
      <c r="J2557" s="388" t="str">
        <f ca="1">IFERROR(IF(VLOOKUP(C2557,' Disaggregation - Section E '!A$618:J2883,9,0)="","",VLOOKUP(C2557,' Disaggregation - Section E '!A$618:J2883,9,0)),"")</f>
        <v/>
      </c>
      <c r="K2557" s="384" t="str">
        <f ca="1">IFERROR(VLOOKUP(C2557,' Disaggregation - Section E '!A$618:J2883,3,0),"")</f>
        <v>DRTB-9 Treatment success rate of RR-TB and/or MDR-TB: Percentage of patients with RR and/or MDR-TB successfully treated</v>
      </c>
      <c r="L2557" s="384"/>
      <c r="M2557" s="384" t="str">
        <f ca="1">IFERROR(IF(VLOOKUP(C2557,' Disaggregation - Section E '!A$618:O1686,15,0)=0,"",VLOOKUP(C2557,' Disaggregation - Section E '!A$618:O1686,15,0)),"")</f>
        <v>IDR-01393</v>
      </c>
      <c r="N2557" s="388" t="str">
        <f ca="1">IFERROR(IF(VLOOKUP(C2557,' Disaggregation - Section E '!A$618:J2883,10,0)=0,"",VLOOKUP(C2557,' Disaggregation - Section E '!A$618:J2883,10,0)),"")</f>
        <v xml:space="preserve">The national R&amp;R system allows to diagregate data only at RR/MDR TB cases whith HIV positive status and other cases.   </v>
      </c>
      <c r="O2557" s="384"/>
    </row>
    <row r="2558" spans="1:15" x14ac:dyDescent="0.3">
      <c r="A2558" s="384" t="b">
        <f t="shared" ca="1" si="142"/>
        <v>1</v>
      </c>
      <c r="B2558" s="384"/>
      <c r="C2558" s="393" t="str">
        <f ca="1">IF(COUNTA(O$1493:O2558)=1,"",OFFSET(B2556,-COUNTA(O$1493:O2558)+3,1))</f>
        <v>a16Dm000000LZgzIAG</v>
      </c>
      <c r="D2558" s="389"/>
      <c r="E2558" s="386">
        <f ca="1">IFERROR(IF(VLOOKUP(C2558,' Disaggregation - Section E '!A$618:J2884,7,0)="","",VLOOKUP(C2558,' Disaggregation - Section E '!A$618:J2884,7,0)*100),"")</f>
        <v>69.49327817993796</v>
      </c>
      <c r="F2558" s="388" t="str">
        <f ca="1">IFERROR(VLOOKUP(C2558,' Disaggregation - Section E '!A$618:J2884,5,0),"")</f>
        <v>Longer individualized</v>
      </c>
      <c r="G2558" s="387">
        <f ca="1">IFERROR(IF(VLOOKUP(C2558,' Disaggregation - Section E '!A$618:J2884,6,0)="","",VLOOKUP(C2558,' Disaggregation - Section E '!A$618:J2884,6,0)),"")</f>
        <v>672</v>
      </c>
      <c r="H2558" s="387">
        <f ca="1">IFERROR(IF(INDEX(' Disaggregation - Section E '!F$618:F2884,MATCH(C2558,' Disaggregation - Section E '!A$618:A2884,0)+1,1)&lt;&gt;0,INDEX(' Disaggregation - Section E '!F$618:F2884,MATCH(C2558,' Disaggregation - Section E '!A$618:A2884,0)+1,1),""),"")</f>
        <v>967</v>
      </c>
      <c r="I2558" s="388" t="str">
        <f ca="1">IFERROR(IF(VLOOKUP(C2558,' Disaggregation - Section E '!A$618:J2884,8,0)=0,"",VLOOKUP(C2558,' Disaggregation - Section E '!A$618:J2884,8,0)),"")</f>
        <v/>
      </c>
      <c r="J2558" s="388" t="str">
        <f ca="1">IFERROR(IF(VLOOKUP(C2558,' Disaggregation - Section E '!A$618:J2884,9,0)="","",VLOOKUP(C2558,' Disaggregation - Section E '!A$618:J2884,9,0)),"")</f>
        <v/>
      </c>
      <c r="K2558" s="384" t="str">
        <f ca="1">IFERROR(VLOOKUP(C2558,' Disaggregation - Section E '!A$618:J2884,3,0),"")</f>
        <v>DRTB-9 Treatment success rate of RR-TB and/or MDR-TB: Percentage of patients with RR and/or MDR-TB successfully treated</v>
      </c>
      <c r="L2558" s="384"/>
      <c r="M2558" s="384" t="str">
        <f ca="1">IFERROR(IF(VLOOKUP(C2558,' Disaggregation - Section E '!A$618:O1687,15,0)=0,"",VLOOKUP(C2558,' Disaggregation - Section E '!A$618:O1687,15,0)),"")</f>
        <v>IDR-01392</v>
      </c>
      <c r="N2558" s="388" t="str">
        <f ca="1">IFERROR(IF(VLOOKUP(C2558,' Disaggregation - Section E '!A$618:J2884,10,0)=0,"",VLOOKUP(C2558,' Disaggregation - Section E '!A$618:J2884,10,0)),"")</f>
        <v/>
      </c>
      <c r="O2558" s="384"/>
    </row>
    <row r="2559" spans="1:15" x14ac:dyDescent="0.3">
      <c r="A2559" s="384" t="b">
        <f t="shared" ca="1" si="142"/>
        <v>1</v>
      </c>
      <c r="B2559" s="384"/>
      <c r="C2559" s="393" t="str">
        <f ca="1">IF(COUNTA(O$1493:O2559)=1,"",OFFSET(B2557,-COUNTA(O$1493:O2559)+3,1))</f>
        <v>a16Dm000000LZh0IAG</v>
      </c>
      <c r="D2559" s="389"/>
      <c r="E2559" s="386">
        <f ca="1">IFERROR(IF(VLOOKUP(C2559,' Disaggregation - Section E '!A$618:J2885,7,0)="","",VLOOKUP(C2559,' Disaggregation - Section E '!A$618:J2885,7,0)*100),"")</f>
        <v>71.428571428571431</v>
      </c>
      <c r="F2559" s="388" t="str">
        <f ca="1">IFERROR(VLOOKUP(C2559,' Disaggregation - Section E '!A$618:J2885,5,0),"")</f>
        <v>Negative</v>
      </c>
      <c r="G2559" s="387">
        <f ca="1">IFERROR(IF(VLOOKUP(C2559,' Disaggregation - Section E '!A$618:J2885,6,0)="","",VLOOKUP(C2559,' Disaggregation - Section E '!A$618:J2885,6,0)),"")</f>
        <v>875</v>
      </c>
      <c r="H2559" s="387">
        <f ca="1">IFERROR(IF(INDEX(' Disaggregation - Section E '!F$618:F2885,MATCH(C2559,' Disaggregation - Section E '!A$618:A2885,0)+1,1)&lt;&gt;0,INDEX(' Disaggregation - Section E '!F$618:F2885,MATCH(C2559,' Disaggregation - Section E '!A$618:A2885,0)+1,1),""),"")</f>
        <v>1225</v>
      </c>
      <c r="I2559" s="388" t="str">
        <f ca="1">IFERROR(IF(VLOOKUP(C2559,' Disaggregation - Section E '!A$618:J2885,8,0)=0,"",VLOOKUP(C2559,' Disaggregation - Section E '!A$618:J2885,8,0)),"")</f>
        <v/>
      </c>
      <c r="J2559" s="388" t="str">
        <f ca="1">IFERROR(IF(VLOOKUP(C2559,' Disaggregation - Section E '!A$618:J2885,9,0)="","",VLOOKUP(C2559,' Disaggregation - Section E '!A$618:J2885,9,0)),"")</f>
        <v/>
      </c>
      <c r="K2559" s="384" t="str">
        <f ca="1">IFERROR(VLOOKUP(C2559,' Disaggregation - Section E '!A$618:J2885,3,0),"")</f>
        <v>DRTB-9 Treatment success rate of RR-TB and/or MDR-TB: Percentage of patients with RR and/or MDR-TB successfully treated</v>
      </c>
      <c r="L2559" s="384"/>
      <c r="M2559" s="384" t="str">
        <f ca="1">IFERROR(IF(VLOOKUP(C2559,' Disaggregation - Section E '!A$618:O1688,15,0)=0,"",VLOOKUP(C2559,' Disaggregation - Section E '!A$618:O1688,15,0)),"")</f>
        <v>IDR-01391</v>
      </c>
      <c r="N2559" s="388" t="str">
        <f ca="1">IFERROR(IF(VLOOKUP(C2559,' Disaggregation - Section E '!A$618:J2885,10,0)=0,"",VLOOKUP(C2559,' Disaggregation - Section E '!A$618:J2885,10,0)),"")</f>
        <v/>
      </c>
      <c r="O2559" s="384"/>
    </row>
    <row r="2560" spans="1:15" x14ac:dyDescent="0.3">
      <c r="A2560" s="384" t="b">
        <f t="shared" ca="1" si="142"/>
        <v>1</v>
      </c>
      <c r="B2560" s="384"/>
      <c r="C2560" s="393" t="str">
        <f ca="1">IF(COUNTA(O$1493:O2560)=1,"",OFFSET(B2558,-COUNTA(O$1493:O2560)+3,1))</f>
        <v>a16Dm000000LZh1IAG</v>
      </c>
      <c r="D2560" s="389"/>
      <c r="E2560" s="386" t="str">
        <f ca="1">IFERROR(IF(VLOOKUP(C2560,' Disaggregation - Section E '!A$618:J2886,7,0)="","",VLOOKUP(C2560,' Disaggregation - Section E '!A$618:J2886,7,0)*100),"")</f>
        <v/>
      </c>
      <c r="F2560" s="388" t="str">
        <f ca="1">IFERROR(VLOOKUP(C2560,' Disaggregation - Section E '!A$618:J2886,5,0),"")</f>
        <v>Male</v>
      </c>
      <c r="G2560" s="387" t="str">
        <f ca="1">IFERROR(IF(VLOOKUP(C2560,' Disaggregation - Section E '!A$618:J2886,6,0)="","",VLOOKUP(C2560,' Disaggregation - Section E '!A$618:J2886,6,0)),"")</f>
        <v/>
      </c>
      <c r="H2560" s="387" t="str">
        <f ca="1">IFERROR(IF(INDEX(' Disaggregation - Section E '!F$618:F2886,MATCH(C2560,' Disaggregation - Section E '!A$618:A2886,0)+1,1)&lt;&gt;0,INDEX(' Disaggregation - Section E '!F$618:F2886,MATCH(C2560,' Disaggregation - Section E '!A$618:A2886,0)+1,1),""),"")</f>
        <v/>
      </c>
      <c r="I2560" s="388" t="str">
        <f ca="1">IFERROR(IF(VLOOKUP(C2560,' Disaggregation - Section E '!A$618:J2886,8,0)=0,"",VLOOKUP(C2560,' Disaggregation - Section E '!A$618:J2886,8,0)),"")</f>
        <v/>
      </c>
      <c r="J2560" s="388" t="str">
        <f ca="1">IFERROR(IF(VLOOKUP(C2560,' Disaggregation - Section E '!A$618:J2886,9,0)="","",VLOOKUP(C2560,' Disaggregation - Section E '!A$618:J2886,9,0)),"")</f>
        <v/>
      </c>
      <c r="K2560" s="384" t="str">
        <f ca="1">IFERROR(VLOOKUP(C2560,' Disaggregation - Section E '!A$618:J2886,3,0),"")</f>
        <v>DRTB-9 Treatment success rate of RR-TB and/or MDR-TB: Percentage of patients with RR and/or MDR-TB successfully treated</v>
      </c>
      <c r="L2560" s="384"/>
      <c r="M2560" s="384" t="str">
        <f ca="1">IFERROR(IF(VLOOKUP(C2560,' Disaggregation - Section E '!A$618:O1689,15,0)=0,"",VLOOKUP(C2560,' Disaggregation - Section E '!A$618:O1689,15,0)),"")</f>
        <v>IDR-01390</v>
      </c>
      <c r="N2560" s="388" t="str">
        <f ca="1">IFERROR(IF(VLOOKUP(C2560,' Disaggregation - Section E '!A$618:J2886,10,0)=0,"",VLOOKUP(C2560,' Disaggregation - Section E '!A$618:J2886,10,0)),"")</f>
        <v>the data is not available</v>
      </c>
      <c r="O2560" s="384"/>
    </row>
    <row r="2561" spans="1:15" x14ac:dyDescent="0.3">
      <c r="A2561" s="384" t="b">
        <f t="shared" ca="1" si="142"/>
        <v>1</v>
      </c>
      <c r="B2561" s="384"/>
      <c r="C2561" s="393" t="str">
        <f ca="1">IF(COUNTA(O$1493:O2561)=1,"",OFFSET(B2559,-COUNTA(O$1493:O2561)+3,1))</f>
        <v>a16Dm000000LZh2IAG</v>
      </c>
      <c r="D2561" s="389"/>
      <c r="E2561" s="386" t="str">
        <f ca="1">IFERROR(IF(VLOOKUP(C2561,' Disaggregation - Section E '!A$618:J2887,7,0)="","",VLOOKUP(C2561,' Disaggregation - Section E '!A$618:J2887,7,0)*100),"")</f>
        <v/>
      </c>
      <c r="F2561" s="388" t="str">
        <f ca="1">IFERROR(VLOOKUP(C2561,' Disaggregation - Section E '!A$618:J2887,5,0),"")</f>
        <v>Private</v>
      </c>
      <c r="G2561" s="387" t="str">
        <f ca="1">IFERROR(IF(VLOOKUP(C2561,' Disaggregation - Section E '!A$618:J2887,6,0)="","",VLOOKUP(C2561,' Disaggregation - Section E '!A$618:J2887,6,0)),"")</f>
        <v/>
      </c>
      <c r="H2561" s="387" t="str">
        <f ca="1">IFERROR(IF(INDEX(' Disaggregation - Section E '!F$618:F2887,MATCH(C2561,' Disaggregation - Section E '!A$618:A2887,0)+1,1)&lt;&gt;0,INDEX(' Disaggregation - Section E '!F$618:F2887,MATCH(C2561,' Disaggregation - Section E '!A$618:A2887,0)+1,1),""),"")</f>
        <v/>
      </c>
      <c r="I2561" s="388" t="str">
        <f ca="1">IFERROR(IF(VLOOKUP(C2561,' Disaggregation - Section E '!A$618:J2887,8,0)=0,"",VLOOKUP(C2561,' Disaggregation - Section E '!A$618:J2887,8,0)),"")</f>
        <v/>
      </c>
      <c r="J2561" s="388" t="str">
        <f ca="1">IFERROR(IF(VLOOKUP(C2561,' Disaggregation - Section E '!A$618:J2887,9,0)="","",VLOOKUP(C2561,' Disaggregation - Section E '!A$618:J2887,9,0)),"")</f>
        <v/>
      </c>
      <c r="K2561" s="384" t="str">
        <f ca="1">IFERROR(VLOOKUP(C2561,' Disaggregation - Section E '!A$618:J2887,3,0),"")</f>
        <v>DRTB-9 Treatment success rate of RR-TB and/or MDR-TB: Percentage of patients with RR and/or MDR-TB successfully treated</v>
      </c>
      <c r="L2561" s="384"/>
      <c r="M2561" s="384" t="str">
        <f ca="1">IFERROR(IF(VLOOKUP(C2561,' Disaggregation - Section E '!A$618:O1690,15,0)=0,"",VLOOKUP(C2561,' Disaggregation - Section E '!A$618:O1690,15,0)),"")</f>
        <v>IDR-01389</v>
      </c>
      <c r="N2561" s="388" t="str">
        <f ca="1">IFERROR(IF(VLOOKUP(C2561,' Disaggregation - Section E '!A$618:J2887,10,0)=0,"",VLOOKUP(C2561,' Disaggregation - Section E '!A$618:J2887,10,0)),"")</f>
        <v xml:space="preserve">TB treatment is available only in the public and penitentiary sector, no private provides are involved in TB treatment. </v>
      </c>
      <c r="O2561" s="384"/>
    </row>
    <row r="2562" spans="1:15" x14ac:dyDescent="0.3">
      <c r="A2562" s="384" t="b">
        <f t="shared" ca="1" si="142"/>
        <v>1</v>
      </c>
      <c r="B2562" s="384"/>
      <c r="C2562" s="393" t="str">
        <f ca="1">IF(COUNTA(O$1493:O2562)=1,"",OFFSET(B2560,-COUNTA(O$1493:O2562)+3,1))</f>
        <v>a16Dm000000LZh3IAG</v>
      </c>
      <c r="D2562" s="389"/>
      <c r="E2562" s="386">
        <f ca="1">IFERROR(IF(VLOOKUP(C2562,' Disaggregation - Section E '!A$618:J2888,7,0)="","",VLOOKUP(C2562,' Disaggregation - Section E '!A$618:J2888,7,0)*100),"")</f>
        <v>70.944881889763778</v>
      </c>
      <c r="F2562" s="388" t="str">
        <f ca="1">IFERROR(VLOOKUP(C2562,' Disaggregation - Section E '!A$618:J2888,5,0),"")</f>
        <v>Public</v>
      </c>
      <c r="G2562" s="387">
        <f ca="1">IFERROR(IF(VLOOKUP(C2562,' Disaggregation - Section E '!A$618:J2888,6,0)="","",VLOOKUP(C2562,' Disaggregation - Section E '!A$618:J2888,6,0)),"")</f>
        <v>901</v>
      </c>
      <c r="H2562" s="387">
        <f ca="1">IFERROR(IF(INDEX(' Disaggregation - Section E '!F$618:F2888,MATCH(C2562,' Disaggregation - Section E '!A$618:A2888,0)+1,1)&lt;&gt;0,INDEX(' Disaggregation - Section E '!F$618:F2888,MATCH(C2562,' Disaggregation - Section E '!A$618:A2888,0)+1,1),""),"")</f>
        <v>1270</v>
      </c>
      <c r="I2562" s="388" t="str">
        <f ca="1">IFERROR(IF(VLOOKUP(C2562,' Disaggregation - Section E '!A$618:J2888,8,0)=0,"",VLOOKUP(C2562,' Disaggregation - Section E '!A$618:J2888,8,0)),"")</f>
        <v/>
      </c>
      <c r="J2562" s="388" t="str">
        <f ca="1">IFERROR(IF(VLOOKUP(C2562,' Disaggregation - Section E '!A$618:J2888,9,0)="","",VLOOKUP(C2562,' Disaggregation - Section E '!A$618:J2888,9,0)),"")</f>
        <v/>
      </c>
      <c r="K2562" s="384" t="str">
        <f ca="1">IFERROR(VLOOKUP(C2562,' Disaggregation - Section E '!A$618:J2888,3,0),"")</f>
        <v>DRTB-9 Treatment success rate of RR-TB and/or MDR-TB: Percentage of patients with RR and/or MDR-TB successfully treated</v>
      </c>
      <c r="L2562" s="384"/>
      <c r="M2562" s="384" t="str">
        <f ca="1">IFERROR(IF(VLOOKUP(C2562,' Disaggregation - Section E '!A$618:O1691,15,0)=0,"",VLOOKUP(C2562,' Disaggregation - Section E '!A$618:O1691,15,0)),"")</f>
        <v>IDR-01388</v>
      </c>
      <c r="N2562" s="388" t="str">
        <f ca="1">IFERROR(IF(VLOOKUP(C2562,' Disaggregation - Section E '!A$618:J2888,10,0)=0,"",VLOOKUP(C2562,' Disaggregation - Section E '!A$618:J2888,10,0)),"")</f>
        <v/>
      </c>
      <c r="O2562" s="384"/>
    </row>
    <row r="2563" spans="1:15" x14ac:dyDescent="0.3">
      <c r="A2563" s="384" t="b">
        <f t="shared" ca="1" si="142"/>
        <v>1</v>
      </c>
      <c r="B2563" s="384"/>
      <c r="C2563" s="393" t="str">
        <f ca="1">IF(COUNTA(O$1493:O2563)=1,"",OFFSET(B2561,-COUNTA(O$1493:O2563)+3,1))</f>
        <v>a16Dm000000LZh4IAG</v>
      </c>
      <c r="D2563" s="389"/>
      <c r="E2563" s="386" t="str">
        <f ca="1">IFERROR(IF(VLOOKUP(C2563,' Disaggregation - Section E '!A$618:J2889,7,0)="","",VLOOKUP(C2563,' Disaggregation - Section E '!A$618:J2889,7,0)*100),"")</f>
        <v/>
      </c>
      <c r="F2563" s="388" t="str">
        <f ca="1">IFERROR(VLOOKUP(C2563,' Disaggregation - Section E '!A$618:J2889,5,0),"")</f>
        <v>Female</v>
      </c>
      <c r="G2563" s="387" t="str">
        <f ca="1">IFERROR(IF(VLOOKUP(C2563,' Disaggregation - Section E '!A$618:J2889,6,0)="","",VLOOKUP(C2563,' Disaggregation - Section E '!A$618:J2889,6,0)),"")</f>
        <v/>
      </c>
      <c r="H2563" s="387" t="str">
        <f ca="1">IFERROR(IF(INDEX(' Disaggregation - Section E '!F$618:F2889,MATCH(C2563,' Disaggregation - Section E '!A$618:A2889,0)+1,1)&lt;&gt;0,INDEX(' Disaggregation - Section E '!F$618:F2889,MATCH(C2563,' Disaggregation - Section E '!A$618:A2889,0)+1,1),""),"")</f>
        <v/>
      </c>
      <c r="I2563" s="388" t="str">
        <f ca="1">IFERROR(IF(VLOOKUP(C2563,' Disaggregation - Section E '!A$618:J2889,8,0)=0,"",VLOOKUP(C2563,' Disaggregation - Section E '!A$618:J2889,8,0)),"")</f>
        <v/>
      </c>
      <c r="J2563" s="388" t="str">
        <f ca="1">IFERROR(IF(VLOOKUP(C2563,' Disaggregation - Section E '!A$618:J2889,9,0)="","",VLOOKUP(C2563,' Disaggregation - Section E '!A$618:J2889,9,0)),"")</f>
        <v/>
      </c>
      <c r="K2563" s="384" t="str">
        <f ca="1">IFERROR(VLOOKUP(C2563,' Disaggregation - Section E '!A$618:J2889,3,0),"")</f>
        <v>DRTB-9 Treatment success rate of RR-TB and/or MDR-TB: Percentage of patients with RR and/or MDR-TB successfully treated</v>
      </c>
      <c r="L2563" s="384"/>
      <c r="M2563" s="384" t="str">
        <f ca="1">IFERROR(IF(VLOOKUP(C2563,' Disaggregation - Section E '!A$618:O1692,15,0)=0,"",VLOOKUP(C2563,' Disaggregation - Section E '!A$618:O1692,15,0)),"")</f>
        <v>IDR-01387</v>
      </c>
      <c r="N2563" s="388" t="str">
        <f ca="1">IFERROR(IF(VLOOKUP(C2563,' Disaggregation - Section E '!A$618:J2889,10,0)=0,"",VLOOKUP(C2563,' Disaggregation - Section E '!A$618:J2889,10,0)),"")</f>
        <v xml:space="preserve">The data is not available
</v>
      </c>
      <c r="O2563" s="384"/>
    </row>
    <row r="2564" spans="1:15" x14ac:dyDescent="0.3">
      <c r="A2564" s="384" t="b">
        <f t="shared" ca="1" si="142"/>
        <v>1</v>
      </c>
      <c r="B2564" s="384"/>
      <c r="C2564" s="393" t="str">
        <f ca="1">IF(COUNTA(O$1493:O2564)=1,"",OFFSET(B2562,-COUNTA(O$1493:O2564)+3,1))</f>
        <v>a16Dm000000LZh5IAG</v>
      </c>
      <c r="D2564" s="389"/>
      <c r="E2564" s="386">
        <f ca="1">IFERROR(IF(VLOOKUP(C2564,' Disaggregation - Section E '!A$618:J2890,7,0)="","",VLOOKUP(C2564,' Disaggregation - Section E '!A$618:J2890,7,0)*100),"")</f>
        <v>83.251231527093594</v>
      </c>
      <c r="F2564" s="388" t="str">
        <f ca="1">IFERROR(VLOOKUP(C2564,' Disaggregation - Section E '!A$618:J2890,5,0),"")</f>
        <v>Shorter 6-9 month</v>
      </c>
      <c r="G2564" s="387">
        <f ca="1">IFERROR(IF(VLOOKUP(C2564,' Disaggregation - Section E '!A$618:J2890,6,0)="","",VLOOKUP(C2564,' Disaggregation - Section E '!A$618:J2890,6,0)),"")</f>
        <v>169</v>
      </c>
      <c r="H2564" s="387">
        <f ca="1">IFERROR(IF(INDEX(' Disaggregation - Section E '!F$618:F2890,MATCH(C2564,' Disaggregation - Section E '!A$618:A2890,0)+1,1)&lt;&gt;0,INDEX(' Disaggregation - Section E '!F$618:F2890,MATCH(C2564,' Disaggregation - Section E '!A$618:A2890,0)+1,1),""),"")</f>
        <v>203</v>
      </c>
      <c r="I2564" s="388" t="str">
        <f ca="1">IFERROR(IF(VLOOKUP(C2564,' Disaggregation - Section E '!A$618:J2890,8,0)=0,"",VLOOKUP(C2564,' Disaggregation - Section E '!A$618:J2890,8,0)),"")</f>
        <v/>
      </c>
      <c r="J2564" s="388" t="str">
        <f ca="1">IFERROR(IF(VLOOKUP(C2564,' Disaggregation - Section E '!A$618:J2890,9,0)="","",VLOOKUP(C2564,' Disaggregation - Section E '!A$618:J2890,9,0)),"")</f>
        <v/>
      </c>
      <c r="K2564" s="384" t="str">
        <f ca="1">IFERROR(VLOOKUP(C2564,' Disaggregation - Section E '!A$618:J2890,3,0),"")</f>
        <v>DRTB-9 Treatment success rate of RR-TB and/or MDR-TB: Percentage of patients with RR and/or MDR-TB successfully treated</v>
      </c>
      <c r="L2564" s="384"/>
      <c r="M2564" s="384" t="str">
        <f ca="1">IFERROR(IF(VLOOKUP(C2564,' Disaggregation - Section E '!A$618:O1693,15,0)=0,"",VLOOKUP(C2564,' Disaggregation - Section E '!A$618:O1693,15,0)),"")</f>
        <v>IDR-01386</v>
      </c>
      <c r="N2564" s="388" t="str">
        <f ca="1">IFERROR(IF(VLOOKUP(C2564,' Disaggregation - Section E '!A$618:J2890,10,0)=0,"",VLOOKUP(C2564,' Disaggregation - Section E '!A$618:J2890,10,0)),"")</f>
        <v/>
      </c>
      <c r="O2564" s="384"/>
    </row>
    <row r="2565" spans="1:15" x14ac:dyDescent="0.3">
      <c r="A2565" s="384" t="b">
        <f t="shared" ca="1" si="142"/>
        <v>1</v>
      </c>
      <c r="B2565" s="384"/>
      <c r="C2565" s="393" t="str">
        <f ca="1">IF(COUNTA(O$1493:O2565)=1,"",OFFSET(B2563,-COUNTA(O$1493:O2565)+3,1))</f>
        <v>a16Dm000000LZh6IAG</v>
      </c>
      <c r="D2565" s="389"/>
      <c r="E2565" s="386">
        <f ca="1">IFERROR(IF(VLOOKUP(C2565,' Disaggregation - Section E '!A$618:J2891,7,0)="","",VLOOKUP(C2565,' Disaggregation - Section E '!A$618:J2891,7,0)*100),"")</f>
        <v>57.777777777777771</v>
      </c>
      <c r="F2565" s="388" t="str">
        <f ca="1">IFERROR(VLOOKUP(C2565,' Disaggregation - Section E '!A$618:J2891,5,0),"")</f>
        <v>Positive</v>
      </c>
      <c r="G2565" s="387">
        <f ca="1">IFERROR(IF(VLOOKUP(C2565,' Disaggregation - Section E '!A$618:J2891,6,0)="","",VLOOKUP(C2565,' Disaggregation - Section E '!A$618:J2891,6,0)),"")</f>
        <v>26</v>
      </c>
      <c r="H2565" s="387">
        <f ca="1">IFERROR(IF(INDEX(' Disaggregation - Section E '!F$618:F2891,MATCH(C2565,' Disaggregation - Section E '!A$618:A2891,0)+1,1)&lt;&gt;0,INDEX(' Disaggregation - Section E '!F$618:F2891,MATCH(C2565,' Disaggregation - Section E '!A$618:A2891,0)+1,1),""),"")</f>
        <v>45</v>
      </c>
      <c r="I2565" s="388" t="str">
        <f ca="1">IFERROR(IF(VLOOKUP(C2565,' Disaggregation - Section E '!A$618:J2891,8,0)=0,"",VLOOKUP(C2565,' Disaggregation - Section E '!A$618:J2891,8,0)),"")</f>
        <v/>
      </c>
      <c r="J2565" s="388" t="str">
        <f ca="1">IFERROR(IF(VLOOKUP(C2565,' Disaggregation - Section E '!A$618:J2891,9,0)="","",VLOOKUP(C2565,' Disaggregation - Section E '!A$618:J2891,9,0)),"")</f>
        <v/>
      </c>
      <c r="K2565" s="384" t="str">
        <f ca="1">IFERROR(VLOOKUP(C2565,' Disaggregation - Section E '!A$618:J2891,3,0),"")</f>
        <v>DRTB-9 Treatment success rate of RR-TB and/or MDR-TB: Percentage of patients with RR and/or MDR-TB successfully treated</v>
      </c>
      <c r="L2565" s="384"/>
      <c r="M2565" s="384" t="str">
        <f ca="1">IFERROR(IF(VLOOKUP(C2565,' Disaggregation - Section E '!A$618:O1694,15,0)=0,"",VLOOKUP(C2565,' Disaggregation - Section E '!A$618:O1694,15,0)),"")</f>
        <v>IDR-01385</v>
      </c>
      <c r="N2565" s="388" t="str">
        <f ca="1">IFERROR(IF(VLOOKUP(C2565,' Disaggregation - Section E '!A$618:J2891,10,0)=0,"",VLOOKUP(C2565,' Disaggregation - Section E '!A$618:J2891,10,0)),"")</f>
        <v/>
      </c>
      <c r="O2565" s="384"/>
    </row>
    <row r="2566" spans="1:15" x14ac:dyDescent="0.3">
      <c r="A2566" s="384" t="b">
        <f t="shared" ca="1" si="142"/>
        <v>0</v>
      </c>
      <c r="B2566" s="384"/>
      <c r="C2566" s="393" t="str">
        <f ca="1">IF(COUNTA(O$1493:O2566)=1,"",OFFSET(B2564,-COUNTA(O$1493:O2566)+3,1))</f>
        <v>a16Dm000000LZh7IAG</v>
      </c>
      <c r="D2566" s="389"/>
      <c r="E2566" s="386" t="str">
        <f ca="1">IFERROR(IF(VLOOKUP(C2566,' Disaggregation - Section E '!A$618:J2892,7,0)="","",VLOOKUP(C2566,' Disaggregation - Section E '!A$618:J2892,7,0)*100),"")</f>
        <v/>
      </c>
      <c r="F2566" s="388" t="str">
        <f ca="1">IFERROR(VLOOKUP(C2566,' Disaggregation - Section E '!A$618:J2892,5,0),"")</f>
        <v/>
      </c>
      <c r="G2566" s="387" t="str">
        <f ca="1">IFERROR(IF(VLOOKUP(C2566,' Disaggregation - Section E '!A$618:J2892,6,0)="","",VLOOKUP(C2566,' Disaggregation - Section E '!A$618:J2892,6,0)),"")</f>
        <v/>
      </c>
      <c r="H2566" s="387" t="str">
        <f ca="1">IFERROR(IF(INDEX(' Disaggregation - Section E '!F$618:F2892,MATCH(C2566,' Disaggregation - Section E '!A$618:A2892,0)+1,1)&lt;&gt;0,INDEX(' Disaggregation - Section E '!F$618:F2892,MATCH(C2566,' Disaggregation - Section E '!A$618:A2892,0)+1,1),""),"")</f>
        <v/>
      </c>
      <c r="I2566" s="388" t="str">
        <f ca="1">IFERROR(IF(VLOOKUP(C2566,' Disaggregation - Section E '!A$618:J2892,8,0)=0,"",VLOOKUP(C2566,' Disaggregation - Section E '!A$618:J2892,8,0)),"")</f>
        <v/>
      </c>
      <c r="J2566" s="388" t="str">
        <f ca="1">IFERROR(IF(VLOOKUP(C2566,' Disaggregation - Section E '!A$618:J2892,9,0)="","",VLOOKUP(C2566,' Disaggregation - Section E '!A$618:J2892,9,0)),"")</f>
        <v/>
      </c>
      <c r="K2566" s="384" t="str">
        <f ca="1">IFERROR(VLOOKUP(C2566,' Disaggregation - Section E '!A$618:J2892,3,0),"")</f>
        <v>DRTB-9 Treatment success rate of RR-TB and/or MDR-TB: Percentage of patients with RR and/or MDR-TB successfully treated</v>
      </c>
      <c r="L2566" s="384"/>
      <c r="M2566" s="384" t="str">
        <f ca="1">IFERROR(IF(VLOOKUP(C2566,' Disaggregation - Section E '!A$618:O1695,15,0)=0,"",VLOOKUP(C2566,' Disaggregation - Section E '!A$618:O1695,15,0)),"")</f>
        <v/>
      </c>
      <c r="N2566" s="388" t="str">
        <f ca="1">IFERROR(IF(VLOOKUP(C2566,' Disaggregation - Section E '!A$618:J2892,10,0)=0,"",VLOOKUP(C2566,' Disaggregation - Section E '!A$618:J2892,10,0)),"")</f>
        <v/>
      </c>
      <c r="O2566" s="384"/>
    </row>
    <row r="2567" spans="1:15" x14ac:dyDescent="0.3">
      <c r="A2567" s="384" t="b">
        <f t="shared" ca="1" si="142"/>
        <v>0</v>
      </c>
      <c r="B2567" s="384"/>
      <c r="C2567" s="393" t="str">
        <f ca="1">IF(COUNTA(O$1493:O2567)=1,"",OFFSET(B2565,-COUNTA(O$1493:O2567)+3,1))</f>
        <v>a16Dm000000LZh8IAG</v>
      </c>
      <c r="D2567" s="389"/>
      <c r="E2567" s="386" t="str">
        <f ca="1">IFERROR(IF(VLOOKUP(C2567,' Disaggregation - Section E '!A$618:J2893,7,0)="","",VLOOKUP(C2567,' Disaggregation - Section E '!A$618:J2893,7,0)*100),"")</f>
        <v/>
      </c>
      <c r="F2567" s="388" t="str">
        <f ca="1">IFERROR(VLOOKUP(C2567,' Disaggregation - Section E '!A$618:J2893,5,0),"")</f>
        <v/>
      </c>
      <c r="G2567" s="387" t="str">
        <f ca="1">IFERROR(IF(VLOOKUP(C2567,' Disaggregation - Section E '!A$618:J2893,6,0)="","",VLOOKUP(C2567,' Disaggregation - Section E '!A$618:J2893,6,0)),"")</f>
        <v/>
      </c>
      <c r="H2567" s="387" t="str">
        <f ca="1">IFERROR(IF(INDEX(' Disaggregation - Section E '!F$618:F2893,MATCH(C2567,' Disaggregation - Section E '!A$618:A2893,0)+1,1)&lt;&gt;0,INDEX(' Disaggregation - Section E '!F$618:F2893,MATCH(C2567,' Disaggregation - Section E '!A$618:A2893,0)+1,1),""),"")</f>
        <v/>
      </c>
      <c r="I2567" s="388" t="str">
        <f ca="1">IFERROR(IF(VLOOKUP(C2567,' Disaggregation - Section E '!A$618:J2893,8,0)=0,"",VLOOKUP(C2567,' Disaggregation - Section E '!A$618:J2893,8,0)),"")</f>
        <v/>
      </c>
      <c r="J2567" s="388" t="str">
        <f ca="1">IFERROR(IF(VLOOKUP(C2567,' Disaggregation - Section E '!A$618:J2893,9,0)="","",VLOOKUP(C2567,' Disaggregation - Section E '!A$618:J2893,9,0)),"")</f>
        <v/>
      </c>
      <c r="K2567" s="384" t="str">
        <f ca="1">IFERROR(VLOOKUP(C2567,' Disaggregation - Section E '!A$618:J2893,3,0),"")</f>
        <v>DRTB-9 Treatment success rate of RR-TB and/or MDR-TB: Percentage of patients with RR and/or MDR-TB successfully treated</v>
      </c>
      <c r="L2567" s="384"/>
      <c r="M2567" s="384" t="str">
        <f ca="1">IFERROR(IF(VLOOKUP(C2567,' Disaggregation - Section E '!A$618:O1696,15,0)=0,"",VLOOKUP(C2567,' Disaggregation - Section E '!A$618:O1696,15,0)),"")</f>
        <v/>
      </c>
      <c r="N2567" s="388" t="str">
        <f ca="1">IFERROR(IF(VLOOKUP(C2567,' Disaggregation - Section E '!A$618:J2893,10,0)=0,"",VLOOKUP(C2567,' Disaggregation - Section E '!A$618:J2893,10,0)),"")</f>
        <v/>
      </c>
      <c r="O2567" s="384"/>
    </row>
    <row r="2568" spans="1:15" x14ac:dyDescent="0.3">
      <c r="A2568" s="384" t="b">
        <f t="shared" ca="1" si="142"/>
        <v>0</v>
      </c>
      <c r="B2568" s="384"/>
      <c r="C2568" s="393" t="str">
        <f ca="1">IF(COUNTA(O$1493:O2568)=1,"",OFFSET(B2566,-COUNTA(O$1493:O2568)+3,1))</f>
        <v>a16Dm000000LZh9IAG</v>
      </c>
      <c r="D2568" s="389"/>
      <c r="E2568" s="386" t="str">
        <f ca="1">IFERROR(IF(VLOOKUP(C2568,' Disaggregation - Section E '!A$618:J2894,7,0)="","",VLOOKUP(C2568,' Disaggregation - Section E '!A$618:J2894,7,0)*100),"")</f>
        <v/>
      </c>
      <c r="F2568" s="388" t="str">
        <f ca="1">IFERROR(VLOOKUP(C2568,' Disaggregation - Section E '!A$618:J2894,5,0),"")</f>
        <v/>
      </c>
      <c r="G2568" s="387" t="str">
        <f ca="1">IFERROR(IF(VLOOKUP(C2568,' Disaggregation - Section E '!A$618:J2894,6,0)="","",VLOOKUP(C2568,' Disaggregation - Section E '!A$618:J2894,6,0)),"")</f>
        <v/>
      </c>
      <c r="H2568" s="387" t="str">
        <f ca="1">IFERROR(IF(INDEX(' Disaggregation - Section E '!F$618:F2894,MATCH(C2568,' Disaggregation - Section E '!A$618:A2894,0)+1,1)&lt;&gt;0,INDEX(' Disaggregation - Section E '!F$618:F2894,MATCH(C2568,' Disaggregation - Section E '!A$618:A2894,0)+1,1),""),"")</f>
        <v/>
      </c>
      <c r="I2568" s="388" t="str">
        <f ca="1">IFERROR(IF(VLOOKUP(C2568,' Disaggregation - Section E '!A$618:J2894,8,0)=0,"",VLOOKUP(C2568,' Disaggregation - Section E '!A$618:J2894,8,0)),"")</f>
        <v/>
      </c>
      <c r="J2568" s="388" t="str">
        <f ca="1">IFERROR(IF(VLOOKUP(C2568,' Disaggregation - Section E '!A$618:J2894,9,0)="","",VLOOKUP(C2568,' Disaggregation - Section E '!A$618:J2894,9,0)),"")</f>
        <v/>
      </c>
      <c r="K2568" s="384" t="str">
        <f ca="1">IFERROR(VLOOKUP(C2568,' Disaggregation - Section E '!A$618:J2894,3,0),"")</f>
        <v>DRTB-9 Treatment success rate of RR-TB and/or MDR-TB: Percentage of patients with RR and/or MDR-TB successfully treated</v>
      </c>
      <c r="L2568" s="384"/>
      <c r="M2568" s="384" t="str">
        <f ca="1">IFERROR(IF(VLOOKUP(C2568,' Disaggregation - Section E '!A$618:O1697,15,0)=0,"",VLOOKUP(C2568,' Disaggregation - Section E '!A$618:O1697,15,0)),"")</f>
        <v/>
      </c>
      <c r="N2568" s="388" t="str">
        <f ca="1">IFERROR(IF(VLOOKUP(C2568,' Disaggregation - Section E '!A$618:J2894,10,0)=0,"",VLOOKUP(C2568,' Disaggregation - Section E '!A$618:J2894,10,0)),"")</f>
        <v/>
      </c>
      <c r="O2568" s="384"/>
    </row>
    <row r="2569" spans="1:15" x14ac:dyDescent="0.3">
      <c r="A2569" s="384" t="b">
        <f t="shared" ca="1" si="142"/>
        <v>0</v>
      </c>
      <c r="B2569" s="384"/>
      <c r="C2569" s="393" t="str">
        <f ca="1">IF(COUNTA(O$1493:O2569)=1,"",OFFSET(B2567,-COUNTA(O$1493:O2569)+3,1))</f>
        <v>a16Dm000000LZhAIAW</v>
      </c>
      <c r="D2569" s="389"/>
      <c r="E2569" s="386" t="str">
        <f ca="1">IFERROR(IF(VLOOKUP(C2569,' Disaggregation - Section E '!A$618:J2895,7,0)="","",VLOOKUP(C2569,' Disaggregation - Section E '!A$618:J2895,7,0)*100),"")</f>
        <v/>
      </c>
      <c r="F2569" s="388" t="str">
        <f ca="1">IFERROR(VLOOKUP(C2569,' Disaggregation - Section E '!A$618:J2895,5,0),"")</f>
        <v/>
      </c>
      <c r="G2569" s="387" t="str">
        <f ca="1">IFERROR(IF(VLOOKUP(C2569,' Disaggregation - Section E '!A$618:J2895,6,0)="","",VLOOKUP(C2569,' Disaggregation - Section E '!A$618:J2895,6,0)),"")</f>
        <v/>
      </c>
      <c r="H2569" s="387" t="str">
        <f ca="1">IFERROR(IF(INDEX(' Disaggregation - Section E '!F$618:F2895,MATCH(C2569,' Disaggregation - Section E '!A$618:A2895,0)+1,1)&lt;&gt;0,INDEX(' Disaggregation - Section E '!F$618:F2895,MATCH(C2569,' Disaggregation - Section E '!A$618:A2895,0)+1,1),""),"")</f>
        <v/>
      </c>
      <c r="I2569" s="388" t="str">
        <f ca="1">IFERROR(IF(VLOOKUP(C2569,' Disaggregation - Section E '!A$618:J2895,8,0)=0,"",VLOOKUP(C2569,' Disaggregation - Section E '!A$618:J2895,8,0)),"")</f>
        <v/>
      </c>
      <c r="J2569" s="388" t="str">
        <f ca="1">IFERROR(IF(VLOOKUP(C2569,' Disaggregation - Section E '!A$618:J2895,9,0)="","",VLOOKUP(C2569,' Disaggregation - Section E '!A$618:J2895,9,0)),"")</f>
        <v/>
      </c>
      <c r="K2569" s="384" t="str">
        <f ca="1">IFERROR(VLOOKUP(C2569,' Disaggregation - Section E '!A$618:J2895,3,0),"")</f>
        <v>DRTB-9 Treatment success rate of RR-TB and/or MDR-TB: Percentage of patients with RR and/or MDR-TB successfully treated</v>
      </c>
      <c r="L2569" s="384"/>
      <c r="M2569" s="384" t="str">
        <f ca="1">IFERROR(IF(VLOOKUP(C2569,' Disaggregation - Section E '!A$618:O1698,15,0)=0,"",VLOOKUP(C2569,' Disaggregation - Section E '!A$618:O1698,15,0)),"")</f>
        <v/>
      </c>
      <c r="N2569" s="388" t="str">
        <f ca="1">IFERROR(IF(VLOOKUP(C2569,' Disaggregation - Section E '!A$618:J2895,10,0)=0,"",VLOOKUP(C2569,' Disaggregation - Section E '!A$618:J2895,10,0)),"")</f>
        <v/>
      </c>
      <c r="O2569" s="384"/>
    </row>
    <row r="2570" spans="1:15" x14ac:dyDescent="0.3">
      <c r="A2570" s="384" t="b">
        <f t="shared" ca="1" si="142"/>
        <v>0</v>
      </c>
      <c r="B2570" s="384"/>
      <c r="C2570" s="393" t="str">
        <f ca="1">IF(COUNTA(O$1493:O2570)=1,"",OFFSET(B2568,-COUNTA(O$1493:O2570)+3,1))</f>
        <v>a16Dm000000LZhBIAW</v>
      </c>
      <c r="D2570" s="389"/>
      <c r="E2570" s="386" t="str">
        <f ca="1">IFERROR(IF(VLOOKUP(C2570,' Disaggregation - Section E '!A$618:J2896,7,0)="","",VLOOKUP(C2570,' Disaggregation - Section E '!A$618:J2896,7,0)*100),"")</f>
        <v/>
      </c>
      <c r="F2570" s="388" t="str">
        <f ca="1">IFERROR(VLOOKUP(C2570,' Disaggregation - Section E '!A$618:J2896,5,0),"")</f>
        <v/>
      </c>
      <c r="G2570" s="387" t="str">
        <f ca="1">IFERROR(IF(VLOOKUP(C2570,' Disaggregation - Section E '!A$618:J2896,6,0)="","",VLOOKUP(C2570,' Disaggregation - Section E '!A$618:J2896,6,0)),"")</f>
        <v/>
      </c>
      <c r="H2570" s="387" t="str">
        <f ca="1">IFERROR(IF(INDEX(' Disaggregation - Section E '!F$618:F2896,MATCH(C2570,' Disaggregation - Section E '!A$618:A2896,0)+1,1)&lt;&gt;0,INDEX(' Disaggregation - Section E '!F$618:F2896,MATCH(C2570,' Disaggregation - Section E '!A$618:A2896,0)+1,1),""),"")</f>
        <v/>
      </c>
      <c r="I2570" s="388" t="str">
        <f ca="1">IFERROR(IF(VLOOKUP(C2570,' Disaggregation - Section E '!A$618:J2896,8,0)=0,"",VLOOKUP(C2570,' Disaggregation - Section E '!A$618:J2896,8,0)),"")</f>
        <v/>
      </c>
      <c r="J2570" s="388" t="str">
        <f ca="1">IFERROR(IF(VLOOKUP(C2570,' Disaggregation - Section E '!A$618:J2896,9,0)="","",VLOOKUP(C2570,' Disaggregation - Section E '!A$618:J2896,9,0)),"")</f>
        <v/>
      </c>
      <c r="K2570" s="384" t="str">
        <f ca="1">IFERROR(VLOOKUP(C2570,' Disaggregation - Section E '!A$618:J2896,3,0),"")</f>
        <v>DRTB-9 Treatment success rate of RR-TB and/or MDR-TB: Percentage of patients with RR and/or MDR-TB successfully treated</v>
      </c>
      <c r="L2570" s="384"/>
      <c r="M2570" s="384" t="str">
        <f ca="1">IFERROR(IF(VLOOKUP(C2570,' Disaggregation - Section E '!A$618:O1699,15,0)=0,"",VLOOKUP(C2570,' Disaggregation - Section E '!A$618:O1699,15,0)),"")</f>
        <v/>
      </c>
      <c r="N2570" s="388" t="str">
        <f ca="1">IFERROR(IF(VLOOKUP(C2570,' Disaggregation - Section E '!A$618:J2896,10,0)=0,"",VLOOKUP(C2570,' Disaggregation - Section E '!A$618:J2896,10,0)),"")</f>
        <v/>
      </c>
      <c r="O2570" s="384"/>
    </row>
    <row r="2571" spans="1:15" x14ac:dyDescent="0.3">
      <c r="A2571" s="384" t="b">
        <f t="shared" ca="1" si="142"/>
        <v>0</v>
      </c>
      <c r="B2571" s="384"/>
      <c r="C2571" s="393" t="str">
        <f ca="1">IF(COUNTA(O$1493:O2571)=1,"",OFFSET(B2569,-COUNTA(O$1493:O2571)+3,1))</f>
        <v>a16Dm000000LZhCIAW</v>
      </c>
      <c r="D2571" s="389"/>
      <c r="E2571" s="386" t="str">
        <f ca="1">IFERROR(IF(VLOOKUP(C2571,' Disaggregation - Section E '!A$618:J2897,7,0)="","",VLOOKUP(C2571,' Disaggregation - Section E '!A$618:J2897,7,0)*100),"")</f>
        <v/>
      </c>
      <c r="F2571" s="388" t="str">
        <f ca="1">IFERROR(VLOOKUP(C2571,' Disaggregation - Section E '!A$618:J2897,5,0),"")</f>
        <v/>
      </c>
      <c r="G2571" s="387" t="str">
        <f ca="1">IFERROR(IF(VLOOKUP(C2571,' Disaggregation - Section E '!A$618:J2897,6,0)="","",VLOOKUP(C2571,' Disaggregation - Section E '!A$618:J2897,6,0)),"")</f>
        <v/>
      </c>
      <c r="H2571" s="387" t="str">
        <f ca="1">IFERROR(IF(INDEX(' Disaggregation - Section E '!F$618:F2897,MATCH(C2571,' Disaggregation - Section E '!A$618:A2897,0)+1,1)&lt;&gt;0,INDEX(' Disaggregation - Section E '!F$618:F2897,MATCH(C2571,' Disaggregation - Section E '!A$618:A2897,0)+1,1),""),"")</f>
        <v/>
      </c>
      <c r="I2571" s="388" t="str">
        <f ca="1">IFERROR(IF(VLOOKUP(C2571,' Disaggregation - Section E '!A$618:J2897,8,0)=0,"",VLOOKUP(C2571,' Disaggregation - Section E '!A$618:J2897,8,0)),"")</f>
        <v/>
      </c>
      <c r="J2571" s="388" t="str">
        <f ca="1">IFERROR(IF(VLOOKUP(C2571,' Disaggregation - Section E '!A$618:J2897,9,0)="","",VLOOKUP(C2571,' Disaggregation - Section E '!A$618:J2897,9,0)),"")</f>
        <v/>
      </c>
      <c r="K2571" s="384" t="str">
        <f ca="1">IFERROR(VLOOKUP(C2571,' Disaggregation - Section E '!A$618:J2897,3,0),"")</f>
        <v>DRTB-9 Treatment success rate of RR-TB and/or MDR-TB: Percentage of patients with RR and/or MDR-TB successfully treated</v>
      </c>
      <c r="L2571" s="384"/>
      <c r="M2571" s="384" t="str">
        <f ca="1">IFERROR(IF(VLOOKUP(C2571,' Disaggregation - Section E '!A$618:O1700,15,0)=0,"",VLOOKUP(C2571,' Disaggregation - Section E '!A$618:O1700,15,0)),"")</f>
        <v/>
      </c>
      <c r="N2571" s="388" t="str">
        <f ca="1">IFERROR(IF(VLOOKUP(C2571,' Disaggregation - Section E '!A$618:J2897,10,0)=0,"",VLOOKUP(C2571,' Disaggregation - Section E '!A$618:J2897,10,0)),"")</f>
        <v/>
      </c>
      <c r="O2571" s="384"/>
    </row>
    <row r="2572" spans="1:15" x14ac:dyDescent="0.3">
      <c r="A2572" s="384" t="b">
        <f t="shared" ca="1" si="142"/>
        <v>0</v>
      </c>
      <c r="B2572" s="384"/>
      <c r="C2572" s="393" t="str">
        <f ca="1">IF(COUNTA(O$1493:O2572)=1,"",OFFSET(B2570,-COUNTA(O$1493:O2572)+3,1))</f>
        <v>a16Dm000000LZhDIAW</v>
      </c>
      <c r="D2572" s="389"/>
      <c r="E2572" s="386" t="str">
        <f ca="1">IFERROR(IF(VLOOKUP(C2572,' Disaggregation - Section E '!A$618:J2898,7,0)="","",VLOOKUP(C2572,' Disaggregation - Section E '!A$618:J2898,7,0)*100),"")</f>
        <v/>
      </c>
      <c r="F2572" s="388" t="str">
        <f ca="1">IFERROR(VLOOKUP(C2572,' Disaggregation - Section E '!A$618:J2898,5,0),"")</f>
        <v/>
      </c>
      <c r="G2572" s="387" t="str">
        <f ca="1">IFERROR(IF(VLOOKUP(C2572,' Disaggregation - Section E '!A$618:J2898,6,0)="","",VLOOKUP(C2572,' Disaggregation - Section E '!A$618:J2898,6,0)),"")</f>
        <v/>
      </c>
      <c r="H2572" s="387" t="str">
        <f ca="1">IFERROR(IF(INDEX(' Disaggregation - Section E '!F$618:F2898,MATCH(C2572,' Disaggregation - Section E '!A$618:A2898,0)+1,1)&lt;&gt;0,INDEX(' Disaggregation - Section E '!F$618:F2898,MATCH(C2572,' Disaggregation - Section E '!A$618:A2898,0)+1,1),""),"")</f>
        <v/>
      </c>
      <c r="I2572" s="388" t="str">
        <f ca="1">IFERROR(IF(VLOOKUP(C2572,' Disaggregation - Section E '!A$618:J2898,8,0)=0,"",VLOOKUP(C2572,' Disaggregation - Section E '!A$618:J2898,8,0)),"")</f>
        <v/>
      </c>
      <c r="J2572" s="388" t="str">
        <f ca="1">IFERROR(IF(VLOOKUP(C2572,' Disaggregation - Section E '!A$618:J2898,9,0)="","",VLOOKUP(C2572,' Disaggregation - Section E '!A$618:J2898,9,0)),"")</f>
        <v/>
      </c>
      <c r="K2572" s="384" t="str">
        <f ca="1">IFERROR(VLOOKUP(C2572,' Disaggregation - Section E '!A$618:J2898,3,0),"")</f>
        <v>DRTB-9 Treatment success rate of RR-TB and/or MDR-TB: Percentage of patients with RR and/or MDR-TB successfully treated</v>
      </c>
      <c r="L2572" s="384"/>
      <c r="M2572" s="384" t="str">
        <f ca="1">IFERROR(IF(VLOOKUP(C2572,' Disaggregation - Section E '!A$618:O1701,15,0)=0,"",VLOOKUP(C2572,' Disaggregation - Section E '!A$618:O1701,15,0)),"")</f>
        <v/>
      </c>
      <c r="N2572" s="388" t="str">
        <f ca="1">IFERROR(IF(VLOOKUP(C2572,' Disaggregation - Section E '!A$618:J2898,10,0)=0,"",VLOOKUP(C2572,' Disaggregation - Section E '!A$618:J2898,10,0)),"")</f>
        <v/>
      </c>
      <c r="O2572" s="384"/>
    </row>
    <row r="2573" spans="1:15" x14ac:dyDescent="0.3">
      <c r="A2573" s="384" t="b">
        <f t="shared" ca="1" si="142"/>
        <v>0</v>
      </c>
      <c r="B2573" s="384"/>
      <c r="C2573" s="393" t="str">
        <f ca="1">IF(COUNTA(O$1493:O2573)=1,"",OFFSET(B2571,-COUNTA(O$1493:O2573)+3,1))</f>
        <v>a16Dm000000LZhEIAW</v>
      </c>
      <c r="D2573" s="389"/>
      <c r="E2573" s="386" t="str">
        <f ca="1">IFERROR(IF(VLOOKUP(C2573,' Disaggregation - Section E '!A$618:J2899,7,0)="","",VLOOKUP(C2573,' Disaggregation - Section E '!A$618:J2899,7,0)*100),"")</f>
        <v/>
      </c>
      <c r="F2573" s="388" t="str">
        <f ca="1">IFERROR(VLOOKUP(C2573,' Disaggregation - Section E '!A$618:J2899,5,0),"")</f>
        <v/>
      </c>
      <c r="G2573" s="387" t="str">
        <f ca="1">IFERROR(IF(VLOOKUP(C2573,' Disaggregation - Section E '!A$618:J2899,6,0)="","",VLOOKUP(C2573,' Disaggregation - Section E '!A$618:J2899,6,0)),"")</f>
        <v/>
      </c>
      <c r="H2573" s="387" t="str">
        <f ca="1">IFERROR(IF(INDEX(' Disaggregation - Section E '!F$618:F2899,MATCH(C2573,' Disaggregation - Section E '!A$618:A2899,0)+1,1)&lt;&gt;0,INDEX(' Disaggregation - Section E '!F$618:F2899,MATCH(C2573,' Disaggregation - Section E '!A$618:A2899,0)+1,1),""),"")</f>
        <v/>
      </c>
      <c r="I2573" s="388" t="str">
        <f ca="1">IFERROR(IF(VLOOKUP(C2573,' Disaggregation - Section E '!A$618:J2899,8,0)=0,"",VLOOKUP(C2573,' Disaggregation - Section E '!A$618:J2899,8,0)),"")</f>
        <v/>
      </c>
      <c r="J2573" s="388" t="str">
        <f ca="1">IFERROR(IF(VLOOKUP(C2573,' Disaggregation - Section E '!A$618:J2899,9,0)="","",VLOOKUP(C2573,' Disaggregation - Section E '!A$618:J2899,9,0)),"")</f>
        <v/>
      </c>
      <c r="K2573" s="384" t="str">
        <f ca="1">IFERROR(VLOOKUP(C2573,' Disaggregation - Section E '!A$618:J2899,3,0),"")</f>
        <v>DRTB-9 Treatment success rate of RR-TB and/or MDR-TB: Percentage of patients with RR and/or MDR-TB successfully treated</v>
      </c>
      <c r="L2573" s="384"/>
      <c r="M2573" s="384" t="str">
        <f ca="1">IFERROR(IF(VLOOKUP(C2573,' Disaggregation - Section E '!A$618:O1702,15,0)=0,"",VLOOKUP(C2573,' Disaggregation - Section E '!A$618:O1702,15,0)),"")</f>
        <v/>
      </c>
      <c r="N2573" s="388" t="str">
        <f ca="1">IFERROR(IF(VLOOKUP(C2573,' Disaggregation - Section E '!A$618:J2899,10,0)=0,"",VLOOKUP(C2573,' Disaggregation - Section E '!A$618:J2899,10,0)),"")</f>
        <v/>
      </c>
      <c r="O2573" s="384"/>
    </row>
    <row r="2574" spans="1:15" x14ac:dyDescent="0.3">
      <c r="A2574" s="384" t="b">
        <f t="shared" ca="1" si="142"/>
        <v>0</v>
      </c>
      <c r="B2574" s="384"/>
      <c r="C2574" s="393" t="str">
        <f ca="1">IF(COUNTA(O$1493:O2574)=1,"",OFFSET(B2572,-COUNTA(O$1493:O2574)+3,1))</f>
        <v>a16Dm000000LZhFIAW</v>
      </c>
      <c r="D2574" s="389"/>
      <c r="E2574" s="386" t="str">
        <f ca="1">IFERROR(IF(VLOOKUP(C2574,' Disaggregation - Section E '!A$618:J2900,7,0)="","",VLOOKUP(C2574,' Disaggregation - Section E '!A$618:J2900,7,0)*100),"")</f>
        <v/>
      </c>
      <c r="F2574" s="388" t="str">
        <f ca="1">IFERROR(VLOOKUP(C2574,' Disaggregation - Section E '!A$618:J2900,5,0),"")</f>
        <v/>
      </c>
      <c r="G2574" s="387" t="str">
        <f ca="1">IFERROR(IF(VLOOKUP(C2574,' Disaggregation - Section E '!A$618:J2900,6,0)="","",VLOOKUP(C2574,' Disaggregation - Section E '!A$618:J2900,6,0)),"")</f>
        <v/>
      </c>
      <c r="H2574" s="387" t="str">
        <f ca="1">IFERROR(IF(INDEX(' Disaggregation - Section E '!F$618:F2900,MATCH(C2574,' Disaggregation - Section E '!A$618:A2900,0)+1,1)&lt;&gt;0,INDEX(' Disaggregation - Section E '!F$618:F2900,MATCH(C2574,' Disaggregation - Section E '!A$618:A2900,0)+1,1),""),"")</f>
        <v/>
      </c>
      <c r="I2574" s="388" t="str">
        <f ca="1">IFERROR(IF(VLOOKUP(C2574,' Disaggregation - Section E '!A$618:J2900,8,0)=0,"",VLOOKUP(C2574,' Disaggregation - Section E '!A$618:J2900,8,0)),"")</f>
        <v/>
      </c>
      <c r="J2574" s="388" t="str">
        <f ca="1">IFERROR(IF(VLOOKUP(C2574,' Disaggregation - Section E '!A$618:J2900,9,0)="","",VLOOKUP(C2574,' Disaggregation - Section E '!A$618:J2900,9,0)),"")</f>
        <v/>
      </c>
      <c r="K2574" s="384" t="str">
        <f ca="1">IFERROR(VLOOKUP(C2574,' Disaggregation - Section E '!A$618:J2900,3,0),"")</f>
        <v>DRTB-9 Treatment success rate of RR-TB and/or MDR-TB: Percentage of patients with RR and/or MDR-TB successfully treated</v>
      </c>
      <c r="L2574" s="384"/>
      <c r="M2574" s="384" t="str">
        <f ca="1">IFERROR(IF(VLOOKUP(C2574,' Disaggregation - Section E '!A$618:O1703,15,0)=0,"",VLOOKUP(C2574,' Disaggregation - Section E '!A$618:O1703,15,0)),"")</f>
        <v/>
      </c>
      <c r="N2574" s="388" t="str">
        <f ca="1">IFERROR(IF(VLOOKUP(C2574,' Disaggregation - Section E '!A$618:J2900,10,0)=0,"",VLOOKUP(C2574,' Disaggregation - Section E '!A$618:J2900,10,0)),"")</f>
        <v/>
      </c>
      <c r="O2574" s="384"/>
    </row>
    <row r="2575" spans="1:15" x14ac:dyDescent="0.3">
      <c r="A2575" s="384" t="b">
        <f t="shared" ca="1" si="142"/>
        <v>0</v>
      </c>
      <c r="B2575" s="384"/>
      <c r="C2575" s="393" t="str">
        <f ca="1">IF(COUNTA(O$1493:O2575)=1,"",OFFSET(B2573,-COUNTA(O$1493:O2575)+3,1))</f>
        <v>a16Dm000000LZhGIAW</v>
      </c>
      <c r="D2575" s="389"/>
      <c r="E2575" s="386" t="str">
        <f ca="1">IFERROR(IF(VLOOKUP(C2575,' Disaggregation - Section E '!A$618:J2901,7,0)="","",VLOOKUP(C2575,' Disaggregation - Section E '!A$618:J2901,7,0)*100),"")</f>
        <v/>
      </c>
      <c r="F2575" s="388" t="str">
        <f ca="1">IFERROR(VLOOKUP(C2575,' Disaggregation - Section E '!A$618:J2901,5,0),"")</f>
        <v/>
      </c>
      <c r="G2575" s="387" t="str">
        <f ca="1">IFERROR(IF(VLOOKUP(C2575,' Disaggregation - Section E '!A$618:J2901,6,0)="","",VLOOKUP(C2575,' Disaggregation - Section E '!A$618:J2901,6,0)),"")</f>
        <v/>
      </c>
      <c r="H2575" s="387" t="str">
        <f ca="1">IFERROR(IF(INDEX(' Disaggregation - Section E '!F$618:F2901,MATCH(C2575,' Disaggregation - Section E '!A$618:A2901,0)+1,1)&lt;&gt;0,INDEX(' Disaggregation - Section E '!F$618:F2901,MATCH(C2575,' Disaggregation - Section E '!A$618:A2901,0)+1,1),""),"")</f>
        <v/>
      </c>
      <c r="I2575" s="388" t="str">
        <f ca="1">IFERROR(IF(VLOOKUP(C2575,' Disaggregation - Section E '!A$618:J2901,8,0)=0,"",VLOOKUP(C2575,' Disaggregation - Section E '!A$618:J2901,8,0)),"")</f>
        <v/>
      </c>
      <c r="J2575" s="388" t="str">
        <f ca="1">IFERROR(IF(VLOOKUP(C2575,' Disaggregation - Section E '!A$618:J2901,9,0)="","",VLOOKUP(C2575,' Disaggregation - Section E '!A$618:J2901,9,0)),"")</f>
        <v/>
      </c>
      <c r="K2575" s="384" t="str">
        <f ca="1">IFERROR(VLOOKUP(C2575,' Disaggregation - Section E '!A$618:J2901,3,0),"")</f>
        <v/>
      </c>
      <c r="L2575" s="384"/>
      <c r="M2575" s="384" t="str">
        <f ca="1">IFERROR(IF(VLOOKUP(C2575,' Disaggregation - Section E '!A$618:O1704,15,0)=0,"",VLOOKUP(C2575,' Disaggregation - Section E '!A$618:O1704,15,0)),"")</f>
        <v/>
      </c>
      <c r="N2575" s="388" t="str">
        <f ca="1">IFERROR(IF(VLOOKUP(C2575,' Disaggregation - Section E '!A$618:J2901,10,0)=0,"",VLOOKUP(C2575,' Disaggregation - Section E '!A$618:J2901,10,0)),"")</f>
        <v/>
      </c>
      <c r="O2575" s="384"/>
    </row>
    <row r="2576" spans="1:15" x14ac:dyDescent="0.3">
      <c r="A2576" s="384" t="b">
        <f t="shared" ca="1" si="142"/>
        <v>0</v>
      </c>
      <c r="B2576" s="384"/>
      <c r="C2576" s="393" t="str">
        <f ca="1">IF(COUNTA(O$1493:O2576)=1,"",OFFSET(B2574,-COUNTA(O$1493:O2576)+3,1))</f>
        <v>a16Dm000000LZhHIAW</v>
      </c>
      <c r="D2576" s="389"/>
      <c r="E2576" s="386" t="str">
        <f ca="1">IFERROR(IF(VLOOKUP(C2576,' Disaggregation - Section E '!A$618:J2902,7,0)="","",VLOOKUP(C2576,' Disaggregation - Section E '!A$618:J2902,7,0)*100),"")</f>
        <v/>
      </c>
      <c r="F2576" s="388" t="str">
        <f ca="1">IFERROR(VLOOKUP(C2576,' Disaggregation - Section E '!A$618:J2902,5,0),"")</f>
        <v/>
      </c>
      <c r="G2576" s="387" t="str">
        <f ca="1">IFERROR(IF(VLOOKUP(C2576,' Disaggregation - Section E '!A$618:J2902,6,0)="","",VLOOKUP(C2576,' Disaggregation - Section E '!A$618:J2902,6,0)),"")</f>
        <v/>
      </c>
      <c r="H2576" s="387" t="str">
        <f ca="1">IFERROR(IF(INDEX(' Disaggregation - Section E '!F$618:F2902,MATCH(C2576,' Disaggregation - Section E '!A$618:A2902,0)+1,1)&lt;&gt;0,INDEX(' Disaggregation - Section E '!F$618:F2902,MATCH(C2576,' Disaggregation - Section E '!A$618:A2902,0)+1,1),""),"")</f>
        <v/>
      </c>
      <c r="I2576" s="388" t="str">
        <f ca="1">IFERROR(IF(VLOOKUP(C2576,' Disaggregation - Section E '!A$618:J2902,8,0)=0,"",VLOOKUP(C2576,' Disaggregation - Section E '!A$618:J2902,8,0)),"")</f>
        <v/>
      </c>
      <c r="J2576" s="388" t="str">
        <f ca="1">IFERROR(IF(VLOOKUP(C2576,' Disaggregation - Section E '!A$618:J2902,9,0)="","",VLOOKUP(C2576,' Disaggregation - Section E '!A$618:J2902,9,0)),"")</f>
        <v/>
      </c>
      <c r="K2576" s="384" t="str">
        <f ca="1">IFERROR(VLOOKUP(C2576,' Disaggregation - Section E '!A$618:J2902,3,0),"")</f>
        <v/>
      </c>
      <c r="L2576" s="384"/>
      <c r="M2576" s="384" t="str">
        <f ca="1">IFERROR(IF(VLOOKUP(C2576,' Disaggregation - Section E '!A$618:O1705,15,0)=0,"",VLOOKUP(C2576,' Disaggregation - Section E '!A$618:O1705,15,0)),"")</f>
        <v/>
      </c>
      <c r="N2576" s="388" t="str">
        <f ca="1">IFERROR(IF(VLOOKUP(C2576,' Disaggregation - Section E '!A$618:J2902,10,0)=0,"",VLOOKUP(C2576,' Disaggregation - Section E '!A$618:J2902,10,0)),"")</f>
        <v/>
      </c>
      <c r="O2576" s="384"/>
    </row>
    <row r="2577" spans="1:15" x14ac:dyDescent="0.3">
      <c r="A2577" s="384" t="b">
        <f t="shared" ca="1" si="142"/>
        <v>0</v>
      </c>
      <c r="B2577" s="384"/>
      <c r="C2577" s="393" t="str">
        <f ca="1">IF(COUNTA(O$1493:O2577)=1,"",OFFSET(B2575,-COUNTA(O$1493:O2577)+3,1))</f>
        <v>a16Dm000000LZhIIAW</v>
      </c>
      <c r="D2577" s="389"/>
      <c r="E2577" s="386" t="str">
        <f ca="1">IFERROR(IF(VLOOKUP(C2577,' Disaggregation - Section E '!A$618:J2903,7,0)="","",VLOOKUP(C2577,' Disaggregation - Section E '!A$618:J2903,7,0)*100),"")</f>
        <v/>
      </c>
      <c r="F2577" s="388" t="str">
        <f ca="1">IFERROR(VLOOKUP(C2577,' Disaggregation - Section E '!A$618:J2903,5,0),"")</f>
        <v/>
      </c>
      <c r="G2577" s="387" t="str">
        <f ca="1">IFERROR(IF(VLOOKUP(C2577,' Disaggregation - Section E '!A$618:J2903,6,0)="","",VLOOKUP(C2577,' Disaggregation - Section E '!A$618:J2903,6,0)),"")</f>
        <v/>
      </c>
      <c r="H2577" s="387" t="str">
        <f ca="1">IFERROR(IF(INDEX(' Disaggregation - Section E '!F$618:F2903,MATCH(C2577,' Disaggregation - Section E '!A$618:A2903,0)+1,1)&lt;&gt;0,INDEX(' Disaggregation - Section E '!F$618:F2903,MATCH(C2577,' Disaggregation - Section E '!A$618:A2903,0)+1,1),""),"")</f>
        <v/>
      </c>
      <c r="I2577" s="388" t="str">
        <f ca="1">IFERROR(IF(VLOOKUP(C2577,' Disaggregation - Section E '!A$618:J2903,8,0)=0,"",VLOOKUP(C2577,' Disaggregation - Section E '!A$618:J2903,8,0)),"")</f>
        <v/>
      </c>
      <c r="J2577" s="388" t="str">
        <f ca="1">IFERROR(IF(VLOOKUP(C2577,' Disaggregation - Section E '!A$618:J2903,9,0)="","",VLOOKUP(C2577,' Disaggregation - Section E '!A$618:J2903,9,0)),"")</f>
        <v/>
      </c>
      <c r="K2577" s="384" t="str">
        <f ca="1">IFERROR(VLOOKUP(C2577,' Disaggregation - Section E '!A$618:J2903,3,0),"")</f>
        <v/>
      </c>
      <c r="L2577" s="384"/>
      <c r="M2577" s="384" t="str">
        <f ca="1">IFERROR(IF(VLOOKUP(C2577,' Disaggregation - Section E '!A$618:O1706,15,0)=0,"",VLOOKUP(C2577,' Disaggregation - Section E '!A$618:O1706,15,0)),"")</f>
        <v/>
      </c>
      <c r="N2577" s="388" t="str">
        <f ca="1">IFERROR(IF(VLOOKUP(C2577,' Disaggregation - Section E '!A$618:J2903,10,0)=0,"",VLOOKUP(C2577,' Disaggregation - Section E '!A$618:J2903,10,0)),"")</f>
        <v/>
      </c>
      <c r="O2577" s="384"/>
    </row>
    <row r="2578" spans="1:15" x14ac:dyDescent="0.3">
      <c r="A2578" s="384" t="b">
        <f t="shared" ca="1" si="142"/>
        <v>0</v>
      </c>
      <c r="B2578" s="384"/>
      <c r="C2578" s="393" t="str">
        <f ca="1">IF(COUNTA(O$1493:O2578)=1,"",OFFSET(B2576,-COUNTA(O$1493:O2578)+3,1))</f>
        <v>a16Dm000000LZhJIAW</v>
      </c>
      <c r="D2578" s="389"/>
      <c r="E2578" s="386" t="str">
        <f ca="1">IFERROR(IF(VLOOKUP(C2578,' Disaggregation - Section E '!A$618:J2904,7,0)="","",VLOOKUP(C2578,' Disaggregation - Section E '!A$618:J2904,7,0)*100),"")</f>
        <v/>
      </c>
      <c r="F2578" s="388" t="str">
        <f ca="1">IFERROR(VLOOKUP(C2578,' Disaggregation - Section E '!A$618:J2904,5,0),"")</f>
        <v/>
      </c>
      <c r="G2578" s="387" t="str">
        <f ca="1">IFERROR(IF(VLOOKUP(C2578,' Disaggregation - Section E '!A$618:J2904,6,0)="","",VLOOKUP(C2578,' Disaggregation - Section E '!A$618:J2904,6,0)),"")</f>
        <v/>
      </c>
      <c r="H2578" s="387" t="str">
        <f ca="1">IFERROR(IF(INDEX(' Disaggregation - Section E '!F$618:F2904,MATCH(C2578,' Disaggregation - Section E '!A$618:A2904,0)+1,1)&lt;&gt;0,INDEX(' Disaggregation - Section E '!F$618:F2904,MATCH(C2578,' Disaggregation - Section E '!A$618:A2904,0)+1,1),""),"")</f>
        <v/>
      </c>
      <c r="I2578" s="388" t="str">
        <f ca="1">IFERROR(IF(VLOOKUP(C2578,' Disaggregation - Section E '!A$618:J2904,8,0)=0,"",VLOOKUP(C2578,' Disaggregation - Section E '!A$618:J2904,8,0)),"")</f>
        <v/>
      </c>
      <c r="J2578" s="388" t="str">
        <f ca="1">IFERROR(IF(VLOOKUP(C2578,' Disaggregation - Section E '!A$618:J2904,9,0)="","",VLOOKUP(C2578,' Disaggregation - Section E '!A$618:J2904,9,0)),"")</f>
        <v/>
      </c>
      <c r="K2578" s="384" t="str">
        <f ca="1">IFERROR(VLOOKUP(C2578,' Disaggregation - Section E '!A$618:J2904,3,0),"")</f>
        <v/>
      </c>
      <c r="L2578" s="384"/>
      <c r="M2578" s="384" t="str">
        <f ca="1">IFERROR(IF(VLOOKUP(C2578,' Disaggregation - Section E '!A$618:O1707,15,0)=0,"",VLOOKUP(C2578,' Disaggregation - Section E '!A$618:O1707,15,0)),"")</f>
        <v/>
      </c>
      <c r="N2578" s="388" t="str">
        <f ca="1">IFERROR(IF(VLOOKUP(C2578,' Disaggregation - Section E '!A$618:J2904,10,0)=0,"",VLOOKUP(C2578,' Disaggregation - Section E '!A$618:J2904,10,0)),"")</f>
        <v/>
      </c>
      <c r="O2578" s="384"/>
    </row>
    <row r="2579" spans="1:15" x14ac:dyDescent="0.3">
      <c r="A2579" s="384" t="b">
        <f t="shared" ca="1" si="142"/>
        <v>0</v>
      </c>
      <c r="B2579" s="384"/>
      <c r="C2579" s="393" t="str">
        <f ca="1">IF(COUNTA(O$1493:O2579)=1,"",OFFSET(B2577,-COUNTA(O$1493:O2579)+3,1))</f>
        <v>a16Dm000000LZhKIAW</v>
      </c>
      <c r="D2579" s="389"/>
      <c r="E2579" s="386" t="str">
        <f ca="1">IFERROR(IF(VLOOKUP(C2579,' Disaggregation - Section E '!A$618:J2905,7,0)="","",VLOOKUP(C2579,' Disaggregation - Section E '!A$618:J2905,7,0)*100),"")</f>
        <v/>
      </c>
      <c r="F2579" s="388" t="str">
        <f ca="1">IFERROR(VLOOKUP(C2579,' Disaggregation - Section E '!A$618:J2905,5,0),"")</f>
        <v/>
      </c>
      <c r="G2579" s="387" t="str">
        <f ca="1">IFERROR(IF(VLOOKUP(C2579,' Disaggregation - Section E '!A$618:J2905,6,0)="","",VLOOKUP(C2579,' Disaggregation - Section E '!A$618:J2905,6,0)),"")</f>
        <v/>
      </c>
      <c r="H2579" s="387" t="str">
        <f ca="1">IFERROR(IF(INDEX(' Disaggregation - Section E '!F$618:F2905,MATCH(C2579,' Disaggregation - Section E '!A$618:A2905,0)+1,1)&lt;&gt;0,INDEX(' Disaggregation - Section E '!F$618:F2905,MATCH(C2579,' Disaggregation - Section E '!A$618:A2905,0)+1,1),""),"")</f>
        <v/>
      </c>
      <c r="I2579" s="388" t="str">
        <f ca="1">IFERROR(IF(VLOOKUP(C2579,' Disaggregation - Section E '!A$618:J2905,8,0)=0,"",VLOOKUP(C2579,' Disaggregation - Section E '!A$618:J2905,8,0)),"")</f>
        <v/>
      </c>
      <c r="J2579" s="388" t="str">
        <f ca="1">IFERROR(IF(VLOOKUP(C2579,' Disaggregation - Section E '!A$618:J2905,9,0)="","",VLOOKUP(C2579,' Disaggregation - Section E '!A$618:J2905,9,0)),"")</f>
        <v/>
      </c>
      <c r="K2579" s="384" t="str">
        <f ca="1">IFERROR(VLOOKUP(C2579,' Disaggregation - Section E '!A$618:J2905,3,0),"")</f>
        <v/>
      </c>
      <c r="L2579" s="384"/>
      <c r="M2579" s="384" t="str">
        <f ca="1">IFERROR(IF(VLOOKUP(C2579,' Disaggregation - Section E '!A$618:O1708,15,0)=0,"",VLOOKUP(C2579,' Disaggregation - Section E '!A$618:O1708,15,0)),"")</f>
        <v/>
      </c>
      <c r="N2579" s="388" t="str">
        <f ca="1">IFERROR(IF(VLOOKUP(C2579,' Disaggregation - Section E '!A$618:J2905,10,0)=0,"",VLOOKUP(C2579,' Disaggregation - Section E '!A$618:J2905,10,0)),"")</f>
        <v/>
      </c>
      <c r="O2579" s="384"/>
    </row>
    <row r="2580" spans="1:15" x14ac:dyDescent="0.3">
      <c r="A2580" s="384" t="b">
        <f t="shared" ca="1" si="142"/>
        <v>0</v>
      </c>
      <c r="B2580" s="384"/>
      <c r="C2580" s="393" t="str">
        <f ca="1">IF(COUNTA(O$1493:O2580)=1,"",OFFSET(B2578,-COUNTA(O$1493:O2580)+3,1))</f>
        <v>a16Dm000000LZhLIAW</v>
      </c>
      <c r="D2580" s="389"/>
      <c r="E2580" s="386" t="str">
        <f ca="1">IFERROR(IF(VLOOKUP(C2580,' Disaggregation - Section E '!A$618:J2906,7,0)="","",VLOOKUP(C2580,' Disaggregation - Section E '!A$618:J2906,7,0)*100),"")</f>
        <v/>
      </c>
      <c r="F2580" s="388" t="str">
        <f ca="1">IFERROR(VLOOKUP(C2580,' Disaggregation - Section E '!A$618:J2906,5,0),"")</f>
        <v/>
      </c>
      <c r="G2580" s="387" t="str">
        <f ca="1">IFERROR(IF(VLOOKUP(C2580,' Disaggregation - Section E '!A$618:J2906,6,0)="","",VLOOKUP(C2580,' Disaggregation - Section E '!A$618:J2906,6,0)),"")</f>
        <v/>
      </c>
      <c r="H2580" s="387" t="str">
        <f ca="1">IFERROR(IF(INDEX(' Disaggregation - Section E '!F$618:F2906,MATCH(C2580,' Disaggregation - Section E '!A$618:A2906,0)+1,1)&lt;&gt;0,INDEX(' Disaggregation - Section E '!F$618:F2906,MATCH(C2580,' Disaggregation - Section E '!A$618:A2906,0)+1,1),""),"")</f>
        <v/>
      </c>
      <c r="I2580" s="388" t="str">
        <f ca="1">IFERROR(IF(VLOOKUP(C2580,' Disaggregation - Section E '!A$618:J2906,8,0)=0,"",VLOOKUP(C2580,' Disaggregation - Section E '!A$618:J2906,8,0)),"")</f>
        <v/>
      </c>
      <c r="J2580" s="388" t="str">
        <f ca="1">IFERROR(IF(VLOOKUP(C2580,' Disaggregation - Section E '!A$618:J2906,9,0)="","",VLOOKUP(C2580,' Disaggregation - Section E '!A$618:J2906,9,0)),"")</f>
        <v/>
      </c>
      <c r="K2580" s="384" t="str">
        <f ca="1">IFERROR(VLOOKUP(C2580,' Disaggregation - Section E '!A$618:J2906,3,0),"")</f>
        <v/>
      </c>
      <c r="L2580" s="384"/>
      <c r="M2580" s="384" t="str">
        <f ca="1">IFERROR(IF(VLOOKUP(C2580,' Disaggregation - Section E '!A$618:O1709,15,0)=0,"",VLOOKUP(C2580,' Disaggregation - Section E '!A$618:O1709,15,0)),"")</f>
        <v/>
      </c>
      <c r="N2580" s="388" t="str">
        <f ca="1">IFERROR(IF(VLOOKUP(C2580,' Disaggregation - Section E '!A$618:J2906,10,0)=0,"",VLOOKUP(C2580,' Disaggregation - Section E '!A$618:J2906,10,0)),"")</f>
        <v/>
      </c>
      <c r="O2580" s="384"/>
    </row>
    <row r="2581" spans="1:15" x14ac:dyDescent="0.3">
      <c r="A2581" s="384" t="b">
        <f t="shared" ca="1" si="142"/>
        <v>0</v>
      </c>
      <c r="B2581" s="384"/>
      <c r="C2581" s="393" t="str">
        <f ca="1">IF(COUNTA(O$1493:O2581)=1,"",OFFSET(B2579,-COUNTA(O$1493:O2581)+3,1))</f>
        <v>a16Dm000000LZhMIAW</v>
      </c>
      <c r="D2581" s="389"/>
      <c r="E2581" s="386" t="str">
        <f ca="1">IFERROR(IF(VLOOKUP(C2581,' Disaggregation - Section E '!A$618:J2907,7,0)="","",VLOOKUP(C2581,' Disaggregation - Section E '!A$618:J2907,7,0)*100),"")</f>
        <v/>
      </c>
      <c r="F2581" s="388" t="str">
        <f ca="1">IFERROR(VLOOKUP(C2581,' Disaggregation - Section E '!A$618:J2907,5,0),"")</f>
        <v/>
      </c>
      <c r="G2581" s="387" t="str">
        <f ca="1">IFERROR(IF(VLOOKUP(C2581,' Disaggregation - Section E '!A$618:J2907,6,0)="","",VLOOKUP(C2581,' Disaggregation - Section E '!A$618:J2907,6,0)),"")</f>
        <v/>
      </c>
      <c r="H2581" s="387" t="str">
        <f ca="1">IFERROR(IF(INDEX(' Disaggregation - Section E '!F$618:F2907,MATCH(C2581,' Disaggregation - Section E '!A$618:A2907,0)+1,1)&lt;&gt;0,INDEX(' Disaggregation - Section E '!F$618:F2907,MATCH(C2581,' Disaggregation - Section E '!A$618:A2907,0)+1,1),""),"")</f>
        <v/>
      </c>
      <c r="I2581" s="388" t="str">
        <f ca="1">IFERROR(IF(VLOOKUP(C2581,' Disaggregation - Section E '!A$618:J2907,8,0)=0,"",VLOOKUP(C2581,' Disaggregation - Section E '!A$618:J2907,8,0)),"")</f>
        <v/>
      </c>
      <c r="J2581" s="388" t="str">
        <f ca="1">IFERROR(IF(VLOOKUP(C2581,' Disaggregation - Section E '!A$618:J2907,9,0)="","",VLOOKUP(C2581,' Disaggregation - Section E '!A$618:J2907,9,0)),"")</f>
        <v/>
      </c>
      <c r="K2581" s="384" t="str">
        <f ca="1">IFERROR(VLOOKUP(C2581,' Disaggregation - Section E '!A$618:J2907,3,0),"")</f>
        <v/>
      </c>
      <c r="L2581" s="384"/>
      <c r="M2581" s="384" t="str">
        <f ca="1">IFERROR(IF(VLOOKUP(C2581,' Disaggregation - Section E '!A$618:O1710,15,0)=0,"",VLOOKUP(C2581,' Disaggregation - Section E '!A$618:O1710,15,0)),"")</f>
        <v/>
      </c>
      <c r="N2581" s="388" t="str">
        <f ca="1">IFERROR(IF(VLOOKUP(C2581,' Disaggregation - Section E '!A$618:J2907,10,0)=0,"",VLOOKUP(C2581,' Disaggregation - Section E '!A$618:J2907,10,0)),"")</f>
        <v/>
      </c>
      <c r="O2581" s="384"/>
    </row>
    <row r="2582" spans="1:15" x14ac:dyDescent="0.3">
      <c r="A2582" s="384" t="b">
        <f t="shared" ca="1" si="142"/>
        <v>0</v>
      </c>
      <c r="B2582" s="384"/>
      <c r="C2582" s="393" t="str">
        <f ca="1">IF(COUNTA(O$1493:O2582)=1,"",OFFSET(B2580,-COUNTA(O$1493:O2582)+3,1))</f>
        <v>a16Dm000000LZhNIAW</v>
      </c>
      <c r="D2582" s="389"/>
      <c r="E2582" s="386" t="str">
        <f ca="1">IFERROR(IF(VLOOKUP(C2582,' Disaggregation - Section E '!A$618:J2908,7,0)="","",VLOOKUP(C2582,' Disaggregation - Section E '!A$618:J2908,7,0)*100),"")</f>
        <v/>
      </c>
      <c r="F2582" s="388" t="str">
        <f ca="1">IFERROR(VLOOKUP(C2582,' Disaggregation - Section E '!A$618:J2908,5,0),"")</f>
        <v/>
      </c>
      <c r="G2582" s="387" t="str">
        <f ca="1">IFERROR(IF(VLOOKUP(C2582,' Disaggregation - Section E '!A$618:J2908,6,0)="","",VLOOKUP(C2582,' Disaggregation - Section E '!A$618:J2908,6,0)),"")</f>
        <v/>
      </c>
      <c r="H2582" s="387" t="str">
        <f ca="1">IFERROR(IF(INDEX(' Disaggregation - Section E '!F$618:F2908,MATCH(C2582,' Disaggregation - Section E '!A$618:A2908,0)+1,1)&lt;&gt;0,INDEX(' Disaggregation - Section E '!F$618:F2908,MATCH(C2582,' Disaggregation - Section E '!A$618:A2908,0)+1,1),""),"")</f>
        <v/>
      </c>
      <c r="I2582" s="388" t="str">
        <f ca="1">IFERROR(IF(VLOOKUP(C2582,' Disaggregation - Section E '!A$618:J2908,8,0)=0,"",VLOOKUP(C2582,' Disaggregation - Section E '!A$618:J2908,8,0)),"")</f>
        <v/>
      </c>
      <c r="J2582" s="388" t="str">
        <f ca="1">IFERROR(IF(VLOOKUP(C2582,' Disaggregation - Section E '!A$618:J2908,9,0)="","",VLOOKUP(C2582,' Disaggregation - Section E '!A$618:J2908,9,0)),"")</f>
        <v/>
      </c>
      <c r="K2582" s="384" t="str">
        <f ca="1">IFERROR(VLOOKUP(C2582,' Disaggregation - Section E '!A$618:J2908,3,0),"")</f>
        <v/>
      </c>
      <c r="L2582" s="384"/>
      <c r="M2582" s="384" t="str">
        <f ca="1">IFERROR(IF(VLOOKUP(C2582,' Disaggregation - Section E '!A$618:O1711,15,0)=0,"",VLOOKUP(C2582,' Disaggregation - Section E '!A$618:O1711,15,0)),"")</f>
        <v/>
      </c>
      <c r="N2582" s="388" t="str">
        <f ca="1">IFERROR(IF(VLOOKUP(C2582,' Disaggregation - Section E '!A$618:J2908,10,0)=0,"",VLOOKUP(C2582,' Disaggregation - Section E '!A$618:J2908,10,0)),"")</f>
        <v/>
      </c>
      <c r="O2582" s="384"/>
    </row>
    <row r="2583" spans="1:15" x14ac:dyDescent="0.3">
      <c r="A2583" s="384" t="b">
        <f t="shared" ca="1" si="142"/>
        <v>0</v>
      </c>
      <c r="B2583" s="384"/>
      <c r="C2583" s="393" t="str">
        <f ca="1">IF(COUNTA(O$1493:O2583)=1,"",OFFSET(B2581,-COUNTA(O$1493:O2583)+3,1))</f>
        <v>a16Dm000000LZhOIAW</v>
      </c>
      <c r="D2583" s="389"/>
      <c r="E2583" s="386" t="str">
        <f ca="1">IFERROR(IF(VLOOKUP(C2583,' Disaggregation - Section E '!A$618:J2909,7,0)="","",VLOOKUP(C2583,' Disaggregation - Section E '!A$618:J2909,7,0)*100),"")</f>
        <v/>
      </c>
      <c r="F2583" s="388" t="str">
        <f ca="1">IFERROR(VLOOKUP(C2583,' Disaggregation - Section E '!A$618:J2909,5,0),"")</f>
        <v/>
      </c>
      <c r="G2583" s="387" t="str">
        <f ca="1">IFERROR(IF(VLOOKUP(C2583,' Disaggregation - Section E '!A$618:J2909,6,0)="","",VLOOKUP(C2583,' Disaggregation - Section E '!A$618:J2909,6,0)),"")</f>
        <v/>
      </c>
      <c r="H2583" s="387" t="str">
        <f ca="1">IFERROR(IF(INDEX(' Disaggregation - Section E '!F$618:F2909,MATCH(C2583,' Disaggregation - Section E '!A$618:A2909,0)+1,1)&lt;&gt;0,INDEX(' Disaggregation - Section E '!F$618:F2909,MATCH(C2583,' Disaggregation - Section E '!A$618:A2909,0)+1,1),""),"")</f>
        <v/>
      </c>
      <c r="I2583" s="388" t="str">
        <f ca="1">IFERROR(IF(VLOOKUP(C2583,' Disaggregation - Section E '!A$618:J2909,8,0)=0,"",VLOOKUP(C2583,' Disaggregation - Section E '!A$618:J2909,8,0)),"")</f>
        <v/>
      </c>
      <c r="J2583" s="388" t="str">
        <f ca="1">IFERROR(IF(VLOOKUP(C2583,' Disaggregation - Section E '!A$618:J2909,9,0)="","",VLOOKUP(C2583,' Disaggregation - Section E '!A$618:J2909,9,0)),"")</f>
        <v/>
      </c>
      <c r="K2583" s="384" t="str">
        <f ca="1">IFERROR(VLOOKUP(C2583,' Disaggregation - Section E '!A$618:J2909,3,0),"")</f>
        <v/>
      </c>
      <c r="L2583" s="384"/>
      <c r="M2583" s="384" t="str">
        <f ca="1">IFERROR(IF(VLOOKUP(C2583,' Disaggregation - Section E '!A$618:O1712,15,0)=0,"",VLOOKUP(C2583,' Disaggregation - Section E '!A$618:O1712,15,0)),"")</f>
        <v/>
      </c>
      <c r="N2583" s="388" t="str">
        <f ca="1">IFERROR(IF(VLOOKUP(C2583,' Disaggregation - Section E '!A$618:J2909,10,0)=0,"",VLOOKUP(C2583,' Disaggregation - Section E '!A$618:J2909,10,0)),"")</f>
        <v/>
      </c>
      <c r="O2583" s="384"/>
    </row>
    <row r="2584" spans="1:15" x14ac:dyDescent="0.3">
      <c r="A2584" s="384" t="b">
        <f t="shared" ca="1" si="142"/>
        <v>0</v>
      </c>
      <c r="B2584" s="384"/>
      <c r="C2584" s="393" t="str">
        <f ca="1">IF(COUNTA(O$1493:O2584)=1,"",OFFSET(B2582,-COUNTA(O$1493:O2584)+3,1))</f>
        <v>a16Dm000000LZhPIAW</v>
      </c>
      <c r="D2584" s="389"/>
      <c r="E2584" s="386" t="str">
        <f ca="1">IFERROR(IF(VLOOKUP(C2584,' Disaggregation - Section E '!A$618:J2910,7,0)="","",VLOOKUP(C2584,' Disaggregation - Section E '!A$618:J2910,7,0)*100),"")</f>
        <v/>
      </c>
      <c r="F2584" s="388" t="str">
        <f ca="1">IFERROR(VLOOKUP(C2584,' Disaggregation - Section E '!A$618:J2910,5,0),"")</f>
        <v/>
      </c>
      <c r="G2584" s="387" t="str">
        <f ca="1">IFERROR(IF(VLOOKUP(C2584,' Disaggregation - Section E '!A$618:J2910,6,0)="","",VLOOKUP(C2584,' Disaggregation - Section E '!A$618:J2910,6,0)),"")</f>
        <v/>
      </c>
      <c r="H2584" s="387" t="str">
        <f ca="1">IFERROR(IF(INDEX(' Disaggregation - Section E '!F$618:F2910,MATCH(C2584,' Disaggregation - Section E '!A$618:A2910,0)+1,1)&lt;&gt;0,INDEX(' Disaggregation - Section E '!F$618:F2910,MATCH(C2584,' Disaggregation - Section E '!A$618:A2910,0)+1,1),""),"")</f>
        <v/>
      </c>
      <c r="I2584" s="388" t="str">
        <f ca="1">IFERROR(IF(VLOOKUP(C2584,' Disaggregation - Section E '!A$618:J2910,8,0)=0,"",VLOOKUP(C2584,' Disaggregation - Section E '!A$618:J2910,8,0)),"")</f>
        <v/>
      </c>
      <c r="J2584" s="388" t="str">
        <f ca="1">IFERROR(IF(VLOOKUP(C2584,' Disaggregation - Section E '!A$618:J2910,9,0)="","",VLOOKUP(C2584,' Disaggregation - Section E '!A$618:J2910,9,0)),"")</f>
        <v/>
      </c>
      <c r="K2584" s="384" t="str">
        <f ca="1">IFERROR(VLOOKUP(C2584,' Disaggregation - Section E '!A$618:J2910,3,0),"")</f>
        <v/>
      </c>
      <c r="L2584" s="384"/>
      <c r="M2584" s="384" t="str">
        <f ca="1">IFERROR(IF(VLOOKUP(C2584,' Disaggregation - Section E '!A$618:O1713,15,0)=0,"",VLOOKUP(C2584,' Disaggregation - Section E '!A$618:O1713,15,0)),"")</f>
        <v/>
      </c>
      <c r="N2584" s="388" t="str">
        <f ca="1">IFERROR(IF(VLOOKUP(C2584,' Disaggregation - Section E '!A$618:J2910,10,0)=0,"",VLOOKUP(C2584,' Disaggregation - Section E '!A$618:J2910,10,0)),"")</f>
        <v/>
      </c>
      <c r="O2584" s="384"/>
    </row>
    <row r="2585" spans="1:15" x14ac:dyDescent="0.3">
      <c r="A2585" s="384" t="b">
        <f t="shared" ca="1" si="142"/>
        <v>0</v>
      </c>
      <c r="B2585" s="384"/>
      <c r="C2585" s="393" t="str">
        <f ca="1">IF(COUNTA(O$1493:O2585)=1,"",OFFSET(B2583,-COUNTA(O$1493:O2585)+3,1))</f>
        <v>a16Dm000000LZhQIAW</v>
      </c>
      <c r="D2585" s="389"/>
      <c r="E2585" s="386" t="str">
        <f ca="1">IFERROR(IF(VLOOKUP(C2585,' Disaggregation - Section E '!A$618:J2911,7,0)="","",VLOOKUP(C2585,' Disaggregation - Section E '!A$618:J2911,7,0)*100),"")</f>
        <v/>
      </c>
      <c r="F2585" s="388" t="str">
        <f ca="1">IFERROR(VLOOKUP(C2585,' Disaggregation - Section E '!A$618:J2911,5,0),"")</f>
        <v/>
      </c>
      <c r="G2585" s="387" t="str">
        <f ca="1">IFERROR(IF(VLOOKUP(C2585,' Disaggregation - Section E '!A$618:J2911,6,0)="","",VLOOKUP(C2585,' Disaggregation - Section E '!A$618:J2911,6,0)),"")</f>
        <v/>
      </c>
      <c r="H2585" s="387" t="str">
        <f ca="1">IFERROR(IF(INDEX(' Disaggregation - Section E '!F$618:F2911,MATCH(C2585,' Disaggregation - Section E '!A$618:A2911,0)+1,1)&lt;&gt;0,INDEX(' Disaggregation - Section E '!F$618:F2911,MATCH(C2585,' Disaggregation - Section E '!A$618:A2911,0)+1,1),""),"")</f>
        <v/>
      </c>
      <c r="I2585" s="388" t="str">
        <f ca="1">IFERROR(IF(VLOOKUP(C2585,' Disaggregation - Section E '!A$618:J2911,8,0)=0,"",VLOOKUP(C2585,' Disaggregation - Section E '!A$618:J2911,8,0)),"")</f>
        <v/>
      </c>
      <c r="J2585" s="388" t="str">
        <f ca="1">IFERROR(IF(VLOOKUP(C2585,' Disaggregation - Section E '!A$618:J2911,9,0)="","",VLOOKUP(C2585,' Disaggregation - Section E '!A$618:J2911,9,0)),"")</f>
        <v/>
      </c>
      <c r="K2585" s="384" t="str">
        <f ca="1">IFERROR(VLOOKUP(C2585,' Disaggregation - Section E '!A$618:J2911,3,0),"")</f>
        <v/>
      </c>
      <c r="L2585" s="384"/>
      <c r="M2585" s="384" t="str">
        <f ca="1">IFERROR(IF(VLOOKUP(C2585,' Disaggregation - Section E '!A$618:O1714,15,0)=0,"",VLOOKUP(C2585,' Disaggregation - Section E '!A$618:O1714,15,0)),"")</f>
        <v/>
      </c>
      <c r="N2585" s="388" t="str">
        <f ca="1">IFERROR(IF(VLOOKUP(C2585,' Disaggregation - Section E '!A$618:J2911,10,0)=0,"",VLOOKUP(C2585,' Disaggregation - Section E '!A$618:J2911,10,0)),"")</f>
        <v/>
      </c>
      <c r="O2585" s="384"/>
    </row>
    <row r="2586" spans="1:15" x14ac:dyDescent="0.3">
      <c r="A2586" s="384" t="b">
        <f t="shared" ca="1" si="142"/>
        <v>0</v>
      </c>
      <c r="B2586" s="384"/>
      <c r="C2586" s="393" t="str">
        <f ca="1">IF(COUNTA(O$1493:O2586)=1,"",OFFSET(B2584,-COUNTA(O$1493:O2586)+3,1))</f>
        <v>a16Dm000000LZhRIAW</v>
      </c>
      <c r="D2586" s="389"/>
      <c r="E2586" s="386" t="str">
        <f ca="1">IFERROR(IF(VLOOKUP(C2586,' Disaggregation - Section E '!A$618:J2912,7,0)="","",VLOOKUP(C2586,' Disaggregation - Section E '!A$618:J2912,7,0)*100),"")</f>
        <v/>
      </c>
      <c r="F2586" s="388" t="str">
        <f ca="1">IFERROR(VLOOKUP(C2586,' Disaggregation - Section E '!A$618:J2912,5,0),"")</f>
        <v/>
      </c>
      <c r="G2586" s="387" t="str">
        <f ca="1">IFERROR(IF(VLOOKUP(C2586,' Disaggregation - Section E '!A$618:J2912,6,0)="","",VLOOKUP(C2586,' Disaggregation - Section E '!A$618:J2912,6,0)),"")</f>
        <v/>
      </c>
      <c r="H2586" s="387" t="str">
        <f ca="1">IFERROR(IF(INDEX(' Disaggregation - Section E '!F$618:F2912,MATCH(C2586,' Disaggregation - Section E '!A$618:A2912,0)+1,1)&lt;&gt;0,INDEX(' Disaggregation - Section E '!F$618:F2912,MATCH(C2586,' Disaggregation - Section E '!A$618:A2912,0)+1,1),""),"")</f>
        <v/>
      </c>
      <c r="I2586" s="388" t="str">
        <f ca="1">IFERROR(IF(VLOOKUP(C2586,' Disaggregation - Section E '!A$618:J2912,8,0)=0,"",VLOOKUP(C2586,' Disaggregation - Section E '!A$618:J2912,8,0)),"")</f>
        <v/>
      </c>
      <c r="J2586" s="388" t="str">
        <f ca="1">IFERROR(IF(VLOOKUP(C2586,' Disaggregation - Section E '!A$618:J2912,9,0)="","",VLOOKUP(C2586,' Disaggregation - Section E '!A$618:J2912,9,0)),"")</f>
        <v/>
      </c>
      <c r="K2586" s="384" t="str">
        <f ca="1">IFERROR(VLOOKUP(C2586,' Disaggregation - Section E '!A$618:J2912,3,0),"")</f>
        <v/>
      </c>
      <c r="L2586" s="384"/>
      <c r="M2586" s="384" t="str">
        <f ca="1">IFERROR(IF(VLOOKUP(C2586,' Disaggregation - Section E '!A$618:O1715,15,0)=0,"",VLOOKUP(C2586,' Disaggregation - Section E '!A$618:O1715,15,0)),"")</f>
        <v/>
      </c>
      <c r="N2586" s="388" t="str">
        <f ca="1">IFERROR(IF(VLOOKUP(C2586,' Disaggregation - Section E '!A$618:J2912,10,0)=0,"",VLOOKUP(C2586,' Disaggregation - Section E '!A$618:J2912,10,0)),"")</f>
        <v/>
      </c>
      <c r="O2586" s="384"/>
    </row>
    <row r="2587" spans="1:15" x14ac:dyDescent="0.3">
      <c r="A2587" s="384" t="b">
        <f t="shared" ca="1" si="142"/>
        <v>0</v>
      </c>
      <c r="B2587" s="384"/>
      <c r="C2587" s="393" t="str">
        <f ca="1">IF(COUNTA(O$1493:O2587)=1,"",OFFSET(B2585,-COUNTA(O$1493:O2587)+3,1))</f>
        <v>a16Dm000000LZhSIAW</v>
      </c>
      <c r="D2587" s="389"/>
      <c r="E2587" s="386" t="str">
        <f ca="1">IFERROR(IF(VLOOKUP(C2587,' Disaggregation - Section E '!A$618:J2913,7,0)="","",VLOOKUP(C2587,' Disaggregation - Section E '!A$618:J2913,7,0)*100),"")</f>
        <v/>
      </c>
      <c r="F2587" s="388" t="str">
        <f ca="1">IFERROR(VLOOKUP(C2587,' Disaggregation - Section E '!A$618:J2913,5,0),"")</f>
        <v/>
      </c>
      <c r="G2587" s="387" t="str">
        <f ca="1">IFERROR(IF(VLOOKUP(C2587,' Disaggregation - Section E '!A$618:J2913,6,0)="","",VLOOKUP(C2587,' Disaggregation - Section E '!A$618:J2913,6,0)),"")</f>
        <v/>
      </c>
      <c r="H2587" s="387" t="str">
        <f ca="1">IFERROR(IF(INDEX(' Disaggregation - Section E '!F$618:F2913,MATCH(C2587,' Disaggregation - Section E '!A$618:A2913,0)+1,1)&lt;&gt;0,INDEX(' Disaggregation - Section E '!F$618:F2913,MATCH(C2587,' Disaggregation - Section E '!A$618:A2913,0)+1,1),""),"")</f>
        <v/>
      </c>
      <c r="I2587" s="388" t="str">
        <f ca="1">IFERROR(IF(VLOOKUP(C2587,' Disaggregation - Section E '!A$618:J2913,8,0)=0,"",VLOOKUP(C2587,' Disaggregation - Section E '!A$618:J2913,8,0)),"")</f>
        <v/>
      </c>
      <c r="J2587" s="388" t="str">
        <f ca="1">IFERROR(IF(VLOOKUP(C2587,' Disaggregation - Section E '!A$618:J2913,9,0)="","",VLOOKUP(C2587,' Disaggregation - Section E '!A$618:J2913,9,0)),"")</f>
        <v/>
      </c>
      <c r="K2587" s="384" t="str">
        <f ca="1">IFERROR(VLOOKUP(C2587,' Disaggregation - Section E '!A$618:J2913,3,0),"")</f>
        <v/>
      </c>
      <c r="L2587" s="384"/>
      <c r="M2587" s="384" t="str">
        <f ca="1">IFERROR(IF(VLOOKUP(C2587,' Disaggregation - Section E '!A$618:O1716,15,0)=0,"",VLOOKUP(C2587,' Disaggregation - Section E '!A$618:O1716,15,0)),"")</f>
        <v/>
      </c>
      <c r="N2587" s="388" t="str">
        <f ca="1">IFERROR(IF(VLOOKUP(C2587,' Disaggregation - Section E '!A$618:J2913,10,0)=0,"",VLOOKUP(C2587,' Disaggregation - Section E '!A$618:J2913,10,0)),"")</f>
        <v/>
      </c>
      <c r="O2587" s="384"/>
    </row>
    <row r="2588" spans="1:15" x14ac:dyDescent="0.3">
      <c r="A2588" s="384" t="b">
        <f t="shared" ca="1" si="142"/>
        <v>0</v>
      </c>
      <c r="B2588" s="384"/>
      <c r="C2588" s="393" t="str">
        <f ca="1">IF(COUNTA(O$1493:O2588)=1,"",OFFSET(B2586,-COUNTA(O$1493:O2588)+3,1))</f>
        <v>a16Dm000000LZhTIAW</v>
      </c>
      <c r="D2588" s="389"/>
      <c r="E2588" s="386" t="str">
        <f ca="1">IFERROR(IF(VLOOKUP(C2588,' Disaggregation - Section E '!A$618:J2914,7,0)="","",VLOOKUP(C2588,' Disaggregation - Section E '!A$618:J2914,7,0)*100),"")</f>
        <v/>
      </c>
      <c r="F2588" s="388" t="str">
        <f ca="1">IFERROR(VLOOKUP(C2588,' Disaggregation - Section E '!A$618:J2914,5,0),"")</f>
        <v/>
      </c>
      <c r="G2588" s="387" t="str">
        <f ca="1">IFERROR(IF(VLOOKUP(C2588,' Disaggregation - Section E '!A$618:J2914,6,0)="","",VLOOKUP(C2588,' Disaggregation - Section E '!A$618:J2914,6,0)),"")</f>
        <v/>
      </c>
      <c r="H2588" s="387" t="str">
        <f ca="1">IFERROR(IF(INDEX(' Disaggregation - Section E '!F$618:F2914,MATCH(C2588,' Disaggregation - Section E '!A$618:A2914,0)+1,1)&lt;&gt;0,INDEX(' Disaggregation - Section E '!F$618:F2914,MATCH(C2588,' Disaggregation - Section E '!A$618:A2914,0)+1,1),""),"")</f>
        <v/>
      </c>
      <c r="I2588" s="388" t="str">
        <f ca="1">IFERROR(IF(VLOOKUP(C2588,' Disaggregation - Section E '!A$618:J2914,8,0)=0,"",VLOOKUP(C2588,' Disaggregation - Section E '!A$618:J2914,8,0)),"")</f>
        <v/>
      </c>
      <c r="J2588" s="388" t="str">
        <f ca="1">IFERROR(IF(VLOOKUP(C2588,' Disaggregation - Section E '!A$618:J2914,9,0)="","",VLOOKUP(C2588,' Disaggregation - Section E '!A$618:J2914,9,0)),"")</f>
        <v/>
      </c>
      <c r="K2588" s="384" t="str">
        <f ca="1">IFERROR(VLOOKUP(C2588,' Disaggregation - Section E '!A$618:J2914,3,0),"")</f>
        <v/>
      </c>
      <c r="L2588" s="384"/>
      <c r="M2588" s="384" t="str">
        <f ca="1">IFERROR(IF(VLOOKUP(C2588,' Disaggregation - Section E '!A$618:O1717,15,0)=0,"",VLOOKUP(C2588,' Disaggregation - Section E '!A$618:O1717,15,0)),"")</f>
        <v/>
      </c>
      <c r="N2588" s="388" t="str">
        <f ca="1">IFERROR(IF(VLOOKUP(C2588,' Disaggregation - Section E '!A$618:J2914,10,0)=0,"",VLOOKUP(C2588,' Disaggregation - Section E '!A$618:J2914,10,0)),"")</f>
        <v/>
      </c>
      <c r="O2588" s="384"/>
    </row>
    <row r="2589" spans="1:15" x14ac:dyDescent="0.3">
      <c r="A2589" s="384" t="b">
        <f t="shared" ca="1" si="142"/>
        <v>0</v>
      </c>
      <c r="B2589" s="384"/>
      <c r="C2589" s="393" t="str">
        <f ca="1">IF(COUNTA(O$1493:O2589)=1,"",OFFSET(B2587,-COUNTA(O$1493:O2589)+3,1))</f>
        <v>a16Dm000000LZhUIAW</v>
      </c>
      <c r="D2589" s="389"/>
      <c r="E2589" s="386" t="str">
        <f ca="1">IFERROR(IF(VLOOKUP(C2589,' Disaggregation - Section E '!A$618:J2915,7,0)="","",VLOOKUP(C2589,' Disaggregation - Section E '!A$618:J2915,7,0)*100),"")</f>
        <v/>
      </c>
      <c r="F2589" s="388" t="str">
        <f ca="1">IFERROR(VLOOKUP(C2589,' Disaggregation - Section E '!A$618:J2915,5,0),"")</f>
        <v/>
      </c>
      <c r="G2589" s="387" t="str">
        <f ca="1">IFERROR(IF(VLOOKUP(C2589,' Disaggregation - Section E '!A$618:J2915,6,0)="","",VLOOKUP(C2589,' Disaggregation - Section E '!A$618:J2915,6,0)),"")</f>
        <v/>
      </c>
      <c r="H2589" s="387" t="str">
        <f ca="1">IFERROR(IF(INDEX(' Disaggregation - Section E '!F$618:F2915,MATCH(C2589,' Disaggregation - Section E '!A$618:A2915,0)+1,1)&lt;&gt;0,INDEX(' Disaggregation - Section E '!F$618:F2915,MATCH(C2589,' Disaggregation - Section E '!A$618:A2915,0)+1,1),""),"")</f>
        <v/>
      </c>
      <c r="I2589" s="388" t="str">
        <f ca="1">IFERROR(IF(VLOOKUP(C2589,' Disaggregation - Section E '!A$618:J2915,8,0)=0,"",VLOOKUP(C2589,' Disaggregation - Section E '!A$618:J2915,8,0)),"")</f>
        <v/>
      </c>
      <c r="J2589" s="388" t="str">
        <f ca="1">IFERROR(IF(VLOOKUP(C2589,' Disaggregation - Section E '!A$618:J2915,9,0)="","",VLOOKUP(C2589,' Disaggregation - Section E '!A$618:J2915,9,0)),"")</f>
        <v/>
      </c>
      <c r="K2589" s="384" t="str">
        <f ca="1">IFERROR(VLOOKUP(C2589,' Disaggregation - Section E '!A$618:J2915,3,0),"")</f>
        <v/>
      </c>
      <c r="L2589" s="384"/>
      <c r="M2589" s="384" t="str">
        <f ca="1">IFERROR(IF(VLOOKUP(C2589,' Disaggregation - Section E '!A$618:O1718,15,0)=0,"",VLOOKUP(C2589,' Disaggregation - Section E '!A$618:O1718,15,0)),"")</f>
        <v/>
      </c>
      <c r="N2589" s="388" t="str">
        <f ca="1">IFERROR(IF(VLOOKUP(C2589,' Disaggregation - Section E '!A$618:J2915,10,0)=0,"",VLOOKUP(C2589,' Disaggregation - Section E '!A$618:J2915,10,0)),"")</f>
        <v/>
      </c>
      <c r="O2589" s="384"/>
    </row>
    <row r="2590" spans="1:15" x14ac:dyDescent="0.3">
      <c r="A2590" s="384" t="b">
        <f t="shared" ca="1" si="142"/>
        <v>0</v>
      </c>
      <c r="B2590" s="384"/>
      <c r="C2590" s="393" t="str">
        <f ca="1">IF(COUNTA(O$1493:O2590)=1,"",OFFSET(B2588,-COUNTA(O$1493:O2590)+3,1))</f>
        <v>a16Dm000000LZhVIAW</v>
      </c>
      <c r="D2590" s="389"/>
      <c r="E2590" s="386" t="str">
        <f ca="1">IFERROR(IF(VLOOKUP(C2590,' Disaggregation - Section E '!A$618:J2916,7,0)="","",VLOOKUP(C2590,' Disaggregation - Section E '!A$618:J2916,7,0)*100),"")</f>
        <v/>
      </c>
      <c r="F2590" s="388" t="str">
        <f ca="1">IFERROR(VLOOKUP(C2590,' Disaggregation - Section E '!A$618:J2916,5,0),"")</f>
        <v/>
      </c>
      <c r="G2590" s="387" t="str">
        <f ca="1">IFERROR(IF(VLOOKUP(C2590,' Disaggregation - Section E '!A$618:J2916,6,0)="","",VLOOKUP(C2590,' Disaggregation - Section E '!A$618:J2916,6,0)),"")</f>
        <v/>
      </c>
      <c r="H2590" s="387" t="str">
        <f ca="1">IFERROR(IF(INDEX(' Disaggregation - Section E '!F$618:F2916,MATCH(C2590,' Disaggregation - Section E '!A$618:A2916,0)+1,1)&lt;&gt;0,INDEX(' Disaggregation - Section E '!F$618:F2916,MATCH(C2590,' Disaggregation - Section E '!A$618:A2916,0)+1,1),""),"")</f>
        <v/>
      </c>
      <c r="I2590" s="388" t="str">
        <f ca="1">IFERROR(IF(VLOOKUP(C2590,' Disaggregation - Section E '!A$618:J2916,8,0)=0,"",VLOOKUP(C2590,' Disaggregation - Section E '!A$618:J2916,8,0)),"")</f>
        <v/>
      </c>
      <c r="J2590" s="388" t="str">
        <f ca="1">IFERROR(IF(VLOOKUP(C2590,' Disaggregation - Section E '!A$618:J2916,9,0)="","",VLOOKUP(C2590,' Disaggregation - Section E '!A$618:J2916,9,0)),"")</f>
        <v/>
      </c>
      <c r="K2590" s="384" t="str">
        <f ca="1">IFERROR(VLOOKUP(C2590,' Disaggregation - Section E '!A$618:J2916,3,0),"")</f>
        <v/>
      </c>
      <c r="L2590" s="384"/>
      <c r="M2590" s="384" t="str">
        <f ca="1">IFERROR(IF(VLOOKUP(C2590,' Disaggregation - Section E '!A$618:O1719,15,0)=0,"",VLOOKUP(C2590,' Disaggregation - Section E '!A$618:O1719,15,0)),"")</f>
        <v/>
      </c>
      <c r="N2590" s="388" t="str">
        <f ca="1">IFERROR(IF(VLOOKUP(C2590,' Disaggregation - Section E '!A$618:J2916,10,0)=0,"",VLOOKUP(C2590,' Disaggregation - Section E '!A$618:J2916,10,0)),"")</f>
        <v/>
      </c>
      <c r="O2590" s="384"/>
    </row>
    <row r="2591" spans="1:15" x14ac:dyDescent="0.3">
      <c r="A2591" s="384" t="b">
        <f t="shared" ca="1" si="142"/>
        <v>0</v>
      </c>
      <c r="B2591" s="384"/>
      <c r="C2591" s="393" t="str">
        <f ca="1">IF(COUNTA(O$1493:O2591)=1,"",OFFSET(B2589,-COUNTA(O$1493:O2591)+3,1))</f>
        <v>a16Dm000000LZhWIAW</v>
      </c>
      <c r="D2591" s="389"/>
      <c r="E2591" s="386" t="str">
        <f ca="1">IFERROR(IF(VLOOKUP(C2591,' Disaggregation - Section E '!A$618:J2917,7,0)="","",VLOOKUP(C2591,' Disaggregation - Section E '!A$618:J2917,7,0)*100),"")</f>
        <v/>
      </c>
      <c r="F2591" s="388" t="str">
        <f ca="1">IFERROR(VLOOKUP(C2591,' Disaggregation - Section E '!A$618:J2917,5,0),"")</f>
        <v/>
      </c>
      <c r="G2591" s="387" t="str">
        <f ca="1">IFERROR(IF(VLOOKUP(C2591,' Disaggregation - Section E '!A$618:J2917,6,0)="","",VLOOKUP(C2591,' Disaggregation - Section E '!A$618:J2917,6,0)),"")</f>
        <v/>
      </c>
      <c r="H2591" s="387" t="str">
        <f ca="1">IFERROR(IF(INDEX(' Disaggregation - Section E '!F$618:F2917,MATCH(C2591,' Disaggregation - Section E '!A$618:A2917,0)+1,1)&lt;&gt;0,INDEX(' Disaggregation - Section E '!F$618:F2917,MATCH(C2591,' Disaggregation - Section E '!A$618:A2917,0)+1,1),""),"")</f>
        <v/>
      </c>
      <c r="I2591" s="388" t="str">
        <f ca="1">IFERROR(IF(VLOOKUP(C2591,' Disaggregation - Section E '!A$618:J2917,8,0)=0,"",VLOOKUP(C2591,' Disaggregation - Section E '!A$618:J2917,8,0)),"")</f>
        <v/>
      </c>
      <c r="J2591" s="388" t="str">
        <f ca="1">IFERROR(IF(VLOOKUP(C2591,' Disaggregation - Section E '!A$618:J2917,9,0)="","",VLOOKUP(C2591,' Disaggregation - Section E '!A$618:J2917,9,0)),"")</f>
        <v/>
      </c>
      <c r="K2591" s="384" t="str">
        <f ca="1">IFERROR(VLOOKUP(C2591,' Disaggregation - Section E '!A$618:J2917,3,0),"")</f>
        <v/>
      </c>
      <c r="L2591" s="384"/>
      <c r="M2591" s="384" t="str">
        <f ca="1">IFERROR(IF(VLOOKUP(C2591,' Disaggregation - Section E '!A$618:O1720,15,0)=0,"",VLOOKUP(C2591,' Disaggregation - Section E '!A$618:O1720,15,0)),"")</f>
        <v/>
      </c>
      <c r="N2591" s="388" t="str">
        <f ca="1">IFERROR(IF(VLOOKUP(C2591,' Disaggregation - Section E '!A$618:J2917,10,0)=0,"",VLOOKUP(C2591,' Disaggregation - Section E '!A$618:J2917,10,0)),"")</f>
        <v/>
      </c>
      <c r="O2591" s="384"/>
    </row>
    <row r="2592" spans="1:15" x14ac:dyDescent="0.3">
      <c r="A2592" s="384" t="b">
        <f t="shared" ca="1" si="142"/>
        <v>0</v>
      </c>
      <c r="B2592" s="384"/>
      <c r="C2592" s="393" t="str">
        <f ca="1">IF(COUNTA(O$1493:O2592)=1,"",OFFSET(B2590,-COUNTA(O$1493:O2592)+3,1))</f>
        <v>a16Dm000000LZhXIAW</v>
      </c>
      <c r="D2592" s="389"/>
      <c r="E2592" s="386" t="str">
        <f ca="1">IFERROR(IF(VLOOKUP(C2592,' Disaggregation - Section E '!A$618:J2918,7,0)="","",VLOOKUP(C2592,' Disaggregation - Section E '!A$618:J2918,7,0)*100),"")</f>
        <v/>
      </c>
      <c r="F2592" s="388" t="str">
        <f ca="1">IFERROR(VLOOKUP(C2592,' Disaggregation - Section E '!A$618:J2918,5,0),"")</f>
        <v/>
      </c>
      <c r="G2592" s="387" t="str">
        <f ca="1">IFERROR(IF(VLOOKUP(C2592,' Disaggregation - Section E '!A$618:J2918,6,0)="","",VLOOKUP(C2592,' Disaggregation - Section E '!A$618:J2918,6,0)),"")</f>
        <v/>
      </c>
      <c r="H2592" s="387" t="str">
        <f ca="1">IFERROR(IF(INDEX(' Disaggregation - Section E '!F$618:F2918,MATCH(C2592,' Disaggregation - Section E '!A$618:A2918,0)+1,1)&lt;&gt;0,INDEX(' Disaggregation - Section E '!F$618:F2918,MATCH(C2592,' Disaggregation - Section E '!A$618:A2918,0)+1,1),""),"")</f>
        <v/>
      </c>
      <c r="I2592" s="388" t="str">
        <f ca="1">IFERROR(IF(VLOOKUP(C2592,' Disaggregation - Section E '!A$618:J2918,8,0)=0,"",VLOOKUP(C2592,' Disaggregation - Section E '!A$618:J2918,8,0)),"")</f>
        <v/>
      </c>
      <c r="J2592" s="388" t="str">
        <f ca="1">IFERROR(IF(VLOOKUP(C2592,' Disaggregation - Section E '!A$618:J2918,9,0)="","",VLOOKUP(C2592,' Disaggregation - Section E '!A$618:J2918,9,0)),"")</f>
        <v/>
      </c>
      <c r="K2592" s="384" t="str">
        <f ca="1">IFERROR(VLOOKUP(C2592,' Disaggregation - Section E '!A$618:J2918,3,0),"")</f>
        <v/>
      </c>
      <c r="L2592" s="384"/>
      <c r="M2592" s="384" t="str">
        <f ca="1">IFERROR(IF(VLOOKUP(C2592,' Disaggregation - Section E '!A$618:O1721,15,0)=0,"",VLOOKUP(C2592,' Disaggregation - Section E '!A$618:O1721,15,0)),"")</f>
        <v/>
      </c>
      <c r="N2592" s="388" t="str">
        <f ca="1">IFERROR(IF(VLOOKUP(C2592,' Disaggregation - Section E '!A$618:J2918,10,0)=0,"",VLOOKUP(C2592,' Disaggregation - Section E '!A$618:J2918,10,0)),"")</f>
        <v/>
      </c>
      <c r="O2592" s="384"/>
    </row>
    <row r="2593" spans="1:15" x14ac:dyDescent="0.3">
      <c r="A2593" s="384" t="b">
        <f t="shared" ca="1" si="142"/>
        <v>0</v>
      </c>
      <c r="B2593" s="384"/>
      <c r="C2593" s="393" t="str">
        <f ca="1">IF(COUNTA(O$1493:O2593)=1,"",OFFSET(B2591,-COUNTA(O$1493:O2593)+3,1))</f>
        <v>a16Dm000000LZhYIAW</v>
      </c>
      <c r="D2593" s="389"/>
      <c r="E2593" s="386" t="str">
        <f ca="1">IFERROR(IF(VLOOKUP(C2593,' Disaggregation - Section E '!A$618:J2919,7,0)="","",VLOOKUP(C2593,' Disaggregation - Section E '!A$618:J2919,7,0)*100),"")</f>
        <v/>
      </c>
      <c r="F2593" s="388" t="str">
        <f ca="1">IFERROR(VLOOKUP(C2593,' Disaggregation - Section E '!A$618:J2919,5,0),"")</f>
        <v/>
      </c>
      <c r="G2593" s="387" t="str">
        <f ca="1">IFERROR(IF(VLOOKUP(C2593,' Disaggregation - Section E '!A$618:J2919,6,0)="","",VLOOKUP(C2593,' Disaggregation - Section E '!A$618:J2919,6,0)),"")</f>
        <v/>
      </c>
      <c r="H2593" s="387" t="str">
        <f ca="1">IFERROR(IF(INDEX(' Disaggregation - Section E '!F$618:F2919,MATCH(C2593,' Disaggregation - Section E '!A$618:A2919,0)+1,1)&lt;&gt;0,INDEX(' Disaggregation - Section E '!F$618:F2919,MATCH(C2593,' Disaggregation - Section E '!A$618:A2919,0)+1,1),""),"")</f>
        <v/>
      </c>
      <c r="I2593" s="388" t="str">
        <f ca="1">IFERROR(IF(VLOOKUP(C2593,' Disaggregation - Section E '!A$618:J2919,8,0)=0,"",VLOOKUP(C2593,' Disaggregation - Section E '!A$618:J2919,8,0)),"")</f>
        <v/>
      </c>
      <c r="J2593" s="388" t="str">
        <f ca="1">IFERROR(IF(VLOOKUP(C2593,' Disaggregation - Section E '!A$618:J2919,9,0)="","",VLOOKUP(C2593,' Disaggregation - Section E '!A$618:J2919,9,0)),"")</f>
        <v/>
      </c>
      <c r="K2593" s="384" t="str">
        <f ca="1">IFERROR(VLOOKUP(C2593,' Disaggregation - Section E '!A$618:J2919,3,0),"")</f>
        <v/>
      </c>
      <c r="L2593" s="384"/>
      <c r="M2593" s="384" t="str">
        <f ca="1">IFERROR(IF(VLOOKUP(C2593,' Disaggregation - Section E '!A$618:O1722,15,0)=0,"",VLOOKUP(C2593,' Disaggregation - Section E '!A$618:O1722,15,0)),"")</f>
        <v/>
      </c>
      <c r="N2593" s="388" t="str">
        <f ca="1">IFERROR(IF(VLOOKUP(C2593,' Disaggregation - Section E '!A$618:J2919,10,0)=0,"",VLOOKUP(C2593,' Disaggregation - Section E '!A$618:J2919,10,0)),"")</f>
        <v/>
      </c>
      <c r="O2593" s="384"/>
    </row>
    <row r="2594" spans="1:15" x14ac:dyDescent="0.3">
      <c r="A2594" s="384" t="b">
        <f t="shared" ca="1" si="142"/>
        <v>0</v>
      </c>
      <c r="B2594" s="384"/>
      <c r="C2594" s="393" t="str">
        <f ca="1">IF(COUNTA(O$1493:O2594)=1,"",OFFSET(B2592,-COUNTA(O$1493:O2594)+3,1))</f>
        <v>a16Dm000000LZhZIAW</v>
      </c>
      <c r="D2594" s="389"/>
      <c r="E2594" s="386" t="str">
        <f ca="1">IFERROR(IF(VLOOKUP(C2594,' Disaggregation - Section E '!A$618:J2920,7,0)="","",VLOOKUP(C2594,' Disaggregation - Section E '!A$618:J2920,7,0)*100),"")</f>
        <v/>
      </c>
      <c r="F2594" s="388" t="str">
        <f ca="1">IFERROR(VLOOKUP(C2594,' Disaggregation - Section E '!A$618:J2920,5,0),"")</f>
        <v/>
      </c>
      <c r="G2594" s="387" t="str">
        <f ca="1">IFERROR(IF(VLOOKUP(C2594,' Disaggregation - Section E '!A$618:J2920,6,0)="","",VLOOKUP(C2594,' Disaggregation - Section E '!A$618:J2920,6,0)),"")</f>
        <v/>
      </c>
      <c r="H2594" s="387" t="str">
        <f ca="1">IFERROR(IF(INDEX(' Disaggregation - Section E '!F$618:F2920,MATCH(C2594,' Disaggregation - Section E '!A$618:A2920,0)+1,1)&lt;&gt;0,INDEX(' Disaggregation - Section E '!F$618:F2920,MATCH(C2594,' Disaggregation - Section E '!A$618:A2920,0)+1,1),""),"")</f>
        <v/>
      </c>
      <c r="I2594" s="388" t="str">
        <f ca="1">IFERROR(IF(VLOOKUP(C2594,' Disaggregation - Section E '!A$618:J2920,8,0)=0,"",VLOOKUP(C2594,' Disaggregation - Section E '!A$618:J2920,8,0)),"")</f>
        <v/>
      </c>
      <c r="J2594" s="388" t="str">
        <f ca="1">IFERROR(IF(VLOOKUP(C2594,' Disaggregation - Section E '!A$618:J2920,9,0)="","",VLOOKUP(C2594,' Disaggregation - Section E '!A$618:J2920,9,0)),"")</f>
        <v/>
      </c>
      <c r="K2594" s="384" t="str">
        <f ca="1">IFERROR(VLOOKUP(C2594,' Disaggregation - Section E '!A$618:J2920,3,0),"")</f>
        <v/>
      </c>
      <c r="L2594" s="384"/>
      <c r="M2594" s="384" t="str">
        <f ca="1">IFERROR(IF(VLOOKUP(C2594,' Disaggregation - Section E '!A$618:O1723,15,0)=0,"",VLOOKUP(C2594,' Disaggregation - Section E '!A$618:O1723,15,0)),"")</f>
        <v/>
      </c>
      <c r="N2594" s="388" t="str">
        <f ca="1">IFERROR(IF(VLOOKUP(C2594,' Disaggregation - Section E '!A$618:J2920,10,0)=0,"",VLOOKUP(C2594,' Disaggregation - Section E '!A$618:J2920,10,0)),"")</f>
        <v/>
      </c>
      <c r="O2594" s="384"/>
    </row>
    <row r="2595" spans="1:15" x14ac:dyDescent="0.3">
      <c r="A2595" s="384" t="b">
        <f t="shared" ca="1" si="142"/>
        <v>0</v>
      </c>
      <c r="B2595" s="384"/>
      <c r="C2595" s="393" t="str">
        <f ca="1">IF(COUNTA(O$1493:O2595)=1,"",OFFSET(B2593,-COUNTA(O$1493:O2595)+3,1))</f>
        <v>a16Dm000000LZhaIAG</v>
      </c>
      <c r="D2595" s="389"/>
      <c r="E2595" s="386" t="str">
        <f ca="1">IFERROR(IF(VLOOKUP(C2595,' Disaggregation - Section E '!A$618:J2921,7,0)="","",VLOOKUP(C2595,' Disaggregation - Section E '!A$618:J2921,7,0)*100),"")</f>
        <v/>
      </c>
      <c r="F2595" s="388" t="str">
        <f ca="1">IFERROR(VLOOKUP(C2595,' Disaggregation - Section E '!A$618:J2921,5,0),"")</f>
        <v/>
      </c>
      <c r="G2595" s="387" t="str">
        <f ca="1">IFERROR(IF(VLOOKUP(C2595,' Disaggregation - Section E '!A$618:J2921,6,0)="","",VLOOKUP(C2595,' Disaggregation - Section E '!A$618:J2921,6,0)),"")</f>
        <v/>
      </c>
      <c r="H2595" s="387" t="str">
        <f ca="1">IFERROR(IF(INDEX(' Disaggregation - Section E '!F$618:F2921,MATCH(C2595,' Disaggregation - Section E '!A$618:A2921,0)+1,1)&lt;&gt;0,INDEX(' Disaggregation - Section E '!F$618:F2921,MATCH(C2595,' Disaggregation - Section E '!A$618:A2921,0)+1,1),""),"")</f>
        <v/>
      </c>
      <c r="I2595" s="388" t="str">
        <f ca="1">IFERROR(IF(VLOOKUP(C2595,' Disaggregation - Section E '!A$618:J2921,8,0)=0,"",VLOOKUP(C2595,' Disaggregation - Section E '!A$618:J2921,8,0)),"")</f>
        <v/>
      </c>
      <c r="J2595" s="388" t="str">
        <f ca="1">IFERROR(IF(VLOOKUP(C2595,' Disaggregation - Section E '!A$618:J2921,9,0)="","",VLOOKUP(C2595,' Disaggregation - Section E '!A$618:J2921,9,0)),"")</f>
        <v/>
      </c>
      <c r="K2595" s="384" t="str">
        <f ca="1">IFERROR(VLOOKUP(C2595,' Disaggregation - Section E '!A$618:J2921,3,0),"")</f>
        <v/>
      </c>
      <c r="L2595" s="384"/>
      <c r="M2595" s="384" t="str">
        <f ca="1">IFERROR(IF(VLOOKUP(C2595,' Disaggregation - Section E '!A$618:O1724,15,0)=0,"",VLOOKUP(C2595,' Disaggregation - Section E '!A$618:O1724,15,0)),"")</f>
        <v/>
      </c>
      <c r="N2595" s="388" t="str">
        <f ca="1">IFERROR(IF(VLOOKUP(C2595,' Disaggregation - Section E '!A$618:J2921,10,0)=0,"",VLOOKUP(C2595,' Disaggregation - Section E '!A$618:J2921,10,0)),"")</f>
        <v/>
      </c>
      <c r="O2595" s="384"/>
    </row>
    <row r="2596" spans="1:15" x14ac:dyDescent="0.3">
      <c r="A2596" s="384" t="b">
        <f t="shared" ca="1" si="142"/>
        <v>0</v>
      </c>
      <c r="B2596" s="384"/>
      <c r="C2596" s="393" t="str">
        <f ca="1">IF(COUNTA(O$1493:O2596)=1,"",OFFSET(B2594,-COUNTA(O$1493:O2596)+3,1))</f>
        <v>a16Dm000000LZhbIAG</v>
      </c>
      <c r="D2596" s="389"/>
      <c r="E2596" s="386" t="str">
        <f ca="1">IFERROR(IF(VLOOKUP(C2596,' Disaggregation - Section E '!A$618:J2922,7,0)="","",VLOOKUP(C2596,' Disaggregation - Section E '!A$618:J2922,7,0)*100),"")</f>
        <v/>
      </c>
      <c r="F2596" s="388" t="str">
        <f ca="1">IFERROR(VLOOKUP(C2596,' Disaggregation - Section E '!A$618:J2922,5,0),"")</f>
        <v/>
      </c>
      <c r="G2596" s="387" t="str">
        <f ca="1">IFERROR(IF(VLOOKUP(C2596,' Disaggregation - Section E '!A$618:J2922,6,0)="","",VLOOKUP(C2596,' Disaggregation - Section E '!A$618:J2922,6,0)),"")</f>
        <v/>
      </c>
      <c r="H2596" s="387" t="str">
        <f ca="1">IFERROR(IF(INDEX(' Disaggregation - Section E '!F$618:F2922,MATCH(C2596,' Disaggregation - Section E '!A$618:A2922,0)+1,1)&lt;&gt;0,INDEX(' Disaggregation - Section E '!F$618:F2922,MATCH(C2596,' Disaggregation - Section E '!A$618:A2922,0)+1,1),""),"")</f>
        <v/>
      </c>
      <c r="I2596" s="388" t="str">
        <f ca="1">IFERROR(IF(VLOOKUP(C2596,' Disaggregation - Section E '!A$618:J2922,8,0)=0,"",VLOOKUP(C2596,' Disaggregation - Section E '!A$618:J2922,8,0)),"")</f>
        <v/>
      </c>
      <c r="J2596" s="388" t="str">
        <f ca="1">IFERROR(IF(VLOOKUP(C2596,' Disaggregation - Section E '!A$618:J2922,9,0)="","",VLOOKUP(C2596,' Disaggregation - Section E '!A$618:J2922,9,0)),"")</f>
        <v/>
      </c>
      <c r="K2596" s="384" t="str">
        <f ca="1">IFERROR(VLOOKUP(C2596,' Disaggregation - Section E '!A$618:J2922,3,0),"")</f>
        <v/>
      </c>
      <c r="L2596" s="384"/>
      <c r="M2596" s="384" t="str">
        <f ca="1">IFERROR(IF(VLOOKUP(C2596,' Disaggregation - Section E '!A$618:O1725,15,0)=0,"",VLOOKUP(C2596,' Disaggregation - Section E '!A$618:O1725,15,0)),"")</f>
        <v/>
      </c>
      <c r="N2596" s="388" t="str">
        <f ca="1">IFERROR(IF(VLOOKUP(C2596,' Disaggregation - Section E '!A$618:J2922,10,0)=0,"",VLOOKUP(C2596,' Disaggregation - Section E '!A$618:J2922,10,0)),"")</f>
        <v/>
      </c>
      <c r="O2596" s="384"/>
    </row>
    <row r="2597" spans="1:15" x14ac:dyDescent="0.3">
      <c r="A2597" s="384" t="b">
        <f t="shared" ca="1" si="142"/>
        <v>0</v>
      </c>
      <c r="B2597" s="384"/>
      <c r="C2597" s="393" t="str">
        <f ca="1">IF(COUNTA(O$1493:O2597)=1,"",OFFSET(B2595,-COUNTA(O$1493:O2597)+3,1))</f>
        <v>a16Dm000000LZhcIAG</v>
      </c>
      <c r="D2597" s="389"/>
      <c r="E2597" s="386" t="str">
        <f ca="1">IFERROR(IF(VLOOKUP(C2597,' Disaggregation - Section E '!A$618:J2923,7,0)="","",VLOOKUP(C2597,' Disaggregation - Section E '!A$618:J2923,7,0)*100),"")</f>
        <v/>
      </c>
      <c r="F2597" s="388" t="str">
        <f ca="1">IFERROR(VLOOKUP(C2597,' Disaggregation - Section E '!A$618:J2923,5,0),"")</f>
        <v/>
      </c>
      <c r="G2597" s="387" t="str">
        <f ca="1">IFERROR(IF(VLOOKUP(C2597,' Disaggregation - Section E '!A$618:J2923,6,0)="","",VLOOKUP(C2597,' Disaggregation - Section E '!A$618:J2923,6,0)),"")</f>
        <v/>
      </c>
      <c r="H2597" s="387" t="str">
        <f ca="1">IFERROR(IF(INDEX(' Disaggregation - Section E '!F$618:F2923,MATCH(C2597,' Disaggregation - Section E '!A$618:A2923,0)+1,1)&lt;&gt;0,INDEX(' Disaggregation - Section E '!F$618:F2923,MATCH(C2597,' Disaggregation - Section E '!A$618:A2923,0)+1,1),""),"")</f>
        <v/>
      </c>
      <c r="I2597" s="388" t="str">
        <f ca="1">IFERROR(IF(VLOOKUP(C2597,' Disaggregation - Section E '!A$618:J2923,8,0)=0,"",VLOOKUP(C2597,' Disaggregation - Section E '!A$618:J2923,8,0)),"")</f>
        <v/>
      </c>
      <c r="J2597" s="388" t="str">
        <f ca="1">IFERROR(IF(VLOOKUP(C2597,' Disaggregation - Section E '!A$618:J2923,9,0)="","",VLOOKUP(C2597,' Disaggregation - Section E '!A$618:J2923,9,0)),"")</f>
        <v/>
      </c>
      <c r="K2597" s="384" t="str">
        <f ca="1">IFERROR(VLOOKUP(C2597,' Disaggregation - Section E '!A$618:J2923,3,0),"")</f>
        <v/>
      </c>
      <c r="L2597" s="384"/>
      <c r="M2597" s="384" t="str">
        <f ca="1">IFERROR(IF(VLOOKUP(C2597,' Disaggregation - Section E '!A$618:O1726,15,0)=0,"",VLOOKUP(C2597,' Disaggregation - Section E '!A$618:O1726,15,0)),"")</f>
        <v/>
      </c>
      <c r="N2597" s="388" t="str">
        <f ca="1">IFERROR(IF(VLOOKUP(C2597,' Disaggregation - Section E '!A$618:J2923,10,0)=0,"",VLOOKUP(C2597,' Disaggregation - Section E '!A$618:J2923,10,0)),"")</f>
        <v/>
      </c>
      <c r="O2597" s="384"/>
    </row>
    <row r="2598" spans="1:15" x14ac:dyDescent="0.3">
      <c r="A2598" s="384" t="b">
        <f t="shared" ca="1" si="142"/>
        <v>0</v>
      </c>
      <c r="B2598" s="384"/>
      <c r="C2598" s="393" t="str">
        <f ca="1">IF(COUNTA(O$1493:O2598)=1,"",OFFSET(B2596,-COUNTA(O$1493:O2598)+3,1))</f>
        <v>a16Dm000000LZhdIAG</v>
      </c>
      <c r="D2598" s="389"/>
      <c r="E2598" s="386" t="str">
        <f ca="1">IFERROR(IF(VLOOKUP(C2598,' Disaggregation - Section E '!A$618:J2924,7,0)="","",VLOOKUP(C2598,' Disaggregation - Section E '!A$618:J2924,7,0)*100),"")</f>
        <v/>
      </c>
      <c r="F2598" s="388" t="str">
        <f ca="1">IFERROR(VLOOKUP(C2598,' Disaggregation - Section E '!A$618:J2924,5,0),"")</f>
        <v/>
      </c>
      <c r="G2598" s="387" t="str">
        <f ca="1">IFERROR(IF(VLOOKUP(C2598,' Disaggregation - Section E '!A$618:J2924,6,0)="","",VLOOKUP(C2598,' Disaggregation - Section E '!A$618:J2924,6,0)),"")</f>
        <v/>
      </c>
      <c r="H2598" s="387" t="str">
        <f ca="1">IFERROR(IF(INDEX(' Disaggregation - Section E '!F$618:F2924,MATCH(C2598,' Disaggregation - Section E '!A$618:A2924,0)+1,1)&lt;&gt;0,INDEX(' Disaggregation - Section E '!F$618:F2924,MATCH(C2598,' Disaggregation - Section E '!A$618:A2924,0)+1,1),""),"")</f>
        <v/>
      </c>
      <c r="I2598" s="388" t="str">
        <f ca="1">IFERROR(IF(VLOOKUP(C2598,' Disaggregation - Section E '!A$618:J2924,8,0)=0,"",VLOOKUP(C2598,' Disaggregation - Section E '!A$618:J2924,8,0)),"")</f>
        <v/>
      </c>
      <c r="J2598" s="388" t="str">
        <f ca="1">IFERROR(IF(VLOOKUP(C2598,' Disaggregation - Section E '!A$618:J2924,9,0)="","",VLOOKUP(C2598,' Disaggregation - Section E '!A$618:J2924,9,0)),"")</f>
        <v/>
      </c>
      <c r="K2598" s="384" t="str">
        <f ca="1">IFERROR(VLOOKUP(C2598,' Disaggregation - Section E '!A$618:J2924,3,0),"")</f>
        <v/>
      </c>
      <c r="L2598" s="384"/>
      <c r="M2598" s="384" t="str">
        <f ca="1">IFERROR(IF(VLOOKUP(C2598,' Disaggregation - Section E '!A$618:O1727,15,0)=0,"",VLOOKUP(C2598,' Disaggregation - Section E '!A$618:O1727,15,0)),"")</f>
        <v/>
      </c>
      <c r="N2598" s="388" t="str">
        <f ca="1">IFERROR(IF(VLOOKUP(C2598,' Disaggregation - Section E '!A$618:J2924,10,0)=0,"",VLOOKUP(C2598,' Disaggregation - Section E '!A$618:J2924,10,0)),"")</f>
        <v/>
      </c>
      <c r="O2598" s="384"/>
    </row>
    <row r="2599" spans="1:15" x14ac:dyDescent="0.3">
      <c r="A2599" s="384" t="b">
        <f t="shared" ca="1" si="142"/>
        <v>0</v>
      </c>
      <c r="B2599" s="384"/>
      <c r="C2599" s="393" t="str">
        <f ca="1">IF(COUNTA(O$1493:O2599)=1,"",OFFSET(B2597,-COUNTA(O$1493:O2599)+3,1))</f>
        <v>a16Dm000000LZheIAG</v>
      </c>
      <c r="D2599" s="389"/>
      <c r="E2599" s="386" t="str">
        <f ca="1">IFERROR(IF(VLOOKUP(C2599,' Disaggregation - Section E '!A$618:J2925,7,0)="","",VLOOKUP(C2599,' Disaggregation - Section E '!A$618:J2925,7,0)*100),"")</f>
        <v/>
      </c>
      <c r="F2599" s="388" t="str">
        <f ca="1">IFERROR(VLOOKUP(C2599,' Disaggregation - Section E '!A$618:J2925,5,0),"")</f>
        <v/>
      </c>
      <c r="G2599" s="387" t="str">
        <f ca="1">IFERROR(IF(VLOOKUP(C2599,' Disaggregation - Section E '!A$618:J2925,6,0)="","",VLOOKUP(C2599,' Disaggregation - Section E '!A$618:J2925,6,0)),"")</f>
        <v/>
      </c>
      <c r="H2599" s="387" t="str">
        <f ca="1">IFERROR(IF(INDEX(' Disaggregation - Section E '!F$618:F2925,MATCH(C2599,' Disaggregation - Section E '!A$618:A2925,0)+1,1)&lt;&gt;0,INDEX(' Disaggregation - Section E '!F$618:F2925,MATCH(C2599,' Disaggregation - Section E '!A$618:A2925,0)+1,1),""),"")</f>
        <v/>
      </c>
      <c r="I2599" s="388" t="str">
        <f ca="1">IFERROR(IF(VLOOKUP(C2599,' Disaggregation - Section E '!A$618:J2925,8,0)=0,"",VLOOKUP(C2599,' Disaggregation - Section E '!A$618:J2925,8,0)),"")</f>
        <v/>
      </c>
      <c r="J2599" s="388" t="str">
        <f ca="1">IFERROR(IF(VLOOKUP(C2599,' Disaggregation - Section E '!A$618:J2925,9,0)="","",VLOOKUP(C2599,' Disaggregation - Section E '!A$618:J2925,9,0)),"")</f>
        <v/>
      </c>
      <c r="K2599" s="384" t="str">
        <f ca="1">IFERROR(VLOOKUP(C2599,' Disaggregation - Section E '!A$618:J2925,3,0),"")</f>
        <v/>
      </c>
      <c r="L2599" s="384"/>
      <c r="M2599" s="384" t="str">
        <f ca="1">IFERROR(IF(VLOOKUP(C2599,' Disaggregation - Section E '!A$618:O1728,15,0)=0,"",VLOOKUP(C2599,' Disaggregation - Section E '!A$618:O1728,15,0)),"")</f>
        <v/>
      </c>
      <c r="N2599" s="388" t="str">
        <f ca="1">IFERROR(IF(VLOOKUP(C2599,' Disaggregation - Section E '!A$618:J2925,10,0)=0,"",VLOOKUP(C2599,' Disaggregation - Section E '!A$618:J2925,10,0)),"")</f>
        <v/>
      </c>
      <c r="O2599" s="384"/>
    </row>
    <row r="2600" spans="1:15" x14ac:dyDescent="0.3">
      <c r="A2600" s="384" t="b">
        <f t="shared" ca="1" si="142"/>
        <v>0</v>
      </c>
      <c r="B2600" s="384"/>
      <c r="C2600" s="393" t="str">
        <f ca="1">IF(COUNTA(O$1493:O2600)=1,"",OFFSET(B2598,-COUNTA(O$1493:O2600)+3,1))</f>
        <v>a16Dm000000LZhfIAG</v>
      </c>
      <c r="D2600" s="389"/>
      <c r="E2600" s="386" t="str">
        <f ca="1">IFERROR(IF(VLOOKUP(C2600,' Disaggregation - Section E '!A$618:J2926,7,0)="","",VLOOKUP(C2600,' Disaggregation - Section E '!A$618:J2926,7,0)*100),"")</f>
        <v/>
      </c>
      <c r="F2600" s="388" t="str">
        <f ca="1">IFERROR(VLOOKUP(C2600,' Disaggregation - Section E '!A$618:J2926,5,0),"")</f>
        <v/>
      </c>
      <c r="G2600" s="387" t="str">
        <f ca="1">IFERROR(IF(VLOOKUP(C2600,' Disaggregation - Section E '!A$618:J2926,6,0)="","",VLOOKUP(C2600,' Disaggregation - Section E '!A$618:J2926,6,0)),"")</f>
        <v/>
      </c>
      <c r="H2600" s="387" t="str">
        <f ca="1">IFERROR(IF(INDEX(' Disaggregation - Section E '!F$618:F2926,MATCH(C2600,' Disaggregation - Section E '!A$618:A2926,0)+1,1)&lt;&gt;0,INDEX(' Disaggregation - Section E '!F$618:F2926,MATCH(C2600,' Disaggregation - Section E '!A$618:A2926,0)+1,1),""),"")</f>
        <v/>
      </c>
      <c r="I2600" s="388" t="str">
        <f ca="1">IFERROR(IF(VLOOKUP(C2600,' Disaggregation - Section E '!A$618:J2926,8,0)=0,"",VLOOKUP(C2600,' Disaggregation - Section E '!A$618:J2926,8,0)),"")</f>
        <v/>
      </c>
      <c r="J2600" s="388" t="str">
        <f ca="1">IFERROR(IF(VLOOKUP(C2600,' Disaggregation - Section E '!A$618:J2926,9,0)="","",VLOOKUP(C2600,' Disaggregation - Section E '!A$618:J2926,9,0)),"")</f>
        <v/>
      </c>
      <c r="K2600" s="384" t="str">
        <f ca="1">IFERROR(VLOOKUP(C2600,' Disaggregation - Section E '!A$618:J2926,3,0),"")</f>
        <v/>
      </c>
      <c r="L2600" s="384"/>
      <c r="M2600" s="384" t="str">
        <f ca="1">IFERROR(IF(VLOOKUP(C2600,' Disaggregation - Section E '!A$618:O1729,15,0)=0,"",VLOOKUP(C2600,' Disaggregation - Section E '!A$618:O1729,15,0)),"")</f>
        <v/>
      </c>
      <c r="N2600" s="388" t="str">
        <f ca="1">IFERROR(IF(VLOOKUP(C2600,' Disaggregation - Section E '!A$618:J2926,10,0)=0,"",VLOOKUP(C2600,' Disaggregation - Section E '!A$618:J2926,10,0)),"")</f>
        <v/>
      </c>
      <c r="O2600" s="384"/>
    </row>
    <row r="2601" spans="1:15" x14ac:dyDescent="0.3">
      <c r="A2601" s="384" t="b">
        <f t="shared" ca="1" si="142"/>
        <v>0</v>
      </c>
      <c r="B2601" s="384"/>
      <c r="C2601" s="393" t="str">
        <f ca="1">IF(COUNTA(O$1493:O2601)=1,"",OFFSET(B2599,-COUNTA(O$1493:O2601)+3,1))</f>
        <v>a16Dm000000LZhgIAG</v>
      </c>
      <c r="D2601" s="389"/>
      <c r="E2601" s="386" t="str">
        <f ca="1">IFERROR(IF(VLOOKUP(C2601,' Disaggregation - Section E '!A$618:J2927,7,0)="","",VLOOKUP(C2601,' Disaggregation - Section E '!A$618:J2927,7,0)*100),"")</f>
        <v/>
      </c>
      <c r="F2601" s="388" t="str">
        <f ca="1">IFERROR(VLOOKUP(C2601,' Disaggregation - Section E '!A$618:J2927,5,0),"")</f>
        <v/>
      </c>
      <c r="G2601" s="387" t="str">
        <f ca="1">IFERROR(IF(VLOOKUP(C2601,' Disaggregation - Section E '!A$618:J2927,6,0)="","",VLOOKUP(C2601,' Disaggregation - Section E '!A$618:J2927,6,0)),"")</f>
        <v/>
      </c>
      <c r="H2601" s="387" t="str">
        <f ca="1">IFERROR(IF(INDEX(' Disaggregation - Section E '!F$618:F2927,MATCH(C2601,' Disaggregation - Section E '!A$618:A2927,0)+1,1)&lt;&gt;0,INDEX(' Disaggregation - Section E '!F$618:F2927,MATCH(C2601,' Disaggregation - Section E '!A$618:A2927,0)+1,1),""),"")</f>
        <v/>
      </c>
      <c r="I2601" s="388" t="str">
        <f ca="1">IFERROR(IF(VLOOKUP(C2601,' Disaggregation - Section E '!A$618:J2927,8,0)=0,"",VLOOKUP(C2601,' Disaggregation - Section E '!A$618:J2927,8,0)),"")</f>
        <v/>
      </c>
      <c r="J2601" s="388" t="str">
        <f ca="1">IFERROR(IF(VLOOKUP(C2601,' Disaggregation - Section E '!A$618:J2927,9,0)="","",VLOOKUP(C2601,' Disaggregation - Section E '!A$618:J2927,9,0)),"")</f>
        <v/>
      </c>
      <c r="K2601" s="384" t="str">
        <f ca="1">IFERROR(VLOOKUP(C2601,' Disaggregation - Section E '!A$618:J2927,3,0),"")</f>
        <v/>
      </c>
      <c r="L2601" s="384"/>
      <c r="M2601" s="384" t="str">
        <f ca="1">IFERROR(IF(VLOOKUP(C2601,' Disaggregation - Section E '!A$618:O1730,15,0)=0,"",VLOOKUP(C2601,' Disaggregation - Section E '!A$618:O1730,15,0)),"")</f>
        <v/>
      </c>
      <c r="N2601" s="388" t="str">
        <f ca="1">IFERROR(IF(VLOOKUP(C2601,' Disaggregation - Section E '!A$618:J2927,10,0)=0,"",VLOOKUP(C2601,' Disaggregation - Section E '!A$618:J2927,10,0)),"")</f>
        <v/>
      </c>
      <c r="O2601" s="384"/>
    </row>
    <row r="2602" spans="1:15" x14ac:dyDescent="0.3">
      <c r="A2602" s="384" t="b">
        <f t="shared" ca="1" si="142"/>
        <v>0</v>
      </c>
      <c r="B2602" s="384"/>
      <c r="C2602" s="393" t="str">
        <f ca="1">IF(COUNTA(O$1493:O2602)=1,"",OFFSET(B2600,-COUNTA(O$1493:O2602)+3,1))</f>
        <v>a16Dm000000LZhhIAG</v>
      </c>
      <c r="D2602" s="389"/>
      <c r="E2602" s="386" t="str">
        <f ca="1">IFERROR(IF(VLOOKUP(C2602,' Disaggregation - Section E '!A$618:J2928,7,0)="","",VLOOKUP(C2602,' Disaggregation - Section E '!A$618:J2928,7,0)*100),"")</f>
        <v/>
      </c>
      <c r="F2602" s="388" t="str">
        <f ca="1">IFERROR(VLOOKUP(C2602,' Disaggregation - Section E '!A$618:J2928,5,0),"")</f>
        <v/>
      </c>
      <c r="G2602" s="387" t="str">
        <f ca="1">IFERROR(IF(VLOOKUP(C2602,' Disaggregation - Section E '!A$618:J2928,6,0)="","",VLOOKUP(C2602,' Disaggregation - Section E '!A$618:J2928,6,0)),"")</f>
        <v/>
      </c>
      <c r="H2602" s="387" t="str">
        <f ca="1">IFERROR(IF(INDEX(' Disaggregation - Section E '!F$618:F2928,MATCH(C2602,' Disaggregation - Section E '!A$618:A2928,0)+1,1)&lt;&gt;0,INDEX(' Disaggregation - Section E '!F$618:F2928,MATCH(C2602,' Disaggregation - Section E '!A$618:A2928,0)+1,1),""),"")</f>
        <v/>
      </c>
      <c r="I2602" s="388" t="str">
        <f ca="1">IFERROR(IF(VLOOKUP(C2602,' Disaggregation - Section E '!A$618:J2928,8,0)=0,"",VLOOKUP(C2602,' Disaggregation - Section E '!A$618:J2928,8,0)),"")</f>
        <v/>
      </c>
      <c r="J2602" s="388" t="str">
        <f ca="1">IFERROR(IF(VLOOKUP(C2602,' Disaggregation - Section E '!A$618:J2928,9,0)="","",VLOOKUP(C2602,' Disaggregation - Section E '!A$618:J2928,9,0)),"")</f>
        <v/>
      </c>
      <c r="K2602" s="384" t="str">
        <f ca="1">IFERROR(VLOOKUP(C2602,' Disaggregation - Section E '!A$618:J2928,3,0),"")</f>
        <v/>
      </c>
      <c r="L2602" s="384"/>
      <c r="M2602" s="384" t="str">
        <f ca="1">IFERROR(IF(VLOOKUP(C2602,' Disaggregation - Section E '!A$618:O1731,15,0)=0,"",VLOOKUP(C2602,' Disaggregation - Section E '!A$618:O1731,15,0)),"")</f>
        <v/>
      </c>
      <c r="N2602" s="388" t="str">
        <f ca="1">IFERROR(IF(VLOOKUP(C2602,' Disaggregation - Section E '!A$618:J2928,10,0)=0,"",VLOOKUP(C2602,' Disaggregation - Section E '!A$618:J2928,10,0)),"")</f>
        <v/>
      </c>
      <c r="O2602" s="384"/>
    </row>
    <row r="2603" spans="1:15" x14ac:dyDescent="0.3">
      <c r="A2603" s="384" t="b">
        <f t="shared" ca="1" si="142"/>
        <v>0</v>
      </c>
      <c r="B2603" s="384"/>
      <c r="C2603" s="393" t="str">
        <f ca="1">IF(COUNTA(O$1493:O2603)=1,"",OFFSET(B2601,-COUNTA(O$1493:O2603)+3,1))</f>
        <v>a16Dm000000LZhiIAG</v>
      </c>
      <c r="D2603" s="389"/>
      <c r="E2603" s="386" t="str">
        <f ca="1">IFERROR(IF(VLOOKUP(C2603,' Disaggregation - Section E '!A$618:J2929,7,0)="","",VLOOKUP(C2603,' Disaggregation - Section E '!A$618:J2929,7,0)*100),"")</f>
        <v/>
      </c>
      <c r="F2603" s="388" t="str">
        <f ca="1">IFERROR(VLOOKUP(C2603,' Disaggregation - Section E '!A$618:J2929,5,0),"")</f>
        <v/>
      </c>
      <c r="G2603" s="387" t="str">
        <f ca="1">IFERROR(IF(VLOOKUP(C2603,' Disaggregation - Section E '!A$618:J2929,6,0)="","",VLOOKUP(C2603,' Disaggregation - Section E '!A$618:J2929,6,0)),"")</f>
        <v/>
      </c>
      <c r="H2603" s="387" t="str">
        <f ca="1">IFERROR(IF(INDEX(' Disaggregation - Section E '!F$618:F2929,MATCH(C2603,' Disaggregation - Section E '!A$618:A2929,0)+1,1)&lt;&gt;0,INDEX(' Disaggregation - Section E '!F$618:F2929,MATCH(C2603,' Disaggregation - Section E '!A$618:A2929,0)+1,1),""),"")</f>
        <v/>
      </c>
      <c r="I2603" s="388" t="str">
        <f ca="1">IFERROR(IF(VLOOKUP(C2603,' Disaggregation - Section E '!A$618:J2929,8,0)=0,"",VLOOKUP(C2603,' Disaggregation - Section E '!A$618:J2929,8,0)),"")</f>
        <v/>
      </c>
      <c r="J2603" s="388" t="str">
        <f ca="1">IFERROR(IF(VLOOKUP(C2603,' Disaggregation - Section E '!A$618:J2929,9,0)="","",VLOOKUP(C2603,' Disaggregation - Section E '!A$618:J2929,9,0)),"")</f>
        <v/>
      </c>
      <c r="K2603" s="384" t="str">
        <f ca="1">IFERROR(VLOOKUP(C2603,' Disaggregation - Section E '!A$618:J2929,3,0),"")</f>
        <v/>
      </c>
      <c r="L2603" s="384"/>
      <c r="M2603" s="384" t="str">
        <f ca="1">IFERROR(IF(VLOOKUP(C2603,' Disaggregation - Section E '!A$618:O1732,15,0)=0,"",VLOOKUP(C2603,' Disaggregation - Section E '!A$618:O1732,15,0)),"")</f>
        <v/>
      </c>
      <c r="N2603" s="388" t="str">
        <f ca="1">IFERROR(IF(VLOOKUP(C2603,' Disaggregation - Section E '!A$618:J2929,10,0)=0,"",VLOOKUP(C2603,' Disaggregation - Section E '!A$618:J2929,10,0)),"")</f>
        <v/>
      </c>
      <c r="O2603" s="384"/>
    </row>
    <row r="2604" spans="1:15" x14ac:dyDescent="0.3">
      <c r="A2604" s="384" t="b">
        <f t="shared" ca="1" si="142"/>
        <v>0</v>
      </c>
      <c r="B2604" s="384"/>
      <c r="C2604" s="393" t="str">
        <f ca="1">IF(COUNTA(O$1493:O2604)=1,"",OFFSET(B2602,-COUNTA(O$1493:O2604)+3,1))</f>
        <v>a16Dm000000LZhjIAG</v>
      </c>
      <c r="D2604" s="389"/>
      <c r="E2604" s="386" t="str">
        <f ca="1">IFERROR(IF(VLOOKUP(C2604,' Disaggregation - Section E '!A$618:J2930,7,0)="","",VLOOKUP(C2604,' Disaggregation - Section E '!A$618:J2930,7,0)*100),"")</f>
        <v/>
      </c>
      <c r="F2604" s="388" t="str">
        <f ca="1">IFERROR(VLOOKUP(C2604,' Disaggregation - Section E '!A$618:J2930,5,0),"")</f>
        <v/>
      </c>
      <c r="G2604" s="387" t="str">
        <f ca="1">IFERROR(IF(VLOOKUP(C2604,' Disaggregation - Section E '!A$618:J2930,6,0)="","",VLOOKUP(C2604,' Disaggregation - Section E '!A$618:J2930,6,0)),"")</f>
        <v/>
      </c>
      <c r="H2604" s="387" t="str">
        <f ca="1">IFERROR(IF(INDEX(' Disaggregation - Section E '!F$618:F2930,MATCH(C2604,' Disaggregation - Section E '!A$618:A2930,0)+1,1)&lt;&gt;0,INDEX(' Disaggregation - Section E '!F$618:F2930,MATCH(C2604,' Disaggregation - Section E '!A$618:A2930,0)+1,1),""),"")</f>
        <v/>
      </c>
      <c r="I2604" s="388" t="str">
        <f ca="1">IFERROR(IF(VLOOKUP(C2604,' Disaggregation - Section E '!A$618:J2930,8,0)=0,"",VLOOKUP(C2604,' Disaggregation - Section E '!A$618:J2930,8,0)),"")</f>
        <v/>
      </c>
      <c r="J2604" s="388" t="str">
        <f ca="1">IFERROR(IF(VLOOKUP(C2604,' Disaggregation - Section E '!A$618:J2930,9,0)="","",VLOOKUP(C2604,' Disaggregation - Section E '!A$618:J2930,9,0)),"")</f>
        <v/>
      </c>
      <c r="K2604" s="384" t="str">
        <f ca="1">IFERROR(VLOOKUP(C2604,' Disaggregation - Section E '!A$618:J2930,3,0),"")</f>
        <v/>
      </c>
      <c r="L2604" s="384"/>
      <c r="M2604" s="384" t="str">
        <f ca="1">IFERROR(IF(VLOOKUP(C2604,' Disaggregation - Section E '!A$618:O1733,15,0)=0,"",VLOOKUP(C2604,' Disaggregation - Section E '!A$618:O1733,15,0)),"")</f>
        <v/>
      </c>
      <c r="N2604" s="388" t="str">
        <f ca="1">IFERROR(IF(VLOOKUP(C2604,' Disaggregation - Section E '!A$618:J2930,10,0)=0,"",VLOOKUP(C2604,' Disaggregation - Section E '!A$618:J2930,10,0)),"")</f>
        <v/>
      </c>
      <c r="O2604" s="384"/>
    </row>
    <row r="2605" spans="1:15" x14ac:dyDescent="0.3">
      <c r="A2605" s="384" t="b">
        <f t="shared" ca="1" si="142"/>
        <v>0</v>
      </c>
      <c r="B2605" s="384"/>
      <c r="C2605" s="393" t="str">
        <f ca="1">IF(COUNTA(O$1493:O2605)=1,"",OFFSET(B2603,-COUNTA(O$1493:O2605)+3,1))</f>
        <v>a16Dm000000LZhkIAG</v>
      </c>
      <c r="D2605" s="389"/>
      <c r="E2605" s="386" t="str">
        <f ca="1">IFERROR(IF(VLOOKUP(C2605,' Disaggregation - Section E '!A$618:J2931,7,0)="","",VLOOKUP(C2605,' Disaggregation - Section E '!A$618:J2931,7,0)*100),"")</f>
        <v/>
      </c>
      <c r="F2605" s="388" t="str">
        <f ca="1">IFERROR(VLOOKUP(C2605,' Disaggregation - Section E '!A$618:J2931,5,0),"")</f>
        <v/>
      </c>
      <c r="G2605" s="387" t="str">
        <f ca="1">IFERROR(IF(VLOOKUP(C2605,' Disaggregation - Section E '!A$618:J2931,6,0)="","",VLOOKUP(C2605,' Disaggregation - Section E '!A$618:J2931,6,0)),"")</f>
        <v/>
      </c>
      <c r="H2605" s="387" t="str">
        <f ca="1">IFERROR(IF(INDEX(' Disaggregation - Section E '!F$618:F2931,MATCH(C2605,' Disaggregation - Section E '!A$618:A2931,0)+1,1)&lt;&gt;0,INDEX(' Disaggregation - Section E '!F$618:F2931,MATCH(C2605,' Disaggregation - Section E '!A$618:A2931,0)+1,1),""),"")</f>
        <v/>
      </c>
      <c r="I2605" s="388" t="str">
        <f ca="1">IFERROR(IF(VLOOKUP(C2605,' Disaggregation - Section E '!A$618:J2931,8,0)=0,"",VLOOKUP(C2605,' Disaggregation - Section E '!A$618:J2931,8,0)),"")</f>
        <v/>
      </c>
      <c r="J2605" s="388" t="str">
        <f ca="1">IFERROR(IF(VLOOKUP(C2605,' Disaggregation - Section E '!A$618:J2931,9,0)="","",VLOOKUP(C2605,' Disaggregation - Section E '!A$618:J2931,9,0)),"")</f>
        <v/>
      </c>
      <c r="K2605" s="384" t="str">
        <f ca="1">IFERROR(VLOOKUP(C2605,' Disaggregation - Section E '!A$618:J2931,3,0),"")</f>
        <v/>
      </c>
      <c r="L2605" s="384"/>
      <c r="M2605" s="384" t="str">
        <f ca="1">IFERROR(IF(VLOOKUP(C2605,' Disaggregation - Section E '!A$618:O1734,15,0)=0,"",VLOOKUP(C2605,' Disaggregation - Section E '!A$618:O1734,15,0)),"")</f>
        <v/>
      </c>
      <c r="N2605" s="388" t="str">
        <f ca="1">IFERROR(IF(VLOOKUP(C2605,' Disaggregation - Section E '!A$618:J2931,10,0)=0,"",VLOOKUP(C2605,' Disaggregation - Section E '!A$618:J2931,10,0)),"")</f>
        <v/>
      </c>
      <c r="O2605" s="384"/>
    </row>
    <row r="2606" spans="1:15" x14ac:dyDescent="0.3">
      <c r="A2606" s="384" t="b">
        <f t="shared" ca="1" si="142"/>
        <v>0</v>
      </c>
      <c r="B2606" s="384"/>
      <c r="C2606" s="393" t="str">
        <f ca="1">IF(COUNTA(O$1493:O2606)=1,"",OFFSET(B2604,-COUNTA(O$1493:O2606)+3,1))</f>
        <v>a16Dm000000LZhlIAG</v>
      </c>
      <c r="D2606" s="389"/>
      <c r="E2606" s="386" t="str">
        <f ca="1">IFERROR(IF(VLOOKUP(C2606,' Disaggregation - Section E '!A$618:J2932,7,0)="","",VLOOKUP(C2606,' Disaggregation - Section E '!A$618:J2932,7,0)*100),"")</f>
        <v/>
      </c>
      <c r="F2606" s="388" t="str">
        <f ca="1">IFERROR(VLOOKUP(C2606,' Disaggregation - Section E '!A$618:J2932,5,0),"")</f>
        <v/>
      </c>
      <c r="G2606" s="387" t="str">
        <f ca="1">IFERROR(IF(VLOOKUP(C2606,' Disaggregation - Section E '!A$618:J2932,6,0)="","",VLOOKUP(C2606,' Disaggregation - Section E '!A$618:J2932,6,0)),"")</f>
        <v/>
      </c>
      <c r="H2606" s="387" t="str">
        <f ca="1">IFERROR(IF(INDEX(' Disaggregation - Section E '!F$618:F2932,MATCH(C2606,' Disaggregation - Section E '!A$618:A2932,0)+1,1)&lt;&gt;0,INDEX(' Disaggregation - Section E '!F$618:F2932,MATCH(C2606,' Disaggregation - Section E '!A$618:A2932,0)+1,1),""),"")</f>
        <v/>
      </c>
      <c r="I2606" s="388" t="str">
        <f ca="1">IFERROR(IF(VLOOKUP(C2606,' Disaggregation - Section E '!A$618:J2932,8,0)=0,"",VLOOKUP(C2606,' Disaggregation - Section E '!A$618:J2932,8,0)),"")</f>
        <v/>
      </c>
      <c r="J2606" s="388" t="str">
        <f ca="1">IFERROR(IF(VLOOKUP(C2606,' Disaggregation - Section E '!A$618:J2932,9,0)="","",VLOOKUP(C2606,' Disaggregation - Section E '!A$618:J2932,9,0)),"")</f>
        <v/>
      </c>
      <c r="K2606" s="384" t="str">
        <f ca="1">IFERROR(VLOOKUP(C2606,' Disaggregation - Section E '!A$618:J2932,3,0),"")</f>
        <v/>
      </c>
      <c r="L2606" s="384"/>
      <c r="M2606" s="384" t="str">
        <f ca="1">IFERROR(IF(VLOOKUP(C2606,' Disaggregation - Section E '!A$618:O1735,15,0)=0,"",VLOOKUP(C2606,' Disaggregation - Section E '!A$618:O1735,15,0)),"")</f>
        <v/>
      </c>
      <c r="N2606" s="388" t="str">
        <f ca="1">IFERROR(IF(VLOOKUP(C2606,' Disaggregation - Section E '!A$618:J2932,10,0)=0,"",VLOOKUP(C2606,' Disaggregation - Section E '!A$618:J2932,10,0)),"")</f>
        <v/>
      </c>
      <c r="O2606" s="384"/>
    </row>
    <row r="2607" spans="1:15" x14ac:dyDescent="0.3">
      <c r="A2607" s="384" t="b">
        <f t="shared" ref="A2607:A2670" ca="1" si="143">IF(M2607&lt;&gt;"",TRUE,FALSE)</f>
        <v>0</v>
      </c>
      <c r="B2607" s="384"/>
      <c r="C2607" s="393" t="str">
        <f ca="1">IF(COUNTA(O$1493:O2607)=1,"",OFFSET(B2605,-COUNTA(O$1493:O2607)+3,1))</f>
        <v>a16Dm000000LZhmIAG</v>
      </c>
      <c r="D2607" s="389"/>
      <c r="E2607" s="386" t="str">
        <f ca="1">IFERROR(IF(VLOOKUP(C2607,' Disaggregation - Section E '!A$618:J2933,7,0)="","",VLOOKUP(C2607,' Disaggregation - Section E '!A$618:J2933,7,0)*100),"")</f>
        <v/>
      </c>
      <c r="F2607" s="388" t="str">
        <f ca="1">IFERROR(VLOOKUP(C2607,' Disaggregation - Section E '!A$618:J2933,5,0),"")</f>
        <v/>
      </c>
      <c r="G2607" s="387" t="str">
        <f ca="1">IFERROR(IF(VLOOKUP(C2607,' Disaggregation - Section E '!A$618:J2933,6,0)="","",VLOOKUP(C2607,' Disaggregation - Section E '!A$618:J2933,6,0)),"")</f>
        <v/>
      </c>
      <c r="H2607" s="387" t="str">
        <f ca="1">IFERROR(IF(INDEX(' Disaggregation - Section E '!F$618:F2933,MATCH(C2607,' Disaggregation - Section E '!A$618:A2933,0)+1,1)&lt;&gt;0,INDEX(' Disaggregation - Section E '!F$618:F2933,MATCH(C2607,' Disaggregation - Section E '!A$618:A2933,0)+1,1),""),"")</f>
        <v/>
      </c>
      <c r="I2607" s="388" t="str">
        <f ca="1">IFERROR(IF(VLOOKUP(C2607,' Disaggregation - Section E '!A$618:J2933,8,0)=0,"",VLOOKUP(C2607,' Disaggregation - Section E '!A$618:J2933,8,0)),"")</f>
        <v/>
      </c>
      <c r="J2607" s="388" t="str">
        <f ca="1">IFERROR(IF(VLOOKUP(C2607,' Disaggregation - Section E '!A$618:J2933,9,0)="","",VLOOKUP(C2607,' Disaggregation - Section E '!A$618:J2933,9,0)),"")</f>
        <v/>
      </c>
      <c r="K2607" s="384" t="str">
        <f ca="1">IFERROR(VLOOKUP(C2607,' Disaggregation - Section E '!A$618:J2933,3,0),"")</f>
        <v/>
      </c>
      <c r="L2607" s="384"/>
      <c r="M2607" s="384" t="str">
        <f ca="1">IFERROR(IF(VLOOKUP(C2607,' Disaggregation - Section E '!A$618:O1736,15,0)=0,"",VLOOKUP(C2607,' Disaggregation - Section E '!A$618:O1736,15,0)),"")</f>
        <v/>
      </c>
      <c r="N2607" s="388" t="str">
        <f ca="1">IFERROR(IF(VLOOKUP(C2607,' Disaggregation - Section E '!A$618:J2933,10,0)=0,"",VLOOKUP(C2607,' Disaggregation - Section E '!A$618:J2933,10,0)),"")</f>
        <v/>
      </c>
      <c r="O2607" s="384"/>
    </row>
    <row r="2608" spans="1:15" x14ac:dyDescent="0.3">
      <c r="A2608" s="384" t="b">
        <f t="shared" ca="1" si="143"/>
        <v>0</v>
      </c>
      <c r="B2608" s="384"/>
      <c r="C2608" s="393" t="str">
        <f ca="1">IF(COUNTA(O$1493:O2608)=1,"",OFFSET(B2606,-COUNTA(O$1493:O2608)+3,1))</f>
        <v>a16Dm000000LZhnIAG</v>
      </c>
      <c r="D2608" s="389"/>
      <c r="E2608" s="386" t="str">
        <f ca="1">IFERROR(IF(VLOOKUP(C2608,' Disaggregation - Section E '!A$618:J2934,7,0)="","",VLOOKUP(C2608,' Disaggregation - Section E '!A$618:J2934,7,0)*100),"")</f>
        <v/>
      </c>
      <c r="F2608" s="388" t="str">
        <f ca="1">IFERROR(VLOOKUP(C2608,' Disaggregation - Section E '!A$618:J2934,5,0),"")</f>
        <v/>
      </c>
      <c r="G2608" s="387" t="str">
        <f ca="1">IFERROR(IF(VLOOKUP(C2608,' Disaggregation - Section E '!A$618:J2934,6,0)="","",VLOOKUP(C2608,' Disaggregation - Section E '!A$618:J2934,6,0)),"")</f>
        <v/>
      </c>
      <c r="H2608" s="387" t="str">
        <f ca="1">IFERROR(IF(INDEX(' Disaggregation - Section E '!F$618:F2934,MATCH(C2608,' Disaggregation - Section E '!A$618:A2934,0)+1,1)&lt;&gt;0,INDEX(' Disaggregation - Section E '!F$618:F2934,MATCH(C2608,' Disaggregation - Section E '!A$618:A2934,0)+1,1),""),"")</f>
        <v/>
      </c>
      <c r="I2608" s="388" t="str">
        <f ca="1">IFERROR(IF(VLOOKUP(C2608,' Disaggregation - Section E '!A$618:J2934,8,0)=0,"",VLOOKUP(C2608,' Disaggregation - Section E '!A$618:J2934,8,0)),"")</f>
        <v/>
      </c>
      <c r="J2608" s="388" t="str">
        <f ca="1">IFERROR(IF(VLOOKUP(C2608,' Disaggregation - Section E '!A$618:J2934,9,0)="","",VLOOKUP(C2608,' Disaggregation - Section E '!A$618:J2934,9,0)),"")</f>
        <v/>
      </c>
      <c r="K2608" s="384" t="str">
        <f ca="1">IFERROR(VLOOKUP(C2608,' Disaggregation - Section E '!A$618:J2934,3,0),"")</f>
        <v/>
      </c>
      <c r="L2608" s="384"/>
      <c r="M2608" s="384" t="str">
        <f ca="1">IFERROR(IF(VLOOKUP(C2608,' Disaggregation - Section E '!A$618:O1737,15,0)=0,"",VLOOKUP(C2608,' Disaggregation - Section E '!A$618:O1737,15,0)),"")</f>
        <v/>
      </c>
      <c r="N2608" s="388" t="str">
        <f ca="1">IFERROR(IF(VLOOKUP(C2608,' Disaggregation - Section E '!A$618:J2934,10,0)=0,"",VLOOKUP(C2608,' Disaggregation - Section E '!A$618:J2934,10,0)),"")</f>
        <v/>
      </c>
      <c r="O2608" s="384"/>
    </row>
    <row r="2609" spans="1:15" x14ac:dyDescent="0.3">
      <c r="A2609" s="384" t="b">
        <f t="shared" ca="1" si="143"/>
        <v>0</v>
      </c>
      <c r="B2609" s="384"/>
      <c r="C2609" s="393" t="str">
        <f ca="1">IF(COUNTA(O$1493:O2609)=1,"",OFFSET(B2607,-COUNTA(O$1493:O2609)+3,1))</f>
        <v>a16Dm000000LZhoIAG</v>
      </c>
      <c r="D2609" s="389"/>
      <c r="E2609" s="386" t="str">
        <f ca="1">IFERROR(IF(VLOOKUP(C2609,' Disaggregation - Section E '!A$618:J2935,7,0)="","",VLOOKUP(C2609,' Disaggregation - Section E '!A$618:J2935,7,0)*100),"")</f>
        <v/>
      </c>
      <c r="F2609" s="388" t="str">
        <f ca="1">IFERROR(VLOOKUP(C2609,' Disaggregation - Section E '!A$618:J2935,5,0),"")</f>
        <v/>
      </c>
      <c r="G2609" s="387" t="str">
        <f ca="1">IFERROR(IF(VLOOKUP(C2609,' Disaggregation - Section E '!A$618:J2935,6,0)="","",VLOOKUP(C2609,' Disaggregation - Section E '!A$618:J2935,6,0)),"")</f>
        <v/>
      </c>
      <c r="H2609" s="387" t="str">
        <f ca="1">IFERROR(IF(INDEX(' Disaggregation - Section E '!F$618:F2935,MATCH(C2609,' Disaggregation - Section E '!A$618:A2935,0)+1,1)&lt;&gt;0,INDEX(' Disaggregation - Section E '!F$618:F2935,MATCH(C2609,' Disaggregation - Section E '!A$618:A2935,0)+1,1),""),"")</f>
        <v/>
      </c>
      <c r="I2609" s="388" t="str">
        <f ca="1">IFERROR(IF(VLOOKUP(C2609,' Disaggregation - Section E '!A$618:J2935,8,0)=0,"",VLOOKUP(C2609,' Disaggregation - Section E '!A$618:J2935,8,0)),"")</f>
        <v/>
      </c>
      <c r="J2609" s="388" t="str">
        <f ca="1">IFERROR(IF(VLOOKUP(C2609,' Disaggregation - Section E '!A$618:J2935,9,0)="","",VLOOKUP(C2609,' Disaggregation - Section E '!A$618:J2935,9,0)),"")</f>
        <v/>
      </c>
      <c r="K2609" s="384" t="str">
        <f ca="1">IFERROR(VLOOKUP(C2609,' Disaggregation - Section E '!A$618:J2935,3,0),"")</f>
        <v/>
      </c>
      <c r="L2609" s="384"/>
      <c r="M2609" s="384" t="str">
        <f ca="1">IFERROR(IF(VLOOKUP(C2609,' Disaggregation - Section E '!A$618:O1738,15,0)=0,"",VLOOKUP(C2609,' Disaggregation - Section E '!A$618:O1738,15,0)),"")</f>
        <v/>
      </c>
      <c r="N2609" s="388" t="str">
        <f ca="1">IFERROR(IF(VLOOKUP(C2609,' Disaggregation - Section E '!A$618:J2935,10,0)=0,"",VLOOKUP(C2609,' Disaggregation - Section E '!A$618:J2935,10,0)),"")</f>
        <v/>
      </c>
      <c r="O2609" s="384"/>
    </row>
    <row r="2610" spans="1:15" x14ac:dyDescent="0.3">
      <c r="A2610" s="384" t="b">
        <f t="shared" ca="1" si="143"/>
        <v>0</v>
      </c>
      <c r="B2610" s="384"/>
      <c r="C2610" s="393" t="str">
        <f ca="1">IF(COUNTA(O$1493:O2610)=1,"",OFFSET(B2608,-COUNTA(O$1493:O2610)+3,1))</f>
        <v>a16Dm000000LZhpIAG</v>
      </c>
      <c r="D2610" s="389"/>
      <c r="E2610" s="386" t="str">
        <f ca="1">IFERROR(IF(VLOOKUP(C2610,' Disaggregation - Section E '!A$618:J2936,7,0)="","",VLOOKUP(C2610,' Disaggregation - Section E '!A$618:J2936,7,0)*100),"")</f>
        <v/>
      </c>
      <c r="F2610" s="388" t="str">
        <f ca="1">IFERROR(VLOOKUP(C2610,' Disaggregation - Section E '!A$618:J2936,5,0),"")</f>
        <v/>
      </c>
      <c r="G2610" s="387" t="str">
        <f ca="1">IFERROR(IF(VLOOKUP(C2610,' Disaggregation - Section E '!A$618:J2936,6,0)="","",VLOOKUP(C2610,' Disaggregation - Section E '!A$618:J2936,6,0)),"")</f>
        <v/>
      </c>
      <c r="H2610" s="387" t="str">
        <f ca="1">IFERROR(IF(INDEX(' Disaggregation - Section E '!F$618:F2936,MATCH(C2610,' Disaggregation - Section E '!A$618:A2936,0)+1,1)&lt;&gt;0,INDEX(' Disaggregation - Section E '!F$618:F2936,MATCH(C2610,' Disaggregation - Section E '!A$618:A2936,0)+1,1),""),"")</f>
        <v/>
      </c>
      <c r="I2610" s="388" t="str">
        <f ca="1">IFERROR(IF(VLOOKUP(C2610,' Disaggregation - Section E '!A$618:J2936,8,0)=0,"",VLOOKUP(C2610,' Disaggregation - Section E '!A$618:J2936,8,0)),"")</f>
        <v/>
      </c>
      <c r="J2610" s="388" t="str">
        <f ca="1">IFERROR(IF(VLOOKUP(C2610,' Disaggregation - Section E '!A$618:J2936,9,0)="","",VLOOKUP(C2610,' Disaggregation - Section E '!A$618:J2936,9,0)),"")</f>
        <v/>
      </c>
      <c r="K2610" s="384" t="str">
        <f ca="1">IFERROR(VLOOKUP(C2610,' Disaggregation - Section E '!A$618:J2936,3,0),"")</f>
        <v/>
      </c>
      <c r="L2610" s="384"/>
      <c r="M2610" s="384" t="str">
        <f ca="1">IFERROR(IF(VLOOKUP(C2610,' Disaggregation - Section E '!A$618:O1739,15,0)=0,"",VLOOKUP(C2610,' Disaggregation - Section E '!A$618:O1739,15,0)),"")</f>
        <v/>
      </c>
      <c r="N2610" s="388" t="str">
        <f ca="1">IFERROR(IF(VLOOKUP(C2610,' Disaggregation - Section E '!A$618:J2936,10,0)=0,"",VLOOKUP(C2610,' Disaggregation - Section E '!A$618:J2936,10,0)),"")</f>
        <v/>
      </c>
      <c r="O2610" s="384"/>
    </row>
    <row r="2611" spans="1:15" x14ac:dyDescent="0.3">
      <c r="A2611" s="384" t="b">
        <f t="shared" ca="1" si="143"/>
        <v>0</v>
      </c>
      <c r="B2611" s="384"/>
      <c r="C2611" s="393" t="str">
        <f ca="1">IF(COUNTA(O$1493:O2611)=1,"",OFFSET(B2609,-COUNTA(O$1493:O2611)+3,1))</f>
        <v>a16Dm000000LZhqIAG</v>
      </c>
      <c r="D2611" s="389"/>
      <c r="E2611" s="386" t="str">
        <f ca="1">IFERROR(IF(VLOOKUP(C2611,' Disaggregation - Section E '!A$618:J2937,7,0)="","",VLOOKUP(C2611,' Disaggregation - Section E '!A$618:J2937,7,0)*100),"")</f>
        <v/>
      </c>
      <c r="F2611" s="388" t="str">
        <f ca="1">IFERROR(VLOOKUP(C2611,' Disaggregation - Section E '!A$618:J2937,5,0),"")</f>
        <v/>
      </c>
      <c r="G2611" s="387" t="str">
        <f ca="1">IFERROR(IF(VLOOKUP(C2611,' Disaggregation - Section E '!A$618:J2937,6,0)="","",VLOOKUP(C2611,' Disaggregation - Section E '!A$618:J2937,6,0)),"")</f>
        <v/>
      </c>
      <c r="H2611" s="387" t="str">
        <f ca="1">IFERROR(IF(INDEX(' Disaggregation - Section E '!F$618:F2937,MATCH(C2611,' Disaggregation - Section E '!A$618:A2937,0)+1,1)&lt;&gt;0,INDEX(' Disaggregation - Section E '!F$618:F2937,MATCH(C2611,' Disaggregation - Section E '!A$618:A2937,0)+1,1),""),"")</f>
        <v/>
      </c>
      <c r="I2611" s="388" t="str">
        <f ca="1">IFERROR(IF(VLOOKUP(C2611,' Disaggregation - Section E '!A$618:J2937,8,0)=0,"",VLOOKUP(C2611,' Disaggregation - Section E '!A$618:J2937,8,0)),"")</f>
        <v/>
      </c>
      <c r="J2611" s="388" t="str">
        <f ca="1">IFERROR(IF(VLOOKUP(C2611,' Disaggregation - Section E '!A$618:J2937,9,0)="","",VLOOKUP(C2611,' Disaggregation - Section E '!A$618:J2937,9,0)),"")</f>
        <v/>
      </c>
      <c r="K2611" s="384" t="str">
        <f ca="1">IFERROR(VLOOKUP(C2611,' Disaggregation - Section E '!A$618:J2937,3,0),"")</f>
        <v/>
      </c>
      <c r="L2611" s="384"/>
      <c r="M2611" s="384" t="str">
        <f ca="1">IFERROR(IF(VLOOKUP(C2611,' Disaggregation - Section E '!A$618:O1740,15,0)=0,"",VLOOKUP(C2611,' Disaggregation - Section E '!A$618:O1740,15,0)),"")</f>
        <v/>
      </c>
      <c r="N2611" s="388" t="str">
        <f ca="1">IFERROR(IF(VLOOKUP(C2611,' Disaggregation - Section E '!A$618:J2937,10,0)=0,"",VLOOKUP(C2611,' Disaggregation - Section E '!A$618:J2937,10,0)),"")</f>
        <v/>
      </c>
      <c r="O2611" s="384"/>
    </row>
    <row r="2612" spans="1:15" x14ac:dyDescent="0.3">
      <c r="A2612" s="384" t="b">
        <f t="shared" ca="1" si="143"/>
        <v>0</v>
      </c>
      <c r="B2612" s="384"/>
      <c r="C2612" s="393" t="str">
        <f ca="1">IF(COUNTA(O$1493:O2612)=1,"",OFFSET(B2610,-COUNTA(O$1493:O2612)+3,1))</f>
        <v>a16Dm000000LZhrIAG</v>
      </c>
      <c r="D2612" s="389"/>
      <c r="E2612" s="386" t="str">
        <f ca="1">IFERROR(IF(VLOOKUP(C2612,' Disaggregation - Section E '!A$618:J2938,7,0)="","",VLOOKUP(C2612,' Disaggregation - Section E '!A$618:J2938,7,0)*100),"")</f>
        <v/>
      </c>
      <c r="F2612" s="388" t="str">
        <f ca="1">IFERROR(VLOOKUP(C2612,' Disaggregation - Section E '!A$618:J2938,5,0),"")</f>
        <v/>
      </c>
      <c r="G2612" s="387" t="str">
        <f ca="1">IFERROR(IF(VLOOKUP(C2612,' Disaggregation - Section E '!A$618:J2938,6,0)="","",VLOOKUP(C2612,' Disaggregation - Section E '!A$618:J2938,6,0)),"")</f>
        <v/>
      </c>
      <c r="H2612" s="387" t="str">
        <f ca="1">IFERROR(IF(INDEX(' Disaggregation - Section E '!F$618:F2938,MATCH(C2612,' Disaggregation - Section E '!A$618:A2938,0)+1,1)&lt;&gt;0,INDEX(' Disaggregation - Section E '!F$618:F2938,MATCH(C2612,' Disaggregation - Section E '!A$618:A2938,0)+1,1),""),"")</f>
        <v/>
      </c>
      <c r="I2612" s="388" t="str">
        <f ca="1">IFERROR(IF(VLOOKUP(C2612,' Disaggregation - Section E '!A$618:J2938,8,0)=0,"",VLOOKUP(C2612,' Disaggregation - Section E '!A$618:J2938,8,0)),"")</f>
        <v/>
      </c>
      <c r="J2612" s="388" t="str">
        <f ca="1">IFERROR(IF(VLOOKUP(C2612,' Disaggregation - Section E '!A$618:J2938,9,0)="","",VLOOKUP(C2612,' Disaggregation - Section E '!A$618:J2938,9,0)),"")</f>
        <v/>
      </c>
      <c r="K2612" s="384" t="str">
        <f ca="1">IFERROR(VLOOKUP(C2612,' Disaggregation - Section E '!A$618:J2938,3,0),"")</f>
        <v/>
      </c>
      <c r="L2612" s="384"/>
      <c r="M2612" s="384" t="str">
        <f ca="1">IFERROR(IF(VLOOKUP(C2612,' Disaggregation - Section E '!A$618:O1741,15,0)=0,"",VLOOKUP(C2612,' Disaggregation - Section E '!A$618:O1741,15,0)),"")</f>
        <v/>
      </c>
      <c r="N2612" s="388" t="str">
        <f ca="1">IFERROR(IF(VLOOKUP(C2612,' Disaggregation - Section E '!A$618:J2938,10,0)=0,"",VLOOKUP(C2612,' Disaggregation - Section E '!A$618:J2938,10,0)),"")</f>
        <v/>
      </c>
      <c r="O2612" s="384"/>
    </row>
    <row r="2613" spans="1:15" x14ac:dyDescent="0.3">
      <c r="A2613" s="384" t="b">
        <f t="shared" ca="1" si="143"/>
        <v>0</v>
      </c>
      <c r="B2613" s="384"/>
      <c r="C2613" s="393" t="str">
        <f ca="1">IF(COUNTA(O$1493:O2613)=1,"",OFFSET(B2611,-COUNTA(O$1493:O2613)+3,1))</f>
        <v>a16Dm000000LZhsIAG</v>
      </c>
      <c r="D2613" s="389"/>
      <c r="E2613" s="386" t="str">
        <f ca="1">IFERROR(IF(VLOOKUP(C2613,' Disaggregation - Section E '!A$618:J2939,7,0)="","",VLOOKUP(C2613,' Disaggregation - Section E '!A$618:J2939,7,0)*100),"")</f>
        <v/>
      </c>
      <c r="F2613" s="388" t="str">
        <f ca="1">IFERROR(VLOOKUP(C2613,' Disaggregation - Section E '!A$618:J2939,5,0),"")</f>
        <v/>
      </c>
      <c r="G2613" s="387" t="str">
        <f ca="1">IFERROR(IF(VLOOKUP(C2613,' Disaggregation - Section E '!A$618:J2939,6,0)="","",VLOOKUP(C2613,' Disaggregation - Section E '!A$618:J2939,6,0)),"")</f>
        <v/>
      </c>
      <c r="H2613" s="387" t="str">
        <f ca="1">IFERROR(IF(INDEX(' Disaggregation - Section E '!F$618:F2939,MATCH(C2613,' Disaggregation - Section E '!A$618:A2939,0)+1,1)&lt;&gt;0,INDEX(' Disaggregation - Section E '!F$618:F2939,MATCH(C2613,' Disaggregation - Section E '!A$618:A2939,0)+1,1),""),"")</f>
        <v/>
      </c>
      <c r="I2613" s="388" t="str">
        <f ca="1">IFERROR(IF(VLOOKUP(C2613,' Disaggregation - Section E '!A$618:J2939,8,0)=0,"",VLOOKUP(C2613,' Disaggregation - Section E '!A$618:J2939,8,0)),"")</f>
        <v/>
      </c>
      <c r="J2613" s="388" t="str">
        <f ca="1">IFERROR(IF(VLOOKUP(C2613,' Disaggregation - Section E '!A$618:J2939,9,0)="","",VLOOKUP(C2613,' Disaggregation - Section E '!A$618:J2939,9,0)),"")</f>
        <v/>
      </c>
      <c r="K2613" s="384" t="str">
        <f ca="1">IFERROR(VLOOKUP(C2613,' Disaggregation - Section E '!A$618:J2939,3,0),"")</f>
        <v/>
      </c>
      <c r="L2613" s="384"/>
      <c r="M2613" s="384" t="str">
        <f ca="1">IFERROR(IF(VLOOKUP(C2613,' Disaggregation - Section E '!A$618:O1742,15,0)=0,"",VLOOKUP(C2613,' Disaggregation - Section E '!A$618:O1742,15,0)),"")</f>
        <v/>
      </c>
      <c r="N2613" s="388" t="str">
        <f ca="1">IFERROR(IF(VLOOKUP(C2613,' Disaggregation - Section E '!A$618:J2939,10,0)=0,"",VLOOKUP(C2613,' Disaggregation - Section E '!A$618:J2939,10,0)),"")</f>
        <v/>
      </c>
      <c r="O2613" s="384"/>
    </row>
    <row r="2614" spans="1:15" x14ac:dyDescent="0.3">
      <c r="A2614" s="384" t="b">
        <f t="shared" ca="1" si="143"/>
        <v>0</v>
      </c>
      <c r="B2614" s="384"/>
      <c r="C2614" s="393" t="str">
        <f ca="1">IF(COUNTA(O$1493:O2614)=1,"",OFFSET(B2612,-COUNTA(O$1493:O2614)+3,1))</f>
        <v>a16Dm000000LZhtIAG</v>
      </c>
      <c r="D2614" s="389"/>
      <c r="E2614" s="386" t="str">
        <f ca="1">IFERROR(IF(VLOOKUP(C2614,' Disaggregation - Section E '!A$618:J2940,7,0)="","",VLOOKUP(C2614,' Disaggregation - Section E '!A$618:J2940,7,0)*100),"")</f>
        <v/>
      </c>
      <c r="F2614" s="388" t="str">
        <f ca="1">IFERROR(VLOOKUP(C2614,' Disaggregation - Section E '!A$618:J2940,5,0),"")</f>
        <v/>
      </c>
      <c r="G2614" s="387" t="str">
        <f ca="1">IFERROR(IF(VLOOKUP(C2614,' Disaggregation - Section E '!A$618:J2940,6,0)="","",VLOOKUP(C2614,' Disaggregation - Section E '!A$618:J2940,6,0)),"")</f>
        <v/>
      </c>
      <c r="H2614" s="387" t="str">
        <f ca="1">IFERROR(IF(INDEX(' Disaggregation - Section E '!F$618:F2940,MATCH(C2614,' Disaggregation - Section E '!A$618:A2940,0)+1,1)&lt;&gt;0,INDEX(' Disaggregation - Section E '!F$618:F2940,MATCH(C2614,' Disaggregation - Section E '!A$618:A2940,0)+1,1),""),"")</f>
        <v/>
      </c>
      <c r="I2614" s="388" t="str">
        <f ca="1">IFERROR(IF(VLOOKUP(C2614,' Disaggregation - Section E '!A$618:J2940,8,0)=0,"",VLOOKUP(C2614,' Disaggregation - Section E '!A$618:J2940,8,0)),"")</f>
        <v/>
      </c>
      <c r="J2614" s="388" t="str">
        <f ca="1">IFERROR(IF(VLOOKUP(C2614,' Disaggregation - Section E '!A$618:J2940,9,0)="","",VLOOKUP(C2614,' Disaggregation - Section E '!A$618:J2940,9,0)),"")</f>
        <v/>
      </c>
      <c r="K2614" s="384" t="str">
        <f ca="1">IFERROR(VLOOKUP(C2614,' Disaggregation - Section E '!A$618:J2940,3,0),"")</f>
        <v/>
      </c>
      <c r="L2614" s="384"/>
      <c r="M2614" s="384" t="str">
        <f ca="1">IFERROR(IF(VLOOKUP(C2614,' Disaggregation - Section E '!A$618:O1743,15,0)=0,"",VLOOKUP(C2614,' Disaggregation - Section E '!A$618:O1743,15,0)),"")</f>
        <v/>
      </c>
      <c r="N2614" s="388" t="str">
        <f ca="1">IFERROR(IF(VLOOKUP(C2614,' Disaggregation - Section E '!A$618:J2940,10,0)=0,"",VLOOKUP(C2614,' Disaggregation - Section E '!A$618:J2940,10,0)),"")</f>
        <v/>
      </c>
      <c r="O2614" s="384"/>
    </row>
    <row r="2615" spans="1:15" x14ac:dyDescent="0.3">
      <c r="A2615" s="384" t="b">
        <f t="shared" ca="1" si="143"/>
        <v>0</v>
      </c>
      <c r="B2615" s="384"/>
      <c r="C2615" s="393" t="str">
        <f ca="1">IF(COUNTA(O$1493:O2615)=1,"",OFFSET(B2613,-COUNTA(O$1493:O2615)+3,1))</f>
        <v>a16Dm000000LZhuIAG</v>
      </c>
      <c r="D2615" s="389"/>
      <c r="E2615" s="386" t="str">
        <f ca="1">IFERROR(IF(VLOOKUP(C2615,' Disaggregation - Section E '!A$618:J2941,7,0)="","",VLOOKUP(C2615,' Disaggregation - Section E '!A$618:J2941,7,0)*100),"")</f>
        <v/>
      </c>
      <c r="F2615" s="388" t="str">
        <f ca="1">IFERROR(VLOOKUP(C2615,' Disaggregation - Section E '!A$618:J2941,5,0),"")</f>
        <v/>
      </c>
      <c r="G2615" s="387" t="str">
        <f ca="1">IFERROR(IF(VLOOKUP(C2615,' Disaggregation - Section E '!A$618:J2941,6,0)="","",VLOOKUP(C2615,' Disaggregation - Section E '!A$618:J2941,6,0)),"")</f>
        <v/>
      </c>
      <c r="H2615" s="387" t="str">
        <f ca="1">IFERROR(IF(INDEX(' Disaggregation - Section E '!F$618:F2941,MATCH(C2615,' Disaggregation - Section E '!A$618:A2941,0)+1,1)&lt;&gt;0,INDEX(' Disaggregation - Section E '!F$618:F2941,MATCH(C2615,' Disaggregation - Section E '!A$618:A2941,0)+1,1),""),"")</f>
        <v/>
      </c>
      <c r="I2615" s="388" t="str">
        <f ca="1">IFERROR(IF(VLOOKUP(C2615,' Disaggregation - Section E '!A$618:J2941,8,0)=0,"",VLOOKUP(C2615,' Disaggregation - Section E '!A$618:J2941,8,0)),"")</f>
        <v/>
      </c>
      <c r="J2615" s="388" t="str">
        <f ca="1">IFERROR(IF(VLOOKUP(C2615,' Disaggregation - Section E '!A$618:J2941,9,0)="","",VLOOKUP(C2615,' Disaggregation - Section E '!A$618:J2941,9,0)),"")</f>
        <v/>
      </c>
      <c r="K2615" s="384" t="str">
        <f ca="1">IFERROR(VLOOKUP(C2615,' Disaggregation - Section E '!A$618:J2941,3,0),"")</f>
        <v/>
      </c>
      <c r="L2615" s="384"/>
      <c r="M2615" s="384" t="str">
        <f ca="1">IFERROR(IF(VLOOKUP(C2615,' Disaggregation - Section E '!A$618:O1744,15,0)=0,"",VLOOKUP(C2615,' Disaggregation - Section E '!A$618:O1744,15,0)),"")</f>
        <v/>
      </c>
      <c r="N2615" s="388" t="str">
        <f ca="1">IFERROR(IF(VLOOKUP(C2615,' Disaggregation - Section E '!A$618:J2941,10,0)=0,"",VLOOKUP(C2615,' Disaggregation - Section E '!A$618:J2941,10,0)),"")</f>
        <v/>
      </c>
      <c r="O2615" s="384"/>
    </row>
    <row r="2616" spans="1:15" x14ac:dyDescent="0.3">
      <c r="A2616" s="384" t="b">
        <f t="shared" ca="1" si="143"/>
        <v>0</v>
      </c>
      <c r="B2616" s="384"/>
      <c r="C2616" s="393" t="str">
        <f ca="1">IF(COUNTA(O$1493:O2616)=1,"",OFFSET(B2614,-COUNTA(O$1493:O2616)+3,1))</f>
        <v>a16Dm000000LZhvIAG</v>
      </c>
      <c r="D2616" s="389"/>
      <c r="E2616" s="386" t="str">
        <f ca="1">IFERROR(IF(VLOOKUP(C2616,' Disaggregation - Section E '!A$618:J2942,7,0)="","",VLOOKUP(C2616,' Disaggregation - Section E '!A$618:J2942,7,0)*100),"")</f>
        <v/>
      </c>
      <c r="F2616" s="388" t="str">
        <f ca="1">IFERROR(VLOOKUP(C2616,' Disaggregation - Section E '!A$618:J2942,5,0),"")</f>
        <v/>
      </c>
      <c r="G2616" s="387" t="str">
        <f ca="1">IFERROR(IF(VLOOKUP(C2616,' Disaggregation - Section E '!A$618:J2942,6,0)="","",VLOOKUP(C2616,' Disaggregation - Section E '!A$618:J2942,6,0)),"")</f>
        <v/>
      </c>
      <c r="H2616" s="387" t="str">
        <f ca="1">IFERROR(IF(INDEX(' Disaggregation - Section E '!F$618:F2942,MATCH(C2616,' Disaggregation - Section E '!A$618:A2942,0)+1,1)&lt;&gt;0,INDEX(' Disaggregation - Section E '!F$618:F2942,MATCH(C2616,' Disaggregation - Section E '!A$618:A2942,0)+1,1),""),"")</f>
        <v/>
      </c>
      <c r="I2616" s="388" t="str">
        <f ca="1">IFERROR(IF(VLOOKUP(C2616,' Disaggregation - Section E '!A$618:J2942,8,0)=0,"",VLOOKUP(C2616,' Disaggregation - Section E '!A$618:J2942,8,0)),"")</f>
        <v/>
      </c>
      <c r="J2616" s="388" t="str">
        <f ca="1">IFERROR(IF(VLOOKUP(C2616,' Disaggregation - Section E '!A$618:J2942,9,0)="","",VLOOKUP(C2616,' Disaggregation - Section E '!A$618:J2942,9,0)),"")</f>
        <v/>
      </c>
      <c r="K2616" s="384" t="str">
        <f ca="1">IFERROR(VLOOKUP(C2616,' Disaggregation - Section E '!A$618:J2942,3,0),"")</f>
        <v/>
      </c>
      <c r="L2616" s="384"/>
      <c r="M2616" s="384" t="str">
        <f ca="1">IFERROR(IF(VLOOKUP(C2616,' Disaggregation - Section E '!A$618:O1745,15,0)=0,"",VLOOKUP(C2616,' Disaggregation - Section E '!A$618:O1745,15,0)),"")</f>
        <v/>
      </c>
      <c r="N2616" s="388" t="str">
        <f ca="1">IFERROR(IF(VLOOKUP(C2616,' Disaggregation - Section E '!A$618:J2942,10,0)=0,"",VLOOKUP(C2616,' Disaggregation - Section E '!A$618:J2942,10,0)),"")</f>
        <v/>
      </c>
      <c r="O2616" s="384"/>
    </row>
    <row r="2617" spans="1:15" x14ac:dyDescent="0.3">
      <c r="A2617" s="384" t="b">
        <f t="shared" ca="1" si="143"/>
        <v>0</v>
      </c>
      <c r="B2617" s="384"/>
      <c r="C2617" s="393" t="str">
        <f ca="1">IF(COUNTA(O$1493:O2617)=1,"",OFFSET(B2615,-COUNTA(O$1493:O2617)+3,1))</f>
        <v>a16Dm000000LZhwIAG</v>
      </c>
      <c r="D2617" s="389"/>
      <c r="E2617" s="386" t="str">
        <f ca="1">IFERROR(IF(VLOOKUP(C2617,' Disaggregation - Section E '!A$618:J2943,7,0)="","",VLOOKUP(C2617,' Disaggregation - Section E '!A$618:J2943,7,0)*100),"")</f>
        <v/>
      </c>
      <c r="F2617" s="388" t="str">
        <f ca="1">IFERROR(VLOOKUP(C2617,' Disaggregation - Section E '!A$618:J2943,5,0),"")</f>
        <v/>
      </c>
      <c r="G2617" s="387" t="str">
        <f ca="1">IFERROR(IF(VLOOKUP(C2617,' Disaggregation - Section E '!A$618:J2943,6,0)="","",VLOOKUP(C2617,' Disaggregation - Section E '!A$618:J2943,6,0)),"")</f>
        <v/>
      </c>
      <c r="H2617" s="387" t="str">
        <f ca="1">IFERROR(IF(INDEX(' Disaggregation - Section E '!F$618:F2943,MATCH(C2617,' Disaggregation - Section E '!A$618:A2943,0)+1,1)&lt;&gt;0,INDEX(' Disaggregation - Section E '!F$618:F2943,MATCH(C2617,' Disaggregation - Section E '!A$618:A2943,0)+1,1),""),"")</f>
        <v/>
      </c>
      <c r="I2617" s="388" t="str">
        <f ca="1">IFERROR(IF(VLOOKUP(C2617,' Disaggregation - Section E '!A$618:J2943,8,0)=0,"",VLOOKUP(C2617,' Disaggregation - Section E '!A$618:J2943,8,0)),"")</f>
        <v/>
      </c>
      <c r="J2617" s="388" t="str">
        <f ca="1">IFERROR(IF(VLOOKUP(C2617,' Disaggregation - Section E '!A$618:J2943,9,0)="","",VLOOKUP(C2617,' Disaggregation - Section E '!A$618:J2943,9,0)),"")</f>
        <v/>
      </c>
      <c r="K2617" s="384" t="str">
        <f ca="1">IFERROR(VLOOKUP(C2617,' Disaggregation - Section E '!A$618:J2943,3,0),"")</f>
        <v/>
      </c>
      <c r="L2617" s="384"/>
      <c r="M2617" s="384" t="str">
        <f ca="1">IFERROR(IF(VLOOKUP(C2617,' Disaggregation - Section E '!A$618:O1746,15,0)=0,"",VLOOKUP(C2617,' Disaggregation - Section E '!A$618:O1746,15,0)),"")</f>
        <v/>
      </c>
      <c r="N2617" s="388" t="str">
        <f ca="1">IFERROR(IF(VLOOKUP(C2617,' Disaggregation - Section E '!A$618:J2943,10,0)=0,"",VLOOKUP(C2617,' Disaggregation - Section E '!A$618:J2943,10,0)),"")</f>
        <v/>
      </c>
      <c r="O2617" s="384"/>
    </row>
    <row r="2618" spans="1:15" x14ac:dyDescent="0.3">
      <c r="A2618" s="384" t="b">
        <f t="shared" ca="1" si="143"/>
        <v>0</v>
      </c>
      <c r="B2618" s="384"/>
      <c r="C2618" s="393" t="str">
        <f ca="1">IF(COUNTA(O$1493:O2618)=1,"",OFFSET(B2616,-COUNTA(O$1493:O2618)+3,1))</f>
        <v>a16Dm000000LZhxIAG</v>
      </c>
      <c r="D2618" s="389"/>
      <c r="E2618" s="386" t="str">
        <f ca="1">IFERROR(IF(VLOOKUP(C2618,' Disaggregation - Section E '!A$618:J2944,7,0)="","",VLOOKUP(C2618,' Disaggregation - Section E '!A$618:J2944,7,0)*100),"")</f>
        <v/>
      </c>
      <c r="F2618" s="388" t="str">
        <f ca="1">IFERROR(VLOOKUP(C2618,' Disaggregation - Section E '!A$618:J2944,5,0),"")</f>
        <v/>
      </c>
      <c r="G2618" s="387" t="str">
        <f ca="1">IFERROR(IF(VLOOKUP(C2618,' Disaggregation - Section E '!A$618:J2944,6,0)="","",VLOOKUP(C2618,' Disaggregation - Section E '!A$618:J2944,6,0)),"")</f>
        <v/>
      </c>
      <c r="H2618" s="387" t="str">
        <f ca="1">IFERROR(IF(INDEX(' Disaggregation - Section E '!F$618:F2944,MATCH(C2618,' Disaggregation - Section E '!A$618:A2944,0)+1,1)&lt;&gt;0,INDEX(' Disaggregation - Section E '!F$618:F2944,MATCH(C2618,' Disaggregation - Section E '!A$618:A2944,0)+1,1),""),"")</f>
        <v/>
      </c>
      <c r="I2618" s="388" t="str">
        <f ca="1">IFERROR(IF(VLOOKUP(C2618,' Disaggregation - Section E '!A$618:J2944,8,0)=0,"",VLOOKUP(C2618,' Disaggregation - Section E '!A$618:J2944,8,0)),"")</f>
        <v/>
      </c>
      <c r="J2618" s="388" t="str">
        <f ca="1">IFERROR(IF(VLOOKUP(C2618,' Disaggregation - Section E '!A$618:J2944,9,0)="","",VLOOKUP(C2618,' Disaggregation - Section E '!A$618:J2944,9,0)),"")</f>
        <v/>
      </c>
      <c r="K2618" s="384" t="str">
        <f ca="1">IFERROR(VLOOKUP(C2618,' Disaggregation - Section E '!A$618:J2944,3,0),"")</f>
        <v/>
      </c>
      <c r="L2618" s="384"/>
      <c r="M2618" s="384" t="str">
        <f ca="1">IFERROR(IF(VLOOKUP(C2618,' Disaggregation - Section E '!A$618:O1747,15,0)=0,"",VLOOKUP(C2618,' Disaggregation - Section E '!A$618:O1747,15,0)),"")</f>
        <v/>
      </c>
      <c r="N2618" s="388" t="str">
        <f ca="1">IFERROR(IF(VLOOKUP(C2618,' Disaggregation - Section E '!A$618:J2944,10,0)=0,"",VLOOKUP(C2618,' Disaggregation - Section E '!A$618:J2944,10,0)),"")</f>
        <v/>
      </c>
      <c r="O2618" s="384"/>
    </row>
    <row r="2619" spans="1:15" x14ac:dyDescent="0.3">
      <c r="A2619" s="384" t="b">
        <f t="shared" ca="1" si="143"/>
        <v>0</v>
      </c>
      <c r="B2619" s="384"/>
      <c r="C2619" s="393" t="str">
        <f ca="1">IF(COUNTA(O$1493:O2619)=1,"",OFFSET(B2617,-COUNTA(O$1493:O2619)+3,1))</f>
        <v>a16Dm000000LZhyIAG</v>
      </c>
      <c r="D2619" s="389"/>
      <c r="E2619" s="386" t="str">
        <f ca="1">IFERROR(IF(VLOOKUP(C2619,' Disaggregation - Section E '!A$618:J2945,7,0)="","",VLOOKUP(C2619,' Disaggregation - Section E '!A$618:J2945,7,0)*100),"")</f>
        <v/>
      </c>
      <c r="F2619" s="388" t="str">
        <f ca="1">IFERROR(VLOOKUP(C2619,' Disaggregation - Section E '!A$618:J2945,5,0),"")</f>
        <v/>
      </c>
      <c r="G2619" s="387" t="str">
        <f ca="1">IFERROR(IF(VLOOKUP(C2619,' Disaggregation - Section E '!A$618:J2945,6,0)="","",VLOOKUP(C2619,' Disaggregation - Section E '!A$618:J2945,6,0)),"")</f>
        <v/>
      </c>
      <c r="H2619" s="387" t="str">
        <f ca="1">IFERROR(IF(INDEX(' Disaggregation - Section E '!F$618:F2945,MATCH(C2619,' Disaggregation - Section E '!A$618:A2945,0)+1,1)&lt;&gt;0,INDEX(' Disaggregation - Section E '!F$618:F2945,MATCH(C2619,' Disaggregation - Section E '!A$618:A2945,0)+1,1),""),"")</f>
        <v/>
      </c>
      <c r="I2619" s="388" t="str">
        <f ca="1">IFERROR(IF(VLOOKUP(C2619,' Disaggregation - Section E '!A$618:J2945,8,0)=0,"",VLOOKUP(C2619,' Disaggregation - Section E '!A$618:J2945,8,0)),"")</f>
        <v/>
      </c>
      <c r="J2619" s="388" t="str">
        <f ca="1">IFERROR(IF(VLOOKUP(C2619,' Disaggregation - Section E '!A$618:J2945,9,0)="","",VLOOKUP(C2619,' Disaggregation - Section E '!A$618:J2945,9,0)),"")</f>
        <v/>
      </c>
      <c r="K2619" s="384" t="str">
        <f ca="1">IFERROR(VLOOKUP(C2619,' Disaggregation - Section E '!A$618:J2945,3,0),"")</f>
        <v/>
      </c>
      <c r="L2619" s="384"/>
      <c r="M2619" s="384" t="str">
        <f ca="1">IFERROR(IF(VLOOKUP(C2619,' Disaggregation - Section E '!A$618:O1748,15,0)=0,"",VLOOKUP(C2619,' Disaggregation - Section E '!A$618:O1748,15,0)),"")</f>
        <v/>
      </c>
      <c r="N2619" s="388" t="str">
        <f ca="1">IFERROR(IF(VLOOKUP(C2619,' Disaggregation - Section E '!A$618:J2945,10,0)=0,"",VLOOKUP(C2619,' Disaggregation - Section E '!A$618:J2945,10,0)),"")</f>
        <v/>
      </c>
      <c r="O2619" s="384"/>
    </row>
    <row r="2620" spans="1:15" x14ac:dyDescent="0.3">
      <c r="A2620" s="384" t="b">
        <f t="shared" ca="1" si="143"/>
        <v>0</v>
      </c>
      <c r="B2620" s="384"/>
      <c r="C2620" s="393" t="str">
        <f ca="1">IF(COUNTA(O$1493:O2620)=1,"",OFFSET(B2618,-COUNTA(O$1493:O2620)+3,1))</f>
        <v>a16Dm000000LZhzIAG</v>
      </c>
      <c r="D2620" s="389"/>
      <c r="E2620" s="386" t="str">
        <f ca="1">IFERROR(IF(VLOOKUP(C2620,' Disaggregation - Section E '!A$618:J2946,7,0)="","",VLOOKUP(C2620,' Disaggregation - Section E '!A$618:J2946,7,0)*100),"")</f>
        <v/>
      </c>
      <c r="F2620" s="388" t="str">
        <f ca="1">IFERROR(VLOOKUP(C2620,' Disaggregation - Section E '!A$618:J2946,5,0),"")</f>
        <v/>
      </c>
      <c r="G2620" s="387" t="str">
        <f ca="1">IFERROR(IF(VLOOKUP(C2620,' Disaggregation - Section E '!A$618:J2946,6,0)="","",VLOOKUP(C2620,' Disaggregation - Section E '!A$618:J2946,6,0)),"")</f>
        <v/>
      </c>
      <c r="H2620" s="387" t="str">
        <f ca="1">IFERROR(IF(INDEX(' Disaggregation - Section E '!F$618:F2946,MATCH(C2620,' Disaggregation - Section E '!A$618:A2946,0)+1,1)&lt;&gt;0,INDEX(' Disaggregation - Section E '!F$618:F2946,MATCH(C2620,' Disaggregation - Section E '!A$618:A2946,0)+1,1),""),"")</f>
        <v/>
      </c>
      <c r="I2620" s="388" t="str">
        <f ca="1">IFERROR(IF(VLOOKUP(C2620,' Disaggregation - Section E '!A$618:J2946,8,0)=0,"",VLOOKUP(C2620,' Disaggregation - Section E '!A$618:J2946,8,0)),"")</f>
        <v/>
      </c>
      <c r="J2620" s="388" t="str">
        <f ca="1">IFERROR(IF(VLOOKUP(C2620,' Disaggregation - Section E '!A$618:J2946,9,0)="","",VLOOKUP(C2620,' Disaggregation - Section E '!A$618:J2946,9,0)),"")</f>
        <v/>
      </c>
      <c r="K2620" s="384" t="str">
        <f ca="1">IFERROR(VLOOKUP(C2620,' Disaggregation - Section E '!A$618:J2946,3,0),"")</f>
        <v/>
      </c>
      <c r="L2620" s="384"/>
      <c r="M2620" s="384" t="str">
        <f ca="1">IFERROR(IF(VLOOKUP(C2620,' Disaggregation - Section E '!A$618:O1749,15,0)=0,"",VLOOKUP(C2620,' Disaggregation - Section E '!A$618:O1749,15,0)),"")</f>
        <v/>
      </c>
      <c r="N2620" s="388" t="str">
        <f ca="1">IFERROR(IF(VLOOKUP(C2620,' Disaggregation - Section E '!A$618:J2946,10,0)=0,"",VLOOKUP(C2620,' Disaggregation - Section E '!A$618:J2946,10,0)),"")</f>
        <v/>
      </c>
      <c r="O2620" s="384"/>
    </row>
    <row r="2621" spans="1:15" x14ac:dyDescent="0.3">
      <c r="A2621" s="384" t="b">
        <f t="shared" ca="1" si="143"/>
        <v>0</v>
      </c>
      <c r="B2621" s="384"/>
      <c r="C2621" s="393" t="str">
        <f ca="1">IF(COUNTA(O$1493:O2621)=1,"",OFFSET(B2619,-COUNTA(O$1493:O2621)+3,1))</f>
        <v>a16Dm000000LZi0IAG</v>
      </c>
      <c r="D2621" s="389"/>
      <c r="E2621" s="386" t="str">
        <f ca="1">IFERROR(IF(VLOOKUP(C2621,' Disaggregation - Section E '!A$618:J2947,7,0)="","",VLOOKUP(C2621,' Disaggregation - Section E '!A$618:J2947,7,0)*100),"")</f>
        <v/>
      </c>
      <c r="F2621" s="388" t="str">
        <f ca="1">IFERROR(VLOOKUP(C2621,' Disaggregation - Section E '!A$618:J2947,5,0),"")</f>
        <v/>
      </c>
      <c r="G2621" s="387" t="str">
        <f ca="1">IFERROR(IF(VLOOKUP(C2621,' Disaggregation - Section E '!A$618:J2947,6,0)="","",VLOOKUP(C2621,' Disaggregation - Section E '!A$618:J2947,6,0)),"")</f>
        <v/>
      </c>
      <c r="H2621" s="387" t="str">
        <f ca="1">IFERROR(IF(INDEX(' Disaggregation - Section E '!F$618:F2947,MATCH(C2621,' Disaggregation - Section E '!A$618:A2947,0)+1,1)&lt;&gt;0,INDEX(' Disaggregation - Section E '!F$618:F2947,MATCH(C2621,' Disaggregation - Section E '!A$618:A2947,0)+1,1),""),"")</f>
        <v/>
      </c>
      <c r="I2621" s="388" t="str">
        <f ca="1">IFERROR(IF(VLOOKUP(C2621,' Disaggregation - Section E '!A$618:J2947,8,0)=0,"",VLOOKUP(C2621,' Disaggregation - Section E '!A$618:J2947,8,0)),"")</f>
        <v/>
      </c>
      <c r="J2621" s="388" t="str">
        <f ca="1">IFERROR(IF(VLOOKUP(C2621,' Disaggregation - Section E '!A$618:J2947,9,0)="","",VLOOKUP(C2621,' Disaggregation - Section E '!A$618:J2947,9,0)),"")</f>
        <v/>
      </c>
      <c r="K2621" s="384" t="str">
        <f ca="1">IFERROR(VLOOKUP(C2621,' Disaggregation - Section E '!A$618:J2947,3,0),"")</f>
        <v/>
      </c>
      <c r="L2621" s="384"/>
      <c r="M2621" s="384" t="str">
        <f ca="1">IFERROR(IF(VLOOKUP(C2621,' Disaggregation - Section E '!A$618:O1750,15,0)=0,"",VLOOKUP(C2621,' Disaggregation - Section E '!A$618:O1750,15,0)),"")</f>
        <v/>
      </c>
      <c r="N2621" s="388" t="str">
        <f ca="1">IFERROR(IF(VLOOKUP(C2621,' Disaggregation - Section E '!A$618:J2947,10,0)=0,"",VLOOKUP(C2621,' Disaggregation - Section E '!A$618:J2947,10,0)),"")</f>
        <v/>
      </c>
      <c r="O2621" s="384"/>
    </row>
    <row r="2622" spans="1:15" x14ac:dyDescent="0.3">
      <c r="A2622" s="384" t="b">
        <f t="shared" ca="1" si="143"/>
        <v>0</v>
      </c>
      <c r="B2622" s="384"/>
      <c r="C2622" s="393" t="str">
        <f ca="1">IF(COUNTA(O$1493:O2622)=1,"",OFFSET(B2620,-COUNTA(O$1493:O2622)+3,1))</f>
        <v>a16Dm000000LZi1IAG</v>
      </c>
      <c r="D2622" s="389"/>
      <c r="E2622" s="386" t="str">
        <f ca="1">IFERROR(IF(VLOOKUP(C2622,' Disaggregation - Section E '!A$618:J2948,7,0)="","",VLOOKUP(C2622,' Disaggregation - Section E '!A$618:J2948,7,0)*100),"")</f>
        <v/>
      </c>
      <c r="F2622" s="388" t="str">
        <f ca="1">IFERROR(VLOOKUP(C2622,' Disaggregation - Section E '!A$618:J2948,5,0),"")</f>
        <v/>
      </c>
      <c r="G2622" s="387" t="str">
        <f ca="1">IFERROR(IF(VLOOKUP(C2622,' Disaggregation - Section E '!A$618:J2948,6,0)="","",VLOOKUP(C2622,' Disaggregation - Section E '!A$618:J2948,6,0)),"")</f>
        <v/>
      </c>
      <c r="H2622" s="387" t="str">
        <f ca="1">IFERROR(IF(INDEX(' Disaggregation - Section E '!F$618:F2948,MATCH(C2622,' Disaggregation - Section E '!A$618:A2948,0)+1,1)&lt;&gt;0,INDEX(' Disaggregation - Section E '!F$618:F2948,MATCH(C2622,' Disaggregation - Section E '!A$618:A2948,0)+1,1),""),"")</f>
        <v/>
      </c>
      <c r="I2622" s="388" t="str">
        <f ca="1">IFERROR(IF(VLOOKUP(C2622,' Disaggregation - Section E '!A$618:J2948,8,0)=0,"",VLOOKUP(C2622,' Disaggregation - Section E '!A$618:J2948,8,0)),"")</f>
        <v/>
      </c>
      <c r="J2622" s="388" t="str">
        <f ca="1">IFERROR(IF(VLOOKUP(C2622,' Disaggregation - Section E '!A$618:J2948,9,0)="","",VLOOKUP(C2622,' Disaggregation - Section E '!A$618:J2948,9,0)),"")</f>
        <v/>
      </c>
      <c r="K2622" s="384" t="str">
        <f ca="1">IFERROR(VLOOKUP(C2622,' Disaggregation - Section E '!A$618:J2948,3,0),"")</f>
        <v/>
      </c>
      <c r="L2622" s="384"/>
      <c r="M2622" s="384" t="str">
        <f ca="1">IFERROR(IF(VLOOKUP(C2622,' Disaggregation - Section E '!A$618:O1751,15,0)=0,"",VLOOKUP(C2622,' Disaggregation - Section E '!A$618:O1751,15,0)),"")</f>
        <v/>
      </c>
      <c r="N2622" s="388" t="str">
        <f ca="1">IFERROR(IF(VLOOKUP(C2622,' Disaggregation - Section E '!A$618:J2948,10,0)=0,"",VLOOKUP(C2622,' Disaggregation - Section E '!A$618:J2948,10,0)),"")</f>
        <v/>
      </c>
      <c r="O2622" s="384"/>
    </row>
    <row r="2623" spans="1:15" x14ac:dyDescent="0.3">
      <c r="A2623" s="384" t="b">
        <f t="shared" ca="1" si="143"/>
        <v>0</v>
      </c>
      <c r="B2623" s="384"/>
      <c r="C2623" s="393" t="str">
        <f ca="1">IF(COUNTA(O$1493:O2623)=1,"",OFFSET(B2621,-COUNTA(O$1493:O2623)+3,1))</f>
        <v>a16Dm000000LZi2IAG</v>
      </c>
      <c r="D2623" s="389"/>
      <c r="E2623" s="386" t="str">
        <f ca="1">IFERROR(IF(VLOOKUP(C2623,' Disaggregation - Section E '!A$618:J2949,7,0)="","",VLOOKUP(C2623,' Disaggregation - Section E '!A$618:J2949,7,0)*100),"")</f>
        <v/>
      </c>
      <c r="F2623" s="388" t="str">
        <f ca="1">IFERROR(VLOOKUP(C2623,' Disaggregation - Section E '!A$618:J2949,5,0),"")</f>
        <v/>
      </c>
      <c r="G2623" s="387" t="str">
        <f ca="1">IFERROR(IF(VLOOKUP(C2623,' Disaggregation - Section E '!A$618:J2949,6,0)="","",VLOOKUP(C2623,' Disaggregation - Section E '!A$618:J2949,6,0)),"")</f>
        <v/>
      </c>
      <c r="H2623" s="387" t="str">
        <f ca="1">IFERROR(IF(INDEX(' Disaggregation - Section E '!F$618:F2949,MATCH(C2623,' Disaggregation - Section E '!A$618:A2949,0)+1,1)&lt;&gt;0,INDEX(' Disaggregation - Section E '!F$618:F2949,MATCH(C2623,' Disaggregation - Section E '!A$618:A2949,0)+1,1),""),"")</f>
        <v/>
      </c>
      <c r="I2623" s="388" t="str">
        <f ca="1">IFERROR(IF(VLOOKUP(C2623,' Disaggregation - Section E '!A$618:J2949,8,0)=0,"",VLOOKUP(C2623,' Disaggregation - Section E '!A$618:J2949,8,0)),"")</f>
        <v/>
      </c>
      <c r="J2623" s="388" t="str">
        <f ca="1">IFERROR(IF(VLOOKUP(C2623,' Disaggregation - Section E '!A$618:J2949,9,0)="","",VLOOKUP(C2623,' Disaggregation - Section E '!A$618:J2949,9,0)),"")</f>
        <v/>
      </c>
      <c r="K2623" s="384" t="str">
        <f ca="1">IFERROR(VLOOKUP(C2623,' Disaggregation - Section E '!A$618:J2949,3,0),"")</f>
        <v/>
      </c>
      <c r="L2623" s="384"/>
      <c r="M2623" s="384" t="str">
        <f ca="1">IFERROR(IF(VLOOKUP(C2623,' Disaggregation - Section E '!A$618:O1752,15,0)=0,"",VLOOKUP(C2623,' Disaggregation - Section E '!A$618:O1752,15,0)),"")</f>
        <v/>
      </c>
      <c r="N2623" s="388" t="str">
        <f ca="1">IFERROR(IF(VLOOKUP(C2623,' Disaggregation - Section E '!A$618:J2949,10,0)=0,"",VLOOKUP(C2623,' Disaggregation - Section E '!A$618:J2949,10,0)),"")</f>
        <v/>
      </c>
      <c r="O2623" s="384"/>
    </row>
    <row r="2624" spans="1:15" x14ac:dyDescent="0.3">
      <c r="A2624" s="384" t="b">
        <f t="shared" ca="1" si="143"/>
        <v>0</v>
      </c>
      <c r="B2624" s="384"/>
      <c r="C2624" s="393" t="str">
        <f ca="1">IF(COUNTA(O$1493:O2624)=1,"",OFFSET(B2622,-COUNTA(O$1493:O2624)+3,1))</f>
        <v>a16Dm000000LZi3IAG</v>
      </c>
      <c r="D2624" s="389"/>
      <c r="E2624" s="386" t="str">
        <f ca="1">IFERROR(IF(VLOOKUP(C2624,' Disaggregation - Section E '!A$618:J2950,7,0)="","",VLOOKUP(C2624,' Disaggregation - Section E '!A$618:J2950,7,0)*100),"")</f>
        <v/>
      </c>
      <c r="F2624" s="388" t="str">
        <f ca="1">IFERROR(VLOOKUP(C2624,' Disaggregation - Section E '!A$618:J2950,5,0),"")</f>
        <v/>
      </c>
      <c r="G2624" s="387" t="str">
        <f ca="1">IFERROR(IF(VLOOKUP(C2624,' Disaggregation - Section E '!A$618:J2950,6,0)="","",VLOOKUP(C2624,' Disaggregation - Section E '!A$618:J2950,6,0)),"")</f>
        <v/>
      </c>
      <c r="H2624" s="387" t="str">
        <f ca="1">IFERROR(IF(INDEX(' Disaggregation - Section E '!F$618:F2950,MATCH(C2624,' Disaggregation - Section E '!A$618:A2950,0)+1,1)&lt;&gt;0,INDEX(' Disaggregation - Section E '!F$618:F2950,MATCH(C2624,' Disaggregation - Section E '!A$618:A2950,0)+1,1),""),"")</f>
        <v/>
      </c>
      <c r="I2624" s="388" t="str">
        <f ca="1">IFERROR(IF(VLOOKUP(C2624,' Disaggregation - Section E '!A$618:J2950,8,0)=0,"",VLOOKUP(C2624,' Disaggregation - Section E '!A$618:J2950,8,0)),"")</f>
        <v/>
      </c>
      <c r="J2624" s="388" t="str">
        <f ca="1">IFERROR(IF(VLOOKUP(C2624,' Disaggregation - Section E '!A$618:J2950,9,0)="","",VLOOKUP(C2624,' Disaggregation - Section E '!A$618:J2950,9,0)),"")</f>
        <v/>
      </c>
      <c r="K2624" s="384" t="str">
        <f ca="1">IFERROR(VLOOKUP(C2624,' Disaggregation - Section E '!A$618:J2950,3,0),"")</f>
        <v/>
      </c>
      <c r="L2624" s="384"/>
      <c r="M2624" s="384" t="str">
        <f ca="1">IFERROR(IF(VLOOKUP(C2624,' Disaggregation - Section E '!A$618:O1753,15,0)=0,"",VLOOKUP(C2624,' Disaggregation - Section E '!A$618:O1753,15,0)),"")</f>
        <v/>
      </c>
      <c r="N2624" s="388" t="str">
        <f ca="1">IFERROR(IF(VLOOKUP(C2624,' Disaggregation - Section E '!A$618:J2950,10,0)=0,"",VLOOKUP(C2624,' Disaggregation - Section E '!A$618:J2950,10,0)),"")</f>
        <v/>
      </c>
      <c r="O2624" s="384"/>
    </row>
    <row r="2625" spans="1:15" x14ac:dyDescent="0.3">
      <c r="A2625" s="384" t="b">
        <f t="shared" ca="1" si="143"/>
        <v>0</v>
      </c>
      <c r="B2625" s="384"/>
      <c r="C2625" s="393" t="str">
        <f ca="1">IF(COUNTA(O$1493:O2625)=1,"",OFFSET(B2623,-COUNTA(O$1493:O2625)+3,1))</f>
        <v>a16Dm000000LZi4IAG</v>
      </c>
      <c r="D2625" s="389"/>
      <c r="E2625" s="386" t="str">
        <f ca="1">IFERROR(IF(VLOOKUP(C2625,' Disaggregation - Section E '!A$618:J2951,7,0)="","",VLOOKUP(C2625,' Disaggregation - Section E '!A$618:J2951,7,0)*100),"")</f>
        <v/>
      </c>
      <c r="F2625" s="388" t="str">
        <f ca="1">IFERROR(VLOOKUP(C2625,' Disaggregation - Section E '!A$618:J2951,5,0),"")</f>
        <v/>
      </c>
      <c r="G2625" s="387" t="str">
        <f ca="1">IFERROR(IF(VLOOKUP(C2625,' Disaggregation - Section E '!A$618:J2951,6,0)="","",VLOOKUP(C2625,' Disaggregation - Section E '!A$618:J2951,6,0)),"")</f>
        <v/>
      </c>
      <c r="H2625" s="387" t="str">
        <f ca="1">IFERROR(IF(INDEX(' Disaggregation - Section E '!F$618:F2951,MATCH(C2625,' Disaggregation - Section E '!A$618:A2951,0)+1,1)&lt;&gt;0,INDEX(' Disaggregation - Section E '!F$618:F2951,MATCH(C2625,' Disaggregation - Section E '!A$618:A2951,0)+1,1),""),"")</f>
        <v/>
      </c>
      <c r="I2625" s="388" t="str">
        <f ca="1">IFERROR(IF(VLOOKUP(C2625,' Disaggregation - Section E '!A$618:J2951,8,0)=0,"",VLOOKUP(C2625,' Disaggregation - Section E '!A$618:J2951,8,0)),"")</f>
        <v/>
      </c>
      <c r="J2625" s="388" t="str">
        <f ca="1">IFERROR(IF(VLOOKUP(C2625,' Disaggregation - Section E '!A$618:J2951,9,0)="","",VLOOKUP(C2625,' Disaggregation - Section E '!A$618:J2951,9,0)),"")</f>
        <v/>
      </c>
      <c r="K2625" s="384" t="str">
        <f ca="1">IFERROR(VLOOKUP(C2625,' Disaggregation - Section E '!A$618:J2951,3,0),"")</f>
        <v/>
      </c>
      <c r="L2625" s="384"/>
      <c r="M2625" s="384" t="str">
        <f ca="1">IFERROR(IF(VLOOKUP(C2625,' Disaggregation - Section E '!A$618:O1754,15,0)=0,"",VLOOKUP(C2625,' Disaggregation - Section E '!A$618:O1754,15,0)),"")</f>
        <v/>
      </c>
      <c r="N2625" s="388" t="str">
        <f ca="1">IFERROR(IF(VLOOKUP(C2625,' Disaggregation - Section E '!A$618:J2951,10,0)=0,"",VLOOKUP(C2625,' Disaggregation - Section E '!A$618:J2951,10,0)),"")</f>
        <v/>
      </c>
      <c r="O2625" s="384"/>
    </row>
    <row r="2626" spans="1:15" x14ac:dyDescent="0.3">
      <c r="A2626" s="384" t="b">
        <f t="shared" ca="1" si="143"/>
        <v>0</v>
      </c>
      <c r="B2626" s="384"/>
      <c r="C2626" s="393" t="str">
        <f ca="1">IF(COUNTA(O$1493:O2626)=1,"",OFFSET(B2624,-COUNTA(O$1493:O2626)+3,1))</f>
        <v>a16Dm000000LZi5IAG</v>
      </c>
      <c r="D2626" s="389"/>
      <c r="E2626" s="386" t="str">
        <f ca="1">IFERROR(IF(VLOOKUP(C2626,' Disaggregation - Section E '!A$618:J2952,7,0)="","",VLOOKUP(C2626,' Disaggregation - Section E '!A$618:J2952,7,0)*100),"")</f>
        <v/>
      </c>
      <c r="F2626" s="388" t="str">
        <f ca="1">IFERROR(VLOOKUP(C2626,' Disaggregation - Section E '!A$618:J2952,5,0),"")</f>
        <v/>
      </c>
      <c r="G2626" s="387" t="str">
        <f ca="1">IFERROR(IF(VLOOKUP(C2626,' Disaggregation - Section E '!A$618:J2952,6,0)="","",VLOOKUP(C2626,' Disaggregation - Section E '!A$618:J2952,6,0)),"")</f>
        <v/>
      </c>
      <c r="H2626" s="387" t="str">
        <f ca="1">IFERROR(IF(INDEX(' Disaggregation - Section E '!F$618:F2952,MATCH(C2626,' Disaggregation - Section E '!A$618:A2952,0)+1,1)&lt;&gt;0,INDEX(' Disaggregation - Section E '!F$618:F2952,MATCH(C2626,' Disaggregation - Section E '!A$618:A2952,0)+1,1),""),"")</f>
        <v/>
      </c>
      <c r="I2626" s="388" t="str">
        <f ca="1">IFERROR(IF(VLOOKUP(C2626,' Disaggregation - Section E '!A$618:J2952,8,0)=0,"",VLOOKUP(C2626,' Disaggregation - Section E '!A$618:J2952,8,0)),"")</f>
        <v/>
      </c>
      <c r="J2626" s="388" t="str">
        <f ca="1">IFERROR(IF(VLOOKUP(C2626,' Disaggregation - Section E '!A$618:J2952,9,0)="","",VLOOKUP(C2626,' Disaggregation - Section E '!A$618:J2952,9,0)),"")</f>
        <v/>
      </c>
      <c r="K2626" s="384" t="str">
        <f ca="1">IFERROR(VLOOKUP(C2626,' Disaggregation - Section E '!A$618:J2952,3,0),"")</f>
        <v/>
      </c>
      <c r="L2626" s="384"/>
      <c r="M2626" s="384" t="str">
        <f ca="1">IFERROR(IF(VLOOKUP(C2626,' Disaggregation - Section E '!A$618:O1755,15,0)=0,"",VLOOKUP(C2626,' Disaggregation - Section E '!A$618:O1755,15,0)),"")</f>
        <v/>
      </c>
      <c r="N2626" s="388" t="str">
        <f ca="1">IFERROR(IF(VLOOKUP(C2626,' Disaggregation - Section E '!A$618:J2952,10,0)=0,"",VLOOKUP(C2626,' Disaggregation - Section E '!A$618:J2952,10,0)),"")</f>
        <v/>
      </c>
      <c r="O2626" s="384"/>
    </row>
    <row r="2627" spans="1:15" x14ac:dyDescent="0.3">
      <c r="A2627" s="384" t="b">
        <f t="shared" ca="1" si="143"/>
        <v>0</v>
      </c>
      <c r="B2627" s="384"/>
      <c r="C2627" s="393" t="str">
        <f ca="1">IF(COUNTA(O$1493:O2627)=1,"",OFFSET(B2625,-COUNTA(O$1493:O2627)+3,1))</f>
        <v>a16Dm000000LZi6IAG</v>
      </c>
      <c r="D2627" s="389"/>
      <c r="E2627" s="386" t="str">
        <f ca="1">IFERROR(IF(VLOOKUP(C2627,' Disaggregation - Section E '!A$618:J2953,7,0)="","",VLOOKUP(C2627,' Disaggregation - Section E '!A$618:J2953,7,0)*100),"")</f>
        <v/>
      </c>
      <c r="F2627" s="388" t="str">
        <f ca="1">IFERROR(VLOOKUP(C2627,' Disaggregation - Section E '!A$618:J2953,5,0),"")</f>
        <v/>
      </c>
      <c r="G2627" s="387" t="str">
        <f ca="1">IFERROR(IF(VLOOKUP(C2627,' Disaggregation - Section E '!A$618:J2953,6,0)="","",VLOOKUP(C2627,' Disaggregation - Section E '!A$618:J2953,6,0)),"")</f>
        <v/>
      </c>
      <c r="H2627" s="387" t="str">
        <f ca="1">IFERROR(IF(INDEX(' Disaggregation - Section E '!F$618:F2953,MATCH(C2627,' Disaggregation - Section E '!A$618:A2953,0)+1,1)&lt;&gt;0,INDEX(' Disaggregation - Section E '!F$618:F2953,MATCH(C2627,' Disaggregation - Section E '!A$618:A2953,0)+1,1),""),"")</f>
        <v/>
      </c>
      <c r="I2627" s="388" t="str">
        <f ca="1">IFERROR(IF(VLOOKUP(C2627,' Disaggregation - Section E '!A$618:J2953,8,0)=0,"",VLOOKUP(C2627,' Disaggregation - Section E '!A$618:J2953,8,0)),"")</f>
        <v/>
      </c>
      <c r="J2627" s="388" t="str">
        <f ca="1">IFERROR(IF(VLOOKUP(C2627,' Disaggregation - Section E '!A$618:J2953,9,0)="","",VLOOKUP(C2627,' Disaggregation - Section E '!A$618:J2953,9,0)),"")</f>
        <v/>
      </c>
      <c r="K2627" s="384" t="str">
        <f ca="1">IFERROR(VLOOKUP(C2627,' Disaggregation - Section E '!A$618:J2953,3,0),"")</f>
        <v/>
      </c>
      <c r="L2627" s="384"/>
      <c r="M2627" s="384" t="str">
        <f ca="1">IFERROR(IF(VLOOKUP(C2627,' Disaggregation - Section E '!A$618:O1756,15,0)=0,"",VLOOKUP(C2627,' Disaggregation - Section E '!A$618:O1756,15,0)),"")</f>
        <v/>
      </c>
      <c r="N2627" s="388" t="str">
        <f ca="1">IFERROR(IF(VLOOKUP(C2627,' Disaggregation - Section E '!A$618:J2953,10,0)=0,"",VLOOKUP(C2627,' Disaggregation - Section E '!A$618:J2953,10,0)),"")</f>
        <v/>
      </c>
      <c r="O2627" s="384"/>
    </row>
    <row r="2628" spans="1:15" x14ac:dyDescent="0.3">
      <c r="A2628" s="384" t="b">
        <f t="shared" ca="1" si="143"/>
        <v>0</v>
      </c>
      <c r="B2628" s="384"/>
      <c r="C2628" s="393" t="str">
        <f ca="1">IF(COUNTA(O$1493:O2628)=1,"",OFFSET(B2626,-COUNTA(O$1493:O2628)+3,1))</f>
        <v>a16Dm000000LZi7IAG</v>
      </c>
      <c r="D2628" s="389"/>
      <c r="E2628" s="386" t="str">
        <f ca="1">IFERROR(IF(VLOOKUP(C2628,' Disaggregation - Section E '!A$618:J2954,7,0)="","",VLOOKUP(C2628,' Disaggregation - Section E '!A$618:J2954,7,0)*100),"")</f>
        <v/>
      </c>
      <c r="F2628" s="388" t="str">
        <f ca="1">IFERROR(VLOOKUP(C2628,' Disaggregation - Section E '!A$618:J2954,5,0),"")</f>
        <v/>
      </c>
      <c r="G2628" s="387" t="str">
        <f ca="1">IFERROR(IF(VLOOKUP(C2628,' Disaggregation - Section E '!A$618:J2954,6,0)="","",VLOOKUP(C2628,' Disaggregation - Section E '!A$618:J2954,6,0)),"")</f>
        <v/>
      </c>
      <c r="H2628" s="387" t="str">
        <f ca="1">IFERROR(IF(INDEX(' Disaggregation - Section E '!F$618:F2954,MATCH(C2628,' Disaggregation - Section E '!A$618:A2954,0)+1,1)&lt;&gt;0,INDEX(' Disaggregation - Section E '!F$618:F2954,MATCH(C2628,' Disaggregation - Section E '!A$618:A2954,0)+1,1),""),"")</f>
        <v/>
      </c>
      <c r="I2628" s="388" t="str">
        <f ca="1">IFERROR(IF(VLOOKUP(C2628,' Disaggregation - Section E '!A$618:J2954,8,0)=0,"",VLOOKUP(C2628,' Disaggregation - Section E '!A$618:J2954,8,0)),"")</f>
        <v/>
      </c>
      <c r="J2628" s="388" t="str">
        <f ca="1">IFERROR(IF(VLOOKUP(C2628,' Disaggregation - Section E '!A$618:J2954,9,0)="","",VLOOKUP(C2628,' Disaggregation - Section E '!A$618:J2954,9,0)),"")</f>
        <v/>
      </c>
      <c r="K2628" s="384" t="str">
        <f ca="1">IFERROR(VLOOKUP(C2628,' Disaggregation - Section E '!A$618:J2954,3,0),"")</f>
        <v/>
      </c>
      <c r="L2628" s="384"/>
      <c r="M2628" s="384" t="str">
        <f ca="1">IFERROR(IF(VLOOKUP(C2628,' Disaggregation - Section E '!A$618:O1757,15,0)=0,"",VLOOKUP(C2628,' Disaggregation - Section E '!A$618:O1757,15,0)),"")</f>
        <v/>
      </c>
      <c r="N2628" s="388" t="str">
        <f ca="1">IFERROR(IF(VLOOKUP(C2628,' Disaggregation - Section E '!A$618:J2954,10,0)=0,"",VLOOKUP(C2628,' Disaggregation - Section E '!A$618:J2954,10,0)),"")</f>
        <v/>
      </c>
      <c r="O2628" s="384"/>
    </row>
    <row r="2629" spans="1:15" x14ac:dyDescent="0.3">
      <c r="A2629" s="384" t="b">
        <f t="shared" ca="1" si="143"/>
        <v>0</v>
      </c>
      <c r="B2629" s="384"/>
      <c r="C2629" s="393" t="str">
        <f ca="1">IF(COUNTA(O$1493:O2629)=1,"",OFFSET(B2627,-COUNTA(O$1493:O2629)+3,1))</f>
        <v>a16Dm000000LZi8IAG</v>
      </c>
      <c r="D2629" s="389"/>
      <c r="E2629" s="386" t="str">
        <f ca="1">IFERROR(IF(VLOOKUP(C2629,' Disaggregation - Section E '!A$618:J2955,7,0)="","",VLOOKUP(C2629,' Disaggregation - Section E '!A$618:J2955,7,0)*100),"")</f>
        <v/>
      </c>
      <c r="F2629" s="388" t="str">
        <f ca="1">IFERROR(VLOOKUP(C2629,' Disaggregation - Section E '!A$618:J2955,5,0),"")</f>
        <v/>
      </c>
      <c r="G2629" s="387" t="str">
        <f ca="1">IFERROR(IF(VLOOKUP(C2629,' Disaggregation - Section E '!A$618:J2955,6,0)="","",VLOOKUP(C2629,' Disaggregation - Section E '!A$618:J2955,6,0)),"")</f>
        <v/>
      </c>
      <c r="H2629" s="387" t="str">
        <f ca="1">IFERROR(IF(INDEX(' Disaggregation - Section E '!F$618:F2955,MATCH(C2629,' Disaggregation - Section E '!A$618:A2955,0)+1,1)&lt;&gt;0,INDEX(' Disaggregation - Section E '!F$618:F2955,MATCH(C2629,' Disaggregation - Section E '!A$618:A2955,0)+1,1),""),"")</f>
        <v/>
      </c>
      <c r="I2629" s="388" t="str">
        <f ca="1">IFERROR(IF(VLOOKUP(C2629,' Disaggregation - Section E '!A$618:J2955,8,0)=0,"",VLOOKUP(C2629,' Disaggregation - Section E '!A$618:J2955,8,0)),"")</f>
        <v/>
      </c>
      <c r="J2629" s="388" t="str">
        <f ca="1">IFERROR(IF(VLOOKUP(C2629,' Disaggregation - Section E '!A$618:J2955,9,0)="","",VLOOKUP(C2629,' Disaggregation - Section E '!A$618:J2955,9,0)),"")</f>
        <v/>
      </c>
      <c r="K2629" s="384" t="str">
        <f ca="1">IFERROR(VLOOKUP(C2629,' Disaggregation - Section E '!A$618:J2955,3,0),"")</f>
        <v/>
      </c>
      <c r="L2629" s="384"/>
      <c r="M2629" s="384" t="str">
        <f ca="1">IFERROR(IF(VLOOKUP(C2629,' Disaggregation - Section E '!A$618:O1758,15,0)=0,"",VLOOKUP(C2629,' Disaggregation - Section E '!A$618:O1758,15,0)),"")</f>
        <v/>
      </c>
      <c r="N2629" s="388" t="str">
        <f ca="1">IFERROR(IF(VLOOKUP(C2629,' Disaggregation - Section E '!A$618:J2955,10,0)=0,"",VLOOKUP(C2629,' Disaggregation - Section E '!A$618:J2955,10,0)),"")</f>
        <v/>
      </c>
      <c r="O2629" s="384"/>
    </row>
    <row r="2630" spans="1:15" x14ac:dyDescent="0.3">
      <c r="A2630" s="384" t="b">
        <f t="shared" ca="1" si="143"/>
        <v>0</v>
      </c>
      <c r="B2630" s="384"/>
      <c r="C2630" s="393" t="str">
        <f ca="1">IF(COUNTA(O$1493:O2630)=1,"",OFFSET(B2628,-COUNTA(O$1493:O2630)+3,1))</f>
        <v>a16Dm000000LZi9IAG</v>
      </c>
      <c r="D2630" s="389"/>
      <c r="E2630" s="386" t="str">
        <f ca="1">IFERROR(IF(VLOOKUP(C2630,' Disaggregation - Section E '!A$618:J2956,7,0)="","",VLOOKUP(C2630,' Disaggregation - Section E '!A$618:J2956,7,0)*100),"")</f>
        <v/>
      </c>
      <c r="F2630" s="388" t="str">
        <f ca="1">IFERROR(VLOOKUP(C2630,' Disaggregation - Section E '!A$618:J2956,5,0),"")</f>
        <v/>
      </c>
      <c r="G2630" s="387" t="str">
        <f ca="1">IFERROR(IF(VLOOKUP(C2630,' Disaggregation - Section E '!A$618:J2956,6,0)="","",VLOOKUP(C2630,' Disaggregation - Section E '!A$618:J2956,6,0)),"")</f>
        <v/>
      </c>
      <c r="H2630" s="387" t="str">
        <f ca="1">IFERROR(IF(INDEX(' Disaggregation - Section E '!F$618:F2956,MATCH(C2630,' Disaggregation - Section E '!A$618:A2956,0)+1,1)&lt;&gt;0,INDEX(' Disaggregation - Section E '!F$618:F2956,MATCH(C2630,' Disaggregation - Section E '!A$618:A2956,0)+1,1),""),"")</f>
        <v/>
      </c>
      <c r="I2630" s="388" t="str">
        <f ca="1">IFERROR(IF(VLOOKUP(C2630,' Disaggregation - Section E '!A$618:J2956,8,0)=0,"",VLOOKUP(C2630,' Disaggregation - Section E '!A$618:J2956,8,0)),"")</f>
        <v/>
      </c>
      <c r="J2630" s="388" t="str">
        <f ca="1">IFERROR(IF(VLOOKUP(C2630,' Disaggregation - Section E '!A$618:J2956,9,0)="","",VLOOKUP(C2630,' Disaggregation - Section E '!A$618:J2956,9,0)),"")</f>
        <v/>
      </c>
      <c r="K2630" s="384" t="str">
        <f ca="1">IFERROR(VLOOKUP(C2630,' Disaggregation - Section E '!A$618:J2956,3,0),"")</f>
        <v/>
      </c>
      <c r="L2630" s="384"/>
      <c r="M2630" s="384" t="str">
        <f ca="1">IFERROR(IF(VLOOKUP(C2630,' Disaggregation - Section E '!A$618:O1759,15,0)=0,"",VLOOKUP(C2630,' Disaggregation - Section E '!A$618:O1759,15,0)),"")</f>
        <v/>
      </c>
      <c r="N2630" s="388" t="str">
        <f ca="1">IFERROR(IF(VLOOKUP(C2630,' Disaggregation - Section E '!A$618:J2956,10,0)=0,"",VLOOKUP(C2630,' Disaggregation - Section E '!A$618:J2956,10,0)),"")</f>
        <v/>
      </c>
      <c r="O2630" s="384"/>
    </row>
    <row r="2631" spans="1:15" x14ac:dyDescent="0.3">
      <c r="A2631" s="384" t="b">
        <f t="shared" ca="1" si="143"/>
        <v>0</v>
      </c>
      <c r="B2631" s="384"/>
      <c r="C2631" s="393" t="str">
        <f ca="1">IF(COUNTA(O$1493:O2631)=1,"",OFFSET(B2629,-COUNTA(O$1493:O2631)+3,1))</f>
        <v>a16Dm000000LZiAIAW</v>
      </c>
      <c r="D2631" s="389"/>
      <c r="E2631" s="386" t="str">
        <f ca="1">IFERROR(IF(VLOOKUP(C2631,' Disaggregation - Section E '!A$618:J2957,7,0)="","",VLOOKUP(C2631,' Disaggregation - Section E '!A$618:J2957,7,0)*100),"")</f>
        <v/>
      </c>
      <c r="F2631" s="388" t="str">
        <f ca="1">IFERROR(VLOOKUP(C2631,' Disaggregation - Section E '!A$618:J2957,5,0),"")</f>
        <v/>
      </c>
      <c r="G2631" s="387" t="str">
        <f ca="1">IFERROR(IF(VLOOKUP(C2631,' Disaggregation - Section E '!A$618:J2957,6,0)="","",VLOOKUP(C2631,' Disaggregation - Section E '!A$618:J2957,6,0)),"")</f>
        <v/>
      </c>
      <c r="H2631" s="387" t="str">
        <f ca="1">IFERROR(IF(INDEX(' Disaggregation - Section E '!F$618:F2957,MATCH(C2631,' Disaggregation - Section E '!A$618:A2957,0)+1,1)&lt;&gt;0,INDEX(' Disaggregation - Section E '!F$618:F2957,MATCH(C2631,' Disaggregation - Section E '!A$618:A2957,0)+1,1),""),"")</f>
        <v/>
      </c>
      <c r="I2631" s="388" t="str">
        <f ca="1">IFERROR(IF(VLOOKUP(C2631,' Disaggregation - Section E '!A$618:J2957,8,0)=0,"",VLOOKUP(C2631,' Disaggregation - Section E '!A$618:J2957,8,0)),"")</f>
        <v/>
      </c>
      <c r="J2631" s="388" t="str">
        <f ca="1">IFERROR(IF(VLOOKUP(C2631,' Disaggregation - Section E '!A$618:J2957,9,0)="","",VLOOKUP(C2631,' Disaggregation - Section E '!A$618:J2957,9,0)),"")</f>
        <v/>
      </c>
      <c r="K2631" s="384" t="str">
        <f ca="1">IFERROR(VLOOKUP(C2631,' Disaggregation - Section E '!A$618:J2957,3,0),"")</f>
        <v/>
      </c>
      <c r="L2631" s="384"/>
      <c r="M2631" s="384" t="str">
        <f ca="1">IFERROR(IF(VLOOKUP(C2631,' Disaggregation - Section E '!A$618:O1760,15,0)=0,"",VLOOKUP(C2631,' Disaggregation - Section E '!A$618:O1760,15,0)),"")</f>
        <v/>
      </c>
      <c r="N2631" s="388" t="str">
        <f ca="1">IFERROR(IF(VLOOKUP(C2631,' Disaggregation - Section E '!A$618:J2957,10,0)=0,"",VLOOKUP(C2631,' Disaggregation - Section E '!A$618:J2957,10,0)),"")</f>
        <v/>
      </c>
      <c r="O2631" s="384"/>
    </row>
    <row r="2632" spans="1:15" x14ac:dyDescent="0.3">
      <c r="A2632" s="384" t="b">
        <f t="shared" ca="1" si="143"/>
        <v>0</v>
      </c>
      <c r="B2632" s="384"/>
      <c r="C2632" s="393" t="str">
        <f ca="1">IF(COUNTA(O$1493:O2632)=1,"",OFFSET(B2630,-COUNTA(O$1493:O2632)+3,1))</f>
        <v>a16Dm000000LZiBIAW</v>
      </c>
      <c r="D2632" s="389"/>
      <c r="E2632" s="386" t="str">
        <f ca="1">IFERROR(IF(VLOOKUP(C2632,' Disaggregation - Section E '!A$618:J2958,7,0)="","",VLOOKUP(C2632,' Disaggregation - Section E '!A$618:J2958,7,0)*100),"")</f>
        <v/>
      </c>
      <c r="F2632" s="388" t="str">
        <f ca="1">IFERROR(VLOOKUP(C2632,' Disaggregation - Section E '!A$618:J2958,5,0),"")</f>
        <v/>
      </c>
      <c r="G2632" s="387" t="str">
        <f ca="1">IFERROR(IF(VLOOKUP(C2632,' Disaggregation - Section E '!A$618:J2958,6,0)="","",VLOOKUP(C2632,' Disaggregation - Section E '!A$618:J2958,6,0)),"")</f>
        <v/>
      </c>
      <c r="H2632" s="387" t="str">
        <f ca="1">IFERROR(IF(INDEX(' Disaggregation - Section E '!F$618:F2958,MATCH(C2632,' Disaggregation - Section E '!A$618:A2958,0)+1,1)&lt;&gt;0,INDEX(' Disaggregation - Section E '!F$618:F2958,MATCH(C2632,' Disaggregation - Section E '!A$618:A2958,0)+1,1),""),"")</f>
        <v/>
      </c>
      <c r="I2632" s="388" t="str">
        <f ca="1">IFERROR(IF(VLOOKUP(C2632,' Disaggregation - Section E '!A$618:J2958,8,0)=0,"",VLOOKUP(C2632,' Disaggregation - Section E '!A$618:J2958,8,0)),"")</f>
        <v/>
      </c>
      <c r="J2632" s="388" t="str">
        <f ca="1">IFERROR(IF(VLOOKUP(C2632,' Disaggregation - Section E '!A$618:J2958,9,0)="","",VLOOKUP(C2632,' Disaggregation - Section E '!A$618:J2958,9,0)),"")</f>
        <v/>
      </c>
      <c r="K2632" s="384" t="str">
        <f ca="1">IFERROR(VLOOKUP(C2632,' Disaggregation - Section E '!A$618:J2958,3,0),"")</f>
        <v/>
      </c>
      <c r="L2632" s="384"/>
      <c r="M2632" s="384" t="str">
        <f ca="1">IFERROR(IF(VLOOKUP(C2632,' Disaggregation - Section E '!A$618:O1761,15,0)=0,"",VLOOKUP(C2632,' Disaggregation - Section E '!A$618:O1761,15,0)),"")</f>
        <v/>
      </c>
      <c r="N2632" s="388" t="str">
        <f ca="1">IFERROR(IF(VLOOKUP(C2632,' Disaggregation - Section E '!A$618:J2958,10,0)=0,"",VLOOKUP(C2632,' Disaggregation - Section E '!A$618:J2958,10,0)),"")</f>
        <v/>
      </c>
      <c r="O2632" s="384"/>
    </row>
    <row r="2633" spans="1:15" x14ac:dyDescent="0.3">
      <c r="A2633" s="384" t="b">
        <f t="shared" ca="1" si="143"/>
        <v>0</v>
      </c>
      <c r="B2633" s="384"/>
      <c r="C2633" s="393" t="str">
        <f ca="1">IF(COUNTA(O$1493:O2633)=1,"",OFFSET(B2631,-COUNTA(O$1493:O2633)+3,1))</f>
        <v>a16Dm000000LZiCIAW</v>
      </c>
      <c r="D2633" s="389"/>
      <c r="E2633" s="386" t="str">
        <f ca="1">IFERROR(IF(VLOOKUP(C2633,' Disaggregation - Section E '!A$618:J2959,7,0)="","",VLOOKUP(C2633,' Disaggregation - Section E '!A$618:J2959,7,0)*100),"")</f>
        <v/>
      </c>
      <c r="F2633" s="388" t="str">
        <f ca="1">IFERROR(VLOOKUP(C2633,' Disaggregation - Section E '!A$618:J2959,5,0),"")</f>
        <v/>
      </c>
      <c r="G2633" s="387" t="str">
        <f ca="1">IFERROR(IF(VLOOKUP(C2633,' Disaggregation - Section E '!A$618:J2959,6,0)="","",VLOOKUP(C2633,' Disaggregation - Section E '!A$618:J2959,6,0)),"")</f>
        <v/>
      </c>
      <c r="H2633" s="387" t="str">
        <f ca="1">IFERROR(IF(INDEX(' Disaggregation - Section E '!F$618:F2959,MATCH(C2633,' Disaggregation - Section E '!A$618:A2959,0)+1,1)&lt;&gt;0,INDEX(' Disaggregation - Section E '!F$618:F2959,MATCH(C2633,' Disaggregation - Section E '!A$618:A2959,0)+1,1),""),"")</f>
        <v/>
      </c>
      <c r="I2633" s="388" t="str">
        <f ca="1">IFERROR(IF(VLOOKUP(C2633,' Disaggregation - Section E '!A$618:J2959,8,0)=0,"",VLOOKUP(C2633,' Disaggregation - Section E '!A$618:J2959,8,0)),"")</f>
        <v/>
      </c>
      <c r="J2633" s="388" t="str">
        <f ca="1">IFERROR(IF(VLOOKUP(C2633,' Disaggregation - Section E '!A$618:J2959,9,0)="","",VLOOKUP(C2633,' Disaggregation - Section E '!A$618:J2959,9,0)),"")</f>
        <v/>
      </c>
      <c r="K2633" s="384" t="str">
        <f ca="1">IFERROR(VLOOKUP(C2633,' Disaggregation - Section E '!A$618:J2959,3,0),"")</f>
        <v/>
      </c>
      <c r="L2633" s="384"/>
      <c r="M2633" s="384" t="str">
        <f ca="1">IFERROR(IF(VLOOKUP(C2633,' Disaggregation - Section E '!A$618:O1762,15,0)=0,"",VLOOKUP(C2633,' Disaggregation - Section E '!A$618:O1762,15,0)),"")</f>
        <v/>
      </c>
      <c r="N2633" s="388" t="str">
        <f ca="1">IFERROR(IF(VLOOKUP(C2633,' Disaggregation - Section E '!A$618:J2959,10,0)=0,"",VLOOKUP(C2633,' Disaggregation - Section E '!A$618:J2959,10,0)),"")</f>
        <v/>
      </c>
      <c r="O2633" s="384"/>
    </row>
    <row r="2634" spans="1:15" x14ac:dyDescent="0.3">
      <c r="A2634" s="384" t="b">
        <f t="shared" ca="1" si="143"/>
        <v>0</v>
      </c>
      <c r="B2634" s="384"/>
      <c r="C2634" s="393" t="str">
        <f ca="1">IF(COUNTA(O$1493:O2634)=1,"",OFFSET(B2632,-COUNTA(O$1493:O2634)+3,1))</f>
        <v>a16Dm000000LZiDIAW</v>
      </c>
      <c r="D2634" s="389"/>
      <c r="E2634" s="386" t="str">
        <f ca="1">IFERROR(IF(VLOOKUP(C2634,' Disaggregation - Section E '!A$618:J2960,7,0)="","",VLOOKUP(C2634,' Disaggregation - Section E '!A$618:J2960,7,0)*100),"")</f>
        <v/>
      </c>
      <c r="F2634" s="388" t="str">
        <f ca="1">IFERROR(VLOOKUP(C2634,' Disaggregation - Section E '!A$618:J2960,5,0),"")</f>
        <v/>
      </c>
      <c r="G2634" s="387" t="str">
        <f ca="1">IFERROR(IF(VLOOKUP(C2634,' Disaggregation - Section E '!A$618:J2960,6,0)="","",VLOOKUP(C2634,' Disaggregation - Section E '!A$618:J2960,6,0)),"")</f>
        <v/>
      </c>
      <c r="H2634" s="387" t="str">
        <f ca="1">IFERROR(IF(INDEX(' Disaggregation - Section E '!F$618:F2960,MATCH(C2634,' Disaggregation - Section E '!A$618:A2960,0)+1,1)&lt;&gt;0,INDEX(' Disaggregation - Section E '!F$618:F2960,MATCH(C2634,' Disaggregation - Section E '!A$618:A2960,0)+1,1),""),"")</f>
        <v/>
      </c>
      <c r="I2634" s="388" t="str">
        <f ca="1">IFERROR(IF(VLOOKUP(C2634,' Disaggregation - Section E '!A$618:J2960,8,0)=0,"",VLOOKUP(C2634,' Disaggregation - Section E '!A$618:J2960,8,0)),"")</f>
        <v/>
      </c>
      <c r="J2634" s="388" t="str">
        <f ca="1">IFERROR(IF(VLOOKUP(C2634,' Disaggregation - Section E '!A$618:J2960,9,0)="","",VLOOKUP(C2634,' Disaggregation - Section E '!A$618:J2960,9,0)),"")</f>
        <v/>
      </c>
      <c r="K2634" s="384" t="str">
        <f ca="1">IFERROR(VLOOKUP(C2634,' Disaggregation - Section E '!A$618:J2960,3,0),"")</f>
        <v/>
      </c>
      <c r="L2634" s="384"/>
      <c r="M2634" s="384" t="str">
        <f ca="1">IFERROR(IF(VLOOKUP(C2634,' Disaggregation - Section E '!A$618:O1763,15,0)=0,"",VLOOKUP(C2634,' Disaggregation - Section E '!A$618:O1763,15,0)),"")</f>
        <v/>
      </c>
      <c r="N2634" s="388" t="str">
        <f ca="1">IFERROR(IF(VLOOKUP(C2634,' Disaggregation - Section E '!A$618:J2960,10,0)=0,"",VLOOKUP(C2634,' Disaggregation - Section E '!A$618:J2960,10,0)),"")</f>
        <v/>
      </c>
      <c r="O2634" s="384"/>
    </row>
    <row r="2635" spans="1:15" x14ac:dyDescent="0.3">
      <c r="A2635" s="384" t="b">
        <f t="shared" ca="1" si="143"/>
        <v>0</v>
      </c>
      <c r="B2635" s="384"/>
      <c r="C2635" s="393" t="str">
        <f ca="1">IF(COUNTA(O$1493:O2635)=1,"",OFFSET(B2633,-COUNTA(O$1493:O2635)+3,1))</f>
        <v>a16Dm000000LZiEIAW</v>
      </c>
      <c r="D2635" s="389"/>
      <c r="E2635" s="386" t="str">
        <f ca="1">IFERROR(IF(VLOOKUP(C2635,' Disaggregation - Section E '!A$618:J2961,7,0)="","",VLOOKUP(C2635,' Disaggregation - Section E '!A$618:J2961,7,0)*100),"")</f>
        <v/>
      </c>
      <c r="F2635" s="388" t="str">
        <f ca="1">IFERROR(VLOOKUP(C2635,' Disaggregation - Section E '!A$618:J2961,5,0),"")</f>
        <v/>
      </c>
      <c r="G2635" s="387" t="str">
        <f ca="1">IFERROR(IF(VLOOKUP(C2635,' Disaggregation - Section E '!A$618:J2961,6,0)="","",VLOOKUP(C2635,' Disaggregation - Section E '!A$618:J2961,6,0)),"")</f>
        <v/>
      </c>
      <c r="H2635" s="387" t="str">
        <f ca="1">IFERROR(IF(INDEX(' Disaggregation - Section E '!F$618:F2961,MATCH(C2635,' Disaggregation - Section E '!A$618:A2961,0)+1,1)&lt;&gt;0,INDEX(' Disaggregation - Section E '!F$618:F2961,MATCH(C2635,' Disaggregation - Section E '!A$618:A2961,0)+1,1),""),"")</f>
        <v/>
      </c>
      <c r="I2635" s="388" t="str">
        <f ca="1">IFERROR(IF(VLOOKUP(C2635,' Disaggregation - Section E '!A$618:J2961,8,0)=0,"",VLOOKUP(C2635,' Disaggregation - Section E '!A$618:J2961,8,0)),"")</f>
        <v/>
      </c>
      <c r="J2635" s="388" t="str">
        <f ca="1">IFERROR(IF(VLOOKUP(C2635,' Disaggregation - Section E '!A$618:J2961,9,0)="","",VLOOKUP(C2635,' Disaggregation - Section E '!A$618:J2961,9,0)),"")</f>
        <v/>
      </c>
      <c r="K2635" s="384" t="str">
        <f ca="1">IFERROR(VLOOKUP(C2635,' Disaggregation - Section E '!A$618:J2961,3,0),"")</f>
        <v/>
      </c>
      <c r="L2635" s="384"/>
      <c r="M2635" s="384" t="str">
        <f ca="1">IFERROR(IF(VLOOKUP(C2635,' Disaggregation - Section E '!A$618:O1764,15,0)=0,"",VLOOKUP(C2635,' Disaggregation - Section E '!A$618:O1764,15,0)),"")</f>
        <v/>
      </c>
      <c r="N2635" s="388" t="str">
        <f ca="1">IFERROR(IF(VLOOKUP(C2635,' Disaggregation - Section E '!A$618:J2961,10,0)=0,"",VLOOKUP(C2635,' Disaggregation - Section E '!A$618:J2961,10,0)),"")</f>
        <v/>
      </c>
      <c r="O2635" s="384"/>
    </row>
    <row r="2636" spans="1:15" x14ac:dyDescent="0.3">
      <c r="A2636" s="384" t="b">
        <f t="shared" ca="1" si="143"/>
        <v>0</v>
      </c>
      <c r="B2636" s="384"/>
      <c r="C2636" s="393" t="str">
        <f ca="1">IF(COUNTA(O$1493:O2636)=1,"",OFFSET(B2634,-COUNTA(O$1493:O2636)+3,1))</f>
        <v>a16Dm000000LZiFIAW</v>
      </c>
      <c r="D2636" s="389"/>
      <c r="E2636" s="386" t="str">
        <f ca="1">IFERROR(IF(VLOOKUP(C2636,' Disaggregation - Section E '!A$618:J2962,7,0)="","",VLOOKUP(C2636,' Disaggregation - Section E '!A$618:J2962,7,0)*100),"")</f>
        <v/>
      </c>
      <c r="F2636" s="388" t="str">
        <f ca="1">IFERROR(VLOOKUP(C2636,' Disaggregation - Section E '!A$618:J2962,5,0),"")</f>
        <v/>
      </c>
      <c r="G2636" s="387" t="str">
        <f ca="1">IFERROR(IF(VLOOKUP(C2636,' Disaggregation - Section E '!A$618:J2962,6,0)="","",VLOOKUP(C2636,' Disaggregation - Section E '!A$618:J2962,6,0)),"")</f>
        <v/>
      </c>
      <c r="H2636" s="387" t="str">
        <f ca="1">IFERROR(IF(INDEX(' Disaggregation - Section E '!F$618:F2962,MATCH(C2636,' Disaggregation - Section E '!A$618:A2962,0)+1,1)&lt;&gt;0,INDEX(' Disaggregation - Section E '!F$618:F2962,MATCH(C2636,' Disaggregation - Section E '!A$618:A2962,0)+1,1),""),"")</f>
        <v/>
      </c>
      <c r="I2636" s="388" t="str">
        <f ca="1">IFERROR(IF(VLOOKUP(C2636,' Disaggregation - Section E '!A$618:J2962,8,0)=0,"",VLOOKUP(C2636,' Disaggregation - Section E '!A$618:J2962,8,0)),"")</f>
        <v/>
      </c>
      <c r="J2636" s="388" t="str">
        <f ca="1">IFERROR(IF(VLOOKUP(C2636,' Disaggregation - Section E '!A$618:J2962,9,0)="","",VLOOKUP(C2636,' Disaggregation - Section E '!A$618:J2962,9,0)),"")</f>
        <v/>
      </c>
      <c r="K2636" s="384" t="str">
        <f ca="1">IFERROR(VLOOKUP(C2636,' Disaggregation - Section E '!A$618:J2962,3,0),"")</f>
        <v/>
      </c>
      <c r="L2636" s="384"/>
      <c r="M2636" s="384" t="str">
        <f ca="1">IFERROR(IF(VLOOKUP(C2636,' Disaggregation - Section E '!A$618:O1765,15,0)=0,"",VLOOKUP(C2636,' Disaggregation - Section E '!A$618:O1765,15,0)),"")</f>
        <v/>
      </c>
      <c r="N2636" s="388" t="str">
        <f ca="1">IFERROR(IF(VLOOKUP(C2636,' Disaggregation - Section E '!A$618:J2962,10,0)=0,"",VLOOKUP(C2636,' Disaggregation - Section E '!A$618:J2962,10,0)),"")</f>
        <v/>
      </c>
      <c r="O2636" s="384"/>
    </row>
    <row r="2637" spans="1:15" x14ac:dyDescent="0.3">
      <c r="A2637" s="384" t="b">
        <f t="shared" ca="1" si="143"/>
        <v>0</v>
      </c>
      <c r="B2637" s="384"/>
      <c r="C2637" s="393" t="str">
        <f ca="1">IF(COUNTA(O$1493:O2637)=1,"",OFFSET(B2635,-COUNTA(O$1493:O2637)+3,1))</f>
        <v>a16Dm000000LZiGIAW</v>
      </c>
      <c r="D2637" s="389"/>
      <c r="E2637" s="386" t="str">
        <f ca="1">IFERROR(IF(VLOOKUP(C2637,' Disaggregation - Section E '!A$618:J2963,7,0)="","",VLOOKUP(C2637,' Disaggregation - Section E '!A$618:J2963,7,0)*100),"")</f>
        <v/>
      </c>
      <c r="F2637" s="388" t="str">
        <f ca="1">IFERROR(VLOOKUP(C2637,' Disaggregation - Section E '!A$618:J2963,5,0),"")</f>
        <v/>
      </c>
      <c r="G2637" s="387" t="str">
        <f ca="1">IFERROR(IF(VLOOKUP(C2637,' Disaggregation - Section E '!A$618:J2963,6,0)="","",VLOOKUP(C2637,' Disaggregation - Section E '!A$618:J2963,6,0)),"")</f>
        <v/>
      </c>
      <c r="H2637" s="387" t="str">
        <f ca="1">IFERROR(IF(INDEX(' Disaggregation - Section E '!F$618:F2963,MATCH(C2637,' Disaggregation - Section E '!A$618:A2963,0)+1,1)&lt;&gt;0,INDEX(' Disaggregation - Section E '!F$618:F2963,MATCH(C2637,' Disaggregation - Section E '!A$618:A2963,0)+1,1),""),"")</f>
        <v/>
      </c>
      <c r="I2637" s="388" t="str">
        <f ca="1">IFERROR(IF(VLOOKUP(C2637,' Disaggregation - Section E '!A$618:J2963,8,0)=0,"",VLOOKUP(C2637,' Disaggregation - Section E '!A$618:J2963,8,0)),"")</f>
        <v/>
      </c>
      <c r="J2637" s="388" t="str">
        <f ca="1">IFERROR(IF(VLOOKUP(C2637,' Disaggregation - Section E '!A$618:J2963,9,0)="","",VLOOKUP(C2637,' Disaggregation - Section E '!A$618:J2963,9,0)),"")</f>
        <v/>
      </c>
      <c r="K2637" s="384" t="str">
        <f ca="1">IFERROR(VLOOKUP(C2637,' Disaggregation - Section E '!A$618:J2963,3,0),"")</f>
        <v/>
      </c>
      <c r="L2637" s="384"/>
      <c r="M2637" s="384" t="str">
        <f ca="1">IFERROR(IF(VLOOKUP(C2637,' Disaggregation - Section E '!A$618:O1766,15,0)=0,"",VLOOKUP(C2637,' Disaggregation - Section E '!A$618:O1766,15,0)),"")</f>
        <v/>
      </c>
      <c r="N2637" s="388" t="str">
        <f ca="1">IFERROR(IF(VLOOKUP(C2637,' Disaggregation - Section E '!A$618:J2963,10,0)=0,"",VLOOKUP(C2637,' Disaggregation - Section E '!A$618:J2963,10,0)),"")</f>
        <v/>
      </c>
      <c r="O2637" s="384"/>
    </row>
    <row r="2638" spans="1:15" x14ac:dyDescent="0.3">
      <c r="A2638" s="384" t="b">
        <f t="shared" ca="1" si="143"/>
        <v>0</v>
      </c>
      <c r="B2638" s="384"/>
      <c r="C2638" s="393" t="str">
        <f ca="1">IF(COUNTA(O$1493:O2638)=1,"",OFFSET(B2636,-COUNTA(O$1493:O2638)+3,1))</f>
        <v>a16Dm000000LZiHIAW</v>
      </c>
      <c r="D2638" s="389"/>
      <c r="E2638" s="386" t="str">
        <f ca="1">IFERROR(IF(VLOOKUP(C2638,' Disaggregation - Section E '!A$618:J2964,7,0)="","",VLOOKUP(C2638,' Disaggregation - Section E '!A$618:J2964,7,0)*100),"")</f>
        <v/>
      </c>
      <c r="F2638" s="388" t="str">
        <f ca="1">IFERROR(VLOOKUP(C2638,' Disaggregation - Section E '!A$618:J2964,5,0),"")</f>
        <v/>
      </c>
      <c r="G2638" s="387" t="str">
        <f ca="1">IFERROR(IF(VLOOKUP(C2638,' Disaggregation - Section E '!A$618:J2964,6,0)="","",VLOOKUP(C2638,' Disaggregation - Section E '!A$618:J2964,6,0)),"")</f>
        <v/>
      </c>
      <c r="H2638" s="387" t="str">
        <f ca="1">IFERROR(IF(INDEX(' Disaggregation - Section E '!F$618:F2964,MATCH(C2638,' Disaggregation - Section E '!A$618:A2964,0)+1,1)&lt;&gt;0,INDEX(' Disaggregation - Section E '!F$618:F2964,MATCH(C2638,' Disaggregation - Section E '!A$618:A2964,0)+1,1),""),"")</f>
        <v/>
      </c>
      <c r="I2638" s="388" t="str">
        <f ca="1">IFERROR(IF(VLOOKUP(C2638,' Disaggregation - Section E '!A$618:J2964,8,0)=0,"",VLOOKUP(C2638,' Disaggregation - Section E '!A$618:J2964,8,0)),"")</f>
        <v/>
      </c>
      <c r="J2638" s="388" t="str">
        <f ca="1">IFERROR(IF(VLOOKUP(C2638,' Disaggregation - Section E '!A$618:J2964,9,0)="","",VLOOKUP(C2638,' Disaggregation - Section E '!A$618:J2964,9,0)),"")</f>
        <v/>
      </c>
      <c r="K2638" s="384" t="str">
        <f ca="1">IFERROR(VLOOKUP(C2638,' Disaggregation - Section E '!A$618:J2964,3,0),"")</f>
        <v/>
      </c>
      <c r="L2638" s="384"/>
      <c r="M2638" s="384" t="str">
        <f ca="1">IFERROR(IF(VLOOKUP(C2638,' Disaggregation - Section E '!A$618:O1767,15,0)=0,"",VLOOKUP(C2638,' Disaggregation - Section E '!A$618:O1767,15,0)),"")</f>
        <v/>
      </c>
      <c r="N2638" s="388" t="str">
        <f ca="1">IFERROR(IF(VLOOKUP(C2638,' Disaggregation - Section E '!A$618:J2964,10,0)=0,"",VLOOKUP(C2638,' Disaggregation - Section E '!A$618:J2964,10,0)),"")</f>
        <v/>
      </c>
      <c r="O2638" s="384"/>
    </row>
    <row r="2639" spans="1:15" x14ac:dyDescent="0.3">
      <c r="A2639" s="384" t="b">
        <f t="shared" ca="1" si="143"/>
        <v>0</v>
      </c>
      <c r="B2639" s="384"/>
      <c r="C2639" s="393" t="str">
        <f ca="1">IF(COUNTA(O$1493:O2639)=1,"",OFFSET(B2637,-COUNTA(O$1493:O2639)+3,1))</f>
        <v>a16Dm000000LZiIIAW</v>
      </c>
      <c r="D2639" s="389"/>
      <c r="E2639" s="386" t="str">
        <f ca="1">IFERROR(IF(VLOOKUP(C2639,' Disaggregation - Section E '!A$618:J2965,7,0)="","",VLOOKUP(C2639,' Disaggregation - Section E '!A$618:J2965,7,0)*100),"")</f>
        <v/>
      </c>
      <c r="F2639" s="388" t="str">
        <f ca="1">IFERROR(VLOOKUP(C2639,' Disaggregation - Section E '!A$618:J2965,5,0),"")</f>
        <v/>
      </c>
      <c r="G2639" s="387" t="str">
        <f ca="1">IFERROR(IF(VLOOKUP(C2639,' Disaggregation - Section E '!A$618:J2965,6,0)="","",VLOOKUP(C2639,' Disaggregation - Section E '!A$618:J2965,6,0)),"")</f>
        <v/>
      </c>
      <c r="H2639" s="387" t="str">
        <f ca="1">IFERROR(IF(INDEX(' Disaggregation - Section E '!F$618:F2965,MATCH(C2639,' Disaggregation - Section E '!A$618:A2965,0)+1,1)&lt;&gt;0,INDEX(' Disaggregation - Section E '!F$618:F2965,MATCH(C2639,' Disaggregation - Section E '!A$618:A2965,0)+1,1),""),"")</f>
        <v/>
      </c>
      <c r="I2639" s="388" t="str">
        <f ca="1">IFERROR(IF(VLOOKUP(C2639,' Disaggregation - Section E '!A$618:J2965,8,0)=0,"",VLOOKUP(C2639,' Disaggregation - Section E '!A$618:J2965,8,0)),"")</f>
        <v/>
      </c>
      <c r="J2639" s="388" t="str">
        <f ca="1">IFERROR(IF(VLOOKUP(C2639,' Disaggregation - Section E '!A$618:J2965,9,0)="","",VLOOKUP(C2639,' Disaggregation - Section E '!A$618:J2965,9,0)),"")</f>
        <v/>
      </c>
      <c r="K2639" s="384" t="str">
        <f ca="1">IFERROR(VLOOKUP(C2639,' Disaggregation - Section E '!A$618:J2965,3,0),"")</f>
        <v/>
      </c>
      <c r="L2639" s="384"/>
      <c r="M2639" s="384" t="str">
        <f ca="1">IFERROR(IF(VLOOKUP(C2639,' Disaggregation - Section E '!A$618:O1768,15,0)=0,"",VLOOKUP(C2639,' Disaggregation - Section E '!A$618:O1768,15,0)),"")</f>
        <v/>
      </c>
      <c r="N2639" s="388" t="str">
        <f ca="1">IFERROR(IF(VLOOKUP(C2639,' Disaggregation - Section E '!A$618:J2965,10,0)=0,"",VLOOKUP(C2639,' Disaggregation - Section E '!A$618:J2965,10,0)),"")</f>
        <v/>
      </c>
      <c r="O2639" s="384"/>
    </row>
    <row r="2640" spans="1:15" x14ac:dyDescent="0.3">
      <c r="A2640" s="384" t="b">
        <f t="shared" ca="1" si="143"/>
        <v>0</v>
      </c>
      <c r="B2640" s="384"/>
      <c r="C2640" s="393" t="str">
        <f ca="1">IF(COUNTA(O$1493:O2640)=1,"",OFFSET(B2638,-COUNTA(O$1493:O2640)+3,1))</f>
        <v>a16Dm000000LZiJIAW</v>
      </c>
      <c r="D2640" s="389"/>
      <c r="E2640" s="386" t="str">
        <f ca="1">IFERROR(IF(VLOOKUP(C2640,' Disaggregation - Section E '!A$618:J2966,7,0)="","",VLOOKUP(C2640,' Disaggregation - Section E '!A$618:J2966,7,0)*100),"")</f>
        <v/>
      </c>
      <c r="F2640" s="388" t="str">
        <f ca="1">IFERROR(VLOOKUP(C2640,' Disaggregation - Section E '!A$618:J2966,5,0),"")</f>
        <v/>
      </c>
      <c r="G2640" s="387" t="str">
        <f ca="1">IFERROR(IF(VLOOKUP(C2640,' Disaggregation - Section E '!A$618:J2966,6,0)="","",VLOOKUP(C2640,' Disaggregation - Section E '!A$618:J2966,6,0)),"")</f>
        <v/>
      </c>
      <c r="H2640" s="387" t="str">
        <f ca="1">IFERROR(IF(INDEX(' Disaggregation - Section E '!F$618:F2966,MATCH(C2640,' Disaggregation - Section E '!A$618:A2966,0)+1,1)&lt;&gt;0,INDEX(' Disaggregation - Section E '!F$618:F2966,MATCH(C2640,' Disaggregation - Section E '!A$618:A2966,0)+1,1),""),"")</f>
        <v/>
      </c>
      <c r="I2640" s="388" t="str">
        <f ca="1">IFERROR(IF(VLOOKUP(C2640,' Disaggregation - Section E '!A$618:J2966,8,0)=0,"",VLOOKUP(C2640,' Disaggregation - Section E '!A$618:J2966,8,0)),"")</f>
        <v/>
      </c>
      <c r="J2640" s="388" t="str">
        <f ca="1">IFERROR(IF(VLOOKUP(C2640,' Disaggregation - Section E '!A$618:J2966,9,0)="","",VLOOKUP(C2640,' Disaggregation - Section E '!A$618:J2966,9,0)),"")</f>
        <v/>
      </c>
      <c r="K2640" s="384" t="str">
        <f ca="1">IFERROR(VLOOKUP(C2640,' Disaggregation - Section E '!A$618:J2966,3,0),"")</f>
        <v/>
      </c>
      <c r="L2640" s="384"/>
      <c r="M2640" s="384" t="str">
        <f ca="1">IFERROR(IF(VLOOKUP(C2640,' Disaggregation - Section E '!A$618:O1769,15,0)=0,"",VLOOKUP(C2640,' Disaggregation - Section E '!A$618:O1769,15,0)),"")</f>
        <v/>
      </c>
      <c r="N2640" s="388" t="str">
        <f ca="1">IFERROR(IF(VLOOKUP(C2640,' Disaggregation - Section E '!A$618:J2966,10,0)=0,"",VLOOKUP(C2640,' Disaggregation - Section E '!A$618:J2966,10,0)),"")</f>
        <v/>
      </c>
      <c r="O2640" s="384"/>
    </row>
    <row r="2641" spans="1:15" x14ac:dyDescent="0.3">
      <c r="A2641" s="384" t="b">
        <f t="shared" ca="1" si="143"/>
        <v>0</v>
      </c>
      <c r="B2641" s="384"/>
      <c r="C2641" s="393" t="str">
        <f ca="1">IF(COUNTA(O$1493:O2641)=1,"",OFFSET(B2639,-COUNTA(O$1493:O2641)+3,1))</f>
        <v>a16Dm000000LZiKIAW</v>
      </c>
      <c r="D2641" s="389"/>
      <c r="E2641" s="386" t="str">
        <f ca="1">IFERROR(IF(VLOOKUP(C2641,' Disaggregation - Section E '!A$618:J2967,7,0)="","",VLOOKUP(C2641,' Disaggregation - Section E '!A$618:J2967,7,0)*100),"")</f>
        <v/>
      </c>
      <c r="F2641" s="388" t="str">
        <f ca="1">IFERROR(VLOOKUP(C2641,' Disaggregation - Section E '!A$618:J2967,5,0),"")</f>
        <v/>
      </c>
      <c r="G2641" s="387" t="str">
        <f ca="1">IFERROR(IF(VLOOKUP(C2641,' Disaggregation - Section E '!A$618:J2967,6,0)="","",VLOOKUP(C2641,' Disaggregation - Section E '!A$618:J2967,6,0)),"")</f>
        <v/>
      </c>
      <c r="H2641" s="387" t="str">
        <f ca="1">IFERROR(IF(INDEX(' Disaggregation - Section E '!F$618:F2967,MATCH(C2641,' Disaggregation - Section E '!A$618:A2967,0)+1,1)&lt;&gt;0,INDEX(' Disaggregation - Section E '!F$618:F2967,MATCH(C2641,' Disaggregation - Section E '!A$618:A2967,0)+1,1),""),"")</f>
        <v/>
      </c>
      <c r="I2641" s="388" t="str">
        <f ca="1">IFERROR(IF(VLOOKUP(C2641,' Disaggregation - Section E '!A$618:J2967,8,0)=0,"",VLOOKUP(C2641,' Disaggregation - Section E '!A$618:J2967,8,0)),"")</f>
        <v/>
      </c>
      <c r="J2641" s="388" t="str">
        <f ca="1">IFERROR(IF(VLOOKUP(C2641,' Disaggregation - Section E '!A$618:J2967,9,0)="","",VLOOKUP(C2641,' Disaggregation - Section E '!A$618:J2967,9,0)),"")</f>
        <v/>
      </c>
      <c r="K2641" s="384" t="str">
        <f ca="1">IFERROR(VLOOKUP(C2641,' Disaggregation - Section E '!A$618:J2967,3,0),"")</f>
        <v/>
      </c>
      <c r="L2641" s="384"/>
      <c r="M2641" s="384" t="str">
        <f ca="1">IFERROR(IF(VLOOKUP(C2641,' Disaggregation - Section E '!A$618:O1770,15,0)=0,"",VLOOKUP(C2641,' Disaggregation - Section E '!A$618:O1770,15,0)),"")</f>
        <v/>
      </c>
      <c r="N2641" s="388" t="str">
        <f ca="1">IFERROR(IF(VLOOKUP(C2641,' Disaggregation - Section E '!A$618:J2967,10,0)=0,"",VLOOKUP(C2641,' Disaggregation - Section E '!A$618:J2967,10,0)),"")</f>
        <v/>
      </c>
      <c r="O2641" s="384"/>
    </row>
    <row r="2642" spans="1:15" x14ac:dyDescent="0.3">
      <c r="A2642" s="384" t="b">
        <f t="shared" ca="1" si="143"/>
        <v>0</v>
      </c>
      <c r="B2642" s="384"/>
      <c r="C2642" s="393" t="str">
        <f ca="1">IF(COUNTA(O$1493:O2642)=1,"",OFFSET(B2640,-COUNTA(O$1493:O2642)+3,1))</f>
        <v>a16Dm000000LZiLIAW</v>
      </c>
      <c r="D2642" s="389"/>
      <c r="E2642" s="386" t="str">
        <f ca="1">IFERROR(IF(VLOOKUP(C2642,' Disaggregation - Section E '!A$618:J2968,7,0)="","",VLOOKUP(C2642,' Disaggregation - Section E '!A$618:J2968,7,0)*100),"")</f>
        <v/>
      </c>
      <c r="F2642" s="388" t="str">
        <f ca="1">IFERROR(VLOOKUP(C2642,' Disaggregation - Section E '!A$618:J2968,5,0),"")</f>
        <v/>
      </c>
      <c r="G2642" s="387" t="str">
        <f ca="1">IFERROR(IF(VLOOKUP(C2642,' Disaggregation - Section E '!A$618:J2968,6,0)="","",VLOOKUP(C2642,' Disaggregation - Section E '!A$618:J2968,6,0)),"")</f>
        <v/>
      </c>
      <c r="H2642" s="387" t="str">
        <f ca="1">IFERROR(IF(INDEX(' Disaggregation - Section E '!F$618:F2968,MATCH(C2642,' Disaggregation - Section E '!A$618:A2968,0)+1,1)&lt;&gt;0,INDEX(' Disaggregation - Section E '!F$618:F2968,MATCH(C2642,' Disaggregation - Section E '!A$618:A2968,0)+1,1),""),"")</f>
        <v/>
      </c>
      <c r="I2642" s="388" t="str">
        <f ca="1">IFERROR(IF(VLOOKUP(C2642,' Disaggregation - Section E '!A$618:J2968,8,0)=0,"",VLOOKUP(C2642,' Disaggregation - Section E '!A$618:J2968,8,0)),"")</f>
        <v/>
      </c>
      <c r="J2642" s="388" t="str">
        <f ca="1">IFERROR(IF(VLOOKUP(C2642,' Disaggregation - Section E '!A$618:J2968,9,0)="","",VLOOKUP(C2642,' Disaggregation - Section E '!A$618:J2968,9,0)),"")</f>
        <v/>
      </c>
      <c r="K2642" s="384" t="str">
        <f ca="1">IFERROR(VLOOKUP(C2642,' Disaggregation - Section E '!A$618:J2968,3,0),"")</f>
        <v/>
      </c>
      <c r="L2642" s="384"/>
      <c r="M2642" s="384" t="str">
        <f ca="1">IFERROR(IF(VLOOKUP(C2642,' Disaggregation - Section E '!A$618:O1771,15,0)=0,"",VLOOKUP(C2642,' Disaggregation - Section E '!A$618:O1771,15,0)),"")</f>
        <v/>
      </c>
      <c r="N2642" s="388" t="str">
        <f ca="1">IFERROR(IF(VLOOKUP(C2642,' Disaggregation - Section E '!A$618:J2968,10,0)=0,"",VLOOKUP(C2642,' Disaggregation - Section E '!A$618:J2968,10,0)),"")</f>
        <v/>
      </c>
      <c r="O2642" s="384"/>
    </row>
    <row r="2643" spans="1:15" x14ac:dyDescent="0.3">
      <c r="A2643" s="384" t="b">
        <f t="shared" ca="1" si="143"/>
        <v>0</v>
      </c>
      <c r="B2643" s="384"/>
      <c r="C2643" s="393" t="str">
        <f ca="1">IF(COUNTA(O$1493:O2643)=1,"",OFFSET(B2641,-COUNTA(O$1493:O2643)+3,1))</f>
        <v>a16Dm000000LZiMIAW</v>
      </c>
      <c r="D2643" s="389"/>
      <c r="E2643" s="386" t="str">
        <f ca="1">IFERROR(IF(VLOOKUP(C2643,' Disaggregation - Section E '!A$618:J2969,7,0)="","",VLOOKUP(C2643,' Disaggregation - Section E '!A$618:J2969,7,0)*100),"")</f>
        <v/>
      </c>
      <c r="F2643" s="388" t="str">
        <f ca="1">IFERROR(VLOOKUP(C2643,' Disaggregation - Section E '!A$618:J2969,5,0),"")</f>
        <v/>
      </c>
      <c r="G2643" s="387" t="str">
        <f ca="1">IFERROR(IF(VLOOKUP(C2643,' Disaggregation - Section E '!A$618:J2969,6,0)="","",VLOOKUP(C2643,' Disaggregation - Section E '!A$618:J2969,6,0)),"")</f>
        <v/>
      </c>
      <c r="H2643" s="387" t="str">
        <f ca="1">IFERROR(IF(INDEX(' Disaggregation - Section E '!F$618:F2969,MATCH(C2643,' Disaggregation - Section E '!A$618:A2969,0)+1,1)&lt;&gt;0,INDEX(' Disaggregation - Section E '!F$618:F2969,MATCH(C2643,' Disaggregation - Section E '!A$618:A2969,0)+1,1),""),"")</f>
        <v/>
      </c>
      <c r="I2643" s="388" t="str">
        <f ca="1">IFERROR(IF(VLOOKUP(C2643,' Disaggregation - Section E '!A$618:J2969,8,0)=0,"",VLOOKUP(C2643,' Disaggregation - Section E '!A$618:J2969,8,0)),"")</f>
        <v/>
      </c>
      <c r="J2643" s="388" t="str">
        <f ca="1">IFERROR(IF(VLOOKUP(C2643,' Disaggregation - Section E '!A$618:J2969,9,0)="","",VLOOKUP(C2643,' Disaggregation - Section E '!A$618:J2969,9,0)),"")</f>
        <v/>
      </c>
      <c r="K2643" s="384" t="str">
        <f ca="1">IFERROR(VLOOKUP(C2643,' Disaggregation - Section E '!A$618:J2969,3,0),"")</f>
        <v/>
      </c>
      <c r="L2643" s="384"/>
      <c r="M2643" s="384" t="str">
        <f ca="1">IFERROR(IF(VLOOKUP(C2643,' Disaggregation - Section E '!A$618:O1772,15,0)=0,"",VLOOKUP(C2643,' Disaggregation - Section E '!A$618:O1772,15,0)),"")</f>
        <v/>
      </c>
      <c r="N2643" s="388" t="str">
        <f ca="1">IFERROR(IF(VLOOKUP(C2643,' Disaggregation - Section E '!A$618:J2969,10,0)=0,"",VLOOKUP(C2643,' Disaggregation - Section E '!A$618:J2969,10,0)),"")</f>
        <v/>
      </c>
      <c r="O2643" s="384"/>
    </row>
    <row r="2644" spans="1:15" x14ac:dyDescent="0.3">
      <c r="A2644" s="384" t="b">
        <f t="shared" ca="1" si="143"/>
        <v>0</v>
      </c>
      <c r="B2644" s="384"/>
      <c r="C2644" s="393" t="str">
        <f ca="1">IF(COUNTA(O$1493:O2644)=1,"",OFFSET(B2642,-COUNTA(O$1493:O2644)+3,1))</f>
        <v>a16Dm000000LZiNIAW</v>
      </c>
      <c r="D2644" s="389"/>
      <c r="E2644" s="386" t="str">
        <f ca="1">IFERROR(IF(VLOOKUP(C2644,' Disaggregation - Section E '!A$618:J2970,7,0)="","",VLOOKUP(C2644,' Disaggregation - Section E '!A$618:J2970,7,0)*100),"")</f>
        <v/>
      </c>
      <c r="F2644" s="388" t="str">
        <f ca="1">IFERROR(VLOOKUP(C2644,' Disaggregation - Section E '!A$618:J2970,5,0),"")</f>
        <v/>
      </c>
      <c r="G2644" s="387" t="str">
        <f ca="1">IFERROR(IF(VLOOKUP(C2644,' Disaggregation - Section E '!A$618:J2970,6,0)="","",VLOOKUP(C2644,' Disaggregation - Section E '!A$618:J2970,6,0)),"")</f>
        <v/>
      </c>
      <c r="H2644" s="387" t="str">
        <f ca="1">IFERROR(IF(INDEX(' Disaggregation - Section E '!F$618:F2970,MATCH(C2644,' Disaggregation - Section E '!A$618:A2970,0)+1,1)&lt;&gt;0,INDEX(' Disaggregation - Section E '!F$618:F2970,MATCH(C2644,' Disaggregation - Section E '!A$618:A2970,0)+1,1),""),"")</f>
        <v/>
      </c>
      <c r="I2644" s="388" t="str">
        <f ca="1">IFERROR(IF(VLOOKUP(C2644,' Disaggregation - Section E '!A$618:J2970,8,0)=0,"",VLOOKUP(C2644,' Disaggregation - Section E '!A$618:J2970,8,0)),"")</f>
        <v/>
      </c>
      <c r="J2644" s="388" t="str">
        <f ca="1">IFERROR(IF(VLOOKUP(C2644,' Disaggregation - Section E '!A$618:J2970,9,0)="","",VLOOKUP(C2644,' Disaggregation - Section E '!A$618:J2970,9,0)),"")</f>
        <v/>
      </c>
      <c r="K2644" s="384" t="str">
        <f ca="1">IFERROR(VLOOKUP(C2644,' Disaggregation - Section E '!A$618:J2970,3,0),"")</f>
        <v/>
      </c>
      <c r="L2644" s="384"/>
      <c r="M2644" s="384" t="str">
        <f ca="1">IFERROR(IF(VLOOKUP(C2644,' Disaggregation - Section E '!A$618:O1773,15,0)=0,"",VLOOKUP(C2644,' Disaggregation - Section E '!A$618:O1773,15,0)),"")</f>
        <v/>
      </c>
      <c r="N2644" s="388" t="str">
        <f ca="1">IFERROR(IF(VLOOKUP(C2644,' Disaggregation - Section E '!A$618:J2970,10,0)=0,"",VLOOKUP(C2644,' Disaggregation - Section E '!A$618:J2970,10,0)),"")</f>
        <v/>
      </c>
      <c r="O2644" s="384"/>
    </row>
    <row r="2645" spans="1:15" x14ac:dyDescent="0.3">
      <c r="A2645" s="384" t="b">
        <f t="shared" ca="1" si="143"/>
        <v>0</v>
      </c>
      <c r="B2645" s="384"/>
      <c r="C2645" s="393" t="str">
        <f ca="1">IF(COUNTA(O$1493:O2645)=1,"",OFFSET(B2643,-COUNTA(O$1493:O2645)+3,1))</f>
        <v>a16Dm000000LZiOIAW</v>
      </c>
      <c r="D2645" s="389"/>
      <c r="E2645" s="386" t="str">
        <f ca="1">IFERROR(IF(VLOOKUP(C2645,' Disaggregation - Section E '!A$618:J2971,7,0)="","",VLOOKUP(C2645,' Disaggregation - Section E '!A$618:J2971,7,0)*100),"")</f>
        <v/>
      </c>
      <c r="F2645" s="388" t="str">
        <f ca="1">IFERROR(VLOOKUP(C2645,' Disaggregation - Section E '!A$618:J2971,5,0),"")</f>
        <v/>
      </c>
      <c r="G2645" s="387" t="str">
        <f ca="1">IFERROR(IF(VLOOKUP(C2645,' Disaggregation - Section E '!A$618:J2971,6,0)="","",VLOOKUP(C2645,' Disaggregation - Section E '!A$618:J2971,6,0)),"")</f>
        <v/>
      </c>
      <c r="H2645" s="387" t="str">
        <f ca="1">IFERROR(IF(INDEX(' Disaggregation - Section E '!F$618:F2971,MATCH(C2645,' Disaggregation - Section E '!A$618:A2971,0)+1,1)&lt;&gt;0,INDEX(' Disaggregation - Section E '!F$618:F2971,MATCH(C2645,' Disaggregation - Section E '!A$618:A2971,0)+1,1),""),"")</f>
        <v/>
      </c>
      <c r="I2645" s="388" t="str">
        <f ca="1">IFERROR(IF(VLOOKUP(C2645,' Disaggregation - Section E '!A$618:J2971,8,0)=0,"",VLOOKUP(C2645,' Disaggregation - Section E '!A$618:J2971,8,0)),"")</f>
        <v/>
      </c>
      <c r="J2645" s="388" t="str">
        <f ca="1">IFERROR(IF(VLOOKUP(C2645,' Disaggregation - Section E '!A$618:J2971,9,0)="","",VLOOKUP(C2645,' Disaggregation - Section E '!A$618:J2971,9,0)),"")</f>
        <v/>
      </c>
      <c r="K2645" s="384" t="str">
        <f ca="1">IFERROR(VLOOKUP(C2645,' Disaggregation - Section E '!A$618:J2971,3,0),"")</f>
        <v/>
      </c>
      <c r="L2645" s="384"/>
      <c r="M2645" s="384" t="str">
        <f ca="1">IFERROR(IF(VLOOKUP(C2645,' Disaggregation - Section E '!A$618:O1774,15,0)=0,"",VLOOKUP(C2645,' Disaggregation - Section E '!A$618:O1774,15,0)),"")</f>
        <v/>
      </c>
      <c r="N2645" s="388" t="str">
        <f ca="1">IFERROR(IF(VLOOKUP(C2645,' Disaggregation - Section E '!A$618:J2971,10,0)=0,"",VLOOKUP(C2645,' Disaggregation - Section E '!A$618:J2971,10,0)),"")</f>
        <v/>
      </c>
      <c r="O2645" s="384"/>
    </row>
    <row r="2646" spans="1:15" x14ac:dyDescent="0.3">
      <c r="A2646" s="384" t="b">
        <f t="shared" ca="1" si="143"/>
        <v>0</v>
      </c>
      <c r="B2646" s="384"/>
      <c r="C2646" s="393" t="str">
        <f ca="1">IF(COUNTA(O$1493:O2646)=1,"",OFFSET(B2644,-COUNTA(O$1493:O2646)+3,1))</f>
        <v>a16Dm000000LZiPIAW</v>
      </c>
      <c r="D2646" s="389"/>
      <c r="E2646" s="386" t="str">
        <f ca="1">IFERROR(IF(VLOOKUP(C2646,' Disaggregation - Section E '!A$618:J2972,7,0)="","",VLOOKUP(C2646,' Disaggregation - Section E '!A$618:J2972,7,0)*100),"")</f>
        <v/>
      </c>
      <c r="F2646" s="388" t="str">
        <f ca="1">IFERROR(VLOOKUP(C2646,' Disaggregation - Section E '!A$618:J2972,5,0),"")</f>
        <v/>
      </c>
      <c r="G2646" s="387" t="str">
        <f ca="1">IFERROR(IF(VLOOKUP(C2646,' Disaggregation - Section E '!A$618:J2972,6,0)="","",VLOOKUP(C2646,' Disaggregation - Section E '!A$618:J2972,6,0)),"")</f>
        <v/>
      </c>
      <c r="H2646" s="387" t="str">
        <f ca="1">IFERROR(IF(INDEX(' Disaggregation - Section E '!F$618:F2972,MATCH(C2646,' Disaggregation - Section E '!A$618:A2972,0)+1,1)&lt;&gt;0,INDEX(' Disaggregation - Section E '!F$618:F2972,MATCH(C2646,' Disaggregation - Section E '!A$618:A2972,0)+1,1),""),"")</f>
        <v/>
      </c>
      <c r="I2646" s="388" t="str">
        <f ca="1">IFERROR(IF(VLOOKUP(C2646,' Disaggregation - Section E '!A$618:J2972,8,0)=0,"",VLOOKUP(C2646,' Disaggregation - Section E '!A$618:J2972,8,0)),"")</f>
        <v/>
      </c>
      <c r="J2646" s="388" t="str">
        <f ca="1">IFERROR(IF(VLOOKUP(C2646,' Disaggregation - Section E '!A$618:J2972,9,0)="","",VLOOKUP(C2646,' Disaggregation - Section E '!A$618:J2972,9,0)),"")</f>
        <v/>
      </c>
      <c r="K2646" s="384" t="str">
        <f ca="1">IFERROR(VLOOKUP(C2646,' Disaggregation - Section E '!A$618:J2972,3,0),"")</f>
        <v/>
      </c>
      <c r="L2646" s="384"/>
      <c r="M2646" s="384" t="str">
        <f ca="1">IFERROR(IF(VLOOKUP(C2646,' Disaggregation - Section E '!A$618:O1775,15,0)=0,"",VLOOKUP(C2646,' Disaggregation - Section E '!A$618:O1775,15,0)),"")</f>
        <v/>
      </c>
      <c r="N2646" s="388" t="str">
        <f ca="1">IFERROR(IF(VLOOKUP(C2646,' Disaggregation - Section E '!A$618:J2972,10,0)=0,"",VLOOKUP(C2646,' Disaggregation - Section E '!A$618:J2972,10,0)),"")</f>
        <v/>
      </c>
      <c r="O2646" s="384"/>
    </row>
    <row r="2647" spans="1:15" x14ac:dyDescent="0.3">
      <c r="A2647" s="384" t="b">
        <f t="shared" ca="1" si="143"/>
        <v>0</v>
      </c>
      <c r="B2647" s="384"/>
      <c r="C2647" s="393" t="str">
        <f ca="1">IF(COUNTA(O$1493:O2647)=1,"",OFFSET(B2645,-COUNTA(O$1493:O2647)+3,1))</f>
        <v>a16Dm000000LZiQIAW</v>
      </c>
      <c r="D2647" s="389"/>
      <c r="E2647" s="386" t="str">
        <f ca="1">IFERROR(IF(VLOOKUP(C2647,' Disaggregation - Section E '!A$618:J2973,7,0)="","",VLOOKUP(C2647,' Disaggregation - Section E '!A$618:J2973,7,0)*100),"")</f>
        <v/>
      </c>
      <c r="F2647" s="388" t="str">
        <f ca="1">IFERROR(VLOOKUP(C2647,' Disaggregation - Section E '!A$618:J2973,5,0),"")</f>
        <v/>
      </c>
      <c r="G2647" s="387" t="str">
        <f ca="1">IFERROR(IF(VLOOKUP(C2647,' Disaggregation - Section E '!A$618:J2973,6,0)="","",VLOOKUP(C2647,' Disaggregation - Section E '!A$618:J2973,6,0)),"")</f>
        <v/>
      </c>
      <c r="H2647" s="387" t="str">
        <f ca="1">IFERROR(IF(INDEX(' Disaggregation - Section E '!F$618:F2973,MATCH(C2647,' Disaggregation - Section E '!A$618:A2973,0)+1,1)&lt;&gt;0,INDEX(' Disaggregation - Section E '!F$618:F2973,MATCH(C2647,' Disaggregation - Section E '!A$618:A2973,0)+1,1),""),"")</f>
        <v/>
      </c>
      <c r="I2647" s="388" t="str">
        <f ca="1">IFERROR(IF(VLOOKUP(C2647,' Disaggregation - Section E '!A$618:J2973,8,0)=0,"",VLOOKUP(C2647,' Disaggregation - Section E '!A$618:J2973,8,0)),"")</f>
        <v/>
      </c>
      <c r="J2647" s="388" t="str">
        <f ca="1">IFERROR(IF(VLOOKUP(C2647,' Disaggregation - Section E '!A$618:J2973,9,0)="","",VLOOKUP(C2647,' Disaggregation - Section E '!A$618:J2973,9,0)),"")</f>
        <v/>
      </c>
      <c r="K2647" s="384" t="str">
        <f ca="1">IFERROR(VLOOKUP(C2647,' Disaggregation - Section E '!A$618:J2973,3,0),"")</f>
        <v/>
      </c>
      <c r="L2647" s="384"/>
      <c r="M2647" s="384" t="str">
        <f ca="1">IFERROR(IF(VLOOKUP(C2647,' Disaggregation - Section E '!A$618:O1776,15,0)=0,"",VLOOKUP(C2647,' Disaggregation - Section E '!A$618:O1776,15,0)),"")</f>
        <v/>
      </c>
      <c r="N2647" s="388" t="str">
        <f ca="1">IFERROR(IF(VLOOKUP(C2647,' Disaggregation - Section E '!A$618:J2973,10,0)=0,"",VLOOKUP(C2647,' Disaggregation - Section E '!A$618:J2973,10,0)),"")</f>
        <v/>
      </c>
      <c r="O2647" s="384"/>
    </row>
    <row r="2648" spans="1:15" x14ac:dyDescent="0.3">
      <c r="A2648" s="384" t="b">
        <f t="shared" ca="1" si="143"/>
        <v>0</v>
      </c>
      <c r="B2648" s="384"/>
      <c r="C2648" s="393" t="str">
        <f ca="1">IF(COUNTA(O$1493:O2648)=1,"",OFFSET(B2646,-COUNTA(O$1493:O2648)+3,1))</f>
        <v>a16Dm000000LZiRIAW</v>
      </c>
      <c r="D2648" s="389"/>
      <c r="E2648" s="386" t="str">
        <f ca="1">IFERROR(IF(VLOOKUP(C2648,' Disaggregation - Section E '!A$618:J2974,7,0)="","",VLOOKUP(C2648,' Disaggregation - Section E '!A$618:J2974,7,0)*100),"")</f>
        <v/>
      </c>
      <c r="F2648" s="388" t="str">
        <f ca="1">IFERROR(VLOOKUP(C2648,' Disaggregation - Section E '!A$618:J2974,5,0),"")</f>
        <v/>
      </c>
      <c r="G2648" s="387" t="str">
        <f ca="1">IFERROR(IF(VLOOKUP(C2648,' Disaggregation - Section E '!A$618:J2974,6,0)="","",VLOOKUP(C2648,' Disaggregation - Section E '!A$618:J2974,6,0)),"")</f>
        <v/>
      </c>
      <c r="H2648" s="387" t="str">
        <f ca="1">IFERROR(IF(INDEX(' Disaggregation - Section E '!F$618:F2974,MATCH(C2648,' Disaggregation - Section E '!A$618:A2974,0)+1,1)&lt;&gt;0,INDEX(' Disaggregation - Section E '!F$618:F2974,MATCH(C2648,' Disaggregation - Section E '!A$618:A2974,0)+1,1),""),"")</f>
        <v/>
      </c>
      <c r="I2648" s="388" t="str">
        <f ca="1">IFERROR(IF(VLOOKUP(C2648,' Disaggregation - Section E '!A$618:J2974,8,0)=0,"",VLOOKUP(C2648,' Disaggregation - Section E '!A$618:J2974,8,0)),"")</f>
        <v/>
      </c>
      <c r="J2648" s="388" t="str">
        <f ca="1">IFERROR(IF(VLOOKUP(C2648,' Disaggregation - Section E '!A$618:J2974,9,0)="","",VLOOKUP(C2648,' Disaggregation - Section E '!A$618:J2974,9,0)),"")</f>
        <v/>
      </c>
      <c r="K2648" s="384" t="str">
        <f ca="1">IFERROR(VLOOKUP(C2648,' Disaggregation - Section E '!A$618:J2974,3,0),"")</f>
        <v/>
      </c>
      <c r="L2648" s="384"/>
      <c r="M2648" s="384" t="str">
        <f ca="1">IFERROR(IF(VLOOKUP(C2648,' Disaggregation - Section E '!A$618:O1777,15,0)=0,"",VLOOKUP(C2648,' Disaggregation - Section E '!A$618:O1777,15,0)),"")</f>
        <v/>
      </c>
      <c r="N2648" s="388" t="str">
        <f ca="1">IFERROR(IF(VLOOKUP(C2648,' Disaggregation - Section E '!A$618:J2974,10,0)=0,"",VLOOKUP(C2648,' Disaggregation - Section E '!A$618:J2974,10,0)),"")</f>
        <v/>
      </c>
      <c r="O2648" s="384"/>
    </row>
    <row r="2649" spans="1:15" x14ac:dyDescent="0.3">
      <c r="A2649" s="384" t="b">
        <f t="shared" ca="1" si="143"/>
        <v>0</v>
      </c>
      <c r="B2649" s="384"/>
      <c r="C2649" s="393" t="str">
        <f ca="1">IF(COUNTA(O$1493:O2649)=1,"",OFFSET(B2647,-COUNTA(O$1493:O2649)+3,1))</f>
        <v>a16Dm000000LZiSIAW</v>
      </c>
      <c r="D2649" s="389"/>
      <c r="E2649" s="386" t="str">
        <f ca="1">IFERROR(IF(VLOOKUP(C2649,' Disaggregation - Section E '!A$618:J2975,7,0)="","",VLOOKUP(C2649,' Disaggregation - Section E '!A$618:J2975,7,0)*100),"")</f>
        <v/>
      </c>
      <c r="F2649" s="388" t="str">
        <f ca="1">IFERROR(VLOOKUP(C2649,' Disaggregation - Section E '!A$618:J2975,5,0),"")</f>
        <v/>
      </c>
      <c r="G2649" s="387" t="str">
        <f ca="1">IFERROR(IF(VLOOKUP(C2649,' Disaggregation - Section E '!A$618:J2975,6,0)="","",VLOOKUP(C2649,' Disaggregation - Section E '!A$618:J2975,6,0)),"")</f>
        <v/>
      </c>
      <c r="H2649" s="387" t="str">
        <f ca="1">IFERROR(IF(INDEX(' Disaggregation - Section E '!F$618:F2975,MATCH(C2649,' Disaggregation - Section E '!A$618:A2975,0)+1,1)&lt;&gt;0,INDEX(' Disaggregation - Section E '!F$618:F2975,MATCH(C2649,' Disaggregation - Section E '!A$618:A2975,0)+1,1),""),"")</f>
        <v/>
      </c>
      <c r="I2649" s="388" t="str">
        <f ca="1">IFERROR(IF(VLOOKUP(C2649,' Disaggregation - Section E '!A$618:J2975,8,0)=0,"",VLOOKUP(C2649,' Disaggregation - Section E '!A$618:J2975,8,0)),"")</f>
        <v/>
      </c>
      <c r="J2649" s="388" t="str">
        <f ca="1">IFERROR(IF(VLOOKUP(C2649,' Disaggregation - Section E '!A$618:J2975,9,0)="","",VLOOKUP(C2649,' Disaggregation - Section E '!A$618:J2975,9,0)),"")</f>
        <v/>
      </c>
      <c r="K2649" s="384" t="str">
        <f ca="1">IFERROR(VLOOKUP(C2649,' Disaggregation - Section E '!A$618:J2975,3,0),"")</f>
        <v/>
      </c>
      <c r="L2649" s="384"/>
      <c r="M2649" s="384" t="str">
        <f ca="1">IFERROR(IF(VLOOKUP(C2649,' Disaggregation - Section E '!A$618:O1778,15,0)=0,"",VLOOKUP(C2649,' Disaggregation - Section E '!A$618:O1778,15,0)),"")</f>
        <v/>
      </c>
      <c r="N2649" s="388" t="str">
        <f ca="1">IFERROR(IF(VLOOKUP(C2649,' Disaggregation - Section E '!A$618:J2975,10,0)=0,"",VLOOKUP(C2649,' Disaggregation - Section E '!A$618:J2975,10,0)),"")</f>
        <v/>
      </c>
      <c r="O2649" s="384"/>
    </row>
    <row r="2650" spans="1:15" x14ac:dyDescent="0.3">
      <c r="A2650" s="384" t="b">
        <f t="shared" ca="1" si="143"/>
        <v>0</v>
      </c>
      <c r="B2650" s="384"/>
      <c r="C2650" s="393" t="str">
        <f ca="1">IF(COUNTA(O$1493:O2650)=1,"",OFFSET(B2648,-COUNTA(O$1493:O2650)+3,1))</f>
        <v>a16Dm000000LZiTIAW</v>
      </c>
      <c r="D2650" s="389"/>
      <c r="E2650" s="386" t="str">
        <f ca="1">IFERROR(IF(VLOOKUP(C2650,' Disaggregation - Section E '!A$618:J2976,7,0)="","",VLOOKUP(C2650,' Disaggregation - Section E '!A$618:J2976,7,0)*100),"")</f>
        <v/>
      </c>
      <c r="F2650" s="388" t="str">
        <f ca="1">IFERROR(VLOOKUP(C2650,' Disaggregation - Section E '!A$618:J2976,5,0),"")</f>
        <v/>
      </c>
      <c r="G2650" s="387" t="str">
        <f ca="1">IFERROR(IF(VLOOKUP(C2650,' Disaggregation - Section E '!A$618:J2976,6,0)="","",VLOOKUP(C2650,' Disaggregation - Section E '!A$618:J2976,6,0)),"")</f>
        <v/>
      </c>
      <c r="H2650" s="387" t="str">
        <f ca="1">IFERROR(IF(INDEX(' Disaggregation - Section E '!F$618:F2976,MATCH(C2650,' Disaggregation - Section E '!A$618:A2976,0)+1,1)&lt;&gt;0,INDEX(' Disaggregation - Section E '!F$618:F2976,MATCH(C2650,' Disaggregation - Section E '!A$618:A2976,0)+1,1),""),"")</f>
        <v/>
      </c>
      <c r="I2650" s="388" t="str">
        <f ca="1">IFERROR(IF(VLOOKUP(C2650,' Disaggregation - Section E '!A$618:J2976,8,0)=0,"",VLOOKUP(C2650,' Disaggregation - Section E '!A$618:J2976,8,0)),"")</f>
        <v/>
      </c>
      <c r="J2650" s="388" t="str">
        <f ca="1">IFERROR(IF(VLOOKUP(C2650,' Disaggregation - Section E '!A$618:J2976,9,0)="","",VLOOKUP(C2650,' Disaggregation - Section E '!A$618:J2976,9,0)),"")</f>
        <v/>
      </c>
      <c r="K2650" s="384" t="str">
        <f ca="1">IFERROR(VLOOKUP(C2650,' Disaggregation - Section E '!A$618:J2976,3,0),"")</f>
        <v/>
      </c>
      <c r="L2650" s="384"/>
      <c r="M2650" s="384" t="str">
        <f ca="1">IFERROR(IF(VLOOKUP(C2650,' Disaggregation - Section E '!A$618:O1779,15,0)=0,"",VLOOKUP(C2650,' Disaggregation - Section E '!A$618:O1779,15,0)),"")</f>
        <v/>
      </c>
      <c r="N2650" s="388" t="str">
        <f ca="1">IFERROR(IF(VLOOKUP(C2650,' Disaggregation - Section E '!A$618:J2976,10,0)=0,"",VLOOKUP(C2650,' Disaggregation - Section E '!A$618:J2976,10,0)),"")</f>
        <v/>
      </c>
      <c r="O2650" s="384"/>
    </row>
    <row r="2651" spans="1:15" x14ac:dyDescent="0.3">
      <c r="A2651" s="384" t="b">
        <f t="shared" ca="1" si="143"/>
        <v>0</v>
      </c>
      <c r="B2651" s="384"/>
      <c r="C2651" s="393" t="str">
        <f ca="1">IF(COUNTA(O$1493:O2651)=1,"",OFFSET(B2649,-COUNTA(O$1493:O2651)+3,1))</f>
        <v>a16Dm000000LZiUIAW</v>
      </c>
      <c r="D2651" s="389"/>
      <c r="E2651" s="386" t="str">
        <f ca="1">IFERROR(IF(VLOOKUP(C2651,' Disaggregation - Section E '!A$618:J2977,7,0)="","",VLOOKUP(C2651,' Disaggregation - Section E '!A$618:J2977,7,0)*100),"")</f>
        <v/>
      </c>
      <c r="F2651" s="388" t="str">
        <f ca="1">IFERROR(VLOOKUP(C2651,' Disaggregation - Section E '!A$618:J2977,5,0),"")</f>
        <v/>
      </c>
      <c r="G2651" s="387" t="str">
        <f ca="1">IFERROR(IF(VLOOKUP(C2651,' Disaggregation - Section E '!A$618:J2977,6,0)="","",VLOOKUP(C2651,' Disaggregation - Section E '!A$618:J2977,6,0)),"")</f>
        <v/>
      </c>
      <c r="H2651" s="387" t="str">
        <f ca="1">IFERROR(IF(INDEX(' Disaggregation - Section E '!F$618:F2977,MATCH(C2651,' Disaggregation - Section E '!A$618:A2977,0)+1,1)&lt;&gt;0,INDEX(' Disaggregation - Section E '!F$618:F2977,MATCH(C2651,' Disaggregation - Section E '!A$618:A2977,0)+1,1),""),"")</f>
        <v/>
      </c>
      <c r="I2651" s="388" t="str">
        <f ca="1">IFERROR(IF(VLOOKUP(C2651,' Disaggregation - Section E '!A$618:J2977,8,0)=0,"",VLOOKUP(C2651,' Disaggregation - Section E '!A$618:J2977,8,0)),"")</f>
        <v/>
      </c>
      <c r="J2651" s="388" t="str">
        <f ca="1">IFERROR(IF(VLOOKUP(C2651,' Disaggregation - Section E '!A$618:J2977,9,0)="","",VLOOKUP(C2651,' Disaggregation - Section E '!A$618:J2977,9,0)),"")</f>
        <v/>
      </c>
      <c r="K2651" s="384" t="str">
        <f ca="1">IFERROR(VLOOKUP(C2651,' Disaggregation - Section E '!A$618:J2977,3,0),"")</f>
        <v/>
      </c>
      <c r="L2651" s="384"/>
      <c r="M2651" s="384" t="str">
        <f ca="1">IFERROR(IF(VLOOKUP(C2651,' Disaggregation - Section E '!A$618:O1780,15,0)=0,"",VLOOKUP(C2651,' Disaggregation - Section E '!A$618:O1780,15,0)),"")</f>
        <v/>
      </c>
      <c r="N2651" s="388" t="str">
        <f ca="1">IFERROR(IF(VLOOKUP(C2651,' Disaggregation - Section E '!A$618:J2977,10,0)=0,"",VLOOKUP(C2651,' Disaggregation - Section E '!A$618:J2977,10,0)),"")</f>
        <v/>
      </c>
      <c r="O2651" s="384"/>
    </row>
    <row r="2652" spans="1:15" x14ac:dyDescent="0.3">
      <c r="A2652" s="384" t="b">
        <f t="shared" ca="1" si="143"/>
        <v>0</v>
      </c>
      <c r="B2652" s="384"/>
      <c r="C2652" s="393" t="str">
        <f ca="1">IF(COUNTA(O$1493:O2652)=1,"",OFFSET(B2650,-COUNTA(O$1493:O2652)+3,1))</f>
        <v>a16Dm000000LZiVIAW</v>
      </c>
      <c r="D2652" s="389"/>
      <c r="E2652" s="386" t="str">
        <f ca="1">IFERROR(IF(VLOOKUP(C2652,' Disaggregation - Section E '!A$618:J2978,7,0)="","",VLOOKUP(C2652,' Disaggregation - Section E '!A$618:J2978,7,0)*100),"")</f>
        <v/>
      </c>
      <c r="F2652" s="388" t="str">
        <f ca="1">IFERROR(VLOOKUP(C2652,' Disaggregation - Section E '!A$618:J2978,5,0),"")</f>
        <v/>
      </c>
      <c r="G2652" s="387" t="str">
        <f ca="1">IFERROR(IF(VLOOKUP(C2652,' Disaggregation - Section E '!A$618:J2978,6,0)="","",VLOOKUP(C2652,' Disaggregation - Section E '!A$618:J2978,6,0)),"")</f>
        <v/>
      </c>
      <c r="H2652" s="387" t="str">
        <f ca="1">IFERROR(IF(INDEX(' Disaggregation - Section E '!F$618:F2978,MATCH(C2652,' Disaggregation - Section E '!A$618:A2978,0)+1,1)&lt;&gt;0,INDEX(' Disaggregation - Section E '!F$618:F2978,MATCH(C2652,' Disaggregation - Section E '!A$618:A2978,0)+1,1),""),"")</f>
        <v/>
      </c>
      <c r="I2652" s="388" t="str">
        <f ca="1">IFERROR(IF(VLOOKUP(C2652,' Disaggregation - Section E '!A$618:J2978,8,0)=0,"",VLOOKUP(C2652,' Disaggregation - Section E '!A$618:J2978,8,0)),"")</f>
        <v/>
      </c>
      <c r="J2652" s="388" t="str">
        <f ca="1">IFERROR(IF(VLOOKUP(C2652,' Disaggregation - Section E '!A$618:J2978,9,0)="","",VLOOKUP(C2652,' Disaggregation - Section E '!A$618:J2978,9,0)),"")</f>
        <v/>
      </c>
      <c r="K2652" s="384" t="str">
        <f ca="1">IFERROR(VLOOKUP(C2652,' Disaggregation - Section E '!A$618:J2978,3,0),"")</f>
        <v/>
      </c>
      <c r="L2652" s="384"/>
      <c r="M2652" s="384" t="str">
        <f ca="1">IFERROR(IF(VLOOKUP(C2652,' Disaggregation - Section E '!A$618:O1781,15,0)=0,"",VLOOKUP(C2652,' Disaggregation - Section E '!A$618:O1781,15,0)),"")</f>
        <v/>
      </c>
      <c r="N2652" s="388" t="str">
        <f ca="1">IFERROR(IF(VLOOKUP(C2652,' Disaggregation - Section E '!A$618:J2978,10,0)=0,"",VLOOKUP(C2652,' Disaggregation - Section E '!A$618:J2978,10,0)),"")</f>
        <v/>
      </c>
      <c r="O2652" s="384"/>
    </row>
    <row r="2653" spans="1:15" x14ac:dyDescent="0.3">
      <c r="A2653" s="384" t="b">
        <f t="shared" ca="1" si="143"/>
        <v>0</v>
      </c>
      <c r="B2653" s="384"/>
      <c r="C2653" s="393" t="str">
        <f ca="1">IF(COUNTA(O$1493:O2653)=1,"",OFFSET(B2651,-COUNTA(O$1493:O2653)+3,1))</f>
        <v>a16Dm000000LZiWIAW</v>
      </c>
      <c r="D2653" s="389"/>
      <c r="E2653" s="386" t="str">
        <f ca="1">IFERROR(IF(VLOOKUP(C2653,' Disaggregation - Section E '!A$618:J2979,7,0)="","",VLOOKUP(C2653,' Disaggregation - Section E '!A$618:J2979,7,0)*100),"")</f>
        <v/>
      </c>
      <c r="F2653" s="388" t="str">
        <f ca="1">IFERROR(VLOOKUP(C2653,' Disaggregation - Section E '!A$618:J2979,5,0),"")</f>
        <v/>
      </c>
      <c r="G2653" s="387" t="str">
        <f ca="1">IFERROR(IF(VLOOKUP(C2653,' Disaggregation - Section E '!A$618:J2979,6,0)="","",VLOOKUP(C2653,' Disaggregation - Section E '!A$618:J2979,6,0)),"")</f>
        <v/>
      </c>
      <c r="H2653" s="387" t="str">
        <f ca="1">IFERROR(IF(INDEX(' Disaggregation - Section E '!F$618:F2979,MATCH(C2653,' Disaggregation - Section E '!A$618:A2979,0)+1,1)&lt;&gt;0,INDEX(' Disaggregation - Section E '!F$618:F2979,MATCH(C2653,' Disaggregation - Section E '!A$618:A2979,0)+1,1),""),"")</f>
        <v/>
      </c>
      <c r="I2653" s="388" t="str">
        <f ca="1">IFERROR(IF(VLOOKUP(C2653,' Disaggregation - Section E '!A$618:J2979,8,0)=0,"",VLOOKUP(C2653,' Disaggregation - Section E '!A$618:J2979,8,0)),"")</f>
        <v/>
      </c>
      <c r="J2653" s="388" t="str">
        <f ca="1">IFERROR(IF(VLOOKUP(C2653,' Disaggregation - Section E '!A$618:J2979,9,0)="","",VLOOKUP(C2653,' Disaggregation - Section E '!A$618:J2979,9,0)),"")</f>
        <v/>
      </c>
      <c r="K2653" s="384" t="str">
        <f ca="1">IFERROR(VLOOKUP(C2653,' Disaggregation - Section E '!A$618:J2979,3,0),"")</f>
        <v/>
      </c>
      <c r="L2653" s="384"/>
      <c r="M2653" s="384" t="str">
        <f ca="1">IFERROR(IF(VLOOKUP(C2653,' Disaggregation - Section E '!A$618:O1782,15,0)=0,"",VLOOKUP(C2653,' Disaggregation - Section E '!A$618:O1782,15,0)),"")</f>
        <v/>
      </c>
      <c r="N2653" s="388" t="str">
        <f ca="1">IFERROR(IF(VLOOKUP(C2653,' Disaggregation - Section E '!A$618:J2979,10,0)=0,"",VLOOKUP(C2653,' Disaggregation - Section E '!A$618:J2979,10,0)),"")</f>
        <v/>
      </c>
      <c r="O2653" s="384"/>
    </row>
    <row r="2654" spans="1:15" x14ac:dyDescent="0.3">
      <c r="A2654" s="384" t="b">
        <f t="shared" ca="1" si="143"/>
        <v>0</v>
      </c>
      <c r="B2654" s="384"/>
      <c r="C2654" s="393" t="str">
        <f ca="1">IF(COUNTA(O$1493:O2654)=1,"",OFFSET(B2652,-COUNTA(O$1493:O2654)+3,1))</f>
        <v>a16Dm000000LZiXIAW</v>
      </c>
      <c r="D2654" s="389"/>
      <c r="E2654" s="386" t="str">
        <f ca="1">IFERROR(IF(VLOOKUP(C2654,' Disaggregation - Section E '!A$618:J2980,7,0)="","",VLOOKUP(C2654,' Disaggregation - Section E '!A$618:J2980,7,0)*100),"")</f>
        <v/>
      </c>
      <c r="F2654" s="388" t="str">
        <f ca="1">IFERROR(VLOOKUP(C2654,' Disaggregation - Section E '!A$618:J2980,5,0),"")</f>
        <v/>
      </c>
      <c r="G2654" s="387" t="str">
        <f ca="1">IFERROR(IF(VLOOKUP(C2654,' Disaggregation - Section E '!A$618:J2980,6,0)="","",VLOOKUP(C2654,' Disaggregation - Section E '!A$618:J2980,6,0)),"")</f>
        <v/>
      </c>
      <c r="H2654" s="387" t="str">
        <f ca="1">IFERROR(IF(INDEX(' Disaggregation - Section E '!F$618:F2980,MATCH(C2654,' Disaggregation - Section E '!A$618:A2980,0)+1,1)&lt;&gt;0,INDEX(' Disaggregation - Section E '!F$618:F2980,MATCH(C2654,' Disaggregation - Section E '!A$618:A2980,0)+1,1),""),"")</f>
        <v/>
      </c>
      <c r="I2654" s="388" t="str">
        <f ca="1">IFERROR(IF(VLOOKUP(C2654,' Disaggregation - Section E '!A$618:J2980,8,0)=0,"",VLOOKUP(C2654,' Disaggregation - Section E '!A$618:J2980,8,0)),"")</f>
        <v/>
      </c>
      <c r="J2654" s="388" t="str">
        <f ca="1">IFERROR(IF(VLOOKUP(C2654,' Disaggregation - Section E '!A$618:J2980,9,0)="","",VLOOKUP(C2654,' Disaggregation - Section E '!A$618:J2980,9,0)),"")</f>
        <v/>
      </c>
      <c r="K2654" s="384" t="str">
        <f ca="1">IFERROR(VLOOKUP(C2654,' Disaggregation - Section E '!A$618:J2980,3,0),"")</f>
        <v/>
      </c>
      <c r="L2654" s="384"/>
      <c r="M2654" s="384" t="str">
        <f ca="1">IFERROR(IF(VLOOKUP(C2654,' Disaggregation - Section E '!A$618:O1783,15,0)=0,"",VLOOKUP(C2654,' Disaggregation - Section E '!A$618:O1783,15,0)),"")</f>
        <v/>
      </c>
      <c r="N2654" s="388" t="str">
        <f ca="1">IFERROR(IF(VLOOKUP(C2654,' Disaggregation - Section E '!A$618:J2980,10,0)=0,"",VLOOKUP(C2654,' Disaggregation - Section E '!A$618:J2980,10,0)),"")</f>
        <v/>
      </c>
      <c r="O2654" s="384"/>
    </row>
    <row r="2655" spans="1:15" x14ac:dyDescent="0.3">
      <c r="A2655" s="384" t="b">
        <f t="shared" ca="1" si="143"/>
        <v>0</v>
      </c>
      <c r="B2655" s="384"/>
      <c r="C2655" s="393" t="str">
        <f ca="1">IF(COUNTA(O$1493:O2655)=1,"",OFFSET(B2653,-COUNTA(O$1493:O2655)+3,1))</f>
        <v>a16Dm000000LZiYIAW</v>
      </c>
      <c r="D2655" s="389"/>
      <c r="E2655" s="386" t="str">
        <f ca="1">IFERROR(IF(VLOOKUP(C2655,' Disaggregation - Section E '!A$618:J2981,7,0)="","",VLOOKUP(C2655,' Disaggregation - Section E '!A$618:J2981,7,0)*100),"")</f>
        <v/>
      </c>
      <c r="F2655" s="388" t="str">
        <f ca="1">IFERROR(VLOOKUP(C2655,' Disaggregation - Section E '!A$618:J2981,5,0),"")</f>
        <v/>
      </c>
      <c r="G2655" s="387" t="str">
        <f ca="1">IFERROR(IF(VLOOKUP(C2655,' Disaggregation - Section E '!A$618:J2981,6,0)="","",VLOOKUP(C2655,' Disaggregation - Section E '!A$618:J2981,6,0)),"")</f>
        <v/>
      </c>
      <c r="H2655" s="387" t="str">
        <f ca="1">IFERROR(IF(INDEX(' Disaggregation - Section E '!F$618:F2981,MATCH(C2655,' Disaggregation - Section E '!A$618:A2981,0)+1,1)&lt;&gt;0,INDEX(' Disaggregation - Section E '!F$618:F2981,MATCH(C2655,' Disaggregation - Section E '!A$618:A2981,0)+1,1),""),"")</f>
        <v/>
      </c>
      <c r="I2655" s="388" t="str">
        <f ca="1">IFERROR(IF(VLOOKUP(C2655,' Disaggregation - Section E '!A$618:J2981,8,0)=0,"",VLOOKUP(C2655,' Disaggregation - Section E '!A$618:J2981,8,0)),"")</f>
        <v/>
      </c>
      <c r="J2655" s="388" t="str">
        <f ca="1">IFERROR(IF(VLOOKUP(C2655,' Disaggregation - Section E '!A$618:J2981,9,0)="","",VLOOKUP(C2655,' Disaggregation - Section E '!A$618:J2981,9,0)),"")</f>
        <v/>
      </c>
      <c r="K2655" s="384" t="str">
        <f ca="1">IFERROR(VLOOKUP(C2655,' Disaggregation - Section E '!A$618:J2981,3,0),"")</f>
        <v/>
      </c>
      <c r="L2655" s="384"/>
      <c r="M2655" s="384" t="str">
        <f ca="1">IFERROR(IF(VLOOKUP(C2655,' Disaggregation - Section E '!A$618:O1784,15,0)=0,"",VLOOKUP(C2655,' Disaggregation - Section E '!A$618:O1784,15,0)),"")</f>
        <v/>
      </c>
      <c r="N2655" s="388" t="str">
        <f ca="1">IFERROR(IF(VLOOKUP(C2655,' Disaggregation - Section E '!A$618:J2981,10,0)=0,"",VLOOKUP(C2655,' Disaggregation - Section E '!A$618:J2981,10,0)),"")</f>
        <v/>
      </c>
      <c r="O2655" s="384"/>
    </row>
    <row r="2656" spans="1:15" x14ac:dyDescent="0.3">
      <c r="A2656" s="384" t="b">
        <f t="shared" ca="1" si="143"/>
        <v>0</v>
      </c>
      <c r="B2656" s="384"/>
      <c r="C2656" s="393" t="str">
        <f ca="1">IF(COUNTA(O$1493:O2656)=1,"",OFFSET(B2654,-COUNTA(O$1493:O2656)+3,1))</f>
        <v>a16Dm000000LZiZIAW</v>
      </c>
      <c r="D2656" s="389"/>
      <c r="E2656" s="386" t="str">
        <f ca="1">IFERROR(IF(VLOOKUP(C2656,' Disaggregation - Section E '!A$618:J2982,7,0)="","",VLOOKUP(C2656,' Disaggregation - Section E '!A$618:J2982,7,0)*100),"")</f>
        <v/>
      </c>
      <c r="F2656" s="388" t="str">
        <f ca="1">IFERROR(VLOOKUP(C2656,' Disaggregation - Section E '!A$618:J2982,5,0),"")</f>
        <v/>
      </c>
      <c r="G2656" s="387" t="str">
        <f ca="1">IFERROR(IF(VLOOKUP(C2656,' Disaggregation - Section E '!A$618:J2982,6,0)="","",VLOOKUP(C2656,' Disaggregation - Section E '!A$618:J2982,6,0)),"")</f>
        <v/>
      </c>
      <c r="H2656" s="387" t="str">
        <f ca="1">IFERROR(IF(INDEX(' Disaggregation - Section E '!F$618:F2982,MATCH(C2656,' Disaggregation - Section E '!A$618:A2982,0)+1,1)&lt;&gt;0,INDEX(' Disaggregation - Section E '!F$618:F2982,MATCH(C2656,' Disaggregation - Section E '!A$618:A2982,0)+1,1),""),"")</f>
        <v/>
      </c>
      <c r="I2656" s="388" t="str">
        <f ca="1">IFERROR(IF(VLOOKUP(C2656,' Disaggregation - Section E '!A$618:J2982,8,0)=0,"",VLOOKUP(C2656,' Disaggregation - Section E '!A$618:J2982,8,0)),"")</f>
        <v/>
      </c>
      <c r="J2656" s="388" t="str">
        <f ca="1">IFERROR(IF(VLOOKUP(C2656,' Disaggregation - Section E '!A$618:J2982,9,0)="","",VLOOKUP(C2656,' Disaggregation - Section E '!A$618:J2982,9,0)),"")</f>
        <v/>
      </c>
      <c r="K2656" s="384" t="str">
        <f ca="1">IFERROR(VLOOKUP(C2656,' Disaggregation - Section E '!A$618:J2982,3,0),"")</f>
        <v/>
      </c>
      <c r="L2656" s="384"/>
      <c r="M2656" s="384" t="str">
        <f ca="1">IFERROR(IF(VLOOKUP(C2656,' Disaggregation - Section E '!A$618:O1785,15,0)=0,"",VLOOKUP(C2656,' Disaggregation - Section E '!A$618:O1785,15,0)),"")</f>
        <v/>
      </c>
      <c r="N2656" s="388" t="str">
        <f ca="1">IFERROR(IF(VLOOKUP(C2656,' Disaggregation - Section E '!A$618:J2982,10,0)=0,"",VLOOKUP(C2656,' Disaggregation - Section E '!A$618:J2982,10,0)),"")</f>
        <v/>
      </c>
      <c r="O2656" s="384"/>
    </row>
    <row r="2657" spans="1:15" x14ac:dyDescent="0.3">
      <c r="A2657" s="384" t="b">
        <f t="shared" ca="1" si="143"/>
        <v>0</v>
      </c>
      <c r="B2657" s="384"/>
      <c r="C2657" s="393" t="str">
        <f ca="1">IF(COUNTA(O$1493:O2657)=1,"",OFFSET(B2655,-COUNTA(O$1493:O2657)+3,1))</f>
        <v>a16Dm000000LZiaIAG</v>
      </c>
      <c r="D2657" s="389"/>
      <c r="E2657" s="386" t="str">
        <f ca="1">IFERROR(IF(VLOOKUP(C2657,' Disaggregation - Section E '!A$618:J2983,7,0)="","",VLOOKUP(C2657,' Disaggregation - Section E '!A$618:J2983,7,0)*100),"")</f>
        <v/>
      </c>
      <c r="F2657" s="388" t="str">
        <f ca="1">IFERROR(VLOOKUP(C2657,' Disaggregation - Section E '!A$618:J2983,5,0),"")</f>
        <v/>
      </c>
      <c r="G2657" s="387" t="str">
        <f ca="1">IFERROR(IF(VLOOKUP(C2657,' Disaggregation - Section E '!A$618:J2983,6,0)="","",VLOOKUP(C2657,' Disaggregation - Section E '!A$618:J2983,6,0)),"")</f>
        <v/>
      </c>
      <c r="H2657" s="387" t="str">
        <f ca="1">IFERROR(IF(INDEX(' Disaggregation - Section E '!F$618:F2983,MATCH(C2657,' Disaggregation - Section E '!A$618:A2983,0)+1,1)&lt;&gt;0,INDEX(' Disaggregation - Section E '!F$618:F2983,MATCH(C2657,' Disaggregation - Section E '!A$618:A2983,0)+1,1),""),"")</f>
        <v/>
      </c>
      <c r="I2657" s="388" t="str">
        <f ca="1">IFERROR(IF(VLOOKUP(C2657,' Disaggregation - Section E '!A$618:J2983,8,0)=0,"",VLOOKUP(C2657,' Disaggregation - Section E '!A$618:J2983,8,0)),"")</f>
        <v/>
      </c>
      <c r="J2657" s="388" t="str">
        <f ca="1">IFERROR(IF(VLOOKUP(C2657,' Disaggregation - Section E '!A$618:J2983,9,0)="","",VLOOKUP(C2657,' Disaggregation - Section E '!A$618:J2983,9,0)),"")</f>
        <v/>
      </c>
      <c r="K2657" s="384" t="str">
        <f ca="1">IFERROR(VLOOKUP(C2657,' Disaggregation - Section E '!A$618:J2983,3,0),"")</f>
        <v/>
      </c>
      <c r="L2657" s="384"/>
      <c r="M2657" s="384" t="str">
        <f ca="1">IFERROR(IF(VLOOKUP(C2657,' Disaggregation - Section E '!A$618:O1786,15,0)=0,"",VLOOKUP(C2657,' Disaggregation - Section E '!A$618:O1786,15,0)),"")</f>
        <v/>
      </c>
      <c r="N2657" s="388" t="str">
        <f ca="1">IFERROR(IF(VLOOKUP(C2657,' Disaggregation - Section E '!A$618:J2983,10,0)=0,"",VLOOKUP(C2657,' Disaggregation - Section E '!A$618:J2983,10,0)),"")</f>
        <v/>
      </c>
      <c r="O2657" s="384"/>
    </row>
    <row r="2658" spans="1:15" x14ac:dyDescent="0.3">
      <c r="A2658" s="384" t="b">
        <f t="shared" ca="1" si="143"/>
        <v>0</v>
      </c>
      <c r="B2658" s="384"/>
      <c r="C2658" s="393" t="str">
        <f ca="1">IF(COUNTA(O$1493:O2658)=1,"",OFFSET(B2656,-COUNTA(O$1493:O2658)+3,1))</f>
        <v>a16Dm000000LZibIAG</v>
      </c>
      <c r="D2658" s="389"/>
      <c r="E2658" s="386" t="str">
        <f ca="1">IFERROR(IF(VLOOKUP(C2658,' Disaggregation - Section E '!A$618:J2984,7,0)="","",VLOOKUP(C2658,' Disaggregation - Section E '!A$618:J2984,7,0)*100),"")</f>
        <v/>
      </c>
      <c r="F2658" s="388" t="str">
        <f ca="1">IFERROR(VLOOKUP(C2658,' Disaggregation - Section E '!A$618:J2984,5,0),"")</f>
        <v/>
      </c>
      <c r="G2658" s="387" t="str">
        <f ca="1">IFERROR(IF(VLOOKUP(C2658,' Disaggregation - Section E '!A$618:J2984,6,0)="","",VLOOKUP(C2658,' Disaggregation - Section E '!A$618:J2984,6,0)),"")</f>
        <v/>
      </c>
      <c r="H2658" s="387" t="str">
        <f ca="1">IFERROR(IF(INDEX(' Disaggregation - Section E '!F$618:F2984,MATCH(C2658,' Disaggregation - Section E '!A$618:A2984,0)+1,1)&lt;&gt;0,INDEX(' Disaggregation - Section E '!F$618:F2984,MATCH(C2658,' Disaggregation - Section E '!A$618:A2984,0)+1,1),""),"")</f>
        <v/>
      </c>
      <c r="I2658" s="388" t="str">
        <f ca="1">IFERROR(IF(VLOOKUP(C2658,' Disaggregation - Section E '!A$618:J2984,8,0)=0,"",VLOOKUP(C2658,' Disaggregation - Section E '!A$618:J2984,8,0)),"")</f>
        <v/>
      </c>
      <c r="J2658" s="388" t="str">
        <f ca="1">IFERROR(IF(VLOOKUP(C2658,' Disaggregation - Section E '!A$618:J2984,9,0)="","",VLOOKUP(C2658,' Disaggregation - Section E '!A$618:J2984,9,0)),"")</f>
        <v/>
      </c>
      <c r="K2658" s="384" t="str">
        <f ca="1">IFERROR(VLOOKUP(C2658,' Disaggregation - Section E '!A$618:J2984,3,0),"")</f>
        <v/>
      </c>
      <c r="L2658" s="384"/>
      <c r="M2658" s="384" t="str">
        <f ca="1">IFERROR(IF(VLOOKUP(C2658,' Disaggregation - Section E '!A$618:O1787,15,0)=0,"",VLOOKUP(C2658,' Disaggregation - Section E '!A$618:O1787,15,0)),"")</f>
        <v/>
      </c>
      <c r="N2658" s="388" t="str">
        <f ca="1">IFERROR(IF(VLOOKUP(C2658,' Disaggregation - Section E '!A$618:J2984,10,0)=0,"",VLOOKUP(C2658,' Disaggregation - Section E '!A$618:J2984,10,0)),"")</f>
        <v/>
      </c>
      <c r="O2658" s="384"/>
    </row>
    <row r="2659" spans="1:15" x14ac:dyDescent="0.3">
      <c r="A2659" s="384" t="b">
        <f t="shared" ca="1" si="143"/>
        <v>0</v>
      </c>
      <c r="B2659" s="384"/>
      <c r="C2659" s="393" t="str">
        <f ca="1">IF(COUNTA(O$1493:O2659)=1,"",OFFSET(B2657,-COUNTA(O$1493:O2659)+3,1))</f>
        <v>a16Dm000000LZicIAG</v>
      </c>
      <c r="D2659" s="389"/>
      <c r="E2659" s="386" t="str">
        <f ca="1">IFERROR(IF(VLOOKUP(C2659,' Disaggregation - Section E '!A$618:J2985,7,0)="","",VLOOKUP(C2659,' Disaggregation - Section E '!A$618:J2985,7,0)*100),"")</f>
        <v/>
      </c>
      <c r="F2659" s="388" t="str">
        <f ca="1">IFERROR(VLOOKUP(C2659,' Disaggregation - Section E '!A$618:J2985,5,0),"")</f>
        <v/>
      </c>
      <c r="G2659" s="387" t="str">
        <f ca="1">IFERROR(IF(VLOOKUP(C2659,' Disaggregation - Section E '!A$618:J2985,6,0)="","",VLOOKUP(C2659,' Disaggregation - Section E '!A$618:J2985,6,0)),"")</f>
        <v/>
      </c>
      <c r="H2659" s="387" t="str">
        <f ca="1">IFERROR(IF(INDEX(' Disaggregation - Section E '!F$618:F2985,MATCH(C2659,' Disaggregation - Section E '!A$618:A2985,0)+1,1)&lt;&gt;0,INDEX(' Disaggregation - Section E '!F$618:F2985,MATCH(C2659,' Disaggregation - Section E '!A$618:A2985,0)+1,1),""),"")</f>
        <v/>
      </c>
      <c r="I2659" s="388" t="str">
        <f ca="1">IFERROR(IF(VLOOKUP(C2659,' Disaggregation - Section E '!A$618:J2985,8,0)=0,"",VLOOKUP(C2659,' Disaggregation - Section E '!A$618:J2985,8,0)),"")</f>
        <v/>
      </c>
      <c r="J2659" s="388" t="str">
        <f ca="1">IFERROR(IF(VLOOKUP(C2659,' Disaggregation - Section E '!A$618:J2985,9,0)="","",VLOOKUP(C2659,' Disaggregation - Section E '!A$618:J2985,9,0)),"")</f>
        <v/>
      </c>
      <c r="K2659" s="384" t="str">
        <f ca="1">IFERROR(VLOOKUP(C2659,' Disaggregation - Section E '!A$618:J2985,3,0),"")</f>
        <v/>
      </c>
      <c r="L2659" s="384"/>
      <c r="M2659" s="384" t="str">
        <f ca="1">IFERROR(IF(VLOOKUP(C2659,' Disaggregation - Section E '!A$618:O1788,15,0)=0,"",VLOOKUP(C2659,' Disaggregation - Section E '!A$618:O1788,15,0)),"")</f>
        <v/>
      </c>
      <c r="N2659" s="388" t="str">
        <f ca="1">IFERROR(IF(VLOOKUP(C2659,' Disaggregation - Section E '!A$618:J2985,10,0)=0,"",VLOOKUP(C2659,' Disaggregation - Section E '!A$618:J2985,10,0)),"")</f>
        <v/>
      </c>
      <c r="O2659" s="384"/>
    </row>
    <row r="2660" spans="1:15" x14ac:dyDescent="0.3">
      <c r="A2660" s="384" t="b">
        <f t="shared" ca="1" si="143"/>
        <v>0</v>
      </c>
      <c r="B2660" s="384"/>
      <c r="C2660" s="393" t="str">
        <f ca="1">IF(COUNTA(O$1493:O2660)=1,"",OFFSET(B2658,-COUNTA(O$1493:O2660)+3,1))</f>
        <v>a16Dm000000LZidIAG</v>
      </c>
      <c r="D2660" s="389"/>
      <c r="E2660" s="386" t="str">
        <f ca="1">IFERROR(IF(VLOOKUP(C2660,' Disaggregation - Section E '!A$618:J2986,7,0)="","",VLOOKUP(C2660,' Disaggregation - Section E '!A$618:J2986,7,0)*100),"")</f>
        <v/>
      </c>
      <c r="F2660" s="388" t="str">
        <f ca="1">IFERROR(VLOOKUP(C2660,' Disaggregation - Section E '!A$618:J2986,5,0),"")</f>
        <v/>
      </c>
      <c r="G2660" s="387" t="str">
        <f ca="1">IFERROR(IF(VLOOKUP(C2660,' Disaggregation - Section E '!A$618:J2986,6,0)="","",VLOOKUP(C2660,' Disaggregation - Section E '!A$618:J2986,6,0)),"")</f>
        <v/>
      </c>
      <c r="H2660" s="387" t="str">
        <f ca="1">IFERROR(IF(INDEX(' Disaggregation - Section E '!F$618:F2986,MATCH(C2660,' Disaggregation - Section E '!A$618:A2986,0)+1,1)&lt;&gt;0,INDEX(' Disaggregation - Section E '!F$618:F2986,MATCH(C2660,' Disaggregation - Section E '!A$618:A2986,0)+1,1),""),"")</f>
        <v/>
      </c>
      <c r="I2660" s="388" t="str">
        <f ca="1">IFERROR(IF(VLOOKUP(C2660,' Disaggregation - Section E '!A$618:J2986,8,0)=0,"",VLOOKUP(C2660,' Disaggregation - Section E '!A$618:J2986,8,0)),"")</f>
        <v/>
      </c>
      <c r="J2660" s="388" t="str">
        <f ca="1">IFERROR(IF(VLOOKUP(C2660,' Disaggregation - Section E '!A$618:J2986,9,0)="","",VLOOKUP(C2660,' Disaggregation - Section E '!A$618:J2986,9,0)),"")</f>
        <v/>
      </c>
      <c r="K2660" s="384" t="str">
        <f ca="1">IFERROR(VLOOKUP(C2660,' Disaggregation - Section E '!A$618:J2986,3,0),"")</f>
        <v/>
      </c>
      <c r="L2660" s="384"/>
      <c r="M2660" s="384" t="str">
        <f ca="1">IFERROR(IF(VLOOKUP(C2660,' Disaggregation - Section E '!A$618:O1789,15,0)=0,"",VLOOKUP(C2660,' Disaggregation - Section E '!A$618:O1789,15,0)),"")</f>
        <v/>
      </c>
      <c r="N2660" s="388" t="str">
        <f ca="1">IFERROR(IF(VLOOKUP(C2660,' Disaggregation - Section E '!A$618:J2986,10,0)=0,"",VLOOKUP(C2660,' Disaggregation - Section E '!A$618:J2986,10,0)),"")</f>
        <v/>
      </c>
      <c r="O2660" s="384"/>
    </row>
    <row r="2661" spans="1:15" x14ac:dyDescent="0.3">
      <c r="A2661" s="384" t="b">
        <f t="shared" ca="1" si="143"/>
        <v>0</v>
      </c>
      <c r="B2661" s="384"/>
      <c r="C2661" s="393" t="str">
        <f ca="1">IF(COUNTA(O$1493:O2661)=1,"",OFFSET(B2659,-COUNTA(O$1493:O2661)+3,1))</f>
        <v>a16Dm000000LZieIAG</v>
      </c>
      <c r="D2661" s="389"/>
      <c r="E2661" s="386" t="str">
        <f ca="1">IFERROR(IF(VLOOKUP(C2661,' Disaggregation - Section E '!A$618:J2987,7,0)="","",VLOOKUP(C2661,' Disaggregation - Section E '!A$618:J2987,7,0)*100),"")</f>
        <v/>
      </c>
      <c r="F2661" s="388" t="str">
        <f ca="1">IFERROR(VLOOKUP(C2661,' Disaggregation - Section E '!A$618:J2987,5,0),"")</f>
        <v/>
      </c>
      <c r="G2661" s="387" t="str">
        <f ca="1">IFERROR(IF(VLOOKUP(C2661,' Disaggregation - Section E '!A$618:J2987,6,0)="","",VLOOKUP(C2661,' Disaggregation - Section E '!A$618:J2987,6,0)),"")</f>
        <v/>
      </c>
      <c r="H2661" s="387" t="str">
        <f ca="1">IFERROR(IF(INDEX(' Disaggregation - Section E '!F$618:F2987,MATCH(C2661,' Disaggregation - Section E '!A$618:A2987,0)+1,1)&lt;&gt;0,INDEX(' Disaggregation - Section E '!F$618:F2987,MATCH(C2661,' Disaggregation - Section E '!A$618:A2987,0)+1,1),""),"")</f>
        <v/>
      </c>
      <c r="I2661" s="388" t="str">
        <f ca="1">IFERROR(IF(VLOOKUP(C2661,' Disaggregation - Section E '!A$618:J2987,8,0)=0,"",VLOOKUP(C2661,' Disaggregation - Section E '!A$618:J2987,8,0)),"")</f>
        <v/>
      </c>
      <c r="J2661" s="388" t="str">
        <f ca="1">IFERROR(IF(VLOOKUP(C2661,' Disaggregation - Section E '!A$618:J2987,9,0)="","",VLOOKUP(C2661,' Disaggregation - Section E '!A$618:J2987,9,0)),"")</f>
        <v/>
      </c>
      <c r="K2661" s="384" t="str">
        <f ca="1">IFERROR(VLOOKUP(C2661,' Disaggregation - Section E '!A$618:J2987,3,0),"")</f>
        <v/>
      </c>
      <c r="L2661" s="384"/>
      <c r="M2661" s="384" t="str">
        <f ca="1">IFERROR(IF(VLOOKUP(C2661,' Disaggregation - Section E '!A$618:O1790,15,0)=0,"",VLOOKUP(C2661,' Disaggregation - Section E '!A$618:O1790,15,0)),"")</f>
        <v/>
      </c>
      <c r="N2661" s="388" t="str">
        <f ca="1">IFERROR(IF(VLOOKUP(C2661,' Disaggregation - Section E '!A$618:J2987,10,0)=0,"",VLOOKUP(C2661,' Disaggregation - Section E '!A$618:J2987,10,0)),"")</f>
        <v/>
      </c>
      <c r="O2661" s="384"/>
    </row>
    <row r="2662" spans="1:15" x14ac:dyDescent="0.3">
      <c r="A2662" s="384" t="b">
        <f t="shared" ca="1" si="143"/>
        <v>0</v>
      </c>
      <c r="B2662" s="384"/>
      <c r="C2662" s="393" t="str">
        <f ca="1">IF(COUNTA(O$1493:O2662)=1,"",OFFSET(B2660,-COUNTA(O$1493:O2662)+3,1))</f>
        <v>a16Dm000000LZifIAG</v>
      </c>
      <c r="D2662" s="389"/>
      <c r="E2662" s="386" t="str">
        <f ca="1">IFERROR(IF(VLOOKUP(C2662,' Disaggregation - Section E '!A$618:J2988,7,0)="","",VLOOKUP(C2662,' Disaggregation - Section E '!A$618:J2988,7,0)*100),"")</f>
        <v/>
      </c>
      <c r="F2662" s="388" t="str">
        <f ca="1">IFERROR(VLOOKUP(C2662,' Disaggregation - Section E '!A$618:J2988,5,0),"")</f>
        <v/>
      </c>
      <c r="G2662" s="387" t="str">
        <f ca="1">IFERROR(IF(VLOOKUP(C2662,' Disaggregation - Section E '!A$618:J2988,6,0)="","",VLOOKUP(C2662,' Disaggregation - Section E '!A$618:J2988,6,0)),"")</f>
        <v/>
      </c>
      <c r="H2662" s="387" t="str">
        <f ca="1">IFERROR(IF(INDEX(' Disaggregation - Section E '!F$618:F2988,MATCH(C2662,' Disaggregation - Section E '!A$618:A2988,0)+1,1)&lt;&gt;0,INDEX(' Disaggregation - Section E '!F$618:F2988,MATCH(C2662,' Disaggregation - Section E '!A$618:A2988,0)+1,1),""),"")</f>
        <v/>
      </c>
      <c r="I2662" s="388" t="str">
        <f ca="1">IFERROR(IF(VLOOKUP(C2662,' Disaggregation - Section E '!A$618:J2988,8,0)=0,"",VLOOKUP(C2662,' Disaggregation - Section E '!A$618:J2988,8,0)),"")</f>
        <v/>
      </c>
      <c r="J2662" s="388" t="str">
        <f ca="1">IFERROR(IF(VLOOKUP(C2662,' Disaggregation - Section E '!A$618:J2988,9,0)="","",VLOOKUP(C2662,' Disaggregation - Section E '!A$618:J2988,9,0)),"")</f>
        <v/>
      </c>
      <c r="K2662" s="384" t="str">
        <f ca="1">IFERROR(VLOOKUP(C2662,' Disaggregation - Section E '!A$618:J2988,3,0),"")</f>
        <v/>
      </c>
      <c r="L2662" s="384"/>
      <c r="M2662" s="384" t="str">
        <f ca="1">IFERROR(IF(VLOOKUP(C2662,' Disaggregation - Section E '!A$618:O1791,15,0)=0,"",VLOOKUP(C2662,' Disaggregation - Section E '!A$618:O1791,15,0)),"")</f>
        <v/>
      </c>
      <c r="N2662" s="388" t="str">
        <f ca="1">IFERROR(IF(VLOOKUP(C2662,' Disaggregation - Section E '!A$618:J2988,10,0)=0,"",VLOOKUP(C2662,' Disaggregation - Section E '!A$618:J2988,10,0)),"")</f>
        <v/>
      </c>
      <c r="O2662" s="384"/>
    </row>
    <row r="2663" spans="1:15" x14ac:dyDescent="0.3">
      <c r="A2663" s="384" t="b">
        <f t="shared" ca="1" si="143"/>
        <v>0</v>
      </c>
      <c r="B2663" s="384"/>
      <c r="C2663" s="393" t="str">
        <f ca="1">IF(COUNTA(O$1493:O2663)=1,"",OFFSET(B2661,-COUNTA(O$1493:O2663)+3,1))</f>
        <v>a16Dm000000LZigIAG</v>
      </c>
      <c r="D2663" s="389"/>
      <c r="E2663" s="386" t="str">
        <f ca="1">IFERROR(IF(VLOOKUP(C2663,' Disaggregation - Section E '!A$618:J2989,7,0)="","",VLOOKUP(C2663,' Disaggregation - Section E '!A$618:J2989,7,0)*100),"")</f>
        <v/>
      </c>
      <c r="F2663" s="388" t="str">
        <f ca="1">IFERROR(VLOOKUP(C2663,' Disaggregation - Section E '!A$618:J2989,5,0),"")</f>
        <v/>
      </c>
      <c r="G2663" s="387" t="str">
        <f ca="1">IFERROR(IF(VLOOKUP(C2663,' Disaggregation - Section E '!A$618:J2989,6,0)="","",VLOOKUP(C2663,' Disaggregation - Section E '!A$618:J2989,6,0)),"")</f>
        <v/>
      </c>
      <c r="H2663" s="387" t="str">
        <f ca="1">IFERROR(IF(INDEX(' Disaggregation - Section E '!F$618:F2989,MATCH(C2663,' Disaggregation - Section E '!A$618:A2989,0)+1,1)&lt;&gt;0,INDEX(' Disaggregation - Section E '!F$618:F2989,MATCH(C2663,' Disaggregation - Section E '!A$618:A2989,0)+1,1),""),"")</f>
        <v/>
      </c>
      <c r="I2663" s="388" t="str">
        <f ca="1">IFERROR(IF(VLOOKUP(C2663,' Disaggregation - Section E '!A$618:J2989,8,0)=0,"",VLOOKUP(C2663,' Disaggregation - Section E '!A$618:J2989,8,0)),"")</f>
        <v/>
      </c>
      <c r="J2663" s="388" t="str">
        <f ca="1">IFERROR(IF(VLOOKUP(C2663,' Disaggregation - Section E '!A$618:J2989,9,0)="","",VLOOKUP(C2663,' Disaggregation - Section E '!A$618:J2989,9,0)),"")</f>
        <v/>
      </c>
      <c r="K2663" s="384" t="str">
        <f ca="1">IFERROR(VLOOKUP(C2663,' Disaggregation - Section E '!A$618:J2989,3,0),"")</f>
        <v/>
      </c>
      <c r="L2663" s="384"/>
      <c r="M2663" s="384" t="str">
        <f ca="1">IFERROR(IF(VLOOKUP(C2663,' Disaggregation - Section E '!A$618:O1792,15,0)=0,"",VLOOKUP(C2663,' Disaggregation - Section E '!A$618:O1792,15,0)),"")</f>
        <v/>
      </c>
      <c r="N2663" s="388" t="str">
        <f ca="1">IFERROR(IF(VLOOKUP(C2663,' Disaggregation - Section E '!A$618:J2989,10,0)=0,"",VLOOKUP(C2663,' Disaggregation - Section E '!A$618:J2989,10,0)),"")</f>
        <v/>
      </c>
      <c r="O2663" s="384"/>
    </row>
    <row r="2664" spans="1:15" x14ac:dyDescent="0.3">
      <c r="A2664" s="384" t="b">
        <f t="shared" ca="1" si="143"/>
        <v>0</v>
      </c>
      <c r="B2664" s="384"/>
      <c r="C2664" s="393" t="str">
        <f ca="1">IF(COUNTA(O$1493:O2664)=1,"",OFFSET(B2662,-COUNTA(O$1493:O2664)+3,1))</f>
        <v>a16Dm000000LZihIAG</v>
      </c>
      <c r="D2664" s="389"/>
      <c r="E2664" s="386" t="str">
        <f ca="1">IFERROR(IF(VLOOKUP(C2664,' Disaggregation - Section E '!A$618:J2990,7,0)="","",VLOOKUP(C2664,' Disaggregation - Section E '!A$618:J2990,7,0)*100),"")</f>
        <v/>
      </c>
      <c r="F2664" s="388" t="str">
        <f ca="1">IFERROR(VLOOKUP(C2664,' Disaggregation - Section E '!A$618:J2990,5,0),"")</f>
        <v/>
      </c>
      <c r="G2664" s="387" t="str">
        <f ca="1">IFERROR(IF(VLOOKUP(C2664,' Disaggregation - Section E '!A$618:J2990,6,0)="","",VLOOKUP(C2664,' Disaggregation - Section E '!A$618:J2990,6,0)),"")</f>
        <v/>
      </c>
      <c r="H2664" s="387" t="str">
        <f ca="1">IFERROR(IF(INDEX(' Disaggregation - Section E '!F$618:F2990,MATCH(C2664,' Disaggregation - Section E '!A$618:A2990,0)+1,1)&lt;&gt;0,INDEX(' Disaggregation - Section E '!F$618:F2990,MATCH(C2664,' Disaggregation - Section E '!A$618:A2990,0)+1,1),""),"")</f>
        <v/>
      </c>
      <c r="I2664" s="388" t="str">
        <f ca="1">IFERROR(IF(VLOOKUP(C2664,' Disaggregation - Section E '!A$618:J2990,8,0)=0,"",VLOOKUP(C2664,' Disaggregation - Section E '!A$618:J2990,8,0)),"")</f>
        <v/>
      </c>
      <c r="J2664" s="388" t="str">
        <f ca="1">IFERROR(IF(VLOOKUP(C2664,' Disaggregation - Section E '!A$618:J2990,9,0)="","",VLOOKUP(C2664,' Disaggregation - Section E '!A$618:J2990,9,0)),"")</f>
        <v/>
      </c>
      <c r="K2664" s="384" t="str">
        <f ca="1">IFERROR(VLOOKUP(C2664,' Disaggregation - Section E '!A$618:J2990,3,0),"")</f>
        <v/>
      </c>
      <c r="L2664" s="384"/>
      <c r="M2664" s="384" t="str">
        <f ca="1">IFERROR(IF(VLOOKUP(C2664,' Disaggregation - Section E '!A$618:O1793,15,0)=0,"",VLOOKUP(C2664,' Disaggregation - Section E '!A$618:O1793,15,0)),"")</f>
        <v/>
      </c>
      <c r="N2664" s="388" t="str">
        <f ca="1">IFERROR(IF(VLOOKUP(C2664,' Disaggregation - Section E '!A$618:J2990,10,0)=0,"",VLOOKUP(C2664,' Disaggregation - Section E '!A$618:J2990,10,0)),"")</f>
        <v/>
      </c>
      <c r="O2664" s="384"/>
    </row>
    <row r="2665" spans="1:15" x14ac:dyDescent="0.3">
      <c r="A2665" s="384" t="b">
        <f t="shared" ca="1" si="143"/>
        <v>0</v>
      </c>
      <c r="B2665" s="384"/>
      <c r="C2665" s="393" t="str">
        <f ca="1">IF(COUNTA(O$1493:O2665)=1,"",OFFSET(B2663,-COUNTA(O$1493:O2665)+3,1))</f>
        <v>a16Dm000000LZiiIAG</v>
      </c>
      <c r="D2665" s="389"/>
      <c r="E2665" s="386" t="str">
        <f ca="1">IFERROR(IF(VLOOKUP(C2665,' Disaggregation - Section E '!A$618:J2991,7,0)="","",VLOOKUP(C2665,' Disaggregation - Section E '!A$618:J2991,7,0)*100),"")</f>
        <v/>
      </c>
      <c r="F2665" s="388" t="str">
        <f ca="1">IFERROR(VLOOKUP(C2665,' Disaggregation - Section E '!A$618:J2991,5,0),"")</f>
        <v/>
      </c>
      <c r="G2665" s="387" t="str">
        <f ca="1">IFERROR(IF(VLOOKUP(C2665,' Disaggregation - Section E '!A$618:J2991,6,0)="","",VLOOKUP(C2665,' Disaggregation - Section E '!A$618:J2991,6,0)),"")</f>
        <v/>
      </c>
      <c r="H2665" s="387" t="str">
        <f ca="1">IFERROR(IF(INDEX(' Disaggregation - Section E '!F$618:F2991,MATCH(C2665,' Disaggregation - Section E '!A$618:A2991,0)+1,1)&lt;&gt;0,INDEX(' Disaggregation - Section E '!F$618:F2991,MATCH(C2665,' Disaggregation - Section E '!A$618:A2991,0)+1,1),""),"")</f>
        <v/>
      </c>
      <c r="I2665" s="388" t="str">
        <f ca="1">IFERROR(IF(VLOOKUP(C2665,' Disaggregation - Section E '!A$618:J2991,8,0)=0,"",VLOOKUP(C2665,' Disaggregation - Section E '!A$618:J2991,8,0)),"")</f>
        <v/>
      </c>
      <c r="J2665" s="388" t="str">
        <f ca="1">IFERROR(IF(VLOOKUP(C2665,' Disaggregation - Section E '!A$618:J2991,9,0)="","",VLOOKUP(C2665,' Disaggregation - Section E '!A$618:J2991,9,0)),"")</f>
        <v/>
      </c>
      <c r="K2665" s="384" t="str">
        <f ca="1">IFERROR(VLOOKUP(C2665,' Disaggregation - Section E '!A$618:J2991,3,0),"")</f>
        <v/>
      </c>
      <c r="L2665" s="384"/>
      <c r="M2665" s="384" t="str">
        <f ca="1">IFERROR(IF(VLOOKUP(C2665,' Disaggregation - Section E '!A$618:O1794,15,0)=0,"",VLOOKUP(C2665,' Disaggregation - Section E '!A$618:O1794,15,0)),"")</f>
        <v/>
      </c>
      <c r="N2665" s="388" t="str">
        <f ca="1">IFERROR(IF(VLOOKUP(C2665,' Disaggregation - Section E '!A$618:J2991,10,0)=0,"",VLOOKUP(C2665,' Disaggregation - Section E '!A$618:J2991,10,0)),"")</f>
        <v/>
      </c>
      <c r="O2665" s="384"/>
    </row>
    <row r="2666" spans="1:15" x14ac:dyDescent="0.3">
      <c r="A2666" s="384" t="b">
        <f t="shared" ca="1" si="143"/>
        <v>0</v>
      </c>
      <c r="B2666" s="384"/>
      <c r="C2666" s="393" t="str">
        <f ca="1">IF(COUNTA(O$1493:O2666)=1,"",OFFSET(B2664,-COUNTA(O$1493:O2666)+3,1))</f>
        <v>a16Dm000000LZijIAG</v>
      </c>
      <c r="D2666" s="389"/>
      <c r="E2666" s="386" t="str">
        <f ca="1">IFERROR(IF(VLOOKUP(C2666,' Disaggregation - Section E '!A$618:J2992,7,0)="","",VLOOKUP(C2666,' Disaggregation - Section E '!A$618:J2992,7,0)*100),"")</f>
        <v/>
      </c>
      <c r="F2666" s="388" t="str">
        <f ca="1">IFERROR(VLOOKUP(C2666,' Disaggregation - Section E '!A$618:J2992,5,0),"")</f>
        <v/>
      </c>
      <c r="G2666" s="387" t="str">
        <f ca="1">IFERROR(IF(VLOOKUP(C2666,' Disaggregation - Section E '!A$618:J2992,6,0)="","",VLOOKUP(C2666,' Disaggregation - Section E '!A$618:J2992,6,0)),"")</f>
        <v/>
      </c>
      <c r="H2666" s="387" t="str">
        <f ca="1">IFERROR(IF(INDEX(' Disaggregation - Section E '!F$618:F2992,MATCH(C2666,' Disaggregation - Section E '!A$618:A2992,0)+1,1)&lt;&gt;0,INDEX(' Disaggregation - Section E '!F$618:F2992,MATCH(C2666,' Disaggregation - Section E '!A$618:A2992,0)+1,1),""),"")</f>
        <v/>
      </c>
      <c r="I2666" s="388" t="str">
        <f ca="1">IFERROR(IF(VLOOKUP(C2666,' Disaggregation - Section E '!A$618:J2992,8,0)=0,"",VLOOKUP(C2666,' Disaggregation - Section E '!A$618:J2992,8,0)),"")</f>
        <v/>
      </c>
      <c r="J2666" s="388" t="str">
        <f ca="1">IFERROR(IF(VLOOKUP(C2666,' Disaggregation - Section E '!A$618:J2992,9,0)="","",VLOOKUP(C2666,' Disaggregation - Section E '!A$618:J2992,9,0)),"")</f>
        <v/>
      </c>
      <c r="K2666" s="384" t="str">
        <f ca="1">IFERROR(VLOOKUP(C2666,' Disaggregation - Section E '!A$618:J2992,3,0),"")</f>
        <v/>
      </c>
      <c r="L2666" s="384"/>
      <c r="M2666" s="384" t="str">
        <f ca="1">IFERROR(IF(VLOOKUP(C2666,' Disaggregation - Section E '!A$618:O1795,15,0)=0,"",VLOOKUP(C2666,' Disaggregation - Section E '!A$618:O1795,15,0)),"")</f>
        <v/>
      </c>
      <c r="N2666" s="388" t="str">
        <f ca="1">IFERROR(IF(VLOOKUP(C2666,' Disaggregation - Section E '!A$618:J2992,10,0)=0,"",VLOOKUP(C2666,' Disaggregation - Section E '!A$618:J2992,10,0)),"")</f>
        <v/>
      </c>
      <c r="O2666" s="384"/>
    </row>
    <row r="2667" spans="1:15" x14ac:dyDescent="0.3">
      <c r="A2667" s="384" t="b">
        <f t="shared" ca="1" si="143"/>
        <v>0</v>
      </c>
      <c r="B2667" s="384"/>
      <c r="C2667" s="393" t="str">
        <f ca="1">IF(COUNTA(O$1493:O2667)=1,"",OFFSET(B2665,-COUNTA(O$1493:O2667)+3,1))</f>
        <v>a16Dm000000LZikIAG</v>
      </c>
      <c r="D2667" s="389"/>
      <c r="E2667" s="386" t="str">
        <f ca="1">IFERROR(IF(VLOOKUP(C2667,' Disaggregation - Section E '!A$618:J2993,7,0)="","",VLOOKUP(C2667,' Disaggregation - Section E '!A$618:J2993,7,0)*100),"")</f>
        <v/>
      </c>
      <c r="F2667" s="388" t="str">
        <f ca="1">IFERROR(VLOOKUP(C2667,' Disaggregation - Section E '!A$618:J2993,5,0),"")</f>
        <v/>
      </c>
      <c r="G2667" s="387" t="str">
        <f ca="1">IFERROR(IF(VLOOKUP(C2667,' Disaggregation - Section E '!A$618:J2993,6,0)="","",VLOOKUP(C2667,' Disaggregation - Section E '!A$618:J2993,6,0)),"")</f>
        <v/>
      </c>
      <c r="H2667" s="387" t="str">
        <f ca="1">IFERROR(IF(INDEX(' Disaggregation - Section E '!F$618:F2993,MATCH(C2667,' Disaggregation - Section E '!A$618:A2993,0)+1,1)&lt;&gt;0,INDEX(' Disaggregation - Section E '!F$618:F2993,MATCH(C2667,' Disaggregation - Section E '!A$618:A2993,0)+1,1),""),"")</f>
        <v/>
      </c>
      <c r="I2667" s="388" t="str">
        <f ca="1">IFERROR(IF(VLOOKUP(C2667,' Disaggregation - Section E '!A$618:J2993,8,0)=0,"",VLOOKUP(C2667,' Disaggregation - Section E '!A$618:J2993,8,0)),"")</f>
        <v/>
      </c>
      <c r="J2667" s="388" t="str">
        <f ca="1">IFERROR(IF(VLOOKUP(C2667,' Disaggregation - Section E '!A$618:J2993,9,0)="","",VLOOKUP(C2667,' Disaggregation - Section E '!A$618:J2993,9,0)),"")</f>
        <v/>
      </c>
      <c r="K2667" s="384" t="str">
        <f ca="1">IFERROR(VLOOKUP(C2667,' Disaggregation - Section E '!A$618:J2993,3,0),"")</f>
        <v/>
      </c>
      <c r="L2667" s="384"/>
      <c r="M2667" s="384" t="str">
        <f ca="1">IFERROR(IF(VLOOKUP(C2667,' Disaggregation - Section E '!A$618:O1796,15,0)=0,"",VLOOKUP(C2667,' Disaggregation - Section E '!A$618:O1796,15,0)),"")</f>
        <v/>
      </c>
      <c r="N2667" s="388" t="str">
        <f ca="1">IFERROR(IF(VLOOKUP(C2667,' Disaggregation - Section E '!A$618:J2993,10,0)=0,"",VLOOKUP(C2667,' Disaggregation - Section E '!A$618:J2993,10,0)),"")</f>
        <v/>
      </c>
      <c r="O2667" s="384"/>
    </row>
    <row r="2668" spans="1:15" x14ac:dyDescent="0.3">
      <c r="A2668" s="384" t="b">
        <f t="shared" ca="1" si="143"/>
        <v>0</v>
      </c>
      <c r="B2668" s="384"/>
      <c r="C2668" s="393" t="str">
        <f ca="1">IF(COUNTA(O$1493:O2668)=1,"",OFFSET(B2666,-COUNTA(O$1493:O2668)+3,1))</f>
        <v>a16Dm000000LZilIAG</v>
      </c>
      <c r="D2668" s="389"/>
      <c r="E2668" s="386" t="str">
        <f ca="1">IFERROR(IF(VLOOKUP(C2668,' Disaggregation - Section E '!A$618:J2994,7,0)="","",VLOOKUP(C2668,' Disaggregation - Section E '!A$618:J2994,7,0)*100),"")</f>
        <v/>
      </c>
      <c r="F2668" s="388" t="str">
        <f ca="1">IFERROR(VLOOKUP(C2668,' Disaggregation - Section E '!A$618:J2994,5,0),"")</f>
        <v/>
      </c>
      <c r="G2668" s="387" t="str">
        <f ca="1">IFERROR(IF(VLOOKUP(C2668,' Disaggregation - Section E '!A$618:J2994,6,0)="","",VLOOKUP(C2668,' Disaggregation - Section E '!A$618:J2994,6,0)),"")</f>
        <v/>
      </c>
      <c r="H2668" s="387" t="str">
        <f ca="1">IFERROR(IF(INDEX(' Disaggregation - Section E '!F$618:F2994,MATCH(C2668,' Disaggregation - Section E '!A$618:A2994,0)+1,1)&lt;&gt;0,INDEX(' Disaggregation - Section E '!F$618:F2994,MATCH(C2668,' Disaggregation - Section E '!A$618:A2994,0)+1,1),""),"")</f>
        <v/>
      </c>
      <c r="I2668" s="388" t="str">
        <f ca="1">IFERROR(IF(VLOOKUP(C2668,' Disaggregation - Section E '!A$618:J2994,8,0)=0,"",VLOOKUP(C2668,' Disaggregation - Section E '!A$618:J2994,8,0)),"")</f>
        <v/>
      </c>
      <c r="J2668" s="388" t="str">
        <f ca="1">IFERROR(IF(VLOOKUP(C2668,' Disaggregation - Section E '!A$618:J2994,9,0)="","",VLOOKUP(C2668,' Disaggregation - Section E '!A$618:J2994,9,0)),"")</f>
        <v/>
      </c>
      <c r="K2668" s="384" t="str">
        <f ca="1">IFERROR(VLOOKUP(C2668,' Disaggregation - Section E '!A$618:J2994,3,0),"")</f>
        <v/>
      </c>
      <c r="L2668" s="384"/>
      <c r="M2668" s="384" t="str">
        <f ca="1">IFERROR(IF(VLOOKUP(C2668,' Disaggregation - Section E '!A$618:O1797,15,0)=0,"",VLOOKUP(C2668,' Disaggregation - Section E '!A$618:O1797,15,0)),"")</f>
        <v/>
      </c>
      <c r="N2668" s="388" t="str">
        <f ca="1">IFERROR(IF(VLOOKUP(C2668,' Disaggregation - Section E '!A$618:J2994,10,0)=0,"",VLOOKUP(C2668,' Disaggregation - Section E '!A$618:J2994,10,0)),"")</f>
        <v/>
      </c>
      <c r="O2668" s="384"/>
    </row>
    <row r="2669" spans="1:15" x14ac:dyDescent="0.3">
      <c r="A2669" s="384" t="b">
        <f t="shared" ca="1" si="143"/>
        <v>0</v>
      </c>
      <c r="B2669" s="384"/>
      <c r="C2669" s="393" t="str">
        <f ca="1">IF(COUNTA(O$1493:O2669)=1,"",OFFSET(B2667,-COUNTA(O$1493:O2669)+3,1))</f>
        <v>a16Dm000000LZimIAG</v>
      </c>
      <c r="D2669" s="389"/>
      <c r="E2669" s="386" t="str">
        <f ca="1">IFERROR(IF(VLOOKUP(C2669,' Disaggregation - Section E '!A$618:J2995,7,0)="","",VLOOKUP(C2669,' Disaggregation - Section E '!A$618:J2995,7,0)*100),"")</f>
        <v/>
      </c>
      <c r="F2669" s="388" t="str">
        <f ca="1">IFERROR(VLOOKUP(C2669,' Disaggregation - Section E '!A$618:J2995,5,0),"")</f>
        <v/>
      </c>
      <c r="G2669" s="387" t="str">
        <f ca="1">IFERROR(IF(VLOOKUP(C2669,' Disaggregation - Section E '!A$618:J2995,6,0)="","",VLOOKUP(C2669,' Disaggregation - Section E '!A$618:J2995,6,0)),"")</f>
        <v/>
      </c>
      <c r="H2669" s="387" t="str">
        <f ca="1">IFERROR(IF(INDEX(' Disaggregation - Section E '!F$618:F2995,MATCH(C2669,' Disaggregation - Section E '!A$618:A2995,0)+1,1)&lt;&gt;0,INDEX(' Disaggregation - Section E '!F$618:F2995,MATCH(C2669,' Disaggregation - Section E '!A$618:A2995,0)+1,1),""),"")</f>
        <v/>
      </c>
      <c r="I2669" s="388" t="str">
        <f ca="1">IFERROR(IF(VLOOKUP(C2669,' Disaggregation - Section E '!A$618:J2995,8,0)=0,"",VLOOKUP(C2669,' Disaggregation - Section E '!A$618:J2995,8,0)),"")</f>
        <v/>
      </c>
      <c r="J2669" s="388" t="str">
        <f ca="1">IFERROR(IF(VLOOKUP(C2669,' Disaggregation - Section E '!A$618:J2995,9,0)="","",VLOOKUP(C2669,' Disaggregation - Section E '!A$618:J2995,9,0)),"")</f>
        <v/>
      </c>
      <c r="K2669" s="384" t="str">
        <f ca="1">IFERROR(VLOOKUP(C2669,' Disaggregation - Section E '!A$618:J2995,3,0),"")</f>
        <v/>
      </c>
      <c r="L2669" s="384"/>
      <c r="M2669" s="384" t="str">
        <f ca="1">IFERROR(IF(VLOOKUP(C2669,' Disaggregation - Section E '!A$618:O1798,15,0)=0,"",VLOOKUP(C2669,' Disaggregation - Section E '!A$618:O1798,15,0)),"")</f>
        <v/>
      </c>
      <c r="N2669" s="388" t="str">
        <f ca="1">IFERROR(IF(VLOOKUP(C2669,' Disaggregation - Section E '!A$618:J2995,10,0)=0,"",VLOOKUP(C2669,' Disaggregation - Section E '!A$618:J2995,10,0)),"")</f>
        <v/>
      </c>
      <c r="O2669" s="384"/>
    </row>
    <row r="2670" spans="1:15" x14ac:dyDescent="0.3">
      <c r="A2670" s="384" t="b">
        <f t="shared" ca="1" si="143"/>
        <v>0</v>
      </c>
      <c r="B2670" s="384"/>
      <c r="C2670" s="393" t="str">
        <f ca="1">IF(COUNTA(O$1493:O2670)=1,"",OFFSET(B2668,-COUNTA(O$1493:O2670)+3,1))</f>
        <v>a16Dm000000LZinIAG</v>
      </c>
      <c r="D2670" s="389"/>
      <c r="E2670" s="386" t="str">
        <f ca="1">IFERROR(IF(VLOOKUP(C2670,' Disaggregation - Section E '!A$618:J2996,7,0)="","",VLOOKUP(C2670,' Disaggregation - Section E '!A$618:J2996,7,0)*100),"")</f>
        <v/>
      </c>
      <c r="F2670" s="388" t="str">
        <f ca="1">IFERROR(VLOOKUP(C2670,' Disaggregation - Section E '!A$618:J2996,5,0),"")</f>
        <v/>
      </c>
      <c r="G2670" s="387" t="str">
        <f ca="1">IFERROR(IF(VLOOKUP(C2670,' Disaggregation - Section E '!A$618:J2996,6,0)="","",VLOOKUP(C2670,' Disaggregation - Section E '!A$618:J2996,6,0)),"")</f>
        <v/>
      </c>
      <c r="H2670" s="387" t="str">
        <f ca="1">IFERROR(IF(INDEX(' Disaggregation - Section E '!F$618:F2996,MATCH(C2670,' Disaggregation - Section E '!A$618:A2996,0)+1,1)&lt;&gt;0,INDEX(' Disaggregation - Section E '!F$618:F2996,MATCH(C2670,' Disaggregation - Section E '!A$618:A2996,0)+1,1),""),"")</f>
        <v/>
      </c>
      <c r="I2670" s="388" t="str">
        <f ca="1">IFERROR(IF(VLOOKUP(C2670,' Disaggregation - Section E '!A$618:J2996,8,0)=0,"",VLOOKUP(C2670,' Disaggregation - Section E '!A$618:J2996,8,0)),"")</f>
        <v/>
      </c>
      <c r="J2670" s="388" t="str">
        <f ca="1">IFERROR(IF(VLOOKUP(C2670,' Disaggregation - Section E '!A$618:J2996,9,0)="","",VLOOKUP(C2670,' Disaggregation - Section E '!A$618:J2996,9,0)),"")</f>
        <v/>
      </c>
      <c r="K2670" s="384" t="str">
        <f ca="1">IFERROR(VLOOKUP(C2670,' Disaggregation - Section E '!A$618:J2996,3,0),"")</f>
        <v/>
      </c>
      <c r="L2670" s="384"/>
      <c r="M2670" s="384" t="str">
        <f ca="1">IFERROR(IF(VLOOKUP(C2670,' Disaggregation - Section E '!A$618:O1799,15,0)=0,"",VLOOKUP(C2670,' Disaggregation - Section E '!A$618:O1799,15,0)),"")</f>
        <v/>
      </c>
      <c r="N2670" s="388" t="str">
        <f ca="1">IFERROR(IF(VLOOKUP(C2670,' Disaggregation - Section E '!A$618:J2996,10,0)=0,"",VLOOKUP(C2670,' Disaggregation - Section E '!A$618:J2996,10,0)),"")</f>
        <v/>
      </c>
      <c r="O2670" s="384"/>
    </row>
    <row r="2671" spans="1:15" x14ac:dyDescent="0.3">
      <c r="A2671" s="384" t="b">
        <f t="shared" ref="A2671:A2694" ca="1" si="144">IF(M2671&lt;&gt;"",TRUE,FALSE)</f>
        <v>0</v>
      </c>
      <c r="B2671" s="384"/>
      <c r="C2671" s="393" t="str">
        <f ca="1">IF(COUNTA(O$1493:O2671)=1,"",OFFSET(B2669,-COUNTA(O$1493:O2671)+3,1))</f>
        <v>a16Dm000000LZioIAG</v>
      </c>
      <c r="D2671" s="389"/>
      <c r="E2671" s="386" t="str">
        <f ca="1">IFERROR(IF(VLOOKUP(C2671,' Disaggregation - Section E '!A$618:J2997,7,0)="","",VLOOKUP(C2671,' Disaggregation - Section E '!A$618:J2997,7,0)*100),"")</f>
        <v/>
      </c>
      <c r="F2671" s="388" t="str">
        <f ca="1">IFERROR(VLOOKUP(C2671,' Disaggregation - Section E '!A$618:J2997,5,0),"")</f>
        <v/>
      </c>
      <c r="G2671" s="387" t="str">
        <f ca="1">IFERROR(IF(VLOOKUP(C2671,' Disaggregation - Section E '!A$618:J2997,6,0)="","",VLOOKUP(C2671,' Disaggregation - Section E '!A$618:J2997,6,0)),"")</f>
        <v/>
      </c>
      <c r="H2671" s="387" t="str">
        <f ca="1">IFERROR(IF(INDEX(' Disaggregation - Section E '!F$618:F2997,MATCH(C2671,' Disaggregation - Section E '!A$618:A2997,0)+1,1)&lt;&gt;0,INDEX(' Disaggregation - Section E '!F$618:F2997,MATCH(C2671,' Disaggregation - Section E '!A$618:A2997,0)+1,1),""),"")</f>
        <v/>
      </c>
      <c r="I2671" s="388" t="str">
        <f ca="1">IFERROR(IF(VLOOKUP(C2671,' Disaggregation - Section E '!A$618:J2997,8,0)=0,"",VLOOKUP(C2671,' Disaggregation - Section E '!A$618:J2997,8,0)),"")</f>
        <v/>
      </c>
      <c r="J2671" s="388" t="str">
        <f ca="1">IFERROR(IF(VLOOKUP(C2671,' Disaggregation - Section E '!A$618:J2997,9,0)="","",VLOOKUP(C2671,' Disaggregation - Section E '!A$618:J2997,9,0)),"")</f>
        <v/>
      </c>
      <c r="K2671" s="384" t="str">
        <f ca="1">IFERROR(VLOOKUP(C2671,' Disaggregation - Section E '!A$618:J2997,3,0),"")</f>
        <v/>
      </c>
      <c r="L2671" s="384"/>
      <c r="M2671" s="384" t="str">
        <f ca="1">IFERROR(IF(VLOOKUP(C2671,' Disaggregation - Section E '!A$618:O1800,15,0)=0,"",VLOOKUP(C2671,' Disaggregation - Section E '!A$618:O1800,15,0)),"")</f>
        <v/>
      </c>
      <c r="N2671" s="388" t="str">
        <f ca="1">IFERROR(IF(VLOOKUP(C2671,' Disaggregation - Section E '!A$618:J2997,10,0)=0,"",VLOOKUP(C2671,' Disaggregation - Section E '!A$618:J2997,10,0)),"")</f>
        <v/>
      </c>
      <c r="O2671" s="384"/>
    </row>
    <row r="2672" spans="1:15" x14ac:dyDescent="0.3">
      <c r="A2672" s="384" t="b">
        <f t="shared" ca="1" si="144"/>
        <v>0</v>
      </c>
      <c r="B2672" s="384"/>
      <c r="C2672" s="393" t="str">
        <f ca="1">IF(COUNTA(O$1493:O2672)=1,"",OFFSET(B2670,-COUNTA(O$1493:O2672)+3,1))</f>
        <v>a16Dm000000LZipIAG</v>
      </c>
      <c r="D2672" s="389"/>
      <c r="E2672" s="386" t="str">
        <f ca="1">IFERROR(IF(VLOOKUP(C2672,' Disaggregation - Section E '!A$618:J2998,7,0)="","",VLOOKUP(C2672,' Disaggregation - Section E '!A$618:J2998,7,0)*100),"")</f>
        <v/>
      </c>
      <c r="F2672" s="388" t="str">
        <f ca="1">IFERROR(VLOOKUP(C2672,' Disaggregation - Section E '!A$618:J2998,5,0),"")</f>
        <v/>
      </c>
      <c r="G2672" s="387" t="str">
        <f ca="1">IFERROR(IF(VLOOKUP(C2672,' Disaggregation - Section E '!A$618:J2998,6,0)="","",VLOOKUP(C2672,' Disaggregation - Section E '!A$618:J2998,6,0)),"")</f>
        <v/>
      </c>
      <c r="H2672" s="387" t="str">
        <f ca="1">IFERROR(IF(INDEX(' Disaggregation - Section E '!F$618:F2998,MATCH(C2672,' Disaggregation - Section E '!A$618:A2998,0)+1,1)&lt;&gt;0,INDEX(' Disaggregation - Section E '!F$618:F2998,MATCH(C2672,' Disaggregation - Section E '!A$618:A2998,0)+1,1),""),"")</f>
        <v/>
      </c>
      <c r="I2672" s="388" t="str">
        <f ca="1">IFERROR(IF(VLOOKUP(C2672,' Disaggregation - Section E '!A$618:J2998,8,0)=0,"",VLOOKUP(C2672,' Disaggregation - Section E '!A$618:J2998,8,0)),"")</f>
        <v/>
      </c>
      <c r="J2672" s="388" t="str">
        <f ca="1">IFERROR(IF(VLOOKUP(C2672,' Disaggregation - Section E '!A$618:J2998,9,0)="","",VLOOKUP(C2672,' Disaggregation - Section E '!A$618:J2998,9,0)),"")</f>
        <v/>
      </c>
      <c r="K2672" s="384" t="str">
        <f ca="1">IFERROR(VLOOKUP(C2672,' Disaggregation - Section E '!A$618:J2998,3,0),"")</f>
        <v/>
      </c>
      <c r="L2672" s="384"/>
      <c r="M2672" s="384" t="str">
        <f ca="1">IFERROR(IF(VLOOKUP(C2672,' Disaggregation - Section E '!A$618:O1801,15,0)=0,"",VLOOKUP(C2672,' Disaggregation - Section E '!A$618:O1801,15,0)),"")</f>
        <v/>
      </c>
      <c r="N2672" s="388" t="str">
        <f ca="1">IFERROR(IF(VLOOKUP(C2672,' Disaggregation - Section E '!A$618:J2998,10,0)=0,"",VLOOKUP(C2672,' Disaggregation - Section E '!A$618:J2998,10,0)),"")</f>
        <v/>
      </c>
      <c r="O2672" s="384"/>
    </row>
    <row r="2673" spans="1:15" x14ac:dyDescent="0.3">
      <c r="A2673" s="384" t="b">
        <f t="shared" ca="1" si="144"/>
        <v>0</v>
      </c>
      <c r="B2673" s="384"/>
      <c r="C2673" s="393" t="str">
        <f ca="1">IF(COUNTA(O$1493:O2673)=1,"",OFFSET(B2671,-COUNTA(O$1493:O2673)+3,1))</f>
        <v>a16Dm000000LZiqIAG</v>
      </c>
      <c r="D2673" s="389"/>
      <c r="E2673" s="386" t="str">
        <f ca="1">IFERROR(IF(VLOOKUP(C2673,' Disaggregation - Section E '!A$618:J2999,7,0)="","",VLOOKUP(C2673,' Disaggregation - Section E '!A$618:J2999,7,0)*100),"")</f>
        <v/>
      </c>
      <c r="F2673" s="388" t="str">
        <f ca="1">IFERROR(VLOOKUP(C2673,' Disaggregation - Section E '!A$618:J2999,5,0),"")</f>
        <v/>
      </c>
      <c r="G2673" s="387" t="str">
        <f ca="1">IFERROR(IF(VLOOKUP(C2673,' Disaggregation - Section E '!A$618:J2999,6,0)="","",VLOOKUP(C2673,' Disaggregation - Section E '!A$618:J2999,6,0)),"")</f>
        <v/>
      </c>
      <c r="H2673" s="387" t="str">
        <f ca="1">IFERROR(IF(INDEX(' Disaggregation - Section E '!F$618:F2999,MATCH(C2673,' Disaggregation - Section E '!A$618:A2999,0)+1,1)&lt;&gt;0,INDEX(' Disaggregation - Section E '!F$618:F2999,MATCH(C2673,' Disaggregation - Section E '!A$618:A2999,0)+1,1),""),"")</f>
        <v/>
      </c>
      <c r="I2673" s="388" t="str">
        <f ca="1">IFERROR(IF(VLOOKUP(C2673,' Disaggregation - Section E '!A$618:J2999,8,0)=0,"",VLOOKUP(C2673,' Disaggregation - Section E '!A$618:J2999,8,0)),"")</f>
        <v/>
      </c>
      <c r="J2673" s="388" t="str">
        <f ca="1">IFERROR(IF(VLOOKUP(C2673,' Disaggregation - Section E '!A$618:J2999,9,0)="","",VLOOKUP(C2673,' Disaggregation - Section E '!A$618:J2999,9,0)),"")</f>
        <v/>
      </c>
      <c r="K2673" s="384" t="str">
        <f ca="1">IFERROR(VLOOKUP(C2673,' Disaggregation - Section E '!A$618:J2999,3,0),"")</f>
        <v/>
      </c>
      <c r="L2673" s="384"/>
      <c r="M2673" s="384" t="str">
        <f ca="1">IFERROR(IF(VLOOKUP(C2673,' Disaggregation - Section E '!A$618:O1802,15,0)=0,"",VLOOKUP(C2673,' Disaggregation - Section E '!A$618:O1802,15,0)),"")</f>
        <v/>
      </c>
      <c r="N2673" s="388" t="str">
        <f ca="1">IFERROR(IF(VLOOKUP(C2673,' Disaggregation - Section E '!A$618:J2999,10,0)=0,"",VLOOKUP(C2673,' Disaggregation - Section E '!A$618:J2999,10,0)),"")</f>
        <v/>
      </c>
      <c r="O2673" s="384"/>
    </row>
    <row r="2674" spans="1:15" x14ac:dyDescent="0.3">
      <c r="A2674" s="384" t="b">
        <f t="shared" ca="1" si="144"/>
        <v>0</v>
      </c>
      <c r="B2674" s="384"/>
      <c r="C2674" s="393" t="str">
        <f ca="1">IF(COUNTA(O$1493:O2674)=1,"",OFFSET(B2672,-COUNTA(O$1493:O2674)+3,1))</f>
        <v>a16Dm000000LZirIAG</v>
      </c>
      <c r="D2674" s="389"/>
      <c r="E2674" s="386" t="str">
        <f ca="1">IFERROR(IF(VLOOKUP(C2674,' Disaggregation - Section E '!A$618:J3000,7,0)="","",VLOOKUP(C2674,' Disaggregation - Section E '!A$618:J3000,7,0)*100),"")</f>
        <v/>
      </c>
      <c r="F2674" s="388" t="str">
        <f ca="1">IFERROR(VLOOKUP(C2674,' Disaggregation - Section E '!A$618:J3000,5,0),"")</f>
        <v/>
      </c>
      <c r="G2674" s="387" t="str">
        <f ca="1">IFERROR(IF(VLOOKUP(C2674,' Disaggregation - Section E '!A$618:J3000,6,0)="","",VLOOKUP(C2674,' Disaggregation - Section E '!A$618:J3000,6,0)),"")</f>
        <v/>
      </c>
      <c r="H2674" s="387" t="str">
        <f ca="1">IFERROR(IF(INDEX(' Disaggregation - Section E '!F$618:F3000,MATCH(C2674,' Disaggregation - Section E '!A$618:A3000,0)+1,1)&lt;&gt;0,INDEX(' Disaggregation - Section E '!F$618:F3000,MATCH(C2674,' Disaggregation - Section E '!A$618:A3000,0)+1,1),""),"")</f>
        <v/>
      </c>
      <c r="I2674" s="388" t="str">
        <f ca="1">IFERROR(IF(VLOOKUP(C2674,' Disaggregation - Section E '!A$618:J3000,8,0)=0,"",VLOOKUP(C2674,' Disaggregation - Section E '!A$618:J3000,8,0)),"")</f>
        <v/>
      </c>
      <c r="J2674" s="388" t="str">
        <f ca="1">IFERROR(IF(VLOOKUP(C2674,' Disaggregation - Section E '!A$618:J3000,9,0)="","",VLOOKUP(C2674,' Disaggregation - Section E '!A$618:J3000,9,0)),"")</f>
        <v/>
      </c>
      <c r="K2674" s="384" t="str">
        <f ca="1">IFERROR(VLOOKUP(C2674,' Disaggregation - Section E '!A$618:J3000,3,0),"")</f>
        <v/>
      </c>
      <c r="L2674" s="384"/>
      <c r="M2674" s="384" t="str">
        <f ca="1">IFERROR(IF(VLOOKUP(C2674,' Disaggregation - Section E '!A$618:O1803,15,0)=0,"",VLOOKUP(C2674,' Disaggregation - Section E '!A$618:O1803,15,0)),"")</f>
        <v/>
      </c>
      <c r="N2674" s="388" t="str">
        <f ca="1">IFERROR(IF(VLOOKUP(C2674,' Disaggregation - Section E '!A$618:J3000,10,0)=0,"",VLOOKUP(C2674,' Disaggregation - Section E '!A$618:J3000,10,0)),"")</f>
        <v/>
      </c>
      <c r="O2674" s="384"/>
    </row>
    <row r="2675" spans="1:15" x14ac:dyDescent="0.3">
      <c r="A2675" s="384" t="b">
        <f t="shared" ca="1" si="144"/>
        <v>0</v>
      </c>
      <c r="B2675" s="384"/>
      <c r="C2675" s="393" t="str">
        <f ca="1">IF(COUNTA(O$1493:O2675)=1,"",OFFSET(B2673,-COUNTA(O$1493:O2675)+3,1))</f>
        <v>a16Dm000000LZisIAG</v>
      </c>
      <c r="D2675" s="389"/>
      <c r="E2675" s="386" t="str">
        <f ca="1">IFERROR(IF(VLOOKUP(C2675,' Disaggregation - Section E '!A$618:J3001,7,0)="","",VLOOKUP(C2675,' Disaggregation - Section E '!A$618:J3001,7,0)*100),"")</f>
        <v/>
      </c>
      <c r="F2675" s="388" t="str">
        <f ca="1">IFERROR(VLOOKUP(C2675,' Disaggregation - Section E '!A$618:J3001,5,0),"")</f>
        <v/>
      </c>
      <c r="G2675" s="387" t="str">
        <f ca="1">IFERROR(IF(VLOOKUP(C2675,' Disaggregation - Section E '!A$618:J3001,6,0)="","",VLOOKUP(C2675,' Disaggregation - Section E '!A$618:J3001,6,0)),"")</f>
        <v/>
      </c>
      <c r="H2675" s="387" t="str">
        <f ca="1">IFERROR(IF(INDEX(' Disaggregation - Section E '!F$618:F3001,MATCH(C2675,' Disaggregation - Section E '!A$618:A3001,0)+1,1)&lt;&gt;0,INDEX(' Disaggregation - Section E '!F$618:F3001,MATCH(C2675,' Disaggregation - Section E '!A$618:A3001,0)+1,1),""),"")</f>
        <v/>
      </c>
      <c r="I2675" s="388" t="str">
        <f ca="1">IFERROR(IF(VLOOKUP(C2675,' Disaggregation - Section E '!A$618:J3001,8,0)=0,"",VLOOKUP(C2675,' Disaggregation - Section E '!A$618:J3001,8,0)),"")</f>
        <v/>
      </c>
      <c r="J2675" s="388" t="str">
        <f ca="1">IFERROR(IF(VLOOKUP(C2675,' Disaggregation - Section E '!A$618:J3001,9,0)="","",VLOOKUP(C2675,' Disaggregation - Section E '!A$618:J3001,9,0)),"")</f>
        <v/>
      </c>
      <c r="K2675" s="384" t="str">
        <f ca="1">IFERROR(VLOOKUP(C2675,' Disaggregation - Section E '!A$618:J3001,3,0),"")</f>
        <v/>
      </c>
      <c r="L2675" s="384"/>
      <c r="M2675" s="384" t="str">
        <f ca="1">IFERROR(IF(VLOOKUP(C2675,' Disaggregation - Section E '!A$618:O1804,15,0)=0,"",VLOOKUP(C2675,' Disaggregation - Section E '!A$618:O1804,15,0)),"")</f>
        <v/>
      </c>
      <c r="N2675" s="388" t="str">
        <f ca="1">IFERROR(IF(VLOOKUP(C2675,' Disaggregation - Section E '!A$618:J3001,10,0)=0,"",VLOOKUP(C2675,' Disaggregation - Section E '!A$618:J3001,10,0)),"")</f>
        <v/>
      </c>
      <c r="O2675" s="384"/>
    </row>
    <row r="2676" spans="1:15" x14ac:dyDescent="0.3">
      <c r="A2676" s="384" t="b">
        <f t="shared" ca="1" si="144"/>
        <v>0</v>
      </c>
      <c r="B2676" s="384"/>
      <c r="C2676" s="393" t="str">
        <f ca="1">IF(COUNTA(O$1493:O2676)=1,"",OFFSET(B2674,-COUNTA(O$1493:O2676)+3,1))</f>
        <v>a16Dm000000LZitIAG</v>
      </c>
      <c r="D2676" s="389"/>
      <c r="E2676" s="386" t="str">
        <f ca="1">IFERROR(IF(VLOOKUP(C2676,' Disaggregation - Section E '!A$618:J3002,7,0)="","",VLOOKUP(C2676,' Disaggregation - Section E '!A$618:J3002,7,0)*100),"")</f>
        <v/>
      </c>
      <c r="F2676" s="388" t="str">
        <f ca="1">IFERROR(VLOOKUP(C2676,' Disaggregation - Section E '!A$618:J3002,5,0),"")</f>
        <v/>
      </c>
      <c r="G2676" s="387" t="str">
        <f ca="1">IFERROR(IF(VLOOKUP(C2676,' Disaggregation - Section E '!A$618:J3002,6,0)="","",VLOOKUP(C2676,' Disaggregation - Section E '!A$618:J3002,6,0)),"")</f>
        <v/>
      </c>
      <c r="H2676" s="387" t="str">
        <f ca="1">IFERROR(IF(INDEX(' Disaggregation - Section E '!F$618:F3002,MATCH(C2676,' Disaggregation - Section E '!A$618:A3002,0)+1,1)&lt;&gt;0,INDEX(' Disaggregation - Section E '!F$618:F3002,MATCH(C2676,' Disaggregation - Section E '!A$618:A3002,0)+1,1),""),"")</f>
        <v/>
      </c>
      <c r="I2676" s="388" t="str">
        <f ca="1">IFERROR(IF(VLOOKUP(C2676,' Disaggregation - Section E '!A$618:J3002,8,0)=0,"",VLOOKUP(C2676,' Disaggregation - Section E '!A$618:J3002,8,0)),"")</f>
        <v/>
      </c>
      <c r="J2676" s="388" t="str">
        <f ca="1">IFERROR(IF(VLOOKUP(C2676,' Disaggregation - Section E '!A$618:J3002,9,0)="","",VLOOKUP(C2676,' Disaggregation - Section E '!A$618:J3002,9,0)),"")</f>
        <v/>
      </c>
      <c r="K2676" s="384" t="str">
        <f ca="1">IFERROR(VLOOKUP(C2676,' Disaggregation - Section E '!A$618:J3002,3,0),"")</f>
        <v/>
      </c>
      <c r="L2676" s="384"/>
      <c r="M2676" s="384" t="str">
        <f ca="1">IFERROR(IF(VLOOKUP(C2676,' Disaggregation - Section E '!A$618:O1805,15,0)=0,"",VLOOKUP(C2676,' Disaggregation - Section E '!A$618:O1805,15,0)),"")</f>
        <v/>
      </c>
      <c r="N2676" s="388" t="str">
        <f ca="1">IFERROR(IF(VLOOKUP(C2676,' Disaggregation - Section E '!A$618:J3002,10,0)=0,"",VLOOKUP(C2676,' Disaggregation - Section E '!A$618:J3002,10,0)),"")</f>
        <v/>
      </c>
      <c r="O2676" s="384"/>
    </row>
    <row r="2677" spans="1:15" x14ac:dyDescent="0.3">
      <c r="A2677" s="384" t="b">
        <f t="shared" ca="1" si="144"/>
        <v>0</v>
      </c>
      <c r="B2677" s="384"/>
      <c r="C2677" s="393" t="str">
        <f ca="1">IF(COUNTA(O$1493:O2677)=1,"",OFFSET(B2675,-COUNTA(O$1493:O2677)+3,1))</f>
        <v>a16Dm000000LZiuIAG</v>
      </c>
      <c r="D2677" s="389"/>
      <c r="E2677" s="386" t="str">
        <f ca="1">IFERROR(IF(VLOOKUP(C2677,' Disaggregation - Section E '!A$618:J3003,7,0)="","",VLOOKUP(C2677,' Disaggregation - Section E '!A$618:J3003,7,0)*100),"")</f>
        <v/>
      </c>
      <c r="F2677" s="388" t="str">
        <f ca="1">IFERROR(VLOOKUP(C2677,' Disaggregation - Section E '!A$618:J3003,5,0),"")</f>
        <v/>
      </c>
      <c r="G2677" s="387" t="str">
        <f ca="1">IFERROR(IF(VLOOKUP(C2677,' Disaggregation - Section E '!A$618:J3003,6,0)="","",VLOOKUP(C2677,' Disaggregation - Section E '!A$618:J3003,6,0)),"")</f>
        <v/>
      </c>
      <c r="H2677" s="387" t="str">
        <f ca="1">IFERROR(IF(INDEX(' Disaggregation - Section E '!F$618:F3003,MATCH(C2677,' Disaggregation - Section E '!A$618:A3003,0)+1,1)&lt;&gt;0,INDEX(' Disaggregation - Section E '!F$618:F3003,MATCH(C2677,' Disaggregation - Section E '!A$618:A3003,0)+1,1),""),"")</f>
        <v/>
      </c>
      <c r="I2677" s="388" t="str">
        <f ca="1">IFERROR(IF(VLOOKUP(C2677,' Disaggregation - Section E '!A$618:J3003,8,0)=0,"",VLOOKUP(C2677,' Disaggregation - Section E '!A$618:J3003,8,0)),"")</f>
        <v/>
      </c>
      <c r="J2677" s="388" t="str">
        <f ca="1">IFERROR(IF(VLOOKUP(C2677,' Disaggregation - Section E '!A$618:J3003,9,0)="","",VLOOKUP(C2677,' Disaggregation - Section E '!A$618:J3003,9,0)),"")</f>
        <v/>
      </c>
      <c r="K2677" s="384" t="str">
        <f ca="1">IFERROR(VLOOKUP(C2677,' Disaggregation - Section E '!A$618:J3003,3,0),"")</f>
        <v/>
      </c>
      <c r="L2677" s="384"/>
      <c r="M2677" s="384" t="str">
        <f ca="1">IFERROR(IF(VLOOKUP(C2677,' Disaggregation - Section E '!A$618:O1806,15,0)=0,"",VLOOKUP(C2677,' Disaggregation - Section E '!A$618:O1806,15,0)),"")</f>
        <v/>
      </c>
      <c r="N2677" s="388" t="str">
        <f ca="1">IFERROR(IF(VLOOKUP(C2677,' Disaggregation - Section E '!A$618:J3003,10,0)=0,"",VLOOKUP(C2677,' Disaggregation - Section E '!A$618:J3003,10,0)),"")</f>
        <v/>
      </c>
      <c r="O2677" s="384"/>
    </row>
    <row r="2678" spans="1:15" x14ac:dyDescent="0.3">
      <c r="A2678" s="384" t="b">
        <f t="shared" ca="1" si="144"/>
        <v>0</v>
      </c>
      <c r="B2678" s="384"/>
      <c r="C2678" s="393" t="str">
        <f ca="1">IF(COUNTA(O$1493:O2678)=1,"",OFFSET(B2676,-COUNTA(O$1493:O2678)+3,1))</f>
        <v>a16Dm000000LZivIAG</v>
      </c>
      <c r="D2678" s="389"/>
      <c r="E2678" s="386" t="str">
        <f ca="1">IFERROR(IF(VLOOKUP(C2678,' Disaggregation - Section E '!A$618:J3004,7,0)="","",VLOOKUP(C2678,' Disaggregation - Section E '!A$618:J3004,7,0)*100),"")</f>
        <v/>
      </c>
      <c r="F2678" s="388" t="str">
        <f ca="1">IFERROR(VLOOKUP(C2678,' Disaggregation - Section E '!A$618:J3004,5,0),"")</f>
        <v/>
      </c>
      <c r="G2678" s="387" t="str">
        <f ca="1">IFERROR(IF(VLOOKUP(C2678,' Disaggregation - Section E '!A$618:J3004,6,0)="","",VLOOKUP(C2678,' Disaggregation - Section E '!A$618:J3004,6,0)),"")</f>
        <v/>
      </c>
      <c r="H2678" s="387" t="str">
        <f ca="1">IFERROR(IF(INDEX(' Disaggregation - Section E '!F$618:F3004,MATCH(C2678,' Disaggregation - Section E '!A$618:A3004,0)+1,1)&lt;&gt;0,INDEX(' Disaggregation - Section E '!F$618:F3004,MATCH(C2678,' Disaggregation - Section E '!A$618:A3004,0)+1,1),""),"")</f>
        <v/>
      </c>
      <c r="I2678" s="388" t="str">
        <f ca="1">IFERROR(IF(VLOOKUP(C2678,' Disaggregation - Section E '!A$618:J3004,8,0)=0,"",VLOOKUP(C2678,' Disaggregation - Section E '!A$618:J3004,8,0)),"")</f>
        <v/>
      </c>
      <c r="J2678" s="388" t="str">
        <f ca="1">IFERROR(IF(VLOOKUP(C2678,' Disaggregation - Section E '!A$618:J3004,9,0)="","",VLOOKUP(C2678,' Disaggregation - Section E '!A$618:J3004,9,0)),"")</f>
        <v/>
      </c>
      <c r="K2678" s="384" t="str">
        <f ca="1">IFERROR(VLOOKUP(C2678,' Disaggregation - Section E '!A$618:J3004,3,0),"")</f>
        <v/>
      </c>
      <c r="L2678" s="384"/>
      <c r="M2678" s="384" t="str">
        <f ca="1">IFERROR(IF(VLOOKUP(C2678,' Disaggregation - Section E '!A$618:O1807,15,0)=0,"",VLOOKUP(C2678,' Disaggregation - Section E '!A$618:O1807,15,0)),"")</f>
        <v/>
      </c>
      <c r="N2678" s="388" t="str">
        <f ca="1">IFERROR(IF(VLOOKUP(C2678,' Disaggregation - Section E '!A$618:J3004,10,0)=0,"",VLOOKUP(C2678,' Disaggregation - Section E '!A$618:J3004,10,0)),"")</f>
        <v/>
      </c>
      <c r="O2678" s="384"/>
    </row>
    <row r="2679" spans="1:15" x14ac:dyDescent="0.3">
      <c r="A2679" s="384" t="b">
        <f t="shared" ca="1" si="144"/>
        <v>0</v>
      </c>
      <c r="B2679" s="384"/>
      <c r="C2679" s="393" t="str">
        <f ca="1">IF(COUNTA(O$1493:O2679)=1,"",OFFSET(B2677,-COUNTA(O$1493:O2679)+3,1))</f>
        <v>a16Dm000000LZiwIAG</v>
      </c>
      <c r="D2679" s="389"/>
      <c r="E2679" s="386" t="str">
        <f ca="1">IFERROR(IF(VLOOKUP(C2679,' Disaggregation - Section E '!A$618:J3005,7,0)="","",VLOOKUP(C2679,' Disaggregation - Section E '!A$618:J3005,7,0)*100),"")</f>
        <v/>
      </c>
      <c r="F2679" s="388" t="str">
        <f ca="1">IFERROR(VLOOKUP(C2679,' Disaggregation - Section E '!A$618:J3005,5,0),"")</f>
        <v/>
      </c>
      <c r="G2679" s="387" t="str">
        <f ca="1">IFERROR(IF(VLOOKUP(C2679,' Disaggregation - Section E '!A$618:J3005,6,0)="","",VLOOKUP(C2679,' Disaggregation - Section E '!A$618:J3005,6,0)),"")</f>
        <v/>
      </c>
      <c r="H2679" s="387" t="str">
        <f ca="1">IFERROR(IF(INDEX(' Disaggregation - Section E '!F$618:F3005,MATCH(C2679,' Disaggregation - Section E '!A$618:A3005,0)+1,1)&lt;&gt;0,INDEX(' Disaggregation - Section E '!F$618:F3005,MATCH(C2679,' Disaggregation - Section E '!A$618:A3005,0)+1,1),""),"")</f>
        <v/>
      </c>
      <c r="I2679" s="388" t="str">
        <f ca="1">IFERROR(IF(VLOOKUP(C2679,' Disaggregation - Section E '!A$618:J3005,8,0)=0,"",VLOOKUP(C2679,' Disaggregation - Section E '!A$618:J3005,8,0)),"")</f>
        <v/>
      </c>
      <c r="J2679" s="388" t="str">
        <f ca="1">IFERROR(IF(VLOOKUP(C2679,' Disaggregation - Section E '!A$618:J3005,9,0)="","",VLOOKUP(C2679,' Disaggregation - Section E '!A$618:J3005,9,0)),"")</f>
        <v/>
      </c>
      <c r="K2679" s="384" t="str">
        <f ca="1">IFERROR(VLOOKUP(C2679,' Disaggregation - Section E '!A$618:J3005,3,0),"")</f>
        <v/>
      </c>
      <c r="L2679" s="384"/>
      <c r="M2679" s="384" t="str">
        <f ca="1">IFERROR(IF(VLOOKUP(C2679,' Disaggregation - Section E '!A$618:O1808,15,0)=0,"",VLOOKUP(C2679,' Disaggregation - Section E '!A$618:O1808,15,0)),"")</f>
        <v/>
      </c>
      <c r="N2679" s="388" t="str">
        <f ca="1">IFERROR(IF(VLOOKUP(C2679,' Disaggregation - Section E '!A$618:J3005,10,0)=0,"",VLOOKUP(C2679,' Disaggregation - Section E '!A$618:J3005,10,0)),"")</f>
        <v/>
      </c>
      <c r="O2679" s="384"/>
    </row>
    <row r="2680" spans="1:15" x14ac:dyDescent="0.3">
      <c r="A2680" s="384" t="b">
        <f t="shared" ca="1" si="144"/>
        <v>0</v>
      </c>
      <c r="B2680" s="384"/>
      <c r="C2680" s="393" t="str">
        <f ca="1">IF(COUNTA(O$1493:O2680)=1,"",OFFSET(B2678,-COUNTA(O$1493:O2680)+3,1))</f>
        <v>a16Dm000000LZixIAG</v>
      </c>
      <c r="D2680" s="389"/>
      <c r="E2680" s="386" t="str">
        <f ca="1">IFERROR(IF(VLOOKUP(C2680,' Disaggregation - Section E '!A$618:J3006,7,0)="","",VLOOKUP(C2680,' Disaggregation - Section E '!A$618:J3006,7,0)*100),"")</f>
        <v/>
      </c>
      <c r="F2680" s="388" t="str">
        <f ca="1">IFERROR(VLOOKUP(C2680,' Disaggregation - Section E '!A$618:J3006,5,0),"")</f>
        <v/>
      </c>
      <c r="G2680" s="387" t="str">
        <f ca="1">IFERROR(IF(VLOOKUP(C2680,' Disaggregation - Section E '!A$618:J3006,6,0)="","",VLOOKUP(C2680,' Disaggregation - Section E '!A$618:J3006,6,0)),"")</f>
        <v/>
      </c>
      <c r="H2680" s="387" t="str">
        <f ca="1">IFERROR(IF(INDEX(' Disaggregation - Section E '!F$618:F3006,MATCH(C2680,' Disaggregation - Section E '!A$618:A3006,0)+1,1)&lt;&gt;0,INDEX(' Disaggregation - Section E '!F$618:F3006,MATCH(C2680,' Disaggregation - Section E '!A$618:A3006,0)+1,1),""),"")</f>
        <v/>
      </c>
      <c r="I2680" s="388" t="str">
        <f ca="1">IFERROR(IF(VLOOKUP(C2680,' Disaggregation - Section E '!A$618:J3006,8,0)=0,"",VLOOKUP(C2680,' Disaggregation - Section E '!A$618:J3006,8,0)),"")</f>
        <v/>
      </c>
      <c r="J2680" s="388" t="str">
        <f ca="1">IFERROR(IF(VLOOKUP(C2680,' Disaggregation - Section E '!A$618:J3006,9,0)="","",VLOOKUP(C2680,' Disaggregation - Section E '!A$618:J3006,9,0)),"")</f>
        <v/>
      </c>
      <c r="K2680" s="384" t="str">
        <f ca="1">IFERROR(VLOOKUP(C2680,' Disaggregation - Section E '!A$618:J3006,3,0),"")</f>
        <v/>
      </c>
      <c r="L2680" s="384"/>
      <c r="M2680" s="384" t="str">
        <f ca="1">IFERROR(IF(VLOOKUP(C2680,' Disaggregation - Section E '!A$618:O1809,15,0)=0,"",VLOOKUP(C2680,' Disaggregation - Section E '!A$618:O1809,15,0)),"")</f>
        <v/>
      </c>
      <c r="N2680" s="388" t="str">
        <f ca="1">IFERROR(IF(VLOOKUP(C2680,' Disaggregation - Section E '!A$618:J3006,10,0)=0,"",VLOOKUP(C2680,' Disaggregation - Section E '!A$618:J3006,10,0)),"")</f>
        <v/>
      </c>
      <c r="O2680" s="384"/>
    </row>
    <row r="2681" spans="1:15" x14ac:dyDescent="0.3">
      <c r="A2681" s="384" t="b">
        <f t="shared" ca="1" si="144"/>
        <v>0</v>
      </c>
      <c r="B2681" s="384"/>
      <c r="C2681" s="393" t="str">
        <f ca="1">IF(COUNTA(O$1493:O2681)=1,"",OFFSET(B2679,-COUNTA(O$1493:O2681)+3,1))</f>
        <v>a16Dm000000LZiyIAG</v>
      </c>
      <c r="D2681" s="389"/>
      <c r="E2681" s="386" t="str">
        <f ca="1">IFERROR(IF(VLOOKUP(C2681,' Disaggregation - Section E '!A$618:J3007,7,0)="","",VLOOKUP(C2681,' Disaggregation - Section E '!A$618:J3007,7,0)*100),"")</f>
        <v/>
      </c>
      <c r="F2681" s="388" t="str">
        <f ca="1">IFERROR(VLOOKUP(C2681,' Disaggregation - Section E '!A$618:J3007,5,0),"")</f>
        <v/>
      </c>
      <c r="G2681" s="387" t="str">
        <f ca="1">IFERROR(IF(VLOOKUP(C2681,' Disaggregation - Section E '!A$618:J3007,6,0)="","",VLOOKUP(C2681,' Disaggregation - Section E '!A$618:J3007,6,0)),"")</f>
        <v/>
      </c>
      <c r="H2681" s="387" t="str">
        <f ca="1">IFERROR(IF(INDEX(' Disaggregation - Section E '!F$618:F3007,MATCH(C2681,' Disaggregation - Section E '!A$618:A3007,0)+1,1)&lt;&gt;0,INDEX(' Disaggregation - Section E '!F$618:F3007,MATCH(C2681,' Disaggregation - Section E '!A$618:A3007,0)+1,1),""),"")</f>
        <v/>
      </c>
      <c r="I2681" s="388" t="str">
        <f ca="1">IFERROR(IF(VLOOKUP(C2681,' Disaggregation - Section E '!A$618:J3007,8,0)=0,"",VLOOKUP(C2681,' Disaggregation - Section E '!A$618:J3007,8,0)),"")</f>
        <v/>
      </c>
      <c r="J2681" s="388" t="str">
        <f ca="1">IFERROR(IF(VLOOKUP(C2681,' Disaggregation - Section E '!A$618:J3007,9,0)="","",VLOOKUP(C2681,' Disaggregation - Section E '!A$618:J3007,9,0)),"")</f>
        <v/>
      </c>
      <c r="K2681" s="384" t="str">
        <f ca="1">IFERROR(VLOOKUP(C2681,' Disaggregation - Section E '!A$618:J3007,3,0),"")</f>
        <v/>
      </c>
      <c r="L2681" s="384"/>
      <c r="M2681" s="384" t="str">
        <f ca="1">IFERROR(IF(VLOOKUP(C2681,' Disaggregation - Section E '!A$618:O1810,15,0)=0,"",VLOOKUP(C2681,' Disaggregation - Section E '!A$618:O1810,15,0)),"")</f>
        <v/>
      </c>
      <c r="N2681" s="388" t="str">
        <f ca="1">IFERROR(IF(VLOOKUP(C2681,' Disaggregation - Section E '!A$618:J3007,10,0)=0,"",VLOOKUP(C2681,' Disaggregation - Section E '!A$618:J3007,10,0)),"")</f>
        <v/>
      </c>
      <c r="O2681" s="384"/>
    </row>
    <row r="2682" spans="1:15" x14ac:dyDescent="0.3">
      <c r="A2682" s="384" t="b">
        <f t="shared" ca="1" si="144"/>
        <v>0</v>
      </c>
      <c r="B2682" s="384"/>
      <c r="C2682" s="393" t="str">
        <f ca="1">IF(COUNTA(O$1493:O2682)=1,"",OFFSET(B2680,-COUNTA(O$1493:O2682)+3,1))</f>
        <v>a16Dm000000LZizIAG</v>
      </c>
      <c r="D2682" s="389"/>
      <c r="E2682" s="386" t="str">
        <f ca="1">IFERROR(IF(VLOOKUP(C2682,' Disaggregation - Section E '!A$618:J3008,7,0)="","",VLOOKUP(C2682,' Disaggregation - Section E '!A$618:J3008,7,0)*100),"")</f>
        <v/>
      </c>
      <c r="F2682" s="388" t="str">
        <f ca="1">IFERROR(VLOOKUP(C2682,' Disaggregation - Section E '!A$618:J3008,5,0),"")</f>
        <v/>
      </c>
      <c r="G2682" s="387" t="str">
        <f ca="1">IFERROR(IF(VLOOKUP(C2682,' Disaggregation - Section E '!A$618:J3008,6,0)="","",VLOOKUP(C2682,' Disaggregation - Section E '!A$618:J3008,6,0)),"")</f>
        <v/>
      </c>
      <c r="H2682" s="387" t="str">
        <f ca="1">IFERROR(IF(INDEX(' Disaggregation - Section E '!F$618:F3008,MATCH(C2682,' Disaggregation - Section E '!A$618:A3008,0)+1,1)&lt;&gt;0,INDEX(' Disaggregation - Section E '!F$618:F3008,MATCH(C2682,' Disaggregation - Section E '!A$618:A3008,0)+1,1),""),"")</f>
        <v/>
      </c>
      <c r="I2682" s="388" t="str">
        <f ca="1">IFERROR(IF(VLOOKUP(C2682,' Disaggregation - Section E '!A$618:J3008,8,0)=0,"",VLOOKUP(C2682,' Disaggregation - Section E '!A$618:J3008,8,0)),"")</f>
        <v/>
      </c>
      <c r="J2682" s="388" t="str">
        <f ca="1">IFERROR(IF(VLOOKUP(C2682,' Disaggregation - Section E '!A$618:J3008,9,0)="","",VLOOKUP(C2682,' Disaggregation - Section E '!A$618:J3008,9,0)),"")</f>
        <v/>
      </c>
      <c r="K2682" s="384" t="str">
        <f ca="1">IFERROR(VLOOKUP(C2682,' Disaggregation - Section E '!A$618:J3008,3,0),"")</f>
        <v/>
      </c>
      <c r="L2682" s="384"/>
      <c r="M2682" s="384" t="str">
        <f ca="1">IFERROR(IF(VLOOKUP(C2682,' Disaggregation - Section E '!A$618:O1811,15,0)=0,"",VLOOKUP(C2682,' Disaggregation - Section E '!A$618:O1811,15,0)),"")</f>
        <v/>
      </c>
      <c r="N2682" s="388" t="str">
        <f ca="1">IFERROR(IF(VLOOKUP(C2682,' Disaggregation - Section E '!A$618:J3008,10,0)=0,"",VLOOKUP(C2682,' Disaggregation - Section E '!A$618:J3008,10,0)),"")</f>
        <v/>
      </c>
      <c r="O2682" s="384"/>
    </row>
    <row r="2683" spans="1:15" x14ac:dyDescent="0.3">
      <c r="A2683" s="384" t="b">
        <f t="shared" ca="1" si="144"/>
        <v>0</v>
      </c>
      <c r="B2683" s="384"/>
      <c r="C2683" s="393" t="str">
        <f ca="1">IF(COUNTA(O$1493:O2683)=1,"",OFFSET(B2681,-COUNTA(O$1493:O2683)+3,1))</f>
        <v>a16Dm000000LZj0IAG</v>
      </c>
      <c r="D2683" s="389"/>
      <c r="E2683" s="386" t="str">
        <f ca="1">IFERROR(IF(VLOOKUP(C2683,' Disaggregation - Section E '!A$618:J3009,7,0)="","",VLOOKUP(C2683,' Disaggregation - Section E '!A$618:J3009,7,0)*100),"")</f>
        <v/>
      </c>
      <c r="F2683" s="388" t="str">
        <f ca="1">IFERROR(VLOOKUP(C2683,' Disaggregation - Section E '!A$618:J3009,5,0),"")</f>
        <v/>
      </c>
      <c r="G2683" s="387" t="str">
        <f ca="1">IFERROR(IF(VLOOKUP(C2683,' Disaggregation - Section E '!A$618:J3009,6,0)="","",VLOOKUP(C2683,' Disaggregation - Section E '!A$618:J3009,6,0)),"")</f>
        <v/>
      </c>
      <c r="H2683" s="387" t="str">
        <f ca="1">IFERROR(IF(INDEX(' Disaggregation - Section E '!F$618:F3009,MATCH(C2683,' Disaggregation - Section E '!A$618:A3009,0)+1,1)&lt;&gt;0,INDEX(' Disaggregation - Section E '!F$618:F3009,MATCH(C2683,' Disaggregation - Section E '!A$618:A3009,0)+1,1),""),"")</f>
        <v/>
      </c>
      <c r="I2683" s="388" t="str">
        <f ca="1">IFERROR(IF(VLOOKUP(C2683,' Disaggregation - Section E '!A$618:J3009,8,0)=0,"",VLOOKUP(C2683,' Disaggregation - Section E '!A$618:J3009,8,0)),"")</f>
        <v/>
      </c>
      <c r="J2683" s="388" t="str">
        <f ca="1">IFERROR(IF(VLOOKUP(C2683,' Disaggregation - Section E '!A$618:J3009,9,0)="","",VLOOKUP(C2683,' Disaggregation - Section E '!A$618:J3009,9,0)),"")</f>
        <v/>
      </c>
      <c r="K2683" s="384" t="str">
        <f ca="1">IFERROR(VLOOKUP(C2683,' Disaggregation - Section E '!A$618:J3009,3,0),"")</f>
        <v/>
      </c>
      <c r="L2683" s="384"/>
      <c r="M2683" s="384" t="str">
        <f ca="1">IFERROR(IF(VLOOKUP(C2683,' Disaggregation - Section E '!A$618:O1812,15,0)=0,"",VLOOKUP(C2683,' Disaggregation - Section E '!A$618:O1812,15,0)),"")</f>
        <v/>
      </c>
      <c r="N2683" s="388" t="str">
        <f ca="1">IFERROR(IF(VLOOKUP(C2683,' Disaggregation - Section E '!A$618:J3009,10,0)=0,"",VLOOKUP(C2683,' Disaggregation - Section E '!A$618:J3009,10,0)),"")</f>
        <v/>
      </c>
      <c r="O2683" s="384"/>
    </row>
    <row r="2684" spans="1:15" x14ac:dyDescent="0.3">
      <c r="A2684" s="384" t="b">
        <f t="shared" ca="1" si="144"/>
        <v>0</v>
      </c>
      <c r="B2684" s="384"/>
      <c r="C2684" s="393" t="str">
        <f ca="1">IF(COUNTA(O$1493:O2684)=1,"",OFFSET(B2682,-COUNTA(O$1493:O2684)+3,1))</f>
        <v>a16Dm000000LZj1IAG</v>
      </c>
      <c r="D2684" s="389"/>
      <c r="E2684" s="386" t="str">
        <f ca="1">IFERROR(IF(VLOOKUP(C2684,' Disaggregation - Section E '!A$618:J3010,7,0)="","",VLOOKUP(C2684,' Disaggregation - Section E '!A$618:J3010,7,0)*100),"")</f>
        <v/>
      </c>
      <c r="F2684" s="388" t="str">
        <f ca="1">IFERROR(VLOOKUP(C2684,' Disaggregation - Section E '!A$618:J3010,5,0),"")</f>
        <v/>
      </c>
      <c r="G2684" s="387" t="str">
        <f ca="1">IFERROR(IF(VLOOKUP(C2684,' Disaggregation - Section E '!A$618:J3010,6,0)="","",VLOOKUP(C2684,' Disaggregation - Section E '!A$618:J3010,6,0)),"")</f>
        <v/>
      </c>
      <c r="H2684" s="387" t="str">
        <f ca="1">IFERROR(IF(INDEX(' Disaggregation - Section E '!F$618:F3010,MATCH(C2684,' Disaggregation - Section E '!A$618:A3010,0)+1,1)&lt;&gt;0,INDEX(' Disaggregation - Section E '!F$618:F3010,MATCH(C2684,' Disaggregation - Section E '!A$618:A3010,0)+1,1),""),"")</f>
        <v/>
      </c>
      <c r="I2684" s="388" t="str">
        <f ca="1">IFERROR(IF(VLOOKUP(C2684,' Disaggregation - Section E '!A$618:J3010,8,0)=0,"",VLOOKUP(C2684,' Disaggregation - Section E '!A$618:J3010,8,0)),"")</f>
        <v/>
      </c>
      <c r="J2684" s="388" t="str">
        <f ca="1">IFERROR(IF(VLOOKUP(C2684,' Disaggregation - Section E '!A$618:J3010,9,0)="","",VLOOKUP(C2684,' Disaggregation - Section E '!A$618:J3010,9,0)),"")</f>
        <v/>
      </c>
      <c r="K2684" s="384" t="str">
        <f ca="1">IFERROR(VLOOKUP(C2684,' Disaggregation - Section E '!A$618:J3010,3,0),"")</f>
        <v/>
      </c>
      <c r="L2684" s="384"/>
      <c r="M2684" s="384" t="str">
        <f ca="1">IFERROR(IF(VLOOKUP(C2684,' Disaggregation - Section E '!A$618:O1813,15,0)=0,"",VLOOKUP(C2684,' Disaggregation - Section E '!A$618:O1813,15,0)),"")</f>
        <v/>
      </c>
      <c r="N2684" s="388" t="str">
        <f ca="1">IFERROR(IF(VLOOKUP(C2684,' Disaggregation - Section E '!A$618:J3010,10,0)=0,"",VLOOKUP(C2684,' Disaggregation - Section E '!A$618:J3010,10,0)),"")</f>
        <v/>
      </c>
      <c r="O2684" s="384"/>
    </row>
    <row r="2685" spans="1:15" x14ac:dyDescent="0.3">
      <c r="A2685" s="384" t="b">
        <f t="shared" ca="1" si="144"/>
        <v>0</v>
      </c>
      <c r="B2685" s="384"/>
      <c r="C2685" s="393" t="str">
        <f ca="1">IF(COUNTA(O$1493:O2685)=1,"",OFFSET(B2683,-COUNTA(O$1493:O2685)+3,1))</f>
        <v>a16Dm000000LZj2IAG</v>
      </c>
      <c r="D2685" s="389"/>
      <c r="E2685" s="386" t="str">
        <f ca="1">IFERROR(IF(VLOOKUP(C2685,' Disaggregation - Section E '!A$618:J3011,7,0)="","",VLOOKUP(C2685,' Disaggregation - Section E '!A$618:J3011,7,0)*100),"")</f>
        <v/>
      </c>
      <c r="F2685" s="388" t="str">
        <f ca="1">IFERROR(VLOOKUP(C2685,' Disaggregation - Section E '!A$618:J3011,5,0),"")</f>
        <v/>
      </c>
      <c r="G2685" s="387" t="str">
        <f ca="1">IFERROR(IF(VLOOKUP(C2685,' Disaggregation - Section E '!A$618:J3011,6,0)="","",VLOOKUP(C2685,' Disaggregation - Section E '!A$618:J3011,6,0)),"")</f>
        <v/>
      </c>
      <c r="H2685" s="387" t="str">
        <f ca="1">IFERROR(IF(INDEX(' Disaggregation - Section E '!F$618:F3011,MATCH(C2685,' Disaggregation - Section E '!A$618:A3011,0)+1,1)&lt;&gt;0,INDEX(' Disaggregation - Section E '!F$618:F3011,MATCH(C2685,' Disaggregation - Section E '!A$618:A3011,0)+1,1),""),"")</f>
        <v/>
      </c>
      <c r="I2685" s="388" t="str">
        <f ca="1">IFERROR(IF(VLOOKUP(C2685,' Disaggregation - Section E '!A$618:J3011,8,0)=0,"",VLOOKUP(C2685,' Disaggregation - Section E '!A$618:J3011,8,0)),"")</f>
        <v/>
      </c>
      <c r="J2685" s="388" t="str">
        <f ca="1">IFERROR(IF(VLOOKUP(C2685,' Disaggregation - Section E '!A$618:J3011,9,0)="","",VLOOKUP(C2685,' Disaggregation - Section E '!A$618:J3011,9,0)),"")</f>
        <v/>
      </c>
      <c r="K2685" s="384" t="str">
        <f ca="1">IFERROR(VLOOKUP(C2685,' Disaggregation - Section E '!A$618:J3011,3,0),"")</f>
        <v/>
      </c>
      <c r="L2685" s="384"/>
      <c r="M2685" s="384" t="str">
        <f ca="1">IFERROR(IF(VLOOKUP(C2685,' Disaggregation - Section E '!A$618:O1814,15,0)=0,"",VLOOKUP(C2685,' Disaggregation - Section E '!A$618:O1814,15,0)),"")</f>
        <v/>
      </c>
      <c r="N2685" s="388" t="str">
        <f ca="1">IFERROR(IF(VLOOKUP(C2685,' Disaggregation - Section E '!A$618:J3011,10,0)=0,"",VLOOKUP(C2685,' Disaggregation - Section E '!A$618:J3011,10,0)),"")</f>
        <v/>
      </c>
      <c r="O2685" s="384"/>
    </row>
    <row r="2686" spans="1:15" x14ac:dyDescent="0.3">
      <c r="A2686" s="384" t="b">
        <f t="shared" ca="1" si="144"/>
        <v>0</v>
      </c>
      <c r="B2686" s="384"/>
      <c r="C2686" s="393" t="str">
        <f ca="1">IF(COUNTA(O$1493:O2686)=1,"",OFFSET(B2684,-COUNTA(O$1493:O2686)+3,1))</f>
        <v>a16Dm000000LZj3IAG</v>
      </c>
      <c r="D2686" s="389"/>
      <c r="E2686" s="386" t="str">
        <f ca="1">IFERROR(IF(VLOOKUP(C2686,' Disaggregation - Section E '!A$618:J3012,7,0)="","",VLOOKUP(C2686,' Disaggregation - Section E '!A$618:J3012,7,0)*100),"")</f>
        <v/>
      </c>
      <c r="F2686" s="388" t="str">
        <f ca="1">IFERROR(VLOOKUP(C2686,' Disaggregation - Section E '!A$618:J3012,5,0),"")</f>
        <v/>
      </c>
      <c r="G2686" s="387" t="str">
        <f ca="1">IFERROR(IF(VLOOKUP(C2686,' Disaggregation - Section E '!A$618:J3012,6,0)="","",VLOOKUP(C2686,' Disaggregation - Section E '!A$618:J3012,6,0)),"")</f>
        <v/>
      </c>
      <c r="H2686" s="387" t="str">
        <f ca="1">IFERROR(IF(INDEX(' Disaggregation - Section E '!F$618:F3012,MATCH(C2686,' Disaggregation - Section E '!A$618:A3012,0)+1,1)&lt;&gt;0,INDEX(' Disaggregation - Section E '!F$618:F3012,MATCH(C2686,' Disaggregation - Section E '!A$618:A3012,0)+1,1),""),"")</f>
        <v/>
      </c>
      <c r="I2686" s="388" t="str">
        <f ca="1">IFERROR(IF(VLOOKUP(C2686,' Disaggregation - Section E '!A$618:J3012,8,0)=0,"",VLOOKUP(C2686,' Disaggregation - Section E '!A$618:J3012,8,0)),"")</f>
        <v/>
      </c>
      <c r="J2686" s="388" t="str">
        <f ca="1">IFERROR(IF(VLOOKUP(C2686,' Disaggregation - Section E '!A$618:J3012,9,0)="","",VLOOKUP(C2686,' Disaggregation - Section E '!A$618:J3012,9,0)),"")</f>
        <v/>
      </c>
      <c r="K2686" s="384" t="str">
        <f ca="1">IFERROR(VLOOKUP(C2686,' Disaggregation - Section E '!A$618:J3012,3,0),"")</f>
        <v/>
      </c>
      <c r="L2686" s="384"/>
      <c r="M2686" s="384" t="str">
        <f ca="1">IFERROR(IF(VLOOKUP(C2686,' Disaggregation - Section E '!A$618:O1815,15,0)=0,"",VLOOKUP(C2686,' Disaggregation - Section E '!A$618:O1815,15,0)),"")</f>
        <v/>
      </c>
      <c r="N2686" s="388" t="str">
        <f ca="1">IFERROR(IF(VLOOKUP(C2686,' Disaggregation - Section E '!A$618:J3012,10,0)=0,"",VLOOKUP(C2686,' Disaggregation - Section E '!A$618:J3012,10,0)),"")</f>
        <v/>
      </c>
      <c r="O2686" s="384"/>
    </row>
    <row r="2687" spans="1:15" x14ac:dyDescent="0.3">
      <c r="A2687" s="384" t="b">
        <f t="shared" ca="1" si="144"/>
        <v>0</v>
      </c>
      <c r="B2687" s="384"/>
      <c r="C2687" s="393" t="str">
        <f ca="1">IF(COUNTA(O$1493:O2687)=1,"",OFFSET(B2685,-COUNTA(O$1493:O2687)+3,1))</f>
        <v>a16Dm000000LZj4IAG</v>
      </c>
      <c r="D2687" s="389"/>
      <c r="E2687" s="386" t="str">
        <f ca="1">IFERROR(IF(VLOOKUP(C2687,' Disaggregation - Section E '!A$618:J3013,7,0)="","",VLOOKUP(C2687,' Disaggregation - Section E '!A$618:J3013,7,0)*100),"")</f>
        <v/>
      </c>
      <c r="F2687" s="388" t="str">
        <f ca="1">IFERROR(VLOOKUP(C2687,' Disaggregation - Section E '!A$618:J3013,5,0),"")</f>
        <v/>
      </c>
      <c r="G2687" s="387" t="str">
        <f ca="1">IFERROR(IF(VLOOKUP(C2687,' Disaggregation - Section E '!A$618:J3013,6,0)="","",VLOOKUP(C2687,' Disaggregation - Section E '!A$618:J3013,6,0)),"")</f>
        <v/>
      </c>
      <c r="H2687" s="387" t="str">
        <f ca="1">IFERROR(IF(INDEX(' Disaggregation - Section E '!F$618:F3013,MATCH(C2687,' Disaggregation - Section E '!A$618:A3013,0)+1,1)&lt;&gt;0,INDEX(' Disaggregation - Section E '!F$618:F3013,MATCH(C2687,' Disaggregation - Section E '!A$618:A3013,0)+1,1),""),"")</f>
        <v/>
      </c>
      <c r="I2687" s="388" t="str">
        <f ca="1">IFERROR(IF(VLOOKUP(C2687,' Disaggregation - Section E '!A$618:J3013,8,0)=0,"",VLOOKUP(C2687,' Disaggregation - Section E '!A$618:J3013,8,0)),"")</f>
        <v/>
      </c>
      <c r="J2687" s="388" t="str">
        <f ca="1">IFERROR(IF(VLOOKUP(C2687,' Disaggregation - Section E '!A$618:J3013,9,0)="","",VLOOKUP(C2687,' Disaggregation - Section E '!A$618:J3013,9,0)),"")</f>
        <v/>
      </c>
      <c r="K2687" s="384" t="str">
        <f ca="1">IFERROR(VLOOKUP(C2687,' Disaggregation - Section E '!A$618:J3013,3,0),"")</f>
        <v/>
      </c>
      <c r="L2687" s="384"/>
      <c r="M2687" s="384" t="str">
        <f ca="1">IFERROR(IF(VLOOKUP(C2687,' Disaggregation - Section E '!A$618:O1816,15,0)=0,"",VLOOKUP(C2687,' Disaggregation - Section E '!A$618:O1816,15,0)),"")</f>
        <v/>
      </c>
      <c r="N2687" s="388" t="str">
        <f ca="1">IFERROR(IF(VLOOKUP(C2687,' Disaggregation - Section E '!A$618:J3013,10,0)=0,"",VLOOKUP(C2687,' Disaggregation - Section E '!A$618:J3013,10,0)),"")</f>
        <v/>
      </c>
      <c r="O2687" s="384"/>
    </row>
    <row r="2688" spans="1:15" x14ac:dyDescent="0.3">
      <c r="A2688" s="384" t="b">
        <f t="shared" ca="1" si="144"/>
        <v>0</v>
      </c>
      <c r="B2688" s="384"/>
      <c r="C2688" s="393" t="str">
        <f ca="1">IF(COUNTA(O$1493:O2688)=1,"",OFFSET(B2686,-COUNTA(O$1493:O2688)+3,1))</f>
        <v>a16Dm000000LZj5IAG</v>
      </c>
      <c r="D2688" s="389"/>
      <c r="E2688" s="386" t="str">
        <f ca="1">IFERROR(IF(VLOOKUP(C2688,' Disaggregation - Section E '!A$618:J3014,7,0)="","",VLOOKUP(C2688,' Disaggregation - Section E '!A$618:J3014,7,0)*100),"")</f>
        <v/>
      </c>
      <c r="F2688" s="388" t="str">
        <f ca="1">IFERROR(VLOOKUP(C2688,' Disaggregation - Section E '!A$618:J3014,5,0),"")</f>
        <v/>
      </c>
      <c r="G2688" s="387" t="str">
        <f ca="1">IFERROR(IF(VLOOKUP(C2688,' Disaggregation - Section E '!A$618:J3014,6,0)="","",VLOOKUP(C2688,' Disaggregation - Section E '!A$618:J3014,6,0)),"")</f>
        <v/>
      </c>
      <c r="H2688" s="387" t="str">
        <f ca="1">IFERROR(IF(INDEX(' Disaggregation - Section E '!F$618:F3014,MATCH(C2688,' Disaggregation - Section E '!A$618:A3014,0)+1,1)&lt;&gt;0,INDEX(' Disaggregation - Section E '!F$618:F3014,MATCH(C2688,' Disaggregation - Section E '!A$618:A3014,0)+1,1),""),"")</f>
        <v/>
      </c>
      <c r="I2688" s="388" t="str">
        <f ca="1">IFERROR(IF(VLOOKUP(C2688,' Disaggregation - Section E '!A$618:J3014,8,0)=0,"",VLOOKUP(C2688,' Disaggregation - Section E '!A$618:J3014,8,0)),"")</f>
        <v/>
      </c>
      <c r="J2688" s="388" t="str">
        <f ca="1">IFERROR(IF(VLOOKUP(C2688,' Disaggregation - Section E '!A$618:J3014,9,0)="","",VLOOKUP(C2688,' Disaggregation - Section E '!A$618:J3014,9,0)),"")</f>
        <v/>
      </c>
      <c r="K2688" s="384" t="str">
        <f ca="1">IFERROR(VLOOKUP(C2688,' Disaggregation - Section E '!A$618:J3014,3,0),"")</f>
        <v/>
      </c>
      <c r="L2688" s="384"/>
      <c r="M2688" s="384" t="str">
        <f ca="1">IFERROR(IF(VLOOKUP(C2688,' Disaggregation - Section E '!A$618:O1817,15,0)=0,"",VLOOKUP(C2688,' Disaggregation - Section E '!A$618:O1817,15,0)),"")</f>
        <v/>
      </c>
      <c r="N2688" s="388" t="str">
        <f ca="1">IFERROR(IF(VLOOKUP(C2688,' Disaggregation - Section E '!A$618:J3014,10,0)=0,"",VLOOKUP(C2688,' Disaggregation - Section E '!A$618:J3014,10,0)),"")</f>
        <v/>
      </c>
      <c r="O2688" s="384"/>
    </row>
    <row r="2689" spans="1:20" x14ac:dyDescent="0.3">
      <c r="A2689" s="384" t="b">
        <f t="shared" ca="1" si="144"/>
        <v>0</v>
      </c>
      <c r="B2689" s="384"/>
      <c r="C2689" s="393" t="str">
        <f ca="1">IF(COUNTA(O$1493:O2689)=1,"",OFFSET(B2687,-COUNTA(O$1493:O2689)+3,1))</f>
        <v>a16Dm000000LZj6IAG</v>
      </c>
      <c r="D2689" s="389"/>
      <c r="E2689" s="386" t="str">
        <f ca="1">IFERROR(IF(VLOOKUP(C2689,' Disaggregation - Section E '!A$618:J3015,7,0)="","",VLOOKUP(C2689,' Disaggregation - Section E '!A$618:J3015,7,0)*100),"")</f>
        <v/>
      </c>
      <c r="F2689" s="388" t="str">
        <f ca="1">IFERROR(VLOOKUP(C2689,' Disaggregation - Section E '!A$618:J3015,5,0),"")</f>
        <v/>
      </c>
      <c r="G2689" s="387" t="str">
        <f ca="1">IFERROR(IF(VLOOKUP(C2689,' Disaggregation - Section E '!A$618:J3015,6,0)="","",VLOOKUP(C2689,' Disaggregation - Section E '!A$618:J3015,6,0)),"")</f>
        <v/>
      </c>
      <c r="H2689" s="387" t="str">
        <f ca="1">IFERROR(IF(INDEX(' Disaggregation - Section E '!F$618:F3015,MATCH(C2689,' Disaggregation - Section E '!A$618:A3015,0)+1,1)&lt;&gt;0,INDEX(' Disaggregation - Section E '!F$618:F3015,MATCH(C2689,' Disaggregation - Section E '!A$618:A3015,0)+1,1),""),"")</f>
        <v/>
      </c>
      <c r="I2689" s="388" t="str">
        <f ca="1">IFERROR(IF(VLOOKUP(C2689,' Disaggregation - Section E '!A$618:J3015,8,0)=0,"",VLOOKUP(C2689,' Disaggregation - Section E '!A$618:J3015,8,0)),"")</f>
        <v/>
      </c>
      <c r="J2689" s="388" t="str">
        <f ca="1">IFERROR(IF(VLOOKUP(C2689,' Disaggregation - Section E '!A$618:J3015,9,0)="","",VLOOKUP(C2689,' Disaggregation - Section E '!A$618:J3015,9,0)),"")</f>
        <v/>
      </c>
      <c r="K2689" s="384" t="str">
        <f ca="1">IFERROR(VLOOKUP(C2689,' Disaggregation - Section E '!A$618:J3015,3,0),"")</f>
        <v/>
      </c>
      <c r="L2689" s="384"/>
      <c r="M2689" s="384" t="str">
        <f ca="1">IFERROR(IF(VLOOKUP(C2689,' Disaggregation - Section E '!A$618:O1818,15,0)=0,"",VLOOKUP(C2689,' Disaggregation - Section E '!A$618:O1818,15,0)),"")</f>
        <v/>
      </c>
      <c r="N2689" s="388" t="str">
        <f ca="1">IFERROR(IF(VLOOKUP(C2689,' Disaggregation - Section E '!A$618:J3015,10,0)=0,"",VLOOKUP(C2689,' Disaggregation - Section E '!A$618:J3015,10,0)),"")</f>
        <v/>
      </c>
      <c r="O2689" s="384"/>
    </row>
    <row r="2690" spans="1:20" x14ac:dyDescent="0.3">
      <c r="A2690" s="384" t="b">
        <f t="shared" ca="1" si="144"/>
        <v>0</v>
      </c>
      <c r="B2690" s="384"/>
      <c r="C2690" s="393" t="str">
        <f ca="1">IF(COUNTA(O$1493:O2690)=1,"",OFFSET(B2688,-COUNTA(O$1493:O2690)+3,1))</f>
        <v>a16Dm000000LZj7IAG</v>
      </c>
      <c r="D2690" s="389"/>
      <c r="E2690" s="386" t="str">
        <f ca="1">IFERROR(IF(VLOOKUP(C2690,' Disaggregation - Section E '!A$618:J3016,7,0)="","",VLOOKUP(C2690,' Disaggregation - Section E '!A$618:J3016,7,0)*100),"")</f>
        <v/>
      </c>
      <c r="F2690" s="388" t="str">
        <f ca="1">IFERROR(VLOOKUP(C2690,' Disaggregation - Section E '!A$618:J3016,5,0),"")</f>
        <v/>
      </c>
      <c r="G2690" s="387" t="str">
        <f ca="1">IFERROR(IF(VLOOKUP(C2690,' Disaggregation - Section E '!A$618:J3016,6,0)="","",VLOOKUP(C2690,' Disaggregation - Section E '!A$618:J3016,6,0)),"")</f>
        <v/>
      </c>
      <c r="H2690" s="387" t="str">
        <f ca="1">IFERROR(IF(INDEX(' Disaggregation - Section E '!F$618:F3016,MATCH(C2690,' Disaggregation - Section E '!A$618:A3016,0)+1,1)&lt;&gt;0,INDEX(' Disaggregation - Section E '!F$618:F3016,MATCH(C2690,' Disaggregation - Section E '!A$618:A3016,0)+1,1),""),"")</f>
        <v/>
      </c>
      <c r="I2690" s="388" t="str">
        <f ca="1">IFERROR(IF(VLOOKUP(C2690,' Disaggregation - Section E '!A$618:J3016,8,0)=0,"",VLOOKUP(C2690,' Disaggregation - Section E '!A$618:J3016,8,0)),"")</f>
        <v/>
      </c>
      <c r="J2690" s="388" t="str">
        <f ca="1">IFERROR(IF(VLOOKUP(C2690,' Disaggregation - Section E '!A$618:J3016,9,0)="","",VLOOKUP(C2690,' Disaggregation - Section E '!A$618:J3016,9,0)),"")</f>
        <v/>
      </c>
      <c r="K2690" s="384" t="str">
        <f ca="1">IFERROR(VLOOKUP(C2690,' Disaggregation - Section E '!A$618:J3016,3,0),"")</f>
        <v/>
      </c>
      <c r="L2690" s="384"/>
      <c r="M2690" s="384" t="str">
        <f ca="1">IFERROR(IF(VLOOKUP(C2690,' Disaggregation - Section E '!A$618:O1819,15,0)=0,"",VLOOKUP(C2690,' Disaggregation - Section E '!A$618:O1819,15,0)),"")</f>
        <v/>
      </c>
      <c r="N2690" s="388" t="str">
        <f ca="1">IFERROR(IF(VLOOKUP(C2690,' Disaggregation - Section E '!A$618:J3016,10,0)=0,"",VLOOKUP(C2690,' Disaggregation - Section E '!A$618:J3016,10,0)),"")</f>
        <v/>
      </c>
      <c r="O2690" s="384"/>
    </row>
    <row r="2691" spans="1:20" x14ac:dyDescent="0.3">
      <c r="A2691" s="384" t="b">
        <f t="shared" ca="1" si="144"/>
        <v>0</v>
      </c>
      <c r="B2691" s="384"/>
      <c r="C2691" s="393" t="str">
        <f ca="1">IF(COUNTA(O$1493:O2691)=1,"",OFFSET(B2689,-COUNTA(O$1493:O2691)+3,1))</f>
        <v>a16Dm000000LZj8IAG</v>
      </c>
      <c r="D2691" s="389"/>
      <c r="E2691" s="386" t="str">
        <f ca="1">IFERROR(IF(VLOOKUP(C2691,' Disaggregation - Section E '!A$618:J3017,7,0)="","",VLOOKUP(C2691,' Disaggregation - Section E '!A$618:J3017,7,0)*100),"")</f>
        <v/>
      </c>
      <c r="F2691" s="388" t="str">
        <f ca="1">IFERROR(VLOOKUP(C2691,' Disaggregation - Section E '!A$618:J3017,5,0),"")</f>
        <v/>
      </c>
      <c r="G2691" s="387" t="str">
        <f ca="1">IFERROR(IF(VLOOKUP(C2691,' Disaggregation - Section E '!A$618:J3017,6,0)="","",VLOOKUP(C2691,' Disaggregation - Section E '!A$618:J3017,6,0)),"")</f>
        <v/>
      </c>
      <c r="H2691" s="387" t="str">
        <f ca="1">IFERROR(IF(INDEX(' Disaggregation - Section E '!F$618:F3017,MATCH(C2691,' Disaggregation - Section E '!A$618:A3017,0)+1,1)&lt;&gt;0,INDEX(' Disaggregation - Section E '!F$618:F3017,MATCH(C2691,' Disaggregation - Section E '!A$618:A3017,0)+1,1),""),"")</f>
        <v/>
      </c>
      <c r="I2691" s="388" t="str">
        <f ca="1">IFERROR(IF(VLOOKUP(C2691,' Disaggregation - Section E '!A$618:J3017,8,0)=0,"",VLOOKUP(C2691,' Disaggregation - Section E '!A$618:J3017,8,0)),"")</f>
        <v/>
      </c>
      <c r="J2691" s="388" t="str">
        <f ca="1">IFERROR(IF(VLOOKUP(C2691,' Disaggregation - Section E '!A$618:J3017,9,0)="","",VLOOKUP(C2691,' Disaggregation - Section E '!A$618:J3017,9,0)),"")</f>
        <v/>
      </c>
      <c r="K2691" s="384" t="str">
        <f ca="1">IFERROR(VLOOKUP(C2691,' Disaggregation - Section E '!A$618:J3017,3,0),"")</f>
        <v/>
      </c>
      <c r="L2691" s="384"/>
      <c r="M2691" s="384" t="str">
        <f ca="1">IFERROR(IF(VLOOKUP(C2691,' Disaggregation - Section E '!A$618:O1820,15,0)=0,"",VLOOKUP(C2691,' Disaggregation - Section E '!A$618:O1820,15,0)),"")</f>
        <v/>
      </c>
      <c r="N2691" s="388" t="str">
        <f ca="1">IFERROR(IF(VLOOKUP(C2691,' Disaggregation - Section E '!A$618:J3017,10,0)=0,"",VLOOKUP(C2691,' Disaggregation - Section E '!A$618:J3017,10,0)),"")</f>
        <v/>
      </c>
      <c r="O2691" s="384"/>
    </row>
    <row r="2692" spans="1:20" x14ac:dyDescent="0.3">
      <c r="A2692" s="384" t="b">
        <f t="shared" ca="1" si="144"/>
        <v>0</v>
      </c>
      <c r="B2692" s="384"/>
      <c r="C2692" s="393" t="str">
        <f ca="1">IF(COUNTA(O$1493:O2692)=1,"",OFFSET(B2690,-COUNTA(O$1493:O2692)+3,1))</f>
        <v>a16Dm000000LZj9IAG</v>
      </c>
      <c r="D2692" s="389"/>
      <c r="E2692" s="386" t="str">
        <f ca="1">IFERROR(IF(VLOOKUP(C2692,' Disaggregation - Section E '!A$618:J3018,7,0)="","",VLOOKUP(C2692,' Disaggregation - Section E '!A$618:J3018,7,0)*100),"")</f>
        <v/>
      </c>
      <c r="F2692" s="388" t="str">
        <f ca="1">IFERROR(VLOOKUP(C2692,' Disaggregation - Section E '!A$618:J3018,5,0),"")</f>
        <v/>
      </c>
      <c r="G2692" s="387" t="str">
        <f ca="1">IFERROR(IF(VLOOKUP(C2692,' Disaggregation - Section E '!A$618:J3018,6,0)="","",VLOOKUP(C2692,' Disaggregation - Section E '!A$618:J3018,6,0)),"")</f>
        <v/>
      </c>
      <c r="H2692" s="387" t="str">
        <f ca="1">IFERROR(IF(INDEX(' Disaggregation - Section E '!F$618:F3018,MATCH(C2692,' Disaggregation - Section E '!A$618:A3018,0)+1,1)&lt;&gt;0,INDEX(' Disaggregation - Section E '!F$618:F3018,MATCH(C2692,' Disaggregation - Section E '!A$618:A3018,0)+1,1),""),"")</f>
        <v/>
      </c>
      <c r="I2692" s="388" t="str">
        <f ca="1">IFERROR(IF(VLOOKUP(C2692,' Disaggregation - Section E '!A$618:J3018,8,0)=0,"",VLOOKUP(C2692,' Disaggregation - Section E '!A$618:J3018,8,0)),"")</f>
        <v/>
      </c>
      <c r="J2692" s="388" t="str">
        <f ca="1">IFERROR(IF(VLOOKUP(C2692,' Disaggregation - Section E '!A$618:J3018,9,0)="","",VLOOKUP(C2692,' Disaggregation - Section E '!A$618:J3018,9,0)),"")</f>
        <v/>
      </c>
      <c r="K2692" s="384" t="str">
        <f ca="1">IFERROR(VLOOKUP(C2692,' Disaggregation - Section E '!A$618:J3018,3,0),"")</f>
        <v/>
      </c>
      <c r="L2692" s="384"/>
      <c r="M2692" s="384" t="str">
        <f ca="1">IFERROR(IF(VLOOKUP(C2692,' Disaggregation - Section E '!A$618:O1821,15,0)=0,"",VLOOKUP(C2692,' Disaggregation - Section E '!A$618:O1821,15,0)),"")</f>
        <v/>
      </c>
      <c r="N2692" s="388" t="str">
        <f ca="1">IFERROR(IF(VLOOKUP(C2692,' Disaggregation - Section E '!A$618:J3018,10,0)=0,"",VLOOKUP(C2692,' Disaggregation - Section E '!A$618:J3018,10,0)),"")</f>
        <v/>
      </c>
      <c r="O2692" s="384"/>
    </row>
    <row r="2693" spans="1:20" x14ac:dyDescent="0.3">
      <c r="A2693" s="384" t="b">
        <f t="shared" ca="1" si="144"/>
        <v>0</v>
      </c>
      <c r="B2693" s="384"/>
      <c r="C2693" s="393" t="str">
        <f ca="1">IF(COUNTA(O$1493:O2693)=1,"",OFFSET(B2691,-COUNTA(O$1493:O2693)+3,1))</f>
        <v>a16Dm000000LZjAIAW</v>
      </c>
      <c r="D2693" s="389"/>
      <c r="E2693" s="386" t="str">
        <f ca="1">IFERROR(IF(VLOOKUP(C2693,' Disaggregation - Section E '!A$618:J3019,7,0)="","",VLOOKUP(C2693,' Disaggregation - Section E '!A$618:J3019,7,0)*100),"")</f>
        <v/>
      </c>
      <c r="F2693" s="388" t="str">
        <f ca="1">IFERROR(VLOOKUP(C2693,' Disaggregation - Section E '!A$618:J3019,5,0),"")</f>
        <v/>
      </c>
      <c r="G2693" s="387" t="str">
        <f ca="1">IFERROR(IF(VLOOKUP(C2693,' Disaggregation - Section E '!A$618:J3019,6,0)="","",VLOOKUP(C2693,' Disaggregation - Section E '!A$618:J3019,6,0)),"")</f>
        <v/>
      </c>
      <c r="H2693" s="387" t="str">
        <f ca="1">IFERROR(IF(INDEX(' Disaggregation - Section E '!F$618:F3019,MATCH(C2693,' Disaggregation - Section E '!A$618:A3019,0)+1,1)&lt;&gt;0,INDEX(' Disaggregation - Section E '!F$618:F3019,MATCH(C2693,' Disaggregation - Section E '!A$618:A3019,0)+1,1),""),"")</f>
        <v/>
      </c>
      <c r="I2693" s="388" t="str">
        <f ca="1">IFERROR(IF(VLOOKUP(C2693,' Disaggregation - Section E '!A$618:J3019,8,0)=0,"",VLOOKUP(C2693,' Disaggregation - Section E '!A$618:J3019,8,0)),"")</f>
        <v/>
      </c>
      <c r="J2693" s="388" t="str">
        <f ca="1">IFERROR(IF(VLOOKUP(C2693,' Disaggregation - Section E '!A$618:J3019,9,0)="","",VLOOKUP(C2693,' Disaggregation - Section E '!A$618:J3019,9,0)),"")</f>
        <v/>
      </c>
      <c r="K2693" s="384" t="str">
        <f ca="1">IFERROR(VLOOKUP(C2693,' Disaggregation - Section E '!A$618:J3019,3,0),"")</f>
        <v/>
      </c>
      <c r="L2693" s="384"/>
      <c r="M2693" s="384" t="str">
        <f ca="1">IFERROR(IF(VLOOKUP(C2693,' Disaggregation - Section E '!A$618:O1822,15,0)=0,"",VLOOKUP(C2693,' Disaggregation - Section E '!A$618:O1822,15,0)),"")</f>
        <v/>
      </c>
      <c r="N2693" s="388" t="str">
        <f ca="1">IFERROR(IF(VLOOKUP(C2693,' Disaggregation - Section E '!A$618:J3019,10,0)=0,"",VLOOKUP(C2693,' Disaggregation - Section E '!A$618:J3019,10,0)),"")</f>
        <v/>
      </c>
      <c r="O2693" s="384"/>
    </row>
    <row r="2694" spans="1:20" x14ac:dyDescent="0.3">
      <c r="A2694" s="384" t="b">
        <f t="shared" ca="1" si="144"/>
        <v>0</v>
      </c>
      <c r="B2694" s="384"/>
      <c r="C2694" s="393" t="str">
        <f ca="1">IF(COUNTA(O$1493:O2694)=1,"",OFFSET(B2692,-COUNTA(O$1493:O2694)+3,1))</f>
        <v>a16Dm000000LZjBIAW</v>
      </c>
      <c r="D2694" s="389"/>
      <c r="E2694" s="386" t="str">
        <f ca="1">IFERROR(IF(VLOOKUP(C2694,' Disaggregation - Section E '!A$618:J3020,7,0)="","",VLOOKUP(C2694,' Disaggregation - Section E '!A$618:J3020,7,0)*100),"")</f>
        <v/>
      </c>
      <c r="F2694" s="388" t="str">
        <f ca="1">IFERROR(VLOOKUP(C2694,' Disaggregation - Section E '!A$618:J3020,5,0),"")</f>
        <v/>
      </c>
      <c r="G2694" s="387" t="str">
        <f ca="1">IFERROR(IF(VLOOKUP(C2694,' Disaggregation - Section E '!A$618:J3020,6,0)="","",VLOOKUP(C2694,' Disaggregation - Section E '!A$618:J3020,6,0)),"")</f>
        <v/>
      </c>
      <c r="H2694" s="387" t="str">
        <f ca="1">IFERROR(IF(INDEX(' Disaggregation - Section E '!F$618:F3020,MATCH(C2694,' Disaggregation - Section E '!A$618:A3020,0)+1,1)&lt;&gt;0,INDEX(' Disaggregation - Section E '!F$618:F3020,MATCH(C2694,' Disaggregation - Section E '!A$618:A3020,0)+1,1),""),"")</f>
        <v/>
      </c>
      <c r="I2694" s="388" t="str">
        <f ca="1">IFERROR(IF(VLOOKUP(C2694,' Disaggregation - Section E '!A$618:J3020,8,0)=0,"",VLOOKUP(C2694,' Disaggregation - Section E '!A$618:J3020,8,0)),"")</f>
        <v/>
      </c>
      <c r="J2694" s="388" t="str">
        <f ca="1">IFERROR(IF(VLOOKUP(C2694,' Disaggregation - Section E '!A$618:J3020,9,0)="","",VLOOKUP(C2694,' Disaggregation - Section E '!A$618:J3020,9,0)),"")</f>
        <v/>
      </c>
      <c r="K2694" s="384" t="str">
        <f ca="1">IFERROR(VLOOKUP(C2694,' Disaggregation - Section E '!A$618:J3020,3,0),"")</f>
        <v/>
      </c>
      <c r="L2694" s="384"/>
      <c r="M2694" s="384" t="str">
        <f ca="1">IFERROR(IF(VLOOKUP(C2694,' Disaggregation - Section E '!A$618:O1823,15,0)=0,"",VLOOKUP(C2694,' Disaggregation - Section E '!A$618:O1823,15,0)),"")</f>
        <v/>
      </c>
      <c r="N2694" s="388" t="str">
        <f ca="1">IFERROR(IF(VLOOKUP(C2694,' Disaggregation - Section E '!A$618:J3020,10,0)=0,"",VLOOKUP(C2694,' Disaggregation - Section E '!A$618:J3020,10,0)),"")</f>
        <v/>
      </c>
      <c r="O2694" s="384"/>
    </row>
    <row r="2695" spans="1:20" x14ac:dyDescent="0.3">
      <c r="J2695" s="383" t="str">
        <f ca="1">IF(ROW()&gt;'Impact Indicator Target Update'!A19,"",INDIRECT("'Impact Indicators - Section B'!A"&amp;'Impact Indicator Target Update'!D19))</f>
        <v/>
      </c>
    </row>
    <row r="2696" spans="1:20" x14ac:dyDescent="0.3">
      <c r="J2696" s="383" t="str">
        <f ca="1">IF(ROW()&gt;'Impact Indicator Target Update'!A20,"",INDIRECT("'Impact Indicators - Section B'!A"&amp;'Impact Indicator Target Update'!D20))</f>
        <v/>
      </c>
    </row>
    <row r="2697" spans="1:20" x14ac:dyDescent="0.3">
      <c r="A2697" s="382" t="s">
        <v>3721</v>
      </c>
      <c r="B2697" s="383" t="s">
        <v>2282</v>
      </c>
      <c r="J2697" s="383" t="str">
        <f ca="1">IF(ROW()&gt;'Impact Indicator Target Update'!A21,"",INDIRECT("'Impact Indicators - Section B'!A"&amp;'Impact Indicator Target Update'!D21))</f>
        <v/>
      </c>
    </row>
    <row r="2698" spans="1:20" x14ac:dyDescent="0.3">
      <c r="A2698" s="384" t="s">
        <v>325</v>
      </c>
      <c r="B2698" s="384">
        <v>7</v>
      </c>
      <c r="C2698" s="384" t="s">
        <v>318</v>
      </c>
      <c r="D2698" s="384" t="s">
        <v>3722</v>
      </c>
      <c r="E2698" s="384" t="s">
        <v>3723</v>
      </c>
      <c r="F2698" s="384" t="s">
        <v>2275</v>
      </c>
      <c r="G2698" s="384" t="s">
        <v>3724</v>
      </c>
      <c r="H2698" s="384"/>
      <c r="I2698" s="384" t="s">
        <v>2299</v>
      </c>
      <c r="J2698" s="384" t="s">
        <v>2084</v>
      </c>
      <c r="K2698" s="384"/>
      <c r="L2698" s="384"/>
      <c r="M2698" s="384" t="s">
        <v>329</v>
      </c>
      <c r="N2698" s="384" t="s">
        <v>327</v>
      </c>
      <c r="O2698" s="384"/>
      <c r="P2698" s="384" t="s">
        <v>176</v>
      </c>
      <c r="Q2698" s="384" t="s">
        <v>1046</v>
      </c>
      <c r="R2698" s="384" t="s">
        <v>258</v>
      </c>
      <c r="S2698" s="384" t="s">
        <v>3722</v>
      </c>
      <c r="T2698" s="384" t="s">
        <v>3725</v>
      </c>
    </row>
    <row r="2699" spans="1:20" hidden="1" x14ac:dyDescent="0.3">
      <c r="A2699" s="384" t="b">
        <f ca="1">IF(F2699&lt;&gt;"",TRUE,FALSE)</f>
        <v>1</v>
      </c>
      <c r="B2699" s="384">
        <f>IF(_xlfn.ISFORMULA(J2699),B2698+1,B2698)</f>
        <v>8</v>
      </c>
      <c r="C2699" s="397" t="str">
        <f ca="1">IF(COUNTA($G$2697:G2698)=1,"",OFFSET(B2699,-COUNTA($G$2697:G2698)+1,1))</f>
        <v/>
      </c>
      <c r="D2699" s="384" t="str">
        <f ca="1">IFERROR(IF(INDIRECT("'WPTM - Section F'!AC"&amp;B2699)=0,"",INDIRECT("'WPTM - Section F'!AC"&amp;B2699)),"")</f>
        <v/>
      </c>
      <c r="E2699" s="388"/>
      <c r="F2699" s="388" t="str">
        <f ca="1">IFERROR(IF(INDIRECT("'WPTM - Section F'!D"&amp;B2699)=0,"",INDIRECT("'WPTM - Section F'!D"&amp;B2699)),"")</f>
        <v>Key Activity</v>
      </c>
      <c r="G2699" s="401"/>
      <c r="H2699" s="384"/>
      <c r="I2699" s="384" t="str">
        <f ca="1">IFERROR(VLOOKUP(INDIRECT("'WPTM - Section F'!E"&amp;B2699),'Overview - Section A'!M$30:R41,6,0),IFERROR(VLOOKUP(INDIRECT("'WPTM - Section F'!E"&amp;B2699),'Overview - Section A'!E$27:J29,6,0),""))</f>
        <v/>
      </c>
      <c r="J2699" s="384" t="str">
        <f ca="1">IFERROR(IF(INDIRECT("'WPTM - Section F'!F"&amp;B2699)=0,"",INDIRECT("'WPTM - Section F'!F"&amp;B2699)),"")</f>
        <v>Country</v>
      </c>
      <c r="K2699" s="384"/>
      <c r="L2699" s="384"/>
      <c r="M2699" s="388" t="s">
        <v>320</v>
      </c>
      <c r="N2699" s="388" t="s">
        <v>3726</v>
      </c>
      <c r="O2699" s="384"/>
      <c r="P2699" s="388" t="str">
        <f ca="1">IFERROR(IF(INDIRECT("'WPTM - Section F'!W"&amp;B2699)=0,"",INDIRECT("'WPTM - Section F'!W"&amp;B2699)),"")</f>
        <v>Comments</v>
      </c>
      <c r="Q2699" s="388" t="s">
        <v>3727</v>
      </c>
      <c r="R2699" s="388" t="str">
        <f ca="1">IFERROR(IF(INDIRECT("'WPTM - Section F'!C"&amp;B2699)=0,"",INDIRECT("'WPTM - Section F'!C"&amp;B2699)),"")</f>
        <v>Interventions</v>
      </c>
      <c r="S2699" s="388" t="s">
        <v>476</v>
      </c>
      <c r="T2699" s="389" t="s">
        <v>3728</v>
      </c>
    </row>
    <row r="2700" spans="1:20" x14ac:dyDescent="0.3">
      <c r="A2700" s="384" t="b">
        <v>0</v>
      </c>
      <c r="B2700" s="384">
        <f t="shared" ref="B2700:B2763" si="145">IF(_xlfn.ISFORMULA(J2700),B2699+1,B2699)</f>
        <v>8</v>
      </c>
      <c r="C2700" s="397" t="s">
        <v>3729</v>
      </c>
      <c r="D2700" s="384" t="s">
        <v>478</v>
      </c>
      <c r="E2700" s="388"/>
      <c r="F2700" s="388"/>
      <c r="G2700" s="401" t="s">
        <v>3730</v>
      </c>
      <c r="H2700" s="384"/>
      <c r="I2700" s="384"/>
      <c r="J2700" s="384"/>
      <c r="K2700" s="384"/>
      <c r="L2700" s="384"/>
      <c r="M2700" s="388"/>
      <c r="N2700" s="388"/>
      <c r="O2700" s="384"/>
      <c r="P2700" s="388"/>
      <c r="Q2700" s="388"/>
      <c r="R2700" s="388"/>
      <c r="S2700" s="388"/>
      <c r="T2700" s="389">
        <v>1</v>
      </c>
    </row>
    <row r="2701" spans="1:20" x14ac:dyDescent="0.3">
      <c r="A2701" s="384" t="b">
        <v>0</v>
      </c>
      <c r="B2701" s="384">
        <f t="shared" si="145"/>
        <v>8</v>
      </c>
      <c r="C2701" s="397" t="s">
        <v>3731</v>
      </c>
      <c r="D2701" s="384" t="s">
        <v>478</v>
      </c>
      <c r="E2701" s="388"/>
      <c r="F2701" s="388"/>
      <c r="G2701" s="401" t="s">
        <v>3732</v>
      </c>
      <c r="H2701" s="384"/>
      <c r="I2701" s="384"/>
      <c r="J2701" s="384"/>
      <c r="K2701" s="384"/>
      <c r="L2701" s="384"/>
      <c r="M2701" s="388"/>
      <c r="N2701" s="388"/>
      <c r="O2701" s="384"/>
      <c r="P2701" s="388"/>
      <c r="Q2701" s="388"/>
      <c r="R2701" s="388"/>
      <c r="S2701" s="388"/>
      <c r="T2701" s="389">
        <v>2</v>
      </c>
    </row>
    <row r="2702" spans="1:20" x14ac:dyDescent="0.3">
      <c r="A2702" s="384" t="b">
        <v>0</v>
      </c>
      <c r="B2702" s="384">
        <f t="shared" si="145"/>
        <v>8</v>
      </c>
      <c r="C2702" s="397" t="s">
        <v>3733</v>
      </c>
      <c r="D2702" s="384" t="s">
        <v>478</v>
      </c>
      <c r="E2702" s="388"/>
      <c r="F2702" s="388"/>
      <c r="G2702" s="401" t="s">
        <v>3734</v>
      </c>
      <c r="H2702" s="384"/>
      <c r="I2702" s="384"/>
      <c r="J2702" s="384"/>
      <c r="K2702" s="384"/>
      <c r="L2702" s="384"/>
      <c r="M2702" s="388"/>
      <c r="N2702" s="388"/>
      <c r="O2702" s="384"/>
      <c r="P2702" s="388"/>
      <c r="Q2702" s="388"/>
      <c r="R2702" s="388"/>
      <c r="S2702" s="388"/>
      <c r="T2702" s="389">
        <v>3</v>
      </c>
    </row>
    <row r="2703" spans="1:20" x14ac:dyDescent="0.3">
      <c r="A2703" s="384" t="b">
        <v>0</v>
      </c>
      <c r="B2703" s="384">
        <f t="shared" si="145"/>
        <v>8</v>
      </c>
      <c r="C2703" s="397" t="s">
        <v>3735</v>
      </c>
      <c r="D2703" s="384" t="s">
        <v>478</v>
      </c>
      <c r="E2703" s="388"/>
      <c r="F2703" s="388"/>
      <c r="G2703" s="401" t="s">
        <v>3736</v>
      </c>
      <c r="H2703" s="384"/>
      <c r="I2703" s="384"/>
      <c r="J2703" s="384"/>
      <c r="K2703" s="384"/>
      <c r="L2703" s="384"/>
      <c r="M2703" s="388"/>
      <c r="N2703" s="388"/>
      <c r="O2703" s="384"/>
      <c r="P2703" s="388"/>
      <c r="Q2703" s="388"/>
      <c r="R2703" s="388"/>
      <c r="S2703" s="388"/>
      <c r="T2703" s="389">
        <v>4</v>
      </c>
    </row>
    <row r="2704" spans="1:20" x14ac:dyDescent="0.3">
      <c r="A2704" s="384" t="b">
        <v>0</v>
      </c>
      <c r="B2704" s="384">
        <f t="shared" si="145"/>
        <v>8</v>
      </c>
      <c r="C2704" s="397" t="s">
        <v>3737</v>
      </c>
      <c r="D2704" s="384" t="s">
        <v>478</v>
      </c>
      <c r="E2704" s="388"/>
      <c r="F2704" s="388"/>
      <c r="G2704" s="401" t="s">
        <v>3738</v>
      </c>
      <c r="H2704" s="384"/>
      <c r="I2704" s="384"/>
      <c r="J2704" s="384"/>
      <c r="K2704" s="384"/>
      <c r="L2704" s="384"/>
      <c r="M2704" s="388"/>
      <c r="N2704" s="388"/>
      <c r="O2704" s="384"/>
      <c r="P2704" s="388"/>
      <c r="Q2704" s="388"/>
      <c r="R2704" s="388"/>
      <c r="S2704" s="388"/>
      <c r="T2704" s="389">
        <v>5</v>
      </c>
    </row>
    <row r="2705" spans="1:20" x14ac:dyDescent="0.3">
      <c r="A2705" s="384" t="b">
        <v>0</v>
      </c>
      <c r="B2705" s="384">
        <f t="shared" si="145"/>
        <v>8</v>
      </c>
      <c r="C2705" s="397" t="s">
        <v>3739</v>
      </c>
      <c r="D2705" s="384" t="s">
        <v>478</v>
      </c>
      <c r="E2705" s="388"/>
      <c r="F2705" s="388"/>
      <c r="G2705" s="401" t="s">
        <v>3740</v>
      </c>
      <c r="H2705" s="384"/>
      <c r="I2705" s="384"/>
      <c r="J2705" s="384"/>
      <c r="K2705" s="384"/>
      <c r="L2705" s="384"/>
      <c r="M2705" s="388"/>
      <c r="N2705" s="388"/>
      <c r="O2705" s="384"/>
      <c r="P2705" s="388"/>
      <c r="Q2705" s="388"/>
      <c r="R2705" s="388"/>
      <c r="S2705" s="388"/>
      <c r="T2705" s="389">
        <v>6</v>
      </c>
    </row>
    <row r="2706" spans="1:20" x14ac:dyDescent="0.3">
      <c r="A2706" s="384" t="b">
        <v>0</v>
      </c>
      <c r="B2706" s="384">
        <f t="shared" si="145"/>
        <v>8</v>
      </c>
      <c r="C2706" s="397" t="s">
        <v>3741</v>
      </c>
      <c r="D2706" s="384" t="s">
        <v>478</v>
      </c>
      <c r="E2706" s="388"/>
      <c r="F2706" s="388"/>
      <c r="G2706" s="401" t="s">
        <v>3742</v>
      </c>
      <c r="H2706" s="384"/>
      <c r="I2706" s="384"/>
      <c r="J2706" s="384"/>
      <c r="K2706" s="384"/>
      <c r="L2706" s="384"/>
      <c r="M2706" s="388"/>
      <c r="N2706" s="388"/>
      <c r="O2706" s="384"/>
      <c r="P2706" s="388"/>
      <c r="Q2706" s="388"/>
      <c r="R2706" s="388"/>
      <c r="S2706" s="388"/>
      <c r="T2706" s="389">
        <v>7</v>
      </c>
    </row>
    <row r="2707" spans="1:20" x14ac:dyDescent="0.3">
      <c r="A2707" s="384" t="b">
        <v>0</v>
      </c>
      <c r="B2707" s="384">
        <f t="shared" si="145"/>
        <v>8</v>
      </c>
      <c r="C2707" s="397" t="s">
        <v>3743</v>
      </c>
      <c r="D2707" s="384" t="s">
        <v>478</v>
      </c>
      <c r="E2707" s="388"/>
      <c r="F2707" s="388"/>
      <c r="G2707" s="401" t="s">
        <v>3744</v>
      </c>
      <c r="H2707" s="384"/>
      <c r="I2707" s="384"/>
      <c r="J2707" s="384"/>
      <c r="K2707" s="384"/>
      <c r="L2707" s="384"/>
      <c r="M2707" s="388"/>
      <c r="N2707" s="388"/>
      <c r="O2707" s="384"/>
      <c r="P2707" s="388"/>
      <c r="Q2707" s="388"/>
      <c r="R2707" s="388"/>
      <c r="S2707" s="388"/>
      <c r="T2707" s="389">
        <v>8</v>
      </c>
    </row>
    <row r="2708" spans="1:20" x14ac:dyDescent="0.3">
      <c r="A2708" s="384" t="b">
        <v>0</v>
      </c>
      <c r="B2708" s="384">
        <f t="shared" si="145"/>
        <v>8</v>
      </c>
      <c r="C2708" s="397" t="s">
        <v>3745</v>
      </c>
      <c r="D2708" s="384" t="s">
        <v>478</v>
      </c>
      <c r="E2708" s="388"/>
      <c r="F2708" s="388"/>
      <c r="G2708" s="401" t="s">
        <v>3746</v>
      </c>
      <c r="H2708" s="384"/>
      <c r="I2708" s="384"/>
      <c r="J2708" s="384"/>
      <c r="K2708" s="384"/>
      <c r="L2708" s="384"/>
      <c r="M2708" s="388"/>
      <c r="N2708" s="388"/>
      <c r="O2708" s="384"/>
      <c r="P2708" s="388"/>
      <c r="Q2708" s="388"/>
      <c r="R2708" s="388"/>
      <c r="S2708" s="388"/>
      <c r="T2708" s="389">
        <v>9</v>
      </c>
    </row>
    <row r="2709" spans="1:20" x14ac:dyDescent="0.3">
      <c r="A2709" s="384" t="b">
        <v>0</v>
      </c>
      <c r="B2709" s="384">
        <f t="shared" si="145"/>
        <v>8</v>
      </c>
      <c r="C2709" s="397" t="s">
        <v>3747</v>
      </c>
      <c r="D2709" s="384" t="s">
        <v>478</v>
      </c>
      <c r="E2709" s="388"/>
      <c r="F2709" s="388"/>
      <c r="G2709" s="401" t="s">
        <v>3748</v>
      </c>
      <c r="H2709" s="384"/>
      <c r="I2709" s="384"/>
      <c r="J2709" s="384"/>
      <c r="K2709" s="384"/>
      <c r="L2709" s="384"/>
      <c r="M2709" s="388"/>
      <c r="N2709" s="388"/>
      <c r="O2709" s="384"/>
      <c r="P2709" s="388"/>
      <c r="Q2709" s="388"/>
      <c r="R2709" s="388"/>
      <c r="S2709" s="388"/>
      <c r="T2709" s="389">
        <v>10</v>
      </c>
    </row>
    <row r="2710" spans="1:20" x14ac:dyDescent="0.3">
      <c r="A2710" s="384" t="b">
        <v>0</v>
      </c>
      <c r="B2710" s="384">
        <f t="shared" si="145"/>
        <v>8</v>
      </c>
      <c r="C2710" s="397" t="s">
        <v>3749</v>
      </c>
      <c r="D2710" s="384" t="s">
        <v>478</v>
      </c>
      <c r="E2710" s="388"/>
      <c r="F2710" s="388"/>
      <c r="G2710" s="401" t="s">
        <v>3750</v>
      </c>
      <c r="H2710" s="384"/>
      <c r="I2710" s="384"/>
      <c r="J2710" s="384"/>
      <c r="K2710" s="384"/>
      <c r="L2710" s="384"/>
      <c r="M2710" s="388"/>
      <c r="N2710" s="388"/>
      <c r="O2710" s="384"/>
      <c r="P2710" s="388"/>
      <c r="Q2710" s="388"/>
      <c r="R2710" s="388"/>
      <c r="S2710" s="388"/>
      <c r="T2710" s="389">
        <v>11</v>
      </c>
    </row>
    <row r="2711" spans="1:20" x14ac:dyDescent="0.3">
      <c r="A2711" s="384" t="b">
        <v>0</v>
      </c>
      <c r="B2711" s="384">
        <f t="shared" si="145"/>
        <v>8</v>
      </c>
      <c r="C2711" s="397" t="s">
        <v>3751</v>
      </c>
      <c r="D2711" s="384" t="s">
        <v>478</v>
      </c>
      <c r="E2711" s="388"/>
      <c r="F2711" s="388"/>
      <c r="G2711" s="401" t="s">
        <v>3752</v>
      </c>
      <c r="H2711" s="384"/>
      <c r="I2711" s="384"/>
      <c r="J2711" s="384"/>
      <c r="K2711" s="384"/>
      <c r="L2711" s="384"/>
      <c r="M2711" s="388"/>
      <c r="N2711" s="388"/>
      <c r="O2711" s="384"/>
      <c r="P2711" s="388"/>
      <c r="Q2711" s="388"/>
      <c r="R2711" s="388"/>
      <c r="S2711" s="388"/>
      <c r="T2711" s="389">
        <v>12</v>
      </c>
    </row>
    <row r="2712" spans="1:20" x14ac:dyDescent="0.3">
      <c r="A2712" s="384" t="b">
        <v>0</v>
      </c>
      <c r="B2712" s="384">
        <f t="shared" si="145"/>
        <v>8</v>
      </c>
      <c r="C2712" s="397" t="s">
        <v>3753</v>
      </c>
      <c r="D2712" s="384" t="s">
        <v>478</v>
      </c>
      <c r="E2712" s="388"/>
      <c r="F2712" s="388"/>
      <c r="G2712" s="401" t="s">
        <v>3754</v>
      </c>
      <c r="H2712" s="384"/>
      <c r="I2712" s="384"/>
      <c r="J2712" s="384"/>
      <c r="K2712" s="384"/>
      <c r="L2712" s="384"/>
      <c r="M2712" s="388"/>
      <c r="N2712" s="388"/>
      <c r="O2712" s="384"/>
      <c r="P2712" s="388"/>
      <c r="Q2712" s="388"/>
      <c r="R2712" s="388"/>
      <c r="S2712" s="388"/>
      <c r="T2712" s="389">
        <v>13</v>
      </c>
    </row>
    <row r="2713" spans="1:20" x14ac:dyDescent="0.3">
      <c r="A2713" s="384" t="b">
        <v>0</v>
      </c>
      <c r="B2713" s="384">
        <f t="shared" si="145"/>
        <v>8</v>
      </c>
      <c r="C2713" s="397" t="s">
        <v>3755</v>
      </c>
      <c r="D2713" s="384" t="s">
        <v>478</v>
      </c>
      <c r="E2713" s="388"/>
      <c r="F2713" s="388"/>
      <c r="G2713" s="401" t="s">
        <v>3756</v>
      </c>
      <c r="H2713" s="384"/>
      <c r="I2713" s="384"/>
      <c r="J2713" s="384"/>
      <c r="K2713" s="384"/>
      <c r="L2713" s="384"/>
      <c r="M2713" s="388"/>
      <c r="N2713" s="388"/>
      <c r="O2713" s="384"/>
      <c r="P2713" s="388"/>
      <c r="Q2713" s="388"/>
      <c r="R2713" s="388"/>
      <c r="S2713" s="388"/>
      <c r="T2713" s="389">
        <v>14</v>
      </c>
    </row>
    <row r="2714" spans="1:20" x14ac:dyDescent="0.3">
      <c r="A2714" s="384" t="b">
        <v>0</v>
      </c>
      <c r="B2714" s="384">
        <f t="shared" si="145"/>
        <v>8</v>
      </c>
      <c r="C2714" s="397" t="s">
        <v>3757</v>
      </c>
      <c r="D2714" s="384" t="s">
        <v>478</v>
      </c>
      <c r="E2714" s="388"/>
      <c r="F2714" s="388"/>
      <c r="G2714" s="401" t="s">
        <v>3758</v>
      </c>
      <c r="H2714" s="384"/>
      <c r="I2714" s="384"/>
      <c r="J2714" s="384"/>
      <c r="K2714" s="384"/>
      <c r="L2714" s="384"/>
      <c r="M2714" s="388"/>
      <c r="N2714" s="388"/>
      <c r="O2714" s="384"/>
      <c r="P2714" s="388"/>
      <c r="Q2714" s="388"/>
      <c r="R2714" s="388"/>
      <c r="S2714" s="388"/>
      <c r="T2714" s="389">
        <v>15</v>
      </c>
    </row>
    <row r="2715" spans="1:20" x14ac:dyDescent="0.3">
      <c r="A2715" s="384" t="b">
        <v>0</v>
      </c>
      <c r="B2715" s="384">
        <f t="shared" si="145"/>
        <v>8</v>
      </c>
      <c r="C2715" s="397" t="s">
        <v>3759</v>
      </c>
      <c r="D2715" s="384" t="s">
        <v>478</v>
      </c>
      <c r="E2715" s="388"/>
      <c r="F2715" s="388"/>
      <c r="G2715" s="401" t="s">
        <v>3760</v>
      </c>
      <c r="H2715" s="384"/>
      <c r="I2715" s="384"/>
      <c r="J2715" s="384"/>
      <c r="K2715" s="384"/>
      <c r="L2715" s="384"/>
      <c r="M2715" s="388"/>
      <c r="N2715" s="388"/>
      <c r="O2715" s="384"/>
      <c r="P2715" s="388"/>
      <c r="Q2715" s="388"/>
      <c r="R2715" s="388"/>
      <c r="S2715" s="388"/>
      <c r="T2715" s="389">
        <v>16</v>
      </c>
    </row>
    <row r="2716" spans="1:20" x14ac:dyDescent="0.3">
      <c r="A2716" s="384" t="b">
        <v>0</v>
      </c>
      <c r="B2716" s="384">
        <f t="shared" si="145"/>
        <v>8</v>
      </c>
      <c r="C2716" s="397" t="s">
        <v>3761</v>
      </c>
      <c r="D2716" s="384" t="s">
        <v>478</v>
      </c>
      <c r="E2716" s="388"/>
      <c r="F2716" s="388"/>
      <c r="G2716" s="401" t="s">
        <v>3762</v>
      </c>
      <c r="H2716" s="384"/>
      <c r="I2716" s="384"/>
      <c r="J2716" s="384"/>
      <c r="K2716" s="384"/>
      <c r="L2716" s="384"/>
      <c r="M2716" s="388"/>
      <c r="N2716" s="388"/>
      <c r="O2716" s="384"/>
      <c r="P2716" s="388"/>
      <c r="Q2716" s="388"/>
      <c r="R2716" s="388"/>
      <c r="S2716" s="388"/>
      <c r="T2716" s="389">
        <v>17</v>
      </c>
    </row>
    <row r="2717" spans="1:20" x14ac:dyDescent="0.3">
      <c r="A2717" s="384" t="b">
        <v>0</v>
      </c>
      <c r="B2717" s="384">
        <f t="shared" si="145"/>
        <v>8</v>
      </c>
      <c r="C2717" s="397" t="s">
        <v>3763</v>
      </c>
      <c r="D2717" s="384" t="s">
        <v>478</v>
      </c>
      <c r="E2717" s="388"/>
      <c r="F2717" s="388"/>
      <c r="G2717" s="401" t="s">
        <v>3764</v>
      </c>
      <c r="H2717" s="384"/>
      <c r="I2717" s="384"/>
      <c r="J2717" s="384"/>
      <c r="K2717" s="384"/>
      <c r="L2717" s="384"/>
      <c r="M2717" s="388"/>
      <c r="N2717" s="388"/>
      <c r="O2717" s="384"/>
      <c r="P2717" s="388"/>
      <c r="Q2717" s="388"/>
      <c r="R2717" s="388"/>
      <c r="S2717" s="388"/>
      <c r="T2717" s="389">
        <v>18</v>
      </c>
    </row>
    <row r="2718" spans="1:20" x14ac:dyDescent="0.3">
      <c r="A2718" s="384" t="b">
        <v>0</v>
      </c>
      <c r="B2718" s="384">
        <f t="shared" si="145"/>
        <v>8</v>
      </c>
      <c r="C2718" s="397" t="s">
        <v>3765</v>
      </c>
      <c r="D2718" s="384" t="s">
        <v>478</v>
      </c>
      <c r="E2718" s="388"/>
      <c r="F2718" s="388"/>
      <c r="G2718" s="401" t="s">
        <v>3766</v>
      </c>
      <c r="H2718" s="384"/>
      <c r="I2718" s="384"/>
      <c r="J2718" s="384"/>
      <c r="K2718" s="384"/>
      <c r="L2718" s="384"/>
      <c r="M2718" s="388"/>
      <c r="N2718" s="388"/>
      <c r="O2718" s="384"/>
      <c r="P2718" s="388"/>
      <c r="Q2718" s="388"/>
      <c r="R2718" s="388"/>
      <c r="S2718" s="388"/>
      <c r="T2718" s="389">
        <v>19</v>
      </c>
    </row>
    <row r="2719" spans="1:20" x14ac:dyDescent="0.3">
      <c r="A2719" s="384" t="b">
        <v>0</v>
      </c>
      <c r="B2719" s="384">
        <f t="shared" si="145"/>
        <v>8</v>
      </c>
      <c r="C2719" s="397" t="s">
        <v>3767</v>
      </c>
      <c r="D2719" s="384" t="s">
        <v>478</v>
      </c>
      <c r="E2719" s="388"/>
      <c r="F2719" s="388"/>
      <c r="G2719" s="401" t="s">
        <v>3768</v>
      </c>
      <c r="H2719" s="384"/>
      <c r="I2719" s="384"/>
      <c r="J2719" s="384"/>
      <c r="K2719" s="384"/>
      <c r="L2719" s="384"/>
      <c r="M2719" s="388"/>
      <c r="N2719" s="388"/>
      <c r="O2719" s="384"/>
      <c r="P2719" s="388"/>
      <c r="Q2719" s="388"/>
      <c r="R2719" s="388"/>
      <c r="S2719" s="388"/>
      <c r="T2719" s="389">
        <v>20</v>
      </c>
    </row>
    <row r="2720" spans="1:20" x14ac:dyDescent="0.3">
      <c r="A2720" s="384" t="b">
        <v>0</v>
      </c>
      <c r="B2720" s="384">
        <f t="shared" si="145"/>
        <v>8</v>
      </c>
      <c r="C2720" s="397" t="s">
        <v>3769</v>
      </c>
      <c r="D2720" s="384" t="s">
        <v>478</v>
      </c>
      <c r="E2720" s="388"/>
      <c r="F2720" s="388"/>
      <c r="G2720" s="401" t="s">
        <v>3770</v>
      </c>
      <c r="H2720" s="384"/>
      <c r="I2720" s="384"/>
      <c r="J2720" s="384"/>
      <c r="K2720" s="384"/>
      <c r="L2720" s="384"/>
      <c r="M2720" s="388"/>
      <c r="N2720" s="388"/>
      <c r="O2720" s="384"/>
      <c r="P2720" s="388"/>
      <c r="Q2720" s="388"/>
      <c r="R2720" s="388"/>
      <c r="S2720" s="388"/>
      <c r="T2720" s="389">
        <v>21</v>
      </c>
    </row>
    <row r="2721" spans="1:20" x14ac:dyDescent="0.3">
      <c r="A2721" s="384" t="b">
        <v>0</v>
      </c>
      <c r="B2721" s="384">
        <f t="shared" si="145"/>
        <v>8</v>
      </c>
      <c r="C2721" s="397" t="s">
        <v>3771</v>
      </c>
      <c r="D2721" s="384" t="s">
        <v>478</v>
      </c>
      <c r="E2721" s="388"/>
      <c r="F2721" s="388"/>
      <c r="G2721" s="401" t="s">
        <v>3772</v>
      </c>
      <c r="H2721" s="384"/>
      <c r="I2721" s="384"/>
      <c r="J2721" s="384"/>
      <c r="K2721" s="384"/>
      <c r="L2721" s="384"/>
      <c r="M2721" s="388"/>
      <c r="N2721" s="388"/>
      <c r="O2721" s="384"/>
      <c r="P2721" s="388"/>
      <c r="Q2721" s="388"/>
      <c r="R2721" s="388"/>
      <c r="S2721" s="388"/>
      <c r="T2721" s="389">
        <v>22</v>
      </c>
    </row>
    <row r="2722" spans="1:20" x14ac:dyDescent="0.3">
      <c r="A2722" s="384" t="b">
        <v>0</v>
      </c>
      <c r="B2722" s="384">
        <f t="shared" si="145"/>
        <v>8</v>
      </c>
      <c r="C2722" s="397" t="s">
        <v>3773</v>
      </c>
      <c r="D2722" s="384" t="s">
        <v>478</v>
      </c>
      <c r="E2722" s="388"/>
      <c r="F2722" s="388"/>
      <c r="G2722" s="401" t="s">
        <v>3774</v>
      </c>
      <c r="H2722" s="384"/>
      <c r="I2722" s="384"/>
      <c r="J2722" s="384"/>
      <c r="K2722" s="384"/>
      <c r="L2722" s="384"/>
      <c r="M2722" s="388"/>
      <c r="N2722" s="388"/>
      <c r="O2722" s="384"/>
      <c r="P2722" s="388"/>
      <c r="Q2722" s="388"/>
      <c r="R2722" s="388"/>
      <c r="S2722" s="388"/>
      <c r="T2722" s="389">
        <v>23</v>
      </c>
    </row>
    <row r="2723" spans="1:20" x14ac:dyDescent="0.3">
      <c r="A2723" s="384" t="b">
        <v>0</v>
      </c>
      <c r="B2723" s="384">
        <f t="shared" si="145"/>
        <v>8</v>
      </c>
      <c r="C2723" s="397" t="s">
        <v>3775</v>
      </c>
      <c r="D2723" s="384" t="s">
        <v>478</v>
      </c>
      <c r="E2723" s="388"/>
      <c r="F2723" s="388"/>
      <c r="G2723" s="401" t="s">
        <v>3776</v>
      </c>
      <c r="H2723" s="384"/>
      <c r="I2723" s="384"/>
      <c r="J2723" s="384"/>
      <c r="K2723" s="384"/>
      <c r="L2723" s="384"/>
      <c r="M2723" s="388"/>
      <c r="N2723" s="388"/>
      <c r="O2723" s="384"/>
      <c r="P2723" s="388"/>
      <c r="Q2723" s="388"/>
      <c r="R2723" s="388"/>
      <c r="S2723" s="388"/>
      <c r="T2723" s="389">
        <v>24</v>
      </c>
    </row>
    <row r="2724" spans="1:20" x14ac:dyDescent="0.3">
      <c r="A2724" s="384" t="b">
        <v>0</v>
      </c>
      <c r="B2724" s="384">
        <f t="shared" si="145"/>
        <v>8</v>
      </c>
      <c r="C2724" s="397" t="s">
        <v>3777</v>
      </c>
      <c r="D2724" s="384" t="s">
        <v>478</v>
      </c>
      <c r="E2724" s="388"/>
      <c r="F2724" s="388"/>
      <c r="G2724" s="401" t="s">
        <v>3778</v>
      </c>
      <c r="H2724" s="384"/>
      <c r="I2724" s="384"/>
      <c r="J2724" s="384"/>
      <c r="K2724" s="384"/>
      <c r="L2724" s="384"/>
      <c r="M2724" s="388"/>
      <c r="N2724" s="388"/>
      <c r="O2724" s="384"/>
      <c r="P2724" s="388"/>
      <c r="Q2724" s="388"/>
      <c r="R2724" s="388"/>
      <c r="S2724" s="388"/>
      <c r="T2724" s="389">
        <v>25</v>
      </c>
    </row>
    <row r="2725" spans="1:20" x14ac:dyDescent="0.3">
      <c r="A2725" s="384" t="b">
        <v>0</v>
      </c>
      <c r="B2725" s="384">
        <f t="shared" si="145"/>
        <v>8</v>
      </c>
      <c r="C2725" s="397" t="s">
        <v>3779</v>
      </c>
      <c r="D2725" s="384" t="s">
        <v>478</v>
      </c>
      <c r="E2725" s="388"/>
      <c r="F2725" s="388"/>
      <c r="G2725" s="401" t="s">
        <v>3780</v>
      </c>
      <c r="H2725" s="384"/>
      <c r="I2725" s="384"/>
      <c r="J2725" s="384"/>
      <c r="K2725" s="384"/>
      <c r="L2725" s="384"/>
      <c r="M2725" s="388"/>
      <c r="N2725" s="388"/>
      <c r="O2725" s="384"/>
      <c r="P2725" s="388"/>
      <c r="Q2725" s="388"/>
      <c r="R2725" s="388"/>
      <c r="S2725" s="388"/>
      <c r="T2725" s="389">
        <v>26</v>
      </c>
    </row>
    <row r="2726" spans="1:20" x14ac:dyDescent="0.3">
      <c r="A2726" s="384" t="b">
        <v>0</v>
      </c>
      <c r="B2726" s="384">
        <f t="shared" si="145"/>
        <v>8</v>
      </c>
      <c r="C2726" s="397" t="s">
        <v>3781</v>
      </c>
      <c r="D2726" s="384" t="s">
        <v>478</v>
      </c>
      <c r="E2726" s="388"/>
      <c r="F2726" s="388"/>
      <c r="G2726" s="401" t="s">
        <v>3782</v>
      </c>
      <c r="H2726" s="384"/>
      <c r="I2726" s="384"/>
      <c r="J2726" s="384"/>
      <c r="K2726" s="384"/>
      <c r="L2726" s="384"/>
      <c r="M2726" s="388"/>
      <c r="N2726" s="388"/>
      <c r="O2726" s="384"/>
      <c r="P2726" s="388"/>
      <c r="Q2726" s="388"/>
      <c r="R2726" s="388"/>
      <c r="S2726" s="388"/>
      <c r="T2726" s="389">
        <v>27</v>
      </c>
    </row>
    <row r="2727" spans="1:20" x14ac:dyDescent="0.3">
      <c r="A2727" s="384" t="b">
        <v>0</v>
      </c>
      <c r="B2727" s="384">
        <f t="shared" si="145"/>
        <v>8</v>
      </c>
      <c r="C2727" s="397" t="s">
        <v>3783</v>
      </c>
      <c r="D2727" s="384" t="s">
        <v>478</v>
      </c>
      <c r="E2727" s="388"/>
      <c r="F2727" s="388"/>
      <c r="G2727" s="401" t="s">
        <v>3784</v>
      </c>
      <c r="H2727" s="384"/>
      <c r="I2727" s="384"/>
      <c r="J2727" s="384"/>
      <c r="K2727" s="384"/>
      <c r="L2727" s="384"/>
      <c r="M2727" s="388"/>
      <c r="N2727" s="388"/>
      <c r="O2727" s="384"/>
      <c r="P2727" s="388"/>
      <c r="Q2727" s="388"/>
      <c r="R2727" s="388"/>
      <c r="S2727" s="388"/>
      <c r="T2727" s="389">
        <v>28</v>
      </c>
    </row>
    <row r="2728" spans="1:20" x14ac:dyDescent="0.3">
      <c r="A2728" s="384" t="b">
        <v>0</v>
      </c>
      <c r="B2728" s="384">
        <f t="shared" si="145"/>
        <v>8</v>
      </c>
      <c r="C2728" s="397" t="s">
        <v>3785</v>
      </c>
      <c r="D2728" s="384" t="s">
        <v>478</v>
      </c>
      <c r="E2728" s="388"/>
      <c r="F2728" s="388"/>
      <c r="G2728" s="401" t="s">
        <v>3786</v>
      </c>
      <c r="H2728" s="384"/>
      <c r="I2728" s="384"/>
      <c r="J2728" s="384"/>
      <c r="K2728" s="384"/>
      <c r="L2728" s="384"/>
      <c r="M2728" s="388"/>
      <c r="N2728" s="388"/>
      <c r="O2728" s="384"/>
      <c r="P2728" s="388"/>
      <c r="Q2728" s="388"/>
      <c r="R2728" s="388"/>
      <c r="S2728" s="388"/>
      <c r="T2728" s="389">
        <v>29</v>
      </c>
    </row>
    <row r="2729" spans="1:20" x14ac:dyDescent="0.3">
      <c r="A2729" s="384" t="b">
        <v>0</v>
      </c>
      <c r="B2729" s="384">
        <f t="shared" si="145"/>
        <v>8</v>
      </c>
      <c r="C2729" s="397" t="s">
        <v>3787</v>
      </c>
      <c r="D2729" s="384" t="s">
        <v>478</v>
      </c>
      <c r="E2729" s="388"/>
      <c r="F2729" s="388"/>
      <c r="G2729" s="401" t="s">
        <v>3788</v>
      </c>
      <c r="H2729" s="384"/>
      <c r="I2729" s="384"/>
      <c r="J2729" s="384"/>
      <c r="K2729" s="384"/>
      <c r="L2729" s="384"/>
      <c r="M2729" s="388"/>
      <c r="N2729" s="388"/>
      <c r="O2729" s="384"/>
      <c r="P2729" s="388"/>
      <c r="Q2729" s="388"/>
      <c r="R2729" s="388"/>
      <c r="S2729" s="388"/>
      <c r="T2729" s="389">
        <v>30</v>
      </c>
    </row>
    <row r="2730" spans="1:20" x14ac:dyDescent="0.3">
      <c r="A2730" s="384" t="b">
        <v>0</v>
      </c>
      <c r="B2730" s="384">
        <f t="shared" si="145"/>
        <v>8</v>
      </c>
      <c r="C2730" s="397" t="s">
        <v>3789</v>
      </c>
      <c r="D2730" s="384" t="s">
        <v>478</v>
      </c>
      <c r="E2730" s="388"/>
      <c r="F2730" s="388"/>
      <c r="G2730" s="401" t="s">
        <v>3790</v>
      </c>
      <c r="H2730" s="384"/>
      <c r="I2730" s="384"/>
      <c r="J2730" s="384"/>
      <c r="K2730" s="384"/>
      <c r="L2730" s="384"/>
      <c r="M2730" s="388"/>
      <c r="N2730" s="388"/>
      <c r="O2730" s="384"/>
      <c r="P2730" s="388"/>
      <c r="Q2730" s="388"/>
      <c r="R2730" s="388"/>
      <c r="S2730" s="388"/>
      <c r="T2730" s="389">
        <v>31</v>
      </c>
    </row>
    <row r="2731" spans="1:20" x14ac:dyDescent="0.3">
      <c r="A2731" s="384" t="b">
        <v>0</v>
      </c>
      <c r="B2731" s="384">
        <f t="shared" si="145"/>
        <v>8</v>
      </c>
      <c r="C2731" s="397" t="s">
        <v>3791</v>
      </c>
      <c r="D2731" s="384" t="s">
        <v>478</v>
      </c>
      <c r="E2731" s="388"/>
      <c r="F2731" s="388"/>
      <c r="G2731" s="401" t="s">
        <v>3792</v>
      </c>
      <c r="H2731" s="384"/>
      <c r="I2731" s="384"/>
      <c r="J2731" s="384"/>
      <c r="K2731" s="384"/>
      <c r="L2731" s="384"/>
      <c r="M2731" s="388"/>
      <c r="N2731" s="388"/>
      <c r="O2731" s="384"/>
      <c r="P2731" s="388"/>
      <c r="Q2731" s="388"/>
      <c r="R2731" s="388"/>
      <c r="S2731" s="388"/>
      <c r="T2731" s="389">
        <v>32</v>
      </c>
    </row>
    <row r="2732" spans="1:20" x14ac:dyDescent="0.3">
      <c r="A2732" s="384" t="b">
        <v>0</v>
      </c>
      <c r="B2732" s="384">
        <f t="shared" si="145"/>
        <v>8</v>
      </c>
      <c r="C2732" s="397" t="s">
        <v>3793</v>
      </c>
      <c r="D2732" s="384" t="s">
        <v>478</v>
      </c>
      <c r="E2732" s="388"/>
      <c r="F2732" s="388"/>
      <c r="G2732" s="401" t="s">
        <v>3794</v>
      </c>
      <c r="H2732" s="384"/>
      <c r="I2732" s="384"/>
      <c r="J2732" s="384"/>
      <c r="K2732" s="384"/>
      <c r="L2732" s="384"/>
      <c r="M2732" s="388"/>
      <c r="N2732" s="388"/>
      <c r="O2732" s="384"/>
      <c r="P2732" s="388"/>
      <c r="Q2732" s="388"/>
      <c r="R2732" s="388"/>
      <c r="S2732" s="388"/>
      <c r="T2732" s="389">
        <v>33</v>
      </c>
    </row>
    <row r="2733" spans="1:20" x14ac:dyDescent="0.3">
      <c r="A2733" s="384" t="b">
        <v>0</v>
      </c>
      <c r="B2733" s="384">
        <f t="shared" si="145"/>
        <v>8</v>
      </c>
      <c r="C2733" s="397" t="s">
        <v>3795</v>
      </c>
      <c r="D2733" s="384" t="s">
        <v>478</v>
      </c>
      <c r="E2733" s="388"/>
      <c r="F2733" s="388"/>
      <c r="G2733" s="401" t="s">
        <v>3796</v>
      </c>
      <c r="H2733" s="384"/>
      <c r="I2733" s="384"/>
      <c r="J2733" s="384"/>
      <c r="K2733" s="384"/>
      <c r="L2733" s="384"/>
      <c r="M2733" s="388"/>
      <c r="N2733" s="388"/>
      <c r="O2733" s="384"/>
      <c r="P2733" s="388"/>
      <c r="Q2733" s="388"/>
      <c r="R2733" s="388"/>
      <c r="S2733" s="388"/>
      <c r="T2733" s="389">
        <v>34</v>
      </c>
    </row>
    <row r="2734" spans="1:20" x14ac:dyDescent="0.3">
      <c r="A2734" s="384" t="b">
        <v>0</v>
      </c>
      <c r="B2734" s="384">
        <f t="shared" si="145"/>
        <v>8</v>
      </c>
      <c r="C2734" s="397" t="s">
        <v>3797</v>
      </c>
      <c r="D2734" s="384" t="s">
        <v>478</v>
      </c>
      <c r="E2734" s="388"/>
      <c r="F2734" s="388"/>
      <c r="G2734" s="401" t="s">
        <v>3798</v>
      </c>
      <c r="H2734" s="384"/>
      <c r="I2734" s="384"/>
      <c r="J2734" s="384"/>
      <c r="K2734" s="384"/>
      <c r="L2734" s="384"/>
      <c r="M2734" s="388"/>
      <c r="N2734" s="388"/>
      <c r="O2734" s="384"/>
      <c r="P2734" s="388"/>
      <c r="Q2734" s="388"/>
      <c r="R2734" s="388"/>
      <c r="S2734" s="388"/>
      <c r="T2734" s="389">
        <v>35</v>
      </c>
    </row>
    <row r="2735" spans="1:20" x14ac:dyDescent="0.3">
      <c r="A2735" s="384" t="b">
        <v>0</v>
      </c>
      <c r="B2735" s="384">
        <f t="shared" si="145"/>
        <v>8</v>
      </c>
      <c r="C2735" s="397" t="s">
        <v>3799</v>
      </c>
      <c r="D2735" s="384" t="s">
        <v>478</v>
      </c>
      <c r="E2735" s="388"/>
      <c r="F2735" s="388"/>
      <c r="G2735" s="401" t="s">
        <v>3800</v>
      </c>
      <c r="H2735" s="384"/>
      <c r="I2735" s="384"/>
      <c r="J2735" s="384"/>
      <c r="K2735" s="384"/>
      <c r="L2735" s="384"/>
      <c r="M2735" s="388"/>
      <c r="N2735" s="388"/>
      <c r="O2735" s="384"/>
      <c r="P2735" s="388"/>
      <c r="Q2735" s="388"/>
      <c r="R2735" s="388"/>
      <c r="S2735" s="388"/>
      <c r="T2735" s="389">
        <v>36</v>
      </c>
    </row>
    <row r="2736" spans="1:20" x14ac:dyDescent="0.3">
      <c r="A2736" s="384" t="b">
        <v>0</v>
      </c>
      <c r="B2736" s="384">
        <f t="shared" si="145"/>
        <v>8</v>
      </c>
      <c r="C2736" s="397" t="s">
        <v>3801</v>
      </c>
      <c r="D2736" s="384" t="s">
        <v>478</v>
      </c>
      <c r="E2736" s="388"/>
      <c r="F2736" s="388"/>
      <c r="G2736" s="401" t="s">
        <v>3802</v>
      </c>
      <c r="H2736" s="384"/>
      <c r="I2736" s="384"/>
      <c r="J2736" s="384"/>
      <c r="K2736" s="384"/>
      <c r="L2736" s="384"/>
      <c r="M2736" s="388"/>
      <c r="N2736" s="388"/>
      <c r="O2736" s="384"/>
      <c r="P2736" s="388"/>
      <c r="Q2736" s="388"/>
      <c r="R2736" s="388"/>
      <c r="S2736" s="388"/>
      <c r="T2736" s="389">
        <v>37</v>
      </c>
    </row>
    <row r="2737" spans="1:20" x14ac:dyDescent="0.3">
      <c r="A2737" s="384" t="b">
        <v>0</v>
      </c>
      <c r="B2737" s="384">
        <f t="shared" si="145"/>
        <v>8</v>
      </c>
      <c r="C2737" s="397" t="s">
        <v>3803</v>
      </c>
      <c r="D2737" s="384" t="s">
        <v>478</v>
      </c>
      <c r="E2737" s="388"/>
      <c r="F2737" s="388"/>
      <c r="G2737" s="401" t="s">
        <v>3804</v>
      </c>
      <c r="H2737" s="384"/>
      <c r="I2737" s="384"/>
      <c r="J2737" s="384"/>
      <c r="K2737" s="384"/>
      <c r="L2737" s="384"/>
      <c r="M2737" s="388"/>
      <c r="N2737" s="388"/>
      <c r="O2737" s="384"/>
      <c r="P2737" s="388"/>
      <c r="Q2737" s="388"/>
      <c r="R2737" s="388"/>
      <c r="S2737" s="388"/>
      <c r="T2737" s="389">
        <v>38</v>
      </c>
    </row>
    <row r="2738" spans="1:20" x14ac:dyDescent="0.3">
      <c r="A2738" s="384" t="b">
        <v>0</v>
      </c>
      <c r="B2738" s="384">
        <f t="shared" si="145"/>
        <v>8</v>
      </c>
      <c r="C2738" s="397" t="s">
        <v>3805</v>
      </c>
      <c r="D2738" s="384" t="s">
        <v>478</v>
      </c>
      <c r="E2738" s="388"/>
      <c r="F2738" s="388"/>
      <c r="G2738" s="401" t="s">
        <v>3806</v>
      </c>
      <c r="H2738" s="384"/>
      <c r="I2738" s="384"/>
      <c r="J2738" s="384"/>
      <c r="K2738" s="384"/>
      <c r="L2738" s="384"/>
      <c r="M2738" s="388"/>
      <c r="N2738" s="388"/>
      <c r="O2738" s="384"/>
      <c r="P2738" s="388"/>
      <c r="Q2738" s="388"/>
      <c r="R2738" s="388"/>
      <c r="S2738" s="388"/>
      <c r="T2738" s="389">
        <v>39</v>
      </c>
    </row>
    <row r="2739" spans="1:20" x14ac:dyDescent="0.3">
      <c r="A2739" s="384" t="b">
        <v>0</v>
      </c>
      <c r="B2739" s="384">
        <f t="shared" si="145"/>
        <v>8</v>
      </c>
      <c r="C2739" s="397" t="s">
        <v>3807</v>
      </c>
      <c r="D2739" s="384" t="s">
        <v>478</v>
      </c>
      <c r="E2739" s="388"/>
      <c r="F2739" s="388"/>
      <c r="G2739" s="401" t="s">
        <v>3808</v>
      </c>
      <c r="H2739" s="384"/>
      <c r="I2739" s="384"/>
      <c r="J2739" s="384"/>
      <c r="K2739" s="384"/>
      <c r="L2739" s="384"/>
      <c r="M2739" s="388"/>
      <c r="N2739" s="388"/>
      <c r="O2739" s="384"/>
      <c r="P2739" s="388"/>
      <c r="Q2739" s="388"/>
      <c r="R2739" s="388"/>
      <c r="S2739" s="388"/>
      <c r="T2739" s="389">
        <v>40</v>
      </c>
    </row>
    <row r="2740" spans="1:20" x14ac:dyDescent="0.3">
      <c r="A2740" s="384" t="b">
        <v>0</v>
      </c>
      <c r="B2740" s="384">
        <f t="shared" si="145"/>
        <v>8</v>
      </c>
      <c r="C2740" s="397" t="s">
        <v>3809</v>
      </c>
      <c r="D2740" s="384" t="s">
        <v>478</v>
      </c>
      <c r="E2740" s="388"/>
      <c r="F2740" s="388"/>
      <c r="G2740" s="401" t="s">
        <v>3810</v>
      </c>
      <c r="H2740" s="384"/>
      <c r="I2740" s="384"/>
      <c r="J2740" s="384"/>
      <c r="K2740" s="384"/>
      <c r="L2740" s="384"/>
      <c r="M2740" s="388"/>
      <c r="N2740" s="388"/>
      <c r="O2740" s="384"/>
      <c r="P2740" s="388"/>
      <c r="Q2740" s="388"/>
      <c r="R2740" s="388"/>
      <c r="S2740" s="388"/>
      <c r="T2740" s="389">
        <v>41</v>
      </c>
    </row>
    <row r="2741" spans="1:20" x14ac:dyDescent="0.3">
      <c r="A2741" s="384" t="b">
        <v>0</v>
      </c>
      <c r="B2741" s="384">
        <f t="shared" si="145"/>
        <v>8</v>
      </c>
      <c r="C2741" s="397" t="s">
        <v>3811</v>
      </c>
      <c r="D2741" s="384" t="s">
        <v>478</v>
      </c>
      <c r="E2741" s="388"/>
      <c r="F2741" s="388"/>
      <c r="G2741" s="401" t="s">
        <v>3812</v>
      </c>
      <c r="H2741" s="384"/>
      <c r="I2741" s="384"/>
      <c r="J2741" s="384"/>
      <c r="K2741" s="384"/>
      <c r="L2741" s="384"/>
      <c r="M2741" s="388"/>
      <c r="N2741" s="388"/>
      <c r="O2741" s="384"/>
      <c r="P2741" s="388"/>
      <c r="Q2741" s="388"/>
      <c r="R2741" s="388"/>
      <c r="S2741" s="388"/>
      <c r="T2741" s="389">
        <v>42</v>
      </c>
    </row>
    <row r="2742" spans="1:20" x14ac:dyDescent="0.3">
      <c r="A2742" s="384" t="b">
        <v>0</v>
      </c>
      <c r="B2742" s="384">
        <f t="shared" si="145"/>
        <v>8</v>
      </c>
      <c r="C2742" s="397" t="s">
        <v>3813</v>
      </c>
      <c r="D2742" s="384" t="s">
        <v>478</v>
      </c>
      <c r="E2742" s="388"/>
      <c r="F2742" s="388"/>
      <c r="G2742" s="401" t="s">
        <v>3814</v>
      </c>
      <c r="H2742" s="384"/>
      <c r="I2742" s="384"/>
      <c r="J2742" s="384"/>
      <c r="K2742" s="384"/>
      <c r="L2742" s="384"/>
      <c r="M2742" s="388"/>
      <c r="N2742" s="388"/>
      <c r="O2742" s="384"/>
      <c r="P2742" s="388"/>
      <c r="Q2742" s="388"/>
      <c r="R2742" s="388"/>
      <c r="S2742" s="388"/>
      <c r="T2742" s="389">
        <v>43</v>
      </c>
    </row>
    <row r="2743" spans="1:20" x14ac:dyDescent="0.3">
      <c r="A2743" s="384" t="b">
        <v>0</v>
      </c>
      <c r="B2743" s="384">
        <f t="shared" si="145"/>
        <v>8</v>
      </c>
      <c r="C2743" s="397" t="s">
        <v>3815</v>
      </c>
      <c r="D2743" s="384" t="s">
        <v>478</v>
      </c>
      <c r="E2743" s="388"/>
      <c r="F2743" s="388"/>
      <c r="G2743" s="401" t="s">
        <v>3816</v>
      </c>
      <c r="H2743" s="384"/>
      <c r="I2743" s="384"/>
      <c r="J2743" s="384"/>
      <c r="K2743" s="384"/>
      <c r="L2743" s="384"/>
      <c r="M2743" s="388"/>
      <c r="N2743" s="388"/>
      <c r="O2743" s="384"/>
      <c r="P2743" s="388"/>
      <c r="Q2743" s="388"/>
      <c r="R2743" s="388"/>
      <c r="S2743" s="388"/>
      <c r="T2743" s="389">
        <v>44</v>
      </c>
    </row>
    <row r="2744" spans="1:20" x14ac:dyDescent="0.3">
      <c r="A2744" s="384" t="b">
        <v>0</v>
      </c>
      <c r="B2744" s="384">
        <f t="shared" si="145"/>
        <v>8</v>
      </c>
      <c r="C2744" s="397" t="s">
        <v>3817</v>
      </c>
      <c r="D2744" s="384" t="s">
        <v>478</v>
      </c>
      <c r="E2744" s="388"/>
      <c r="F2744" s="388"/>
      <c r="G2744" s="401" t="s">
        <v>3818</v>
      </c>
      <c r="H2744" s="384"/>
      <c r="I2744" s="384"/>
      <c r="J2744" s="384"/>
      <c r="K2744" s="384"/>
      <c r="L2744" s="384"/>
      <c r="M2744" s="388"/>
      <c r="N2744" s="388"/>
      <c r="O2744" s="384"/>
      <c r="P2744" s="388"/>
      <c r="Q2744" s="388"/>
      <c r="R2744" s="388"/>
      <c r="S2744" s="388"/>
      <c r="T2744" s="389">
        <v>45</v>
      </c>
    </row>
    <row r="2745" spans="1:20" x14ac:dyDescent="0.3">
      <c r="A2745" s="384" t="b">
        <v>0</v>
      </c>
      <c r="B2745" s="384">
        <f t="shared" si="145"/>
        <v>8</v>
      </c>
      <c r="C2745" s="397" t="s">
        <v>3819</v>
      </c>
      <c r="D2745" s="384" t="s">
        <v>478</v>
      </c>
      <c r="E2745" s="388"/>
      <c r="F2745" s="388"/>
      <c r="G2745" s="401" t="s">
        <v>3820</v>
      </c>
      <c r="H2745" s="384"/>
      <c r="I2745" s="384"/>
      <c r="J2745" s="384"/>
      <c r="K2745" s="384"/>
      <c r="L2745" s="384"/>
      <c r="M2745" s="388"/>
      <c r="N2745" s="388"/>
      <c r="O2745" s="384"/>
      <c r="P2745" s="388"/>
      <c r="Q2745" s="388"/>
      <c r="R2745" s="388"/>
      <c r="S2745" s="388"/>
      <c r="T2745" s="389">
        <v>46</v>
      </c>
    </row>
    <row r="2746" spans="1:20" x14ac:dyDescent="0.3">
      <c r="A2746" s="384" t="b">
        <v>0</v>
      </c>
      <c r="B2746" s="384">
        <f t="shared" si="145"/>
        <v>8</v>
      </c>
      <c r="C2746" s="397" t="s">
        <v>3821</v>
      </c>
      <c r="D2746" s="384" t="s">
        <v>478</v>
      </c>
      <c r="E2746" s="388"/>
      <c r="F2746" s="388"/>
      <c r="G2746" s="401" t="s">
        <v>3822</v>
      </c>
      <c r="H2746" s="384"/>
      <c r="I2746" s="384"/>
      <c r="J2746" s="384"/>
      <c r="K2746" s="384"/>
      <c r="L2746" s="384"/>
      <c r="M2746" s="388"/>
      <c r="N2746" s="388"/>
      <c r="O2746" s="384"/>
      <c r="P2746" s="388"/>
      <c r="Q2746" s="388"/>
      <c r="R2746" s="388"/>
      <c r="S2746" s="388"/>
      <c r="T2746" s="389">
        <v>47</v>
      </c>
    </row>
    <row r="2747" spans="1:20" x14ac:dyDescent="0.3">
      <c r="A2747" s="384" t="b">
        <v>0</v>
      </c>
      <c r="B2747" s="384">
        <f t="shared" si="145"/>
        <v>8</v>
      </c>
      <c r="C2747" s="397" t="s">
        <v>3823</v>
      </c>
      <c r="D2747" s="384" t="s">
        <v>478</v>
      </c>
      <c r="E2747" s="388"/>
      <c r="F2747" s="388"/>
      <c r="G2747" s="401" t="s">
        <v>3824</v>
      </c>
      <c r="H2747" s="384"/>
      <c r="I2747" s="384"/>
      <c r="J2747" s="384"/>
      <c r="K2747" s="384"/>
      <c r="L2747" s="384"/>
      <c r="M2747" s="388"/>
      <c r="N2747" s="388"/>
      <c r="O2747" s="384"/>
      <c r="P2747" s="388"/>
      <c r="Q2747" s="388"/>
      <c r="R2747" s="388"/>
      <c r="S2747" s="388"/>
      <c r="T2747" s="389">
        <v>48</v>
      </c>
    </row>
    <row r="2748" spans="1:20" x14ac:dyDescent="0.3">
      <c r="A2748" s="384" t="b">
        <v>0</v>
      </c>
      <c r="B2748" s="384">
        <f t="shared" si="145"/>
        <v>8</v>
      </c>
      <c r="C2748" s="397" t="s">
        <v>3825</v>
      </c>
      <c r="D2748" s="384" t="s">
        <v>478</v>
      </c>
      <c r="E2748" s="388"/>
      <c r="F2748" s="388"/>
      <c r="G2748" s="401" t="s">
        <v>3826</v>
      </c>
      <c r="H2748" s="384"/>
      <c r="I2748" s="384"/>
      <c r="J2748" s="384"/>
      <c r="K2748" s="384"/>
      <c r="L2748" s="384"/>
      <c r="M2748" s="388"/>
      <c r="N2748" s="388"/>
      <c r="O2748" s="384"/>
      <c r="P2748" s="388"/>
      <c r="Q2748" s="388"/>
      <c r="R2748" s="388"/>
      <c r="S2748" s="388"/>
      <c r="T2748" s="389">
        <v>49</v>
      </c>
    </row>
    <row r="2749" spans="1:20" x14ac:dyDescent="0.3">
      <c r="A2749" s="384" t="b">
        <v>0</v>
      </c>
      <c r="B2749" s="384">
        <f t="shared" si="145"/>
        <v>8</v>
      </c>
      <c r="C2749" s="397" t="s">
        <v>3827</v>
      </c>
      <c r="D2749" s="384" t="s">
        <v>478</v>
      </c>
      <c r="E2749" s="388"/>
      <c r="F2749" s="388"/>
      <c r="G2749" s="401" t="s">
        <v>3828</v>
      </c>
      <c r="H2749" s="384"/>
      <c r="I2749" s="384"/>
      <c r="J2749" s="384"/>
      <c r="K2749" s="384"/>
      <c r="L2749" s="384"/>
      <c r="M2749" s="388"/>
      <c r="N2749" s="388"/>
      <c r="O2749" s="384"/>
      <c r="P2749" s="388"/>
      <c r="Q2749" s="388"/>
      <c r="R2749" s="388"/>
      <c r="S2749" s="388"/>
      <c r="T2749" s="389">
        <v>50</v>
      </c>
    </row>
    <row r="2750" spans="1:20" x14ac:dyDescent="0.3">
      <c r="A2750" s="384" t="b">
        <v>0</v>
      </c>
      <c r="B2750" s="384">
        <f t="shared" si="145"/>
        <v>8</v>
      </c>
      <c r="C2750" s="397" t="s">
        <v>3829</v>
      </c>
      <c r="D2750" s="384" t="s">
        <v>478</v>
      </c>
      <c r="E2750" s="388"/>
      <c r="F2750" s="388"/>
      <c r="G2750" s="401" t="s">
        <v>3830</v>
      </c>
      <c r="H2750" s="384"/>
      <c r="I2750" s="384"/>
      <c r="J2750" s="384"/>
      <c r="K2750" s="384"/>
      <c r="L2750" s="384"/>
      <c r="M2750" s="388"/>
      <c r="N2750" s="388"/>
      <c r="O2750" s="384"/>
      <c r="P2750" s="388"/>
      <c r="Q2750" s="388"/>
      <c r="R2750" s="388"/>
      <c r="S2750" s="388"/>
      <c r="T2750" s="389">
        <v>51</v>
      </c>
    </row>
    <row r="2751" spans="1:20" x14ac:dyDescent="0.3">
      <c r="A2751" s="384" t="b">
        <v>0</v>
      </c>
      <c r="B2751" s="384">
        <f t="shared" si="145"/>
        <v>8</v>
      </c>
      <c r="C2751" s="397" t="s">
        <v>3831</v>
      </c>
      <c r="D2751" s="384" t="s">
        <v>478</v>
      </c>
      <c r="E2751" s="388"/>
      <c r="F2751" s="388"/>
      <c r="G2751" s="401" t="s">
        <v>3832</v>
      </c>
      <c r="H2751" s="384"/>
      <c r="I2751" s="384"/>
      <c r="J2751" s="384"/>
      <c r="K2751" s="384"/>
      <c r="L2751" s="384"/>
      <c r="M2751" s="388"/>
      <c r="N2751" s="388"/>
      <c r="O2751" s="384"/>
      <c r="P2751" s="388"/>
      <c r="Q2751" s="388"/>
      <c r="R2751" s="388"/>
      <c r="S2751" s="388"/>
      <c r="T2751" s="389">
        <v>52</v>
      </c>
    </row>
    <row r="2752" spans="1:20" x14ac:dyDescent="0.3">
      <c r="A2752" s="384" t="b">
        <v>0</v>
      </c>
      <c r="B2752" s="384">
        <f t="shared" si="145"/>
        <v>8</v>
      </c>
      <c r="C2752" s="397" t="s">
        <v>3833</v>
      </c>
      <c r="D2752" s="384" t="s">
        <v>478</v>
      </c>
      <c r="E2752" s="388"/>
      <c r="F2752" s="388"/>
      <c r="G2752" s="401" t="s">
        <v>3834</v>
      </c>
      <c r="H2752" s="384"/>
      <c r="I2752" s="384"/>
      <c r="J2752" s="384"/>
      <c r="K2752" s="384"/>
      <c r="L2752" s="384"/>
      <c r="M2752" s="388"/>
      <c r="N2752" s="388"/>
      <c r="O2752" s="384"/>
      <c r="P2752" s="388"/>
      <c r="Q2752" s="388"/>
      <c r="R2752" s="388"/>
      <c r="S2752" s="388"/>
      <c r="T2752" s="389">
        <v>53</v>
      </c>
    </row>
    <row r="2753" spans="1:20" x14ac:dyDescent="0.3">
      <c r="A2753" s="384" t="b">
        <v>0</v>
      </c>
      <c r="B2753" s="384">
        <f t="shared" si="145"/>
        <v>8</v>
      </c>
      <c r="C2753" s="397" t="s">
        <v>3835</v>
      </c>
      <c r="D2753" s="384" t="s">
        <v>478</v>
      </c>
      <c r="E2753" s="388"/>
      <c r="F2753" s="388"/>
      <c r="G2753" s="401" t="s">
        <v>3836</v>
      </c>
      <c r="H2753" s="384"/>
      <c r="I2753" s="384"/>
      <c r="J2753" s="384"/>
      <c r="K2753" s="384"/>
      <c r="L2753" s="384"/>
      <c r="M2753" s="388"/>
      <c r="N2753" s="388"/>
      <c r="O2753" s="384"/>
      <c r="P2753" s="388"/>
      <c r="Q2753" s="388"/>
      <c r="R2753" s="388"/>
      <c r="S2753" s="388"/>
      <c r="T2753" s="389">
        <v>54</v>
      </c>
    </row>
    <row r="2754" spans="1:20" x14ac:dyDescent="0.3">
      <c r="A2754" s="384" t="b">
        <v>0</v>
      </c>
      <c r="B2754" s="384">
        <f t="shared" si="145"/>
        <v>8</v>
      </c>
      <c r="C2754" s="397" t="s">
        <v>3837</v>
      </c>
      <c r="D2754" s="384" t="s">
        <v>478</v>
      </c>
      <c r="E2754" s="388"/>
      <c r="F2754" s="388"/>
      <c r="G2754" s="401" t="s">
        <v>3838</v>
      </c>
      <c r="H2754" s="384"/>
      <c r="I2754" s="384"/>
      <c r="J2754" s="384"/>
      <c r="K2754" s="384"/>
      <c r="L2754" s="384"/>
      <c r="M2754" s="388"/>
      <c r="N2754" s="388"/>
      <c r="O2754" s="384"/>
      <c r="P2754" s="388"/>
      <c r="Q2754" s="388"/>
      <c r="R2754" s="388"/>
      <c r="S2754" s="388"/>
      <c r="T2754" s="389">
        <v>55</v>
      </c>
    </row>
    <row r="2755" spans="1:20" x14ac:dyDescent="0.3">
      <c r="A2755" s="384" t="b">
        <v>0</v>
      </c>
      <c r="B2755" s="384">
        <f t="shared" si="145"/>
        <v>8</v>
      </c>
      <c r="C2755" s="397" t="s">
        <v>3839</v>
      </c>
      <c r="D2755" s="384" t="s">
        <v>478</v>
      </c>
      <c r="E2755" s="388"/>
      <c r="F2755" s="388"/>
      <c r="G2755" s="401" t="s">
        <v>3840</v>
      </c>
      <c r="H2755" s="384"/>
      <c r="I2755" s="384"/>
      <c r="J2755" s="384"/>
      <c r="K2755" s="384"/>
      <c r="L2755" s="384"/>
      <c r="M2755" s="388"/>
      <c r="N2755" s="388"/>
      <c r="O2755" s="384"/>
      <c r="P2755" s="388"/>
      <c r="Q2755" s="388"/>
      <c r="R2755" s="388"/>
      <c r="S2755" s="388"/>
      <c r="T2755" s="389">
        <v>56</v>
      </c>
    </row>
    <row r="2756" spans="1:20" x14ac:dyDescent="0.3">
      <c r="A2756" s="384" t="b">
        <v>0</v>
      </c>
      <c r="B2756" s="384">
        <f t="shared" si="145"/>
        <v>8</v>
      </c>
      <c r="C2756" s="397" t="s">
        <v>3841</v>
      </c>
      <c r="D2756" s="384" t="s">
        <v>478</v>
      </c>
      <c r="E2756" s="388"/>
      <c r="F2756" s="388"/>
      <c r="G2756" s="401" t="s">
        <v>3842</v>
      </c>
      <c r="H2756" s="384"/>
      <c r="I2756" s="384"/>
      <c r="J2756" s="384"/>
      <c r="K2756" s="384"/>
      <c r="L2756" s="384"/>
      <c r="M2756" s="388"/>
      <c r="N2756" s="388"/>
      <c r="O2756" s="384"/>
      <c r="P2756" s="388"/>
      <c r="Q2756" s="388"/>
      <c r="R2756" s="388"/>
      <c r="S2756" s="388"/>
      <c r="T2756" s="389">
        <v>57</v>
      </c>
    </row>
    <row r="2757" spans="1:20" x14ac:dyDescent="0.3">
      <c r="A2757" s="384" t="b">
        <v>0</v>
      </c>
      <c r="B2757" s="384">
        <f t="shared" si="145"/>
        <v>8</v>
      </c>
      <c r="C2757" s="397" t="s">
        <v>3843</v>
      </c>
      <c r="D2757" s="384" t="s">
        <v>478</v>
      </c>
      <c r="E2757" s="388"/>
      <c r="F2757" s="388"/>
      <c r="G2757" s="401" t="s">
        <v>3844</v>
      </c>
      <c r="H2757" s="384"/>
      <c r="I2757" s="384"/>
      <c r="J2757" s="384"/>
      <c r="K2757" s="384"/>
      <c r="L2757" s="384"/>
      <c r="M2757" s="388"/>
      <c r="N2757" s="388"/>
      <c r="O2757" s="384"/>
      <c r="P2757" s="388"/>
      <c r="Q2757" s="388"/>
      <c r="R2757" s="388"/>
      <c r="S2757" s="388"/>
      <c r="T2757" s="389">
        <v>58</v>
      </c>
    </row>
    <row r="2758" spans="1:20" x14ac:dyDescent="0.3">
      <c r="A2758" s="384" t="b">
        <v>0</v>
      </c>
      <c r="B2758" s="384">
        <f t="shared" si="145"/>
        <v>8</v>
      </c>
      <c r="C2758" s="397" t="s">
        <v>3845</v>
      </c>
      <c r="D2758" s="384" t="s">
        <v>478</v>
      </c>
      <c r="E2758" s="388"/>
      <c r="F2758" s="388"/>
      <c r="G2758" s="401" t="s">
        <v>3846</v>
      </c>
      <c r="H2758" s="384"/>
      <c r="I2758" s="384"/>
      <c r="J2758" s="384"/>
      <c r="K2758" s="384"/>
      <c r="L2758" s="384"/>
      <c r="M2758" s="388"/>
      <c r="N2758" s="388"/>
      <c r="O2758" s="384"/>
      <c r="P2758" s="388"/>
      <c r="Q2758" s="388"/>
      <c r="R2758" s="388"/>
      <c r="S2758" s="388"/>
      <c r="T2758" s="389">
        <v>59</v>
      </c>
    </row>
    <row r="2759" spans="1:20" x14ac:dyDescent="0.3">
      <c r="A2759" s="384" t="b">
        <v>0</v>
      </c>
      <c r="B2759" s="384">
        <f t="shared" si="145"/>
        <v>8</v>
      </c>
      <c r="C2759" s="397" t="s">
        <v>3847</v>
      </c>
      <c r="D2759" s="384" t="s">
        <v>478</v>
      </c>
      <c r="E2759" s="388"/>
      <c r="F2759" s="388"/>
      <c r="G2759" s="401" t="s">
        <v>3848</v>
      </c>
      <c r="H2759" s="384"/>
      <c r="I2759" s="384"/>
      <c r="J2759" s="384"/>
      <c r="K2759" s="384"/>
      <c r="L2759" s="384"/>
      <c r="M2759" s="388"/>
      <c r="N2759" s="388"/>
      <c r="O2759" s="384"/>
      <c r="P2759" s="388"/>
      <c r="Q2759" s="388"/>
      <c r="R2759" s="388"/>
      <c r="S2759" s="388"/>
      <c r="T2759" s="389">
        <v>60</v>
      </c>
    </row>
    <row r="2760" spans="1:20" x14ac:dyDescent="0.3">
      <c r="A2760" s="384" t="b">
        <v>0</v>
      </c>
      <c r="B2760" s="384">
        <f t="shared" si="145"/>
        <v>8</v>
      </c>
      <c r="C2760" s="397" t="s">
        <v>3849</v>
      </c>
      <c r="D2760" s="384" t="s">
        <v>478</v>
      </c>
      <c r="E2760" s="388"/>
      <c r="F2760" s="388"/>
      <c r="G2760" s="401" t="s">
        <v>3850</v>
      </c>
      <c r="H2760" s="384"/>
      <c r="I2760" s="384"/>
      <c r="J2760" s="384"/>
      <c r="K2760" s="384"/>
      <c r="L2760" s="384"/>
      <c r="M2760" s="388"/>
      <c r="N2760" s="388"/>
      <c r="O2760" s="384"/>
      <c r="P2760" s="388"/>
      <c r="Q2760" s="388"/>
      <c r="R2760" s="388"/>
      <c r="S2760" s="388"/>
      <c r="T2760" s="389">
        <v>61</v>
      </c>
    </row>
    <row r="2761" spans="1:20" x14ac:dyDescent="0.3">
      <c r="A2761" s="384" t="b">
        <v>0</v>
      </c>
      <c r="B2761" s="384">
        <f t="shared" si="145"/>
        <v>8</v>
      </c>
      <c r="C2761" s="397" t="s">
        <v>3851</v>
      </c>
      <c r="D2761" s="384" t="s">
        <v>478</v>
      </c>
      <c r="E2761" s="388"/>
      <c r="F2761" s="388"/>
      <c r="G2761" s="401" t="s">
        <v>3852</v>
      </c>
      <c r="H2761" s="384"/>
      <c r="I2761" s="384"/>
      <c r="J2761" s="384"/>
      <c r="K2761" s="384"/>
      <c r="L2761" s="384"/>
      <c r="M2761" s="388"/>
      <c r="N2761" s="388"/>
      <c r="O2761" s="384"/>
      <c r="P2761" s="388"/>
      <c r="Q2761" s="388"/>
      <c r="R2761" s="388"/>
      <c r="S2761" s="388"/>
      <c r="T2761" s="389">
        <v>62</v>
      </c>
    </row>
    <row r="2762" spans="1:20" x14ac:dyDescent="0.3">
      <c r="A2762" s="384" t="b">
        <v>0</v>
      </c>
      <c r="B2762" s="384">
        <f t="shared" si="145"/>
        <v>8</v>
      </c>
      <c r="C2762" s="397" t="s">
        <v>3853</v>
      </c>
      <c r="D2762" s="384" t="s">
        <v>478</v>
      </c>
      <c r="E2762" s="388"/>
      <c r="F2762" s="388"/>
      <c r="G2762" s="401" t="s">
        <v>3854</v>
      </c>
      <c r="H2762" s="384"/>
      <c r="I2762" s="384"/>
      <c r="J2762" s="384"/>
      <c r="K2762" s="384"/>
      <c r="L2762" s="384"/>
      <c r="M2762" s="388"/>
      <c r="N2762" s="388"/>
      <c r="O2762" s="384"/>
      <c r="P2762" s="388"/>
      <c r="Q2762" s="388"/>
      <c r="R2762" s="388"/>
      <c r="S2762" s="388"/>
      <c r="T2762" s="389">
        <v>63</v>
      </c>
    </row>
    <row r="2763" spans="1:20" x14ac:dyDescent="0.3">
      <c r="A2763" s="384" t="b">
        <v>0</v>
      </c>
      <c r="B2763" s="384">
        <f t="shared" si="145"/>
        <v>8</v>
      </c>
      <c r="C2763" s="397" t="s">
        <v>3855</v>
      </c>
      <c r="D2763" s="384" t="s">
        <v>478</v>
      </c>
      <c r="E2763" s="388"/>
      <c r="F2763" s="388"/>
      <c r="G2763" s="401" t="s">
        <v>3856</v>
      </c>
      <c r="H2763" s="384"/>
      <c r="I2763" s="384"/>
      <c r="J2763" s="384"/>
      <c r="K2763" s="384"/>
      <c r="L2763" s="384"/>
      <c r="M2763" s="388"/>
      <c r="N2763" s="388"/>
      <c r="O2763" s="384"/>
      <c r="P2763" s="388"/>
      <c r="Q2763" s="388"/>
      <c r="R2763" s="388"/>
      <c r="S2763" s="388"/>
      <c r="T2763" s="389">
        <v>64</v>
      </c>
    </row>
    <row r="2764" spans="1:20" x14ac:dyDescent="0.3">
      <c r="A2764" s="384" t="b">
        <v>0</v>
      </c>
      <c r="B2764" s="384">
        <f t="shared" ref="B2764:B2827" si="146">IF(_xlfn.ISFORMULA(J2764),B2763+1,B2763)</f>
        <v>8</v>
      </c>
      <c r="C2764" s="397" t="s">
        <v>3857</v>
      </c>
      <c r="D2764" s="384" t="s">
        <v>478</v>
      </c>
      <c r="E2764" s="388"/>
      <c r="F2764" s="388"/>
      <c r="G2764" s="401" t="s">
        <v>3858</v>
      </c>
      <c r="H2764" s="384"/>
      <c r="I2764" s="384"/>
      <c r="J2764" s="384"/>
      <c r="K2764" s="384"/>
      <c r="L2764" s="384"/>
      <c r="M2764" s="388"/>
      <c r="N2764" s="388"/>
      <c r="O2764" s="384"/>
      <c r="P2764" s="388"/>
      <c r="Q2764" s="388"/>
      <c r="R2764" s="388"/>
      <c r="S2764" s="388"/>
      <c r="T2764" s="389">
        <v>65</v>
      </c>
    </row>
    <row r="2765" spans="1:20" x14ac:dyDescent="0.3">
      <c r="A2765" s="384" t="b">
        <v>0</v>
      </c>
      <c r="B2765" s="384">
        <f t="shared" si="146"/>
        <v>8</v>
      </c>
      <c r="C2765" s="397" t="s">
        <v>3859</v>
      </c>
      <c r="D2765" s="384" t="s">
        <v>478</v>
      </c>
      <c r="E2765" s="388"/>
      <c r="F2765" s="388"/>
      <c r="G2765" s="401" t="s">
        <v>3860</v>
      </c>
      <c r="H2765" s="384"/>
      <c r="I2765" s="384"/>
      <c r="J2765" s="384"/>
      <c r="K2765" s="384"/>
      <c r="L2765" s="384"/>
      <c r="M2765" s="388"/>
      <c r="N2765" s="388"/>
      <c r="O2765" s="384"/>
      <c r="P2765" s="388"/>
      <c r="Q2765" s="388"/>
      <c r="R2765" s="388"/>
      <c r="S2765" s="388"/>
      <c r="T2765" s="389">
        <v>66</v>
      </c>
    </row>
    <row r="2766" spans="1:20" x14ac:dyDescent="0.3">
      <c r="A2766" s="384" t="b">
        <v>0</v>
      </c>
      <c r="B2766" s="384">
        <f t="shared" si="146"/>
        <v>8</v>
      </c>
      <c r="C2766" s="397" t="s">
        <v>3861</v>
      </c>
      <c r="D2766" s="384" t="s">
        <v>478</v>
      </c>
      <c r="E2766" s="388"/>
      <c r="F2766" s="388"/>
      <c r="G2766" s="401" t="s">
        <v>3862</v>
      </c>
      <c r="H2766" s="384"/>
      <c r="I2766" s="384"/>
      <c r="J2766" s="384"/>
      <c r="K2766" s="384"/>
      <c r="L2766" s="384"/>
      <c r="M2766" s="388"/>
      <c r="N2766" s="388"/>
      <c r="O2766" s="384"/>
      <c r="P2766" s="388"/>
      <c r="Q2766" s="388"/>
      <c r="R2766" s="388"/>
      <c r="S2766" s="388"/>
      <c r="T2766" s="389">
        <v>67</v>
      </c>
    </row>
    <row r="2767" spans="1:20" x14ac:dyDescent="0.3">
      <c r="A2767" s="384" t="b">
        <v>0</v>
      </c>
      <c r="B2767" s="384">
        <f t="shared" si="146"/>
        <v>8</v>
      </c>
      <c r="C2767" s="397" t="s">
        <v>3863</v>
      </c>
      <c r="D2767" s="384" t="s">
        <v>478</v>
      </c>
      <c r="E2767" s="388"/>
      <c r="F2767" s="388"/>
      <c r="G2767" s="401" t="s">
        <v>3864</v>
      </c>
      <c r="H2767" s="384"/>
      <c r="I2767" s="384"/>
      <c r="J2767" s="384"/>
      <c r="K2767" s="384"/>
      <c r="L2767" s="384"/>
      <c r="M2767" s="388"/>
      <c r="N2767" s="388"/>
      <c r="O2767" s="384"/>
      <c r="P2767" s="388"/>
      <c r="Q2767" s="388"/>
      <c r="R2767" s="388"/>
      <c r="S2767" s="388"/>
      <c r="T2767" s="389">
        <v>68</v>
      </c>
    </row>
    <row r="2768" spans="1:20" x14ac:dyDescent="0.3">
      <c r="A2768" s="384" t="b">
        <v>0</v>
      </c>
      <c r="B2768" s="384">
        <f t="shared" si="146"/>
        <v>8</v>
      </c>
      <c r="C2768" s="397" t="s">
        <v>3865</v>
      </c>
      <c r="D2768" s="384" t="s">
        <v>478</v>
      </c>
      <c r="E2768" s="388"/>
      <c r="F2768" s="388"/>
      <c r="G2768" s="401" t="s">
        <v>3866</v>
      </c>
      <c r="H2768" s="384"/>
      <c r="I2768" s="384"/>
      <c r="J2768" s="384"/>
      <c r="K2768" s="384"/>
      <c r="L2768" s="384"/>
      <c r="M2768" s="388"/>
      <c r="N2768" s="388"/>
      <c r="O2768" s="384"/>
      <c r="P2768" s="388"/>
      <c r="Q2768" s="388"/>
      <c r="R2768" s="388"/>
      <c r="S2768" s="388"/>
      <c r="T2768" s="389">
        <v>69</v>
      </c>
    </row>
    <row r="2769" spans="1:20" x14ac:dyDescent="0.3">
      <c r="A2769" s="384" t="b">
        <v>0</v>
      </c>
      <c r="B2769" s="384">
        <f t="shared" si="146"/>
        <v>8</v>
      </c>
      <c r="C2769" s="397" t="s">
        <v>3867</v>
      </c>
      <c r="D2769" s="384" t="s">
        <v>478</v>
      </c>
      <c r="E2769" s="388"/>
      <c r="F2769" s="388"/>
      <c r="G2769" s="401" t="s">
        <v>3868</v>
      </c>
      <c r="H2769" s="384"/>
      <c r="I2769" s="384"/>
      <c r="J2769" s="384"/>
      <c r="K2769" s="384"/>
      <c r="L2769" s="384"/>
      <c r="M2769" s="388"/>
      <c r="N2769" s="388"/>
      <c r="O2769" s="384"/>
      <c r="P2769" s="388"/>
      <c r="Q2769" s="388"/>
      <c r="R2769" s="388"/>
      <c r="S2769" s="388"/>
      <c r="T2769" s="389">
        <v>70</v>
      </c>
    </row>
    <row r="2770" spans="1:20" x14ac:dyDescent="0.3">
      <c r="A2770" s="384" t="b">
        <v>0</v>
      </c>
      <c r="B2770" s="384">
        <f t="shared" si="146"/>
        <v>8</v>
      </c>
      <c r="C2770" s="397" t="s">
        <v>3869</v>
      </c>
      <c r="D2770" s="384" t="s">
        <v>478</v>
      </c>
      <c r="E2770" s="388"/>
      <c r="F2770" s="388"/>
      <c r="G2770" s="401" t="s">
        <v>3870</v>
      </c>
      <c r="H2770" s="384"/>
      <c r="I2770" s="384"/>
      <c r="J2770" s="384"/>
      <c r="K2770" s="384"/>
      <c r="L2770" s="384"/>
      <c r="M2770" s="388"/>
      <c r="N2770" s="388"/>
      <c r="O2770" s="384"/>
      <c r="P2770" s="388"/>
      <c r="Q2770" s="388"/>
      <c r="R2770" s="388"/>
      <c r="S2770" s="388"/>
      <c r="T2770" s="389">
        <v>71</v>
      </c>
    </row>
    <row r="2771" spans="1:20" x14ac:dyDescent="0.3">
      <c r="A2771" s="384" t="b">
        <v>0</v>
      </c>
      <c r="B2771" s="384">
        <f t="shared" si="146"/>
        <v>8</v>
      </c>
      <c r="C2771" s="397" t="s">
        <v>3871</v>
      </c>
      <c r="D2771" s="384" t="s">
        <v>478</v>
      </c>
      <c r="E2771" s="388"/>
      <c r="F2771" s="388"/>
      <c r="G2771" s="401" t="s">
        <v>3872</v>
      </c>
      <c r="H2771" s="384"/>
      <c r="I2771" s="384"/>
      <c r="J2771" s="384"/>
      <c r="K2771" s="384"/>
      <c r="L2771" s="384"/>
      <c r="M2771" s="388"/>
      <c r="N2771" s="388"/>
      <c r="O2771" s="384"/>
      <c r="P2771" s="388"/>
      <c r="Q2771" s="388"/>
      <c r="R2771" s="388"/>
      <c r="S2771" s="388"/>
      <c r="T2771" s="389">
        <v>72</v>
      </c>
    </row>
    <row r="2772" spans="1:20" x14ac:dyDescent="0.3">
      <c r="A2772" s="384" t="b">
        <v>0</v>
      </c>
      <c r="B2772" s="384">
        <f t="shared" si="146"/>
        <v>8</v>
      </c>
      <c r="C2772" s="397" t="s">
        <v>3873</v>
      </c>
      <c r="D2772" s="384" t="s">
        <v>478</v>
      </c>
      <c r="E2772" s="388"/>
      <c r="F2772" s="388"/>
      <c r="G2772" s="401" t="s">
        <v>3874</v>
      </c>
      <c r="H2772" s="384"/>
      <c r="I2772" s="384"/>
      <c r="J2772" s="384"/>
      <c r="K2772" s="384"/>
      <c r="L2772" s="384"/>
      <c r="M2772" s="388"/>
      <c r="N2772" s="388"/>
      <c r="O2772" s="384"/>
      <c r="P2772" s="388"/>
      <c r="Q2772" s="388"/>
      <c r="R2772" s="388"/>
      <c r="S2772" s="388"/>
      <c r="T2772" s="389">
        <v>73</v>
      </c>
    </row>
    <row r="2773" spans="1:20" x14ac:dyDescent="0.3">
      <c r="A2773" s="384" t="b">
        <v>0</v>
      </c>
      <c r="B2773" s="384">
        <f t="shared" si="146"/>
        <v>8</v>
      </c>
      <c r="C2773" s="397" t="s">
        <v>3875</v>
      </c>
      <c r="D2773" s="384" t="s">
        <v>478</v>
      </c>
      <c r="E2773" s="388"/>
      <c r="F2773" s="388"/>
      <c r="G2773" s="401" t="s">
        <v>3876</v>
      </c>
      <c r="H2773" s="384"/>
      <c r="I2773" s="384"/>
      <c r="J2773" s="384"/>
      <c r="K2773" s="384"/>
      <c r="L2773" s="384"/>
      <c r="M2773" s="388"/>
      <c r="N2773" s="388"/>
      <c r="O2773" s="384"/>
      <c r="P2773" s="388"/>
      <c r="Q2773" s="388"/>
      <c r="R2773" s="388"/>
      <c r="S2773" s="388"/>
      <c r="T2773" s="389">
        <v>74</v>
      </c>
    </row>
    <row r="2774" spans="1:20" x14ac:dyDescent="0.3">
      <c r="A2774" s="384" t="b">
        <v>0</v>
      </c>
      <c r="B2774" s="384">
        <f t="shared" si="146"/>
        <v>8</v>
      </c>
      <c r="C2774" s="397" t="s">
        <v>3877</v>
      </c>
      <c r="D2774" s="384" t="s">
        <v>478</v>
      </c>
      <c r="E2774" s="388"/>
      <c r="F2774" s="388"/>
      <c r="G2774" s="401" t="s">
        <v>3878</v>
      </c>
      <c r="H2774" s="384"/>
      <c r="I2774" s="384"/>
      <c r="J2774" s="384"/>
      <c r="K2774" s="384"/>
      <c r="L2774" s="384"/>
      <c r="M2774" s="388"/>
      <c r="N2774" s="388"/>
      <c r="O2774" s="384"/>
      <c r="P2774" s="388"/>
      <c r="Q2774" s="388"/>
      <c r="R2774" s="388"/>
      <c r="S2774" s="388"/>
      <c r="T2774" s="389">
        <v>75</v>
      </c>
    </row>
    <row r="2775" spans="1:20" x14ac:dyDescent="0.3">
      <c r="A2775" s="384" t="b">
        <v>0</v>
      </c>
      <c r="B2775" s="384">
        <f t="shared" si="146"/>
        <v>8</v>
      </c>
      <c r="C2775" s="397" t="s">
        <v>3879</v>
      </c>
      <c r="D2775" s="384" t="s">
        <v>478</v>
      </c>
      <c r="E2775" s="388"/>
      <c r="F2775" s="388"/>
      <c r="G2775" s="401" t="s">
        <v>3880</v>
      </c>
      <c r="H2775" s="384"/>
      <c r="I2775" s="384"/>
      <c r="J2775" s="384"/>
      <c r="K2775" s="384"/>
      <c r="L2775" s="384"/>
      <c r="M2775" s="388"/>
      <c r="N2775" s="388"/>
      <c r="O2775" s="384"/>
      <c r="P2775" s="388"/>
      <c r="Q2775" s="388"/>
      <c r="R2775" s="388"/>
      <c r="S2775" s="388"/>
      <c r="T2775" s="389">
        <v>76</v>
      </c>
    </row>
    <row r="2776" spans="1:20" x14ac:dyDescent="0.3">
      <c r="A2776" s="384" t="b">
        <v>0</v>
      </c>
      <c r="B2776" s="384">
        <f t="shared" si="146"/>
        <v>8</v>
      </c>
      <c r="C2776" s="397" t="s">
        <v>3881</v>
      </c>
      <c r="D2776" s="384" t="s">
        <v>478</v>
      </c>
      <c r="E2776" s="388"/>
      <c r="F2776" s="388"/>
      <c r="G2776" s="401" t="s">
        <v>3882</v>
      </c>
      <c r="H2776" s="384"/>
      <c r="I2776" s="384"/>
      <c r="J2776" s="384"/>
      <c r="K2776" s="384"/>
      <c r="L2776" s="384"/>
      <c r="M2776" s="388"/>
      <c r="N2776" s="388"/>
      <c r="O2776" s="384"/>
      <c r="P2776" s="388"/>
      <c r="Q2776" s="388"/>
      <c r="R2776" s="388"/>
      <c r="S2776" s="388"/>
      <c r="T2776" s="389">
        <v>77</v>
      </c>
    </row>
    <row r="2777" spans="1:20" x14ac:dyDescent="0.3">
      <c r="A2777" s="384" t="b">
        <v>0</v>
      </c>
      <c r="B2777" s="384">
        <f t="shared" si="146"/>
        <v>8</v>
      </c>
      <c r="C2777" s="397" t="s">
        <v>3883</v>
      </c>
      <c r="D2777" s="384" t="s">
        <v>478</v>
      </c>
      <c r="E2777" s="388"/>
      <c r="F2777" s="388"/>
      <c r="G2777" s="401" t="s">
        <v>3884</v>
      </c>
      <c r="H2777" s="384"/>
      <c r="I2777" s="384"/>
      <c r="J2777" s="384"/>
      <c r="K2777" s="384"/>
      <c r="L2777" s="384"/>
      <c r="M2777" s="388"/>
      <c r="N2777" s="388"/>
      <c r="O2777" s="384"/>
      <c r="P2777" s="388"/>
      <c r="Q2777" s="388"/>
      <c r="R2777" s="388"/>
      <c r="S2777" s="388"/>
      <c r="T2777" s="389">
        <v>78</v>
      </c>
    </row>
    <row r="2778" spans="1:20" x14ac:dyDescent="0.3">
      <c r="A2778" s="384" t="b">
        <v>0</v>
      </c>
      <c r="B2778" s="384">
        <f t="shared" si="146"/>
        <v>8</v>
      </c>
      <c r="C2778" s="397" t="s">
        <v>3885</v>
      </c>
      <c r="D2778" s="384" t="s">
        <v>478</v>
      </c>
      <c r="E2778" s="388"/>
      <c r="F2778" s="388"/>
      <c r="G2778" s="401" t="s">
        <v>3886</v>
      </c>
      <c r="H2778" s="384"/>
      <c r="I2778" s="384"/>
      <c r="J2778" s="384"/>
      <c r="K2778" s="384"/>
      <c r="L2778" s="384"/>
      <c r="M2778" s="388"/>
      <c r="N2778" s="388"/>
      <c r="O2778" s="384"/>
      <c r="P2778" s="388"/>
      <c r="Q2778" s="388"/>
      <c r="R2778" s="388"/>
      <c r="S2778" s="388"/>
      <c r="T2778" s="389">
        <v>79</v>
      </c>
    </row>
    <row r="2779" spans="1:20" x14ac:dyDescent="0.3">
      <c r="A2779" s="384" t="b">
        <v>0</v>
      </c>
      <c r="B2779" s="384">
        <f t="shared" si="146"/>
        <v>8</v>
      </c>
      <c r="C2779" s="397" t="s">
        <v>3887</v>
      </c>
      <c r="D2779" s="384" t="s">
        <v>478</v>
      </c>
      <c r="E2779" s="388"/>
      <c r="F2779" s="388"/>
      <c r="G2779" s="401" t="s">
        <v>3888</v>
      </c>
      <c r="H2779" s="384"/>
      <c r="I2779" s="384"/>
      <c r="J2779" s="384"/>
      <c r="K2779" s="384"/>
      <c r="L2779" s="384"/>
      <c r="M2779" s="388"/>
      <c r="N2779" s="388"/>
      <c r="O2779" s="384"/>
      <c r="P2779" s="388"/>
      <c r="Q2779" s="388"/>
      <c r="R2779" s="388"/>
      <c r="S2779" s="388"/>
      <c r="T2779" s="389">
        <v>80</v>
      </c>
    </row>
    <row r="2780" spans="1:20" x14ac:dyDescent="0.3">
      <c r="A2780" s="384" t="b">
        <f t="shared" ref="A2780:A2843" ca="1" si="147">IF(F2780&lt;&gt;"",TRUE,FALSE)</f>
        <v>0</v>
      </c>
      <c r="B2780" s="384">
        <f t="shared" si="146"/>
        <v>9</v>
      </c>
      <c r="C2780" s="400" t="str">
        <f ca="1">IF(COUNTA($G$2697:G2779)=1,"",OFFSET(B2780,-COUNTA($G$2697:G2779)+1,1))</f>
        <v>a1NDm000000GuPdMAK</v>
      </c>
      <c r="D2780" s="384" t="str">
        <f t="shared" ref="D2780:D2843" ca="1" si="148">IFERROR(IF(INDIRECT("'WPTM - Section F'!AC"&amp;B2780)=0,"",INDIRECT("'WPTM - Section F'!AC"&amp;B2780)),"")</f>
        <v>INT-341506</v>
      </c>
      <c r="E2780" s="388"/>
      <c r="F2780" s="388" t="str">
        <f t="shared" ref="F2780:F2843" ca="1" si="149">IFERROR(IF(INDIRECT("'WPTM - Section F'!D"&amp;B2780)=0,"",INDIRECT("'WPTM - Section F'!D"&amp;B2780)),"")</f>
        <v/>
      </c>
      <c r="G2780" s="401"/>
      <c r="H2780" s="384"/>
      <c r="I2780" s="384" t="str">
        <f ca="1">IFERROR(VLOOKUP(INDIRECT("'WPTM - Section F'!E"&amp;B2780),'Overview - Section A'!M$30:R122,6,0),IFERROR(VLOOKUP(INDIRECT("'WPTM - Section F'!E"&amp;B2780),'Overview - Section A'!E$27:J110,6,0),""))</f>
        <v/>
      </c>
      <c r="J2780" s="384" t="str">
        <f t="shared" ref="J2780:J2843" ca="1" si="150">IFERROR(IF(INDIRECT("'WPTM - Section F'!F"&amp;B2780)=0,"",INDIRECT("'WPTM - Section F'!F"&amp;B2780)),"")</f>
        <v/>
      </c>
      <c r="K2780" s="384"/>
      <c r="L2780" s="384"/>
      <c r="M2780" s="388"/>
      <c r="N2780" s="388"/>
      <c r="O2780" s="384"/>
      <c r="P2780" s="388" t="str">
        <f t="shared" ref="P2780:P2843" ca="1" si="151">IFERROR(IF(INDIRECT("'WPTM - Section F'!W"&amp;B2780)=0,"",INDIRECT("'WPTM - Section F'!W"&amp;B2780)),"")</f>
        <v/>
      </c>
      <c r="Q2780" s="388"/>
      <c r="R2780" s="388" t="str">
        <f t="shared" ref="R2780:R2843" ca="1" si="152">IFERROR(IF(INDIRECT("'WPTM - Section F'!C"&amp;B2780)=0,"",INDIRECT("'WPTM - Section F'!C"&amp;B2780)),"")</f>
        <v/>
      </c>
      <c r="S2780" s="388"/>
      <c r="T2780" s="389"/>
    </row>
    <row r="2781" spans="1:20" x14ac:dyDescent="0.3">
      <c r="A2781" s="384" t="b">
        <f t="shared" ca="1" si="147"/>
        <v>0</v>
      </c>
      <c r="B2781" s="384">
        <f t="shared" si="146"/>
        <v>10</v>
      </c>
      <c r="C2781" s="400" t="str">
        <f ca="1">IF(COUNTA($G$2697:G2780)=1,"",OFFSET(B2781,-COUNTA($G$2697:G2780)+1,1))</f>
        <v>a1NDm000000GuPeMAK</v>
      </c>
      <c r="D2781" s="384" t="str">
        <f t="shared" ca="1" si="148"/>
        <v>INT-341506</v>
      </c>
      <c r="E2781" s="388"/>
      <c r="F2781" s="388" t="str">
        <f t="shared" ca="1" si="149"/>
        <v/>
      </c>
      <c r="G2781" s="401"/>
      <c r="H2781" s="384"/>
      <c r="I2781" s="384" t="str">
        <f ca="1">IFERROR(VLOOKUP(INDIRECT("'WPTM - Section F'!E"&amp;B2781),'Overview - Section A'!M$30:R123,6,0),IFERROR(VLOOKUP(INDIRECT("'WPTM - Section F'!E"&amp;B2781),'Overview - Section A'!E$27:J111,6,0),""))</f>
        <v/>
      </c>
      <c r="J2781" s="384" t="str">
        <f t="shared" ca="1" si="150"/>
        <v/>
      </c>
      <c r="K2781" s="384"/>
      <c r="L2781" s="384"/>
      <c r="M2781" s="388"/>
      <c r="N2781" s="388"/>
      <c r="O2781" s="384"/>
      <c r="P2781" s="388" t="str">
        <f t="shared" ca="1" si="151"/>
        <v/>
      </c>
      <c r="Q2781" s="388"/>
      <c r="R2781" s="388" t="str">
        <f t="shared" ca="1" si="152"/>
        <v/>
      </c>
      <c r="S2781" s="388"/>
      <c r="T2781" s="389"/>
    </row>
    <row r="2782" spans="1:20" x14ac:dyDescent="0.3">
      <c r="A2782" s="384" t="b">
        <f t="shared" ca="1" si="147"/>
        <v>0</v>
      </c>
      <c r="B2782" s="384">
        <f t="shared" si="146"/>
        <v>11</v>
      </c>
      <c r="C2782" s="400" t="str">
        <f ca="1">IF(COUNTA($G$2697:G2781)=1,"",OFFSET(B2782,-COUNTA($G$2697:G2781)+1,1))</f>
        <v>a1NDm000000GuPfMAK</v>
      </c>
      <c r="D2782" s="384" t="str">
        <f t="shared" ca="1" si="148"/>
        <v>INT-341506</v>
      </c>
      <c r="E2782" s="388"/>
      <c r="F2782" s="388" t="str">
        <f t="shared" ca="1" si="149"/>
        <v/>
      </c>
      <c r="G2782" s="401"/>
      <c r="H2782" s="384"/>
      <c r="I2782" s="384" t="str">
        <f ca="1">IFERROR(VLOOKUP(INDIRECT("'WPTM - Section F'!E"&amp;B2782),'Overview - Section A'!M$30:R124,6,0),IFERROR(VLOOKUP(INDIRECT("'WPTM - Section F'!E"&amp;B2782),'Overview - Section A'!E$27:J112,6,0),""))</f>
        <v/>
      </c>
      <c r="J2782" s="384" t="str">
        <f t="shared" ca="1" si="150"/>
        <v/>
      </c>
      <c r="K2782" s="384"/>
      <c r="L2782" s="384"/>
      <c r="M2782" s="388"/>
      <c r="N2782" s="388"/>
      <c r="O2782" s="384"/>
      <c r="P2782" s="388" t="str">
        <f t="shared" ca="1" si="151"/>
        <v/>
      </c>
      <c r="Q2782" s="388"/>
      <c r="R2782" s="388" t="str">
        <f t="shared" ca="1" si="152"/>
        <v/>
      </c>
      <c r="S2782" s="388"/>
      <c r="T2782" s="389"/>
    </row>
    <row r="2783" spans="1:20" x14ac:dyDescent="0.3">
      <c r="A2783" s="384" t="b">
        <f t="shared" ca="1" si="147"/>
        <v>0</v>
      </c>
      <c r="B2783" s="384">
        <f t="shared" si="146"/>
        <v>12</v>
      </c>
      <c r="C2783" s="400" t="str">
        <f ca="1">IF(COUNTA($G$2697:G2782)=1,"",OFFSET(B2783,-COUNTA($G$2697:G2782)+1,1))</f>
        <v>a1NDm000000GuPgMAK</v>
      </c>
      <c r="D2783" s="384" t="str">
        <f t="shared" ca="1" si="148"/>
        <v>INT-341506</v>
      </c>
      <c r="E2783" s="388"/>
      <c r="F2783" s="388" t="str">
        <f t="shared" ca="1" si="149"/>
        <v/>
      </c>
      <c r="G2783" s="401"/>
      <c r="H2783" s="384"/>
      <c r="I2783" s="384" t="str">
        <f ca="1">IFERROR(VLOOKUP(INDIRECT("'WPTM - Section F'!E"&amp;B2783),'Overview - Section A'!M$30:R125,6,0),IFERROR(VLOOKUP(INDIRECT("'WPTM - Section F'!E"&amp;B2783),'Overview - Section A'!E$27:J113,6,0),""))</f>
        <v/>
      </c>
      <c r="J2783" s="384" t="str">
        <f t="shared" ca="1" si="150"/>
        <v/>
      </c>
      <c r="K2783" s="384"/>
      <c r="L2783" s="384"/>
      <c r="M2783" s="388"/>
      <c r="N2783" s="388"/>
      <c r="O2783" s="384"/>
      <c r="P2783" s="388" t="str">
        <f t="shared" ca="1" si="151"/>
        <v/>
      </c>
      <c r="Q2783" s="388"/>
      <c r="R2783" s="388" t="str">
        <f t="shared" ca="1" si="152"/>
        <v/>
      </c>
      <c r="S2783" s="388"/>
      <c r="T2783" s="389"/>
    </row>
    <row r="2784" spans="1:20" x14ac:dyDescent="0.3">
      <c r="A2784" s="384" t="b">
        <f t="shared" ca="1" si="147"/>
        <v>0</v>
      </c>
      <c r="B2784" s="384">
        <f t="shared" si="146"/>
        <v>13</v>
      </c>
      <c r="C2784" s="400" t="str">
        <f ca="1">IF(COUNTA($G$2697:G2783)=1,"",OFFSET(B2784,-COUNTA($G$2697:G2783)+1,1))</f>
        <v>a1NDm000000GuPhMAK</v>
      </c>
      <c r="D2784" s="384" t="str">
        <f t="shared" ca="1" si="148"/>
        <v>INT-341506</v>
      </c>
      <c r="E2784" s="388"/>
      <c r="F2784" s="388" t="str">
        <f t="shared" ca="1" si="149"/>
        <v/>
      </c>
      <c r="G2784" s="401"/>
      <c r="H2784" s="384"/>
      <c r="I2784" s="384" t="str">
        <f ca="1">IFERROR(VLOOKUP(INDIRECT("'WPTM - Section F'!E"&amp;B2784),'Overview - Section A'!M$30:R126,6,0),IFERROR(VLOOKUP(INDIRECT("'WPTM - Section F'!E"&amp;B2784),'Overview - Section A'!E$27:J114,6,0),""))</f>
        <v/>
      </c>
      <c r="J2784" s="384" t="str">
        <f t="shared" ca="1" si="150"/>
        <v/>
      </c>
      <c r="K2784" s="384"/>
      <c r="L2784" s="384"/>
      <c r="M2784" s="388"/>
      <c r="N2784" s="388"/>
      <c r="O2784" s="384"/>
      <c r="P2784" s="388" t="str">
        <f t="shared" ca="1" si="151"/>
        <v/>
      </c>
      <c r="Q2784" s="388"/>
      <c r="R2784" s="388" t="str">
        <f t="shared" ca="1" si="152"/>
        <v/>
      </c>
      <c r="S2784" s="388"/>
      <c r="T2784" s="389"/>
    </row>
    <row r="2785" spans="1:20" x14ac:dyDescent="0.3">
      <c r="A2785" s="384" t="b">
        <f t="shared" ca="1" si="147"/>
        <v>0</v>
      </c>
      <c r="B2785" s="384">
        <f t="shared" si="146"/>
        <v>14</v>
      </c>
      <c r="C2785" s="400" t="str">
        <f ca="1">IF(COUNTA($G$2697:G2784)=1,"",OFFSET(B2785,-COUNTA($G$2697:G2784)+1,1))</f>
        <v>a1NDm000000GuPiMAK</v>
      </c>
      <c r="D2785" s="384" t="str">
        <f t="shared" ca="1" si="148"/>
        <v>INT-341506</v>
      </c>
      <c r="E2785" s="388"/>
      <c r="F2785" s="388" t="str">
        <f t="shared" ca="1" si="149"/>
        <v/>
      </c>
      <c r="G2785" s="401"/>
      <c r="H2785" s="384"/>
      <c r="I2785" s="384" t="str">
        <f ca="1">IFERROR(VLOOKUP(INDIRECT("'WPTM - Section F'!E"&amp;B2785),'Overview - Section A'!M$30:R127,6,0),IFERROR(VLOOKUP(INDIRECT("'WPTM - Section F'!E"&amp;B2785),'Overview - Section A'!E$27:J115,6,0),""))</f>
        <v/>
      </c>
      <c r="J2785" s="384" t="str">
        <f t="shared" ca="1" si="150"/>
        <v/>
      </c>
      <c r="K2785" s="384"/>
      <c r="L2785" s="384"/>
      <c r="M2785" s="388"/>
      <c r="N2785" s="388"/>
      <c r="O2785" s="384"/>
      <c r="P2785" s="388" t="str">
        <f t="shared" ca="1" si="151"/>
        <v/>
      </c>
      <c r="Q2785" s="388"/>
      <c r="R2785" s="388" t="str">
        <f t="shared" ca="1" si="152"/>
        <v/>
      </c>
      <c r="S2785" s="388"/>
      <c r="T2785" s="389"/>
    </row>
    <row r="2786" spans="1:20" x14ac:dyDescent="0.3">
      <c r="A2786" s="384" t="b">
        <f t="shared" ca="1" si="147"/>
        <v>0</v>
      </c>
      <c r="B2786" s="384">
        <f t="shared" si="146"/>
        <v>15</v>
      </c>
      <c r="C2786" s="400" t="str">
        <f ca="1">IF(COUNTA($G$2697:G2785)=1,"",OFFSET(B2786,-COUNTA($G$2697:G2785)+1,1))</f>
        <v>a1NDm000000GuPjMAK</v>
      </c>
      <c r="D2786" s="384" t="str">
        <f t="shared" ca="1" si="148"/>
        <v>INT-341506</v>
      </c>
      <c r="E2786" s="388"/>
      <c r="F2786" s="388" t="str">
        <f t="shared" ca="1" si="149"/>
        <v/>
      </c>
      <c r="G2786" s="401"/>
      <c r="H2786" s="384"/>
      <c r="I2786" s="384" t="str">
        <f ca="1">IFERROR(VLOOKUP(INDIRECT("'WPTM - Section F'!E"&amp;B2786),'Overview - Section A'!M$30:R128,6,0),IFERROR(VLOOKUP(INDIRECT("'WPTM - Section F'!E"&amp;B2786),'Overview - Section A'!E$27:J116,6,0),""))</f>
        <v/>
      </c>
      <c r="J2786" s="384" t="str">
        <f t="shared" ca="1" si="150"/>
        <v/>
      </c>
      <c r="K2786" s="384"/>
      <c r="L2786" s="384"/>
      <c r="M2786" s="388"/>
      <c r="N2786" s="388"/>
      <c r="O2786" s="384"/>
      <c r="P2786" s="388" t="str">
        <f t="shared" ca="1" si="151"/>
        <v/>
      </c>
      <c r="Q2786" s="388"/>
      <c r="R2786" s="388" t="str">
        <f t="shared" ca="1" si="152"/>
        <v/>
      </c>
      <c r="S2786" s="388"/>
      <c r="T2786" s="389"/>
    </row>
    <row r="2787" spans="1:20" x14ac:dyDescent="0.3">
      <c r="A2787" s="384" t="b">
        <f t="shared" ca="1" si="147"/>
        <v>0</v>
      </c>
      <c r="B2787" s="384">
        <f t="shared" si="146"/>
        <v>16</v>
      </c>
      <c r="C2787" s="400" t="str">
        <f ca="1">IF(COUNTA($G$2697:G2786)=1,"",OFFSET(B2787,-COUNTA($G$2697:G2786)+1,1))</f>
        <v>a1NDm000000GuPkMAK</v>
      </c>
      <c r="D2787" s="384" t="str">
        <f t="shared" ca="1" si="148"/>
        <v>INT-341506</v>
      </c>
      <c r="E2787" s="388"/>
      <c r="F2787" s="388" t="str">
        <f t="shared" ca="1" si="149"/>
        <v/>
      </c>
      <c r="G2787" s="401"/>
      <c r="H2787" s="384"/>
      <c r="I2787" s="384" t="str">
        <f ca="1">IFERROR(VLOOKUP(INDIRECT("'WPTM - Section F'!E"&amp;B2787),'Overview - Section A'!M$30:R129,6,0),IFERROR(VLOOKUP(INDIRECT("'WPTM - Section F'!E"&amp;B2787),'Overview - Section A'!E$27:J117,6,0),""))</f>
        <v/>
      </c>
      <c r="J2787" s="384" t="str">
        <f t="shared" ca="1" si="150"/>
        <v/>
      </c>
      <c r="K2787" s="384"/>
      <c r="L2787" s="384"/>
      <c r="M2787" s="388"/>
      <c r="N2787" s="388"/>
      <c r="O2787" s="384"/>
      <c r="P2787" s="388" t="str">
        <f t="shared" ca="1" si="151"/>
        <v/>
      </c>
      <c r="Q2787" s="388"/>
      <c r="R2787" s="388" t="str">
        <f t="shared" ca="1" si="152"/>
        <v/>
      </c>
      <c r="S2787" s="388"/>
      <c r="T2787" s="389"/>
    </row>
    <row r="2788" spans="1:20" x14ac:dyDescent="0.3">
      <c r="A2788" s="384" t="b">
        <f t="shared" ca="1" si="147"/>
        <v>0</v>
      </c>
      <c r="B2788" s="384">
        <f t="shared" si="146"/>
        <v>17</v>
      </c>
      <c r="C2788" s="400" t="str">
        <f ca="1">IF(COUNTA($G$2697:G2787)=1,"",OFFSET(B2788,-COUNTA($G$2697:G2787)+1,1))</f>
        <v>a1NDm000000GuPlMAK</v>
      </c>
      <c r="D2788" s="384" t="str">
        <f t="shared" ca="1" si="148"/>
        <v>INT-341506</v>
      </c>
      <c r="E2788" s="388"/>
      <c r="F2788" s="388" t="str">
        <f t="shared" ca="1" si="149"/>
        <v/>
      </c>
      <c r="G2788" s="401"/>
      <c r="H2788" s="384"/>
      <c r="I2788" s="384" t="str">
        <f ca="1">IFERROR(VLOOKUP(INDIRECT("'WPTM - Section F'!E"&amp;B2788),'Overview - Section A'!M$30:R130,6,0),IFERROR(VLOOKUP(INDIRECT("'WPTM - Section F'!E"&amp;B2788),'Overview - Section A'!E$27:J118,6,0),""))</f>
        <v/>
      </c>
      <c r="J2788" s="384" t="str">
        <f t="shared" ca="1" si="150"/>
        <v/>
      </c>
      <c r="K2788" s="384"/>
      <c r="L2788" s="384"/>
      <c r="M2788" s="388"/>
      <c r="N2788" s="388"/>
      <c r="O2788" s="384"/>
      <c r="P2788" s="388" t="str">
        <f t="shared" ca="1" si="151"/>
        <v/>
      </c>
      <c r="Q2788" s="388"/>
      <c r="R2788" s="388" t="str">
        <f t="shared" ca="1" si="152"/>
        <v/>
      </c>
      <c r="S2788" s="388"/>
      <c r="T2788" s="389"/>
    </row>
    <row r="2789" spans="1:20" x14ac:dyDescent="0.3">
      <c r="A2789" s="384" t="b">
        <f t="shared" ca="1" si="147"/>
        <v>0</v>
      </c>
      <c r="B2789" s="384">
        <f t="shared" si="146"/>
        <v>18</v>
      </c>
      <c r="C2789" s="400" t="str">
        <f ca="1">IF(COUNTA($G$2697:G2788)=1,"",OFFSET(B2789,-COUNTA($G$2697:G2788)+1,1))</f>
        <v>a1NDm000000GuPmMAK</v>
      </c>
      <c r="D2789" s="384" t="str">
        <f t="shared" ca="1" si="148"/>
        <v>INT-341506</v>
      </c>
      <c r="E2789" s="388"/>
      <c r="F2789" s="388" t="str">
        <f t="shared" ca="1" si="149"/>
        <v/>
      </c>
      <c r="G2789" s="401"/>
      <c r="H2789" s="384"/>
      <c r="I2789" s="384" t="str">
        <f ca="1">IFERROR(VLOOKUP(INDIRECT("'WPTM - Section F'!E"&amp;B2789),'Overview - Section A'!M$30:R131,6,0),IFERROR(VLOOKUP(INDIRECT("'WPTM - Section F'!E"&amp;B2789),'Overview - Section A'!E$27:J119,6,0),""))</f>
        <v/>
      </c>
      <c r="J2789" s="384" t="str">
        <f t="shared" ca="1" si="150"/>
        <v/>
      </c>
      <c r="K2789" s="384"/>
      <c r="L2789" s="384"/>
      <c r="M2789" s="388"/>
      <c r="N2789" s="388"/>
      <c r="O2789" s="384"/>
      <c r="P2789" s="388" t="str">
        <f t="shared" ca="1" si="151"/>
        <v/>
      </c>
      <c r="Q2789" s="388"/>
      <c r="R2789" s="388" t="str">
        <f t="shared" ca="1" si="152"/>
        <v/>
      </c>
      <c r="S2789" s="388"/>
      <c r="T2789" s="389"/>
    </row>
    <row r="2790" spans="1:20" x14ac:dyDescent="0.3">
      <c r="A2790" s="384" t="b">
        <f t="shared" ca="1" si="147"/>
        <v>0</v>
      </c>
      <c r="B2790" s="384">
        <f t="shared" si="146"/>
        <v>19</v>
      </c>
      <c r="C2790" s="400" t="str">
        <f ca="1">IF(COUNTA($G$2697:G2789)=1,"",OFFSET(B2790,-COUNTA($G$2697:G2789)+1,1))</f>
        <v>a1NDm000000GuPnMAK</v>
      </c>
      <c r="D2790" s="384" t="str">
        <f t="shared" ca="1" si="148"/>
        <v>INT-341506</v>
      </c>
      <c r="E2790" s="388"/>
      <c r="F2790" s="388" t="str">
        <f t="shared" ca="1" si="149"/>
        <v/>
      </c>
      <c r="G2790" s="401"/>
      <c r="H2790" s="384"/>
      <c r="I2790" s="384" t="str">
        <f ca="1">IFERROR(VLOOKUP(INDIRECT("'WPTM - Section F'!E"&amp;B2790),'Overview - Section A'!M$30:R132,6,0),IFERROR(VLOOKUP(INDIRECT("'WPTM - Section F'!E"&amp;B2790),'Overview - Section A'!E$27:J120,6,0),""))</f>
        <v/>
      </c>
      <c r="J2790" s="384" t="str">
        <f t="shared" ca="1" si="150"/>
        <v/>
      </c>
      <c r="K2790" s="384"/>
      <c r="L2790" s="384"/>
      <c r="M2790" s="388"/>
      <c r="N2790" s="388"/>
      <c r="O2790" s="384"/>
      <c r="P2790" s="388" t="str">
        <f t="shared" ca="1" si="151"/>
        <v/>
      </c>
      <c r="Q2790" s="388"/>
      <c r="R2790" s="388" t="str">
        <f t="shared" ca="1" si="152"/>
        <v/>
      </c>
      <c r="S2790" s="388"/>
      <c r="T2790" s="389"/>
    </row>
    <row r="2791" spans="1:20" x14ac:dyDescent="0.3">
      <c r="A2791" s="384" t="b">
        <f t="shared" ca="1" si="147"/>
        <v>0</v>
      </c>
      <c r="B2791" s="384">
        <f t="shared" si="146"/>
        <v>20</v>
      </c>
      <c r="C2791" s="400" t="str">
        <f ca="1">IF(COUNTA($G$2697:G2790)=1,"",OFFSET(B2791,-COUNTA($G$2697:G2790)+1,1))</f>
        <v>a1NDm000000GuPoMAK</v>
      </c>
      <c r="D2791" s="384" t="str">
        <f t="shared" ca="1" si="148"/>
        <v>INT-341506</v>
      </c>
      <c r="E2791" s="388"/>
      <c r="F2791" s="388" t="str">
        <f t="shared" ca="1" si="149"/>
        <v/>
      </c>
      <c r="G2791" s="401"/>
      <c r="H2791" s="384"/>
      <c r="I2791" s="384" t="str">
        <f ca="1">IFERROR(VLOOKUP(INDIRECT("'WPTM - Section F'!E"&amp;B2791),'Overview - Section A'!M$30:R133,6,0),IFERROR(VLOOKUP(INDIRECT("'WPTM - Section F'!E"&amp;B2791),'Overview - Section A'!E$27:J121,6,0),""))</f>
        <v/>
      </c>
      <c r="J2791" s="384" t="str">
        <f t="shared" ca="1" si="150"/>
        <v/>
      </c>
      <c r="K2791" s="384"/>
      <c r="L2791" s="384"/>
      <c r="M2791" s="388"/>
      <c r="N2791" s="388"/>
      <c r="O2791" s="384"/>
      <c r="P2791" s="388" t="str">
        <f t="shared" ca="1" si="151"/>
        <v/>
      </c>
      <c r="Q2791" s="388"/>
      <c r="R2791" s="388" t="str">
        <f t="shared" ca="1" si="152"/>
        <v/>
      </c>
      <c r="S2791" s="388"/>
      <c r="T2791" s="389"/>
    </row>
    <row r="2792" spans="1:20" x14ac:dyDescent="0.3">
      <c r="A2792" s="384" t="b">
        <f t="shared" ca="1" si="147"/>
        <v>0</v>
      </c>
      <c r="B2792" s="384">
        <f t="shared" si="146"/>
        <v>21</v>
      </c>
      <c r="C2792" s="400" t="str">
        <f ca="1">IF(COUNTA($G$2697:G2791)=1,"",OFFSET(B2792,-COUNTA($G$2697:G2791)+1,1))</f>
        <v>a1NDm000000GuPpMAK</v>
      </c>
      <c r="D2792" s="384" t="str">
        <f t="shared" ca="1" si="148"/>
        <v>INT-341506</v>
      </c>
      <c r="E2792" s="388"/>
      <c r="F2792" s="388" t="str">
        <f t="shared" ca="1" si="149"/>
        <v/>
      </c>
      <c r="G2792" s="401"/>
      <c r="H2792" s="384"/>
      <c r="I2792" s="384" t="str">
        <f ca="1">IFERROR(VLOOKUP(INDIRECT("'WPTM - Section F'!E"&amp;B2792),'Overview - Section A'!M$30:R134,6,0),IFERROR(VLOOKUP(INDIRECT("'WPTM - Section F'!E"&amp;B2792),'Overview - Section A'!E$27:J122,6,0),""))</f>
        <v/>
      </c>
      <c r="J2792" s="384" t="str">
        <f t="shared" ca="1" si="150"/>
        <v/>
      </c>
      <c r="K2792" s="384"/>
      <c r="L2792" s="384"/>
      <c r="M2792" s="388"/>
      <c r="N2792" s="388"/>
      <c r="O2792" s="384"/>
      <c r="P2792" s="388" t="str">
        <f t="shared" ca="1" si="151"/>
        <v/>
      </c>
      <c r="Q2792" s="388"/>
      <c r="R2792" s="388" t="str">
        <f t="shared" ca="1" si="152"/>
        <v/>
      </c>
      <c r="S2792" s="388"/>
      <c r="T2792" s="389"/>
    </row>
    <row r="2793" spans="1:20" x14ac:dyDescent="0.3">
      <c r="A2793" s="384" t="b">
        <f t="shared" ca="1" si="147"/>
        <v>0</v>
      </c>
      <c r="B2793" s="384">
        <f t="shared" si="146"/>
        <v>22</v>
      </c>
      <c r="C2793" s="400" t="str">
        <f ca="1">IF(COUNTA($G$2697:G2792)=1,"",OFFSET(B2793,-COUNTA($G$2697:G2792)+1,1))</f>
        <v>a1NDm000000GuPqMAK</v>
      </c>
      <c r="D2793" s="384" t="str">
        <f t="shared" ca="1" si="148"/>
        <v>INT-341506</v>
      </c>
      <c r="E2793" s="388"/>
      <c r="F2793" s="388" t="str">
        <f t="shared" ca="1" si="149"/>
        <v/>
      </c>
      <c r="G2793" s="401"/>
      <c r="H2793" s="384"/>
      <c r="I2793" s="384" t="str">
        <f ca="1">IFERROR(VLOOKUP(INDIRECT("'WPTM - Section F'!E"&amp;B2793),'Overview - Section A'!M$30:R135,6,0),IFERROR(VLOOKUP(INDIRECT("'WPTM - Section F'!E"&amp;B2793),'Overview - Section A'!E$27:J123,6,0),""))</f>
        <v/>
      </c>
      <c r="J2793" s="384" t="str">
        <f t="shared" ca="1" si="150"/>
        <v/>
      </c>
      <c r="K2793" s="384"/>
      <c r="L2793" s="384"/>
      <c r="M2793" s="388"/>
      <c r="N2793" s="388"/>
      <c r="O2793" s="384"/>
      <c r="P2793" s="388" t="str">
        <f t="shared" ca="1" si="151"/>
        <v/>
      </c>
      <c r="Q2793" s="388"/>
      <c r="R2793" s="388" t="str">
        <f t="shared" ca="1" si="152"/>
        <v/>
      </c>
      <c r="S2793" s="388"/>
      <c r="T2793" s="389"/>
    </row>
    <row r="2794" spans="1:20" x14ac:dyDescent="0.3">
      <c r="A2794" s="384" t="b">
        <f t="shared" ca="1" si="147"/>
        <v>0</v>
      </c>
      <c r="B2794" s="384">
        <f t="shared" si="146"/>
        <v>23</v>
      </c>
      <c r="C2794" s="400" t="str">
        <f ca="1">IF(COUNTA($G$2697:G2793)=1,"",OFFSET(B2794,-COUNTA($G$2697:G2793)+1,1))</f>
        <v>a1NDm000000GuPrMAK</v>
      </c>
      <c r="D2794" s="384" t="str">
        <f t="shared" ca="1" si="148"/>
        <v>INT-341506</v>
      </c>
      <c r="E2794" s="388"/>
      <c r="F2794" s="388" t="str">
        <f t="shared" ca="1" si="149"/>
        <v/>
      </c>
      <c r="G2794" s="401"/>
      <c r="H2794" s="384"/>
      <c r="I2794" s="384" t="str">
        <f ca="1">IFERROR(VLOOKUP(INDIRECT("'WPTM - Section F'!E"&amp;B2794),'Overview - Section A'!M$30:R136,6,0),IFERROR(VLOOKUP(INDIRECT("'WPTM - Section F'!E"&amp;B2794),'Overview - Section A'!E$27:J124,6,0),""))</f>
        <v/>
      </c>
      <c r="J2794" s="384" t="str">
        <f t="shared" ca="1" si="150"/>
        <v/>
      </c>
      <c r="K2794" s="384"/>
      <c r="L2794" s="384"/>
      <c r="M2794" s="388"/>
      <c r="N2794" s="388"/>
      <c r="O2794" s="384"/>
      <c r="P2794" s="388" t="str">
        <f t="shared" ca="1" si="151"/>
        <v/>
      </c>
      <c r="Q2794" s="388"/>
      <c r="R2794" s="388" t="str">
        <f t="shared" ca="1" si="152"/>
        <v/>
      </c>
      <c r="S2794" s="388"/>
      <c r="T2794" s="389"/>
    </row>
    <row r="2795" spans="1:20" x14ac:dyDescent="0.3">
      <c r="A2795" s="384" t="b">
        <f t="shared" ca="1" si="147"/>
        <v>0</v>
      </c>
      <c r="B2795" s="384">
        <f t="shared" si="146"/>
        <v>24</v>
      </c>
      <c r="C2795" s="400" t="str">
        <f ca="1">IF(COUNTA($G$2697:G2794)=1,"",OFFSET(B2795,-COUNTA($G$2697:G2794)+1,1))</f>
        <v>a1NDm000000GuPsMAK</v>
      </c>
      <c r="D2795" s="384" t="str">
        <f t="shared" ca="1" si="148"/>
        <v>INT-341506</v>
      </c>
      <c r="E2795" s="388"/>
      <c r="F2795" s="388" t="str">
        <f t="shared" ca="1" si="149"/>
        <v/>
      </c>
      <c r="G2795" s="401"/>
      <c r="H2795" s="384"/>
      <c r="I2795" s="384" t="str">
        <f ca="1">IFERROR(VLOOKUP(INDIRECT("'WPTM - Section F'!E"&amp;B2795),'Overview - Section A'!M$30:R137,6,0),IFERROR(VLOOKUP(INDIRECT("'WPTM - Section F'!E"&amp;B2795),'Overview - Section A'!E$27:J125,6,0),""))</f>
        <v/>
      </c>
      <c r="J2795" s="384" t="str">
        <f t="shared" ca="1" si="150"/>
        <v/>
      </c>
      <c r="K2795" s="384"/>
      <c r="L2795" s="384"/>
      <c r="M2795" s="388"/>
      <c r="N2795" s="388"/>
      <c r="O2795" s="384"/>
      <c r="P2795" s="388" t="str">
        <f t="shared" ca="1" si="151"/>
        <v/>
      </c>
      <c r="Q2795" s="388"/>
      <c r="R2795" s="388" t="str">
        <f t="shared" ca="1" si="152"/>
        <v/>
      </c>
      <c r="S2795" s="388"/>
      <c r="T2795" s="389"/>
    </row>
    <row r="2796" spans="1:20" x14ac:dyDescent="0.3">
      <c r="A2796" s="384" t="b">
        <f t="shared" ca="1" si="147"/>
        <v>0</v>
      </c>
      <c r="B2796" s="384">
        <f t="shared" si="146"/>
        <v>25</v>
      </c>
      <c r="C2796" s="400" t="str">
        <f ca="1">IF(COUNTA($G$2697:G2795)=1,"",OFFSET(B2796,-COUNTA($G$2697:G2795)+1,1))</f>
        <v>a1NDm000000GuPtMAK</v>
      </c>
      <c r="D2796" s="384" t="str">
        <f t="shared" ca="1" si="148"/>
        <v>INT-341506</v>
      </c>
      <c r="E2796" s="388"/>
      <c r="F2796" s="388" t="str">
        <f t="shared" ca="1" si="149"/>
        <v/>
      </c>
      <c r="G2796" s="401"/>
      <c r="H2796" s="384"/>
      <c r="I2796" s="384" t="str">
        <f ca="1">IFERROR(VLOOKUP(INDIRECT("'WPTM - Section F'!E"&amp;B2796),'Overview - Section A'!M$30:R138,6,0),IFERROR(VLOOKUP(INDIRECT("'WPTM - Section F'!E"&amp;B2796),'Overview - Section A'!E$27:J126,6,0),""))</f>
        <v/>
      </c>
      <c r="J2796" s="384" t="str">
        <f t="shared" ca="1" si="150"/>
        <v/>
      </c>
      <c r="K2796" s="384"/>
      <c r="L2796" s="384"/>
      <c r="M2796" s="388"/>
      <c r="N2796" s="388"/>
      <c r="O2796" s="384"/>
      <c r="P2796" s="388" t="str">
        <f t="shared" ca="1" si="151"/>
        <v/>
      </c>
      <c r="Q2796" s="388"/>
      <c r="R2796" s="388" t="str">
        <f t="shared" ca="1" si="152"/>
        <v/>
      </c>
      <c r="S2796" s="388"/>
      <c r="T2796" s="389"/>
    </row>
    <row r="2797" spans="1:20" x14ac:dyDescent="0.3">
      <c r="A2797" s="384" t="b">
        <f t="shared" ca="1" si="147"/>
        <v>0</v>
      </c>
      <c r="B2797" s="384">
        <f t="shared" si="146"/>
        <v>26</v>
      </c>
      <c r="C2797" s="400" t="str">
        <f ca="1">IF(COUNTA($G$2697:G2796)=1,"",OFFSET(B2797,-COUNTA($G$2697:G2796)+1,1))</f>
        <v>a1NDm000000GuPuMAK</v>
      </c>
      <c r="D2797" s="384" t="str">
        <f t="shared" ca="1" si="148"/>
        <v>INT-341506</v>
      </c>
      <c r="E2797" s="388"/>
      <c r="F2797" s="388" t="str">
        <f t="shared" ca="1" si="149"/>
        <v/>
      </c>
      <c r="G2797" s="401"/>
      <c r="H2797" s="384"/>
      <c r="I2797" s="384" t="str">
        <f ca="1">IFERROR(VLOOKUP(INDIRECT("'WPTM - Section F'!E"&amp;B2797),'Overview - Section A'!M$30:R139,6,0),IFERROR(VLOOKUP(INDIRECT("'WPTM - Section F'!E"&amp;B2797),'Overview - Section A'!E$27:J127,6,0),""))</f>
        <v/>
      </c>
      <c r="J2797" s="384" t="str">
        <f t="shared" ca="1" si="150"/>
        <v/>
      </c>
      <c r="K2797" s="384"/>
      <c r="L2797" s="384"/>
      <c r="M2797" s="388"/>
      <c r="N2797" s="388"/>
      <c r="O2797" s="384"/>
      <c r="P2797" s="388" t="str">
        <f t="shared" ca="1" si="151"/>
        <v/>
      </c>
      <c r="Q2797" s="388"/>
      <c r="R2797" s="388" t="str">
        <f t="shared" ca="1" si="152"/>
        <v/>
      </c>
      <c r="S2797" s="388"/>
      <c r="T2797" s="389"/>
    </row>
    <row r="2798" spans="1:20" x14ac:dyDescent="0.3">
      <c r="A2798" s="384" t="b">
        <f t="shared" ca="1" si="147"/>
        <v>0</v>
      </c>
      <c r="B2798" s="384">
        <f t="shared" si="146"/>
        <v>27</v>
      </c>
      <c r="C2798" s="400" t="str">
        <f ca="1">IF(COUNTA($G$2697:G2797)=1,"",OFFSET(B2798,-COUNTA($G$2697:G2797)+1,1))</f>
        <v>a1NDm000000GuPvMAK</v>
      </c>
      <c r="D2798" s="384" t="str">
        <f t="shared" ca="1" si="148"/>
        <v>INT-341506</v>
      </c>
      <c r="E2798" s="388"/>
      <c r="F2798" s="388" t="str">
        <f t="shared" ca="1" si="149"/>
        <v/>
      </c>
      <c r="G2798" s="401"/>
      <c r="H2798" s="384"/>
      <c r="I2798" s="384" t="str">
        <f ca="1">IFERROR(VLOOKUP(INDIRECT("'WPTM - Section F'!E"&amp;B2798),'Overview - Section A'!M$30:R140,6,0),IFERROR(VLOOKUP(INDIRECT("'WPTM - Section F'!E"&amp;B2798),'Overview - Section A'!E$27:J128,6,0),""))</f>
        <v/>
      </c>
      <c r="J2798" s="384" t="str">
        <f t="shared" ca="1" si="150"/>
        <v/>
      </c>
      <c r="K2798" s="384"/>
      <c r="L2798" s="384"/>
      <c r="M2798" s="388"/>
      <c r="N2798" s="388"/>
      <c r="O2798" s="384"/>
      <c r="P2798" s="388" t="str">
        <f t="shared" ca="1" si="151"/>
        <v/>
      </c>
      <c r="Q2798" s="388"/>
      <c r="R2798" s="388" t="str">
        <f t="shared" ca="1" si="152"/>
        <v/>
      </c>
      <c r="S2798" s="388"/>
      <c r="T2798" s="389"/>
    </row>
    <row r="2799" spans="1:20" x14ac:dyDescent="0.3">
      <c r="A2799" s="384" t="b">
        <f t="shared" ca="1" si="147"/>
        <v>0</v>
      </c>
      <c r="B2799" s="384">
        <f t="shared" si="146"/>
        <v>28</v>
      </c>
      <c r="C2799" s="400" t="str">
        <f ca="1">IF(COUNTA($G$2697:G2798)=1,"",OFFSET(B2799,-COUNTA($G$2697:G2798)+1,1))</f>
        <v>a1NDm000000GuPwMAK</v>
      </c>
      <c r="D2799" s="384" t="str">
        <f t="shared" ca="1" si="148"/>
        <v>INT-341506</v>
      </c>
      <c r="E2799" s="388"/>
      <c r="F2799" s="388" t="str">
        <f t="shared" ca="1" si="149"/>
        <v/>
      </c>
      <c r="G2799" s="401"/>
      <c r="H2799" s="384"/>
      <c r="I2799" s="384" t="str">
        <f ca="1">IFERROR(VLOOKUP(INDIRECT("'WPTM - Section F'!E"&amp;B2799),'Overview - Section A'!M$30:R141,6,0),IFERROR(VLOOKUP(INDIRECT("'WPTM - Section F'!E"&amp;B2799),'Overview - Section A'!E$27:J129,6,0),""))</f>
        <v/>
      </c>
      <c r="J2799" s="384" t="str">
        <f t="shared" ca="1" si="150"/>
        <v/>
      </c>
      <c r="K2799" s="384"/>
      <c r="L2799" s="384"/>
      <c r="M2799" s="388"/>
      <c r="N2799" s="388"/>
      <c r="O2799" s="384"/>
      <c r="P2799" s="388" t="str">
        <f t="shared" ca="1" si="151"/>
        <v/>
      </c>
      <c r="Q2799" s="388"/>
      <c r="R2799" s="388" t="str">
        <f t="shared" ca="1" si="152"/>
        <v/>
      </c>
      <c r="S2799" s="388"/>
      <c r="T2799" s="389"/>
    </row>
    <row r="2800" spans="1:20" x14ac:dyDescent="0.3">
      <c r="A2800" s="384" t="b">
        <f t="shared" ca="1" si="147"/>
        <v>0</v>
      </c>
      <c r="B2800" s="384">
        <f t="shared" si="146"/>
        <v>29</v>
      </c>
      <c r="C2800" s="400" t="str">
        <f ca="1">IF(COUNTA($G$2697:G2799)=1,"",OFFSET(B2800,-COUNTA($G$2697:G2799)+1,1))</f>
        <v>a1NDm000000GuPxMAK</v>
      </c>
      <c r="D2800" s="384" t="str">
        <f t="shared" ca="1" si="148"/>
        <v>INT-341506</v>
      </c>
      <c r="E2800" s="388"/>
      <c r="F2800" s="388" t="str">
        <f t="shared" ca="1" si="149"/>
        <v/>
      </c>
      <c r="G2800" s="401"/>
      <c r="H2800" s="384"/>
      <c r="I2800" s="384" t="str">
        <f ca="1">IFERROR(VLOOKUP(INDIRECT("'WPTM - Section F'!E"&amp;B2800),'Overview - Section A'!M$30:R142,6,0),IFERROR(VLOOKUP(INDIRECT("'WPTM - Section F'!E"&amp;B2800),'Overview - Section A'!E$27:J130,6,0),""))</f>
        <v/>
      </c>
      <c r="J2800" s="384" t="str">
        <f t="shared" ca="1" si="150"/>
        <v/>
      </c>
      <c r="K2800" s="384"/>
      <c r="L2800" s="384"/>
      <c r="M2800" s="388"/>
      <c r="N2800" s="388"/>
      <c r="O2800" s="384"/>
      <c r="P2800" s="388" t="str">
        <f t="shared" ca="1" si="151"/>
        <v/>
      </c>
      <c r="Q2800" s="388"/>
      <c r="R2800" s="388" t="str">
        <f t="shared" ca="1" si="152"/>
        <v/>
      </c>
      <c r="S2800" s="388"/>
      <c r="T2800" s="389"/>
    </row>
    <row r="2801" spans="1:20" x14ac:dyDescent="0.3">
      <c r="A2801" s="384" t="b">
        <f t="shared" ca="1" si="147"/>
        <v>0</v>
      </c>
      <c r="B2801" s="384">
        <f t="shared" si="146"/>
        <v>30</v>
      </c>
      <c r="C2801" s="400" t="str">
        <f ca="1">IF(COUNTA($G$2697:G2800)=1,"",OFFSET(B2801,-COUNTA($G$2697:G2800)+1,1))</f>
        <v>a1NDm000000GuPyMAK</v>
      </c>
      <c r="D2801" s="384" t="str">
        <f t="shared" ca="1" si="148"/>
        <v>INT-341506</v>
      </c>
      <c r="E2801" s="388"/>
      <c r="F2801" s="388" t="str">
        <f t="shared" ca="1" si="149"/>
        <v/>
      </c>
      <c r="G2801" s="401"/>
      <c r="H2801" s="384"/>
      <c r="I2801" s="384" t="str">
        <f ca="1">IFERROR(VLOOKUP(INDIRECT("'WPTM - Section F'!E"&amp;B2801),'Overview - Section A'!M$30:R143,6,0),IFERROR(VLOOKUP(INDIRECT("'WPTM - Section F'!E"&amp;B2801),'Overview - Section A'!E$27:J131,6,0),""))</f>
        <v/>
      </c>
      <c r="J2801" s="384" t="str">
        <f t="shared" ca="1" si="150"/>
        <v/>
      </c>
      <c r="K2801" s="384"/>
      <c r="L2801" s="384"/>
      <c r="M2801" s="388"/>
      <c r="N2801" s="388"/>
      <c r="O2801" s="384"/>
      <c r="P2801" s="388" t="str">
        <f t="shared" ca="1" si="151"/>
        <v/>
      </c>
      <c r="Q2801" s="388"/>
      <c r="R2801" s="388" t="str">
        <f t="shared" ca="1" si="152"/>
        <v/>
      </c>
      <c r="S2801" s="388"/>
      <c r="T2801" s="389"/>
    </row>
    <row r="2802" spans="1:20" x14ac:dyDescent="0.3">
      <c r="A2802" s="384" t="b">
        <f t="shared" ca="1" si="147"/>
        <v>0</v>
      </c>
      <c r="B2802" s="384">
        <f t="shared" si="146"/>
        <v>31</v>
      </c>
      <c r="C2802" s="400" t="str">
        <f ca="1">IF(COUNTA($G$2697:G2801)=1,"",OFFSET(B2802,-COUNTA($G$2697:G2801)+1,1))</f>
        <v>a1NDm000000GuPzMAK</v>
      </c>
      <c r="D2802" s="384" t="str">
        <f t="shared" ca="1" si="148"/>
        <v>INT-341506</v>
      </c>
      <c r="E2802" s="388"/>
      <c r="F2802" s="388" t="str">
        <f t="shared" ca="1" si="149"/>
        <v/>
      </c>
      <c r="G2802" s="401"/>
      <c r="H2802" s="384"/>
      <c r="I2802" s="384" t="str">
        <f ca="1">IFERROR(VLOOKUP(INDIRECT("'WPTM - Section F'!E"&amp;B2802),'Overview - Section A'!M$30:R144,6,0),IFERROR(VLOOKUP(INDIRECT("'WPTM - Section F'!E"&amp;B2802),'Overview - Section A'!E$27:J132,6,0),""))</f>
        <v/>
      </c>
      <c r="J2802" s="384" t="str">
        <f t="shared" ca="1" si="150"/>
        <v/>
      </c>
      <c r="K2802" s="384"/>
      <c r="L2802" s="384"/>
      <c r="M2802" s="388"/>
      <c r="N2802" s="388"/>
      <c r="O2802" s="384"/>
      <c r="P2802" s="388" t="str">
        <f t="shared" ca="1" si="151"/>
        <v/>
      </c>
      <c r="Q2802" s="388"/>
      <c r="R2802" s="388" t="str">
        <f t="shared" ca="1" si="152"/>
        <v/>
      </c>
      <c r="S2802" s="388"/>
      <c r="T2802" s="389"/>
    </row>
    <row r="2803" spans="1:20" x14ac:dyDescent="0.3">
      <c r="A2803" s="384" t="b">
        <f t="shared" ca="1" si="147"/>
        <v>0</v>
      </c>
      <c r="B2803" s="384">
        <f t="shared" si="146"/>
        <v>32</v>
      </c>
      <c r="C2803" s="400" t="str">
        <f ca="1">IF(COUNTA($G$2697:G2802)=1,"",OFFSET(B2803,-COUNTA($G$2697:G2802)+1,1))</f>
        <v>a1NDm000000GuQ0MAK</v>
      </c>
      <c r="D2803" s="384" t="str">
        <f t="shared" ca="1" si="148"/>
        <v>INT-341506</v>
      </c>
      <c r="E2803" s="388"/>
      <c r="F2803" s="388" t="str">
        <f t="shared" ca="1" si="149"/>
        <v/>
      </c>
      <c r="G2803" s="401"/>
      <c r="H2803" s="384"/>
      <c r="I2803" s="384" t="str">
        <f ca="1">IFERROR(VLOOKUP(INDIRECT("'WPTM - Section F'!E"&amp;B2803),'Overview - Section A'!M$30:R145,6,0),IFERROR(VLOOKUP(INDIRECT("'WPTM - Section F'!E"&amp;B2803),'Overview - Section A'!E$27:J133,6,0),""))</f>
        <v/>
      </c>
      <c r="J2803" s="384" t="str">
        <f t="shared" ca="1" si="150"/>
        <v/>
      </c>
      <c r="K2803" s="384"/>
      <c r="L2803" s="384"/>
      <c r="M2803" s="388"/>
      <c r="N2803" s="388"/>
      <c r="O2803" s="384"/>
      <c r="P2803" s="388" t="str">
        <f t="shared" ca="1" si="151"/>
        <v/>
      </c>
      <c r="Q2803" s="388"/>
      <c r="R2803" s="388" t="str">
        <f t="shared" ca="1" si="152"/>
        <v/>
      </c>
      <c r="S2803" s="388"/>
      <c r="T2803" s="389"/>
    </row>
    <row r="2804" spans="1:20" x14ac:dyDescent="0.3">
      <c r="A2804" s="384" t="b">
        <f t="shared" ca="1" si="147"/>
        <v>0</v>
      </c>
      <c r="B2804" s="384">
        <f t="shared" si="146"/>
        <v>33</v>
      </c>
      <c r="C2804" s="400" t="str">
        <f ca="1">IF(COUNTA($G$2697:G2803)=1,"",OFFSET(B2804,-COUNTA($G$2697:G2803)+1,1))</f>
        <v>a1NDm000000GuQ1MAK</v>
      </c>
      <c r="D2804" s="384" t="str">
        <f t="shared" ca="1" si="148"/>
        <v>INT-341506</v>
      </c>
      <c r="E2804" s="388"/>
      <c r="F2804" s="388" t="str">
        <f t="shared" ca="1" si="149"/>
        <v/>
      </c>
      <c r="G2804" s="401"/>
      <c r="H2804" s="384"/>
      <c r="I2804" s="384" t="str">
        <f ca="1">IFERROR(VLOOKUP(INDIRECT("'WPTM - Section F'!E"&amp;B2804),'Overview - Section A'!M$30:R146,6,0),IFERROR(VLOOKUP(INDIRECT("'WPTM - Section F'!E"&amp;B2804),'Overview - Section A'!E$27:J134,6,0),""))</f>
        <v/>
      </c>
      <c r="J2804" s="384" t="str">
        <f t="shared" ca="1" si="150"/>
        <v/>
      </c>
      <c r="K2804" s="384"/>
      <c r="L2804" s="384"/>
      <c r="M2804" s="388"/>
      <c r="N2804" s="388"/>
      <c r="O2804" s="384"/>
      <c r="P2804" s="388" t="str">
        <f t="shared" ca="1" si="151"/>
        <v/>
      </c>
      <c r="Q2804" s="388"/>
      <c r="R2804" s="388" t="str">
        <f t="shared" ca="1" si="152"/>
        <v/>
      </c>
      <c r="S2804" s="388"/>
      <c r="T2804" s="389"/>
    </row>
    <row r="2805" spans="1:20" x14ac:dyDescent="0.3">
      <c r="A2805" s="384" t="b">
        <f t="shared" ca="1" si="147"/>
        <v>0</v>
      </c>
      <c r="B2805" s="384">
        <f t="shared" si="146"/>
        <v>34</v>
      </c>
      <c r="C2805" s="400" t="str">
        <f ca="1">IF(COUNTA($G$2697:G2804)=1,"",OFFSET(B2805,-COUNTA($G$2697:G2804)+1,1))</f>
        <v>a1NDm000000GuQ2MAK</v>
      </c>
      <c r="D2805" s="384" t="str">
        <f t="shared" ca="1" si="148"/>
        <v>INT-341506</v>
      </c>
      <c r="E2805" s="388"/>
      <c r="F2805" s="388" t="str">
        <f t="shared" ca="1" si="149"/>
        <v/>
      </c>
      <c r="G2805" s="401"/>
      <c r="H2805" s="384"/>
      <c r="I2805" s="384" t="str">
        <f ca="1">IFERROR(VLOOKUP(INDIRECT("'WPTM - Section F'!E"&amp;B2805),'Overview - Section A'!M$30:R147,6,0),IFERROR(VLOOKUP(INDIRECT("'WPTM - Section F'!E"&amp;B2805),'Overview - Section A'!E$27:J135,6,0),""))</f>
        <v/>
      </c>
      <c r="J2805" s="384" t="str">
        <f t="shared" ca="1" si="150"/>
        <v/>
      </c>
      <c r="K2805" s="384"/>
      <c r="L2805" s="384"/>
      <c r="M2805" s="388"/>
      <c r="N2805" s="388"/>
      <c r="O2805" s="384"/>
      <c r="P2805" s="388" t="str">
        <f t="shared" ca="1" si="151"/>
        <v/>
      </c>
      <c r="Q2805" s="388"/>
      <c r="R2805" s="388" t="str">
        <f t="shared" ca="1" si="152"/>
        <v/>
      </c>
      <c r="S2805" s="388"/>
      <c r="T2805" s="389"/>
    </row>
    <row r="2806" spans="1:20" x14ac:dyDescent="0.3">
      <c r="A2806" s="384" t="b">
        <f t="shared" ca="1" si="147"/>
        <v>0</v>
      </c>
      <c r="B2806" s="384">
        <f t="shared" si="146"/>
        <v>35</v>
      </c>
      <c r="C2806" s="400" t="str">
        <f ca="1">IF(COUNTA($G$2697:G2805)=1,"",OFFSET(B2806,-COUNTA($G$2697:G2805)+1,1))</f>
        <v>a1NDm000000GuQ3MAK</v>
      </c>
      <c r="D2806" s="384" t="str">
        <f t="shared" ca="1" si="148"/>
        <v>INT-341506</v>
      </c>
      <c r="E2806" s="388"/>
      <c r="F2806" s="388" t="str">
        <f t="shared" ca="1" si="149"/>
        <v/>
      </c>
      <c r="G2806" s="401"/>
      <c r="H2806" s="384"/>
      <c r="I2806" s="384" t="str">
        <f ca="1">IFERROR(VLOOKUP(INDIRECT("'WPTM - Section F'!E"&amp;B2806),'Overview - Section A'!M$30:R148,6,0),IFERROR(VLOOKUP(INDIRECT("'WPTM - Section F'!E"&amp;B2806),'Overview - Section A'!E$27:J136,6,0),""))</f>
        <v/>
      </c>
      <c r="J2806" s="384" t="str">
        <f t="shared" ca="1" si="150"/>
        <v/>
      </c>
      <c r="K2806" s="384"/>
      <c r="L2806" s="384"/>
      <c r="M2806" s="388"/>
      <c r="N2806" s="388"/>
      <c r="O2806" s="384"/>
      <c r="P2806" s="388" t="str">
        <f t="shared" ca="1" si="151"/>
        <v/>
      </c>
      <c r="Q2806" s="388"/>
      <c r="R2806" s="388" t="str">
        <f t="shared" ca="1" si="152"/>
        <v/>
      </c>
      <c r="S2806" s="388"/>
      <c r="T2806" s="389"/>
    </row>
    <row r="2807" spans="1:20" x14ac:dyDescent="0.3">
      <c r="A2807" s="384" t="b">
        <f t="shared" ca="1" si="147"/>
        <v>0</v>
      </c>
      <c r="B2807" s="384">
        <f t="shared" si="146"/>
        <v>36</v>
      </c>
      <c r="C2807" s="400" t="str">
        <f ca="1">IF(COUNTA($G$2697:G2806)=1,"",OFFSET(B2807,-COUNTA($G$2697:G2806)+1,1))</f>
        <v>a1NDm000000GuQ4MAK</v>
      </c>
      <c r="D2807" s="384" t="str">
        <f t="shared" ca="1" si="148"/>
        <v>INT-341506</v>
      </c>
      <c r="E2807" s="388"/>
      <c r="F2807" s="388" t="str">
        <f t="shared" ca="1" si="149"/>
        <v/>
      </c>
      <c r="G2807" s="401"/>
      <c r="H2807" s="384"/>
      <c r="I2807" s="384" t="str">
        <f ca="1">IFERROR(VLOOKUP(INDIRECT("'WPTM - Section F'!E"&amp;B2807),'Overview - Section A'!M$30:R149,6,0),IFERROR(VLOOKUP(INDIRECT("'WPTM - Section F'!E"&amp;B2807),'Overview - Section A'!E$27:J137,6,0),""))</f>
        <v/>
      </c>
      <c r="J2807" s="384" t="str">
        <f t="shared" ca="1" si="150"/>
        <v/>
      </c>
      <c r="K2807" s="384"/>
      <c r="L2807" s="384"/>
      <c r="M2807" s="388"/>
      <c r="N2807" s="388"/>
      <c r="O2807" s="384"/>
      <c r="P2807" s="388" t="str">
        <f t="shared" ca="1" si="151"/>
        <v/>
      </c>
      <c r="Q2807" s="388"/>
      <c r="R2807" s="388" t="str">
        <f t="shared" ca="1" si="152"/>
        <v/>
      </c>
      <c r="S2807" s="388"/>
      <c r="T2807" s="389"/>
    </row>
    <row r="2808" spans="1:20" x14ac:dyDescent="0.3">
      <c r="A2808" s="384" t="b">
        <f t="shared" ca="1" si="147"/>
        <v>0</v>
      </c>
      <c r="B2808" s="384">
        <f t="shared" si="146"/>
        <v>37</v>
      </c>
      <c r="C2808" s="400" t="str">
        <f ca="1">IF(COUNTA($G$2697:G2807)=1,"",OFFSET(B2808,-COUNTA($G$2697:G2807)+1,1))</f>
        <v>a1NDm000000GuQ5MAK</v>
      </c>
      <c r="D2808" s="384" t="str">
        <f t="shared" ca="1" si="148"/>
        <v>INT-341506</v>
      </c>
      <c r="E2808" s="388"/>
      <c r="F2808" s="388" t="str">
        <f t="shared" ca="1" si="149"/>
        <v/>
      </c>
      <c r="G2808" s="401"/>
      <c r="H2808" s="384"/>
      <c r="I2808" s="384" t="str">
        <f ca="1">IFERROR(VLOOKUP(INDIRECT("'WPTM - Section F'!E"&amp;B2808),'Overview - Section A'!M$30:R150,6,0),IFERROR(VLOOKUP(INDIRECT("'WPTM - Section F'!E"&amp;B2808),'Overview - Section A'!E$27:J138,6,0),""))</f>
        <v/>
      </c>
      <c r="J2808" s="384" t="str">
        <f t="shared" ca="1" si="150"/>
        <v/>
      </c>
      <c r="K2808" s="384"/>
      <c r="L2808" s="384"/>
      <c r="M2808" s="388"/>
      <c r="N2808" s="388"/>
      <c r="O2808" s="384"/>
      <c r="P2808" s="388" t="str">
        <f t="shared" ca="1" si="151"/>
        <v/>
      </c>
      <c r="Q2808" s="388"/>
      <c r="R2808" s="388" t="str">
        <f t="shared" ca="1" si="152"/>
        <v/>
      </c>
      <c r="S2808" s="388"/>
      <c r="T2808" s="389"/>
    </row>
    <row r="2809" spans="1:20" x14ac:dyDescent="0.3">
      <c r="A2809" s="384" t="b">
        <f t="shared" ca="1" si="147"/>
        <v>0</v>
      </c>
      <c r="B2809" s="384">
        <f t="shared" si="146"/>
        <v>38</v>
      </c>
      <c r="C2809" s="400" t="str">
        <f ca="1">IF(COUNTA($G$2697:G2808)=1,"",OFFSET(B2809,-COUNTA($G$2697:G2808)+1,1))</f>
        <v>a1NDm000000GuQ6MAK</v>
      </c>
      <c r="D2809" s="384" t="str">
        <f t="shared" ca="1" si="148"/>
        <v>INT-341506</v>
      </c>
      <c r="E2809" s="388"/>
      <c r="F2809" s="388" t="str">
        <f t="shared" ca="1" si="149"/>
        <v/>
      </c>
      <c r="G2809" s="401"/>
      <c r="H2809" s="384"/>
      <c r="I2809" s="384" t="str">
        <f ca="1">IFERROR(VLOOKUP(INDIRECT("'WPTM - Section F'!E"&amp;B2809),'Overview - Section A'!M$30:R151,6,0),IFERROR(VLOOKUP(INDIRECT("'WPTM - Section F'!E"&amp;B2809),'Overview - Section A'!E$27:J139,6,0),""))</f>
        <v/>
      </c>
      <c r="J2809" s="384" t="str">
        <f t="shared" ca="1" si="150"/>
        <v/>
      </c>
      <c r="K2809" s="384"/>
      <c r="L2809" s="384"/>
      <c r="M2809" s="388"/>
      <c r="N2809" s="388"/>
      <c r="O2809" s="384"/>
      <c r="P2809" s="388" t="str">
        <f t="shared" ca="1" si="151"/>
        <v/>
      </c>
      <c r="Q2809" s="388"/>
      <c r="R2809" s="388" t="str">
        <f t="shared" ca="1" si="152"/>
        <v/>
      </c>
      <c r="S2809" s="388"/>
      <c r="T2809" s="389"/>
    </row>
    <row r="2810" spans="1:20" x14ac:dyDescent="0.3">
      <c r="A2810" s="384" t="b">
        <f t="shared" ca="1" si="147"/>
        <v>0</v>
      </c>
      <c r="B2810" s="384">
        <f t="shared" si="146"/>
        <v>39</v>
      </c>
      <c r="C2810" s="400" t="str">
        <f ca="1">IF(COUNTA($G$2697:G2809)=1,"",OFFSET(B2810,-COUNTA($G$2697:G2809)+1,1))</f>
        <v>a1NDm000000GuQ7MAK</v>
      </c>
      <c r="D2810" s="384" t="str">
        <f t="shared" ca="1" si="148"/>
        <v>INT-341506</v>
      </c>
      <c r="E2810" s="388"/>
      <c r="F2810" s="388" t="str">
        <f t="shared" ca="1" si="149"/>
        <v/>
      </c>
      <c r="G2810" s="401"/>
      <c r="H2810" s="384"/>
      <c r="I2810" s="384" t="str">
        <f ca="1">IFERROR(VLOOKUP(INDIRECT("'WPTM - Section F'!E"&amp;B2810),'Overview - Section A'!M$30:R152,6,0),IFERROR(VLOOKUP(INDIRECT("'WPTM - Section F'!E"&amp;B2810),'Overview - Section A'!E$27:J140,6,0),""))</f>
        <v/>
      </c>
      <c r="J2810" s="384" t="str">
        <f t="shared" ca="1" si="150"/>
        <v/>
      </c>
      <c r="K2810" s="384"/>
      <c r="L2810" s="384"/>
      <c r="M2810" s="388"/>
      <c r="N2810" s="388"/>
      <c r="O2810" s="384"/>
      <c r="P2810" s="388" t="str">
        <f t="shared" ca="1" si="151"/>
        <v/>
      </c>
      <c r="Q2810" s="388"/>
      <c r="R2810" s="388" t="str">
        <f t="shared" ca="1" si="152"/>
        <v/>
      </c>
      <c r="S2810" s="388"/>
      <c r="T2810" s="389"/>
    </row>
    <row r="2811" spans="1:20" x14ac:dyDescent="0.3">
      <c r="A2811" s="384" t="b">
        <f t="shared" ca="1" si="147"/>
        <v>0</v>
      </c>
      <c r="B2811" s="384">
        <f t="shared" si="146"/>
        <v>40</v>
      </c>
      <c r="C2811" s="400" t="str">
        <f ca="1">IF(COUNTA($G$2697:G2810)=1,"",OFFSET(B2811,-COUNTA($G$2697:G2810)+1,1))</f>
        <v>a1NDm000000GuQ8MAK</v>
      </c>
      <c r="D2811" s="384" t="str">
        <f t="shared" ca="1" si="148"/>
        <v>INT-341506</v>
      </c>
      <c r="E2811" s="388"/>
      <c r="F2811" s="388" t="str">
        <f t="shared" ca="1" si="149"/>
        <v/>
      </c>
      <c r="G2811" s="401"/>
      <c r="H2811" s="384"/>
      <c r="I2811" s="384" t="str">
        <f ca="1">IFERROR(VLOOKUP(INDIRECT("'WPTM - Section F'!E"&amp;B2811),'Overview - Section A'!M$30:R153,6,0),IFERROR(VLOOKUP(INDIRECT("'WPTM - Section F'!E"&amp;B2811),'Overview - Section A'!E$27:J141,6,0),""))</f>
        <v/>
      </c>
      <c r="J2811" s="384" t="str">
        <f t="shared" ca="1" si="150"/>
        <v/>
      </c>
      <c r="K2811" s="384"/>
      <c r="L2811" s="384"/>
      <c r="M2811" s="388"/>
      <c r="N2811" s="388"/>
      <c r="O2811" s="384"/>
      <c r="P2811" s="388" t="str">
        <f t="shared" ca="1" si="151"/>
        <v/>
      </c>
      <c r="Q2811" s="388"/>
      <c r="R2811" s="388" t="str">
        <f t="shared" ca="1" si="152"/>
        <v/>
      </c>
      <c r="S2811" s="388"/>
      <c r="T2811" s="389"/>
    </row>
    <row r="2812" spans="1:20" x14ac:dyDescent="0.3">
      <c r="A2812" s="384" t="b">
        <f t="shared" ca="1" si="147"/>
        <v>0</v>
      </c>
      <c r="B2812" s="384">
        <f t="shared" si="146"/>
        <v>41</v>
      </c>
      <c r="C2812" s="400" t="str">
        <f ca="1">IF(COUNTA($G$2697:G2811)=1,"",OFFSET(B2812,-COUNTA($G$2697:G2811)+1,1))</f>
        <v>a1NDm000000GuQ9MAK</v>
      </c>
      <c r="D2812" s="384" t="str">
        <f t="shared" ca="1" si="148"/>
        <v>INT-341506</v>
      </c>
      <c r="E2812" s="388"/>
      <c r="F2812" s="388" t="str">
        <f t="shared" ca="1" si="149"/>
        <v/>
      </c>
      <c r="G2812" s="401"/>
      <c r="H2812" s="384"/>
      <c r="I2812" s="384" t="str">
        <f ca="1">IFERROR(VLOOKUP(INDIRECT("'WPTM - Section F'!E"&amp;B2812),'Overview - Section A'!M$30:R154,6,0),IFERROR(VLOOKUP(INDIRECT("'WPTM - Section F'!E"&amp;B2812),'Overview - Section A'!E$27:J142,6,0),""))</f>
        <v/>
      </c>
      <c r="J2812" s="384" t="str">
        <f t="shared" ca="1" si="150"/>
        <v/>
      </c>
      <c r="K2812" s="384"/>
      <c r="L2812" s="384"/>
      <c r="M2812" s="388"/>
      <c r="N2812" s="388"/>
      <c r="O2812" s="384"/>
      <c r="P2812" s="388" t="str">
        <f t="shared" ca="1" si="151"/>
        <v/>
      </c>
      <c r="Q2812" s="388"/>
      <c r="R2812" s="388" t="str">
        <f t="shared" ca="1" si="152"/>
        <v/>
      </c>
      <c r="S2812" s="388"/>
      <c r="T2812" s="389"/>
    </row>
    <row r="2813" spans="1:20" x14ac:dyDescent="0.3">
      <c r="A2813" s="384" t="b">
        <f t="shared" ca="1" si="147"/>
        <v>0</v>
      </c>
      <c r="B2813" s="384">
        <f t="shared" si="146"/>
        <v>42</v>
      </c>
      <c r="C2813" s="400" t="str">
        <f ca="1">IF(COUNTA($G$2697:G2812)=1,"",OFFSET(B2813,-COUNTA($G$2697:G2812)+1,1))</f>
        <v>a1NDm000000GuQAMA0</v>
      </c>
      <c r="D2813" s="384" t="str">
        <f t="shared" ca="1" si="148"/>
        <v>INT-341506</v>
      </c>
      <c r="E2813" s="388"/>
      <c r="F2813" s="388" t="str">
        <f t="shared" ca="1" si="149"/>
        <v/>
      </c>
      <c r="G2813" s="401"/>
      <c r="H2813" s="384"/>
      <c r="I2813" s="384" t="str">
        <f ca="1">IFERROR(VLOOKUP(INDIRECT("'WPTM - Section F'!E"&amp;B2813),'Overview - Section A'!M$30:R155,6,0),IFERROR(VLOOKUP(INDIRECT("'WPTM - Section F'!E"&amp;B2813),'Overview - Section A'!E$27:J143,6,0),""))</f>
        <v/>
      </c>
      <c r="J2813" s="384" t="str">
        <f t="shared" ca="1" si="150"/>
        <v/>
      </c>
      <c r="K2813" s="384"/>
      <c r="L2813" s="384"/>
      <c r="M2813" s="388"/>
      <c r="N2813" s="388"/>
      <c r="O2813" s="384"/>
      <c r="P2813" s="388" t="str">
        <f t="shared" ca="1" si="151"/>
        <v/>
      </c>
      <c r="Q2813" s="388"/>
      <c r="R2813" s="388" t="str">
        <f t="shared" ca="1" si="152"/>
        <v/>
      </c>
      <c r="S2813" s="388"/>
      <c r="T2813" s="389"/>
    </row>
    <row r="2814" spans="1:20" x14ac:dyDescent="0.3">
      <c r="A2814" s="384" t="b">
        <f t="shared" ca="1" si="147"/>
        <v>0</v>
      </c>
      <c r="B2814" s="384">
        <f t="shared" si="146"/>
        <v>43</v>
      </c>
      <c r="C2814" s="400" t="str">
        <f ca="1">IF(COUNTA($G$2697:G2813)=1,"",OFFSET(B2814,-COUNTA($G$2697:G2813)+1,1))</f>
        <v>a1NDm000000GuQBMA0</v>
      </c>
      <c r="D2814" s="384" t="str">
        <f t="shared" ca="1" si="148"/>
        <v>INT-341506</v>
      </c>
      <c r="E2814" s="388"/>
      <c r="F2814" s="388" t="str">
        <f t="shared" ca="1" si="149"/>
        <v/>
      </c>
      <c r="G2814" s="401"/>
      <c r="H2814" s="384"/>
      <c r="I2814" s="384" t="str">
        <f ca="1">IFERROR(VLOOKUP(INDIRECT("'WPTM - Section F'!E"&amp;B2814),'Overview - Section A'!M$30:R156,6,0),IFERROR(VLOOKUP(INDIRECT("'WPTM - Section F'!E"&amp;B2814),'Overview - Section A'!E$27:J144,6,0),""))</f>
        <v/>
      </c>
      <c r="J2814" s="384" t="str">
        <f t="shared" ca="1" si="150"/>
        <v/>
      </c>
      <c r="K2814" s="384"/>
      <c r="L2814" s="384"/>
      <c r="M2814" s="388"/>
      <c r="N2814" s="388"/>
      <c r="O2814" s="384"/>
      <c r="P2814" s="388" t="str">
        <f t="shared" ca="1" si="151"/>
        <v/>
      </c>
      <c r="Q2814" s="388"/>
      <c r="R2814" s="388" t="str">
        <f t="shared" ca="1" si="152"/>
        <v/>
      </c>
      <c r="S2814" s="388"/>
      <c r="T2814" s="389"/>
    </row>
    <row r="2815" spans="1:20" x14ac:dyDescent="0.3">
      <c r="A2815" s="384" t="b">
        <f t="shared" ca="1" si="147"/>
        <v>0</v>
      </c>
      <c r="B2815" s="384">
        <f t="shared" si="146"/>
        <v>44</v>
      </c>
      <c r="C2815" s="400" t="str">
        <f ca="1">IF(COUNTA($G$2697:G2814)=1,"",OFFSET(B2815,-COUNTA($G$2697:G2814)+1,1))</f>
        <v>a1NDm000000GuQCMA0</v>
      </c>
      <c r="D2815" s="384" t="str">
        <f t="shared" ca="1" si="148"/>
        <v>INT-341506</v>
      </c>
      <c r="E2815" s="388"/>
      <c r="F2815" s="388" t="str">
        <f t="shared" ca="1" si="149"/>
        <v/>
      </c>
      <c r="G2815" s="401"/>
      <c r="H2815" s="384"/>
      <c r="I2815" s="384" t="str">
        <f ca="1">IFERROR(VLOOKUP(INDIRECT("'WPTM - Section F'!E"&amp;B2815),'Overview - Section A'!M$30:R157,6,0),IFERROR(VLOOKUP(INDIRECT("'WPTM - Section F'!E"&amp;B2815),'Overview - Section A'!E$27:J145,6,0),""))</f>
        <v/>
      </c>
      <c r="J2815" s="384" t="str">
        <f t="shared" ca="1" si="150"/>
        <v/>
      </c>
      <c r="K2815" s="384"/>
      <c r="L2815" s="384"/>
      <c r="M2815" s="388"/>
      <c r="N2815" s="388"/>
      <c r="O2815" s="384"/>
      <c r="P2815" s="388" t="str">
        <f t="shared" ca="1" si="151"/>
        <v/>
      </c>
      <c r="Q2815" s="388"/>
      <c r="R2815" s="388" t="str">
        <f t="shared" ca="1" si="152"/>
        <v/>
      </c>
      <c r="S2815" s="388"/>
      <c r="T2815" s="389"/>
    </row>
    <row r="2816" spans="1:20" x14ac:dyDescent="0.3">
      <c r="A2816" s="384" t="b">
        <f t="shared" ca="1" si="147"/>
        <v>0</v>
      </c>
      <c r="B2816" s="384">
        <f t="shared" si="146"/>
        <v>45</v>
      </c>
      <c r="C2816" s="400" t="str">
        <f ca="1">IF(COUNTA($G$2697:G2815)=1,"",OFFSET(B2816,-COUNTA($G$2697:G2815)+1,1))</f>
        <v>a1NDm000000GuQDMA0</v>
      </c>
      <c r="D2816" s="384" t="str">
        <f t="shared" ca="1" si="148"/>
        <v>INT-341506</v>
      </c>
      <c r="E2816" s="388"/>
      <c r="F2816" s="388" t="str">
        <f t="shared" ca="1" si="149"/>
        <v/>
      </c>
      <c r="G2816" s="401"/>
      <c r="H2816" s="384"/>
      <c r="I2816" s="384" t="str">
        <f ca="1">IFERROR(VLOOKUP(INDIRECT("'WPTM - Section F'!E"&amp;B2816),'Overview - Section A'!M$30:R158,6,0),IFERROR(VLOOKUP(INDIRECT("'WPTM - Section F'!E"&amp;B2816),'Overview - Section A'!E$27:J146,6,0),""))</f>
        <v/>
      </c>
      <c r="J2816" s="384" t="str">
        <f t="shared" ca="1" si="150"/>
        <v/>
      </c>
      <c r="K2816" s="384"/>
      <c r="L2816" s="384"/>
      <c r="M2816" s="388"/>
      <c r="N2816" s="388"/>
      <c r="O2816" s="384"/>
      <c r="P2816" s="388" t="str">
        <f t="shared" ca="1" si="151"/>
        <v/>
      </c>
      <c r="Q2816" s="388"/>
      <c r="R2816" s="388" t="str">
        <f t="shared" ca="1" si="152"/>
        <v/>
      </c>
      <c r="S2816" s="388"/>
      <c r="T2816" s="389"/>
    </row>
    <row r="2817" spans="1:20" x14ac:dyDescent="0.3">
      <c r="A2817" s="384" t="b">
        <f t="shared" ca="1" si="147"/>
        <v>0</v>
      </c>
      <c r="B2817" s="384">
        <f t="shared" si="146"/>
        <v>46</v>
      </c>
      <c r="C2817" s="400" t="str">
        <f ca="1">IF(COUNTA($G$2697:G2816)=1,"",OFFSET(B2817,-COUNTA($G$2697:G2816)+1,1))</f>
        <v>a1NDm000000GuQEMA0</v>
      </c>
      <c r="D2817" s="384" t="str">
        <f t="shared" ca="1" si="148"/>
        <v>INT-341506</v>
      </c>
      <c r="E2817" s="388"/>
      <c r="F2817" s="388" t="str">
        <f t="shared" ca="1" si="149"/>
        <v/>
      </c>
      <c r="G2817" s="401"/>
      <c r="H2817" s="384"/>
      <c r="I2817" s="384" t="str">
        <f ca="1">IFERROR(VLOOKUP(INDIRECT("'WPTM - Section F'!E"&amp;B2817),'Overview - Section A'!M$30:R159,6,0),IFERROR(VLOOKUP(INDIRECT("'WPTM - Section F'!E"&amp;B2817),'Overview - Section A'!E$27:J147,6,0),""))</f>
        <v/>
      </c>
      <c r="J2817" s="384" t="str">
        <f t="shared" ca="1" si="150"/>
        <v/>
      </c>
      <c r="K2817" s="384"/>
      <c r="L2817" s="384"/>
      <c r="M2817" s="388"/>
      <c r="N2817" s="388"/>
      <c r="O2817" s="384"/>
      <c r="P2817" s="388" t="str">
        <f t="shared" ca="1" si="151"/>
        <v/>
      </c>
      <c r="Q2817" s="388"/>
      <c r="R2817" s="388" t="str">
        <f t="shared" ca="1" si="152"/>
        <v/>
      </c>
      <c r="S2817" s="388"/>
      <c r="T2817" s="389"/>
    </row>
    <row r="2818" spans="1:20" x14ac:dyDescent="0.3">
      <c r="A2818" s="384" t="b">
        <f t="shared" ca="1" si="147"/>
        <v>0</v>
      </c>
      <c r="B2818" s="384">
        <f t="shared" si="146"/>
        <v>47</v>
      </c>
      <c r="C2818" s="400" t="str">
        <f ca="1">IF(COUNTA($G$2697:G2817)=1,"",OFFSET(B2818,-COUNTA($G$2697:G2817)+1,1))</f>
        <v>a1NDm000000GuQFMA0</v>
      </c>
      <c r="D2818" s="384" t="str">
        <f t="shared" ca="1" si="148"/>
        <v>INT-341506</v>
      </c>
      <c r="E2818" s="388"/>
      <c r="F2818" s="388" t="str">
        <f t="shared" ca="1" si="149"/>
        <v/>
      </c>
      <c r="G2818" s="401"/>
      <c r="H2818" s="384"/>
      <c r="I2818" s="384" t="str">
        <f ca="1">IFERROR(VLOOKUP(INDIRECT("'WPTM - Section F'!E"&amp;B2818),'Overview - Section A'!M$30:R160,6,0),IFERROR(VLOOKUP(INDIRECT("'WPTM - Section F'!E"&amp;B2818),'Overview - Section A'!E$27:J148,6,0),""))</f>
        <v/>
      </c>
      <c r="J2818" s="384" t="str">
        <f t="shared" ca="1" si="150"/>
        <v/>
      </c>
      <c r="K2818" s="384"/>
      <c r="L2818" s="384"/>
      <c r="M2818" s="388"/>
      <c r="N2818" s="388"/>
      <c r="O2818" s="384"/>
      <c r="P2818" s="388" t="str">
        <f t="shared" ca="1" si="151"/>
        <v/>
      </c>
      <c r="Q2818" s="388"/>
      <c r="R2818" s="388" t="str">
        <f t="shared" ca="1" si="152"/>
        <v/>
      </c>
      <c r="S2818" s="388"/>
      <c r="T2818" s="389"/>
    </row>
    <row r="2819" spans="1:20" x14ac:dyDescent="0.3">
      <c r="A2819" s="384" t="b">
        <f t="shared" ca="1" si="147"/>
        <v>0</v>
      </c>
      <c r="B2819" s="384">
        <f t="shared" si="146"/>
        <v>48</v>
      </c>
      <c r="C2819" s="400" t="str">
        <f ca="1">IF(COUNTA($G$2697:G2818)=1,"",OFFSET(B2819,-COUNTA($G$2697:G2818)+1,1))</f>
        <v>a1NDm000000GuQGMA0</v>
      </c>
      <c r="D2819" s="384" t="str">
        <f t="shared" ca="1" si="148"/>
        <v>INT-341506</v>
      </c>
      <c r="E2819" s="388"/>
      <c r="F2819" s="388" t="str">
        <f t="shared" ca="1" si="149"/>
        <v/>
      </c>
      <c r="G2819" s="401"/>
      <c r="H2819" s="384"/>
      <c r="I2819" s="384" t="str">
        <f ca="1">IFERROR(VLOOKUP(INDIRECT("'WPTM - Section F'!E"&amp;B2819),'Overview - Section A'!M$30:R161,6,0),IFERROR(VLOOKUP(INDIRECT("'WPTM - Section F'!E"&amp;B2819),'Overview - Section A'!E$27:J149,6,0),""))</f>
        <v/>
      </c>
      <c r="J2819" s="384" t="str">
        <f t="shared" ca="1" si="150"/>
        <v/>
      </c>
      <c r="K2819" s="384"/>
      <c r="L2819" s="384"/>
      <c r="M2819" s="388"/>
      <c r="N2819" s="388"/>
      <c r="O2819" s="384"/>
      <c r="P2819" s="388" t="str">
        <f t="shared" ca="1" si="151"/>
        <v/>
      </c>
      <c r="Q2819" s="388"/>
      <c r="R2819" s="388" t="str">
        <f t="shared" ca="1" si="152"/>
        <v/>
      </c>
      <c r="S2819" s="388"/>
      <c r="T2819" s="389"/>
    </row>
    <row r="2820" spans="1:20" x14ac:dyDescent="0.3">
      <c r="A2820" s="384" t="b">
        <f t="shared" ca="1" si="147"/>
        <v>0</v>
      </c>
      <c r="B2820" s="384">
        <f t="shared" si="146"/>
        <v>49</v>
      </c>
      <c r="C2820" s="400" t="str">
        <f ca="1">IF(COUNTA($G$2697:G2819)=1,"",OFFSET(B2820,-COUNTA($G$2697:G2819)+1,1))</f>
        <v>a1NDm000000GuQHMA0</v>
      </c>
      <c r="D2820" s="384" t="str">
        <f t="shared" ca="1" si="148"/>
        <v>INT-341506</v>
      </c>
      <c r="E2820" s="388"/>
      <c r="F2820" s="388" t="str">
        <f t="shared" ca="1" si="149"/>
        <v/>
      </c>
      <c r="G2820" s="401"/>
      <c r="H2820" s="384"/>
      <c r="I2820" s="384" t="str">
        <f ca="1">IFERROR(VLOOKUP(INDIRECT("'WPTM - Section F'!E"&amp;B2820),'Overview - Section A'!M$30:R162,6,0),IFERROR(VLOOKUP(INDIRECT("'WPTM - Section F'!E"&amp;B2820),'Overview - Section A'!E$27:J150,6,0),""))</f>
        <v/>
      </c>
      <c r="J2820" s="384" t="str">
        <f t="shared" ca="1" si="150"/>
        <v/>
      </c>
      <c r="K2820" s="384"/>
      <c r="L2820" s="384"/>
      <c r="M2820" s="388"/>
      <c r="N2820" s="388"/>
      <c r="O2820" s="384"/>
      <c r="P2820" s="388" t="str">
        <f t="shared" ca="1" si="151"/>
        <v/>
      </c>
      <c r="Q2820" s="388"/>
      <c r="R2820" s="388" t="str">
        <f t="shared" ca="1" si="152"/>
        <v/>
      </c>
      <c r="S2820" s="388"/>
      <c r="T2820" s="389"/>
    </row>
    <row r="2821" spans="1:20" x14ac:dyDescent="0.3">
      <c r="A2821" s="384" t="b">
        <f t="shared" ca="1" si="147"/>
        <v>0</v>
      </c>
      <c r="B2821" s="384">
        <f t="shared" si="146"/>
        <v>50</v>
      </c>
      <c r="C2821" s="400" t="str">
        <f ca="1">IF(COUNTA($G$2697:G2820)=1,"",OFFSET(B2821,-COUNTA($G$2697:G2820)+1,1))</f>
        <v>a1NDm000000GuQIMA0</v>
      </c>
      <c r="D2821" s="384" t="str">
        <f t="shared" ca="1" si="148"/>
        <v>INT-341506</v>
      </c>
      <c r="E2821" s="388"/>
      <c r="F2821" s="388" t="str">
        <f t="shared" ca="1" si="149"/>
        <v/>
      </c>
      <c r="G2821" s="401"/>
      <c r="H2821" s="384"/>
      <c r="I2821" s="384" t="str">
        <f ca="1">IFERROR(VLOOKUP(INDIRECT("'WPTM - Section F'!E"&amp;B2821),'Overview - Section A'!M$30:R163,6,0),IFERROR(VLOOKUP(INDIRECT("'WPTM - Section F'!E"&amp;B2821),'Overview - Section A'!E$27:J151,6,0),""))</f>
        <v/>
      </c>
      <c r="J2821" s="384" t="str">
        <f t="shared" ca="1" si="150"/>
        <v/>
      </c>
      <c r="K2821" s="384"/>
      <c r="L2821" s="384"/>
      <c r="M2821" s="388"/>
      <c r="N2821" s="388"/>
      <c r="O2821" s="384"/>
      <c r="P2821" s="388" t="str">
        <f t="shared" ca="1" si="151"/>
        <v/>
      </c>
      <c r="Q2821" s="388"/>
      <c r="R2821" s="388" t="str">
        <f t="shared" ca="1" si="152"/>
        <v/>
      </c>
      <c r="S2821" s="388"/>
      <c r="T2821" s="389"/>
    </row>
    <row r="2822" spans="1:20" x14ac:dyDescent="0.3">
      <c r="A2822" s="384" t="b">
        <f t="shared" ca="1" si="147"/>
        <v>0</v>
      </c>
      <c r="B2822" s="384">
        <f t="shared" si="146"/>
        <v>51</v>
      </c>
      <c r="C2822" s="400" t="str">
        <f ca="1">IF(COUNTA($G$2697:G2821)=1,"",OFFSET(B2822,-COUNTA($G$2697:G2821)+1,1))</f>
        <v>a1NDm000000GuQJMA0</v>
      </c>
      <c r="D2822" s="384" t="str">
        <f t="shared" ca="1" si="148"/>
        <v>INT-341506</v>
      </c>
      <c r="E2822" s="388"/>
      <c r="F2822" s="388" t="str">
        <f t="shared" ca="1" si="149"/>
        <v/>
      </c>
      <c r="G2822" s="401"/>
      <c r="H2822" s="384"/>
      <c r="I2822" s="384" t="str">
        <f ca="1">IFERROR(VLOOKUP(INDIRECT("'WPTM - Section F'!E"&amp;B2822),'Overview - Section A'!M$30:R164,6,0),IFERROR(VLOOKUP(INDIRECT("'WPTM - Section F'!E"&amp;B2822),'Overview - Section A'!E$27:J152,6,0),""))</f>
        <v/>
      </c>
      <c r="J2822" s="384" t="str">
        <f t="shared" ca="1" si="150"/>
        <v/>
      </c>
      <c r="K2822" s="384"/>
      <c r="L2822" s="384"/>
      <c r="M2822" s="388"/>
      <c r="N2822" s="388"/>
      <c r="O2822" s="384"/>
      <c r="P2822" s="388" t="str">
        <f t="shared" ca="1" si="151"/>
        <v/>
      </c>
      <c r="Q2822" s="388"/>
      <c r="R2822" s="388" t="str">
        <f t="shared" ca="1" si="152"/>
        <v/>
      </c>
      <c r="S2822" s="388"/>
      <c r="T2822" s="389"/>
    </row>
    <row r="2823" spans="1:20" x14ac:dyDescent="0.3">
      <c r="A2823" s="384" t="b">
        <f t="shared" ca="1" si="147"/>
        <v>0</v>
      </c>
      <c r="B2823" s="384">
        <f t="shared" si="146"/>
        <v>52</v>
      </c>
      <c r="C2823" s="400" t="str">
        <f ca="1">IF(COUNTA($G$2697:G2822)=1,"",OFFSET(B2823,-COUNTA($G$2697:G2822)+1,1))</f>
        <v>a1NDm000000GuQKMA0</v>
      </c>
      <c r="D2823" s="384" t="str">
        <f t="shared" ca="1" si="148"/>
        <v>INT-341506</v>
      </c>
      <c r="E2823" s="388"/>
      <c r="F2823" s="388" t="str">
        <f t="shared" ca="1" si="149"/>
        <v/>
      </c>
      <c r="G2823" s="401"/>
      <c r="H2823" s="384"/>
      <c r="I2823" s="384" t="str">
        <f ca="1">IFERROR(VLOOKUP(INDIRECT("'WPTM - Section F'!E"&amp;B2823),'Overview - Section A'!M$30:R165,6,0),IFERROR(VLOOKUP(INDIRECT("'WPTM - Section F'!E"&amp;B2823),'Overview - Section A'!E$27:J153,6,0),""))</f>
        <v/>
      </c>
      <c r="J2823" s="384" t="str">
        <f t="shared" ca="1" si="150"/>
        <v/>
      </c>
      <c r="K2823" s="384"/>
      <c r="L2823" s="384"/>
      <c r="M2823" s="388"/>
      <c r="N2823" s="388"/>
      <c r="O2823" s="384"/>
      <c r="P2823" s="388" t="str">
        <f t="shared" ca="1" si="151"/>
        <v/>
      </c>
      <c r="Q2823" s="388"/>
      <c r="R2823" s="388" t="str">
        <f t="shared" ca="1" si="152"/>
        <v/>
      </c>
      <c r="S2823" s="388"/>
      <c r="T2823" s="389"/>
    </row>
    <row r="2824" spans="1:20" x14ac:dyDescent="0.3">
      <c r="A2824" s="384" t="b">
        <f t="shared" ca="1" si="147"/>
        <v>0</v>
      </c>
      <c r="B2824" s="384">
        <f t="shared" si="146"/>
        <v>53</v>
      </c>
      <c r="C2824" s="400" t="str">
        <f ca="1">IF(COUNTA($G$2697:G2823)=1,"",OFFSET(B2824,-COUNTA($G$2697:G2823)+1,1))</f>
        <v>a1NDm000000GuQLMA0</v>
      </c>
      <c r="D2824" s="384" t="str">
        <f t="shared" ca="1" si="148"/>
        <v>INT-341506</v>
      </c>
      <c r="E2824" s="388"/>
      <c r="F2824" s="388" t="str">
        <f t="shared" ca="1" si="149"/>
        <v/>
      </c>
      <c r="G2824" s="401"/>
      <c r="H2824" s="384"/>
      <c r="I2824" s="384" t="str">
        <f ca="1">IFERROR(VLOOKUP(INDIRECT("'WPTM - Section F'!E"&amp;B2824),'Overview - Section A'!M$30:R166,6,0),IFERROR(VLOOKUP(INDIRECT("'WPTM - Section F'!E"&amp;B2824),'Overview - Section A'!E$27:J154,6,0),""))</f>
        <v/>
      </c>
      <c r="J2824" s="384" t="str">
        <f t="shared" ca="1" si="150"/>
        <v/>
      </c>
      <c r="K2824" s="384"/>
      <c r="L2824" s="384"/>
      <c r="M2824" s="388"/>
      <c r="N2824" s="388"/>
      <c r="O2824" s="384"/>
      <c r="P2824" s="388" t="str">
        <f t="shared" ca="1" si="151"/>
        <v/>
      </c>
      <c r="Q2824" s="388"/>
      <c r="R2824" s="388" t="str">
        <f t="shared" ca="1" si="152"/>
        <v/>
      </c>
      <c r="S2824" s="388"/>
      <c r="T2824" s="389"/>
    </row>
    <row r="2825" spans="1:20" x14ac:dyDescent="0.3">
      <c r="A2825" s="384" t="b">
        <f t="shared" ca="1" si="147"/>
        <v>0</v>
      </c>
      <c r="B2825" s="384">
        <f t="shared" si="146"/>
        <v>54</v>
      </c>
      <c r="C2825" s="400" t="str">
        <f ca="1">IF(COUNTA($G$2697:G2824)=1,"",OFFSET(B2825,-COUNTA($G$2697:G2824)+1,1))</f>
        <v>a1NDm000000GuQMMA0</v>
      </c>
      <c r="D2825" s="384" t="str">
        <f t="shared" ca="1" si="148"/>
        <v>INT-341506</v>
      </c>
      <c r="E2825" s="388"/>
      <c r="F2825" s="388" t="str">
        <f t="shared" ca="1" si="149"/>
        <v/>
      </c>
      <c r="G2825" s="401"/>
      <c r="H2825" s="384"/>
      <c r="I2825" s="384" t="str">
        <f ca="1">IFERROR(VLOOKUP(INDIRECT("'WPTM - Section F'!E"&amp;B2825),'Overview - Section A'!M$30:R167,6,0),IFERROR(VLOOKUP(INDIRECT("'WPTM - Section F'!E"&amp;B2825),'Overview - Section A'!E$27:J155,6,0),""))</f>
        <v/>
      </c>
      <c r="J2825" s="384" t="str">
        <f t="shared" ca="1" si="150"/>
        <v/>
      </c>
      <c r="K2825" s="384"/>
      <c r="L2825" s="384"/>
      <c r="M2825" s="388"/>
      <c r="N2825" s="388"/>
      <c r="O2825" s="384"/>
      <c r="P2825" s="388" t="str">
        <f t="shared" ca="1" si="151"/>
        <v/>
      </c>
      <c r="Q2825" s="388"/>
      <c r="R2825" s="388" t="str">
        <f t="shared" ca="1" si="152"/>
        <v/>
      </c>
      <c r="S2825" s="388"/>
      <c r="T2825" s="389"/>
    </row>
    <row r="2826" spans="1:20" x14ac:dyDescent="0.3">
      <c r="A2826" s="384" t="b">
        <f t="shared" ca="1" si="147"/>
        <v>0</v>
      </c>
      <c r="B2826" s="384">
        <f t="shared" si="146"/>
        <v>55</v>
      </c>
      <c r="C2826" s="400" t="str">
        <f ca="1">IF(COUNTA($G$2697:G2825)=1,"",OFFSET(B2826,-COUNTA($G$2697:G2825)+1,1))</f>
        <v>a1NDm000000GuQNMA0</v>
      </c>
      <c r="D2826" s="384" t="str">
        <f t="shared" ca="1" si="148"/>
        <v>INT-341506</v>
      </c>
      <c r="E2826" s="388"/>
      <c r="F2826" s="388" t="str">
        <f t="shared" ca="1" si="149"/>
        <v/>
      </c>
      <c r="G2826" s="401"/>
      <c r="H2826" s="384"/>
      <c r="I2826" s="384" t="str">
        <f ca="1">IFERROR(VLOOKUP(INDIRECT("'WPTM - Section F'!E"&amp;B2826),'Overview - Section A'!M$30:R168,6,0),IFERROR(VLOOKUP(INDIRECT("'WPTM - Section F'!E"&amp;B2826),'Overview - Section A'!E$27:J156,6,0),""))</f>
        <v/>
      </c>
      <c r="J2826" s="384" t="str">
        <f t="shared" ca="1" si="150"/>
        <v/>
      </c>
      <c r="K2826" s="384"/>
      <c r="L2826" s="384"/>
      <c r="M2826" s="388"/>
      <c r="N2826" s="388"/>
      <c r="O2826" s="384"/>
      <c r="P2826" s="388" t="str">
        <f t="shared" ca="1" si="151"/>
        <v/>
      </c>
      <c r="Q2826" s="388"/>
      <c r="R2826" s="388" t="str">
        <f t="shared" ca="1" si="152"/>
        <v/>
      </c>
      <c r="S2826" s="388"/>
      <c r="T2826" s="389"/>
    </row>
    <row r="2827" spans="1:20" x14ac:dyDescent="0.3">
      <c r="A2827" s="384" t="b">
        <f t="shared" ca="1" si="147"/>
        <v>0</v>
      </c>
      <c r="B2827" s="384">
        <f t="shared" si="146"/>
        <v>56</v>
      </c>
      <c r="C2827" s="400" t="str">
        <f ca="1">IF(COUNTA($G$2697:G2826)=1,"",OFFSET(B2827,-COUNTA($G$2697:G2826)+1,1))</f>
        <v>a1NDm000000GuQOMA0</v>
      </c>
      <c r="D2827" s="384" t="str">
        <f t="shared" ca="1" si="148"/>
        <v>INT-341506</v>
      </c>
      <c r="E2827" s="388"/>
      <c r="F2827" s="388" t="str">
        <f t="shared" ca="1" si="149"/>
        <v/>
      </c>
      <c r="G2827" s="401"/>
      <c r="H2827" s="384"/>
      <c r="I2827" s="384" t="str">
        <f ca="1">IFERROR(VLOOKUP(INDIRECT("'WPTM - Section F'!E"&amp;B2827),'Overview - Section A'!M$30:R169,6,0),IFERROR(VLOOKUP(INDIRECT("'WPTM - Section F'!E"&amp;B2827),'Overview - Section A'!E$27:J157,6,0),""))</f>
        <v/>
      </c>
      <c r="J2827" s="384" t="str">
        <f t="shared" ca="1" si="150"/>
        <v/>
      </c>
      <c r="K2827" s="384"/>
      <c r="L2827" s="384"/>
      <c r="M2827" s="388"/>
      <c r="N2827" s="388"/>
      <c r="O2827" s="384"/>
      <c r="P2827" s="388" t="str">
        <f t="shared" ca="1" si="151"/>
        <v/>
      </c>
      <c r="Q2827" s="388"/>
      <c r="R2827" s="388" t="str">
        <f t="shared" ca="1" si="152"/>
        <v/>
      </c>
      <c r="S2827" s="388"/>
      <c r="T2827" s="389"/>
    </row>
    <row r="2828" spans="1:20" x14ac:dyDescent="0.3">
      <c r="A2828" s="384" t="b">
        <f t="shared" ca="1" si="147"/>
        <v>0</v>
      </c>
      <c r="B2828" s="384">
        <f t="shared" ref="B2828:B2859" si="153">IF(_xlfn.ISFORMULA(J2828),B2827+1,B2827)</f>
        <v>57</v>
      </c>
      <c r="C2828" s="400" t="str">
        <f ca="1">IF(COUNTA($G$2697:G2827)=1,"",OFFSET(B2828,-COUNTA($G$2697:G2827)+1,1))</f>
        <v>a1NDm000000GuQPMA0</v>
      </c>
      <c r="D2828" s="384" t="str">
        <f t="shared" ca="1" si="148"/>
        <v>INT-341506</v>
      </c>
      <c r="E2828" s="388"/>
      <c r="F2828" s="388" t="str">
        <f t="shared" ca="1" si="149"/>
        <v/>
      </c>
      <c r="G2828" s="401"/>
      <c r="H2828" s="384"/>
      <c r="I2828" s="384" t="str">
        <f ca="1">IFERROR(VLOOKUP(INDIRECT("'WPTM - Section F'!E"&amp;B2828),'Overview - Section A'!M$30:R170,6,0),IFERROR(VLOOKUP(INDIRECT("'WPTM - Section F'!E"&amp;B2828),'Overview - Section A'!E$27:J158,6,0),""))</f>
        <v/>
      </c>
      <c r="J2828" s="384" t="str">
        <f t="shared" ca="1" si="150"/>
        <v/>
      </c>
      <c r="K2828" s="384"/>
      <c r="L2828" s="384"/>
      <c r="M2828" s="388"/>
      <c r="N2828" s="388"/>
      <c r="O2828" s="384"/>
      <c r="P2828" s="388" t="str">
        <f t="shared" ca="1" si="151"/>
        <v/>
      </c>
      <c r="Q2828" s="388"/>
      <c r="R2828" s="388" t="str">
        <f t="shared" ca="1" si="152"/>
        <v/>
      </c>
      <c r="S2828" s="388"/>
      <c r="T2828" s="389"/>
    </row>
    <row r="2829" spans="1:20" x14ac:dyDescent="0.3">
      <c r="A2829" s="384" t="b">
        <f t="shared" ca="1" si="147"/>
        <v>0</v>
      </c>
      <c r="B2829" s="384">
        <f t="shared" si="153"/>
        <v>58</v>
      </c>
      <c r="C2829" s="400" t="str">
        <f ca="1">IF(COUNTA($G$2697:G2828)=1,"",OFFSET(B2829,-COUNTA($G$2697:G2828)+1,1))</f>
        <v>a1NDm000000GuQQMA0</v>
      </c>
      <c r="D2829" s="384" t="str">
        <f t="shared" ca="1" si="148"/>
        <v>INT-341506</v>
      </c>
      <c r="E2829" s="388"/>
      <c r="F2829" s="388" t="str">
        <f t="shared" ca="1" si="149"/>
        <v/>
      </c>
      <c r="G2829" s="401"/>
      <c r="H2829" s="384"/>
      <c r="I2829" s="384" t="str">
        <f ca="1">IFERROR(VLOOKUP(INDIRECT("'WPTM - Section F'!E"&amp;B2829),'Overview - Section A'!M$30:R171,6,0),IFERROR(VLOOKUP(INDIRECT("'WPTM - Section F'!E"&amp;B2829),'Overview - Section A'!E$27:J159,6,0),""))</f>
        <v/>
      </c>
      <c r="J2829" s="384" t="str">
        <f t="shared" ca="1" si="150"/>
        <v/>
      </c>
      <c r="K2829" s="384"/>
      <c r="L2829" s="384"/>
      <c r="M2829" s="388"/>
      <c r="N2829" s="388"/>
      <c r="O2829" s="384"/>
      <c r="P2829" s="388" t="str">
        <f t="shared" ca="1" si="151"/>
        <v/>
      </c>
      <c r="Q2829" s="388"/>
      <c r="R2829" s="388" t="str">
        <f t="shared" ca="1" si="152"/>
        <v/>
      </c>
      <c r="S2829" s="388"/>
      <c r="T2829" s="389"/>
    </row>
    <row r="2830" spans="1:20" x14ac:dyDescent="0.3">
      <c r="A2830" s="384" t="b">
        <f t="shared" ca="1" si="147"/>
        <v>0</v>
      </c>
      <c r="B2830" s="384">
        <f t="shared" si="153"/>
        <v>59</v>
      </c>
      <c r="C2830" s="400" t="str">
        <f ca="1">IF(COUNTA($G$2697:G2829)=1,"",OFFSET(B2830,-COUNTA($G$2697:G2829)+1,1))</f>
        <v>a1NDm000000GuQRMA0</v>
      </c>
      <c r="D2830" s="384" t="str">
        <f t="shared" ca="1" si="148"/>
        <v>INT-341506</v>
      </c>
      <c r="E2830" s="388"/>
      <c r="F2830" s="388" t="str">
        <f t="shared" ca="1" si="149"/>
        <v/>
      </c>
      <c r="G2830" s="401"/>
      <c r="H2830" s="384"/>
      <c r="I2830" s="384" t="str">
        <f ca="1">IFERROR(VLOOKUP(INDIRECT("'WPTM - Section F'!E"&amp;B2830),'Overview - Section A'!M$30:R172,6,0),IFERROR(VLOOKUP(INDIRECT("'WPTM - Section F'!E"&amp;B2830),'Overview - Section A'!E$27:J160,6,0),""))</f>
        <v/>
      </c>
      <c r="J2830" s="384" t="str">
        <f t="shared" ca="1" si="150"/>
        <v/>
      </c>
      <c r="K2830" s="384"/>
      <c r="L2830" s="384"/>
      <c r="M2830" s="388"/>
      <c r="N2830" s="388"/>
      <c r="O2830" s="384"/>
      <c r="P2830" s="388" t="str">
        <f t="shared" ca="1" si="151"/>
        <v/>
      </c>
      <c r="Q2830" s="388"/>
      <c r="R2830" s="388" t="str">
        <f t="shared" ca="1" si="152"/>
        <v/>
      </c>
      <c r="S2830" s="388"/>
      <c r="T2830" s="389"/>
    </row>
    <row r="2831" spans="1:20" x14ac:dyDescent="0.3">
      <c r="A2831" s="384" t="b">
        <f t="shared" ca="1" si="147"/>
        <v>0</v>
      </c>
      <c r="B2831" s="384">
        <f t="shared" si="153"/>
        <v>60</v>
      </c>
      <c r="C2831" s="400" t="str">
        <f ca="1">IF(COUNTA($G$2697:G2830)=1,"",OFFSET(B2831,-COUNTA($G$2697:G2830)+1,1))</f>
        <v>a1NDm000000GuQSMA0</v>
      </c>
      <c r="D2831" s="384" t="str">
        <f t="shared" ca="1" si="148"/>
        <v>INT-341506</v>
      </c>
      <c r="E2831" s="388"/>
      <c r="F2831" s="388" t="str">
        <f t="shared" ca="1" si="149"/>
        <v/>
      </c>
      <c r="G2831" s="401"/>
      <c r="H2831" s="384"/>
      <c r="I2831" s="384" t="str">
        <f ca="1">IFERROR(VLOOKUP(INDIRECT("'WPTM - Section F'!E"&amp;B2831),'Overview - Section A'!M$30:R173,6,0),IFERROR(VLOOKUP(INDIRECT("'WPTM - Section F'!E"&amp;B2831),'Overview - Section A'!E$27:J161,6,0),""))</f>
        <v/>
      </c>
      <c r="J2831" s="384" t="str">
        <f t="shared" ca="1" si="150"/>
        <v/>
      </c>
      <c r="K2831" s="384"/>
      <c r="L2831" s="384"/>
      <c r="M2831" s="388"/>
      <c r="N2831" s="388"/>
      <c r="O2831" s="384"/>
      <c r="P2831" s="388" t="str">
        <f t="shared" ca="1" si="151"/>
        <v/>
      </c>
      <c r="Q2831" s="388"/>
      <c r="R2831" s="388" t="str">
        <f t="shared" ca="1" si="152"/>
        <v/>
      </c>
      <c r="S2831" s="388"/>
      <c r="T2831" s="389"/>
    </row>
    <row r="2832" spans="1:20" x14ac:dyDescent="0.3">
      <c r="A2832" s="384" t="b">
        <f t="shared" ca="1" si="147"/>
        <v>0</v>
      </c>
      <c r="B2832" s="384">
        <f t="shared" si="153"/>
        <v>61</v>
      </c>
      <c r="C2832" s="400" t="str">
        <f ca="1">IF(COUNTA($G$2697:G2831)=1,"",OFFSET(B2832,-COUNTA($G$2697:G2831)+1,1))</f>
        <v>a1NDm000000GuQTMA0</v>
      </c>
      <c r="D2832" s="384" t="str">
        <f t="shared" ca="1" si="148"/>
        <v>INT-341506</v>
      </c>
      <c r="E2832" s="388"/>
      <c r="F2832" s="388" t="str">
        <f t="shared" ca="1" si="149"/>
        <v/>
      </c>
      <c r="G2832" s="401"/>
      <c r="H2832" s="384"/>
      <c r="I2832" s="384" t="str">
        <f ca="1">IFERROR(VLOOKUP(INDIRECT("'WPTM - Section F'!E"&amp;B2832),'Overview - Section A'!M$30:R174,6,0),IFERROR(VLOOKUP(INDIRECT("'WPTM - Section F'!E"&amp;B2832),'Overview - Section A'!E$27:J162,6,0),""))</f>
        <v/>
      </c>
      <c r="J2832" s="384" t="str">
        <f t="shared" ca="1" si="150"/>
        <v/>
      </c>
      <c r="K2832" s="384"/>
      <c r="L2832" s="384"/>
      <c r="M2832" s="388"/>
      <c r="N2832" s="388"/>
      <c r="O2832" s="384"/>
      <c r="P2832" s="388" t="str">
        <f t="shared" ca="1" si="151"/>
        <v/>
      </c>
      <c r="Q2832" s="388"/>
      <c r="R2832" s="388" t="str">
        <f t="shared" ca="1" si="152"/>
        <v/>
      </c>
      <c r="S2832" s="388"/>
      <c r="T2832" s="389"/>
    </row>
    <row r="2833" spans="1:20" x14ac:dyDescent="0.3">
      <c r="A2833" s="384" t="b">
        <f t="shared" ca="1" si="147"/>
        <v>0</v>
      </c>
      <c r="B2833" s="384">
        <f t="shared" si="153"/>
        <v>62</v>
      </c>
      <c r="C2833" s="400" t="str">
        <f ca="1">IF(COUNTA($G$2697:G2832)=1,"",OFFSET(B2833,-COUNTA($G$2697:G2832)+1,1))</f>
        <v>a1NDm000000GuQUMA0</v>
      </c>
      <c r="D2833" s="384" t="str">
        <f t="shared" ca="1" si="148"/>
        <v>INT-341506</v>
      </c>
      <c r="E2833" s="388"/>
      <c r="F2833" s="388" t="str">
        <f t="shared" ca="1" si="149"/>
        <v/>
      </c>
      <c r="G2833" s="401"/>
      <c r="H2833" s="384"/>
      <c r="I2833" s="384" t="str">
        <f ca="1">IFERROR(VLOOKUP(INDIRECT("'WPTM - Section F'!E"&amp;B2833),'Overview - Section A'!M$30:R175,6,0),IFERROR(VLOOKUP(INDIRECT("'WPTM - Section F'!E"&amp;B2833),'Overview - Section A'!E$27:J163,6,0),""))</f>
        <v/>
      </c>
      <c r="J2833" s="384" t="str">
        <f t="shared" ca="1" si="150"/>
        <v/>
      </c>
      <c r="K2833" s="384"/>
      <c r="L2833" s="384"/>
      <c r="M2833" s="388"/>
      <c r="N2833" s="388"/>
      <c r="O2833" s="384"/>
      <c r="P2833" s="388" t="str">
        <f t="shared" ca="1" si="151"/>
        <v/>
      </c>
      <c r="Q2833" s="388"/>
      <c r="R2833" s="388" t="str">
        <f t="shared" ca="1" si="152"/>
        <v/>
      </c>
      <c r="S2833" s="388"/>
      <c r="T2833" s="389"/>
    </row>
    <row r="2834" spans="1:20" x14ac:dyDescent="0.3">
      <c r="A2834" s="384" t="b">
        <f t="shared" ca="1" si="147"/>
        <v>0</v>
      </c>
      <c r="B2834" s="384">
        <f t="shared" si="153"/>
        <v>63</v>
      </c>
      <c r="C2834" s="400" t="str">
        <f ca="1">IF(COUNTA($G$2697:G2833)=1,"",OFFSET(B2834,-COUNTA($G$2697:G2833)+1,1))</f>
        <v>a1NDm000000GuQVMA0</v>
      </c>
      <c r="D2834" s="384" t="str">
        <f t="shared" ca="1" si="148"/>
        <v>INT-341506</v>
      </c>
      <c r="E2834" s="388"/>
      <c r="F2834" s="388" t="str">
        <f t="shared" ca="1" si="149"/>
        <v/>
      </c>
      <c r="G2834" s="401"/>
      <c r="H2834" s="384"/>
      <c r="I2834" s="384" t="str">
        <f ca="1">IFERROR(VLOOKUP(INDIRECT("'WPTM - Section F'!E"&amp;B2834),'Overview - Section A'!M$30:R176,6,0),IFERROR(VLOOKUP(INDIRECT("'WPTM - Section F'!E"&amp;B2834),'Overview - Section A'!E$27:J164,6,0),""))</f>
        <v/>
      </c>
      <c r="J2834" s="384" t="str">
        <f t="shared" ca="1" si="150"/>
        <v/>
      </c>
      <c r="K2834" s="384"/>
      <c r="L2834" s="384"/>
      <c r="M2834" s="388"/>
      <c r="N2834" s="388"/>
      <c r="O2834" s="384"/>
      <c r="P2834" s="388" t="str">
        <f t="shared" ca="1" si="151"/>
        <v/>
      </c>
      <c r="Q2834" s="388"/>
      <c r="R2834" s="388" t="str">
        <f t="shared" ca="1" si="152"/>
        <v/>
      </c>
      <c r="S2834" s="388"/>
      <c r="T2834" s="389"/>
    </row>
    <row r="2835" spans="1:20" x14ac:dyDescent="0.3">
      <c r="A2835" s="384" t="b">
        <f t="shared" ca="1" si="147"/>
        <v>0</v>
      </c>
      <c r="B2835" s="384">
        <f t="shared" si="153"/>
        <v>64</v>
      </c>
      <c r="C2835" s="400" t="str">
        <f ca="1">IF(COUNTA($G$2697:G2834)=1,"",OFFSET(B2835,-COUNTA($G$2697:G2834)+1,1))</f>
        <v>a1NDm000000GuQWMA0</v>
      </c>
      <c r="D2835" s="384" t="str">
        <f t="shared" ca="1" si="148"/>
        <v>INT-341506</v>
      </c>
      <c r="E2835" s="388"/>
      <c r="F2835" s="388" t="str">
        <f t="shared" ca="1" si="149"/>
        <v/>
      </c>
      <c r="G2835" s="401"/>
      <c r="H2835" s="384"/>
      <c r="I2835" s="384" t="str">
        <f ca="1">IFERROR(VLOOKUP(INDIRECT("'WPTM - Section F'!E"&amp;B2835),'Overview - Section A'!M$30:R177,6,0),IFERROR(VLOOKUP(INDIRECT("'WPTM - Section F'!E"&amp;B2835),'Overview - Section A'!E$27:J165,6,0),""))</f>
        <v/>
      </c>
      <c r="J2835" s="384" t="str">
        <f t="shared" ca="1" si="150"/>
        <v/>
      </c>
      <c r="K2835" s="384"/>
      <c r="L2835" s="384"/>
      <c r="M2835" s="388"/>
      <c r="N2835" s="388"/>
      <c r="O2835" s="384"/>
      <c r="P2835" s="388" t="str">
        <f t="shared" ca="1" si="151"/>
        <v/>
      </c>
      <c r="Q2835" s="388"/>
      <c r="R2835" s="388" t="str">
        <f t="shared" ca="1" si="152"/>
        <v/>
      </c>
      <c r="S2835" s="388"/>
      <c r="T2835" s="389"/>
    </row>
    <row r="2836" spans="1:20" x14ac:dyDescent="0.3">
      <c r="A2836" s="384" t="b">
        <f t="shared" ca="1" si="147"/>
        <v>0</v>
      </c>
      <c r="B2836" s="384">
        <f t="shared" si="153"/>
        <v>65</v>
      </c>
      <c r="C2836" s="400" t="str">
        <f ca="1">IF(COUNTA($G$2697:G2835)=1,"",OFFSET(B2836,-COUNTA($G$2697:G2835)+1,1))</f>
        <v>a1NDm000000GuQXMA0</v>
      </c>
      <c r="D2836" s="384" t="str">
        <f t="shared" ca="1" si="148"/>
        <v>INT-341506</v>
      </c>
      <c r="E2836" s="388"/>
      <c r="F2836" s="388" t="str">
        <f t="shared" ca="1" si="149"/>
        <v/>
      </c>
      <c r="G2836" s="401"/>
      <c r="H2836" s="384"/>
      <c r="I2836" s="384" t="str">
        <f ca="1">IFERROR(VLOOKUP(INDIRECT("'WPTM - Section F'!E"&amp;B2836),'Overview - Section A'!M$30:R178,6,0),IFERROR(VLOOKUP(INDIRECT("'WPTM - Section F'!E"&amp;B2836),'Overview - Section A'!E$27:J166,6,0),""))</f>
        <v/>
      </c>
      <c r="J2836" s="384" t="str">
        <f t="shared" ca="1" si="150"/>
        <v/>
      </c>
      <c r="K2836" s="384"/>
      <c r="L2836" s="384"/>
      <c r="M2836" s="388"/>
      <c r="N2836" s="388"/>
      <c r="O2836" s="384"/>
      <c r="P2836" s="388" t="str">
        <f t="shared" ca="1" si="151"/>
        <v/>
      </c>
      <c r="Q2836" s="388"/>
      <c r="R2836" s="388" t="str">
        <f t="shared" ca="1" si="152"/>
        <v/>
      </c>
      <c r="S2836" s="388"/>
      <c r="T2836" s="389"/>
    </row>
    <row r="2837" spans="1:20" x14ac:dyDescent="0.3">
      <c r="A2837" s="384" t="b">
        <f t="shared" ca="1" si="147"/>
        <v>0</v>
      </c>
      <c r="B2837" s="384">
        <f t="shared" si="153"/>
        <v>66</v>
      </c>
      <c r="C2837" s="400" t="str">
        <f ca="1">IF(COUNTA($G$2697:G2836)=1,"",OFFSET(B2837,-COUNTA($G$2697:G2836)+1,1))</f>
        <v>a1NDm000000GuQYMA0</v>
      </c>
      <c r="D2837" s="384" t="str">
        <f t="shared" ca="1" si="148"/>
        <v>INT-341506</v>
      </c>
      <c r="E2837" s="388"/>
      <c r="F2837" s="388" t="str">
        <f t="shared" ca="1" si="149"/>
        <v/>
      </c>
      <c r="G2837" s="401"/>
      <c r="H2837" s="384"/>
      <c r="I2837" s="384" t="str">
        <f ca="1">IFERROR(VLOOKUP(INDIRECT("'WPTM - Section F'!E"&amp;B2837),'Overview - Section A'!M$30:R179,6,0),IFERROR(VLOOKUP(INDIRECT("'WPTM - Section F'!E"&amp;B2837),'Overview - Section A'!E$27:J167,6,0),""))</f>
        <v/>
      </c>
      <c r="J2837" s="384" t="str">
        <f t="shared" ca="1" si="150"/>
        <v/>
      </c>
      <c r="K2837" s="384"/>
      <c r="L2837" s="384"/>
      <c r="M2837" s="388"/>
      <c r="N2837" s="388"/>
      <c r="O2837" s="384"/>
      <c r="P2837" s="388" t="str">
        <f t="shared" ca="1" si="151"/>
        <v/>
      </c>
      <c r="Q2837" s="388"/>
      <c r="R2837" s="388" t="str">
        <f t="shared" ca="1" si="152"/>
        <v/>
      </c>
      <c r="S2837" s="388"/>
      <c r="T2837" s="389"/>
    </row>
    <row r="2838" spans="1:20" x14ac:dyDescent="0.3">
      <c r="A2838" s="384" t="b">
        <f t="shared" ca="1" si="147"/>
        <v>0</v>
      </c>
      <c r="B2838" s="384">
        <f t="shared" si="153"/>
        <v>67</v>
      </c>
      <c r="C2838" s="400" t="str">
        <f ca="1">IF(COUNTA($G$2697:G2837)=1,"",OFFSET(B2838,-COUNTA($G$2697:G2837)+1,1))</f>
        <v>a1NDm000000GuQZMA0</v>
      </c>
      <c r="D2838" s="384" t="str">
        <f t="shared" ca="1" si="148"/>
        <v>INT-341506</v>
      </c>
      <c r="E2838" s="388"/>
      <c r="F2838" s="388" t="str">
        <f t="shared" ca="1" si="149"/>
        <v/>
      </c>
      <c r="G2838" s="401"/>
      <c r="H2838" s="384"/>
      <c r="I2838" s="384" t="str">
        <f ca="1">IFERROR(VLOOKUP(INDIRECT("'WPTM - Section F'!E"&amp;B2838),'Overview - Section A'!M$30:R180,6,0),IFERROR(VLOOKUP(INDIRECT("'WPTM - Section F'!E"&amp;B2838),'Overview - Section A'!E$27:J168,6,0),""))</f>
        <v/>
      </c>
      <c r="J2838" s="384" t="str">
        <f t="shared" ca="1" si="150"/>
        <v/>
      </c>
      <c r="K2838" s="384"/>
      <c r="L2838" s="384"/>
      <c r="M2838" s="388"/>
      <c r="N2838" s="388"/>
      <c r="O2838" s="384"/>
      <c r="P2838" s="388" t="str">
        <f t="shared" ca="1" si="151"/>
        <v/>
      </c>
      <c r="Q2838" s="388"/>
      <c r="R2838" s="388" t="str">
        <f t="shared" ca="1" si="152"/>
        <v/>
      </c>
      <c r="S2838" s="388"/>
      <c r="T2838" s="389"/>
    </row>
    <row r="2839" spans="1:20" x14ac:dyDescent="0.3">
      <c r="A2839" s="384" t="b">
        <f t="shared" ca="1" si="147"/>
        <v>0</v>
      </c>
      <c r="B2839" s="384">
        <f t="shared" si="153"/>
        <v>68</v>
      </c>
      <c r="C2839" s="400" t="str">
        <f ca="1">IF(COUNTA($G$2697:G2838)=1,"",OFFSET(B2839,-COUNTA($G$2697:G2838)+1,1))</f>
        <v>a1NDm000000GuQaMAK</v>
      </c>
      <c r="D2839" s="384" t="str">
        <f t="shared" ca="1" si="148"/>
        <v>INT-341506</v>
      </c>
      <c r="E2839" s="388"/>
      <c r="F2839" s="388" t="str">
        <f t="shared" ca="1" si="149"/>
        <v/>
      </c>
      <c r="G2839" s="401"/>
      <c r="H2839" s="384"/>
      <c r="I2839" s="384" t="str">
        <f ca="1">IFERROR(VLOOKUP(INDIRECT("'WPTM - Section F'!E"&amp;B2839),'Overview - Section A'!M$30:R181,6,0),IFERROR(VLOOKUP(INDIRECT("'WPTM - Section F'!E"&amp;B2839),'Overview - Section A'!E$27:J169,6,0),""))</f>
        <v/>
      </c>
      <c r="J2839" s="384" t="str">
        <f t="shared" ca="1" si="150"/>
        <v/>
      </c>
      <c r="K2839" s="384"/>
      <c r="L2839" s="384"/>
      <c r="M2839" s="388"/>
      <c r="N2839" s="388"/>
      <c r="O2839" s="384"/>
      <c r="P2839" s="388" t="str">
        <f t="shared" ca="1" si="151"/>
        <v/>
      </c>
      <c r="Q2839" s="388"/>
      <c r="R2839" s="388" t="str">
        <f t="shared" ca="1" si="152"/>
        <v/>
      </c>
      <c r="S2839" s="388"/>
      <c r="T2839" s="389"/>
    </row>
    <row r="2840" spans="1:20" x14ac:dyDescent="0.3">
      <c r="A2840" s="384" t="b">
        <f t="shared" ca="1" si="147"/>
        <v>0</v>
      </c>
      <c r="B2840" s="384">
        <f t="shared" si="153"/>
        <v>69</v>
      </c>
      <c r="C2840" s="400" t="str">
        <f ca="1">IF(COUNTA($G$2697:G2839)=1,"",OFFSET(B2840,-COUNTA($G$2697:G2839)+1,1))</f>
        <v>a1NDm000000GuQbMAK</v>
      </c>
      <c r="D2840" s="384" t="str">
        <f t="shared" ca="1" si="148"/>
        <v>INT-341506</v>
      </c>
      <c r="E2840" s="388"/>
      <c r="F2840" s="388" t="str">
        <f t="shared" ca="1" si="149"/>
        <v/>
      </c>
      <c r="G2840" s="401"/>
      <c r="H2840" s="384"/>
      <c r="I2840" s="384" t="str">
        <f ca="1">IFERROR(VLOOKUP(INDIRECT("'WPTM - Section F'!E"&amp;B2840),'Overview - Section A'!M$30:R182,6,0),IFERROR(VLOOKUP(INDIRECT("'WPTM - Section F'!E"&amp;B2840),'Overview - Section A'!E$27:J170,6,0),""))</f>
        <v/>
      </c>
      <c r="J2840" s="384" t="str">
        <f t="shared" ca="1" si="150"/>
        <v/>
      </c>
      <c r="K2840" s="384"/>
      <c r="L2840" s="384"/>
      <c r="M2840" s="388"/>
      <c r="N2840" s="388"/>
      <c r="O2840" s="384"/>
      <c r="P2840" s="388" t="str">
        <f t="shared" ca="1" si="151"/>
        <v/>
      </c>
      <c r="Q2840" s="388"/>
      <c r="R2840" s="388" t="str">
        <f t="shared" ca="1" si="152"/>
        <v/>
      </c>
      <c r="S2840" s="388"/>
      <c r="T2840" s="389"/>
    </row>
    <row r="2841" spans="1:20" x14ac:dyDescent="0.3">
      <c r="A2841" s="384" t="b">
        <f t="shared" ca="1" si="147"/>
        <v>0</v>
      </c>
      <c r="B2841" s="384">
        <f t="shared" si="153"/>
        <v>70</v>
      </c>
      <c r="C2841" s="400" t="str">
        <f ca="1">IF(COUNTA($G$2697:G2840)=1,"",OFFSET(B2841,-COUNTA($G$2697:G2840)+1,1))</f>
        <v>a1NDm000000GuQcMAK</v>
      </c>
      <c r="D2841" s="384" t="str">
        <f t="shared" ca="1" si="148"/>
        <v>INT-341506</v>
      </c>
      <c r="E2841" s="388"/>
      <c r="F2841" s="388" t="str">
        <f t="shared" ca="1" si="149"/>
        <v/>
      </c>
      <c r="G2841" s="401"/>
      <c r="H2841" s="384"/>
      <c r="I2841" s="384" t="str">
        <f ca="1">IFERROR(VLOOKUP(INDIRECT("'WPTM - Section F'!E"&amp;B2841),'Overview - Section A'!M$30:R183,6,0),IFERROR(VLOOKUP(INDIRECT("'WPTM - Section F'!E"&amp;B2841),'Overview - Section A'!E$27:J171,6,0),""))</f>
        <v/>
      </c>
      <c r="J2841" s="384" t="str">
        <f t="shared" ca="1" si="150"/>
        <v/>
      </c>
      <c r="K2841" s="384"/>
      <c r="L2841" s="384"/>
      <c r="M2841" s="388"/>
      <c r="N2841" s="388"/>
      <c r="O2841" s="384"/>
      <c r="P2841" s="388" t="str">
        <f t="shared" ca="1" si="151"/>
        <v/>
      </c>
      <c r="Q2841" s="388"/>
      <c r="R2841" s="388" t="str">
        <f t="shared" ca="1" si="152"/>
        <v/>
      </c>
      <c r="S2841" s="388"/>
      <c r="T2841" s="389"/>
    </row>
    <row r="2842" spans="1:20" x14ac:dyDescent="0.3">
      <c r="A2842" s="384" t="b">
        <f t="shared" ca="1" si="147"/>
        <v>0</v>
      </c>
      <c r="B2842" s="384">
        <f t="shared" si="153"/>
        <v>71</v>
      </c>
      <c r="C2842" s="400" t="str">
        <f ca="1">IF(COUNTA($G$2697:G2841)=1,"",OFFSET(B2842,-COUNTA($G$2697:G2841)+1,1))</f>
        <v>a1NDm000000GuQdMAK</v>
      </c>
      <c r="D2842" s="384" t="str">
        <f t="shared" ca="1" si="148"/>
        <v>INT-341506</v>
      </c>
      <c r="E2842" s="388"/>
      <c r="F2842" s="388" t="str">
        <f t="shared" ca="1" si="149"/>
        <v/>
      </c>
      <c r="G2842" s="401"/>
      <c r="H2842" s="384"/>
      <c r="I2842" s="384" t="str">
        <f ca="1">IFERROR(VLOOKUP(INDIRECT("'WPTM - Section F'!E"&amp;B2842),'Overview - Section A'!M$30:R184,6,0),IFERROR(VLOOKUP(INDIRECT("'WPTM - Section F'!E"&amp;B2842),'Overview - Section A'!E$27:J172,6,0),""))</f>
        <v/>
      </c>
      <c r="J2842" s="384" t="str">
        <f t="shared" ca="1" si="150"/>
        <v/>
      </c>
      <c r="K2842" s="384"/>
      <c r="L2842" s="384"/>
      <c r="M2842" s="388"/>
      <c r="N2842" s="388"/>
      <c r="O2842" s="384"/>
      <c r="P2842" s="388" t="str">
        <f t="shared" ca="1" si="151"/>
        <v/>
      </c>
      <c r="Q2842" s="388"/>
      <c r="R2842" s="388" t="str">
        <f t="shared" ca="1" si="152"/>
        <v/>
      </c>
      <c r="S2842" s="388"/>
      <c r="T2842" s="389"/>
    </row>
    <row r="2843" spans="1:20" x14ac:dyDescent="0.3">
      <c r="A2843" s="384" t="b">
        <f t="shared" ca="1" si="147"/>
        <v>0</v>
      </c>
      <c r="B2843" s="384">
        <f t="shared" si="153"/>
        <v>72</v>
      </c>
      <c r="C2843" s="400" t="str">
        <f ca="1">IF(COUNTA($G$2697:G2842)=1,"",OFFSET(B2843,-COUNTA($G$2697:G2842)+1,1))</f>
        <v>a1NDm000000GuQeMAK</v>
      </c>
      <c r="D2843" s="384" t="str">
        <f t="shared" ca="1" si="148"/>
        <v>INT-341506</v>
      </c>
      <c r="E2843" s="388"/>
      <c r="F2843" s="388" t="str">
        <f t="shared" ca="1" si="149"/>
        <v/>
      </c>
      <c r="G2843" s="401"/>
      <c r="H2843" s="384"/>
      <c r="I2843" s="384" t="str">
        <f ca="1">IFERROR(VLOOKUP(INDIRECT("'WPTM - Section F'!E"&amp;B2843),'Overview - Section A'!M$30:R185,6,0),IFERROR(VLOOKUP(INDIRECT("'WPTM - Section F'!E"&amp;B2843),'Overview - Section A'!E$27:J173,6,0),""))</f>
        <v/>
      </c>
      <c r="J2843" s="384" t="str">
        <f t="shared" ca="1" si="150"/>
        <v/>
      </c>
      <c r="K2843" s="384"/>
      <c r="L2843" s="384"/>
      <c r="M2843" s="388"/>
      <c r="N2843" s="388"/>
      <c r="O2843" s="384"/>
      <c r="P2843" s="388" t="str">
        <f t="shared" ca="1" si="151"/>
        <v/>
      </c>
      <c r="Q2843" s="388"/>
      <c r="R2843" s="388" t="str">
        <f t="shared" ca="1" si="152"/>
        <v/>
      </c>
      <c r="S2843" s="388"/>
      <c r="T2843" s="389"/>
    </row>
    <row r="2844" spans="1:20" x14ac:dyDescent="0.3">
      <c r="A2844" s="384" t="b">
        <f t="shared" ref="A2844:A2859" ca="1" si="154">IF(F2844&lt;&gt;"",TRUE,FALSE)</f>
        <v>0</v>
      </c>
      <c r="B2844" s="384">
        <f t="shared" si="153"/>
        <v>73</v>
      </c>
      <c r="C2844" s="400" t="str">
        <f ca="1">IF(COUNTA($G$2697:G2843)=1,"",OFFSET(B2844,-COUNTA($G$2697:G2843)+1,1))</f>
        <v>a1NDm000000GuQfMAK</v>
      </c>
      <c r="D2844" s="384" t="str">
        <f t="shared" ref="D2844:D2859" ca="1" si="155">IFERROR(IF(INDIRECT("'WPTM - Section F'!AC"&amp;B2844)=0,"",INDIRECT("'WPTM - Section F'!AC"&amp;B2844)),"")</f>
        <v>INT-341506</v>
      </c>
      <c r="E2844" s="388"/>
      <c r="F2844" s="388" t="str">
        <f t="shared" ref="F2844:F2859" ca="1" si="156">IFERROR(IF(INDIRECT("'WPTM - Section F'!D"&amp;B2844)=0,"",INDIRECT("'WPTM - Section F'!D"&amp;B2844)),"")</f>
        <v/>
      </c>
      <c r="G2844" s="401"/>
      <c r="H2844" s="384"/>
      <c r="I2844" s="384" t="str">
        <f ca="1">IFERROR(VLOOKUP(INDIRECT("'WPTM - Section F'!E"&amp;B2844),'Overview - Section A'!M$30:R186,6,0),IFERROR(VLOOKUP(INDIRECT("'WPTM - Section F'!E"&amp;B2844),'Overview - Section A'!E$27:J174,6,0),""))</f>
        <v/>
      </c>
      <c r="J2844" s="384" t="str">
        <f t="shared" ref="J2844:J2859" ca="1" si="157">IFERROR(IF(INDIRECT("'WPTM - Section F'!F"&amp;B2844)=0,"",INDIRECT("'WPTM - Section F'!F"&amp;B2844)),"")</f>
        <v/>
      </c>
      <c r="K2844" s="384"/>
      <c r="L2844" s="384"/>
      <c r="M2844" s="388"/>
      <c r="N2844" s="388"/>
      <c r="O2844" s="384"/>
      <c r="P2844" s="388" t="str">
        <f t="shared" ref="P2844:P2859" ca="1" si="158">IFERROR(IF(INDIRECT("'WPTM - Section F'!W"&amp;B2844)=0,"",INDIRECT("'WPTM - Section F'!W"&amp;B2844)),"")</f>
        <v/>
      </c>
      <c r="Q2844" s="388"/>
      <c r="R2844" s="388" t="str">
        <f t="shared" ref="R2844:R2859" ca="1" si="159">IFERROR(IF(INDIRECT("'WPTM - Section F'!C"&amp;B2844)=0,"",INDIRECT("'WPTM - Section F'!C"&amp;B2844)),"")</f>
        <v/>
      </c>
      <c r="S2844" s="388"/>
      <c r="T2844" s="389"/>
    </row>
    <row r="2845" spans="1:20" x14ac:dyDescent="0.3">
      <c r="A2845" s="384" t="b">
        <f t="shared" ca="1" si="154"/>
        <v>0</v>
      </c>
      <c r="B2845" s="384">
        <f t="shared" si="153"/>
        <v>74</v>
      </c>
      <c r="C2845" s="400" t="str">
        <f ca="1">IF(COUNTA($G$2697:G2844)=1,"",OFFSET(B2845,-COUNTA($G$2697:G2844)+1,1))</f>
        <v>a1NDm000000GuQgMAK</v>
      </c>
      <c r="D2845" s="384" t="str">
        <f t="shared" ca="1" si="155"/>
        <v>INT-341506</v>
      </c>
      <c r="E2845" s="388"/>
      <c r="F2845" s="388" t="str">
        <f t="shared" ca="1" si="156"/>
        <v/>
      </c>
      <c r="G2845" s="401"/>
      <c r="H2845" s="384"/>
      <c r="I2845" s="384" t="str">
        <f ca="1">IFERROR(VLOOKUP(INDIRECT("'WPTM - Section F'!E"&amp;B2845),'Overview - Section A'!M$30:R187,6,0),IFERROR(VLOOKUP(INDIRECT("'WPTM - Section F'!E"&amp;B2845),'Overview - Section A'!E$27:J175,6,0),""))</f>
        <v/>
      </c>
      <c r="J2845" s="384" t="str">
        <f t="shared" ca="1" si="157"/>
        <v/>
      </c>
      <c r="K2845" s="384"/>
      <c r="L2845" s="384"/>
      <c r="M2845" s="388"/>
      <c r="N2845" s="388"/>
      <c r="O2845" s="384"/>
      <c r="P2845" s="388" t="str">
        <f t="shared" ca="1" si="158"/>
        <v/>
      </c>
      <c r="Q2845" s="388"/>
      <c r="R2845" s="388" t="str">
        <f t="shared" ca="1" si="159"/>
        <v/>
      </c>
      <c r="S2845" s="388"/>
      <c r="T2845" s="389"/>
    </row>
    <row r="2846" spans="1:20" x14ac:dyDescent="0.3">
      <c r="A2846" s="384" t="b">
        <f t="shared" ca="1" si="154"/>
        <v>0</v>
      </c>
      <c r="B2846" s="384">
        <f t="shared" si="153"/>
        <v>75</v>
      </c>
      <c r="C2846" s="400" t="str">
        <f ca="1">IF(COUNTA($G$2697:G2845)=1,"",OFFSET(B2846,-COUNTA($G$2697:G2845)+1,1))</f>
        <v>a1NDm000000GuQhMAK</v>
      </c>
      <c r="D2846" s="384" t="str">
        <f t="shared" ca="1" si="155"/>
        <v>INT-341506</v>
      </c>
      <c r="E2846" s="388"/>
      <c r="F2846" s="388" t="str">
        <f t="shared" ca="1" si="156"/>
        <v/>
      </c>
      <c r="G2846" s="401"/>
      <c r="H2846" s="384"/>
      <c r="I2846" s="384" t="str">
        <f ca="1">IFERROR(VLOOKUP(INDIRECT("'WPTM - Section F'!E"&amp;B2846),'Overview - Section A'!M$30:R188,6,0),IFERROR(VLOOKUP(INDIRECT("'WPTM - Section F'!E"&amp;B2846),'Overview - Section A'!E$27:J176,6,0),""))</f>
        <v/>
      </c>
      <c r="J2846" s="384" t="str">
        <f t="shared" ca="1" si="157"/>
        <v/>
      </c>
      <c r="K2846" s="384"/>
      <c r="L2846" s="384"/>
      <c r="M2846" s="388"/>
      <c r="N2846" s="388"/>
      <c r="O2846" s="384"/>
      <c r="P2846" s="388" t="str">
        <f t="shared" ca="1" si="158"/>
        <v/>
      </c>
      <c r="Q2846" s="388"/>
      <c r="R2846" s="388" t="str">
        <f t="shared" ca="1" si="159"/>
        <v/>
      </c>
      <c r="S2846" s="388"/>
      <c r="T2846" s="389"/>
    </row>
    <row r="2847" spans="1:20" x14ac:dyDescent="0.3">
      <c r="A2847" s="384" t="b">
        <f t="shared" ca="1" si="154"/>
        <v>0</v>
      </c>
      <c r="B2847" s="384">
        <f t="shared" si="153"/>
        <v>76</v>
      </c>
      <c r="C2847" s="400" t="str">
        <f ca="1">IF(COUNTA($G$2697:G2846)=1,"",OFFSET(B2847,-COUNTA($G$2697:G2846)+1,1))</f>
        <v>a1NDm000000GuQiMAK</v>
      </c>
      <c r="D2847" s="384" t="str">
        <f t="shared" ca="1" si="155"/>
        <v>INT-341506</v>
      </c>
      <c r="E2847" s="388"/>
      <c r="F2847" s="388" t="str">
        <f t="shared" ca="1" si="156"/>
        <v/>
      </c>
      <c r="G2847" s="401"/>
      <c r="H2847" s="384"/>
      <c r="I2847" s="384" t="str">
        <f ca="1">IFERROR(VLOOKUP(INDIRECT("'WPTM - Section F'!E"&amp;B2847),'Overview - Section A'!M$30:R189,6,0),IFERROR(VLOOKUP(INDIRECT("'WPTM - Section F'!E"&amp;B2847),'Overview - Section A'!E$27:J177,6,0),""))</f>
        <v/>
      </c>
      <c r="J2847" s="384" t="str">
        <f t="shared" ca="1" si="157"/>
        <v/>
      </c>
      <c r="K2847" s="384"/>
      <c r="L2847" s="384"/>
      <c r="M2847" s="388"/>
      <c r="N2847" s="388"/>
      <c r="O2847" s="384"/>
      <c r="P2847" s="388" t="str">
        <f t="shared" ca="1" si="158"/>
        <v/>
      </c>
      <c r="Q2847" s="388"/>
      <c r="R2847" s="388" t="str">
        <f t="shared" ca="1" si="159"/>
        <v/>
      </c>
      <c r="S2847" s="388"/>
      <c r="T2847" s="389"/>
    </row>
    <row r="2848" spans="1:20" x14ac:dyDescent="0.3">
      <c r="A2848" s="384" t="b">
        <f t="shared" ca="1" si="154"/>
        <v>0</v>
      </c>
      <c r="B2848" s="384">
        <f t="shared" si="153"/>
        <v>77</v>
      </c>
      <c r="C2848" s="400" t="str">
        <f ca="1">IF(COUNTA($G$2697:G2847)=1,"",OFFSET(B2848,-COUNTA($G$2697:G2847)+1,1))</f>
        <v>a1NDm000000GuQjMAK</v>
      </c>
      <c r="D2848" s="384" t="str">
        <f t="shared" ca="1" si="155"/>
        <v>INT-341506</v>
      </c>
      <c r="E2848" s="388"/>
      <c r="F2848" s="388" t="str">
        <f t="shared" ca="1" si="156"/>
        <v/>
      </c>
      <c r="G2848" s="401"/>
      <c r="H2848" s="384"/>
      <c r="I2848" s="384" t="str">
        <f ca="1">IFERROR(VLOOKUP(INDIRECT("'WPTM - Section F'!E"&amp;B2848),'Overview - Section A'!M$30:R190,6,0),IFERROR(VLOOKUP(INDIRECT("'WPTM - Section F'!E"&amp;B2848),'Overview - Section A'!E$27:J178,6,0),""))</f>
        <v/>
      </c>
      <c r="J2848" s="384" t="str">
        <f t="shared" ca="1" si="157"/>
        <v/>
      </c>
      <c r="K2848" s="384"/>
      <c r="L2848" s="384"/>
      <c r="M2848" s="388"/>
      <c r="N2848" s="388"/>
      <c r="O2848" s="384"/>
      <c r="P2848" s="388" t="str">
        <f t="shared" ca="1" si="158"/>
        <v/>
      </c>
      <c r="Q2848" s="388"/>
      <c r="R2848" s="388" t="str">
        <f t="shared" ca="1" si="159"/>
        <v/>
      </c>
      <c r="S2848" s="388"/>
      <c r="T2848" s="389"/>
    </row>
    <row r="2849" spans="1:20" x14ac:dyDescent="0.3">
      <c r="A2849" s="384" t="b">
        <f t="shared" ca="1" si="154"/>
        <v>0</v>
      </c>
      <c r="B2849" s="384">
        <f t="shared" si="153"/>
        <v>78</v>
      </c>
      <c r="C2849" s="400" t="str">
        <f ca="1">IF(COUNTA($G$2697:G2848)=1,"",OFFSET(B2849,-COUNTA($G$2697:G2848)+1,1))</f>
        <v>a1NDm000000GuQkMAK</v>
      </c>
      <c r="D2849" s="384" t="str">
        <f t="shared" ca="1" si="155"/>
        <v>INT-341506</v>
      </c>
      <c r="E2849" s="388"/>
      <c r="F2849" s="388" t="str">
        <f t="shared" ca="1" si="156"/>
        <v/>
      </c>
      <c r="G2849" s="401"/>
      <c r="H2849" s="384"/>
      <c r="I2849" s="384" t="str">
        <f ca="1">IFERROR(VLOOKUP(INDIRECT("'WPTM - Section F'!E"&amp;B2849),'Overview - Section A'!M$30:R191,6,0),IFERROR(VLOOKUP(INDIRECT("'WPTM - Section F'!E"&amp;B2849),'Overview - Section A'!E$27:J179,6,0),""))</f>
        <v/>
      </c>
      <c r="J2849" s="384" t="str">
        <f t="shared" ca="1" si="157"/>
        <v/>
      </c>
      <c r="K2849" s="384"/>
      <c r="L2849" s="384"/>
      <c r="M2849" s="388"/>
      <c r="N2849" s="388"/>
      <c r="O2849" s="384"/>
      <c r="P2849" s="388" t="str">
        <f t="shared" ca="1" si="158"/>
        <v/>
      </c>
      <c r="Q2849" s="388"/>
      <c r="R2849" s="388" t="str">
        <f t="shared" ca="1" si="159"/>
        <v/>
      </c>
      <c r="S2849" s="388"/>
      <c r="T2849" s="389"/>
    </row>
    <row r="2850" spans="1:20" x14ac:dyDescent="0.3">
      <c r="A2850" s="384" t="b">
        <f t="shared" ca="1" si="154"/>
        <v>0</v>
      </c>
      <c r="B2850" s="384">
        <f t="shared" si="153"/>
        <v>79</v>
      </c>
      <c r="C2850" s="400" t="str">
        <f ca="1">IF(COUNTA($G$2697:G2849)=1,"",OFFSET(B2850,-COUNTA($G$2697:G2849)+1,1))</f>
        <v>a1NDm000000GuQlMAK</v>
      </c>
      <c r="D2850" s="384" t="str">
        <f t="shared" ca="1" si="155"/>
        <v>INT-341506</v>
      </c>
      <c r="E2850" s="388"/>
      <c r="F2850" s="388" t="str">
        <f t="shared" ca="1" si="156"/>
        <v/>
      </c>
      <c r="G2850" s="401"/>
      <c r="H2850" s="384"/>
      <c r="I2850" s="384" t="str">
        <f ca="1">IFERROR(VLOOKUP(INDIRECT("'WPTM - Section F'!E"&amp;B2850),'Overview - Section A'!M$30:R192,6,0),IFERROR(VLOOKUP(INDIRECT("'WPTM - Section F'!E"&amp;B2850),'Overview - Section A'!E$27:J180,6,0),""))</f>
        <v/>
      </c>
      <c r="J2850" s="384" t="str">
        <f t="shared" ca="1" si="157"/>
        <v/>
      </c>
      <c r="K2850" s="384"/>
      <c r="L2850" s="384"/>
      <c r="M2850" s="388"/>
      <c r="N2850" s="388"/>
      <c r="O2850" s="384"/>
      <c r="P2850" s="388" t="str">
        <f t="shared" ca="1" si="158"/>
        <v/>
      </c>
      <c r="Q2850" s="388"/>
      <c r="R2850" s="388" t="str">
        <f t="shared" ca="1" si="159"/>
        <v/>
      </c>
      <c r="S2850" s="388"/>
      <c r="T2850" s="389"/>
    </row>
    <row r="2851" spans="1:20" x14ac:dyDescent="0.3">
      <c r="A2851" s="384" t="b">
        <f t="shared" ca="1" si="154"/>
        <v>0</v>
      </c>
      <c r="B2851" s="384">
        <f t="shared" si="153"/>
        <v>80</v>
      </c>
      <c r="C2851" s="400" t="str">
        <f ca="1">IF(COUNTA($G$2697:G2850)=1,"",OFFSET(B2851,-COUNTA($G$2697:G2850)+1,1))</f>
        <v>a1NDm000000GuQmMAK</v>
      </c>
      <c r="D2851" s="384" t="str">
        <f t="shared" ca="1" si="155"/>
        <v>INT-341506</v>
      </c>
      <c r="E2851" s="388"/>
      <c r="F2851" s="388" t="str">
        <f t="shared" ca="1" si="156"/>
        <v/>
      </c>
      <c r="G2851" s="401"/>
      <c r="H2851" s="384"/>
      <c r="I2851" s="384" t="str">
        <f ca="1">IFERROR(VLOOKUP(INDIRECT("'WPTM - Section F'!E"&amp;B2851),'Overview - Section A'!M$30:R193,6,0),IFERROR(VLOOKUP(INDIRECT("'WPTM - Section F'!E"&amp;B2851),'Overview - Section A'!E$27:J181,6,0),""))</f>
        <v/>
      </c>
      <c r="J2851" s="384" t="str">
        <f t="shared" ca="1" si="157"/>
        <v/>
      </c>
      <c r="K2851" s="384"/>
      <c r="L2851" s="384"/>
      <c r="M2851" s="388"/>
      <c r="N2851" s="388"/>
      <c r="O2851" s="384"/>
      <c r="P2851" s="388" t="str">
        <f t="shared" ca="1" si="158"/>
        <v/>
      </c>
      <c r="Q2851" s="388"/>
      <c r="R2851" s="388" t="str">
        <f t="shared" ca="1" si="159"/>
        <v/>
      </c>
      <c r="S2851" s="388"/>
      <c r="T2851" s="389"/>
    </row>
    <row r="2852" spans="1:20" x14ac:dyDescent="0.3">
      <c r="A2852" s="384" t="b">
        <f t="shared" ca="1" si="154"/>
        <v>0</v>
      </c>
      <c r="B2852" s="384">
        <f t="shared" si="153"/>
        <v>81</v>
      </c>
      <c r="C2852" s="400" t="str">
        <f ca="1">IF(COUNTA($G$2697:G2851)=1,"",OFFSET(B2852,-COUNTA($G$2697:G2851)+1,1))</f>
        <v>a1NDm000000GuQnMAK</v>
      </c>
      <c r="D2852" s="384" t="str">
        <f t="shared" ca="1" si="155"/>
        <v>INT-341506</v>
      </c>
      <c r="E2852" s="388"/>
      <c r="F2852" s="388" t="str">
        <f t="shared" ca="1" si="156"/>
        <v/>
      </c>
      <c r="G2852" s="401"/>
      <c r="H2852" s="384"/>
      <c r="I2852" s="384" t="str">
        <f ca="1">IFERROR(VLOOKUP(INDIRECT("'WPTM - Section F'!E"&amp;B2852),'Overview - Section A'!M$30:R194,6,0),IFERROR(VLOOKUP(INDIRECT("'WPTM - Section F'!E"&amp;B2852),'Overview - Section A'!E$27:J182,6,0),""))</f>
        <v/>
      </c>
      <c r="J2852" s="384" t="str">
        <f t="shared" ca="1" si="157"/>
        <v/>
      </c>
      <c r="K2852" s="384"/>
      <c r="L2852" s="384"/>
      <c r="M2852" s="388"/>
      <c r="N2852" s="388"/>
      <c r="O2852" s="384"/>
      <c r="P2852" s="388" t="str">
        <f t="shared" ca="1" si="158"/>
        <v/>
      </c>
      <c r="Q2852" s="388"/>
      <c r="R2852" s="388" t="str">
        <f t="shared" ca="1" si="159"/>
        <v/>
      </c>
      <c r="S2852" s="388"/>
      <c r="T2852" s="389"/>
    </row>
    <row r="2853" spans="1:20" x14ac:dyDescent="0.3">
      <c r="A2853" s="384" t="b">
        <f t="shared" ca="1" si="154"/>
        <v>0</v>
      </c>
      <c r="B2853" s="384">
        <f t="shared" si="153"/>
        <v>82</v>
      </c>
      <c r="C2853" s="400" t="str">
        <f ca="1">IF(COUNTA($G$2697:G2852)=1,"",OFFSET(B2853,-COUNTA($G$2697:G2852)+1,1))</f>
        <v>a1NDm000000GuQoMAK</v>
      </c>
      <c r="D2853" s="384" t="str">
        <f t="shared" ca="1" si="155"/>
        <v>INT-341506</v>
      </c>
      <c r="E2853" s="388"/>
      <c r="F2853" s="388" t="str">
        <f t="shared" ca="1" si="156"/>
        <v/>
      </c>
      <c r="G2853" s="401"/>
      <c r="H2853" s="384"/>
      <c r="I2853" s="384" t="str">
        <f ca="1">IFERROR(VLOOKUP(INDIRECT("'WPTM - Section F'!E"&amp;B2853),'Overview - Section A'!M$30:R195,6,0),IFERROR(VLOOKUP(INDIRECT("'WPTM - Section F'!E"&amp;B2853),'Overview - Section A'!E$27:J183,6,0),""))</f>
        <v/>
      </c>
      <c r="J2853" s="384" t="str">
        <f t="shared" ca="1" si="157"/>
        <v/>
      </c>
      <c r="K2853" s="384"/>
      <c r="L2853" s="384"/>
      <c r="M2853" s="388"/>
      <c r="N2853" s="388"/>
      <c r="O2853" s="384"/>
      <c r="P2853" s="388" t="str">
        <f t="shared" ca="1" si="158"/>
        <v/>
      </c>
      <c r="Q2853" s="388"/>
      <c r="R2853" s="388" t="str">
        <f t="shared" ca="1" si="159"/>
        <v/>
      </c>
      <c r="S2853" s="388"/>
      <c r="T2853" s="389"/>
    </row>
    <row r="2854" spans="1:20" x14ac:dyDescent="0.3">
      <c r="A2854" s="384" t="b">
        <f t="shared" ca="1" si="154"/>
        <v>0</v>
      </c>
      <c r="B2854" s="384">
        <f t="shared" si="153"/>
        <v>83</v>
      </c>
      <c r="C2854" s="400" t="str">
        <f ca="1">IF(COUNTA($G$2697:G2853)=1,"",OFFSET(B2854,-COUNTA($G$2697:G2853)+1,1))</f>
        <v>a1NDm000000GuQpMAK</v>
      </c>
      <c r="D2854" s="384" t="str">
        <f t="shared" ca="1" si="155"/>
        <v>INT-341506</v>
      </c>
      <c r="E2854" s="388"/>
      <c r="F2854" s="388" t="str">
        <f t="shared" ca="1" si="156"/>
        <v/>
      </c>
      <c r="G2854" s="401"/>
      <c r="H2854" s="384"/>
      <c r="I2854" s="384" t="str">
        <f ca="1">IFERROR(VLOOKUP(INDIRECT("'WPTM - Section F'!E"&amp;B2854),'Overview - Section A'!M$30:R196,6,0),IFERROR(VLOOKUP(INDIRECT("'WPTM - Section F'!E"&amp;B2854),'Overview - Section A'!E$27:J184,6,0),""))</f>
        <v/>
      </c>
      <c r="J2854" s="384" t="str">
        <f t="shared" ca="1" si="157"/>
        <v/>
      </c>
      <c r="K2854" s="384"/>
      <c r="L2854" s="384"/>
      <c r="M2854" s="388"/>
      <c r="N2854" s="388"/>
      <c r="O2854" s="384"/>
      <c r="P2854" s="388" t="str">
        <f t="shared" ca="1" si="158"/>
        <v/>
      </c>
      <c r="Q2854" s="388"/>
      <c r="R2854" s="388" t="str">
        <f t="shared" ca="1" si="159"/>
        <v/>
      </c>
      <c r="S2854" s="388"/>
      <c r="T2854" s="389"/>
    </row>
    <row r="2855" spans="1:20" x14ac:dyDescent="0.3">
      <c r="A2855" s="384" t="b">
        <f t="shared" ca="1" si="154"/>
        <v>0</v>
      </c>
      <c r="B2855" s="384">
        <f t="shared" si="153"/>
        <v>84</v>
      </c>
      <c r="C2855" s="400" t="str">
        <f ca="1">IF(COUNTA($G$2697:G2854)=1,"",OFFSET(B2855,-COUNTA($G$2697:G2854)+1,1))</f>
        <v>a1NDm000000GuQqMAK</v>
      </c>
      <c r="D2855" s="384" t="str">
        <f t="shared" ca="1" si="155"/>
        <v>INT-341506</v>
      </c>
      <c r="E2855" s="388"/>
      <c r="F2855" s="388" t="str">
        <f t="shared" ca="1" si="156"/>
        <v/>
      </c>
      <c r="G2855" s="401"/>
      <c r="H2855" s="384"/>
      <c r="I2855" s="384" t="str">
        <f ca="1">IFERROR(VLOOKUP(INDIRECT("'WPTM - Section F'!E"&amp;B2855),'Overview - Section A'!M$30:R197,6,0),IFERROR(VLOOKUP(INDIRECT("'WPTM - Section F'!E"&amp;B2855),'Overview - Section A'!E$27:J185,6,0),""))</f>
        <v/>
      </c>
      <c r="J2855" s="384" t="str">
        <f t="shared" ca="1" si="157"/>
        <v/>
      </c>
      <c r="K2855" s="384"/>
      <c r="L2855" s="384"/>
      <c r="M2855" s="388"/>
      <c r="N2855" s="388"/>
      <c r="O2855" s="384"/>
      <c r="P2855" s="388" t="str">
        <f t="shared" ca="1" si="158"/>
        <v/>
      </c>
      <c r="Q2855" s="388"/>
      <c r="R2855" s="388" t="str">
        <f t="shared" ca="1" si="159"/>
        <v/>
      </c>
      <c r="S2855" s="388"/>
      <c r="T2855" s="389"/>
    </row>
    <row r="2856" spans="1:20" x14ac:dyDescent="0.3">
      <c r="A2856" s="384" t="b">
        <f t="shared" ca="1" si="154"/>
        <v>0</v>
      </c>
      <c r="B2856" s="384">
        <f t="shared" si="153"/>
        <v>85</v>
      </c>
      <c r="C2856" s="400" t="str">
        <f ca="1">IF(COUNTA($G$2697:G2855)=1,"",OFFSET(B2856,-COUNTA($G$2697:G2855)+1,1))</f>
        <v>a1NDm000000GuQrMAK</v>
      </c>
      <c r="D2856" s="384" t="str">
        <f t="shared" ca="1" si="155"/>
        <v>INT-341506</v>
      </c>
      <c r="E2856" s="388"/>
      <c r="F2856" s="388" t="str">
        <f t="shared" ca="1" si="156"/>
        <v/>
      </c>
      <c r="G2856" s="401"/>
      <c r="H2856" s="384"/>
      <c r="I2856" s="384" t="str">
        <f ca="1">IFERROR(VLOOKUP(INDIRECT("'WPTM - Section F'!E"&amp;B2856),'Overview - Section A'!M$30:R198,6,0),IFERROR(VLOOKUP(INDIRECT("'WPTM - Section F'!E"&amp;B2856),'Overview - Section A'!E$27:J186,6,0),""))</f>
        <v/>
      </c>
      <c r="J2856" s="384" t="str">
        <f t="shared" ca="1" si="157"/>
        <v/>
      </c>
      <c r="K2856" s="384"/>
      <c r="L2856" s="384"/>
      <c r="M2856" s="388"/>
      <c r="N2856" s="388"/>
      <c r="O2856" s="384"/>
      <c r="P2856" s="388" t="str">
        <f t="shared" ca="1" si="158"/>
        <v/>
      </c>
      <c r="Q2856" s="388"/>
      <c r="R2856" s="388" t="str">
        <f t="shared" ca="1" si="159"/>
        <v/>
      </c>
      <c r="S2856" s="388"/>
      <c r="T2856" s="389"/>
    </row>
    <row r="2857" spans="1:20" x14ac:dyDescent="0.3">
      <c r="A2857" s="384" t="b">
        <f t="shared" ca="1" si="154"/>
        <v>0</v>
      </c>
      <c r="B2857" s="384">
        <f t="shared" si="153"/>
        <v>86</v>
      </c>
      <c r="C2857" s="400" t="str">
        <f ca="1">IF(COUNTA($G$2697:G2856)=1,"",OFFSET(B2857,-COUNTA($G$2697:G2856)+1,1))</f>
        <v>a1NDm000000GuQsMAK</v>
      </c>
      <c r="D2857" s="384" t="str">
        <f t="shared" ca="1" si="155"/>
        <v>INT-341506</v>
      </c>
      <c r="E2857" s="388"/>
      <c r="F2857" s="388" t="str">
        <f t="shared" ca="1" si="156"/>
        <v/>
      </c>
      <c r="G2857" s="401"/>
      <c r="H2857" s="384"/>
      <c r="I2857" s="384" t="str">
        <f ca="1">IFERROR(VLOOKUP(INDIRECT("'WPTM - Section F'!E"&amp;B2857),'Overview - Section A'!M$30:R199,6,0),IFERROR(VLOOKUP(INDIRECT("'WPTM - Section F'!E"&amp;B2857),'Overview - Section A'!E$27:J187,6,0),""))</f>
        <v/>
      </c>
      <c r="J2857" s="384" t="str">
        <f t="shared" ca="1" si="157"/>
        <v/>
      </c>
      <c r="K2857" s="384"/>
      <c r="L2857" s="384"/>
      <c r="M2857" s="388"/>
      <c r="N2857" s="388"/>
      <c r="O2857" s="384"/>
      <c r="P2857" s="388" t="str">
        <f t="shared" ca="1" si="158"/>
        <v/>
      </c>
      <c r="Q2857" s="388"/>
      <c r="R2857" s="388" t="str">
        <f t="shared" ca="1" si="159"/>
        <v/>
      </c>
      <c r="S2857" s="388"/>
      <c r="T2857" s="389"/>
    </row>
    <row r="2858" spans="1:20" x14ac:dyDescent="0.3">
      <c r="A2858" s="384" t="b">
        <f t="shared" ca="1" si="154"/>
        <v>0</v>
      </c>
      <c r="B2858" s="384">
        <f t="shared" si="153"/>
        <v>87</v>
      </c>
      <c r="C2858" s="400" t="str">
        <f ca="1">IF(COUNTA($G$2697:G2857)=1,"",OFFSET(B2858,-COUNTA($G$2697:G2857)+1,1))</f>
        <v>a1NDm000000GuQtMAK</v>
      </c>
      <c r="D2858" s="384" t="str">
        <f t="shared" ca="1" si="155"/>
        <v>INT-341506</v>
      </c>
      <c r="E2858" s="388"/>
      <c r="F2858" s="388" t="str">
        <f t="shared" ca="1" si="156"/>
        <v/>
      </c>
      <c r="G2858" s="401"/>
      <c r="H2858" s="384"/>
      <c r="I2858" s="384" t="str">
        <f ca="1">IFERROR(VLOOKUP(INDIRECT("'WPTM - Section F'!E"&amp;B2858),'Overview - Section A'!M$30:R200,6,0),IFERROR(VLOOKUP(INDIRECT("'WPTM - Section F'!E"&amp;B2858),'Overview - Section A'!E$27:J188,6,0),""))</f>
        <v/>
      </c>
      <c r="J2858" s="384" t="str">
        <f t="shared" ca="1" si="157"/>
        <v/>
      </c>
      <c r="K2858" s="384"/>
      <c r="L2858" s="384"/>
      <c r="M2858" s="388"/>
      <c r="N2858" s="388"/>
      <c r="O2858" s="384"/>
      <c r="P2858" s="388" t="str">
        <f t="shared" ca="1" si="158"/>
        <v/>
      </c>
      <c r="Q2858" s="388"/>
      <c r="R2858" s="388" t="str">
        <f t="shared" ca="1" si="159"/>
        <v/>
      </c>
      <c r="S2858" s="388"/>
      <c r="T2858" s="389"/>
    </row>
    <row r="2859" spans="1:20" x14ac:dyDescent="0.3">
      <c r="A2859" s="384" t="b">
        <f t="shared" ca="1" si="154"/>
        <v>0</v>
      </c>
      <c r="B2859" s="384">
        <f t="shared" si="153"/>
        <v>88</v>
      </c>
      <c r="C2859" s="400" t="str">
        <f ca="1">IF(COUNTA($G$2697:G2858)=1,"",OFFSET(B2859,-COUNTA($G$2697:G2858)+1,1))</f>
        <v>a1NDm000000GuQuMAK</v>
      </c>
      <c r="D2859" s="384" t="str">
        <f t="shared" ca="1" si="155"/>
        <v>INT-341506</v>
      </c>
      <c r="E2859" s="388"/>
      <c r="F2859" s="388" t="str">
        <f t="shared" ca="1" si="156"/>
        <v/>
      </c>
      <c r="G2859" s="401"/>
      <c r="H2859" s="384"/>
      <c r="I2859" s="384" t="str">
        <f ca="1">IFERROR(VLOOKUP(INDIRECT("'WPTM - Section F'!E"&amp;B2859),'Overview - Section A'!M$30:R201,6,0),IFERROR(VLOOKUP(INDIRECT("'WPTM - Section F'!E"&amp;B2859),'Overview - Section A'!E$27:J189,6,0),""))</f>
        <v/>
      </c>
      <c r="J2859" s="384" t="str">
        <f t="shared" ca="1" si="157"/>
        <v/>
      </c>
      <c r="K2859" s="384"/>
      <c r="L2859" s="384"/>
      <c r="M2859" s="388"/>
      <c r="N2859" s="388"/>
      <c r="O2859" s="384"/>
      <c r="P2859" s="388" t="str">
        <f t="shared" ca="1" si="158"/>
        <v/>
      </c>
      <c r="Q2859" s="388"/>
      <c r="R2859" s="388" t="str">
        <f t="shared" ca="1" si="159"/>
        <v/>
      </c>
      <c r="S2859" s="388"/>
      <c r="T2859" s="389"/>
    </row>
    <row r="2860" spans="1:20" x14ac:dyDescent="0.3">
      <c r="J2860" s="383" t="str">
        <f ca="1">IF(ROW()&gt;'Impact Indicator Target Update'!A24,"",INDIRECT("'Impact Indicators - Section B'!A"&amp;'Impact Indicator Target Update'!D24))</f>
        <v/>
      </c>
    </row>
    <row r="2861" spans="1:20" x14ac:dyDescent="0.3">
      <c r="J2861" s="383" t="str">
        <f ca="1">IF(ROW()&gt;'Impact Indicator Target Update'!A25,"",INDIRECT("'Impact Indicators - Section B'!A"&amp;'Impact Indicator Target Update'!D25))</f>
        <v/>
      </c>
    </row>
    <row r="2862" spans="1:20" x14ac:dyDescent="0.3">
      <c r="J2862" s="383" t="str">
        <f ca="1">IF(ROW()&gt;'Impact Indicator Target Update'!A26,"",INDIRECT("'Impact Indicators - Section B'!A"&amp;'Impact Indicator Target Update'!D26))</f>
        <v/>
      </c>
    </row>
    <row r="2863" spans="1:20" x14ac:dyDescent="0.3">
      <c r="A2863" s="382" t="s">
        <v>3889</v>
      </c>
      <c r="J2863" s="383" t="str">
        <f ca="1">IF(ROW()&gt;'Impact Indicator Target Update'!A27,"",INDIRECT("'Impact Indicators - Section B'!A"&amp;'Impact Indicator Target Update'!D27))</f>
        <v/>
      </c>
    </row>
    <row r="2864" spans="1:20" x14ac:dyDescent="0.3">
      <c r="A2864" s="384" t="s">
        <v>325</v>
      </c>
      <c r="B2864" s="384" t="s">
        <v>318</v>
      </c>
      <c r="C2864" s="384" t="s">
        <v>3725</v>
      </c>
      <c r="D2864" s="384">
        <v>-481</v>
      </c>
      <c r="E2864" s="384" t="s">
        <v>2321</v>
      </c>
      <c r="F2864" s="384" t="s">
        <v>774</v>
      </c>
      <c r="G2864" s="384" t="s">
        <v>3890</v>
      </c>
      <c r="H2864" s="384" t="s">
        <v>3723</v>
      </c>
      <c r="I2864" s="384" t="s">
        <v>2276</v>
      </c>
      <c r="J2864" s="383" t="str">
        <f ca="1">IF(ROW()&gt;'Impact Indicator Target Update'!A28,"",INDIRECT("'Impact Indicators - Section B'!A"&amp;'Impact Indicator Target Update'!D28))</f>
        <v/>
      </c>
    </row>
    <row r="2865" spans="1:10" hidden="1" x14ac:dyDescent="0.3">
      <c r="A2865" s="384" t="b">
        <f ca="1">IF(OR(AND(H2865&lt;&gt;"", H2865&lt;&gt;0), AND(I2865&lt;&gt;"",I2865&lt;&gt;0)),TRUE,FALSE)</f>
        <v>0</v>
      </c>
      <c r="B2865" s="384" t="str">
        <f ca="1">IF(COUNTA(G$2863:G2864)=1,"",OFFSET(B2865,-COUNTA(G$2863:G2864)+1,0))</f>
        <v/>
      </c>
      <c r="C2865" s="389" t="str">
        <f ca="1">IF(COUNTA(G$2863:G2864)=1,"",OFFSET(C2865,-COUNTA(G$2863:G2864)+1,0))</f>
        <v/>
      </c>
      <c r="D2865" s="384">
        <f>D2864+1</f>
        <v>-480</v>
      </c>
      <c r="E2865" s="384">
        <f ca="1">COUNTIF(C2695:C2865,C2865)</f>
        <v>9</v>
      </c>
      <c r="F2865" s="384" t="str">
        <f ca="1">IF(C2865=1,9,IF(E2864=MAX(E2863:E2865),F2863+1,F2864))</f>
        <v>row number</v>
      </c>
      <c r="G2865" s="384"/>
      <c r="H2865" s="388">
        <f ca="1">CHOOSE(E2865,IFERROR(IF(INDIRECT("'WPTM - Section F'!H"&amp;F2865)=0,"",INDIRECT("'WPTM - Section F'!H"&amp;$F2865)),""),IFERROR(IF(INDIRECT("'WPTM - Section F'!J"&amp;F2865)=0,"",INDIRECT("'WPTM - Section F'!J"&amp;$F2865)),""),IFERROR(IF(INDIRECT("'WPTM - Section F'!L"&amp;F2865)=0,"",INDIRECT("'WPTM - Section F'!L"&amp;$F2865)),""),IFERROR(IF(INDIRECT("'WPTM - Section F'!N"&amp;F2865)=0,"",INDIRECT("'WPTM - Section F'!N"&amp;$F2865)),""),IFERROR(IF(INDIRECT("'WPTM - Section F'!P"&amp;F2865)=0,"",INDIRECT("'WPTM - Section F'!P"&amp;$F2865)),""),IFERROR(IF(INDIRECT("'WPTM - Section F'!R"&amp;F2865)=0,"",INDIRECT("'WPTM - Section F'!R"&amp;$F2865)),""),IFERROR(IF(INDIRECT("'WPTM - Section F'!T"&amp;F2865)=0,"",INDIRECT("'WPTM - Section F'!T"&amp;$F2865)),""),IFERROR(IF(INDIRECT("'WPTM - Section F'!V"&amp;F2865)=0,"",INDIRECT("'WPTM - Section F'!V"&amp;$F2865)),""),)</f>
        <v>0</v>
      </c>
      <c r="I2865" s="388">
        <f ca="1">CHOOSE(E2865,IFERROR(IF(INDIRECT("'WPTM - Section F'!G"&amp;F2865)=0,"",INDIRECT("'WPTM - Section F'!G"&amp;$F2865)),""),IFERROR(IF(INDIRECT("'WPTM - Section F'!I"&amp;F2865)=0,"",INDIRECT("'WPTM - Section F'!I"&amp;$F2865)),""),IFERROR(IF(INDIRECT("'WPTM - Section F'!K"&amp;F2865)=0,"",INDIRECT("'WPTM - Section F'!K"&amp;$F2865)),""),IFERROR(IF(INDIRECT("'WPTM - Section F'!M"&amp;F2865)=0,"",INDIRECT("'WPTM - Section F'!M"&amp;$F2865)),""),IFERROR(IF(INDIRECT("'WPTM - Section F'!O"&amp;F2865)=0,"",INDIRECT("'WPTM - Section F'!O"&amp;$F2865)),""),IFERROR(IF(INDIRECT("'WPTM - Section F'!Q"&amp;F2865)=0,"",INDIRECT("'WPTM - Section F'!Q"&amp;$F2865)),""),IFERROR(IF(INDIRECT("'WPTM - Section F'!S"&amp;F2865)=0,"",INDIRECT("'WPTM - Section F'!S"&amp;$F2865)),""),IFERROR(IF(INDIRECT("'WPTM - Section F'!U"&amp;F2865)=0,"",INDIRECT("'WPTM - Section F'!U"&amp;$F2865)),""),)</f>
        <v>0</v>
      </c>
      <c r="J2865" s="383" t="str">
        <f ca="1">IF(ROW()&gt;'Impact Indicator Target Update'!A29,"",INDIRECT("'Impact Indicators - Section B'!A"&amp;'Impact Indicator Target Update'!D29))</f>
        <v/>
      </c>
    </row>
    <row r="2866" spans="1:10" x14ac:dyDescent="0.3">
      <c r="A2866" s="384" t="b">
        <v>0</v>
      </c>
      <c r="B2866" s="384" t="s">
        <v>3891</v>
      </c>
      <c r="C2866" s="389">
        <v>1</v>
      </c>
      <c r="D2866" s="384">
        <f t="shared" ref="D2866:D2929" si="160">D2865+1</f>
        <v>-479</v>
      </c>
      <c r="E2866" s="384">
        <f t="shared" ref="E2866:E2929" ca="1" si="161">COUNTIF(C2696:C2866,C2866)</f>
        <v>1</v>
      </c>
      <c r="F2866" s="384">
        <f t="shared" ref="F2866:F2929" si="162">IF(C2866=1,9,IF(E2865=MAX(E2864:E2866),F2864+1,F2865))</f>
        <v>9</v>
      </c>
      <c r="G2866" s="384" t="s">
        <v>3730</v>
      </c>
      <c r="H2866" s="388"/>
      <c r="I2866" s="388"/>
    </row>
    <row r="2867" spans="1:10" x14ac:dyDescent="0.3">
      <c r="A2867" s="384" t="b">
        <v>0</v>
      </c>
      <c r="B2867" s="384" t="s">
        <v>3892</v>
      </c>
      <c r="C2867" s="389">
        <v>1</v>
      </c>
      <c r="D2867" s="384">
        <f t="shared" si="160"/>
        <v>-478</v>
      </c>
      <c r="E2867" s="384">
        <f t="shared" ca="1" si="161"/>
        <v>2</v>
      </c>
      <c r="F2867" s="384">
        <f t="shared" si="162"/>
        <v>9</v>
      </c>
      <c r="G2867" s="384" t="s">
        <v>3730</v>
      </c>
      <c r="H2867" s="388"/>
      <c r="I2867" s="388"/>
    </row>
    <row r="2868" spans="1:10" x14ac:dyDescent="0.3">
      <c r="A2868" s="384" t="b">
        <v>0</v>
      </c>
      <c r="B2868" s="384" t="s">
        <v>3893</v>
      </c>
      <c r="C2868" s="389">
        <v>1</v>
      </c>
      <c r="D2868" s="384">
        <f t="shared" si="160"/>
        <v>-477</v>
      </c>
      <c r="E2868" s="384">
        <f t="shared" ca="1" si="161"/>
        <v>3</v>
      </c>
      <c r="F2868" s="384">
        <f t="shared" si="162"/>
        <v>9</v>
      </c>
      <c r="G2868" s="384" t="s">
        <v>3730</v>
      </c>
      <c r="H2868" s="388"/>
      <c r="I2868" s="388"/>
    </row>
    <row r="2869" spans="1:10" x14ac:dyDescent="0.3">
      <c r="A2869" s="384" t="b">
        <v>0</v>
      </c>
      <c r="B2869" s="384" t="s">
        <v>3894</v>
      </c>
      <c r="C2869" s="389">
        <v>1</v>
      </c>
      <c r="D2869" s="384">
        <f t="shared" si="160"/>
        <v>-476</v>
      </c>
      <c r="E2869" s="384">
        <f t="shared" ca="1" si="161"/>
        <v>4</v>
      </c>
      <c r="F2869" s="384">
        <f t="shared" si="162"/>
        <v>9</v>
      </c>
      <c r="G2869" s="384" t="s">
        <v>3730</v>
      </c>
      <c r="H2869" s="388"/>
      <c r="I2869" s="388"/>
    </row>
    <row r="2870" spans="1:10" x14ac:dyDescent="0.3">
      <c r="A2870" s="384" t="b">
        <v>0</v>
      </c>
      <c r="B2870" s="384" t="s">
        <v>3895</v>
      </c>
      <c r="C2870" s="389">
        <v>1</v>
      </c>
      <c r="D2870" s="384">
        <f t="shared" si="160"/>
        <v>-475</v>
      </c>
      <c r="E2870" s="384">
        <f t="shared" ca="1" si="161"/>
        <v>5</v>
      </c>
      <c r="F2870" s="384">
        <f t="shared" si="162"/>
        <v>9</v>
      </c>
      <c r="G2870" s="384" t="s">
        <v>3730</v>
      </c>
      <c r="H2870" s="388"/>
      <c r="I2870" s="388"/>
    </row>
    <row r="2871" spans="1:10" x14ac:dyDescent="0.3">
      <c r="A2871" s="384" t="b">
        <v>0</v>
      </c>
      <c r="B2871" s="384" t="s">
        <v>3896</v>
      </c>
      <c r="C2871" s="389">
        <v>1</v>
      </c>
      <c r="D2871" s="384">
        <f t="shared" si="160"/>
        <v>-474</v>
      </c>
      <c r="E2871" s="384">
        <f t="shared" ca="1" si="161"/>
        <v>6</v>
      </c>
      <c r="F2871" s="384">
        <f t="shared" si="162"/>
        <v>9</v>
      </c>
      <c r="G2871" s="384" t="s">
        <v>3730</v>
      </c>
      <c r="H2871" s="388"/>
      <c r="I2871" s="388"/>
    </row>
    <row r="2872" spans="1:10" x14ac:dyDescent="0.3">
      <c r="A2872" s="384" t="b">
        <v>0</v>
      </c>
      <c r="B2872" s="384" t="s">
        <v>3897</v>
      </c>
      <c r="C2872" s="389">
        <v>2</v>
      </c>
      <c r="D2872" s="384">
        <f t="shared" si="160"/>
        <v>-473</v>
      </c>
      <c r="E2872" s="384">
        <f t="shared" ca="1" si="161"/>
        <v>1</v>
      </c>
      <c r="F2872" s="384">
        <f t="shared" ca="1" si="162"/>
        <v>10</v>
      </c>
      <c r="G2872" s="384" t="s">
        <v>3732</v>
      </c>
      <c r="H2872" s="388"/>
      <c r="I2872" s="388"/>
    </row>
    <row r="2873" spans="1:10" x14ac:dyDescent="0.3">
      <c r="A2873" s="384" t="b">
        <v>0</v>
      </c>
      <c r="B2873" s="384" t="s">
        <v>3898</v>
      </c>
      <c r="C2873" s="389">
        <v>2</v>
      </c>
      <c r="D2873" s="384">
        <f t="shared" si="160"/>
        <v>-472</v>
      </c>
      <c r="E2873" s="384">
        <f t="shared" ca="1" si="161"/>
        <v>2</v>
      </c>
      <c r="F2873" s="384">
        <f t="shared" ca="1" si="162"/>
        <v>10</v>
      </c>
      <c r="G2873" s="384" t="s">
        <v>3732</v>
      </c>
      <c r="H2873" s="388"/>
      <c r="I2873" s="388"/>
    </row>
    <row r="2874" spans="1:10" x14ac:dyDescent="0.3">
      <c r="A2874" s="384" t="b">
        <v>0</v>
      </c>
      <c r="B2874" s="384" t="s">
        <v>3899</v>
      </c>
      <c r="C2874" s="389">
        <v>2</v>
      </c>
      <c r="D2874" s="384">
        <f t="shared" si="160"/>
        <v>-471</v>
      </c>
      <c r="E2874" s="384">
        <f t="shared" ca="1" si="161"/>
        <v>3</v>
      </c>
      <c r="F2874" s="384">
        <f t="shared" ca="1" si="162"/>
        <v>10</v>
      </c>
      <c r="G2874" s="384" t="s">
        <v>3732</v>
      </c>
      <c r="H2874" s="388"/>
      <c r="I2874" s="388"/>
    </row>
    <row r="2875" spans="1:10" x14ac:dyDescent="0.3">
      <c r="A2875" s="384" t="b">
        <v>0</v>
      </c>
      <c r="B2875" s="384" t="s">
        <v>3900</v>
      </c>
      <c r="C2875" s="389">
        <v>2</v>
      </c>
      <c r="D2875" s="384">
        <f t="shared" si="160"/>
        <v>-470</v>
      </c>
      <c r="E2875" s="384">
        <f t="shared" ca="1" si="161"/>
        <v>4</v>
      </c>
      <c r="F2875" s="384">
        <f t="shared" ca="1" si="162"/>
        <v>10</v>
      </c>
      <c r="G2875" s="384" t="s">
        <v>3732</v>
      </c>
      <c r="H2875" s="388"/>
      <c r="I2875" s="388"/>
    </row>
    <row r="2876" spans="1:10" x14ac:dyDescent="0.3">
      <c r="A2876" s="384" t="b">
        <v>0</v>
      </c>
      <c r="B2876" s="384" t="s">
        <v>3901</v>
      </c>
      <c r="C2876" s="389">
        <v>2</v>
      </c>
      <c r="D2876" s="384">
        <f t="shared" si="160"/>
        <v>-469</v>
      </c>
      <c r="E2876" s="384">
        <f t="shared" ca="1" si="161"/>
        <v>5</v>
      </c>
      <c r="F2876" s="384">
        <f t="shared" ca="1" si="162"/>
        <v>10</v>
      </c>
      <c r="G2876" s="384" t="s">
        <v>3732</v>
      </c>
      <c r="H2876" s="388"/>
      <c r="I2876" s="388"/>
    </row>
    <row r="2877" spans="1:10" x14ac:dyDescent="0.3">
      <c r="A2877" s="384" t="b">
        <v>0</v>
      </c>
      <c r="B2877" s="384" t="s">
        <v>3902</v>
      </c>
      <c r="C2877" s="389">
        <v>2</v>
      </c>
      <c r="D2877" s="384">
        <f t="shared" si="160"/>
        <v>-468</v>
      </c>
      <c r="E2877" s="384">
        <f t="shared" ca="1" si="161"/>
        <v>6</v>
      </c>
      <c r="F2877" s="384">
        <f t="shared" ca="1" si="162"/>
        <v>10</v>
      </c>
      <c r="G2877" s="384" t="s">
        <v>3732</v>
      </c>
      <c r="H2877" s="388"/>
      <c r="I2877" s="388"/>
    </row>
    <row r="2878" spans="1:10" x14ac:dyDescent="0.3">
      <c r="A2878" s="384" t="b">
        <v>0</v>
      </c>
      <c r="B2878" s="384" t="s">
        <v>3903</v>
      </c>
      <c r="C2878" s="389">
        <v>3</v>
      </c>
      <c r="D2878" s="384">
        <f t="shared" si="160"/>
        <v>-467</v>
      </c>
      <c r="E2878" s="384">
        <f t="shared" ca="1" si="161"/>
        <v>1</v>
      </c>
      <c r="F2878" s="384">
        <f t="shared" ca="1" si="162"/>
        <v>11</v>
      </c>
      <c r="G2878" s="384" t="s">
        <v>3734</v>
      </c>
      <c r="H2878" s="388"/>
      <c r="I2878" s="388"/>
    </row>
    <row r="2879" spans="1:10" x14ac:dyDescent="0.3">
      <c r="A2879" s="384" t="b">
        <v>0</v>
      </c>
      <c r="B2879" s="384" t="s">
        <v>3904</v>
      </c>
      <c r="C2879" s="389">
        <v>3</v>
      </c>
      <c r="D2879" s="384">
        <f t="shared" si="160"/>
        <v>-466</v>
      </c>
      <c r="E2879" s="384">
        <f t="shared" ca="1" si="161"/>
        <v>2</v>
      </c>
      <c r="F2879" s="384">
        <f t="shared" ca="1" si="162"/>
        <v>11</v>
      </c>
      <c r="G2879" s="384" t="s">
        <v>3734</v>
      </c>
      <c r="H2879" s="388"/>
      <c r="I2879" s="388"/>
    </row>
    <row r="2880" spans="1:10" x14ac:dyDescent="0.3">
      <c r="A2880" s="384" t="b">
        <v>0</v>
      </c>
      <c r="B2880" s="384" t="s">
        <v>3905</v>
      </c>
      <c r="C2880" s="389">
        <v>3</v>
      </c>
      <c r="D2880" s="384">
        <f t="shared" si="160"/>
        <v>-465</v>
      </c>
      <c r="E2880" s="384">
        <f t="shared" ca="1" si="161"/>
        <v>3</v>
      </c>
      <c r="F2880" s="384">
        <f t="shared" ca="1" si="162"/>
        <v>11</v>
      </c>
      <c r="G2880" s="384" t="s">
        <v>3734</v>
      </c>
      <c r="H2880" s="388"/>
      <c r="I2880" s="388"/>
    </row>
    <row r="2881" spans="1:9" x14ac:dyDescent="0.3">
      <c r="A2881" s="384" t="b">
        <v>0</v>
      </c>
      <c r="B2881" s="384" t="s">
        <v>3906</v>
      </c>
      <c r="C2881" s="389">
        <v>3</v>
      </c>
      <c r="D2881" s="384">
        <f t="shared" si="160"/>
        <v>-464</v>
      </c>
      <c r="E2881" s="384">
        <f t="shared" ca="1" si="161"/>
        <v>4</v>
      </c>
      <c r="F2881" s="384">
        <f t="shared" ca="1" si="162"/>
        <v>11</v>
      </c>
      <c r="G2881" s="384" t="s">
        <v>3734</v>
      </c>
      <c r="H2881" s="388"/>
      <c r="I2881" s="388"/>
    </row>
    <row r="2882" spans="1:9" x14ac:dyDescent="0.3">
      <c r="A2882" s="384" t="b">
        <v>0</v>
      </c>
      <c r="B2882" s="384" t="s">
        <v>3907</v>
      </c>
      <c r="C2882" s="389">
        <v>3</v>
      </c>
      <c r="D2882" s="384">
        <f t="shared" si="160"/>
        <v>-463</v>
      </c>
      <c r="E2882" s="384">
        <f t="shared" ca="1" si="161"/>
        <v>5</v>
      </c>
      <c r="F2882" s="384">
        <f t="shared" ca="1" si="162"/>
        <v>11</v>
      </c>
      <c r="G2882" s="384" t="s">
        <v>3734</v>
      </c>
      <c r="H2882" s="388"/>
      <c r="I2882" s="388"/>
    </row>
    <row r="2883" spans="1:9" x14ac:dyDescent="0.3">
      <c r="A2883" s="384" t="b">
        <v>0</v>
      </c>
      <c r="B2883" s="384" t="s">
        <v>3908</v>
      </c>
      <c r="C2883" s="389">
        <v>3</v>
      </c>
      <c r="D2883" s="384">
        <f t="shared" si="160"/>
        <v>-462</v>
      </c>
      <c r="E2883" s="384">
        <f t="shared" ca="1" si="161"/>
        <v>6</v>
      </c>
      <c r="F2883" s="384">
        <f t="shared" ca="1" si="162"/>
        <v>11</v>
      </c>
      <c r="G2883" s="384" t="s">
        <v>3734</v>
      </c>
      <c r="H2883" s="388"/>
      <c r="I2883" s="388"/>
    </row>
    <row r="2884" spans="1:9" x14ac:dyDescent="0.3">
      <c r="A2884" s="384" t="b">
        <v>0</v>
      </c>
      <c r="B2884" s="384" t="s">
        <v>3909</v>
      </c>
      <c r="C2884" s="389">
        <v>4</v>
      </c>
      <c r="D2884" s="384">
        <f t="shared" si="160"/>
        <v>-461</v>
      </c>
      <c r="E2884" s="384">
        <f t="shared" ca="1" si="161"/>
        <v>1</v>
      </c>
      <c r="F2884" s="384">
        <f t="shared" ca="1" si="162"/>
        <v>12</v>
      </c>
      <c r="G2884" s="384" t="s">
        <v>3736</v>
      </c>
      <c r="H2884" s="388"/>
      <c r="I2884" s="388"/>
    </row>
    <row r="2885" spans="1:9" x14ac:dyDescent="0.3">
      <c r="A2885" s="384" t="b">
        <v>0</v>
      </c>
      <c r="B2885" s="384" t="s">
        <v>3910</v>
      </c>
      <c r="C2885" s="389">
        <v>4</v>
      </c>
      <c r="D2885" s="384">
        <f t="shared" si="160"/>
        <v>-460</v>
      </c>
      <c r="E2885" s="384">
        <f t="shared" ca="1" si="161"/>
        <v>2</v>
      </c>
      <c r="F2885" s="384">
        <f t="shared" ca="1" si="162"/>
        <v>12</v>
      </c>
      <c r="G2885" s="384" t="s">
        <v>3736</v>
      </c>
      <c r="H2885" s="388"/>
      <c r="I2885" s="388"/>
    </row>
    <row r="2886" spans="1:9" x14ac:dyDescent="0.3">
      <c r="A2886" s="384" t="b">
        <v>0</v>
      </c>
      <c r="B2886" s="384" t="s">
        <v>3911</v>
      </c>
      <c r="C2886" s="389">
        <v>4</v>
      </c>
      <c r="D2886" s="384">
        <f t="shared" si="160"/>
        <v>-459</v>
      </c>
      <c r="E2886" s="384">
        <f t="shared" ca="1" si="161"/>
        <v>3</v>
      </c>
      <c r="F2886" s="384">
        <f t="shared" ca="1" si="162"/>
        <v>12</v>
      </c>
      <c r="G2886" s="384" t="s">
        <v>3736</v>
      </c>
      <c r="H2886" s="388"/>
      <c r="I2886" s="388"/>
    </row>
    <row r="2887" spans="1:9" x14ac:dyDescent="0.3">
      <c r="A2887" s="384" t="b">
        <v>0</v>
      </c>
      <c r="B2887" s="384" t="s">
        <v>3912</v>
      </c>
      <c r="C2887" s="389">
        <v>4</v>
      </c>
      <c r="D2887" s="384">
        <f t="shared" si="160"/>
        <v>-458</v>
      </c>
      <c r="E2887" s="384">
        <f t="shared" ca="1" si="161"/>
        <v>4</v>
      </c>
      <c r="F2887" s="384">
        <f t="shared" ca="1" si="162"/>
        <v>12</v>
      </c>
      <c r="G2887" s="384" t="s">
        <v>3736</v>
      </c>
      <c r="H2887" s="388"/>
      <c r="I2887" s="388"/>
    </row>
    <row r="2888" spans="1:9" x14ac:dyDescent="0.3">
      <c r="A2888" s="384" t="b">
        <v>0</v>
      </c>
      <c r="B2888" s="384" t="s">
        <v>3913</v>
      </c>
      <c r="C2888" s="389">
        <v>4</v>
      </c>
      <c r="D2888" s="384">
        <f t="shared" si="160"/>
        <v>-457</v>
      </c>
      <c r="E2888" s="384">
        <f t="shared" ca="1" si="161"/>
        <v>5</v>
      </c>
      <c r="F2888" s="384">
        <f t="shared" ca="1" si="162"/>
        <v>12</v>
      </c>
      <c r="G2888" s="384" t="s">
        <v>3736</v>
      </c>
      <c r="H2888" s="388"/>
      <c r="I2888" s="388"/>
    </row>
    <row r="2889" spans="1:9" x14ac:dyDescent="0.3">
      <c r="A2889" s="384" t="b">
        <v>0</v>
      </c>
      <c r="B2889" s="384" t="s">
        <v>3914</v>
      </c>
      <c r="C2889" s="389">
        <v>4</v>
      </c>
      <c r="D2889" s="384">
        <f t="shared" si="160"/>
        <v>-456</v>
      </c>
      <c r="E2889" s="384">
        <f t="shared" ca="1" si="161"/>
        <v>6</v>
      </c>
      <c r="F2889" s="384">
        <f t="shared" ca="1" si="162"/>
        <v>12</v>
      </c>
      <c r="G2889" s="384" t="s">
        <v>3736</v>
      </c>
      <c r="H2889" s="388"/>
      <c r="I2889" s="388"/>
    </row>
    <row r="2890" spans="1:9" x14ac:dyDescent="0.3">
      <c r="A2890" s="384" t="b">
        <v>0</v>
      </c>
      <c r="B2890" s="384" t="s">
        <v>3915</v>
      </c>
      <c r="C2890" s="389">
        <v>5</v>
      </c>
      <c r="D2890" s="384">
        <f t="shared" si="160"/>
        <v>-455</v>
      </c>
      <c r="E2890" s="384">
        <f t="shared" ca="1" si="161"/>
        <v>1</v>
      </c>
      <c r="F2890" s="384">
        <f t="shared" ca="1" si="162"/>
        <v>13</v>
      </c>
      <c r="G2890" s="384" t="s">
        <v>3738</v>
      </c>
      <c r="H2890" s="388"/>
      <c r="I2890" s="388"/>
    </row>
    <row r="2891" spans="1:9" x14ac:dyDescent="0.3">
      <c r="A2891" s="384" t="b">
        <v>0</v>
      </c>
      <c r="B2891" s="384" t="s">
        <v>3916</v>
      </c>
      <c r="C2891" s="389">
        <v>5</v>
      </c>
      <c r="D2891" s="384">
        <f t="shared" si="160"/>
        <v>-454</v>
      </c>
      <c r="E2891" s="384">
        <f t="shared" ca="1" si="161"/>
        <v>2</v>
      </c>
      <c r="F2891" s="384">
        <f t="shared" ca="1" si="162"/>
        <v>13</v>
      </c>
      <c r="G2891" s="384" t="s">
        <v>3738</v>
      </c>
      <c r="H2891" s="388"/>
      <c r="I2891" s="388"/>
    </row>
    <row r="2892" spans="1:9" x14ac:dyDescent="0.3">
      <c r="A2892" s="384" t="b">
        <v>0</v>
      </c>
      <c r="B2892" s="384" t="s">
        <v>3917</v>
      </c>
      <c r="C2892" s="389">
        <v>5</v>
      </c>
      <c r="D2892" s="384">
        <f t="shared" si="160"/>
        <v>-453</v>
      </c>
      <c r="E2892" s="384">
        <f t="shared" ca="1" si="161"/>
        <v>3</v>
      </c>
      <c r="F2892" s="384">
        <f t="shared" ca="1" si="162"/>
        <v>13</v>
      </c>
      <c r="G2892" s="384" t="s">
        <v>3738</v>
      </c>
      <c r="H2892" s="388"/>
      <c r="I2892" s="388"/>
    </row>
    <row r="2893" spans="1:9" x14ac:dyDescent="0.3">
      <c r="A2893" s="384" t="b">
        <v>0</v>
      </c>
      <c r="B2893" s="384" t="s">
        <v>3918</v>
      </c>
      <c r="C2893" s="389">
        <v>5</v>
      </c>
      <c r="D2893" s="384">
        <f t="shared" si="160"/>
        <v>-452</v>
      </c>
      <c r="E2893" s="384">
        <f t="shared" ca="1" si="161"/>
        <v>4</v>
      </c>
      <c r="F2893" s="384">
        <f t="shared" ca="1" si="162"/>
        <v>13</v>
      </c>
      <c r="G2893" s="384" t="s">
        <v>3738</v>
      </c>
      <c r="H2893" s="388"/>
      <c r="I2893" s="388"/>
    </row>
    <row r="2894" spans="1:9" x14ac:dyDescent="0.3">
      <c r="A2894" s="384" t="b">
        <v>0</v>
      </c>
      <c r="B2894" s="384" t="s">
        <v>3919</v>
      </c>
      <c r="C2894" s="389">
        <v>5</v>
      </c>
      <c r="D2894" s="384">
        <f t="shared" si="160"/>
        <v>-451</v>
      </c>
      <c r="E2894" s="384">
        <f t="shared" ca="1" si="161"/>
        <v>5</v>
      </c>
      <c r="F2894" s="384">
        <f t="shared" ca="1" si="162"/>
        <v>13</v>
      </c>
      <c r="G2894" s="384" t="s">
        <v>3738</v>
      </c>
      <c r="H2894" s="388"/>
      <c r="I2894" s="388"/>
    </row>
    <row r="2895" spans="1:9" x14ac:dyDescent="0.3">
      <c r="A2895" s="384" t="b">
        <v>0</v>
      </c>
      <c r="B2895" s="384" t="s">
        <v>3920</v>
      </c>
      <c r="C2895" s="389">
        <v>5</v>
      </c>
      <c r="D2895" s="384">
        <f t="shared" si="160"/>
        <v>-450</v>
      </c>
      <c r="E2895" s="384">
        <f t="shared" ca="1" si="161"/>
        <v>6</v>
      </c>
      <c r="F2895" s="384">
        <f t="shared" ca="1" si="162"/>
        <v>13</v>
      </c>
      <c r="G2895" s="384" t="s">
        <v>3738</v>
      </c>
      <c r="H2895" s="388"/>
      <c r="I2895" s="388"/>
    </row>
    <row r="2896" spans="1:9" x14ac:dyDescent="0.3">
      <c r="A2896" s="384" t="b">
        <v>0</v>
      </c>
      <c r="B2896" s="384" t="s">
        <v>3921</v>
      </c>
      <c r="C2896" s="389">
        <v>6</v>
      </c>
      <c r="D2896" s="384">
        <f t="shared" si="160"/>
        <v>-449</v>
      </c>
      <c r="E2896" s="384">
        <f t="shared" ca="1" si="161"/>
        <v>1</v>
      </c>
      <c r="F2896" s="384">
        <f t="shared" ca="1" si="162"/>
        <v>14</v>
      </c>
      <c r="G2896" s="384" t="s">
        <v>3740</v>
      </c>
      <c r="H2896" s="388"/>
      <c r="I2896" s="388"/>
    </row>
    <row r="2897" spans="1:9" x14ac:dyDescent="0.3">
      <c r="A2897" s="384" t="b">
        <v>0</v>
      </c>
      <c r="B2897" s="384" t="s">
        <v>3922</v>
      </c>
      <c r="C2897" s="389">
        <v>6</v>
      </c>
      <c r="D2897" s="384">
        <f t="shared" si="160"/>
        <v>-448</v>
      </c>
      <c r="E2897" s="384">
        <f t="shared" ca="1" si="161"/>
        <v>2</v>
      </c>
      <c r="F2897" s="384">
        <f t="shared" ca="1" si="162"/>
        <v>14</v>
      </c>
      <c r="G2897" s="384" t="s">
        <v>3740</v>
      </c>
      <c r="H2897" s="388"/>
      <c r="I2897" s="388"/>
    </row>
    <row r="2898" spans="1:9" x14ac:dyDescent="0.3">
      <c r="A2898" s="384" t="b">
        <v>0</v>
      </c>
      <c r="B2898" s="384" t="s">
        <v>3923</v>
      </c>
      <c r="C2898" s="389">
        <v>6</v>
      </c>
      <c r="D2898" s="384">
        <f t="shared" si="160"/>
        <v>-447</v>
      </c>
      <c r="E2898" s="384">
        <f t="shared" ca="1" si="161"/>
        <v>3</v>
      </c>
      <c r="F2898" s="384">
        <f t="shared" ca="1" si="162"/>
        <v>14</v>
      </c>
      <c r="G2898" s="384" t="s">
        <v>3740</v>
      </c>
      <c r="H2898" s="388"/>
      <c r="I2898" s="388"/>
    </row>
    <row r="2899" spans="1:9" x14ac:dyDescent="0.3">
      <c r="A2899" s="384" t="b">
        <v>0</v>
      </c>
      <c r="B2899" s="384" t="s">
        <v>3924</v>
      </c>
      <c r="C2899" s="389">
        <v>6</v>
      </c>
      <c r="D2899" s="384">
        <f t="shared" si="160"/>
        <v>-446</v>
      </c>
      <c r="E2899" s="384">
        <f t="shared" ca="1" si="161"/>
        <v>4</v>
      </c>
      <c r="F2899" s="384">
        <f t="shared" ca="1" si="162"/>
        <v>14</v>
      </c>
      <c r="G2899" s="384" t="s">
        <v>3740</v>
      </c>
      <c r="H2899" s="388"/>
      <c r="I2899" s="388"/>
    </row>
    <row r="2900" spans="1:9" x14ac:dyDescent="0.3">
      <c r="A2900" s="384" t="b">
        <v>0</v>
      </c>
      <c r="B2900" s="384" t="s">
        <v>3925</v>
      </c>
      <c r="C2900" s="389">
        <v>6</v>
      </c>
      <c r="D2900" s="384">
        <f t="shared" si="160"/>
        <v>-445</v>
      </c>
      <c r="E2900" s="384">
        <f t="shared" ca="1" si="161"/>
        <v>5</v>
      </c>
      <c r="F2900" s="384">
        <f t="shared" ca="1" si="162"/>
        <v>14</v>
      </c>
      <c r="G2900" s="384" t="s">
        <v>3740</v>
      </c>
      <c r="H2900" s="388"/>
      <c r="I2900" s="388"/>
    </row>
    <row r="2901" spans="1:9" x14ac:dyDescent="0.3">
      <c r="A2901" s="384" t="b">
        <v>0</v>
      </c>
      <c r="B2901" s="384" t="s">
        <v>3926</v>
      </c>
      <c r="C2901" s="389">
        <v>6</v>
      </c>
      <c r="D2901" s="384">
        <f t="shared" si="160"/>
        <v>-444</v>
      </c>
      <c r="E2901" s="384">
        <f t="shared" ca="1" si="161"/>
        <v>6</v>
      </c>
      <c r="F2901" s="384">
        <f t="shared" ca="1" si="162"/>
        <v>14</v>
      </c>
      <c r="G2901" s="384" t="s">
        <v>3740</v>
      </c>
      <c r="H2901" s="388"/>
      <c r="I2901" s="388"/>
    </row>
    <row r="2902" spans="1:9" x14ac:dyDescent="0.3">
      <c r="A2902" s="384" t="b">
        <v>0</v>
      </c>
      <c r="B2902" s="384" t="s">
        <v>3927</v>
      </c>
      <c r="C2902" s="389">
        <v>7</v>
      </c>
      <c r="D2902" s="384">
        <f t="shared" si="160"/>
        <v>-443</v>
      </c>
      <c r="E2902" s="384">
        <f t="shared" ca="1" si="161"/>
        <v>1</v>
      </c>
      <c r="F2902" s="384">
        <f t="shared" ca="1" si="162"/>
        <v>15</v>
      </c>
      <c r="G2902" s="384" t="s">
        <v>3742</v>
      </c>
      <c r="H2902" s="388"/>
      <c r="I2902" s="388"/>
    </row>
    <row r="2903" spans="1:9" x14ac:dyDescent="0.3">
      <c r="A2903" s="384" t="b">
        <v>0</v>
      </c>
      <c r="B2903" s="384" t="s">
        <v>3928</v>
      </c>
      <c r="C2903" s="389">
        <v>7</v>
      </c>
      <c r="D2903" s="384">
        <f t="shared" si="160"/>
        <v>-442</v>
      </c>
      <c r="E2903" s="384">
        <f t="shared" ca="1" si="161"/>
        <v>2</v>
      </c>
      <c r="F2903" s="384">
        <f t="shared" ca="1" si="162"/>
        <v>15</v>
      </c>
      <c r="G2903" s="384" t="s">
        <v>3742</v>
      </c>
      <c r="H2903" s="388"/>
      <c r="I2903" s="388"/>
    </row>
    <row r="2904" spans="1:9" x14ac:dyDescent="0.3">
      <c r="A2904" s="384" t="b">
        <v>0</v>
      </c>
      <c r="B2904" s="384" t="s">
        <v>3929</v>
      </c>
      <c r="C2904" s="389">
        <v>7</v>
      </c>
      <c r="D2904" s="384">
        <f t="shared" si="160"/>
        <v>-441</v>
      </c>
      <c r="E2904" s="384">
        <f t="shared" ca="1" si="161"/>
        <v>3</v>
      </c>
      <c r="F2904" s="384">
        <f t="shared" ca="1" si="162"/>
        <v>15</v>
      </c>
      <c r="G2904" s="384" t="s">
        <v>3742</v>
      </c>
      <c r="H2904" s="388"/>
      <c r="I2904" s="388"/>
    </row>
    <row r="2905" spans="1:9" x14ac:dyDescent="0.3">
      <c r="A2905" s="384" t="b">
        <v>0</v>
      </c>
      <c r="B2905" s="384" t="s">
        <v>3930</v>
      </c>
      <c r="C2905" s="389">
        <v>7</v>
      </c>
      <c r="D2905" s="384">
        <f t="shared" si="160"/>
        <v>-440</v>
      </c>
      <c r="E2905" s="384">
        <f t="shared" ca="1" si="161"/>
        <v>4</v>
      </c>
      <c r="F2905" s="384">
        <f t="shared" ca="1" si="162"/>
        <v>15</v>
      </c>
      <c r="G2905" s="384" t="s">
        <v>3742</v>
      </c>
      <c r="H2905" s="388"/>
      <c r="I2905" s="388"/>
    </row>
    <row r="2906" spans="1:9" x14ac:dyDescent="0.3">
      <c r="A2906" s="384" t="b">
        <v>0</v>
      </c>
      <c r="B2906" s="384" t="s">
        <v>3931</v>
      </c>
      <c r="C2906" s="389">
        <v>7</v>
      </c>
      <c r="D2906" s="384">
        <f t="shared" si="160"/>
        <v>-439</v>
      </c>
      <c r="E2906" s="384">
        <f t="shared" ca="1" si="161"/>
        <v>5</v>
      </c>
      <c r="F2906" s="384">
        <f t="shared" ca="1" si="162"/>
        <v>15</v>
      </c>
      <c r="G2906" s="384" t="s">
        <v>3742</v>
      </c>
      <c r="H2906" s="388"/>
      <c r="I2906" s="388"/>
    </row>
    <row r="2907" spans="1:9" x14ac:dyDescent="0.3">
      <c r="A2907" s="384" t="b">
        <v>0</v>
      </c>
      <c r="B2907" s="384" t="s">
        <v>3932</v>
      </c>
      <c r="C2907" s="389">
        <v>7</v>
      </c>
      <c r="D2907" s="384">
        <f t="shared" si="160"/>
        <v>-438</v>
      </c>
      <c r="E2907" s="384">
        <f t="shared" ca="1" si="161"/>
        <v>6</v>
      </c>
      <c r="F2907" s="384">
        <f t="shared" ca="1" si="162"/>
        <v>15</v>
      </c>
      <c r="G2907" s="384" t="s">
        <v>3742</v>
      </c>
      <c r="H2907" s="388"/>
      <c r="I2907" s="388"/>
    </row>
    <row r="2908" spans="1:9" x14ac:dyDescent="0.3">
      <c r="A2908" s="384" t="b">
        <v>0</v>
      </c>
      <c r="B2908" s="384" t="s">
        <v>3933</v>
      </c>
      <c r="C2908" s="389">
        <v>8</v>
      </c>
      <c r="D2908" s="384">
        <f t="shared" si="160"/>
        <v>-437</v>
      </c>
      <c r="E2908" s="384">
        <f t="shared" ca="1" si="161"/>
        <v>1</v>
      </c>
      <c r="F2908" s="384">
        <f t="shared" ca="1" si="162"/>
        <v>16</v>
      </c>
      <c r="G2908" s="384" t="s">
        <v>3744</v>
      </c>
      <c r="H2908" s="388"/>
      <c r="I2908" s="388"/>
    </row>
    <row r="2909" spans="1:9" x14ac:dyDescent="0.3">
      <c r="A2909" s="384" t="b">
        <v>0</v>
      </c>
      <c r="B2909" s="384" t="s">
        <v>3934</v>
      </c>
      <c r="C2909" s="389">
        <v>8</v>
      </c>
      <c r="D2909" s="384">
        <f t="shared" si="160"/>
        <v>-436</v>
      </c>
      <c r="E2909" s="384">
        <f t="shared" ca="1" si="161"/>
        <v>2</v>
      </c>
      <c r="F2909" s="384">
        <f t="shared" ca="1" si="162"/>
        <v>16</v>
      </c>
      <c r="G2909" s="384" t="s">
        <v>3744</v>
      </c>
      <c r="H2909" s="388"/>
      <c r="I2909" s="388"/>
    </row>
    <row r="2910" spans="1:9" x14ac:dyDescent="0.3">
      <c r="A2910" s="384" t="b">
        <v>0</v>
      </c>
      <c r="B2910" s="384" t="s">
        <v>3935</v>
      </c>
      <c r="C2910" s="389">
        <v>8</v>
      </c>
      <c r="D2910" s="384">
        <f t="shared" si="160"/>
        <v>-435</v>
      </c>
      <c r="E2910" s="384">
        <f t="shared" ca="1" si="161"/>
        <v>3</v>
      </c>
      <c r="F2910" s="384">
        <f t="shared" ca="1" si="162"/>
        <v>16</v>
      </c>
      <c r="G2910" s="384" t="s">
        <v>3744</v>
      </c>
      <c r="H2910" s="388"/>
      <c r="I2910" s="388"/>
    </row>
    <row r="2911" spans="1:9" x14ac:dyDescent="0.3">
      <c r="A2911" s="384" t="b">
        <v>0</v>
      </c>
      <c r="B2911" s="384" t="s">
        <v>3936</v>
      </c>
      <c r="C2911" s="389">
        <v>8</v>
      </c>
      <c r="D2911" s="384">
        <f t="shared" si="160"/>
        <v>-434</v>
      </c>
      <c r="E2911" s="384">
        <f t="shared" ca="1" si="161"/>
        <v>4</v>
      </c>
      <c r="F2911" s="384">
        <f t="shared" ca="1" si="162"/>
        <v>16</v>
      </c>
      <c r="G2911" s="384" t="s">
        <v>3744</v>
      </c>
      <c r="H2911" s="388"/>
      <c r="I2911" s="388"/>
    </row>
    <row r="2912" spans="1:9" x14ac:dyDescent="0.3">
      <c r="A2912" s="384" t="b">
        <v>0</v>
      </c>
      <c r="B2912" s="384" t="s">
        <v>3937</v>
      </c>
      <c r="C2912" s="389">
        <v>8</v>
      </c>
      <c r="D2912" s="384">
        <f t="shared" si="160"/>
        <v>-433</v>
      </c>
      <c r="E2912" s="384">
        <f t="shared" ca="1" si="161"/>
        <v>5</v>
      </c>
      <c r="F2912" s="384">
        <f t="shared" ca="1" si="162"/>
        <v>16</v>
      </c>
      <c r="G2912" s="384" t="s">
        <v>3744</v>
      </c>
      <c r="H2912" s="388"/>
      <c r="I2912" s="388"/>
    </row>
    <row r="2913" spans="1:9" x14ac:dyDescent="0.3">
      <c r="A2913" s="384" t="b">
        <v>0</v>
      </c>
      <c r="B2913" s="384" t="s">
        <v>3938</v>
      </c>
      <c r="C2913" s="389">
        <v>8</v>
      </c>
      <c r="D2913" s="384">
        <f t="shared" si="160"/>
        <v>-432</v>
      </c>
      <c r="E2913" s="384">
        <f t="shared" ca="1" si="161"/>
        <v>6</v>
      </c>
      <c r="F2913" s="384">
        <f t="shared" ca="1" si="162"/>
        <v>16</v>
      </c>
      <c r="G2913" s="384" t="s">
        <v>3744</v>
      </c>
      <c r="H2913" s="388"/>
      <c r="I2913" s="388"/>
    </row>
    <row r="2914" spans="1:9" x14ac:dyDescent="0.3">
      <c r="A2914" s="384" t="b">
        <v>0</v>
      </c>
      <c r="B2914" s="384" t="s">
        <v>3939</v>
      </c>
      <c r="C2914" s="389">
        <v>9</v>
      </c>
      <c r="D2914" s="384">
        <f t="shared" si="160"/>
        <v>-431</v>
      </c>
      <c r="E2914" s="384">
        <f t="shared" ca="1" si="161"/>
        <v>1</v>
      </c>
      <c r="F2914" s="384">
        <f t="shared" ca="1" si="162"/>
        <v>17</v>
      </c>
      <c r="G2914" s="384" t="s">
        <v>3746</v>
      </c>
      <c r="H2914" s="388"/>
      <c r="I2914" s="388"/>
    </row>
    <row r="2915" spans="1:9" x14ac:dyDescent="0.3">
      <c r="A2915" s="384" t="b">
        <v>0</v>
      </c>
      <c r="B2915" s="384" t="s">
        <v>3940</v>
      </c>
      <c r="C2915" s="389">
        <v>9</v>
      </c>
      <c r="D2915" s="384">
        <f t="shared" si="160"/>
        <v>-430</v>
      </c>
      <c r="E2915" s="384">
        <f t="shared" ca="1" si="161"/>
        <v>2</v>
      </c>
      <c r="F2915" s="384">
        <f t="shared" ca="1" si="162"/>
        <v>17</v>
      </c>
      <c r="G2915" s="384" t="s">
        <v>3746</v>
      </c>
      <c r="H2915" s="388"/>
      <c r="I2915" s="388"/>
    </row>
    <row r="2916" spans="1:9" x14ac:dyDescent="0.3">
      <c r="A2916" s="384" t="b">
        <v>0</v>
      </c>
      <c r="B2916" s="384" t="s">
        <v>3941</v>
      </c>
      <c r="C2916" s="389">
        <v>9</v>
      </c>
      <c r="D2916" s="384">
        <f t="shared" si="160"/>
        <v>-429</v>
      </c>
      <c r="E2916" s="384">
        <f t="shared" ca="1" si="161"/>
        <v>3</v>
      </c>
      <c r="F2916" s="384">
        <f t="shared" ca="1" si="162"/>
        <v>17</v>
      </c>
      <c r="G2916" s="384" t="s">
        <v>3746</v>
      </c>
      <c r="H2916" s="388"/>
      <c r="I2916" s="388"/>
    </row>
    <row r="2917" spans="1:9" x14ac:dyDescent="0.3">
      <c r="A2917" s="384" t="b">
        <v>0</v>
      </c>
      <c r="B2917" s="384" t="s">
        <v>3942</v>
      </c>
      <c r="C2917" s="389">
        <v>9</v>
      </c>
      <c r="D2917" s="384">
        <f t="shared" si="160"/>
        <v>-428</v>
      </c>
      <c r="E2917" s="384">
        <f t="shared" ca="1" si="161"/>
        <v>4</v>
      </c>
      <c r="F2917" s="384">
        <f t="shared" ca="1" si="162"/>
        <v>17</v>
      </c>
      <c r="G2917" s="384" t="s">
        <v>3746</v>
      </c>
      <c r="H2917" s="388"/>
      <c r="I2917" s="388"/>
    </row>
    <row r="2918" spans="1:9" x14ac:dyDescent="0.3">
      <c r="A2918" s="384" t="b">
        <v>0</v>
      </c>
      <c r="B2918" s="384" t="s">
        <v>3943</v>
      </c>
      <c r="C2918" s="389">
        <v>9</v>
      </c>
      <c r="D2918" s="384">
        <f t="shared" si="160"/>
        <v>-427</v>
      </c>
      <c r="E2918" s="384">
        <f t="shared" ca="1" si="161"/>
        <v>5</v>
      </c>
      <c r="F2918" s="384">
        <f t="shared" ca="1" si="162"/>
        <v>17</v>
      </c>
      <c r="G2918" s="384" t="s">
        <v>3746</v>
      </c>
      <c r="H2918" s="388"/>
      <c r="I2918" s="388"/>
    </row>
    <row r="2919" spans="1:9" x14ac:dyDescent="0.3">
      <c r="A2919" s="384" t="b">
        <v>0</v>
      </c>
      <c r="B2919" s="384" t="s">
        <v>3944</v>
      </c>
      <c r="C2919" s="389">
        <v>9</v>
      </c>
      <c r="D2919" s="384">
        <f t="shared" si="160"/>
        <v>-426</v>
      </c>
      <c r="E2919" s="384">
        <f t="shared" ca="1" si="161"/>
        <v>6</v>
      </c>
      <c r="F2919" s="384">
        <f t="shared" ca="1" si="162"/>
        <v>17</v>
      </c>
      <c r="G2919" s="384" t="s">
        <v>3746</v>
      </c>
      <c r="H2919" s="388"/>
      <c r="I2919" s="388"/>
    </row>
    <row r="2920" spans="1:9" x14ac:dyDescent="0.3">
      <c r="A2920" s="384" t="b">
        <v>0</v>
      </c>
      <c r="B2920" s="384" t="s">
        <v>3945</v>
      </c>
      <c r="C2920" s="389">
        <v>10</v>
      </c>
      <c r="D2920" s="384">
        <f t="shared" si="160"/>
        <v>-425</v>
      </c>
      <c r="E2920" s="384">
        <f t="shared" ca="1" si="161"/>
        <v>1</v>
      </c>
      <c r="F2920" s="384">
        <f t="shared" ca="1" si="162"/>
        <v>18</v>
      </c>
      <c r="G2920" s="384" t="s">
        <v>3748</v>
      </c>
      <c r="H2920" s="388"/>
      <c r="I2920" s="388"/>
    </row>
    <row r="2921" spans="1:9" x14ac:dyDescent="0.3">
      <c r="A2921" s="384" t="b">
        <v>0</v>
      </c>
      <c r="B2921" s="384" t="s">
        <v>3946</v>
      </c>
      <c r="C2921" s="389">
        <v>10</v>
      </c>
      <c r="D2921" s="384">
        <f t="shared" si="160"/>
        <v>-424</v>
      </c>
      <c r="E2921" s="384">
        <f t="shared" ca="1" si="161"/>
        <v>2</v>
      </c>
      <c r="F2921" s="384">
        <f t="shared" ca="1" si="162"/>
        <v>18</v>
      </c>
      <c r="G2921" s="384" t="s">
        <v>3748</v>
      </c>
      <c r="H2921" s="388"/>
      <c r="I2921" s="388"/>
    </row>
    <row r="2922" spans="1:9" x14ac:dyDescent="0.3">
      <c r="A2922" s="384" t="b">
        <v>0</v>
      </c>
      <c r="B2922" s="384" t="s">
        <v>3947</v>
      </c>
      <c r="C2922" s="389">
        <v>10</v>
      </c>
      <c r="D2922" s="384">
        <f t="shared" si="160"/>
        <v>-423</v>
      </c>
      <c r="E2922" s="384">
        <f t="shared" ca="1" si="161"/>
        <v>3</v>
      </c>
      <c r="F2922" s="384">
        <f t="shared" ca="1" si="162"/>
        <v>18</v>
      </c>
      <c r="G2922" s="384" t="s">
        <v>3748</v>
      </c>
      <c r="H2922" s="388"/>
      <c r="I2922" s="388"/>
    </row>
    <row r="2923" spans="1:9" x14ac:dyDescent="0.3">
      <c r="A2923" s="384" t="b">
        <v>0</v>
      </c>
      <c r="B2923" s="384" t="s">
        <v>3948</v>
      </c>
      <c r="C2923" s="389">
        <v>10</v>
      </c>
      <c r="D2923" s="384">
        <f t="shared" si="160"/>
        <v>-422</v>
      </c>
      <c r="E2923" s="384">
        <f t="shared" ca="1" si="161"/>
        <v>4</v>
      </c>
      <c r="F2923" s="384">
        <f t="shared" ca="1" si="162"/>
        <v>18</v>
      </c>
      <c r="G2923" s="384" t="s">
        <v>3748</v>
      </c>
      <c r="H2923" s="388"/>
      <c r="I2923" s="388"/>
    </row>
    <row r="2924" spans="1:9" x14ac:dyDescent="0.3">
      <c r="A2924" s="384" t="b">
        <v>0</v>
      </c>
      <c r="B2924" s="384" t="s">
        <v>3949</v>
      </c>
      <c r="C2924" s="389">
        <v>10</v>
      </c>
      <c r="D2924" s="384">
        <f t="shared" si="160"/>
        <v>-421</v>
      </c>
      <c r="E2924" s="384">
        <f t="shared" ca="1" si="161"/>
        <v>5</v>
      </c>
      <c r="F2924" s="384">
        <f t="shared" ca="1" si="162"/>
        <v>18</v>
      </c>
      <c r="G2924" s="384" t="s">
        <v>3748</v>
      </c>
      <c r="H2924" s="388"/>
      <c r="I2924" s="388"/>
    </row>
    <row r="2925" spans="1:9" x14ac:dyDescent="0.3">
      <c r="A2925" s="384" t="b">
        <v>0</v>
      </c>
      <c r="B2925" s="384" t="s">
        <v>3950</v>
      </c>
      <c r="C2925" s="389">
        <v>10</v>
      </c>
      <c r="D2925" s="384">
        <f t="shared" si="160"/>
        <v>-420</v>
      </c>
      <c r="E2925" s="384">
        <f t="shared" ca="1" si="161"/>
        <v>6</v>
      </c>
      <c r="F2925" s="384">
        <f t="shared" ca="1" si="162"/>
        <v>18</v>
      </c>
      <c r="G2925" s="384" t="s">
        <v>3748</v>
      </c>
      <c r="H2925" s="388"/>
      <c r="I2925" s="388"/>
    </row>
    <row r="2926" spans="1:9" x14ac:dyDescent="0.3">
      <c r="A2926" s="384" t="b">
        <v>0</v>
      </c>
      <c r="B2926" s="384" t="s">
        <v>3951</v>
      </c>
      <c r="C2926" s="389">
        <v>11</v>
      </c>
      <c r="D2926" s="384">
        <f t="shared" si="160"/>
        <v>-419</v>
      </c>
      <c r="E2926" s="384">
        <f t="shared" ca="1" si="161"/>
        <v>1</v>
      </c>
      <c r="F2926" s="384">
        <f t="shared" ca="1" si="162"/>
        <v>19</v>
      </c>
      <c r="G2926" s="384" t="s">
        <v>3750</v>
      </c>
      <c r="H2926" s="388"/>
      <c r="I2926" s="388"/>
    </row>
    <row r="2927" spans="1:9" x14ac:dyDescent="0.3">
      <c r="A2927" s="384" t="b">
        <v>0</v>
      </c>
      <c r="B2927" s="384" t="s">
        <v>3952</v>
      </c>
      <c r="C2927" s="389">
        <v>11</v>
      </c>
      <c r="D2927" s="384">
        <f t="shared" si="160"/>
        <v>-418</v>
      </c>
      <c r="E2927" s="384">
        <f t="shared" ca="1" si="161"/>
        <v>2</v>
      </c>
      <c r="F2927" s="384">
        <f t="shared" ca="1" si="162"/>
        <v>19</v>
      </c>
      <c r="G2927" s="384" t="s">
        <v>3750</v>
      </c>
      <c r="H2927" s="388"/>
      <c r="I2927" s="388"/>
    </row>
    <row r="2928" spans="1:9" x14ac:dyDescent="0.3">
      <c r="A2928" s="384" t="b">
        <v>0</v>
      </c>
      <c r="B2928" s="384" t="s">
        <v>3953</v>
      </c>
      <c r="C2928" s="389">
        <v>11</v>
      </c>
      <c r="D2928" s="384">
        <f t="shared" si="160"/>
        <v>-417</v>
      </c>
      <c r="E2928" s="384">
        <f t="shared" ca="1" si="161"/>
        <v>3</v>
      </c>
      <c r="F2928" s="384">
        <f t="shared" ca="1" si="162"/>
        <v>19</v>
      </c>
      <c r="G2928" s="384" t="s">
        <v>3750</v>
      </c>
      <c r="H2928" s="388"/>
      <c r="I2928" s="388"/>
    </row>
    <row r="2929" spans="1:9" x14ac:dyDescent="0.3">
      <c r="A2929" s="384" t="b">
        <v>0</v>
      </c>
      <c r="B2929" s="384" t="s">
        <v>3954</v>
      </c>
      <c r="C2929" s="389">
        <v>11</v>
      </c>
      <c r="D2929" s="384">
        <f t="shared" si="160"/>
        <v>-416</v>
      </c>
      <c r="E2929" s="384">
        <f t="shared" ca="1" si="161"/>
        <v>4</v>
      </c>
      <c r="F2929" s="384">
        <f t="shared" ca="1" si="162"/>
        <v>19</v>
      </c>
      <c r="G2929" s="384" t="s">
        <v>3750</v>
      </c>
      <c r="H2929" s="388"/>
      <c r="I2929" s="388"/>
    </row>
    <row r="2930" spans="1:9" x14ac:dyDescent="0.3">
      <c r="A2930" s="384" t="b">
        <v>0</v>
      </c>
      <c r="B2930" s="384" t="s">
        <v>3955</v>
      </c>
      <c r="C2930" s="389">
        <v>11</v>
      </c>
      <c r="D2930" s="384">
        <f t="shared" ref="D2930:D2993" si="163">D2929+1</f>
        <v>-415</v>
      </c>
      <c r="E2930" s="384">
        <f t="shared" ref="E2930:E2993" ca="1" si="164">COUNTIF(C2760:C2930,C2930)</f>
        <v>5</v>
      </c>
      <c r="F2930" s="384">
        <f t="shared" ref="F2930:F2993" ca="1" si="165">IF(C2930=1,9,IF(E2929=MAX(E2928:E2930),F2928+1,F2929))</f>
        <v>19</v>
      </c>
      <c r="G2930" s="384" t="s">
        <v>3750</v>
      </c>
      <c r="H2930" s="388"/>
      <c r="I2930" s="388"/>
    </row>
    <row r="2931" spans="1:9" x14ac:dyDescent="0.3">
      <c r="A2931" s="384" t="b">
        <v>0</v>
      </c>
      <c r="B2931" s="384" t="s">
        <v>3956</v>
      </c>
      <c r="C2931" s="389">
        <v>11</v>
      </c>
      <c r="D2931" s="384">
        <f t="shared" si="163"/>
        <v>-414</v>
      </c>
      <c r="E2931" s="384">
        <f t="shared" ca="1" si="164"/>
        <v>6</v>
      </c>
      <c r="F2931" s="384">
        <f t="shared" ca="1" si="165"/>
        <v>19</v>
      </c>
      <c r="G2931" s="384" t="s">
        <v>3750</v>
      </c>
      <c r="H2931" s="388"/>
      <c r="I2931" s="388"/>
    </row>
    <row r="2932" spans="1:9" x14ac:dyDescent="0.3">
      <c r="A2932" s="384" t="b">
        <v>0</v>
      </c>
      <c r="B2932" s="384" t="s">
        <v>3957</v>
      </c>
      <c r="C2932" s="389">
        <v>12</v>
      </c>
      <c r="D2932" s="384">
        <f t="shared" si="163"/>
        <v>-413</v>
      </c>
      <c r="E2932" s="384">
        <f t="shared" ca="1" si="164"/>
        <v>1</v>
      </c>
      <c r="F2932" s="384">
        <f t="shared" ca="1" si="165"/>
        <v>20</v>
      </c>
      <c r="G2932" s="384" t="s">
        <v>3752</v>
      </c>
      <c r="H2932" s="388"/>
      <c r="I2932" s="388"/>
    </row>
    <row r="2933" spans="1:9" x14ac:dyDescent="0.3">
      <c r="A2933" s="384" t="b">
        <v>0</v>
      </c>
      <c r="B2933" s="384" t="s">
        <v>3958</v>
      </c>
      <c r="C2933" s="389">
        <v>12</v>
      </c>
      <c r="D2933" s="384">
        <f t="shared" si="163"/>
        <v>-412</v>
      </c>
      <c r="E2933" s="384">
        <f t="shared" ca="1" si="164"/>
        <v>2</v>
      </c>
      <c r="F2933" s="384">
        <f t="shared" ca="1" si="165"/>
        <v>20</v>
      </c>
      <c r="G2933" s="384" t="s">
        <v>3752</v>
      </c>
      <c r="H2933" s="388"/>
      <c r="I2933" s="388"/>
    </row>
    <row r="2934" spans="1:9" x14ac:dyDescent="0.3">
      <c r="A2934" s="384" t="b">
        <v>0</v>
      </c>
      <c r="B2934" s="384" t="s">
        <v>3959</v>
      </c>
      <c r="C2934" s="389">
        <v>12</v>
      </c>
      <c r="D2934" s="384">
        <f t="shared" si="163"/>
        <v>-411</v>
      </c>
      <c r="E2934" s="384">
        <f t="shared" ca="1" si="164"/>
        <v>3</v>
      </c>
      <c r="F2934" s="384">
        <f t="shared" ca="1" si="165"/>
        <v>20</v>
      </c>
      <c r="G2934" s="384" t="s">
        <v>3752</v>
      </c>
      <c r="H2934" s="388"/>
      <c r="I2934" s="388"/>
    </row>
    <row r="2935" spans="1:9" x14ac:dyDescent="0.3">
      <c r="A2935" s="384" t="b">
        <v>0</v>
      </c>
      <c r="B2935" s="384" t="s">
        <v>3960</v>
      </c>
      <c r="C2935" s="389">
        <v>12</v>
      </c>
      <c r="D2935" s="384">
        <f t="shared" si="163"/>
        <v>-410</v>
      </c>
      <c r="E2935" s="384">
        <f t="shared" ca="1" si="164"/>
        <v>4</v>
      </c>
      <c r="F2935" s="384">
        <f t="shared" ca="1" si="165"/>
        <v>20</v>
      </c>
      <c r="G2935" s="384" t="s">
        <v>3752</v>
      </c>
      <c r="H2935" s="388"/>
      <c r="I2935" s="388"/>
    </row>
    <row r="2936" spans="1:9" x14ac:dyDescent="0.3">
      <c r="A2936" s="384" t="b">
        <v>0</v>
      </c>
      <c r="B2936" s="384" t="s">
        <v>3961</v>
      </c>
      <c r="C2936" s="389">
        <v>12</v>
      </c>
      <c r="D2936" s="384">
        <f t="shared" si="163"/>
        <v>-409</v>
      </c>
      <c r="E2936" s="384">
        <f t="shared" ca="1" si="164"/>
        <v>5</v>
      </c>
      <c r="F2936" s="384">
        <f t="shared" ca="1" si="165"/>
        <v>20</v>
      </c>
      <c r="G2936" s="384" t="s">
        <v>3752</v>
      </c>
      <c r="H2936" s="388"/>
      <c r="I2936" s="388"/>
    </row>
    <row r="2937" spans="1:9" x14ac:dyDescent="0.3">
      <c r="A2937" s="384" t="b">
        <v>0</v>
      </c>
      <c r="B2937" s="384" t="s">
        <v>3962</v>
      </c>
      <c r="C2937" s="389">
        <v>12</v>
      </c>
      <c r="D2937" s="384">
        <f t="shared" si="163"/>
        <v>-408</v>
      </c>
      <c r="E2937" s="384">
        <f t="shared" ca="1" si="164"/>
        <v>6</v>
      </c>
      <c r="F2937" s="384">
        <f t="shared" ca="1" si="165"/>
        <v>20</v>
      </c>
      <c r="G2937" s="384" t="s">
        <v>3752</v>
      </c>
      <c r="H2937" s="388"/>
      <c r="I2937" s="388"/>
    </row>
    <row r="2938" spans="1:9" x14ac:dyDescent="0.3">
      <c r="A2938" s="384" t="b">
        <v>0</v>
      </c>
      <c r="B2938" s="384" t="s">
        <v>3963</v>
      </c>
      <c r="C2938" s="389">
        <v>13</v>
      </c>
      <c r="D2938" s="384">
        <f t="shared" si="163"/>
        <v>-407</v>
      </c>
      <c r="E2938" s="384">
        <f t="shared" ca="1" si="164"/>
        <v>1</v>
      </c>
      <c r="F2938" s="384">
        <f t="shared" ca="1" si="165"/>
        <v>21</v>
      </c>
      <c r="G2938" s="384" t="s">
        <v>3754</v>
      </c>
      <c r="H2938" s="388"/>
      <c r="I2938" s="388"/>
    </row>
    <row r="2939" spans="1:9" x14ac:dyDescent="0.3">
      <c r="A2939" s="384" t="b">
        <v>0</v>
      </c>
      <c r="B2939" s="384" t="s">
        <v>3964</v>
      </c>
      <c r="C2939" s="389">
        <v>13</v>
      </c>
      <c r="D2939" s="384">
        <f t="shared" si="163"/>
        <v>-406</v>
      </c>
      <c r="E2939" s="384">
        <f t="shared" ca="1" si="164"/>
        <v>2</v>
      </c>
      <c r="F2939" s="384">
        <f t="shared" ca="1" si="165"/>
        <v>21</v>
      </c>
      <c r="G2939" s="384" t="s">
        <v>3754</v>
      </c>
      <c r="H2939" s="388"/>
      <c r="I2939" s="388"/>
    </row>
    <row r="2940" spans="1:9" x14ac:dyDescent="0.3">
      <c r="A2940" s="384" t="b">
        <v>0</v>
      </c>
      <c r="B2940" s="384" t="s">
        <v>3965</v>
      </c>
      <c r="C2940" s="389">
        <v>13</v>
      </c>
      <c r="D2940" s="384">
        <f t="shared" si="163"/>
        <v>-405</v>
      </c>
      <c r="E2940" s="384">
        <f t="shared" ca="1" si="164"/>
        <v>3</v>
      </c>
      <c r="F2940" s="384">
        <f t="shared" ca="1" si="165"/>
        <v>21</v>
      </c>
      <c r="G2940" s="384" t="s">
        <v>3754</v>
      </c>
      <c r="H2940" s="388"/>
      <c r="I2940" s="388"/>
    </row>
    <row r="2941" spans="1:9" x14ac:dyDescent="0.3">
      <c r="A2941" s="384" t="b">
        <v>0</v>
      </c>
      <c r="B2941" s="384" t="s">
        <v>3966</v>
      </c>
      <c r="C2941" s="389">
        <v>13</v>
      </c>
      <c r="D2941" s="384">
        <f t="shared" si="163"/>
        <v>-404</v>
      </c>
      <c r="E2941" s="384">
        <f t="shared" ca="1" si="164"/>
        <v>4</v>
      </c>
      <c r="F2941" s="384">
        <f t="shared" ca="1" si="165"/>
        <v>21</v>
      </c>
      <c r="G2941" s="384" t="s">
        <v>3754</v>
      </c>
      <c r="H2941" s="388"/>
      <c r="I2941" s="388"/>
    </row>
    <row r="2942" spans="1:9" x14ac:dyDescent="0.3">
      <c r="A2942" s="384" t="b">
        <v>0</v>
      </c>
      <c r="B2942" s="384" t="s">
        <v>3967</v>
      </c>
      <c r="C2942" s="389">
        <v>13</v>
      </c>
      <c r="D2942" s="384">
        <f t="shared" si="163"/>
        <v>-403</v>
      </c>
      <c r="E2942" s="384">
        <f t="shared" ca="1" si="164"/>
        <v>5</v>
      </c>
      <c r="F2942" s="384">
        <f t="shared" ca="1" si="165"/>
        <v>21</v>
      </c>
      <c r="G2942" s="384" t="s">
        <v>3754</v>
      </c>
      <c r="H2942" s="388"/>
      <c r="I2942" s="388"/>
    </row>
    <row r="2943" spans="1:9" x14ac:dyDescent="0.3">
      <c r="A2943" s="384" t="b">
        <v>0</v>
      </c>
      <c r="B2943" s="384" t="s">
        <v>3968</v>
      </c>
      <c r="C2943" s="389">
        <v>13</v>
      </c>
      <c r="D2943" s="384">
        <f t="shared" si="163"/>
        <v>-402</v>
      </c>
      <c r="E2943" s="384">
        <f t="shared" ca="1" si="164"/>
        <v>6</v>
      </c>
      <c r="F2943" s="384">
        <f t="shared" ca="1" si="165"/>
        <v>21</v>
      </c>
      <c r="G2943" s="384" t="s">
        <v>3754</v>
      </c>
      <c r="H2943" s="388"/>
      <c r="I2943" s="388"/>
    </row>
    <row r="2944" spans="1:9" x14ac:dyDescent="0.3">
      <c r="A2944" s="384" t="b">
        <v>0</v>
      </c>
      <c r="B2944" s="384" t="s">
        <v>3969</v>
      </c>
      <c r="C2944" s="389">
        <v>14</v>
      </c>
      <c r="D2944" s="384">
        <f t="shared" si="163"/>
        <v>-401</v>
      </c>
      <c r="E2944" s="384">
        <f t="shared" ca="1" si="164"/>
        <v>1</v>
      </c>
      <c r="F2944" s="384">
        <f t="shared" ca="1" si="165"/>
        <v>22</v>
      </c>
      <c r="G2944" s="384" t="s">
        <v>3756</v>
      </c>
      <c r="H2944" s="388"/>
      <c r="I2944" s="388"/>
    </row>
    <row r="2945" spans="1:9" x14ac:dyDescent="0.3">
      <c r="A2945" s="384" t="b">
        <v>0</v>
      </c>
      <c r="B2945" s="384" t="s">
        <v>3970</v>
      </c>
      <c r="C2945" s="389">
        <v>14</v>
      </c>
      <c r="D2945" s="384">
        <f t="shared" si="163"/>
        <v>-400</v>
      </c>
      <c r="E2945" s="384">
        <f t="shared" ca="1" si="164"/>
        <v>2</v>
      </c>
      <c r="F2945" s="384">
        <f t="shared" ca="1" si="165"/>
        <v>22</v>
      </c>
      <c r="G2945" s="384" t="s">
        <v>3756</v>
      </c>
      <c r="H2945" s="388"/>
      <c r="I2945" s="388"/>
    </row>
    <row r="2946" spans="1:9" x14ac:dyDescent="0.3">
      <c r="A2946" s="384" t="b">
        <v>0</v>
      </c>
      <c r="B2946" s="384" t="s">
        <v>3971</v>
      </c>
      <c r="C2946" s="389">
        <v>14</v>
      </c>
      <c r="D2946" s="384">
        <f t="shared" si="163"/>
        <v>-399</v>
      </c>
      <c r="E2946" s="384">
        <f t="shared" ca="1" si="164"/>
        <v>3</v>
      </c>
      <c r="F2946" s="384">
        <f t="shared" ca="1" si="165"/>
        <v>22</v>
      </c>
      <c r="G2946" s="384" t="s">
        <v>3756</v>
      </c>
      <c r="H2946" s="388"/>
      <c r="I2946" s="388"/>
    </row>
    <row r="2947" spans="1:9" x14ac:dyDescent="0.3">
      <c r="A2947" s="384" t="b">
        <v>0</v>
      </c>
      <c r="B2947" s="384" t="s">
        <v>3972</v>
      </c>
      <c r="C2947" s="389">
        <v>14</v>
      </c>
      <c r="D2947" s="384">
        <f t="shared" si="163"/>
        <v>-398</v>
      </c>
      <c r="E2947" s="384">
        <f t="shared" ca="1" si="164"/>
        <v>4</v>
      </c>
      <c r="F2947" s="384">
        <f t="shared" ca="1" si="165"/>
        <v>22</v>
      </c>
      <c r="G2947" s="384" t="s">
        <v>3756</v>
      </c>
      <c r="H2947" s="388"/>
      <c r="I2947" s="388"/>
    </row>
    <row r="2948" spans="1:9" x14ac:dyDescent="0.3">
      <c r="A2948" s="384" t="b">
        <v>0</v>
      </c>
      <c r="B2948" s="384" t="s">
        <v>3973</v>
      </c>
      <c r="C2948" s="389">
        <v>14</v>
      </c>
      <c r="D2948" s="384">
        <f t="shared" si="163"/>
        <v>-397</v>
      </c>
      <c r="E2948" s="384">
        <f t="shared" ca="1" si="164"/>
        <v>5</v>
      </c>
      <c r="F2948" s="384">
        <f t="shared" ca="1" si="165"/>
        <v>22</v>
      </c>
      <c r="G2948" s="384" t="s">
        <v>3756</v>
      </c>
      <c r="H2948" s="388"/>
      <c r="I2948" s="388"/>
    </row>
    <row r="2949" spans="1:9" x14ac:dyDescent="0.3">
      <c r="A2949" s="384" t="b">
        <v>0</v>
      </c>
      <c r="B2949" s="384" t="s">
        <v>3974</v>
      </c>
      <c r="C2949" s="389">
        <v>14</v>
      </c>
      <c r="D2949" s="384">
        <f t="shared" si="163"/>
        <v>-396</v>
      </c>
      <c r="E2949" s="384">
        <f t="shared" ca="1" si="164"/>
        <v>6</v>
      </c>
      <c r="F2949" s="384">
        <f t="shared" ca="1" si="165"/>
        <v>22</v>
      </c>
      <c r="G2949" s="384" t="s">
        <v>3756</v>
      </c>
      <c r="H2949" s="388"/>
      <c r="I2949" s="388"/>
    </row>
    <row r="2950" spans="1:9" x14ac:dyDescent="0.3">
      <c r="A2950" s="384" t="b">
        <v>0</v>
      </c>
      <c r="B2950" s="384" t="s">
        <v>3975</v>
      </c>
      <c r="C2950" s="389">
        <v>15</v>
      </c>
      <c r="D2950" s="384">
        <f t="shared" si="163"/>
        <v>-395</v>
      </c>
      <c r="E2950" s="384">
        <f t="shared" ca="1" si="164"/>
        <v>1</v>
      </c>
      <c r="F2950" s="384">
        <f t="shared" ca="1" si="165"/>
        <v>23</v>
      </c>
      <c r="G2950" s="384" t="s">
        <v>3758</v>
      </c>
      <c r="H2950" s="388"/>
      <c r="I2950" s="388"/>
    </row>
    <row r="2951" spans="1:9" x14ac:dyDescent="0.3">
      <c r="A2951" s="384" t="b">
        <v>0</v>
      </c>
      <c r="B2951" s="384" t="s">
        <v>3976</v>
      </c>
      <c r="C2951" s="389">
        <v>15</v>
      </c>
      <c r="D2951" s="384">
        <f t="shared" si="163"/>
        <v>-394</v>
      </c>
      <c r="E2951" s="384">
        <f t="shared" ca="1" si="164"/>
        <v>2</v>
      </c>
      <c r="F2951" s="384">
        <f t="shared" ca="1" si="165"/>
        <v>23</v>
      </c>
      <c r="G2951" s="384" t="s">
        <v>3758</v>
      </c>
      <c r="H2951" s="388"/>
      <c r="I2951" s="388"/>
    </row>
    <row r="2952" spans="1:9" x14ac:dyDescent="0.3">
      <c r="A2952" s="384" t="b">
        <v>0</v>
      </c>
      <c r="B2952" s="384" t="s">
        <v>3977</v>
      </c>
      <c r="C2952" s="389">
        <v>15</v>
      </c>
      <c r="D2952" s="384">
        <f t="shared" si="163"/>
        <v>-393</v>
      </c>
      <c r="E2952" s="384">
        <f t="shared" ca="1" si="164"/>
        <v>3</v>
      </c>
      <c r="F2952" s="384">
        <f t="shared" ca="1" si="165"/>
        <v>23</v>
      </c>
      <c r="G2952" s="384" t="s">
        <v>3758</v>
      </c>
      <c r="H2952" s="388"/>
      <c r="I2952" s="388"/>
    </row>
    <row r="2953" spans="1:9" x14ac:dyDescent="0.3">
      <c r="A2953" s="384" t="b">
        <v>0</v>
      </c>
      <c r="B2953" s="384" t="s">
        <v>3978</v>
      </c>
      <c r="C2953" s="389">
        <v>15</v>
      </c>
      <c r="D2953" s="384">
        <f t="shared" si="163"/>
        <v>-392</v>
      </c>
      <c r="E2953" s="384">
        <f t="shared" ca="1" si="164"/>
        <v>4</v>
      </c>
      <c r="F2953" s="384">
        <f t="shared" ca="1" si="165"/>
        <v>23</v>
      </c>
      <c r="G2953" s="384" t="s">
        <v>3758</v>
      </c>
      <c r="H2953" s="388"/>
      <c r="I2953" s="388"/>
    </row>
    <row r="2954" spans="1:9" x14ac:dyDescent="0.3">
      <c r="A2954" s="384" t="b">
        <v>0</v>
      </c>
      <c r="B2954" s="384" t="s">
        <v>3979</v>
      </c>
      <c r="C2954" s="389">
        <v>15</v>
      </c>
      <c r="D2954" s="384">
        <f t="shared" si="163"/>
        <v>-391</v>
      </c>
      <c r="E2954" s="384">
        <f t="shared" ca="1" si="164"/>
        <v>5</v>
      </c>
      <c r="F2954" s="384">
        <f t="shared" ca="1" si="165"/>
        <v>23</v>
      </c>
      <c r="G2954" s="384" t="s">
        <v>3758</v>
      </c>
      <c r="H2954" s="388"/>
      <c r="I2954" s="388"/>
    </row>
    <row r="2955" spans="1:9" x14ac:dyDescent="0.3">
      <c r="A2955" s="384" t="b">
        <v>0</v>
      </c>
      <c r="B2955" s="384" t="s">
        <v>3980</v>
      </c>
      <c r="C2955" s="389">
        <v>15</v>
      </c>
      <c r="D2955" s="384">
        <f t="shared" si="163"/>
        <v>-390</v>
      </c>
      <c r="E2955" s="384">
        <f t="shared" ca="1" si="164"/>
        <v>6</v>
      </c>
      <c r="F2955" s="384">
        <f t="shared" ca="1" si="165"/>
        <v>23</v>
      </c>
      <c r="G2955" s="384" t="s">
        <v>3758</v>
      </c>
      <c r="H2955" s="388"/>
      <c r="I2955" s="388"/>
    </row>
    <row r="2956" spans="1:9" x14ac:dyDescent="0.3">
      <c r="A2956" s="384" t="b">
        <v>0</v>
      </c>
      <c r="B2956" s="384" t="s">
        <v>3981</v>
      </c>
      <c r="C2956" s="389">
        <v>16</v>
      </c>
      <c r="D2956" s="384">
        <f t="shared" si="163"/>
        <v>-389</v>
      </c>
      <c r="E2956" s="384">
        <f t="shared" ca="1" si="164"/>
        <v>1</v>
      </c>
      <c r="F2956" s="384">
        <f t="shared" ca="1" si="165"/>
        <v>24</v>
      </c>
      <c r="G2956" s="384" t="s">
        <v>3760</v>
      </c>
      <c r="H2956" s="388"/>
      <c r="I2956" s="388"/>
    </row>
    <row r="2957" spans="1:9" x14ac:dyDescent="0.3">
      <c r="A2957" s="384" t="b">
        <v>0</v>
      </c>
      <c r="B2957" s="384" t="s">
        <v>3982</v>
      </c>
      <c r="C2957" s="389">
        <v>16</v>
      </c>
      <c r="D2957" s="384">
        <f t="shared" si="163"/>
        <v>-388</v>
      </c>
      <c r="E2957" s="384">
        <f t="shared" ca="1" si="164"/>
        <v>2</v>
      </c>
      <c r="F2957" s="384">
        <f t="shared" ca="1" si="165"/>
        <v>24</v>
      </c>
      <c r="G2957" s="384" t="s">
        <v>3760</v>
      </c>
      <c r="H2957" s="388"/>
      <c r="I2957" s="388"/>
    </row>
    <row r="2958" spans="1:9" x14ac:dyDescent="0.3">
      <c r="A2958" s="384" t="b">
        <v>0</v>
      </c>
      <c r="B2958" s="384" t="s">
        <v>3983</v>
      </c>
      <c r="C2958" s="389">
        <v>16</v>
      </c>
      <c r="D2958" s="384">
        <f t="shared" si="163"/>
        <v>-387</v>
      </c>
      <c r="E2958" s="384">
        <f t="shared" ca="1" si="164"/>
        <v>3</v>
      </c>
      <c r="F2958" s="384">
        <f t="shared" ca="1" si="165"/>
        <v>24</v>
      </c>
      <c r="G2958" s="384" t="s">
        <v>3760</v>
      </c>
      <c r="H2958" s="388"/>
      <c r="I2958" s="388"/>
    </row>
    <row r="2959" spans="1:9" x14ac:dyDescent="0.3">
      <c r="A2959" s="384" t="b">
        <v>0</v>
      </c>
      <c r="B2959" s="384" t="s">
        <v>3984</v>
      </c>
      <c r="C2959" s="389">
        <v>16</v>
      </c>
      <c r="D2959" s="384">
        <f t="shared" si="163"/>
        <v>-386</v>
      </c>
      <c r="E2959" s="384">
        <f t="shared" ca="1" si="164"/>
        <v>4</v>
      </c>
      <c r="F2959" s="384">
        <f t="shared" ca="1" si="165"/>
        <v>24</v>
      </c>
      <c r="G2959" s="384" t="s">
        <v>3760</v>
      </c>
      <c r="H2959" s="388"/>
      <c r="I2959" s="388"/>
    </row>
    <row r="2960" spans="1:9" x14ac:dyDescent="0.3">
      <c r="A2960" s="384" t="b">
        <v>0</v>
      </c>
      <c r="B2960" s="384" t="s">
        <v>3985</v>
      </c>
      <c r="C2960" s="389">
        <v>16</v>
      </c>
      <c r="D2960" s="384">
        <f t="shared" si="163"/>
        <v>-385</v>
      </c>
      <c r="E2960" s="384">
        <f t="shared" ca="1" si="164"/>
        <v>5</v>
      </c>
      <c r="F2960" s="384">
        <f t="shared" ca="1" si="165"/>
        <v>24</v>
      </c>
      <c r="G2960" s="384" t="s">
        <v>3760</v>
      </c>
      <c r="H2960" s="388"/>
      <c r="I2960" s="388"/>
    </row>
    <row r="2961" spans="1:9" x14ac:dyDescent="0.3">
      <c r="A2961" s="384" t="b">
        <v>0</v>
      </c>
      <c r="B2961" s="384" t="s">
        <v>3986</v>
      </c>
      <c r="C2961" s="389">
        <v>16</v>
      </c>
      <c r="D2961" s="384">
        <f t="shared" si="163"/>
        <v>-384</v>
      </c>
      <c r="E2961" s="384">
        <f t="shared" ca="1" si="164"/>
        <v>6</v>
      </c>
      <c r="F2961" s="384">
        <f t="shared" ca="1" si="165"/>
        <v>24</v>
      </c>
      <c r="G2961" s="384" t="s">
        <v>3760</v>
      </c>
      <c r="H2961" s="388"/>
      <c r="I2961" s="388"/>
    </row>
    <row r="2962" spans="1:9" x14ac:dyDescent="0.3">
      <c r="A2962" s="384" t="b">
        <v>0</v>
      </c>
      <c r="B2962" s="384" t="s">
        <v>3987</v>
      </c>
      <c r="C2962" s="389">
        <v>17</v>
      </c>
      <c r="D2962" s="384">
        <f t="shared" si="163"/>
        <v>-383</v>
      </c>
      <c r="E2962" s="384">
        <f t="shared" ca="1" si="164"/>
        <v>1</v>
      </c>
      <c r="F2962" s="384">
        <f t="shared" ca="1" si="165"/>
        <v>25</v>
      </c>
      <c r="G2962" s="384" t="s">
        <v>3762</v>
      </c>
      <c r="H2962" s="388"/>
      <c r="I2962" s="388"/>
    </row>
    <row r="2963" spans="1:9" x14ac:dyDescent="0.3">
      <c r="A2963" s="384" t="b">
        <v>0</v>
      </c>
      <c r="B2963" s="384" t="s">
        <v>3988</v>
      </c>
      <c r="C2963" s="389">
        <v>17</v>
      </c>
      <c r="D2963" s="384">
        <f t="shared" si="163"/>
        <v>-382</v>
      </c>
      <c r="E2963" s="384">
        <f t="shared" ca="1" si="164"/>
        <v>2</v>
      </c>
      <c r="F2963" s="384">
        <f t="shared" ca="1" si="165"/>
        <v>25</v>
      </c>
      <c r="G2963" s="384" t="s">
        <v>3762</v>
      </c>
      <c r="H2963" s="388"/>
      <c r="I2963" s="388"/>
    </row>
    <row r="2964" spans="1:9" x14ac:dyDescent="0.3">
      <c r="A2964" s="384" t="b">
        <v>0</v>
      </c>
      <c r="B2964" s="384" t="s">
        <v>3989</v>
      </c>
      <c r="C2964" s="389">
        <v>17</v>
      </c>
      <c r="D2964" s="384">
        <f t="shared" si="163"/>
        <v>-381</v>
      </c>
      <c r="E2964" s="384">
        <f t="shared" ca="1" si="164"/>
        <v>3</v>
      </c>
      <c r="F2964" s="384">
        <f t="shared" ca="1" si="165"/>
        <v>25</v>
      </c>
      <c r="G2964" s="384" t="s">
        <v>3762</v>
      </c>
      <c r="H2964" s="388"/>
      <c r="I2964" s="388"/>
    </row>
    <row r="2965" spans="1:9" x14ac:dyDescent="0.3">
      <c r="A2965" s="384" t="b">
        <v>0</v>
      </c>
      <c r="B2965" s="384" t="s">
        <v>3990</v>
      </c>
      <c r="C2965" s="389">
        <v>17</v>
      </c>
      <c r="D2965" s="384">
        <f t="shared" si="163"/>
        <v>-380</v>
      </c>
      <c r="E2965" s="384">
        <f t="shared" ca="1" si="164"/>
        <v>4</v>
      </c>
      <c r="F2965" s="384">
        <f t="shared" ca="1" si="165"/>
        <v>25</v>
      </c>
      <c r="G2965" s="384" t="s">
        <v>3762</v>
      </c>
      <c r="H2965" s="388"/>
      <c r="I2965" s="388"/>
    </row>
    <row r="2966" spans="1:9" x14ac:dyDescent="0.3">
      <c r="A2966" s="384" t="b">
        <v>0</v>
      </c>
      <c r="B2966" s="384" t="s">
        <v>3991</v>
      </c>
      <c r="C2966" s="389">
        <v>17</v>
      </c>
      <c r="D2966" s="384">
        <f t="shared" si="163"/>
        <v>-379</v>
      </c>
      <c r="E2966" s="384">
        <f t="shared" ca="1" si="164"/>
        <v>5</v>
      </c>
      <c r="F2966" s="384">
        <f t="shared" ca="1" si="165"/>
        <v>25</v>
      </c>
      <c r="G2966" s="384" t="s">
        <v>3762</v>
      </c>
      <c r="H2966" s="388"/>
      <c r="I2966" s="388"/>
    </row>
    <row r="2967" spans="1:9" x14ac:dyDescent="0.3">
      <c r="A2967" s="384" t="b">
        <v>0</v>
      </c>
      <c r="B2967" s="384" t="s">
        <v>3992</v>
      </c>
      <c r="C2967" s="389">
        <v>17</v>
      </c>
      <c r="D2967" s="384">
        <f t="shared" si="163"/>
        <v>-378</v>
      </c>
      <c r="E2967" s="384">
        <f t="shared" ca="1" si="164"/>
        <v>6</v>
      </c>
      <c r="F2967" s="384">
        <f t="shared" ca="1" si="165"/>
        <v>25</v>
      </c>
      <c r="G2967" s="384" t="s">
        <v>3762</v>
      </c>
      <c r="H2967" s="388"/>
      <c r="I2967" s="388"/>
    </row>
    <row r="2968" spans="1:9" x14ac:dyDescent="0.3">
      <c r="A2968" s="384" t="b">
        <v>0</v>
      </c>
      <c r="B2968" s="384" t="s">
        <v>3993</v>
      </c>
      <c r="C2968" s="389">
        <v>18</v>
      </c>
      <c r="D2968" s="384">
        <f t="shared" si="163"/>
        <v>-377</v>
      </c>
      <c r="E2968" s="384">
        <f t="shared" ca="1" si="164"/>
        <v>1</v>
      </c>
      <c r="F2968" s="384">
        <f t="shared" ca="1" si="165"/>
        <v>26</v>
      </c>
      <c r="G2968" s="384" t="s">
        <v>3764</v>
      </c>
      <c r="H2968" s="388"/>
      <c r="I2968" s="388"/>
    </row>
    <row r="2969" spans="1:9" x14ac:dyDescent="0.3">
      <c r="A2969" s="384" t="b">
        <v>0</v>
      </c>
      <c r="B2969" s="384" t="s">
        <v>3994</v>
      </c>
      <c r="C2969" s="389">
        <v>18</v>
      </c>
      <c r="D2969" s="384">
        <f t="shared" si="163"/>
        <v>-376</v>
      </c>
      <c r="E2969" s="384">
        <f t="shared" ca="1" si="164"/>
        <v>2</v>
      </c>
      <c r="F2969" s="384">
        <f t="shared" ca="1" si="165"/>
        <v>26</v>
      </c>
      <c r="G2969" s="384" t="s">
        <v>3764</v>
      </c>
      <c r="H2969" s="388"/>
      <c r="I2969" s="388"/>
    </row>
    <row r="2970" spans="1:9" x14ac:dyDescent="0.3">
      <c r="A2970" s="384" t="b">
        <v>0</v>
      </c>
      <c r="B2970" s="384" t="s">
        <v>3995</v>
      </c>
      <c r="C2970" s="389">
        <v>18</v>
      </c>
      <c r="D2970" s="384">
        <f t="shared" si="163"/>
        <v>-375</v>
      </c>
      <c r="E2970" s="384">
        <f t="shared" ca="1" si="164"/>
        <v>3</v>
      </c>
      <c r="F2970" s="384">
        <f t="shared" ca="1" si="165"/>
        <v>26</v>
      </c>
      <c r="G2970" s="384" t="s">
        <v>3764</v>
      </c>
      <c r="H2970" s="388"/>
      <c r="I2970" s="388"/>
    </row>
    <row r="2971" spans="1:9" x14ac:dyDescent="0.3">
      <c r="A2971" s="384" t="b">
        <v>0</v>
      </c>
      <c r="B2971" s="384" t="s">
        <v>3996</v>
      </c>
      <c r="C2971" s="389">
        <v>18</v>
      </c>
      <c r="D2971" s="384">
        <f t="shared" si="163"/>
        <v>-374</v>
      </c>
      <c r="E2971" s="384">
        <f t="shared" ca="1" si="164"/>
        <v>4</v>
      </c>
      <c r="F2971" s="384">
        <f t="shared" ca="1" si="165"/>
        <v>26</v>
      </c>
      <c r="G2971" s="384" t="s">
        <v>3764</v>
      </c>
      <c r="H2971" s="388"/>
      <c r="I2971" s="388"/>
    </row>
    <row r="2972" spans="1:9" x14ac:dyDescent="0.3">
      <c r="A2972" s="384" t="b">
        <v>0</v>
      </c>
      <c r="B2972" s="384" t="s">
        <v>3997</v>
      </c>
      <c r="C2972" s="389">
        <v>18</v>
      </c>
      <c r="D2972" s="384">
        <f t="shared" si="163"/>
        <v>-373</v>
      </c>
      <c r="E2972" s="384">
        <f t="shared" ca="1" si="164"/>
        <v>5</v>
      </c>
      <c r="F2972" s="384">
        <f t="shared" ca="1" si="165"/>
        <v>26</v>
      </c>
      <c r="G2972" s="384" t="s">
        <v>3764</v>
      </c>
      <c r="H2972" s="388"/>
      <c r="I2972" s="388"/>
    </row>
    <row r="2973" spans="1:9" x14ac:dyDescent="0.3">
      <c r="A2973" s="384" t="b">
        <v>0</v>
      </c>
      <c r="B2973" s="384" t="s">
        <v>3998</v>
      </c>
      <c r="C2973" s="389">
        <v>18</v>
      </c>
      <c r="D2973" s="384">
        <f t="shared" si="163"/>
        <v>-372</v>
      </c>
      <c r="E2973" s="384">
        <f t="shared" ca="1" si="164"/>
        <v>6</v>
      </c>
      <c r="F2973" s="384">
        <f t="shared" ca="1" si="165"/>
        <v>26</v>
      </c>
      <c r="G2973" s="384" t="s">
        <v>3764</v>
      </c>
      <c r="H2973" s="388"/>
      <c r="I2973" s="388"/>
    </row>
    <row r="2974" spans="1:9" x14ac:dyDescent="0.3">
      <c r="A2974" s="384" t="b">
        <v>0</v>
      </c>
      <c r="B2974" s="384" t="s">
        <v>3999</v>
      </c>
      <c r="C2974" s="389">
        <v>19</v>
      </c>
      <c r="D2974" s="384">
        <f t="shared" si="163"/>
        <v>-371</v>
      </c>
      <c r="E2974" s="384">
        <f t="shared" ca="1" si="164"/>
        <v>1</v>
      </c>
      <c r="F2974" s="384">
        <f t="shared" ca="1" si="165"/>
        <v>27</v>
      </c>
      <c r="G2974" s="384" t="s">
        <v>3766</v>
      </c>
      <c r="H2974" s="388"/>
      <c r="I2974" s="388"/>
    </row>
    <row r="2975" spans="1:9" x14ac:dyDescent="0.3">
      <c r="A2975" s="384" t="b">
        <v>0</v>
      </c>
      <c r="B2975" s="384" t="s">
        <v>4000</v>
      </c>
      <c r="C2975" s="389">
        <v>19</v>
      </c>
      <c r="D2975" s="384">
        <f t="shared" si="163"/>
        <v>-370</v>
      </c>
      <c r="E2975" s="384">
        <f t="shared" ca="1" si="164"/>
        <v>2</v>
      </c>
      <c r="F2975" s="384">
        <f t="shared" ca="1" si="165"/>
        <v>27</v>
      </c>
      <c r="G2975" s="384" t="s">
        <v>3766</v>
      </c>
      <c r="H2975" s="388"/>
      <c r="I2975" s="388"/>
    </row>
    <row r="2976" spans="1:9" x14ac:dyDescent="0.3">
      <c r="A2976" s="384" t="b">
        <v>0</v>
      </c>
      <c r="B2976" s="384" t="s">
        <v>4001</v>
      </c>
      <c r="C2976" s="389">
        <v>19</v>
      </c>
      <c r="D2976" s="384">
        <f t="shared" si="163"/>
        <v>-369</v>
      </c>
      <c r="E2976" s="384">
        <f t="shared" ca="1" si="164"/>
        <v>3</v>
      </c>
      <c r="F2976" s="384">
        <f t="shared" ca="1" si="165"/>
        <v>27</v>
      </c>
      <c r="G2976" s="384" t="s">
        <v>3766</v>
      </c>
      <c r="H2976" s="388"/>
      <c r="I2976" s="388"/>
    </row>
    <row r="2977" spans="1:9" x14ac:dyDescent="0.3">
      <c r="A2977" s="384" t="b">
        <v>0</v>
      </c>
      <c r="B2977" s="384" t="s">
        <v>4002</v>
      </c>
      <c r="C2977" s="389">
        <v>19</v>
      </c>
      <c r="D2977" s="384">
        <f t="shared" si="163"/>
        <v>-368</v>
      </c>
      <c r="E2977" s="384">
        <f t="shared" ca="1" si="164"/>
        <v>4</v>
      </c>
      <c r="F2977" s="384">
        <f t="shared" ca="1" si="165"/>
        <v>27</v>
      </c>
      <c r="G2977" s="384" t="s">
        <v>3766</v>
      </c>
      <c r="H2977" s="388"/>
      <c r="I2977" s="388"/>
    </row>
    <row r="2978" spans="1:9" x14ac:dyDescent="0.3">
      <c r="A2978" s="384" t="b">
        <v>0</v>
      </c>
      <c r="B2978" s="384" t="s">
        <v>4003</v>
      </c>
      <c r="C2978" s="389">
        <v>19</v>
      </c>
      <c r="D2978" s="384">
        <f t="shared" si="163"/>
        <v>-367</v>
      </c>
      <c r="E2978" s="384">
        <f t="shared" ca="1" si="164"/>
        <v>5</v>
      </c>
      <c r="F2978" s="384">
        <f t="shared" ca="1" si="165"/>
        <v>27</v>
      </c>
      <c r="G2978" s="384" t="s">
        <v>3766</v>
      </c>
      <c r="H2978" s="388"/>
      <c r="I2978" s="388"/>
    </row>
    <row r="2979" spans="1:9" x14ac:dyDescent="0.3">
      <c r="A2979" s="384" t="b">
        <v>0</v>
      </c>
      <c r="B2979" s="384" t="s">
        <v>4004</v>
      </c>
      <c r="C2979" s="389">
        <v>19</v>
      </c>
      <c r="D2979" s="384">
        <f t="shared" si="163"/>
        <v>-366</v>
      </c>
      <c r="E2979" s="384">
        <f t="shared" ca="1" si="164"/>
        <v>6</v>
      </c>
      <c r="F2979" s="384">
        <f t="shared" ca="1" si="165"/>
        <v>27</v>
      </c>
      <c r="G2979" s="384" t="s">
        <v>3766</v>
      </c>
      <c r="H2979" s="388"/>
      <c r="I2979" s="388"/>
    </row>
    <row r="2980" spans="1:9" x14ac:dyDescent="0.3">
      <c r="A2980" s="384" t="b">
        <v>0</v>
      </c>
      <c r="B2980" s="384" t="s">
        <v>4005</v>
      </c>
      <c r="C2980" s="389">
        <v>20</v>
      </c>
      <c r="D2980" s="384">
        <f t="shared" si="163"/>
        <v>-365</v>
      </c>
      <c r="E2980" s="384">
        <f t="shared" ca="1" si="164"/>
        <v>1</v>
      </c>
      <c r="F2980" s="384">
        <f t="shared" ca="1" si="165"/>
        <v>28</v>
      </c>
      <c r="G2980" s="384" t="s">
        <v>3768</v>
      </c>
      <c r="H2980" s="388"/>
      <c r="I2980" s="388"/>
    </row>
    <row r="2981" spans="1:9" x14ac:dyDescent="0.3">
      <c r="A2981" s="384" t="b">
        <v>0</v>
      </c>
      <c r="B2981" s="384" t="s">
        <v>4006</v>
      </c>
      <c r="C2981" s="389">
        <v>20</v>
      </c>
      <c r="D2981" s="384">
        <f t="shared" si="163"/>
        <v>-364</v>
      </c>
      <c r="E2981" s="384">
        <f t="shared" ca="1" si="164"/>
        <v>2</v>
      </c>
      <c r="F2981" s="384">
        <f t="shared" ca="1" si="165"/>
        <v>28</v>
      </c>
      <c r="G2981" s="384" t="s">
        <v>3768</v>
      </c>
      <c r="H2981" s="388"/>
      <c r="I2981" s="388"/>
    </row>
    <row r="2982" spans="1:9" x14ac:dyDescent="0.3">
      <c r="A2982" s="384" t="b">
        <v>0</v>
      </c>
      <c r="B2982" s="384" t="s">
        <v>4007</v>
      </c>
      <c r="C2982" s="389">
        <v>20</v>
      </c>
      <c r="D2982" s="384">
        <f t="shared" si="163"/>
        <v>-363</v>
      </c>
      <c r="E2982" s="384">
        <f t="shared" ca="1" si="164"/>
        <v>3</v>
      </c>
      <c r="F2982" s="384">
        <f t="shared" ca="1" si="165"/>
        <v>28</v>
      </c>
      <c r="G2982" s="384" t="s">
        <v>3768</v>
      </c>
      <c r="H2982" s="388"/>
      <c r="I2982" s="388"/>
    </row>
    <row r="2983" spans="1:9" x14ac:dyDescent="0.3">
      <c r="A2983" s="384" t="b">
        <v>0</v>
      </c>
      <c r="B2983" s="384" t="s">
        <v>4008</v>
      </c>
      <c r="C2983" s="389">
        <v>20</v>
      </c>
      <c r="D2983" s="384">
        <f t="shared" si="163"/>
        <v>-362</v>
      </c>
      <c r="E2983" s="384">
        <f t="shared" ca="1" si="164"/>
        <v>4</v>
      </c>
      <c r="F2983" s="384">
        <f t="shared" ca="1" si="165"/>
        <v>28</v>
      </c>
      <c r="G2983" s="384" t="s">
        <v>3768</v>
      </c>
      <c r="H2983" s="388"/>
      <c r="I2983" s="388"/>
    </row>
    <row r="2984" spans="1:9" x14ac:dyDescent="0.3">
      <c r="A2984" s="384" t="b">
        <v>0</v>
      </c>
      <c r="B2984" s="384" t="s">
        <v>4009</v>
      </c>
      <c r="C2984" s="389">
        <v>20</v>
      </c>
      <c r="D2984" s="384">
        <f t="shared" si="163"/>
        <v>-361</v>
      </c>
      <c r="E2984" s="384">
        <f t="shared" ca="1" si="164"/>
        <v>5</v>
      </c>
      <c r="F2984" s="384">
        <f t="shared" ca="1" si="165"/>
        <v>28</v>
      </c>
      <c r="G2984" s="384" t="s">
        <v>3768</v>
      </c>
      <c r="H2984" s="388"/>
      <c r="I2984" s="388"/>
    </row>
    <row r="2985" spans="1:9" x14ac:dyDescent="0.3">
      <c r="A2985" s="384" t="b">
        <v>0</v>
      </c>
      <c r="B2985" s="384" t="s">
        <v>4010</v>
      </c>
      <c r="C2985" s="389">
        <v>20</v>
      </c>
      <c r="D2985" s="384">
        <f t="shared" si="163"/>
        <v>-360</v>
      </c>
      <c r="E2985" s="384">
        <f t="shared" ca="1" si="164"/>
        <v>6</v>
      </c>
      <c r="F2985" s="384">
        <f t="shared" ca="1" si="165"/>
        <v>28</v>
      </c>
      <c r="G2985" s="384" t="s">
        <v>3768</v>
      </c>
      <c r="H2985" s="388"/>
      <c r="I2985" s="388"/>
    </row>
    <row r="2986" spans="1:9" x14ac:dyDescent="0.3">
      <c r="A2986" s="384" t="b">
        <v>0</v>
      </c>
      <c r="B2986" s="384" t="s">
        <v>4011</v>
      </c>
      <c r="C2986" s="389">
        <v>21</v>
      </c>
      <c r="D2986" s="384">
        <f t="shared" si="163"/>
        <v>-359</v>
      </c>
      <c r="E2986" s="384">
        <f t="shared" ca="1" si="164"/>
        <v>1</v>
      </c>
      <c r="F2986" s="384">
        <f t="shared" ca="1" si="165"/>
        <v>29</v>
      </c>
      <c r="G2986" s="384" t="s">
        <v>3770</v>
      </c>
      <c r="H2986" s="388"/>
      <c r="I2986" s="388"/>
    </row>
    <row r="2987" spans="1:9" x14ac:dyDescent="0.3">
      <c r="A2987" s="384" t="b">
        <v>0</v>
      </c>
      <c r="B2987" s="384" t="s">
        <v>4012</v>
      </c>
      <c r="C2987" s="389">
        <v>21</v>
      </c>
      <c r="D2987" s="384">
        <f t="shared" si="163"/>
        <v>-358</v>
      </c>
      <c r="E2987" s="384">
        <f t="shared" ca="1" si="164"/>
        <v>2</v>
      </c>
      <c r="F2987" s="384">
        <f t="shared" ca="1" si="165"/>
        <v>29</v>
      </c>
      <c r="G2987" s="384" t="s">
        <v>3770</v>
      </c>
      <c r="H2987" s="388"/>
      <c r="I2987" s="388"/>
    </row>
    <row r="2988" spans="1:9" x14ac:dyDescent="0.3">
      <c r="A2988" s="384" t="b">
        <v>0</v>
      </c>
      <c r="B2988" s="384" t="s">
        <v>4013</v>
      </c>
      <c r="C2988" s="389">
        <v>21</v>
      </c>
      <c r="D2988" s="384">
        <f t="shared" si="163"/>
        <v>-357</v>
      </c>
      <c r="E2988" s="384">
        <f t="shared" ca="1" si="164"/>
        <v>3</v>
      </c>
      <c r="F2988" s="384">
        <f t="shared" ca="1" si="165"/>
        <v>29</v>
      </c>
      <c r="G2988" s="384" t="s">
        <v>3770</v>
      </c>
      <c r="H2988" s="388"/>
      <c r="I2988" s="388"/>
    </row>
    <row r="2989" spans="1:9" x14ac:dyDescent="0.3">
      <c r="A2989" s="384" t="b">
        <v>0</v>
      </c>
      <c r="B2989" s="384" t="s">
        <v>4014</v>
      </c>
      <c r="C2989" s="389">
        <v>21</v>
      </c>
      <c r="D2989" s="384">
        <f t="shared" si="163"/>
        <v>-356</v>
      </c>
      <c r="E2989" s="384">
        <f t="shared" ca="1" si="164"/>
        <v>4</v>
      </c>
      <c r="F2989" s="384">
        <f t="shared" ca="1" si="165"/>
        <v>29</v>
      </c>
      <c r="G2989" s="384" t="s">
        <v>3770</v>
      </c>
      <c r="H2989" s="388"/>
      <c r="I2989" s="388"/>
    </row>
    <row r="2990" spans="1:9" x14ac:dyDescent="0.3">
      <c r="A2990" s="384" t="b">
        <v>0</v>
      </c>
      <c r="B2990" s="384" t="s">
        <v>4015</v>
      </c>
      <c r="C2990" s="389">
        <v>21</v>
      </c>
      <c r="D2990" s="384">
        <f t="shared" si="163"/>
        <v>-355</v>
      </c>
      <c r="E2990" s="384">
        <f t="shared" ca="1" si="164"/>
        <v>5</v>
      </c>
      <c r="F2990" s="384">
        <f t="shared" ca="1" si="165"/>
        <v>29</v>
      </c>
      <c r="G2990" s="384" t="s">
        <v>3770</v>
      </c>
      <c r="H2990" s="388"/>
      <c r="I2990" s="388"/>
    </row>
    <row r="2991" spans="1:9" x14ac:dyDescent="0.3">
      <c r="A2991" s="384" t="b">
        <v>0</v>
      </c>
      <c r="B2991" s="384" t="s">
        <v>4016</v>
      </c>
      <c r="C2991" s="389">
        <v>21</v>
      </c>
      <c r="D2991" s="384">
        <f t="shared" si="163"/>
        <v>-354</v>
      </c>
      <c r="E2991" s="384">
        <f t="shared" ca="1" si="164"/>
        <v>6</v>
      </c>
      <c r="F2991" s="384">
        <f t="shared" ca="1" si="165"/>
        <v>29</v>
      </c>
      <c r="G2991" s="384" t="s">
        <v>3770</v>
      </c>
      <c r="H2991" s="388"/>
      <c r="I2991" s="388"/>
    </row>
    <row r="2992" spans="1:9" x14ac:dyDescent="0.3">
      <c r="A2992" s="384" t="b">
        <v>0</v>
      </c>
      <c r="B2992" s="384" t="s">
        <v>4017</v>
      </c>
      <c r="C2992" s="389">
        <v>22</v>
      </c>
      <c r="D2992" s="384">
        <f t="shared" si="163"/>
        <v>-353</v>
      </c>
      <c r="E2992" s="384">
        <f t="shared" ca="1" si="164"/>
        <v>1</v>
      </c>
      <c r="F2992" s="384">
        <f t="shared" ca="1" si="165"/>
        <v>30</v>
      </c>
      <c r="G2992" s="384" t="s">
        <v>3772</v>
      </c>
      <c r="H2992" s="388"/>
      <c r="I2992" s="388"/>
    </row>
    <row r="2993" spans="1:9" x14ac:dyDescent="0.3">
      <c r="A2993" s="384" t="b">
        <v>0</v>
      </c>
      <c r="B2993" s="384" t="s">
        <v>4018</v>
      </c>
      <c r="C2993" s="389">
        <v>22</v>
      </c>
      <c r="D2993" s="384">
        <f t="shared" si="163"/>
        <v>-352</v>
      </c>
      <c r="E2993" s="384">
        <f t="shared" ca="1" si="164"/>
        <v>2</v>
      </c>
      <c r="F2993" s="384">
        <f t="shared" ca="1" si="165"/>
        <v>30</v>
      </c>
      <c r="G2993" s="384" t="s">
        <v>3772</v>
      </c>
      <c r="H2993" s="388"/>
      <c r="I2993" s="388"/>
    </row>
    <row r="2994" spans="1:9" x14ac:dyDescent="0.3">
      <c r="A2994" s="384" t="b">
        <v>0</v>
      </c>
      <c r="B2994" s="384" t="s">
        <v>4019</v>
      </c>
      <c r="C2994" s="389">
        <v>22</v>
      </c>
      <c r="D2994" s="384">
        <f t="shared" ref="D2994:D3057" si="166">D2993+1</f>
        <v>-351</v>
      </c>
      <c r="E2994" s="384">
        <f t="shared" ref="E2994:E3057" ca="1" si="167">COUNTIF(C2824:C2994,C2994)</f>
        <v>3</v>
      </c>
      <c r="F2994" s="384">
        <f t="shared" ref="F2994:F3057" ca="1" si="168">IF(C2994=1,9,IF(E2993=MAX(E2992:E2994),F2992+1,F2993))</f>
        <v>30</v>
      </c>
      <c r="G2994" s="384" t="s">
        <v>3772</v>
      </c>
      <c r="H2994" s="388"/>
      <c r="I2994" s="388"/>
    </row>
    <row r="2995" spans="1:9" x14ac:dyDescent="0.3">
      <c r="A2995" s="384" t="b">
        <v>0</v>
      </c>
      <c r="B2995" s="384" t="s">
        <v>4020</v>
      </c>
      <c r="C2995" s="389">
        <v>22</v>
      </c>
      <c r="D2995" s="384">
        <f t="shared" si="166"/>
        <v>-350</v>
      </c>
      <c r="E2995" s="384">
        <f t="shared" ca="1" si="167"/>
        <v>4</v>
      </c>
      <c r="F2995" s="384">
        <f t="shared" ca="1" si="168"/>
        <v>30</v>
      </c>
      <c r="G2995" s="384" t="s">
        <v>3772</v>
      </c>
      <c r="H2995" s="388"/>
      <c r="I2995" s="388"/>
    </row>
    <row r="2996" spans="1:9" x14ac:dyDescent="0.3">
      <c r="A2996" s="384" t="b">
        <v>0</v>
      </c>
      <c r="B2996" s="384" t="s">
        <v>4021</v>
      </c>
      <c r="C2996" s="389">
        <v>22</v>
      </c>
      <c r="D2996" s="384">
        <f t="shared" si="166"/>
        <v>-349</v>
      </c>
      <c r="E2996" s="384">
        <f t="shared" ca="1" si="167"/>
        <v>5</v>
      </c>
      <c r="F2996" s="384">
        <f t="shared" ca="1" si="168"/>
        <v>30</v>
      </c>
      <c r="G2996" s="384" t="s">
        <v>3772</v>
      </c>
      <c r="H2996" s="388"/>
      <c r="I2996" s="388"/>
    </row>
    <row r="2997" spans="1:9" x14ac:dyDescent="0.3">
      <c r="A2997" s="384" t="b">
        <v>0</v>
      </c>
      <c r="B2997" s="384" t="s">
        <v>4022</v>
      </c>
      <c r="C2997" s="389">
        <v>22</v>
      </c>
      <c r="D2997" s="384">
        <f t="shared" si="166"/>
        <v>-348</v>
      </c>
      <c r="E2997" s="384">
        <f t="shared" ca="1" si="167"/>
        <v>6</v>
      </c>
      <c r="F2997" s="384">
        <f t="shared" ca="1" si="168"/>
        <v>30</v>
      </c>
      <c r="G2997" s="384" t="s">
        <v>3772</v>
      </c>
      <c r="H2997" s="388"/>
      <c r="I2997" s="388"/>
    </row>
    <row r="2998" spans="1:9" x14ac:dyDescent="0.3">
      <c r="A2998" s="384" t="b">
        <v>0</v>
      </c>
      <c r="B2998" s="384" t="s">
        <v>4023</v>
      </c>
      <c r="C2998" s="389">
        <v>23</v>
      </c>
      <c r="D2998" s="384">
        <f t="shared" si="166"/>
        <v>-347</v>
      </c>
      <c r="E2998" s="384">
        <f t="shared" ca="1" si="167"/>
        <v>1</v>
      </c>
      <c r="F2998" s="384">
        <f t="shared" ca="1" si="168"/>
        <v>31</v>
      </c>
      <c r="G2998" s="384" t="s">
        <v>3774</v>
      </c>
      <c r="H2998" s="388"/>
      <c r="I2998" s="388"/>
    </row>
    <row r="2999" spans="1:9" x14ac:dyDescent="0.3">
      <c r="A2999" s="384" t="b">
        <v>0</v>
      </c>
      <c r="B2999" s="384" t="s">
        <v>4024</v>
      </c>
      <c r="C2999" s="389">
        <v>23</v>
      </c>
      <c r="D2999" s="384">
        <f t="shared" si="166"/>
        <v>-346</v>
      </c>
      <c r="E2999" s="384">
        <f t="shared" ca="1" si="167"/>
        <v>2</v>
      </c>
      <c r="F2999" s="384">
        <f t="shared" ca="1" si="168"/>
        <v>31</v>
      </c>
      <c r="G2999" s="384" t="s">
        <v>3774</v>
      </c>
      <c r="H2999" s="388"/>
      <c r="I2999" s="388"/>
    </row>
    <row r="3000" spans="1:9" x14ac:dyDescent="0.3">
      <c r="A3000" s="384" t="b">
        <v>0</v>
      </c>
      <c r="B3000" s="384" t="s">
        <v>4025</v>
      </c>
      <c r="C3000" s="389">
        <v>23</v>
      </c>
      <c r="D3000" s="384">
        <f t="shared" si="166"/>
        <v>-345</v>
      </c>
      <c r="E3000" s="384">
        <f t="shared" ca="1" si="167"/>
        <v>3</v>
      </c>
      <c r="F3000" s="384">
        <f t="shared" ca="1" si="168"/>
        <v>31</v>
      </c>
      <c r="G3000" s="384" t="s">
        <v>3774</v>
      </c>
      <c r="H3000" s="388"/>
      <c r="I3000" s="388"/>
    </row>
    <row r="3001" spans="1:9" x14ac:dyDescent="0.3">
      <c r="A3001" s="384" t="b">
        <v>0</v>
      </c>
      <c r="B3001" s="384" t="s">
        <v>4026</v>
      </c>
      <c r="C3001" s="389">
        <v>23</v>
      </c>
      <c r="D3001" s="384">
        <f t="shared" si="166"/>
        <v>-344</v>
      </c>
      <c r="E3001" s="384">
        <f t="shared" ca="1" si="167"/>
        <v>4</v>
      </c>
      <c r="F3001" s="384">
        <f t="shared" ca="1" si="168"/>
        <v>31</v>
      </c>
      <c r="G3001" s="384" t="s">
        <v>3774</v>
      </c>
      <c r="H3001" s="388"/>
      <c r="I3001" s="388"/>
    </row>
    <row r="3002" spans="1:9" x14ac:dyDescent="0.3">
      <c r="A3002" s="384" t="b">
        <v>0</v>
      </c>
      <c r="B3002" s="384" t="s">
        <v>4027</v>
      </c>
      <c r="C3002" s="389">
        <v>23</v>
      </c>
      <c r="D3002" s="384">
        <f t="shared" si="166"/>
        <v>-343</v>
      </c>
      <c r="E3002" s="384">
        <f t="shared" ca="1" si="167"/>
        <v>5</v>
      </c>
      <c r="F3002" s="384">
        <f t="shared" ca="1" si="168"/>
        <v>31</v>
      </c>
      <c r="G3002" s="384" t="s">
        <v>3774</v>
      </c>
      <c r="H3002" s="388"/>
      <c r="I3002" s="388"/>
    </row>
    <row r="3003" spans="1:9" x14ac:dyDescent="0.3">
      <c r="A3003" s="384" t="b">
        <v>0</v>
      </c>
      <c r="B3003" s="384" t="s">
        <v>4028</v>
      </c>
      <c r="C3003" s="389">
        <v>23</v>
      </c>
      <c r="D3003" s="384">
        <f t="shared" si="166"/>
        <v>-342</v>
      </c>
      <c r="E3003" s="384">
        <f t="shared" ca="1" si="167"/>
        <v>6</v>
      </c>
      <c r="F3003" s="384">
        <f t="shared" ca="1" si="168"/>
        <v>31</v>
      </c>
      <c r="G3003" s="384" t="s">
        <v>3774</v>
      </c>
      <c r="H3003" s="388"/>
      <c r="I3003" s="388"/>
    </row>
    <row r="3004" spans="1:9" x14ac:dyDescent="0.3">
      <c r="A3004" s="384" t="b">
        <v>0</v>
      </c>
      <c r="B3004" s="384" t="s">
        <v>4029</v>
      </c>
      <c r="C3004" s="389">
        <v>24</v>
      </c>
      <c r="D3004" s="384">
        <f t="shared" si="166"/>
        <v>-341</v>
      </c>
      <c r="E3004" s="384">
        <f t="shared" ca="1" si="167"/>
        <v>1</v>
      </c>
      <c r="F3004" s="384">
        <f t="shared" ca="1" si="168"/>
        <v>32</v>
      </c>
      <c r="G3004" s="384" t="s">
        <v>3776</v>
      </c>
      <c r="H3004" s="388"/>
      <c r="I3004" s="388"/>
    </row>
    <row r="3005" spans="1:9" x14ac:dyDescent="0.3">
      <c r="A3005" s="384" t="b">
        <v>0</v>
      </c>
      <c r="B3005" s="384" t="s">
        <v>4030</v>
      </c>
      <c r="C3005" s="389">
        <v>24</v>
      </c>
      <c r="D3005" s="384">
        <f t="shared" si="166"/>
        <v>-340</v>
      </c>
      <c r="E3005" s="384">
        <f t="shared" ca="1" si="167"/>
        <v>2</v>
      </c>
      <c r="F3005" s="384">
        <f t="shared" ca="1" si="168"/>
        <v>32</v>
      </c>
      <c r="G3005" s="384" t="s">
        <v>3776</v>
      </c>
      <c r="H3005" s="388"/>
      <c r="I3005" s="388"/>
    </row>
    <row r="3006" spans="1:9" x14ac:dyDescent="0.3">
      <c r="A3006" s="384" t="b">
        <v>0</v>
      </c>
      <c r="B3006" s="384" t="s">
        <v>4031</v>
      </c>
      <c r="C3006" s="389">
        <v>24</v>
      </c>
      <c r="D3006" s="384">
        <f t="shared" si="166"/>
        <v>-339</v>
      </c>
      <c r="E3006" s="384">
        <f t="shared" ca="1" si="167"/>
        <v>3</v>
      </c>
      <c r="F3006" s="384">
        <f t="shared" ca="1" si="168"/>
        <v>32</v>
      </c>
      <c r="G3006" s="384" t="s">
        <v>3776</v>
      </c>
      <c r="H3006" s="388"/>
      <c r="I3006" s="388"/>
    </row>
    <row r="3007" spans="1:9" x14ac:dyDescent="0.3">
      <c r="A3007" s="384" t="b">
        <v>0</v>
      </c>
      <c r="B3007" s="384" t="s">
        <v>4032</v>
      </c>
      <c r="C3007" s="389">
        <v>24</v>
      </c>
      <c r="D3007" s="384">
        <f t="shared" si="166"/>
        <v>-338</v>
      </c>
      <c r="E3007" s="384">
        <f t="shared" ca="1" si="167"/>
        <v>4</v>
      </c>
      <c r="F3007" s="384">
        <f t="shared" ca="1" si="168"/>
        <v>32</v>
      </c>
      <c r="G3007" s="384" t="s">
        <v>3776</v>
      </c>
      <c r="H3007" s="388"/>
      <c r="I3007" s="388"/>
    </row>
    <row r="3008" spans="1:9" x14ac:dyDescent="0.3">
      <c r="A3008" s="384" t="b">
        <v>0</v>
      </c>
      <c r="B3008" s="384" t="s">
        <v>4033</v>
      </c>
      <c r="C3008" s="389">
        <v>24</v>
      </c>
      <c r="D3008" s="384">
        <f t="shared" si="166"/>
        <v>-337</v>
      </c>
      <c r="E3008" s="384">
        <f t="shared" ca="1" si="167"/>
        <v>5</v>
      </c>
      <c r="F3008" s="384">
        <f t="shared" ca="1" si="168"/>
        <v>32</v>
      </c>
      <c r="G3008" s="384" t="s">
        <v>3776</v>
      </c>
      <c r="H3008" s="388"/>
      <c r="I3008" s="388"/>
    </row>
    <row r="3009" spans="1:9" x14ac:dyDescent="0.3">
      <c r="A3009" s="384" t="b">
        <v>0</v>
      </c>
      <c r="B3009" s="384" t="s">
        <v>4034</v>
      </c>
      <c r="C3009" s="389">
        <v>24</v>
      </c>
      <c r="D3009" s="384">
        <f t="shared" si="166"/>
        <v>-336</v>
      </c>
      <c r="E3009" s="384">
        <f t="shared" ca="1" si="167"/>
        <v>6</v>
      </c>
      <c r="F3009" s="384">
        <f t="shared" ca="1" si="168"/>
        <v>32</v>
      </c>
      <c r="G3009" s="384" t="s">
        <v>3776</v>
      </c>
      <c r="H3009" s="388"/>
      <c r="I3009" s="388"/>
    </row>
    <row r="3010" spans="1:9" x14ac:dyDescent="0.3">
      <c r="A3010" s="384" t="b">
        <v>0</v>
      </c>
      <c r="B3010" s="384" t="s">
        <v>4035</v>
      </c>
      <c r="C3010" s="389">
        <v>25</v>
      </c>
      <c r="D3010" s="384">
        <f t="shared" si="166"/>
        <v>-335</v>
      </c>
      <c r="E3010" s="384">
        <f t="shared" ca="1" si="167"/>
        <v>1</v>
      </c>
      <c r="F3010" s="384">
        <f t="shared" ca="1" si="168"/>
        <v>33</v>
      </c>
      <c r="G3010" s="384" t="s">
        <v>3778</v>
      </c>
      <c r="H3010" s="388"/>
      <c r="I3010" s="388"/>
    </row>
    <row r="3011" spans="1:9" x14ac:dyDescent="0.3">
      <c r="A3011" s="384" t="b">
        <v>0</v>
      </c>
      <c r="B3011" s="384" t="s">
        <v>4036</v>
      </c>
      <c r="C3011" s="389">
        <v>25</v>
      </c>
      <c r="D3011" s="384">
        <f t="shared" si="166"/>
        <v>-334</v>
      </c>
      <c r="E3011" s="384">
        <f t="shared" ca="1" si="167"/>
        <v>2</v>
      </c>
      <c r="F3011" s="384">
        <f t="shared" ca="1" si="168"/>
        <v>33</v>
      </c>
      <c r="G3011" s="384" t="s">
        <v>3778</v>
      </c>
      <c r="H3011" s="388"/>
      <c r="I3011" s="388"/>
    </row>
    <row r="3012" spans="1:9" x14ac:dyDescent="0.3">
      <c r="A3012" s="384" t="b">
        <v>0</v>
      </c>
      <c r="B3012" s="384" t="s">
        <v>4037</v>
      </c>
      <c r="C3012" s="389">
        <v>25</v>
      </c>
      <c r="D3012" s="384">
        <f t="shared" si="166"/>
        <v>-333</v>
      </c>
      <c r="E3012" s="384">
        <f t="shared" ca="1" si="167"/>
        <v>3</v>
      </c>
      <c r="F3012" s="384">
        <f t="shared" ca="1" si="168"/>
        <v>33</v>
      </c>
      <c r="G3012" s="384" t="s">
        <v>3778</v>
      </c>
      <c r="H3012" s="388"/>
      <c r="I3012" s="388"/>
    </row>
    <row r="3013" spans="1:9" x14ac:dyDescent="0.3">
      <c r="A3013" s="384" t="b">
        <v>0</v>
      </c>
      <c r="B3013" s="384" t="s">
        <v>4038</v>
      </c>
      <c r="C3013" s="389">
        <v>25</v>
      </c>
      <c r="D3013" s="384">
        <f t="shared" si="166"/>
        <v>-332</v>
      </c>
      <c r="E3013" s="384">
        <f t="shared" ca="1" si="167"/>
        <v>4</v>
      </c>
      <c r="F3013" s="384">
        <f t="shared" ca="1" si="168"/>
        <v>33</v>
      </c>
      <c r="G3013" s="384" t="s">
        <v>3778</v>
      </c>
      <c r="H3013" s="388"/>
      <c r="I3013" s="388"/>
    </row>
    <row r="3014" spans="1:9" x14ac:dyDescent="0.3">
      <c r="A3014" s="384" t="b">
        <v>0</v>
      </c>
      <c r="B3014" s="384" t="s">
        <v>4039</v>
      </c>
      <c r="C3014" s="389">
        <v>25</v>
      </c>
      <c r="D3014" s="384">
        <f t="shared" si="166"/>
        <v>-331</v>
      </c>
      <c r="E3014" s="384">
        <f t="shared" ca="1" si="167"/>
        <v>5</v>
      </c>
      <c r="F3014" s="384">
        <f t="shared" ca="1" si="168"/>
        <v>33</v>
      </c>
      <c r="G3014" s="384" t="s">
        <v>3778</v>
      </c>
      <c r="H3014" s="388"/>
      <c r="I3014" s="388"/>
    </row>
    <row r="3015" spans="1:9" x14ac:dyDescent="0.3">
      <c r="A3015" s="384" t="b">
        <v>0</v>
      </c>
      <c r="B3015" s="384" t="s">
        <v>4040</v>
      </c>
      <c r="C3015" s="389">
        <v>25</v>
      </c>
      <c r="D3015" s="384">
        <f t="shared" si="166"/>
        <v>-330</v>
      </c>
      <c r="E3015" s="384">
        <f t="shared" ca="1" si="167"/>
        <v>6</v>
      </c>
      <c r="F3015" s="384">
        <f t="shared" ca="1" si="168"/>
        <v>33</v>
      </c>
      <c r="G3015" s="384" t="s">
        <v>3778</v>
      </c>
      <c r="H3015" s="388"/>
      <c r="I3015" s="388"/>
    </row>
    <row r="3016" spans="1:9" x14ac:dyDescent="0.3">
      <c r="A3016" s="384" t="b">
        <v>0</v>
      </c>
      <c r="B3016" s="384" t="s">
        <v>4041</v>
      </c>
      <c r="C3016" s="389">
        <v>26</v>
      </c>
      <c r="D3016" s="384">
        <f t="shared" si="166"/>
        <v>-329</v>
      </c>
      <c r="E3016" s="384">
        <f t="shared" ca="1" si="167"/>
        <v>1</v>
      </c>
      <c r="F3016" s="384">
        <f t="shared" ca="1" si="168"/>
        <v>34</v>
      </c>
      <c r="G3016" s="384" t="s">
        <v>3780</v>
      </c>
      <c r="H3016" s="388"/>
      <c r="I3016" s="388"/>
    </row>
    <row r="3017" spans="1:9" x14ac:dyDescent="0.3">
      <c r="A3017" s="384" t="b">
        <v>0</v>
      </c>
      <c r="B3017" s="384" t="s">
        <v>4042</v>
      </c>
      <c r="C3017" s="389">
        <v>26</v>
      </c>
      <c r="D3017" s="384">
        <f t="shared" si="166"/>
        <v>-328</v>
      </c>
      <c r="E3017" s="384">
        <f t="shared" ca="1" si="167"/>
        <v>2</v>
      </c>
      <c r="F3017" s="384">
        <f t="shared" ca="1" si="168"/>
        <v>34</v>
      </c>
      <c r="G3017" s="384" t="s">
        <v>3780</v>
      </c>
      <c r="H3017" s="388"/>
      <c r="I3017" s="388"/>
    </row>
    <row r="3018" spans="1:9" x14ac:dyDescent="0.3">
      <c r="A3018" s="384" t="b">
        <v>0</v>
      </c>
      <c r="B3018" s="384" t="s">
        <v>4043</v>
      </c>
      <c r="C3018" s="389">
        <v>26</v>
      </c>
      <c r="D3018" s="384">
        <f t="shared" si="166"/>
        <v>-327</v>
      </c>
      <c r="E3018" s="384">
        <f t="shared" ca="1" si="167"/>
        <v>3</v>
      </c>
      <c r="F3018" s="384">
        <f t="shared" ca="1" si="168"/>
        <v>34</v>
      </c>
      <c r="G3018" s="384" t="s">
        <v>3780</v>
      </c>
      <c r="H3018" s="388"/>
      <c r="I3018" s="388"/>
    </row>
    <row r="3019" spans="1:9" x14ac:dyDescent="0.3">
      <c r="A3019" s="384" t="b">
        <v>0</v>
      </c>
      <c r="B3019" s="384" t="s">
        <v>4044</v>
      </c>
      <c r="C3019" s="389">
        <v>26</v>
      </c>
      <c r="D3019" s="384">
        <f t="shared" si="166"/>
        <v>-326</v>
      </c>
      <c r="E3019" s="384">
        <f t="shared" ca="1" si="167"/>
        <v>4</v>
      </c>
      <c r="F3019" s="384">
        <f t="shared" ca="1" si="168"/>
        <v>34</v>
      </c>
      <c r="G3019" s="384" t="s">
        <v>3780</v>
      </c>
      <c r="H3019" s="388"/>
      <c r="I3019" s="388"/>
    </row>
    <row r="3020" spans="1:9" x14ac:dyDescent="0.3">
      <c r="A3020" s="384" t="b">
        <v>0</v>
      </c>
      <c r="B3020" s="384" t="s">
        <v>4045</v>
      </c>
      <c r="C3020" s="389">
        <v>26</v>
      </c>
      <c r="D3020" s="384">
        <f t="shared" si="166"/>
        <v>-325</v>
      </c>
      <c r="E3020" s="384">
        <f t="shared" ca="1" si="167"/>
        <v>5</v>
      </c>
      <c r="F3020" s="384">
        <f t="shared" ca="1" si="168"/>
        <v>34</v>
      </c>
      <c r="G3020" s="384" t="s">
        <v>3780</v>
      </c>
      <c r="H3020" s="388"/>
      <c r="I3020" s="388"/>
    </row>
    <row r="3021" spans="1:9" x14ac:dyDescent="0.3">
      <c r="A3021" s="384" t="b">
        <v>0</v>
      </c>
      <c r="B3021" s="384" t="s">
        <v>4046</v>
      </c>
      <c r="C3021" s="389">
        <v>26</v>
      </c>
      <c r="D3021" s="384">
        <f t="shared" si="166"/>
        <v>-324</v>
      </c>
      <c r="E3021" s="384">
        <f t="shared" ca="1" si="167"/>
        <v>6</v>
      </c>
      <c r="F3021" s="384">
        <f t="shared" ca="1" si="168"/>
        <v>34</v>
      </c>
      <c r="G3021" s="384" t="s">
        <v>3780</v>
      </c>
      <c r="H3021" s="388"/>
      <c r="I3021" s="388"/>
    </row>
    <row r="3022" spans="1:9" x14ac:dyDescent="0.3">
      <c r="A3022" s="384" t="b">
        <v>0</v>
      </c>
      <c r="B3022" s="384" t="s">
        <v>4047</v>
      </c>
      <c r="C3022" s="389">
        <v>27</v>
      </c>
      <c r="D3022" s="384">
        <f t="shared" si="166"/>
        <v>-323</v>
      </c>
      <c r="E3022" s="384">
        <f t="shared" ca="1" si="167"/>
        <v>1</v>
      </c>
      <c r="F3022" s="384">
        <f t="shared" ca="1" si="168"/>
        <v>35</v>
      </c>
      <c r="G3022" s="384" t="s">
        <v>3782</v>
      </c>
      <c r="H3022" s="388"/>
      <c r="I3022" s="388"/>
    </row>
    <row r="3023" spans="1:9" x14ac:dyDescent="0.3">
      <c r="A3023" s="384" t="b">
        <v>0</v>
      </c>
      <c r="B3023" s="384" t="s">
        <v>4048</v>
      </c>
      <c r="C3023" s="389">
        <v>27</v>
      </c>
      <c r="D3023" s="384">
        <f t="shared" si="166"/>
        <v>-322</v>
      </c>
      <c r="E3023" s="384">
        <f t="shared" ca="1" si="167"/>
        <v>2</v>
      </c>
      <c r="F3023" s="384">
        <f t="shared" ca="1" si="168"/>
        <v>35</v>
      </c>
      <c r="G3023" s="384" t="s">
        <v>3782</v>
      </c>
      <c r="H3023" s="388"/>
      <c r="I3023" s="388"/>
    </row>
    <row r="3024" spans="1:9" x14ac:dyDescent="0.3">
      <c r="A3024" s="384" t="b">
        <v>0</v>
      </c>
      <c r="B3024" s="384" t="s">
        <v>4049</v>
      </c>
      <c r="C3024" s="389">
        <v>27</v>
      </c>
      <c r="D3024" s="384">
        <f t="shared" si="166"/>
        <v>-321</v>
      </c>
      <c r="E3024" s="384">
        <f t="shared" ca="1" si="167"/>
        <v>3</v>
      </c>
      <c r="F3024" s="384">
        <f t="shared" ca="1" si="168"/>
        <v>35</v>
      </c>
      <c r="G3024" s="384" t="s">
        <v>3782</v>
      </c>
      <c r="H3024" s="388"/>
      <c r="I3024" s="388"/>
    </row>
    <row r="3025" spans="1:9" x14ac:dyDescent="0.3">
      <c r="A3025" s="384" t="b">
        <v>0</v>
      </c>
      <c r="B3025" s="384" t="s">
        <v>4050</v>
      </c>
      <c r="C3025" s="389">
        <v>27</v>
      </c>
      <c r="D3025" s="384">
        <f t="shared" si="166"/>
        <v>-320</v>
      </c>
      <c r="E3025" s="384">
        <f t="shared" ca="1" si="167"/>
        <v>4</v>
      </c>
      <c r="F3025" s="384">
        <f t="shared" ca="1" si="168"/>
        <v>35</v>
      </c>
      <c r="G3025" s="384" t="s">
        <v>3782</v>
      </c>
      <c r="H3025" s="388"/>
      <c r="I3025" s="388"/>
    </row>
    <row r="3026" spans="1:9" x14ac:dyDescent="0.3">
      <c r="A3026" s="384" t="b">
        <v>0</v>
      </c>
      <c r="B3026" s="384" t="s">
        <v>4051</v>
      </c>
      <c r="C3026" s="389">
        <v>27</v>
      </c>
      <c r="D3026" s="384">
        <f t="shared" si="166"/>
        <v>-319</v>
      </c>
      <c r="E3026" s="384">
        <f t="shared" ca="1" si="167"/>
        <v>5</v>
      </c>
      <c r="F3026" s="384">
        <f t="shared" ca="1" si="168"/>
        <v>35</v>
      </c>
      <c r="G3026" s="384" t="s">
        <v>3782</v>
      </c>
      <c r="H3026" s="388"/>
      <c r="I3026" s="388"/>
    </row>
    <row r="3027" spans="1:9" x14ac:dyDescent="0.3">
      <c r="A3027" s="384" t="b">
        <v>0</v>
      </c>
      <c r="B3027" s="384" t="s">
        <v>4052</v>
      </c>
      <c r="C3027" s="389">
        <v>27</v>
      </c>
      <c r="D3027" s="384">
        <f t="shared" si="166"/>
        <v>-318</v>
      </c>
      <c r="E3027" s="384">
        <f t="shared" ca="1" si="167"/>
        <v>6</v>
      </c>
      <c r="F3027" s="384">
        <f t="shared" ca="1" si="168"/>
        <v>35</v>
      </c>
      <c r="G3027" s="384" t="s">
        <v>3782</v>
      </c>
      <c r="H3027" s="388"/>
      <c r="I3027" s="388"/>
    </row>
    <row r="3028" spans="1:9" x14ac:dyDescent="0.3">
      <c r="A3028" s="384" t="b">
        <v>0</v>
      </c>
      <c r="B3028" s="384" t="s">
        <v>4053</v>
      </c>
      <c r="C3028" s="389">
        <v>28</v>
      </c>
      <c r="D3028" s="384">
        <f t="shared" si="166"/>
        <v>-317</v>
      </c>
      <c r="E3028" s="384">
        <f t="shared" ca="1" si="167"/>
        <v>1</v>
      </c>
      <c r="F3028" s="384">
        <f t="shared" ca="1" si="168"/>
        <v>36</v>
      </c>
      <c r="G3028" s="384" t="s">
        <v>3784</v>
      </c>
      <c r="H3028" s="388"/>
      <c r="I3028" s="388"/>
    </row>
    <row r="3029" spans="1:9" x14ac:dyDescent="0.3">
      <c r="A3029" s="384" t="b">
        <v>0</v>
      </c>
      <c r="B3029" s="384" t="s">
        <v>4054</v>
      </c>
      <c r="C3029" s="389">
        <v>28</v>
      </c>
      <c r="D3029" s="384">
        <f t="shared" si="166"/>
        <v>-316</v>
      </c>
      <c r="E3029" s="384">
        <f t="shared" ca="1" si="167"/>
        <v>2</v>
      </c>
      <c r="F3029" s="384">
        <f t="shared" ca="1" si="168"/>
        <v>36</v>
      </c>
      <c r="G3029" s="384" t="s">
        <v>3784</v>
      </c>
      <c r="H3029" s="388"/>
      <c r="I3029" s="388"/>
    </row>
    <row r="3030" spans="1:9" x14ac:dyDescent="0.3">
      <c r="A3030" s="384" t="b">
        <v>0</v>
      </c>
      <c r="B3030" s="384" t="s">
        <v>4055</v>
      </c>
      <c r="C3030" s="389">
        <v>28</v>
      </c>
      <c r="D3030" s="384">
        <f t="shared" si="166"/>
        <v>-315</v>
      </c>
      <c r="E3030" s="384">
        <f t="shared" ca="1" si="167"/>
        <v>3</v>
      </c>
      <c r="F3030" s="384">
        <f t="shared" ca="1" si="168"/>
        <v>36</v>
      </c>
      <c r="G3030" s="384" t="s">
        <v>3784</v>
      </c>
      <c r="H3030" s="388"/>
      <c r="I3030" s="388"/>
    </row>
    <row r="3031" spans="1:9" x14ac:dyDescent="0.3">
      <c r="A3031" s="384" t="b">
        <v>0</v>
      </c>
      <c r="B3031" s="384" t="s">
        <v>4056</v>
      </c>
      <c r="C3031" s="389">
        <v>28</v>
      </c>
      <c r="D3031" s="384">
        <f t="shared" si="166"/>
        <v>-314</v>
      </c>
      <c r="E3031" s="384">
        <f t="shared" ca="1" si="167"/>
        <v>4</v>
      </c>
      <c r="F3031" s="384">
        <f t="shared" ca="1" si="168"/>
        <v>36</v>
      </c>
      <c r="G3031" s="384" t="s">
        <v>3784</v>
      </c>
      <c r="H3031" s="388"/>
      <c r="I3031" s="388"/>
    </row>
    <row r="3032" spans="1:9" x14ac:dyDescent="0.3">
      <c r="A3032" s="384" t="b">
        <v>0</v>
      </c>
      <c r="B3032" s="384" t="s">
        <v>4057</v>
      </c>
      <c r="C3032" s="389">
        <v>28</v>
      </c>
      <c r="D3032" s="384">
        <f t="shared" si="166"/>
        <v>-313</v>
      </c>
      <c r="E3032" s="384">
        <f t="shared" ca="1" si="167"/>
        <v>5</v>
      </c>
      <c r="F3032" s="384">
        <f t="shared" ca="1" si="168"/>
        <v>36</v>
      </c>
      <c r="G3032" s="384" t="s">
        <v>3784</v>
      </c>
      <c r="H3032" s="388"/>
      <c r="I3032" s="388"/>
    </row>
    <row r="3033" spans="1:9" x14ac:dyDescent="0.3">
      <c r="A3033" s="384" t="b">
        <v>0</v>
      </c>
      <c r="B3033" s="384" t="s">
        <v>4058</v>
      </c>
      <c r="C3033" s="389">
        <v>28</v>
      </c>
      <c r="D3033" s="384">
        <f t="shared" si="166"/>
        <v>-312</v>
      </c>
      <c r="E3033" s="384">
        <f t="shared" ca="1" si="167"/>
        <v>6</v>
      </c>
      <c r="F3033" s="384">
        <f t="shared" ca="1" si="168"/>
        <v>36</v>
      </c>
      <c r="G3033" s="384" t="s">
        <v>3784</v>
      </c>
      <c r="H3033" s="388"/>
      <c r="I3033" s="388"/>
    </row>
    <row r="3034" spans="1:9" x14ac:dyDescent="0.3">
      <c r="A3034" s="384" t="b">
        <v>0</v>
      </c>
      <c r="B3034" s="384" t="s">
        <v>4059</v>
      </c>
      <c r="C3034" s="389">
        <v>29</v>
      </c>
      <c r="D3034" s="384">
        <f t="shared" si="166"/>
        <v>-311</v>
      </c>
      <c r="E3034" s="384">
        <f t="shared" ca="1" si="167"/>
        <v>1</v>
      </c>
      <c r="F3034" s="384">
        <f t="shared" ca="1" si="168"/>
        <v>37</v>
      </c>
      <c r="G3034" s="384" t="s">
        <v>3786</v>
      </c>
      <c r="H3034" s="388"/>
      <c r="I3034" s="388"/>
    </row>
    <row r="3035" spans="1:9" x14ac:dyDescent="0.3">
      <c r="A3035" s="384" t="b">
        <v>0</v>
      </c>
      <c r="B3035" s="384" t="s">
        <v>4060</v>
      </c>
      <c r="C3035" s="389">
        <v>29</v>
      </c>
      <c r="D3035" s="384">
        <f t="shared" si="166"/>
        <v>-310</v>
      </c>
      <c r="E3035" s="384">
        <f t="shared" ca="1" si="167"/>
        <v>2</v>
      </c>
      <c r="F3035" s="384">
        <f t="shared" ca="1" si="168"/>
        <v>37</v>
      </c>
      <c r="G3035" s="384" t="s">
        <v>3786</v>
      </c>
      <c r="H3035" s="388"/>
      <c r="I3035" s="388"/>
    </row>
    <row r="3036" spans="1:9" x14ac:dyDescent="0.3">
      <c r="A3036" s="384" t="b">
        <v>0</v>
      </c>
      <c r="B3036" s="384" t="s">
        <v>4061</v>
      </c>
      <c r="C3036" s="389">
        <v>29</v>
      </c>
      <c r="D3036" s="384">
        <f t="shared" si="166"/>
        <v>-309</v>
      </c>
      <c r="E3036" s="384">
        <f t="shared" si="167"/>
        <v>3</v>
      </c>
      <c r="F3036" s="384">
        <f t="shared" ca="1" si="168"/>
        <v>37</v>
      </c>
      <c r="G3036" s="384" t="s">
        <v>3786</v>
      </c>
      <c r="H3036" s="388"/>
      <c r="I3036" s="388"/>
    </row>
    <row r="3037" spans="1:9" x14ac:dyDescent="0.3">
      <c r="A3037" s="384" t="b">
        <v>0</v>
      </c>
      <c r="B3037" s="384" t="s">
        <v>4062</v>
      </c>
      <c r="C3037" s="389">
        <v>29</v>
      </c>
      <c r="D3037" s="384">
        <f t="shared" si="166"/>
        <v>-308</v>
      </c>
      <c r="E3037" s="384">
        <f t="shared" si="167"/>
        <v>4</v>
      </c>
      <c r="F3037" s="384">
        <f t="shared" ca="1" si="168"/>
        <v>37</v>
      </c>
      <c r="G3037" s="384" t="s">
        <v>3786</v>
      </c>
      <c r="H3037" s="388"/>
      <c r="I3037" s="388"/>
    </row>
    <row r="3038" spans="1:9" x14ac:dyDescent="0.3">
      <c r="A3038" s="384" t="b">
        <v>0</v>
      </c>
      <c r="B3038" s="384" t="s">
        <v>4063</v>
      </c>
      <c r="C3038" s="389">
        <v>29</v>
      </c>
      <c r="D3038" s="384">
        <f t="shared" si="166"/>
        <v>-307</v>
      </c>
      <c r="E3038" s="384">
        <f t="shared" si="167"/>
        <v>5</v>
      </c>
      <c r="F3038" s="384">
        <f t="shared" ca="1" si="168"/>
        <v>37</v>
      </c>
      <c r="G3038" s="384" t="s">
        <v>3786</v>
      </c>
      <c r="H3038" s="388"/>
      <c r="I3038" s="388"/>
    </row>
    <row r="3039" spans="1:9" x14ac:dyDescent="0.3">
      <c r="A3039" s="384" t="b">
        <v>0</v>
      </c>
      <c r="B3039" s="384" t="s">
        <v>4064</v>
      </c>
      <c r="C3039" s="389">
        <v>29</v>
      </c>
      <c r="D3039" s="384">
        <f t="shared" si="166"/>
        <v>-306</v>
      </c>
      <c r="E3039" s="384">
        <f t="shared" si="167"/>
        <v>6</v>
      </c>
      <c r="F3039" s="384">
        <f t="shared" ca="1" si="168"/>
        <v>37</v>
      </c>
      <c r="G3039" s="384" t="s">
        <v>3786</v>
      </c>
      <c r="H3039" s="388"/>
      <c r="I3039" s="388"/>
    </row>
    <row r="3040" spans="1:9" x14ac:dyDescent="0.3">
      <c r="A3040" s="384" t="b">
        <v>0</v>
      </c>
      <c r="B3040" s="384" t="s">
        <v>4065</v>
      </c>
      <c r="C3040" s="389">
        <v>30</v>
      </c>
      <c r="D3040" s="384">
        <f t="shared" si="166"/>
        <v>-305</v>
      </c>
      <c r="E3040" s="384">
        <f t="shared" si="167"/>
        <v>1</v>
      </c>
      <c r="F3040" s="384">
        <f t="shared" ca="1" si="168"/>
        <v>38</v>
      </c>
      <c r="G3040" s="384" t="s">
        <v>3788</v>
      </c>
      <c r="H3040" s="388"/>
      <c r="I3040" s="388"/>
    </row>
    <row r="3041" spans="1:9" x14ac:dyDescent="0.3">
      <c r="A3041" s="384" t="b">
        <v>0</v>
      </c>
      <c r="B3041" s="384" t="s">
        <v>4066</v>
      </c>
      <c r="C3041" s="389">
        <v>30</v>
      </c>
      <c r="D3041" s="384">
        <f t="shared" si="166"/>
        <v>-304</v>
      </c>
      <c r="E3041" s="384">
        <f t="shared" si="167"/>
        <v>2</v>
      </c>
      <c r="F3041" s="384">
        <f t="shared" ca="1" si="168"/>
        <v>38</v>
      </c>
      <c r="G3041" s="384" t="s">
        <v>3788</v>
      </c>
      <c r="H3041" s="388"/>
      <c r="I3041" s="388"/>
    </row>
    <row r="3042" spans="1:9" x14ac:dyDescent="0.3">
      <c r="A3042" s="384" t="b">
        <v>0</v>
      </c>
      <c r="B3042" s="384" t="s">
        <v>4067</v>
      </c>
      <c r="C3042" s="389">
        <v>30</v>
      </c>
      <c r="D3042" s="384">
        <f t="shared" si="166"/>
        <v>-303</v>
      </c>
      <c r="E3042" s="384">
        <f t="shared" si="167"/>
        <v>3</v>
      </c>
      <c r="F3042" s="384">
        <f t="shared" ca="1" si="168"/>
        <v>38</v>
      </c>
      <c r="G3042" s="384" t="s">
        <v>3788</v>
      </c>
      <c r="H3042" s="388"/>
      <c r="I3042" s="388"/>
    </row>
    <row r="3043" spans="1:9" x14ac:dyDescent="0.3">
      <c r="A3043" s="384" t="b">
        <v>0</v>
      </c>
      <c r="B3043" s="384" t="s">
        <v>4068</v>
      </c>
      <c r="C3043" s="389">
        <v>30</v>
      </c>
      <c r="D3043" s="384">
        <f t="shared" si="166"/>
        <v>-302</v>
      </c>
      <c r="E3043" s="384">
        <f t="shared" si="167"/>
        <v>4</v>
      </c>
      <c r="F3043" s="384">
        <f t="shared" ca="1" si="168"/>
        <v>38</v>
      </c>
      <c r="G3043" s="384" t="s">
        <v>3788</v>
      </c>
      <c r="H3043" s="388"/>
      <c r="I3043" s="388"/>
    </row>
    <row r="3044" spans="1:9" x14ac:dyDescent="0.3">
      <c r="A3044" s="384" t="b">
        <v>0</v>
      </c>
      <c r="B3044" s="384" t="s">
        <v>4069</v>
      </c>
      <c r="C3044" s="389">
        <v>30</v>
      </c>
      <c r="D3044" s="384">
        <f t="shared" si="166"/>
        <v>-301</v>
      </c>
      <c r="E3044" s="384">
        <f t="shared" si="167"/>
        <v>5</v>
      </c>
      <c r="F3044" s="384">
        <f t="shared" ca="1" si="168"/>
        <v>38</v>
      </c>
      <c r="G3044" s="384" t="s">
        <v>3788</v>
      </c>
      <c r="H3044" s="388"/>
      <c r="I3044" s="388"/>
    </row>
    <row r="3045" spans="1:9" x14ac:dyDescent="0.3">
      <c r="A3045" s="384" t="b">
        <v>0</v>
      </c>
      <c r="B3045" s="384" t="s">
        <v>4070</v>
      </c>
      <c r="C3045" s="389">
        <v>30</v>
      </c>
      <c r="D3045" s="384">
        <f t="shared" si="166"/>
        <v>-300</v>
      </c>
      <c r="E3045" s="384">
        <f t="shared" si="167"/>
        <v>6</v>
      </c>
      <c r="F3045" s="384">
        <f t="shared" ca="1" si="168"/>
        <v>38</v>
      </c>
      <c r="G3045" s="384" t="s">
        <v>3788</v>
      </c>
      <c r="H3045" s="388"/>
      <c r="I3045" s="388"/>
    </row>
    <row r="3046" spans="1:9" x14ac:dyDescent="0.3">
      <c r="A3046" s="384" t="b">
        <v>0</v>
      </c>
      <c r="B3046" s="384" t="s">
        <v>4071</v>
      </c>
      <c r="C3046" s="389">
        <v>31</v>
      </c>
      <c r="D3046" s="384">
        <f t="shared" si="166"/>
        <v>-299</v>
      </c>
      <c r="E3046" s="384">
        <f t="shared" si="167"/>
        <v>1</v>
      </c>
      <c r="F3046" s="384">
        <f t="shared" ca="1" si="168"/>
        <v>39</v>
      </c>
      <c r="G3046" s="384" t="s">
        <v>3790</v>
      </c>
      <c r="H3046" s="388"/>
      <c r="I3046" s="388"/>
    </row>
    <row r="3047" spans="1:9" x14ac:dyDescent="0.3">
      <c r="A3047" s="384" t="b">
        <v>0</v>
      </c>
      <c r="B3047" s="384" t="s">
        <v>4072</v>
      </c>
      <c r="C3047" s="389">
        <v>31</v>
      </c>
      <c r="D3047" s="384">
        <f t="shared" si="166"/>
        <v>-298</v>
      </c>
      <c r="E3047" s="384">
        <f t="shared" si="167"/>
        <v>2</v>
      </c>
      <c r="F3047" s="384">
        <f t="shared" ca="1" si="168"/>
        <v>39</v>
      </c>
      <c r="G3047" s="384" t="s">
        <v>3790</v>
      </c>
      <c r="H3047" s="388"/>
      <c r="I3047" s="388"/>
    </row>
    <row r="3048" spans="1:9" x14ac:dyDescent="0.3">
      <c r="A3048" s="384" t="b">
        <v>0</v>
      </c>
      <c r="B3048" s="384" t="s">
        <v>4073</v>
      </c>
      <c r="C3048" s="389">
        <v>31</v>
      </c>
      <c r="D3048" s="384">
        <f t="shared" si="166"/>
        <v>-297</v>
      </c>
      <c r="E3048" s="384">
        <f t="shared" si="167"/>
        <v>3</v>
      </c>
      <c r="F3048" s="384">
        <f t="shared" ca="1" si="168"/>
        <v>39</v>
      </c>
      <c r="G3048" s="384" t="s">
        <v>3790</v>
      </c>
      <c r="H3048" s="388"/>
      <c r="I3048" s="388"/>
    </row>
    <row r="3049" spans="1:9" x14ac:dyDescent="0.3">
      <c r="A3049" s="384" t="b">
        <v>0</v>
      </c>
      <c r="B3049" s="384" t="s">
        <v>4074</v>
      </c>
      <c r="C3049" s="389">
        <v>31</v>
      </c>
      <c r="D3049" s="384">
        <f t="shared" si="166"/>
        <v>-296</v>
      </c>
      <c r="E3049" s="384">
        <f t="shared" si="167"/>
        <v>4</v>
      </c>
      <c r="F3049" s="384">
        <f t="shared" ca="1" si="168"/>
        <v>39</v>
      </c>
      <c r="G3049" s="384" t="s">
        <v>3790</v>
      </c>
      <c r="H3049" s="388"/>
      <c r="I3049" s="388"/>
    </row>
    <row r="3050" spans="1:9" x14ac:dyDescent="0.3">
      <c r="A3050" s="384" t="b">
        <v>0</v>
      </c>
      <c r="B3050" s="384" t="s">
        <v>4075</v>
      </c>
      <c r="C3050" s="389">
        <v>31</v>
      </c>
      <c r="D3050" s="384">
        <f t="shared" si="166"/>
        <v>-295</v>
      </c>
      <c r="E3050" s="384">
        <f t="shared" si="167"/>
        <v>5</v>
      </c>
      <c r="F3050" s="384">
        <f t="shared" ca="1" si="168"/>
        <v>39</v>
      </c>
      <c r="G3050" s="384" t="s">
        <v>3790</v>
      </c>
      <c r="H3050" s="388"/>
      <c r="I3050" s="388"/>
    </row>
    <row r="3051" spans="1:9" x14ac:dyDescent="0.3">
      <c r="A3051" s="384" t="b">
        <v>0</v>
      </c>
      <c r="B3051" s="384" t="s">
        <v>4076</v>
      </c>
      <c r="C3051" s="389">
        <v>31</v>
      </c>
      <c r="D3051" s="384">
        <f t="shared" si="166"/>
        <v>-294</v>
      </c>
      <c r="E3051" s="384">
        <f t="shared" si="167"/>
        <v>6</v>
      </c>
      <c r="F3051" s="384">
        <f t="shared" ca="1" si="168"/>
        <v>39</v>
      </c>
      <c r="G3051" s="384" t="s">
        <v>3790</v>
      </c>
      <c r="H3051" s="388"/>
      <c r="I3051" s="388"/>
    </row>
    <row r="3052" spans="1:9" x14ac:dyDescent="0.3">
      <c r="A3052" s="384" t="b">
        <v>0</v>
      </c>
      <c r="B3052" s="384" t="s">
        <v>4077</v>
      </c>
      <c r="C3052" s="389">
        <v>32</v>
      </c>
      <c r="D3052" s="384">
        <f t="shared" si="166"/>
        <v>-293</v>
      </c>
      <c r="E3052" s="384">
        <f t="shared" si="167"/>
        <v>1</v>
      </c>
      <c r="F3052" s="384">
        <f t="shared" ca="1" si="168"/>
        <v>40</v>
      </c>
      <c r="G3052" s="384" t="s">
        <v>3792</v>
      </c>
      <c r="H3052" s="388"/>
      <c r="I3052" s="388"/>
    </row>
    <row r="3053" spans="1:9" x14ac:dyDescent="0.3">
      <c r="A3053" s="384" t="b">
        <v>0</v>
      </c>
      <c r="B3053" s="384" t="s">
        <v>4078</v>
      </c>
      <c r="C3053" s="389">
        <v>32</v>
      </c>
      <c r="D3053" s="384">
        <f t="shared" si="166"/>
        <v>-292</v>
      </c>
      <c r="E3053" s="384">
        <f t="shared" si="167"/>
        <v>2</v>
      </c>
      <c r="F3053" s="384">
        <f t="shared" ca="1" si="168"/>
        <v>40</v>
      </c>
      <c r="G3053" s="384" t="s">
        <v>3792</v>
      </c>
      <c r="H3053" s="388"/>
      <c r="I3053" s="388"/>
    </row>
    <row r="3054" spans="1:9" x14ac:dyDescent="0.3">
      <c r="A3054" s="384" t="b">
        <v>0</v>
      </c>
      <c r="B3054" s="384" t="s">
        <v>4079</v>
      </c>
      <c r="C3054" s="389">
        <v>32</v>
      </c>
      <c r="D3054" s="384">
        <f t="shared" si="166"/>
        <v>-291</v>
      </c>
      <c r="E3054" s="384">
        <f t="shared" si="167"/>
        <v>3</v>
      </c>
      <c r="F3054" s="384">
        <f t="shared" ca="1" si="168"/>
        <v>40</v>
      </c>
      <c r="G3054" s="384" t="s">
        <v>3792</v>
      </c>
      <c r="H3054" s="388"/>
      <c r="I3054" s="388"/>
    </row>
    <row r="3055" spans="1:9" x14ac:dyDescent="0.3">
      <c r="A3055" s="384" t="b">
        <v>0</v>
      </c>
      <c r="B3055" s="384" t="s">
        <v>4080</v>
      </c>
      <c r="C3055" s="389">
        <v>32</v>
      </c>
      <c r="D3055" s="384">
        <f t="shared" si="166"/>
        <v>-290</v>
      </c>
      <c r="E3055" s="384">
        <f t="shared" si="167"/>
        <v>4</v>
      </c>
      <c r="F3055" s="384">
        <f t="shared" ca="1" si="168"/>
        <v>40</v>
      </c>
      <c r="G3055" s="384" t="s">
        <v>3792</v>
      </c>
      <c r="H3055" s="388"/>
      <c r="I3055" s="388"/>
    </row>
    <row r="3056" spans="1:9" x14ac:dyDescent="0.3">
      <c r="A3056" s="384" t="b">
        <v>0</v>
      </c>
      <c r="B3056" s="384" t="s">
        <v>4081</v>
      </c>
      <c r="C3056" s="389">
        <v>32</v>
      </c>
      <c r="D3056" s="384">
        <f t="shared" si="166"/>
        <v>-289</v>
      </c>
      <c r="E3056" s="384">
        <f t="shared" si="167"/>
        <v>5</v>
      </c>
      <c r="F3056" s="384">
        <f t="shared" ca="1" si="168"/>
        <v>40</v>
      </c>
      <c r="G3056" s="384" t="s">
        <v>3792</v>
      </c>
      <c r="H3056" s="388"/>
      <c r="I3056" s="388"/>
    </row>
    <row r="3057" spans="1:9" x14ac:dyDescent="0.3">
      <c r="A3057" s="384" t="b">
        <v>0</v>
      </c>
      <c r="B3057" s="384" t="s">
        <v>4082</v>
      </c>
      <c r="C3057" s="389">
        <v>32</v>
      </c>
      <c r="D3057" s="384">
        <f t="shared" si="166"/>
        <v>-288</v>
      </c>
      <c r="E3057" s="384">
        <f t="shared" si="167"/>
        <v>6</v>
      </c>
      <c r="F3057" s="384">
        <f t="shared" ca="1" si="168"/>
        <v>40</v>
      </c>
      <c r="G3057" s="384" t="s">
        <v>3792</v>
      </c>
      <c r="H3057" s="388"/>
      <c r="I3057" s="388"/>
    </row>
    <row r="3058" spans="1:9" x14ac:dyDescent="0.3">
      <c r="A3058" s="384" t="b">
        <v>0</v>
      </c>
      <c r="B3058" s="384" t="s">
        <v>4083</v>
      </c>
      <c r="C3058" s="389">
        <v>33</v>
      </c>
      <c r="D3058" s="384">
        <f t="shared" ref="D3058:D3121" si="169">D3057+1</f>
        <v>-287</v>
      </c>
      <c r="E3058" s="384">
        <f t="shared" ref="E3058:E3121" si="170">COUNTIF(C2888:C3058,C3058)</f>
        <v>1</v>
      </c>
      <c r="F3058" s="384">
        <f t="shared" ref="F3058:F3121" ca="1" si="171">IF(C3058=1,9,IF(E3057=MAX(E3056:E3058),F3056+1,F3057))</f>
        <v>41</v>
      </c>
      <c r="G3058" s="384" t="s">
        <v>3794</v>
      </c>
      <c r="H3058" s="388"/>
      <c r="I3058" s="388"/>
    </row>
    <row r="3059" spans="1:9" x14ac:dyDescent="0.3">
      <c r="A3059" s="384" t="b">
        <v>0</v>
      </c>
      <c r="B3059" s="384" t="s">
        <v>4084</v>
      </c>
      <c r="C3059" s="389">
        <v>33</v>
      </c>
      <c r="D3059" s="384">
        <f t="shared" si="169"/>
        <v>-286</v>
      </c>
      <c r="E3059" s="384">
        <f t="shared" si="170"/>
        <v>2</v>
      </c>
      <c r="F3059" s="384">
        <f t="shared" ca="1" si="171"/>
        <v>41</v>
      </c>
      <c r="G3059" s="384" t="s">
        <v>3794</v>
      </c>
      <c r="H3059" s="388"/>
      <c r="I3059" s="388"/>
    </row>
    <row r="3060" spans="1:9" x14ac:dyDescent="0.3">
      <c r="A3060" s="384" t="b">
        <v>0</v>
      </c>
      <c r="B3060" s="384" t="s">
        <v>4085</v>
      </c>
      <c r="C3060" s="389">
        <v>33</v>
      </c>
      <c r="D3060" s="384">
        <f t="shared" si="169"/>
        <v>-285</v>
      </c>
      <c r="E3060" s="384">
        <f t="shared" si="170"/>
        <v>3</v>
      </c>
      <c r="F3060" s="384">
        <f t="shared" ca="1" si="171"/>
        <v>41</v>
      </c>
      <c r="G3060" s="384" t="s">
        <v>3794</v>
      </c>
      <c r="H3060" s="388"/>
      <c r="I3060" s="388"/>
    </row>
    <row r="3061" spans="1:9" x14ac:dyDescent="0.3">
      <c r="A3061" s="384" t="b">
        <v>0</v>
      </c>
      <c r="B3061" s="384" t="s">
        <v>4086</v>
      </c>
      <c r="C3061" s="389">
        <v>33</v>
      </c>
      <c r="D3061" s="384">
        <f t="shared" si="169"/>
        <v>-284</v>
      </c>
      <c r="E3061" s="384">
        <f t="shared" si="170"/>
        <v>4</v>
      </c>
      <c r="F3061" s="384">
        <f t="shared" ca="1" si="171"/>
        <v>41</v>
      </c>
      <c r="G3061" s="384" t="s">
        <v>3794</v>
      </c>
      <c r="H3061" s="388"/>
      <c r="I3061" s="388"/>
    </row>
    <row r="3062" spans="1:9" x14ac:dyDescent="0.3">
      <c r="A3062" s="384" t="b">
        <v>0</v>
      </c>
      <c r="B3062" s="384" t="s">
        <v>4087</v>
      </c>
      <c r="C3062" s="389">
        <v>33</v>
      </c>
      <c r="D3062" s="384">
        <f t="shared" si="169"/>
        <v>-283</v>
      </c>
      <c r="E3062" s="384">
        <f t="shared" si="170"/>
        <v>5</v>
      </c>
      <c r="F3062" s="384">
        <f t="shared" ca="1" si="171"/>
        <v>41</v>
      </c>
      <c r="G3062" s="384" t="s">
        <v>3794</v>
      </c>
      <c r="H3062" s="388"/>
      <c r="I3062" s="388"/>
    </row>
    <row r="3063" spans="1:9" x14ac:dyDescent="0.3">
      <c r="A3063" s="384" t="b">
        <v>0</v>
      </c>
      <c r="B3063" s="384" t="s">
        <v>4088</v>
      </c>
      <c r="C3063" s="389">
        <v>33</v>
      </c>
      <c r="D3063" s="384">
        <f t="shared" si="169"/>
        <v>-282</v>
      </c>
      <c r="E3063" s="384">
        <f t="shared" si="170"/>
        <v>6</v>
      </c>
      <c r="F3063" s="384">
        <f t="shared" ca="1" si="171"/>
        <v>41</v>
      </c>
      <c r="G3063" s="384" t="s">
        <v>3794</v>
      </c>
      <c r="H3063" s="388"/>
      <c r="I3063" s="388"/>
    </row>
    <row r="3064" spans="1:9" x14ac:dyDescent="0.3">
      <c r="A3064" s="384" t="b">
        <v>0</v>
      </c>
      <c r="B3064" s="384" t="s">
        <v>4089</v>
      </c>
      <c r="C3064" s="389">
        <v>34</v>
      </c>
      <c r="D3064" s="384">
        <f t="shared" si="169"/>
        <v>-281</v>
      </c>
      <c r="E3064" s="384">
        <f t="shared" si="170"/>
        <v>1</v>
      </c>
      <c r="F3064" s="384">
        <f t="shared" ca="1" si="171"/>
        <v>42</v>
      </c>
      <c r="G3064" s="384" t="s">
        <v>3796</v>
      </c>
      <c r="H3064" s="388"/>
      <c r="I3064" s="388"/>
    </row>
    <row r="3065" spans="1:9" x14ac:dyDescent="0.3">
      <c r="A3065" s="384" t="b">
        <v>0</v>
      </c>
      <c r="B3065" s="384" t="s">
        <v>4090</v>
      </c>
      <c r="C3065" s="389">
        <v>34</v>
      </c>
      <c r="D3065" s="384">
        <f t="shared" si="169"/>
        <v>-280</v>
      </c>
      <c r="E3065" s="384">
        <f t="shared" si="170"/>
        <v>2</v>
      </c>
      <c r="F3065" s="384">
        <f t="shared" ca="1" si="171"/>
        <v>42</v>
      </c>
      <c r="G3065" s="384" t="s">
        <v>3796</v>
      </c>
      <c r="H3065" s="388"/>
      <c r="I3065" s="388"/>
    </row>
    <row r="3066" spans="1:9" x14ac:dyDescent="0.3">
      <c r="A3066" s="384" t="b">
        <v>0</v>
      </c>
      <c r="B3066" s="384" t="s">
        <v>4091</v>
      </c>
      <c r="C3066" s="389">
        <v>34</v>
      </c>
      <c r="D3066" s="384">
        <f t="shared" si="169"/>
        <v>-279</v>
      </c>
      <c r="E3066" s="384">
        <f t="shared" si="170"/>
        <v>3</v>
      </c>
      <c r="F3066" s="384">
        <f t="shared" ca="1" si="171"/>
        <v>42</v>
      </c>
      <c r="G3066" s="384" t="s">
        <v>3796</v>
      </c>
      <c r="H3066" s="388"/>
      <c r="I3066" s="388"/>
    </row>
    <row r="3067" spans="1:9" x14ac:dyDescent="0.3">
      <c r="A3067" s="384" t="b">
        <v>0</v>
      </c>
      <c r="B3067" s="384" t="s">
        <v>4092</v>
      </c>
      <c r="C3067" s="389">
        <v>34</v>
      </c>
      <c r="D3067" s="384">
        <f t="shared" si="169"/>
        <v>-278</v>
      </c>
      <c r="E3067" s="384">
        <f t="shared" si="170"/>
        <v>4</v>
      </c>
      <c r="F3067" s="384">
        <f t="shared" ca="1" si="171"/>
        <v>42</v>
      </c>
      <c r="G3067" s="384" t="s">
        <v>3796</v>
      </c>
      <c r="H3067" s="388"/>
      <c r="I3067" s="388"/>
    </row>
    <row r="3068" spans="1:9" x14ac:dyDescent="0.3">
      <c r="A3068" s="384" t="b">
        <v>0</v>
      </c>
      <c r="B3068" s="384" t="s">
        <v>4093</v>
      </c>
      <c r="C3068" s="389">
        <v>34</v>
      </c>
      <c r="D3068" s="384">
        <f t="shared" si="169"/>
        <v>-277</v>
      </c>
      <c r="E3068" s="384">
        <f t="shared" si="170"/>
        <v>5</v>
      </c>
      <c r="F3068" s="384">
        <f t="shared" ca="1" si="171"/>
        <v>42</v>
      </c>
      <c r="G3068" s="384" t="s">
        <v>3796</v>
      </c>
      <c r="H3068" s="388"/>
      <c r="I3068" s="388"/>
    </row>
    <row r="3069" spans="1:9" x14ac:dyDescent="0.3">
      <c r="A3069" s="384" t="b">
        <v>0</v>
      </c>
      <c r="B3069" s="384" t="s">
        <v>4094</v>
      </c>
      <c r="C3069" s="389">
        <v>34</v>
      </c>
      <c r="D3069" s="384">
        <f t="shared" si="169"/>
        <v>-276</v>
      </c>
      <c r="E3069" s="384">
        <f t="shared" si="170"/>
        <v>6</v>
      </c>
      <c r="F3069" s="384">
        <f t="shared" ca="1" si="171"/>
        <v>42</v>
      </c>
      <c r="G3069" s="384" t="s">
        <v>3796</v>
      </c>
      <c r="H3069" s="388"/>
      <c r="I3069" s="388"/>
    </row>
    <row r="3070" spans="1:9" x14ac:dyDescent="0.3">
      <c r="A3070" s="384" t="b">
        <v>0</v>
      </c>
      <c r="B3070" s="384" t="s">
        <v>4095</v>
      </c>
      <c r="C3070" s="389">
        <v>35</v>
      </c>
      <c r="D3070" s="384">
        <f t="shared" si="169"/>
        <v>-275</v>
      </c>
      <c r="E3070" s="384">
        <f t="shared" si="170"/>
        <v>1</v>
      </c>
      <c r="F3070" s="384">
        <f t="shared" ca="1" si="171"/>
        <v>43</v>
      </c>
      <c r="G3070" s="384" t="s">
        <v>3798</v>
      </c>
      <c r="H3070" s="388"/>
      <c r="I3070" s="388"/>
    </row>
    <row r="3071" spans="1:9" x14ac:dyDescent="0.3">
      <c r="A3071" s="384" t="b">
        <v>0</v>
      </c>
      <c r="B3071" s="384" t="s">
        <v>4096</v>
      </c>
      <c r="C3071" s="389">
        <v>35</v>
      </c>
      <c r="D3071" s="384">
        <f t="shared" si="169"/>
        <v>-274</v>
      </c>
      <c r="E3071" s="384">
        <f t="shared" si="170"/>
        <v>2</v>
      </c>
      <c r="F3071" s="384">
        <f t="shared" ca="1" si="171"/>
        <v>43</v>
      </c>
      <c r="G3071" s="384" t="s">
        <v>3798</v>
      </c>
      <c r="H3071" s="388"/>
      <c r="I3071" s="388"/>
    </row>
    <row r="3072" spans="1:9" x14ac:dyDescent="0.3">
      <c r="A3072" s="384" t="b">
        <v>0</v>
      </c>
      <c r="B3072" s="384" t="s">
        <v>4097</v>
      </c>
      <c r="C3072" s="389">
        <v>35</v>
      </c>
      <c r="D3072" s="384">
        <f t="shared" si="169"/>
        <v>-273</v>
      </c>
      <c r="E3072" s="384">
        <f t="shared" si="170"/>
        <v>3</v>
      </c>
      <c r="F3072" s="384">
        <f t="shared" ca="1" si="171"/>
        <v>43</v>
      </c>
      <c r="G3072" s="384" t="s">
        <v>3798</v>
      </c>
      <c r="H3072" s="388"/>
      <c r="I3072" s="388"/>
    </row>
    <row r="3073" spans="1:9" x14ac:dyDescent="0.3">
      <c r="A3073" s="384" t="b">
        <v>0</v>
      </c>
      <c r="B3073" s="384" t="s">
        <v>4098</v>
      </c>
      <c r="C3073" s="389">
        <v>35</v>
      </c>
      <c r="D3073" s="384">
        <f t="shared" si="169"/>
        <v>-272</v>
      </c>
      <c r="E3073" s="384">
        <f t="shared" si="170"/>
        <v>4</v>
      </c>
      <c r="F3073" s="384">
        <f t="shared" ca="1" si="171"/>
        <v>43</v>
      </c>
      <c r="G3073" s="384" t="s">
        <v>3798</v>
      </c>
      <c r="H3073" s="388"/>
      <c r="I3073" s="388"/>
    </row>
    <row r="3074" spans="1:9" x14ac:dyDescent="0.3">
      <c r="A3074" s="384" t="b">
        <v>0</v>
      </c>
      <c r="B3074" s="384" t="s">
        <v>4099</v>
      </c>
      <c r="C3074" s="389">
        <v>35</v>
      </c>
      <c r="D3074" s="384">
        <f t="shared" si="169"/>
        <v>-271</v>
      </c>
      <c r="E3074" s="384">
        <f t="shared" si="170"/>
        <v>5</v>
      </c>
      <c r="F3074" s="384">
        <f t="shared" ca="1" si="171"/>
        <v>43</v>
      </c>
      <c r="G3074" s="384" t="s">
        <v>3798</v>
      </c>
      <c r="H3074" s="388"/>
      <c r="I3074" s="388"/>
    </row>
    <row r="3075" spans="1:9" x14ac:dyDescent="0.3">
      <c r="A3075" s="384" t="b">
        <v>0</v>
      </c>
      <c r="B3075" s="384" t="s">
        <v>4100</v>
      </c>
      <c r="C3075" s="389">
        <v>35</v>
      </c>
      <c r="D3075" s="384">
        <f t="shared" si="169"/>
        <v>-270</v>
      </c>
      <c r="E3075" s="384">
        <f t="shared" si="170"/>
        <v>6</v>
      </c>
      <c r="F3075" s="384">
        <f t="shared" ca="1" si="171"/>
        <v>43</v>
      </c>
      <c r="G3075" s="384" t="s">
        <v>3798</v>
      </c>
      <c r="H3075" s="388"/>
      <c r="I3075" s="388"/>
    </row>
    <row r="3076" spans="1:9" x14ac:dyDescent="0.3">
      <c r="A3076" s="384" t="b">
        <v>0</v>
      </c>
      <c r="B3076" s="384" t="s">
        <v>4101</v>
      </c>
      <c r="C3076" s="389">
        <v>36</v>
      </c>
      <c r="D3076" s="384">
        <f t="shared" si="169"/>
        <v>-269</v>
      </c>
      <c r="E3076" s="384">
        <f t="shared" si="170"/>
        <v>1</v>
      </c>
      <c r="F3076" s="384">
        <f t="shared" ca="1" si="171"/>
        <v>44</v>
      </c>
      <c r="G3076" s="384" t="s">
        <v>3800</v>
      </c>
      <c r="H3076" s="388"/>
      <c r="I3076" s="388"/>
    </row>
    <row r="3077" spans="1:9" x14ac:dyDescent="0.3">
      <c r="A3077" s="384" t="b">
        <v>0</v>
      </c>
      <c r="B3077" s="384" t="s">
        <v>4102</v>
      </c>
      <c r="C3077" s="389">
        <v>36</v>
      </c>
      <c r="D3077" s="384">
        <f t="shared" si="169"/>
        <v>-268</v>
      </c>
      <c r="E3077" s="384">
        <f t="shared" si="170"/>
        <v>2</v>
      </c>
      <c r="F3077" s="384">
        <f t="shared" ca="1" si="171"/>
        <v>44</v>
      </c>
      <c r="G3077" s="384" t="s">
        <v>3800</v>
      </c>
      <c r="H3077" s="388"/>
      <c r="I3077" s="388"/>
    </row>
    <row r="3078" spans="1:9" x14ac:dyDescent="0.3">
      <c r="A3078" s="384" t="b">
        <v>0</v>
      </c>
      <c r="B3078" s="384" t="s">
        <v>4103</v>
      </c>
      <c r="C3078" s="389">
        <v>36</v>
      </c>
      <c r="D3078" s="384">
        <f t="shared" si="169"/>
        <v>-267</v>
      </c>
      <c r="E3078" s="384">
        <f t="shared" si="170"/>
        <v>3</v>
      </c>
      <c r="F3078" s="384">
        <f t="shared" ca="1" si="171"/>
        <v>44</v>
      </c>
      <c r="G3078" s="384" t="s">
        <v>3800</v>
      </c>
      <c r="H3078" s="388"/>
      <c r="I3078" s="388"/>
    </row>
    <row r="3079" spans="1:9" x14ac:dyDescent="0.3">
      <c r="A3079" s="384" t="b">
        <v>0</v>
      </c>
      <c r="B3079" s="384" t="s">
        <v>4104</v>
      </c>
      <c r="C3079" s="389">
        <v>36</v>
      </c>
      <c r="D3079" s="384">
        <f t="shared" si="169"/>
        <v>-266</v>
      </c>
      <c r="E3079" s="384">
        <f t="shared" si="170"/>
        <v>4</v>
      </c>
      <c r="F3079" s="384">
        <f t="shared" ca="1" si="171"/>
        <v>44</v>
      </c>
      <c r="G3079" s="384" t="s">
        <v>3800</v>
      </c>
      <c r="H3079" s="388"/>
      <c r="I3079" s="388"/>
    </row>
    <row r="3080" spans="1:9" x14ac:dyDescent="0.3">
      <c r="A3080" s="384" t="b">
        <v>0</v>
      </c>
      <c r="B3080" s="384" t="s">
        <v>4105</v>
      </c>
      <c r="C3080" s="389">
        <v>36</v>
      </c>
      <c r="D3080" s="384">
        <f t="shared" si="169"/>
        <v>-265</v>
      </c>
      <c r="E3080" s="384">
        <f t="shared" si="170"/>
        <v>5</v>
      </c>
      <c r="F3080" s="384">
        <f t="shared" ca="1" si="171"/>
        <v>44</v>
      </c>
      <c r="G3080" s="384" t="s">
        <v>3800</v>
      </c>
      <c r="H3080" s="388"/>
      <c r="I3080" s="388"/>
    </row>
    <row r="3081" spans="1:9" x14ac:dyDescent="0.3">
      <c r="A3081" s="384" t="b">
        <v>0</v>
      </c>
      <c r="B3081" s="384" t="s">
        <v>4106</v>
      </c>
      <c r="C3081" s="389">
        <v>36</v>
      </c>
      <c r="D3081" s="384">
        <f t="shared" si="169"/>
        <v>-264</v>
      </c>
      <c r="E3081" s="384">
        <f t="shared" si="170"/>
        <v>6</v>
      </c>
      <c r="F3081" s="384">
        <f t="shared" ca="1" si="171"/>
        <v>44</v>
      </c>
      <c r="G3081" s="384" t="s">
        <v>3800</v>
      </c>
      <c r="H3081" s="388"/>
      <c r="I3081" s="388"/>
    </row>
    <row r="3082" spans="1:9" x14ac:dyDescent="0.3">
      <c r="A3082" s="384" t="b">
        <v>0</v>
      </c>
      <c r="B3082" s="384" t="s">
        <v>4107</v>
      </c>
      <c r="C3082" s="389">
        <v>37</v>
      </c>
      <c r="D3082" s="384">
        <f t="shared" si="169"/>
        <v>-263</v>
      </c>
      <c r="E3082" s="384">
        <f t="shared" si="170"/>
        <v>1</v>
      </c>
      <c r="F3082" s="384">
        <f t="shared" ca="1" si="171"/>
        <v>45</v>
      </c>
      <c r="G3082" s="384" t="s">
        <v>3802</v>
      </c>
      <c r="H3082" s="388"/>
      <c r="I3082" s="388"/>
    </row>
    <row r="3083" spans="1:9" x14ac:dyDescent="0.3">
      <c r="A3083" s="384" t="b">
        <v>0</v>
      </c>
      <c r="B3083" s="384" t="s">
        <v>4108</v>
      </c>
      <c r="C3083" s="389">
        <v>37</v>
      </c>
      <c r="D3083" s="384">
        <f t="shared" si="169"/>
        <v>-262</v>
      </c>
      <c r="E3083" s="384">
        <f t="shared" si="170"/>
        <v>2</v>
      </c>
      <c r="F3083" s="384">
        <f t="shared" ca="1" si="171"/>
        <v>45</v>
      </c>
      <c r="G3083" s="384" t="s">
        <v>3802</v>
      </c>
      <c r="H3083" s="388"/>
      <c r="I3083" s="388"/>
    </row>
    <row r="3084" spans="1:9" x14ac:dyDescent="0.3">
      <c r="A3084" s="384" t="b">
        <v>0</v>
      </c>
      <c r="B3084" s="384" t="s">
        <v>4109</v>
      </c>
      <c r="C3084" s="389">
        <v>37</v>
      </c>
      <c r="D3084" s="384">
        <f t="shared" si="169"/>
        <v>-261</v>
      </c>
      <c r="E3084" s="384">
        <f t="shared" si="170"/>
        <v>3</v>
      </c>
      <c r="F3084" s="384">
        <f t="shared" ca="1" si="171"/>
        <v>45</v>
      </c>
      <c r="G3084" s="384" t="s">
        <v>3802</v>
      </c>
      <c r="H3084" s="388"/>
      <c r="I3084" s="388"/>
    </row>
    <row r="3085" spans="1:9" x14ac:dyDescent="0.3">
      <c r="A3085" s="384" t="b">
        <v>0</v>
      </c>
      <c r="B3085" s="384" t="s">
        <v>4110</v>
      </c>
      <c r="C3085" s="389">
        <v>37</v>
      </c>
      <c r="D3085" s="384">
        <f t="shared" si="169"/>
        <v>-260</v>
      </c>
      <c r="E3085" s="384">
        <f t="shared" si="170"/>
        <v>4</v>
      </c>
      <c r="F3085" s="384">
        <f t="shared" ca="1" si="171"/>
        <v>45</v>
      </c>
      <c r="G3085" s="384" t="s">
        <v>3802</v>
      </c>
      <c r="H3085" s="388"/>
      <c r="I3085" s="388"/>
    </row>
    <row r="3086" spans="1:9" x14ac:dyDescent="0.3">
      <c r="A3086" s="384" t="b">
        <v>0</v>
      </c>
      <c r="B3086" s="384" t="s">
        <v>4111</v>
      </c>
      <c r="C3086" s="389">
        <v>37</v>
      </c>
      <c r="D3086" s="384">
        <f t="shared" si="169"/>
        <v>-259</v>
      </c>
      <c r="E3086" s="384">
        <f t="shared" si="170"/>
        <v>5</v>
      </c>
      <c r="F3086" s="384">
        <f t="shared" ca="1" si="171"/>
        <v>45</v>
      </c>
      <c r="G3086" s="384" t="s">
        <v>3802</v>
      </c>
      <c r="H3086" s="388"/>
      <c r="I3086" s="388"/>
    </row>
    <row r="3087" spans="1:9" x14ac:dyDescent="0.3">
      <c r="A3087" s="384" t="b">
        <v>0</v>
      </c>
      <c r="B3087" s="384" t="s">
        <v>4112</v>
      </c>
      <c r="C3087" s="389">
        <v>37</v>
      </c>
      <c r="D3087" s="384">
        <f t="shared" si="169"/>
        <v>-258</v>
      </c>
      <c r="E3087" s="384">
        <f t="shared" si="170"/>
        <v>6</v>
      </c>
      <c r="F3087" s="384">
        <f t="shared" ca="1" si="171"/>
        <v>45</v>
      </c>
      <c r="G3087" s="384" t="s">
        <v>3802</v>
      </c>
      <c r="H3087" s="388"/>
      <c r="I3087" s="388"/>
    </row>
    <row r="3088" spans="1:9" x14ac:dyDescent="0.3">
      <c r="A3088" s="384" t="b">
        <v>0</v>
      </c>
      <c r="B3088" s="384" t="s">
        <v>4113</v>
      </c>
      <c r="C3088" s="389">
        <v>38</v>
      </c>
      <c r="D3088" s="384">
        <f t="shared" si="169"/>
        <v>-257</v>
      </c>
      <c r="E3088" s="384">
        <f t="shared" si="170"/>
        <v>1</v>
      </c>
      <c r="F3088" s="384">
        <f t="shared" ca="1" si="171"/>
        <v>46</v>
      </c>
      <c r="G3088" s="384" t="s">
        <v>3804</v>
      </c>
      <c r="H3088" s="388"/>
      <c r="I3088" s="388"/>
    </row>
    <row r="3089" spans="1:9" x14ac:dyDescent="0.3">
      <c r="A3089" s="384" t="b">
        <v>0</v>
      </c>
      <c r="B3089" s="384" t="s">
        <v>4114</v>
      </c>
      <c r="C3089" s="389">
        <v>38</v>
      </c>
      <c r="D3089" s="384">
        <f t="shared" si="169"/>
        <v>-256</v>
      </c>
      <c r="E3089" s="384">
        <f t="shared" si="170"/>
        <v>2</v>
      </c>
      <c r="F3089" s="384">
        <f t="shared" ca="1" si="171"/>
        <v>46</v>
      </c>
      <c r="G3089" s="384" t="s">
        <v>3804</v>
      </c>
      <c r="H3089" s="388"/>
      <c r="I3089" s="388"/>
    </row>
    <row r="3090" spans="1:9" x14ac:dyDescent="0.3">
      <c r="A3090" s="384" t="b">
        <v>0</v>
      </c>
      <c r="B3090" s="384" t="s">
        <v>4115</v>
      </c>
      <c r="C3090" s="389">
        <v>38</v>
      </c>
      <c r="D3090" s="384">
        <f t="shared" si="169"/>
        <v>-255</v>
      </c>
      <c r="E3090" s="384">
        <f t="shared" si="170"/>
        <v>3</v>
      </c>
      <c r="F3090" s="384">
        <f t="shared" ca="1" si="171"/>
        <v>46</v>
      </c>
      <c r="G3090" s="384" t="s">
        <v>3804</v>
      </c>
      <c r="H3090" s="388"/>
      <c r="I3090" s="388"/>
    </row>
    <row r="3091" spans="1:9" x14ac:dyDescent="0.3">
      <c r="A3091" s="384" t="b">
        <v>0</v>
      </c>
      <c r="B3091" s="384" t="s">
        <v>4116</v>
      </c>
      <c r="C3091" s="389">
        <v>38</v>
      </c>
      <c r="D3091" s="384">
        <f t="shared" si="169"/>
        <v>-254</v>
      </c>
      <c r="E3091" s="384">
        <f t="shared" si="170"/>
        <v>4</v>
      </c>
      <c r="F3091" s="384">
        <f t="shared" ca="1" si="171"/>
        <v>46</v>
      </c>
      <c r="G3091" s="384" t="s">
        <v>3804</v>
      </c>
      <c r="H3091" s="388"/>
      <c r="I3091" s="388"/>
    </row>
    <row r="3092" spans="1:9" x14ac:dyDescent="0.3">
      <c r="A3092" s="384" t="b">
        <v>0</v>
      </c>
      <c r="B3092" s="384" t="s">
        <v>4117</v>
      </c>
      <c r="C3092" s="389">
        <v>38</v>
      </c>
      <c r="D3092" s="384">
        <f t="shared" si="169"/>
        <v>-253</v>
      </c>
      <c r="E3092" s="384">
        <f t="shared" si="170"/>
        <v>5</v>
      </c>
      <c r="F3092" s="384">
        <f t="shared" ca="1" si="171"/>
        <v>46</v>
      </c>
      <c r="G3092" s="384" t="s">
        <v>3804</v>
      </c>
      <c r="H3092" s="388"/>
      <c r="I3092" s="388"/>
    </row>
    <row r="3093" spans="1:9" x14ac:dyDescent="0.3">
      <c r="A3093" s="384" t="b">
        <v>0</v>
      </c>
      <c r="B3093" s="384" t="s">
        <v>4118</v>
      </c>
      <c r="C3093" s="389">
        <v>38</v>
      </c>
      <c r="D3093" s="384">
        <f t="shared" si="169"/>
        <v>-252</v>
      </c>
      <c r="E3093" s="384">
        <f t="shared" si="170"/>
        <v>6</v>
      </c>
      <c r="F3093" s="384">
        <f t="shared" ca="1" si="171"/>
        <v>46</v>
      </c>
      <c r="G3093" s="384" t="s">
        <v>3804</v>
      </c>
      <c r="H3093" s="388"/>
      <c r="I3093" s="388"/>
    </row>
    <row r="3094" spans="1:9" x14ac:dyDescent="0.3">
      <c r="A3094" s="384" t="b">
        <v>0</v>
      </c>
      <c r="B3094" s="384" t="s">
        <v>4119</v>
      </c>
      <c r="C3094" s="389">
        <v>39</v>
      </c>
      <c r="D3094" s="384">
        <f t="shared" si="169"/>
        <v>-251</v>
      </c>
      <c r="E3094" s="384">
        <f t="shared" si="170"/>
        <v>1</v>
      </c>
      <c r="F3094" s="384">
        <f t="shared" ca="1" si="171"/>
        <v>47</v>
      </c>
      <c r="G3094" s="384" t="s">
        <v>3806</v>
      </c>
      <c r="H3094" s="388"/>
      <c r="I3094" s="388"/>
    </row>
    <row r="3095" spans="1:9" x14ac:dyDescent="0.3">
      <c r="A3095" s="384" t="b">
        <v>0</v>
      </c>
      <c r="B3095" s="384" t="s">
        <v>4120</v>
      </c>
      <c r="C3095" s="389">
        <v>39</v>
      </c>
      <c r="D3095" s="384">
        <f t="shared" si="169"/>
        <v>-250</v>
      </c>
      <c r="E3095" s="384">
        <f t="shared" si="170"/>
        <v>2</v>
      </c>
      <c r="F3095" s="384">
        <f t="shared" ca="1" si="171"/>
        <v>47</v>
      </c>
      <c r="G3095" s="384" t="s">
        <v>3806</v>
      </c>
      <c r="H3095" s="388"/>
      <c r="I3095" s="388"/>
    </row>
    <row r="3096" spans="1:9" x14ac:dyDescent="0.3">
      <c r="A3096" s="384" t="b">
        <v>0</v>
      </c>
      <c r="B3096" s="384" t="s">
        <v>4121</v>
      </c>
      <c r="C3096" s="389">
        <v>39</v>
      </c>
      <c r="D3096" s="384">
        <f t="shared" si="169"/>
        <v>-249</v>
      </c>
      <c r="E3096" s="384">
        <f t="shared" si="170"/>
        <v>3</v>
      </c>
      <c r="F3096" s="384">
        <f t="shared" ca="1" si="171"/>
        <v>47</v>
      </c>
      <c r="G3096" s="384" t="s">
        <v>3806</v>
      </c>
      <c r="H3096" s="388"/>
      <c r="I3096" s="388"/>
    </row>
    <row r="3097" spans="1:9" x14ac:dyDescent="0.3">
      <c r="A3097" s="384" t="b">
        <v>0</v>
      </c>
      <c r="B3097" s="384" t="s">
        <v>4122</v>
      </c>
      <c r="C3097" s="389">
        <v>39</v>
      </c>
      <c r="D3097" s="384">
        <f t="shared" si="169"/>
        <v>-248</v>
      </c>
      <c r="E3097" s="384">
        <f t="shared" si="170"/>
        <v>4</v>
      </c>
      <c r="F3097" s="384">
        <f t="shared" ca="1" si="171"/>
        <v>47</v>
      </c>
      <c r="G3097" s="384" t="s">
        <v>3806</v>
      </c>
      <c r="H3097" s="388"/>
      <c r="I3097" s="388"/>
    </row>
    <row r="3098" spans="1:9" x14ac:dyDescent="0.3">
      <c r="A3098" s="384" t="b">
        <v>0</v>
      </c>
      <c r="B3098" s="384" t="s">
        <v>4123</v>
      </c>
      <c r="C3098" s="389">
        <v>39</v>
      </c>
      <c r="D3098" s="384">
        <f t="shared" si="169"/>
        <v>-247</v>
      </c>
      <c r="E3098" s="384">
        <f t="shared" si="170"/>
        <v>5</v>
      </c>
      <c r="F3098" s="384">
        <f t="shared" ca="1" si="171"/>
        <v>47</v>
      </c>
      <c r="G3098" s="384" t="s">
        <v>3806</v>
      </c>
      <c r="H3098" s="388"/>
      <c r="I3098" s="388"/>
    </row>
    <row r="3099" spans="1:9" x14ac:dyDescent="0.3">
      <c r="A3099" s="384" t="b">
        <v>0</v>
      </c>
      <c r="B3099" s="384" t="s">
        <v>4124</v>
      </c>
      <c r="C3099" s="389">
        <v>39</v>
      </c>
      <c r="D3099" s="384">
        <f t="shared" si="169"/>
        <v>-246</v>
      </c>
      <c r="E3099" s="384">
        <f t="shared" si="170"/>
        <v>6</v>
      </c>
      <c r="F3099" s="384">
        <f t="shared" ca="1" si="171"/>
        <v>47</v>
      </c>
      <c r="G3099" s="384" t="s">
        <v>3806</v>
      </c>
      <c r="H3099" s="388"/>
      <c r="I3099" s="388"/>
    </row>
    <row r="3100" spans="1:9" x14ac:dyDescent="0.3">
      <c r="A3100" s="384" t="b">
        <v>0</v>
      </c>
      <c r="B3100" s="384" t="s">
        <v>4125</v>
      </c>
      <c r="C3100" s="389">
        <v>40</v>
      </c>
      <c r="D3100" s="384">
        <f t="shared" si="169"/>
        <v>-245</v>
      </c>
      <c r="E3100" s="384">
        <f t="shared" si="170"/>
        <v>1</v>
      </c>
      <c r="F3100" s="384">
        <f t="shared" ca="1" si="171"/>
        <v>48</v>
      </c>
      <c r="G3100" s="384" t="s">
        <v>3808</v>
      </c>
      <c r="H3100" s="388"/>
      <c r="I3100" s="388"/>
    </row>
    <row r="3101" spans="1:9" x14ac:dyDescent="0.3">
      <c r="A3101" s="384" t="b">
        <v>0</v>
      </c>
      <c r="B3101" s="384" t="s">
        <v>4126</v>
      </c>
      <c r="C3101" s="389">
        <v>40</v>
      </c>
      <c r="D3101" s="384">
        <f t="shared" si="169"/>
        <v>-244</v>
      </c>
      <c r="E3101" s="384">
        <f t="shared" si="170"/>
        <v>2</v>
      </c>
      <c r="F3101" s="384">
        <f t="shared" ca="1" si="171"/>
        <v>48</v>
      </c>
      <c r="G3101" s="384" t="s">
        <v>3808</v>
      </c>
      <c r="H3101" s="388"/>
      <c r="I3101" s="388"/>
    </row>
    <row r="3102" spans="1:9" x14ac:dyDescent="0.3">
      <c r="A3102" s="384" t="b">
        <v>0</v>
      </c>
      <c r="B3102" s="384" t="s">
        <v>4127</v>
      </c>
      <c r="C3102" s="389">
        <v>40</v>
      </c>
      <c r="D3102" s="384">
        <f t="shared" si="169"/>
        <v>-243</v>
      </c>
      <c r="E3102" s="384">
        <f t="shared" si="170"/>
        <v>3</v>
      </c>
      <c r="F3102" s="384">
        <f t="shared" ca="1" si="171"/>
        <v>48</v>
      </c>
      <c r="G3102" s="384" t="s">
        <v>3808</v>
      </c>
      <c r="H3102" s="388"/>
      <c r="I3102" s="388"/>
    </row>
    <row r="3103" spans="1:9" x14ac:dyDescent="0.3">
      <c r="A3103" s="384" t="b">
        <v>0</v>
      </c>
      <c r="B3103" s="384" t="s">
        <v>4128</v>
      </c>
      <c r="C3103" s="389">
        <v>40</v>
      </c>
      <c r="D3103" s="384">
        <f t="shared" si="169"/>
        <v>-242</v>
      </c>
      <c r="E3103" s="384">
        <f t="shared" si="170"/>
        <v>4</v>
      </c>
      <c r="F3103" s="384">
        <f t="shared" ca="1" si="171"/>
        <v>48</v>
      </c>
      <c r="G3103" s="384" t="s">
        <v>3808</v>
      </c>
      <c r="H3103" s="388"/>
      <c r="I3103" s="388"/>
    </row>
    <row r="3104" spans="1:9" x14ac:dyDescent="0.3">
      <c r="A3104" s="384" t="b">
        <v>0</v>
      </c>
      <c r="B3104" s="384" t="s">
        <v>4129</v>
      </c>
      <c r="C3104" s="389">
        <v>40</v>
      </c>
      <c r="D3104" s="384">
        <f t="shared" si="169"/>
        <v>-241</v>
      </c>
      <c r="E3104" s="384">
        <f t="shared" si="170"/>
        <v>5</v>
      </c>
      <c r="F3104" s="384">
        <f t="shared" ca="1" si="171"/>
        <v>48</v>
      </c>
      <c r="G3104" s="384" t="s">
        <v>3808</v>
      </c>
      <c r="H3104" s="388"/>
      <c r="I3104" s="388"/>
    </row>
    <row r="3105" spans="1:9" x14ac:dyDescent="0.3">
      <c r="A3105" s="384" t="b">
        <v>0</v>
      </c>
      <c r="B3105" s="384" t="s">
        <v>4130</v>
      </c>
      <c r="C3105" s="389">
        <v>40</v>
      </c>
      <c r="D3105" s="384">
        <f t="shared" si="169"/>
        <v>-240</v>
      </c>
      <c r="E3105" s="384">
        <f t="shared" si="170"/>
        <v>6</v>
      </c>
      <c r="F3105" s="384">
        <f t="shared" ca="1" si="171"/>
        <v>48</v>
      </c>
      <c r="G3105" s="384" t="s">
        <v>3808</v>
      </c>
      <c r="H3105" s="388"/>
      <c r="I3105" s="388"/>
    </row>
    <row r="3106" spans="1:9" x14ac:dyDescent="0.3">
      <c r="A3106" s="384" t="b">
        <v>0</v>
      </c>
      <c r="B3106" s="384" t="s">
        <v>4131</v>
      </c>
      <c r="C3106" s="389">
        <v>41</v>
      </c>
      <c r="D3106" s="384">
        <f t="shared" si="169"/>
        <v>-239</v>
      </c>
      <c r="E3106" s="384">
        <f t="shared" si="170"/>
        <v>1</v>
      </c>
      <c r="F3106" s="384">
        <f t="shared" ca="1" si="171"/>
        <v>49</v>
      </c>
      <c r="G3106" s="384" t="s">
        <v>3810</v>
      </c>
      <c r="H3106" s="388"/>
      <c r="I3106" s="388"/>
    </row>
    <row r="3107" spans="1:9" x14ac:dyDescent="0.3">
      <c r="A3107" s="384" t="b">
        <v>0</v>
      </c>
      <c r="B3107" s="384" t="s">
        <v>4132</v>
      </c>
      <c r="C3107" s="389">
        <v>41</v>
      </c>
      <c r="D3107" s="384">
        <f t="shared" si="169"/>
        <v>-238</v>
      </c>
      <c r="E3107" s="384">
        <f t="shared" si="170"/>
        <v>2</v>
      </c>
      <c r="F3107" s="384">
        <f t="shared" ca="1" si="171"/>
        <v>49</v>
      </c>
      <c r="G3107" s="384" t="s">
        <v>3810</v>
      </c>
      <c r="H3107" s="388"/>
      <c r="I3107" s="388"/>
    </row>
    <row r="3108" spans="1:9" x14ac:dyDescent="0.3">
      <c r="A3108" s="384" t="b">
        <v>0</v>
      </c>
      <c r="B3108" s="384" t="s">
        <v>4133</v>
      </c>
      <c r="C3108" s="389">
        <v>41</v>
      </c>
      <c r="D3108" s="384">
        <f t="shared" si="169"/>
        <v>-237</v>
      </c>
      <c r="E3108" s="384">
        <f t="shared" si="170"/>
        <v>3</v>
      </c>
      <c r="F3108" s="384">
        <f t="shared" ca="1" si="171"/>
        <v>49</v>
      </c>
      <c r="G3108" s="384" t="s">
        <v>3810</v>
      </c>
      <c r="H3108" s="388"/>
      <c r="I3108" s="388"/>
    </row>
    <row r="3109" spans="1:9" x14ac:dyDescent="0.3">
      <c r="A3109" s="384" t="b">
        <v>0</v>
      </c>
      <c r="B3109" s="384" t="s">
        <v>4134</v>
      </c>
      <c r="C3109" s="389">
        <v>41</v>
      </c>
      <c r="D3109" s="384">
        <f t="shared" si="169"/>
        <v>-236</v>
      </c>
      <c r="E3109" s="384">
        <f t="shared" si="170"/>
        <v>4</v>
      </c>
      <c r="F3109" s="384">
        <f t="shared" ca="1" si="171"/>
        <v>49</v>
      </c>
      <c r="G3109" s="384" t="s">
        <v>3810</v>
      </c>
      <c r="H3109" s="388"/>
      <c r="I3109" s="388"/>
    </row>
    <row r="3110" spans="1:9" x14ac:dyDescent="0.3">
      <c r="A3110" s="384" t="b">
        <v>0</v>
      </c>
      <c r="B3110" s="384" t="s">
        <v>4135</v>
      </c>
      <c r="C3110" s="389">
        <v>41</v>
      </c>
      <c r="D3110" s="384">
        <f t="shared" si="169"/>
        <v>-235</v>
      </c>
      <c r="E3110" s="384">
        <f t="shared" si="170"/>
        <v>5</v>
      </c>
      <c r="F3110" s="384">
        <f t="shared" ca="1" si="171"/>
        <v>49</v>
      </c>
      <c r="G3110" s="384" t="s">
        <v>3810</v>
      </c>
      <c r="H3110" s="388"/>
      <c r="I3110" s="388"/>
    </row>
    <row r="3111" spans="1:9" x14ac:dyDescent="0.3">
      <c r="A3111" s="384" t="b">
        <v>0</v>
      </c>
      <c r="B3111" s="384" t="s">
        <v>4136</v>
      </c>
      <c r="C3111" s="389">
        <v>41</v>
      </c>
      <c r="D3111" s="384">
        <f t="shared" si="169"/>
        <v>-234</v>
      </c>
      <c r="E3111" s="384">
        <f t="shared" si="170"/>
        <v>6</v>
      </c>
      <c r="F3111" s="384">
        <f t="shared" ca="1" si="171"/>
        <v>49</v>
      </c>
      <c r="G3111" s="384" t="s">
        <v>3810</v>
      </c>
      <c r="H3111" s="388"/>
      <c r="I3111" s="388"/>
    </row>
    <row r="3112" spans="1:9" x14ac:dyDescent="0.3">
      <c r="A3112" s="384" t="b">
        <v>0</v>
      </c>
      <c r="B3112" s="384" t="s">
        <v>4137</v>
      </c>
      <c r="C3112" s="389">
        <v>42</v>
      </c>
      <c r="D3112" s="384">
        <f t="shared" si="169"/>
        <v>-233</v>
      </c>
      <c r="E3112" s="384">
        <f t="shared" si="170"/>
        <v>1</v>
      </c>
      <c r="F3112" s="384">
        <f t="shared" ca="1" si="171"/>
        <v>50</v>
      </c>
      <c r="G3112" s="384" t="s">
        <v>3812</v>
      </c>
      <c r="H3112" s="388"/>
      <c r="I3112" s="388"/>
    </row>
    <row r="3113" spans="1:9" x14ac:dyDescent="0.3">
      <c r="A3113" s="384" t="b">
        <v>0</v>
      </c>
      <c r="B3113" s="384" t="s">
        <v>4138</v>
      </c>
      <c r="C3113" s="389">
        <v>42</v>
      </c>
      <c r="D3113" s="384">
        <f t="shared" si="169"/>
        <v>-232</v>
      </c>
      <c r="E3113" s="384">
        <f t="shared" si="170"/>
        <v>2</v>
      </c>
      <c r="F3113" s="384">
        <f t="shared" ca="1" si="171"/>
        <v>50</v>
      </c>
      <c r="G3113" s="384" t="s">
        <v>3812</v>
      </c>
      <c r="H3113" s="388"/>
      <c r="I3113" s="388"/>
    </row>
    <row r="3114" spans="1:9" x14ac:dyDescent="0.3">
      <c r="A3114" s="384" t="b">
        <v>0</v>
      </c>
      <c r="B3114" s="384" t="s">
        <v>4139</v>
      </c>
      <c r="C3114" s="389">
        <v>42</v>
      </c>
      <c r="D3114" s="384">
        <f t="shared" si="169"/>
        <v>-231</v>
      </c>
      <c r="E3114" s="384">
        <f t="shared" si="170"/>
        <v>3</v>
      </c>
      <c r="F3114" s="384">
        <f t="shared" ca="1" si="171"/>
        <v>50</v>
      </c>
      <c r="G3114" s="384" t="s">
        <v>3812</v>
      </c>
      <c r="H3114" s="388"/>
      <c r="I3114" s="388"/>
    </row>
    <row r="3115" spans="1:9" x14ac:dyDescent="0.3">
      <c r="A3115" s="384" t="b">
        <v>0</v>
      </c>
      <c r="B3115" s="384" t="s">
        <v>4140</v>
      </c>
      <c r="C3115" s="389">
        <v>42</v>
      </c>
      <c r="D3115" s="384">
        <f t="shared" si="169"/>
        <v>-230</v>
      </c>
      <c r="E3115" s="384">
        <f t="shared" si="170"/>
        <v>4</v>
      </c>
      <c r="F3115" s="384">
        <f t="shared" ca="1" si="171"/>
        <v>50</v>
      </c>
      <c r="G3115" s="384" t="s">
        <v>3812</v>
      </c>
      <c r="H3115" s="388"/>
      <c r="I3115" s="388"/>
    </row>
    <row r="3116" spans="1:9" x14ac:dyDescent="0.3">
      <c r="A3116" s="384" t="b">
        <v>0</v>
      </c>
      <c r="B3116" s="384" t="s">
        <v>4141</v>
      </c>
      <c r="C3116" s="389">
        <v>42</v>
      </c>
      <c r="D3116" s="384">
        <f t="shared" si="169"/>
        <v>-229</v>
      </c>
      <c r="E3116" s="384">
        <f t="shared" si="170"/>
        <v>5</v>
      </c>
      <c r="F3116" s="384">
        <f t="shared" ca="1" si="171"/>
        <v>50</v>
      </c>
      <c r="G3116" s="384" t="s">
        <v>3812</v>
      </c>
      <c r="H3116" s="388"/>
      <c r="I3116" s="388"/>
    </row>
    <row r="3117" spans="1:9" x14ac:dyDescent="0.3">
      <c r="A3117" s="384" t="b">
        <v>0</v>
      </c>
      <c r="B3117" s="384" t="s">
        <v>4142</v>
      </c>
      <c r="C3117" s="389">
        <v>42</v>
      </c>
      <c r="D3117" s="384">
        <f t="shared" si="169"/>
        <v>-228</v>
      </c>
      <c r="E3117" s="384">
        <f t="shared" si="170"/>
        <v>6</v>
      </c>
      <c r="F3117" s="384">
        <f t="shared" ca="1" si="171"/>
        <v>50</v>
      </c>
      <c r="G3117" s="384" t="s">
        <v>3812</v>
      </c>
      <c r="H3117" s="388"/>
      <c r="I3117" s="388"/>
    </row>
    <row r="3118" spans="1:9" x14ac:dyDescent="0.3">
      <c r="A3118" s="384" t="b">
        <v>0</v>
      </c>
      <c r="B3118" s="384" t="s">
        <v>4143</v>
      </c>
      <c r="C3118" s="389">
        <v>43</v>
      </c>
      <c r="D3118" s="384">
        <f t="shared" si="169"/>
        <v>-227</v>
      </c>
      <c r="E3118" s="384">
        <f t="shared" si="170"/>
        <v>1</v>
      </c>
      <c r="F3118" s="384">
        <f t="shared" ca="1" si="171"/>
        <v>51</v>
      </c>
      <c r="G3118" s="384" t="s">
        <v>3814</v>
      </c>
      <c r="H3118" s="388"/>
      <c r="I3118" s="388"/>
    </row>
    <row r="3119" spans="1:9" x14ac:dyDescent="0.3">
      <c r="A3119" s="384" t="b">
        <v>0</v>
      </c>
      <c r="B3119" s="384" t="s">
        <v>4144</v>
      </c>
      <c r="C3119" s="389">
        <v>43</v>
      </c>
      <c r="D3119" s="384">
        <f t="shared" si="169"/>
        <v>-226</v>
      </c>
      <c r="E3119" s="384">
        <f t="shared" si="170"/>
        <v>2</v>
      </c>
      <c r="F3119" s="384">
        <f t="shared" ca="1" si="171"/>
        <v>51</v>
      </c>
      <c r="G3119" s="384" t="s">
        <v>3814</v>
      </c>
      <c r="H3119" s="388"/>
      <c r="I3119" s="388"/>
    </row>
    <row r="3120" spans="1:9" x14ac:dyDescent="0.3">
      <c r="A3120" s="384" t="b">
        <v>0</v>
      </c>
      <c r="B3120" s="384" t="s">
        <v>4145</v>
      </c>
      <c r="C3120" s="389">
        <v>43</v>
      </c>
      <c r="D3120" s="384">
        <f t="shared" si="169"/>
        <v>-225</v>
      </c>
      <c r="E3120" s="384">
        <f t="shared" si="170"/>
        <v>3</v>
      </c>
      <c r="F3120" s="384">
        <f t="shared" ca="1" si="171"/>
        <v>51</v>
      </c>
      <c r="G3120" s="384" t="s">
        <v>3814</v>
      </c>
      <c r="H3120" s="388"/>
      <c r="I3120" s="388"/>
    </row>
    <row r="3121" spans="1:9" x14ac:dyDescent="0.3">
      <c r="A3121" s="384" t="b">
        <v>0</v>
      </c>
      <c r="B3121" s="384" t="s">
        <v>4146</v>
      </c>
      <c r="C3121" s="389">
        <v>43</v>
      </c>
      <c r="D3121" s="384">
        <f t="shared" si="169"/>
        <v>-224</v>
      </c>
      <c r="E3121" s="384">
        <f t="shared" si="170"/>
        <v>4</v>
      </c>
      <c r="F3121" s="384">
        <f t="shared" ca="1" si="171"/>
        <v>51</v>
      </c>
      <c r="G3121" s="384" t="s">
        <v>3814</v>
      </c>
      <c r="H3121" s="388"/>
      <c r="I3121" s="388"/>
    </row>
    <row r="3122" spans="1:9" x14ac:dyDescent="0.3">
      <c r="A3122" s="384" t="b">
        <v>0</v>
      </c>
      <c r="B3122" s="384" t="s">
        <v>4147</v>
      </c>
      <c r="C3122" s="389">
        <v>43</v>
      </c>
      <c r="D3122" s="384">
        <f t="shared" ref="D3122:D3185" si="172">D3121+1</f>
        <v>-223</v>
      </c>
      <c r="E3122" s="384">
        <f t="shared" ref="E3122:E3185" si="173">COUNTIF(C2952:C3122,C3122)</f>
        <v>5</v>
      </c>
      <c r="F3122" s="384">
        <f t="shared" ref="F3122:F3185" ca="1" si="174">IF(C3122=1,9,IF(E3121=MAX(E3120:E3122),F3120+1,F3121))</f>
        <v>51</v>
      </c>
      <c r="G3122" s="384" t="s">
        <v>3814</v>
      </c>
      <c r="H3122" s="388"/>
      <c r="I3122" s="388"/>
    </row>
    <row r="3123" spans="1:9" x14ac:dyDescent="0.3">
      <c r="A3123" s="384" t="b">
        <v>0</v>
      </c>
      <c r="B3123" s="384" t="s">
        <v>4148</v>
      </c>
      <c r="C3123" s="389">
        <v>43</v>
      </c>
      <c r="D3123" s="384">
        <f t="shared" si="172"/>
        <v>-222</v>
      </c>
      <c r="E3123" s="384">
        <f t="shared" si="173"/>
        <v>6</v>
      </c>
      <c r="F3123" s="384">
        <f t="shared" ca="1" si="174"/>
        <v>51</v>
      </c>
      <c r="G3123" s="384" t="s">
        <v>3814</v>
      </c>
      <c r="H3123" s="388"/>
      <c r="I3123" s="388"/>
    </row>
    <row r="3124" spans="1:9" x14ac:dyDescent="0.3">
      <c r="A3124" s="384" t="b">
        <v>0</v>
      </c>
      <c r="B3124" s="384" t="s">
        <v>4149</v>
      </c>
      <c r="C3124" s="389">
        <v>44</v>
      </c>
      <c r="D3124" s="384">
        <f t="shared" si="172"/>
        <v>-221</v>
      </c>
      <c r="E3124" s="384">
        <f t="shared" si="173"/>
        <v>1</v>
      </c>
      <c r="F3124" s="384">
        <f t="shared" ca="1" si="174"/>
        <v>52</v>
      </c>
      <c r="G3124" s="384" t="s">
        <v>3816</v>
      </c>
      <c r="H3124" s="388"/>
      <c r="I3124" s="388"/>
    </row>
    <row r="3125" spans="1:9" x14ac:dyDescent="0.3">
      <c r="A3125" s="384" t="b">
        <v>0</v>
      </c>
      <c r="B3125" s="384" t="s">
        <v>4150</v>
      </c>
      <c r="C3125" s="389">
        <v>44</v>
      </c>
      <c r="D3125" s="384">
        <f t="shared" si="172"/>
        <v>-220</v>
      </c>
      <c r="E3125" s="384">
        <f t="shared" si="173"/>
        <v>2</v>
      </c>
      <c r="F3125" s="384">
        <f t="shared" ca="1" si="174"/>
        <v>52</v>
      </c>
      <c r="G3125" s="384" t="s">
        <v>3816</v>
      </c>
      <c r="H3125" s="388"/>
      <c r="I3125" s="388"/>
    </row>
    <row r="3126" spans="1:9" x14ac:dyDescent="0.3">
      <c r="A3126" s="384" t="b">
        <v>0</v>
      </c>
      <c r="B3126" s="384" t="s">
        <v>4151</v>
      </c>
      <c r="C3126" s="389">
        <v>44</v>
      </c>
      <c r="D3126" s="384">
        <f t="shared" si="172"/>
        <v>-219</v>
      </c>
      <c r="E3126" s="384">
        <f t="shared" si="173"/>
        <v>3</v>
      </c>
      <c r="F3126" s="384">
        <f t="shared" ca="1" si="174"/>
        <v>52</v>
      </c>
      <c r="G3126" s="384" t="s">
        <v>3816</v>
      </c>
      <c r="H3126" s="388"/>
      <c r="I3126" s="388"/>
    </row>
    <row r="3127" spans="1:9" x14ac:dyDescent="0.3">
      <c r="A3127" s="384" t="b">
        <v>0</v>
      </c>
      <c r="B3127" s="384" t="s">
        <v>4152</v>
      </c>
      <c r="C3127" s="389">
        <v>44</v>
      </c>
      <c r="D3127" s="384">
        <f t="shared" si="172"/>
        <v>-218</v>
      </c>
      <c r="E3127" s="384">
        <f t="shared" si="173"/>
        <v>4</v>
      </c>
      <c r="F3127" s="384">
        <f t="shared" ca="1" si="174"/>
        <v>52</v>
      </c>
      <c r="G3127" s="384" t="s">
        <v>3816</v>
      </c>
      <c r="H3127" s="388"/>
      <c r="I3127" s="388"/>
    </row>
    <row r="3128" spans="1:9" x14ac:dyDescent="0.3">
      <c r="A3128" s="384" t="b">
        <v>0</v>
      </c>
      <c r="B3128" s="384" t="s">
        <v>4153</v>
      </c>
      <c r="C3128" s="389">
        <v>44</v>
      </c>
      <c r="D3128" s="384">
        <f t="shared" si="172"/>
        <v>-217</v>
      </c>
      <c r="E3128" s="384">
        <f t="shared" si="173"/>
        <v>5</v>
      </c>
      <c r="F3128" s="384">
        <f t="shared" ca="1" si="174"/>
        <v>52</v>
      </c>
      <c r="G3128" s="384" t="s">
        <v>3816</v>
      </c>
      <c r="H3128" s="388"/>
      <c r="I3128" s="388"/>
    </row>
    <row r="3129" spans="1:9" x14ac:dyDescent="0.3">
      <c r="A3129" s="384" t="b">
        <v>0</v>
      </c>
      <c r="B3129" s="384" t="s">
        <v>4154</v>
      </c>
      <c r="C3129" s="389">
        <v>44</v>
      </c>
      <c r="D3129" s="384">
        <f t="shared" si="172"/>
        <v>-216</v>
      </c>
      <c r="E3129" s="384">
        <f t="shared" si="173"/>
        <v>6</v>
      </c>
      <c r="F3129" s="384">
        <f t="shared" ca="1" si="174"/>
        <v>52</v>
      </c>
      <c r="G3129" s="384" t="s">
        <v>3816</v>
      </c>
      <c r="H3129" s="388"/>
      <c r="I3129" s="388"/>
    </row>
    <row r="3130" spans="1:9" x14ac:dyDescent="0.3">
      <c r="A3130" s="384" t="b">
        <v>0</v>
      </c>
      <c r="B3130" s="384" t="s">
        <v>4155</v>
      </c>
      <c r="C3130" s="389">
        <v>45</v>
      </c>
      <c r="D3130" s="384">
        <f t="shared" si="172"/>
        <v>-215</v>
      </c>
      <c r="E3130" s="384">
        <f t="shared" si="173"/>
        <v>1</v>
      </c>
      <c r="F3130" s="384">
        <f t="shared" ca="1" si="174"/>
        <v>53</v>
      </c>
      <c r="G3130" s="384" t="s">
        <v>3818</v>
      </c>
      <c r="H3130" s="388"/>
      <c r="I3130" s="388"/>
    </row>
    <row r="3131" spans="1:9" x14ac:dyDescent="0.3">
      <c r="A3131" s="384" t="b">
        <v>0</v>
      </c>
      <c r="B3131" s="384" t="s">
        <v>4156</v>
      </c>
      <c r="C3131" s="389">
        <v>45</v>
      </c>
      <c r="D3131" s="384">
        <f t="shared" si="172"/>
        <v>-214</v>
      </c>
      <c r="E3131" s="384">
        <f t="shared" si="173"/>
        <v>2</v>
      </c>
      <c r="F3131" s="384">
        <f t="shared" ca="1" si="174"/>
        <v>53</v>
      </c>
      <c r="G3131" s="384" t="s">
        <v>3818</v>
      </c>
      <c r="H3131" s="388"/>
      <c r="I3131" s="388"/>
    </row>
    <row r="3132" spans="1:9" x14ac:dyDescent="0.3">
      <c r="A3132" s="384" t="b">
        <v>0</v>
      </c>
      <c r="B3132" s="384" t="s">
        <v>4157</v>
      </c>
      <c r="C3132" s="389">
        <v>45</v>
      </c>
      <c r="D3132" s="384">
        <f t="shared" si="172"/>
        <v>-213</v>
      </c>
      <c r="E3132" s="384">
        <f t="shared" si="173"/>
        <v>3</v>
      </c>
      <c r="F3132" s="384">
        <f t="shared" ca="1" si="174"/>
        <v>53</v>
      </c>
      <c r="G3132" s="384" t="s">
        <v>3818</v>
      </c>
      <c r="H3132" s="388"/>
      <c r="I3132" s="388"/>
    </row>
    <row r="3133" spans="1:9" x14ac:dyDescent="0.3">
      <c r="A3133" s="384" t="b">
        <v>0</v>
      </c>
      <c r="B3133" s="384" t="s">
        <v>4158</v>
      </c>
      <c r="C3133" s="389">
        <v>45</v>
      </c>
      <c r="D3133" s="384">
        <f t="shared" si="172"/>
        <v>-212</v>
      </c>
      <c r="E3133" s="384">
        <f t="shared" si="173"/>
        <v>4</v>
      </c>
      <c r="F3133" s="384">
        <f t="shared" ca="1" si="174"/>
        <v>53</v>
      </c>
      <c r="G3133" s="384" t="s">
        <v>3818</v>
      </c>
      <c r="H3133" s="388"/>
      <c r="I3133" s="388"/>
    </row>
    <row r="3134" spans="1:9" x14ac:dyDescent="0.3">
      <c r="A3134" s="384" t="b">
        <v>0</v>
      </c>
      <c r="B3134" s="384" t="s">
        <v>4159</v>
      </c>
      <c r="C3134" s="389">
        <v>45</v>
      </c>
      <c r="D3134" s="384">
        <f t="shared" si="172"/>
        <v>-211</v>
      </c>
      <c r="E3134" s="384">
        <f t="shared" si="173"/>
        <v>5</v>
      </c>
      <c r="F3134" s="384">
        <f t="shared" ca="1" si="174"/>
        <v>53</v>
      </c>
      <c r="G3134" s="384" t="s">
        <v>3818</v>
      </c>
      <c r="H3134" s="388"/>
      <c r="I3134" s="388"/>
    </row>
    <row r="3135" spans="1:9" x14ac:dyDescent="0.3">
      <c r="A3135" s="384" t="b">
        <v>0</v>
      </c>
      <c r="B3135" s="384" t="s">
        <v>4160</v>
      </c>
      <c r="C3135" s="389">
        <v>45</v>
      </c>
      <c r="D3135" s="384">
        <f t="shared" si="172"/>
        <v>-210</v>
      </c>
      <c r="E3135" s="384">
        <f t="shared" si="173"/>
        <v>6</v>
      </c>
      <c r="F3135" s="384">
        <f t="shared" ca="1" si="174"/>
        <v>53</v>
      </c>
      <c r="G3135" s="384" t="s">
        <v>3818</v>
      </c>
      <c r="H3135" s="388"/>
      <c r="I3135" s="388"/>
    </row>
    <row r="3136" spans="1:9" x14ac:dyDescent="0.3">
      <c r="A3136" s="384" t="b">
        <v>0</v>
      </c>
      <c r="B3136" s="384" t="s">
        <v>4161</v>
      </c>
      <c r="C3136" s="389">
        <v>46</v>
      </c>
      <c r="D3136" s="384">
        <f t="shared" si="172"/>
        <v>-209</v>
      </c>
      <c r="E3136" s="384">
        <f t="shared" si="173"/>
        <v>1</v>
      </c>
      <c r="F3136" s="384">
        <f t="shared" ca="1" si="174"/>
        <v>54</v>
      </c>
      <c r="G3136" s="384" t="s">
        <v>3820</v>
      </c>
      <c r="H3136" s="388"/>
      <c r="I3136" s="388"/>
    </row>
    <row r="3137" spans="1:9" x14ac:dyDescent="0.3">
      <c r="A3137" s="384" t="b">
        <v>0</v>
      </c>
      <c r="B3137" s="384" t="s">
        <v>4162</v>
      </c>
      <c r="C3137" s="389">
        <v>46</v>
      </c>
      <c r="D3137" s="384">
        <f t="shared" si="172"/>
        <v>-208</v>
      </c>
      <c r="E3137" s="384">
        <f t="shared" si="173"/>
        <v>2</v>
      </c>
      <c r="F3137" s="384">
        <f t="shared" ca="1" si="174"/>
        <v>54</v>
      </c>
      <c r="G3137" s="384" t="s">
        <v>3820</v>
      </c>
      <c r="H3137" s="388"/>
      <c r="I3137" s="388"/>
    </row>
    <row r="3138" spans="1:9" x14ac:dyDescent="0.3">
      <c r="A3138" s="384" t="b">
        <v>0</v>
      </c>
      <c r="B3138" s="384" t="s">
        <v>4163</v>
      </c>
      <c r="C3138" s="389">
        <v>46</v>
      </c>
      <c r="D3138" s="384">
        <f t="shared" si="172"/>
        <v>-207</v>
      </c>
      <c r="E3138" s="384">
        <f t="shared" si="173"/>
        <v>3</v>
      </c>
      <c r="F3138" s="384">
        <f t="shared" ca="1" si="174"/>
        <v>54</v>
      </c>
      <c r="G3138" s="384" t="s">
        <v>3820</v>
      </c>
      <c r="H3138" s="388"/>
      <c r="I3138" s="388"/>
    </row>
    <row r="3139" spans="1:9" x14ac:dyDescent="0.3">
      <c r="A3139" s="384" t="b">
        <v>0</v>
      </c>
      <c r="B3139" s="384" t="s">
        <v>4164</v>
      </c>
      <c r="C3139" s="389">
        <v>46</v>
      </c>
      <c r="D3139" s="384">
        <f t="shared" si="172"/>
        <v>-206</v>
      </c>
      <c r="E3139" s="384">
        <f t="shared" si="173"/>
        <v>4</v>
      </c>
      <c r="F3139" s="384">
        <f t="shared" ca="1" si="174"/>
        <v>54</v>
      </c>
      <c r="G3139" s="384" t="s">
        <v>3820</v>
      </c>
      <c r="H3139" s="388"/>
      <c r="I3139" s="388"/>
    </row>
    <row r="3140" spans="1:9" x14ac:dyDescent="0.3">
      <c r="A3140" s="384" t="b">
        <v>0</v>
      </c>
      <c r="B3140" s="384" t="s">
        <v>4165</v>
      </c>
      <c r="C3140" s="389">
        <v>46</v>
      </c>
      <c r="D3140" s="384">
        <f t="shared" si="172"/>
        <v>-205</v>
      </c>
      <c r="E3140" s="384">
        <f t="shared" si="173"/>
        <v>5</v>
      </c>
      <c r="F3140" s="384">
        <f t="shared" ca="1" si="174"/>
        <v>54</v>
      </c>
      <c r="G3140" s="384" t="s">
        <v>3820</v>
      </c>
      <c r="H3140" s="388"/>
      <c r="I3140" s="388"/>
    </row>
    <row r="3141" spans="1:9" x14ac:dyDescent="0.3">
      <c r="A3141" s="384" t="b">
        <v>0</v>
      </c>
      <c r="B3141" s="384" t="s">
        <v>4166</v>
      </c>
      <c r="C3141" s="389">
        <v>46</v>
      </c>
      <c r="D3141" s="384">
        <f t="shared" si="172"/>
        <v>-204</v>
      </c>
      <c r="E3141" s="384">
        <f t="shared" si="173"/>
        <v>6</v>
      </c>
      <c r="F3141" s="384">
        <f t="shared" ca="1" si="174"/>
        <v>54</v>
      </c>
      <c r="G3141" s="384" t="s">
        <v>3820</v>
      </c>
      <c r="H3141" s="388"/>
      <c r="I3141" s="388"/>
    </row>
    <row r="3142" spans="1:9" x14ac:dyDescent="0.3">
      <c r="A3142" s="384" t="b">
        <v>0</v>
      </c>
      <c r="B3142" s="384" t="s">
        <v>4167</v>
      </c>
      <c r="C3142" s="389">
        <v>47</v>
      </c>
      <c r="D3142" s="384">
        <f t="shared" si="172"/>
        <v>-203</v>
      </c>
      <c r="E3142" s="384">
        <f t="shared" si="173"/>
        <v>1</v>
      </c>
      <c r="F3142" s="384">
        <f t="shared" ca="1" si="174"/>
        <v>55</v>
      </c>
      <c r="G3142" s="384" t="s">
        <v>3822</v>
      </c>
      <c r="H3142" s="388"/>
      <c r="I3142" s="388"/>
    </row>
    <row r="3143" spans="1:9" x14ac:dyDescent="0.3">
      <c r="A3143" s="384" t="b">
        <v>0</v>
      </c>
      <c r="B3143" s="384" t="s">
        <v>4168</v>
      </c>
      <c r="C3143" s="389">
        <v>47</v>
      </c>
      <c r="D3143" s="384">
        <f t="shared" si="172"/>
        <v>-202</v>
      </c>
      <c r="E3143" s="384">
        <f t="shared" si="173"/>
        <v>2</v>
      </c>
      <c r="F3143" s="384">
        <f t="shared" ca="1" si="174"/>
        <v>55</v>
      </c>
      <c r="G3143" s="384" t="s">
        <v>3822</v>
      </c>
      <c r="H3143" s="388"/>
      <c r="I3143" s="388"/>
    </row>
    <row r="3144" spans="1:9" x14ac:dyDescent="0.3">
      <c r="A3144" s="384" t="b">
        <v>0</v>
      </c>
      <c r="B3144" s="384" t="s">
        <v>4169</v>
      </c>
      <c r="C3144" s="389">
        <v>47</v>
      </c>
      <c r="D3144" s="384">
        <f t="shared" si="172"/>
        <v>-201</v>
      </c>
      <c r="E3144" s="384">
        <f t="shared" si="173"/>
        <v>3</v>
      </c>
      <c r="F3144" s="384">
        <f t="shared" ca="1" si="174"/>
        <v>55</v>
      </c>
      <c r="G3144" s="384" t="s">
        <v>3822</v>
      </c>
      <c r="H3144" s="388"/>
      <c r="I3144" s="388"/>
    </row>
    <row r="3145" spans="1:9" x14ac:dyDescent="0.3">
      <c r="A3145" s="384" t="b">
        <v>0</v>
      </c>
      <c r="B3145" s="384" t="s">
        <v>4170</v>
      </c>
      <c r="C3145" s="389">
        <v>47</v>
      </c>
      <c r="D3145" s="384">
        <f t="shared" si="172"/>
        <v>-200</v>
      </c>
      <c r="E3145" s="384">
        <f t="shared" si="173"/>
        <v>4</v>
      </c>
      <c r="F3145" s="384">
        <f t="shared" ca="1" si="174"/>
        <v>55</v>
      </c>
      <c r="G3145" s="384" t="s">
        <v>3822</v>
      </c>
      <c r="H3145" s="388"/>
      <c r="I3145" s="388"/>
    </row>
    <row r="3146" spans="1:9" x14ac:dyDescent="0.3">
      <c r="A3146" s="384" t="b">
        <v>0</v>
      </c>
      <c r="B3146" s="384" t="s">
        <v>4171</v>
      </c>
      <c r="C3146" s="389">
        <v>47</v>
      </c>
      <c r="D3146" s="384">
        <f t="shared" si="172"/>
        <v>-199</v>
      </c>
      <c r="E3146" s="384">
        <f t="shared" si="173"/>
        <v>5</v>
      </c>
      <c r="F3146" s="384">
        <f t="shared" ca="1" si="174"/>
        <v>55</v>
      </c>
      <c r="G3146" s="384" t="s">
        <v>3822</v>
      </c>
      <c r="H3146" s="388"/>
      <c r="I3146" s="388"/>
    </row>
    <row r="3147" spans="1:9" x14ac:dyDescent="0.3">
      <c r="A3147" s="384" t="b">
        <v>0</v>
      </c>
      <c r="B3147" s="384" t="s">
        <v>4172</v>
      </c>
      <c r="C3147" s="389">
        <v>47</v>
      </c>
      <c r="D3147" s="384">
        <f t="shared" si="172"/>
        <v>-198</v>
      </c>
      <c r="E3147" s="384">
        <f t="shared" si="173"/>
        <v>6</v>
      </c>
      <c r="F3147" s="384">
        <f t="shared" ca="1" si="174"/>
        <v>55</v>
      </c>
      <c r="G3147" s="384" t="s">
        <v>3822</v>
      </c>
      <c r="H3147" s="388"/>
      <c r="I3147" s="388"/>
    </row>
    <row r="3148" spans="1:9" x14ac:dyDescent="0.3">
      <c r="A3148" s="384" t="b">
        <v>0</v>
      </c>
      <c r="B3148" s="384" t="s">
        <v>4173</v>
      </c>
      <c r="C3148" s="389">
        <v>48</v>
      </c>
      <c r="D3148" s="384">
        <f t="shared" si="172"/>
        <v>-197</v>
      </c>
      <c r="E3148" s="384">
        <f t="shared" si="173"/>
        <v>1</v>
      </c>
      <c r="F3148" s="384">
        <f t="shared" ca="1" si="174"/>
        <v>56</v>
      </c>
      <c r="G3148" s="384" t="s">
        <v>3824</v>
      </c>
      <c r="H3148" s="388"/>
      <c r="I3148" s="388"/>
    </row>
    <row r="3149" spans="1:9" x14ac:dyDescent="0.3">
      <c r="A3149" s="384" t="b">
        <v>0</v>
      </c>
      <c r="B3149" s="384" t="s">
        <v>4174</v>
      </c>
      <c r="C3149" s="389">
        <v>48</v>
      </c>
      <c r="D3149" s="384">
        <f t="shared" si="172"/>
        <v>-196</v>
      </c>
      <c r="E3149" s="384">
        <f t="shared" si="173"/>
        <v>2</v>
      </c>
      <c r="F3149" s="384">
        <f t="shared" ca="1" si="174"/>
        <v>56</v>
      </c>
      <c r="G3149" s="384" t="s">
        <v>3824</v>
      </c>
      <c r="H3149" s="388"/>
      <c r="I3149" s="388"/>
    </row>
    <row r="3150" spans="1:9" x14ac:dyDescent="0.3">
      <c r="A3150" s="384" t="b">
        <v>0</v>
      </c>
      <c r="B3150" s="384" t="s">
        <v>4175</v>
      </c>
      <c r="C3150" s="389">
        <v>48</v>
      </c>
      <c r="D3150" s="384">
        <f t="shared" si="172"/>
        <v>-195</v>
      </c>
      <c r="E3150" s="384">
        <f t="shared" si="173"/>
        <v>3</v>
      </c>
      <c r="F3150" s="384">
        <f t="shared" ca="1" si="174"/>
        <v>56</v>
      </c>
      <c r="G3150" s="384" t="s">
        <v>3824</v>
      </c>
      <c r="H3150" s="388"/>
      <c r="I3150" s="388"/>
    </row>
    <row r="3151" spans="1:9" x14ac:dyDescent="0.3">
      <c r="A3151" s="384" t="b">
        <v>0</v>
      </c>
      <c r="B3151" s="384" t="s">
        <v>4176</v>
      </c>
      <c r="C3151" s="389">
        <v>48</v>
      </c>
      <c r="D3151" s="384">
        <f t="shared" si="172"/>
        <v>-194</v>
      </c>
      <c r="E3151" s="384">
        <f t="shared" si="173"/>
        <v>4</v>
      </c>
      <c r="F3151" s="384">
        <f t="shared" ca="1" si="174"/>
        <v>56</v>
      </c>
      <c r="G3151" s="384" t="s">
        <v>3824</v>
      </c>
      <c r="H3151" s="388"/>
      <c r="I3151" s="388"/>
    </row>
    <row r="3152" spans="1:9" x14ac:dyDescent="0.3">
      <c r="A3152" s="384" t="b">
        <v>0</v>
      </c>
      <c r="B3152" s="384" t="s">
        <v>4177</v>
      </c>
      <c r="C3152" s="389">
        <v>48</v>
      </c>
      <c r="D3152" s="384">
        <f t="shared" si="172"/>
        <v>-193</v>
      </c>
      <c r="E3152" s="384">
        <f t="shared" si="173"/>
        <v>5</v>
      </c>
      <c r="F3152" s="384">
        <f t="shared" ca="1" si="174"/>
        <v>56</v>
      </c>
      <c r="G3152" s="384" t="s">
        <v>3824</v>
      </c>
      <c r="H3152" s="388"/>
      <c r="I3152" s="388"/>
    </row>
    <row r="3153" spans="1:9" x14ac:dyDescent="0.3">
      <c r="A3153" s="384" t="b">
        <v>0</v>
      </c>
      <c r="B3153" s="384" t="s">
        <v>4178</v>
      </c>
      <c r="C3153" s="389">
        <v>48</v>
      </c>
      <c r="D3153" s="384">
        <f t="shared" si="172"/>
        <v>-192</v>
      </c>
      <c r="E3153" s="384">
        <f t="shared" si="173"/>
        <v>6</v>
      </c>
      <c r="F3153" s="384">
        <f t="shared" ca="1" si="174"/>
        <v>56</v>
      </c>
      <c r="G3153" s="384" t="s">
        <v>3824</v>
      </c>
      <c r="H3153" s="388"/>
      <c r="I3153" s="388"/>
    </row>
    <row r="3154" spans="1:9" x14ac:dyDescent="0.3">
      <c r="A3154" s="384" t="b">
        <v>0</v>
      </c>
      <c r="B3154" s="384" t="s">
        <v>4179</v>
      </c>
      <c r="C3154" s="389">
        <v>49</v>
      </c>
      <c r="D3154" s="384">
        <f t="shared" si="172"/>
        <v>-191</v>
      </c>
      <c r="E3154" s="384">
        <f t="shared" si="173"/>
        <v>1</v>
      </c>
      <c r="F3154" s="384">
        <f t="shared" ca="1" si="174"/>
        <v>57</v>
      </c>
      <c r="G3154" s="384" t="s">
        <v>3826</v>
      </c>
      <c r="H3154" s="388"/>
      <c r="I3154" s="388"/>
    </row>
    <row r="3155" spans="1:9" x14ac:dyDescent="0.3">
      <c r="A3155" s="384" t="b">
        <v>0</v>
      </c>
      <c r="B3155" s="384" t="s">
        <v>4180</v>
      </c>
      <c r="C3155" s="389">
        <v>49</v>
      </c>
      <c r="D3155" s="384">
        <f t="shared" si="172"/>
        <v>-190</v>
      </c>
      <c r="E3155" s="384">
        <f t="shared" si="173"/>
        <v>2</v>
      </c>
      <c r="F3155" s="384">
        <f t="shared" ca="1" si="174"/>
        <v>57</v>
      </c>
      <c r="G3155" s="384" t="s">
        <v>3826</v>
      </c>
      <c r="H3155" s="388"/>
      <c r="I3155" s="388"/>
    </row>
    <row r="3156" spans="1:9" x14ac:dyDescent="0.3">
      <c r="A3156" s="384" t="b">
        <v>0</v>
      </c>
      <c r="B3156" s="384" t="s">
        <v>4181</v>
      </c>
      <c r="C3156" s="389">
        <v>49</v>
      </c>
      <c r="D3156" s="384">
        <f t="shared" si="172"/>
        <v>-189</v>
      </c>
      <c r="E3156" s="384">
        <f t="shared" si="173"/>
        <v>3</v>
      </c>
      <c r="F3156" s="384">
        <f t="shared" ca="1" si="174"/>
        <v>57</v>
      </c>
      <c r="G3156" s="384" t="s">
        <v>3826</v>
      </c>
      <c r="H3156" s="388"/>
      <c r="I3156" s="388"/>
    </row>
    <row r="3157" spans="1:9" x14ac:dyDescent="0.3">
      <c r="A3157" s="384" t="b">
        <v>0</v>
      </c>
      <c r="B3157" s="384" t="s">
        <v>4182</v>
      </c>
      <c r="C3157" s="389">
        <v>49</v>
      </c>
      <c r="D3157" s="384">
        <f t="shared" si="172"/>
        <v>-188</v>
      </c>
      <c r="E3157" s="384">
        <f t="shared" si="173"/>
        <v>4</v>
      </c>
      <c r="F3157" s="384">
        <f t="shared" ca="1" si="174"/>
        <v>57</v>
      </c>
      <c r="G3157" s="384" t="s">
        <v>3826</v>
      </c>
      <c r="H3157" s="388"/>
      <c r="I3157" s="388"/>
    </row>
    <row r="3158" spans="1:9" x14ac:dyDescent="0.3">
      <c r="A3158" s="384" t="b">
        <v>0</v>
      </c>
      <c r="B3158" s="384" t="s">
        <v>4183</v>
      </c>
      <c r="C3158" s="389">
        <v>49</v>
      </c>
      <c r="D3158" s="384">
        <f t="shared" si="172"/>
        <v>-187</v>
      </c>
      <c r="E3158" s="384">
        <f t="shared" si="173"/>
        <v>5</v>
      </c>
      <c r="F3158" s="384">
        <f t="shared" ca="1" si="174"/>
        <v>57</v>
      </c>
      <c r="G3158" s="384" t="s">
        <v>3826</v>
      </c>
      <c r="H3158" s="388"/>
      <c r="I3158" s="388"/>
    </row>
    <row r="3159" spans="1:9" x14ac:dyDescent="0.3">
      <c r="A3159" s="384" t="b">
        <v>0</v>
      </c>
      <c r="B3159" s="384" t="s">
        <v>4184</v>
      </c>
      <c r="C3159" s="389">
        <v>49</v>
      </c>
      <c r="D3159" s="384">
        <f t="shared" si="172"/>
        <v>-186</v>
      </c>
      <c r="E3159" s="384">
        <f t="shared" si="173"/>
        <v>6</v>
      </c>
      <c r="F3159" s="384">
        <f t="shared" ca="1" si="174"/>
        <v>57</v>
      </c>
      <c r="G3159" s="384" t="s">
        <v>3826</v>
      </c>
      <c r="H3159" s="388"/>
      <c r="I3159" s="388"/>
    </row>
    <row r="3160" spans="1:9" x14ac:dyDescent="0.3">
      <c r="A3160" s="384" t="b">
        <v>0</v>
      </c>
      <c r="B3160" s="384" t="s">
        <v>4185</v>
      </c>
      <c r="C3160" s="389">
        <v>50</v>
      </c>
      <c r="D3160" s="384">
        <f t="shared" si="172"/>
        <v>-185</v>
      </c>
      <c r="E3160" s="384">
        <f t="shared" si="173"/>
        <v>1</v>
      </c>
      <c r="F3160" s="384">
        <f t="shared" ca="1" si="174"/>
        <v>58</v>
      </c>
      <c r="G3160" s="384" t="s">
        <v>3828</v>
      </c>
      <c r="H3160" s="388"/>
      <c r="I3160" s="388"/>
    </row>
    <row r="3161" spans="1:9" x14ac:dyDescent="0.3">
      <c r="A3161" s="384" t="b">
        <v>0</v>
      </c>
      <c r="B3161" s="384" t="s">
        <v>4186</v>
      </c>
      <c r="C3161" s="389">
        <v>50</v>
      </c>
      <c r="D3161" s="384">
        <f t="shared" si="172"/>
        <v>-184</v>
      </c>
      <c r="E3161" s="384">
        <f t="shared" si="173"/>
        <v>2</v>
      </c>
      <c r="F3161" s="384">
        <f t="shared" ca="1" si="174"/>
        <v>58</v>
      </c>
      <c r="G3161" s="384" t="s">
        <v>3828</v>
      </c>
      <c r="H3161" s="388"/>
      <c r="I3161" s="388"/>
    </row>
    <row r="3162" spans="1:9" x14ac:dyDescent="0.3">
      <c r="A3162" s="384" t="b">
        <v>0</v>
      </c>
      <c r="B3162" s="384" t="s">
        <v>4187</v>
      </c>
      <c r="C3162" s="389">
        <v>50</v>
      </c>
      <c r="D3162" s="384">
        <f t="shared" si="172"/>
        <v>-183</v>
      </c>
      <c r="E3162" s="384">
        <f t="shared" si="173"/>
        <v>3</v>
      </c>
      <c r="F3162" s="384">
        <f t="shared" ca="1" si="174"/>
        <v>58</v>
      </c>
      <c r="G3162" s="384" t="s">
        <v>3828</v>
      </c>
      <c r="H3162" s="388"/>
      <c r="I3162" s="388"/>
    </row>
    <row r="3163" spans="1:9" x14ac:dyDescent="0.3">
      <c r="A3163" s="384" t="b">
        <v>0</v>
      </c>
      <c r="B3163" s="384" t="s">
        <v>4188</v>
      </c>
      <c r="C3163" s="389">
        <v>50</v>
      </c>
      <c r="D3163" s="384">
        <f t="shared" si="172"/>
        <v>-182</v>
      </c>
      <c r="E3163" s="384">
        <f t="shared" si="173"/>
        <v>4</v>
      </c>
      <c r="F3163" s="384">
        <f t="shared" ca="1" si="174"/>
        <v>58</v>
      </c>
      <c r="G3163" s="384" t="s">
        <v>3828</v>
      </c>
      <c r="H3163" s="388"/>
      <c r="I3163" s="388"/>
    </row>
    <row r="3164" spans="1:9" x14ac:dyDescent="0.3">
      <c r="A3164" s="384" t="b">
        <v>0</v>
      </c>
      <c r="B3164" s="384" t="s">
        <v>4189</v>
      </c>
      <c r="C3164" s="389">
        <v>50</v>
      </c>
      <c r="D3164" s="384">
        <f t="shared" si="172"/>
        <v>-181</v>
      </c>
      <c r="E3164" s="384">
        <f t="shared" si="173"/>
        <v>5</v>
      </c>
      <c r="F3164" s="384">
        <f t="shared" ca="1" si="174"/>
        <v>58</v>
      </c>
      <c r="G3164" s="384" t="s">
        <v>3828</v>
      </c>
      <c r="H3164" s="388"/>
      <c r="I3164" s="388"/>
    </row>
    <row r="3165" spans="1:9" x14ac:dyDescent="0.3">
      <c r="A3165" s="384" t="b">
        <v>0</v>
      </c>
      <c r="B3165" s="384" t="s">
        <v>4190</v>
      </c>
      <c r="C3165" s="389">
        <v>50</v>
      </c>
      <c r="D3165" s="384">
        <f t="shared" si="172"/>
        <v>-180</v>
      </c>
      <c r="E3165" s="384">
        <f t="shared" si="173"/>
        <v>6</v>
      </c>
      <c r="F3165" s="384">
        <f t="shared" ca="1" si="174"/>
        <v>58</v>
      </c>
      <c r="G3165" s="384" t="s">
        <v>3828</v>
      </c>
      <c r="H3165" s="388"/>
      <c r="I3165" s="388"/>
    </row>
    <row r="3166" spans="1:9" x14ac:dyDescent="0.3">
      <c r="A3166" s="384" t="b">
        <v>0</v>
      </c>
      <c r="B3166" s="384" t="s">
        <v>4191</v>
      </c>
      <c r="C3166" s="389">
        <v>51</v>
      </c>
      <c r="D3166" s="384">
        <f t="shared" si="172"/>
        <v>-179</v>
      </c>
      <c r="E3166" s="384">
        <f t="shared" si="173"/>
        <v>1</v>
      </c>
      <c r="F3166" s="384">
        <f t="shared" ca="1" si="174"/>
        <v>59</v>
      </c>
      <c r="G3166" s="384" t="s">
        <v>3830</v>
      </c>
      <c r="H3166" s="388"/>
      <c r="I3166" s="388"/>
    </row>
    <row r="3167" spans="1:9" x14ac:dyDescent="0.3">
      <c r="A3167" s="384" t="b">
        <v>0</v>
      </c>
      <c r="B3167" s="384" t="s">
        <v>4192</v>
      </c>
      <c r="C3167" s="389">
        <v>51</v>
      </c>
      <c r="D3167" s="384">
        <f t="shared" si="172"/>
        <v>-178</v>
      </c>
      <c r="E3167" s="384">
        <f t="shared" si="173"/>
        <v>2</v>
      </c>
      <c r="F3167" s="384">
        <f t="shared" ca="1" si="174"/>
        <v>59</v>
      </c>
      <c r="G3167" s="384" t="s">
        <v>3830</v>
      </c>
      <c r="H3167" s="388"/>
      <c r="I3167" s="388"/>
    </row>
    <row r="3168" spans="1:9" x14ac:dyDescent="0.3">
      <c r="A3168" s="384" t="b">
        <v>0</v>
      </c>
      <c r="B3168" s="384" t="s">
        <v>4193</v>
      </c>
      <c r="C3168" s="389">
        <v>51</v>
      </c>
      <c r="D3168" s="384">
        <f t="shared" si="172"/>
        <v>-177</v>
      </c>
      <c r="E3168" s="384">
        <f t="shared" si="173"/>
        <v>3</v>
      </c>
      <c r="F3168" s="384">
        <f t="shared" ca="1" si="174"/>
        <v>59</v>
      </c>
      <c r="G3168" s="384" t="s">
        <v>3830</v>
      </c>
      <c r="H3168" s="388"/>
      <c r="I3168" s="388"/>
    </row>
    <row r="3169" spans="1:9" x14ac:dyDescent="0.3">
      <c r="A3169" s="384" t="b">
        <v>0</v>
      </c>
      <c r="B3169" s="384" t="s">
        <v>4194</v>
      </c>
      <c r="C3169" s="389">
        <v>51</v>
      </c>
      <c r="D3169" s="384">
        <f t="shared" si="172"/>
        <v>-176</v>
      </c>
      <c r="E3169" s="384">
        <f t="shared" si="173"/>
        <v>4</v>
      </c>
      <c r="F3169" s="384">
        <f t="shared" ca="1" si="174"/>
        <v>59</v>
      </c>
      <c r="G3169" s="384" t="s">
        <v>3830</v>
      </c>
      <c r="H3169" s="388"/>
      <c r="I3169" s="388"/>
    </row>
    <row r="3170" spans="1:9" x14ac:dyDescent="0.3">
      <c r="A3170" s="384" t="b">
        <v>0</v>
      </c>
      <c r="B3170" s="384" t="s">
        <v>4195</v>
      </c>
      <c r="C3170" s="389">
        <v>51</v>
      </c>
      <c r="D3170" s="384">
        <f t="shared" si="172"/>
        <v>-175</v>
      </c>
      <c r="E3170" s="384">
        <f t="shared" si="173"/>
        <v>5</v>
      </c>
      <c r="F3170" s="384">
        <f t="shared" ca="1" si="174"/>
        <v>59</v>
      </c>
      <c r="G3170" s="384" t="s">
        <v>3830</v>
      </c>
      <c r="H3170" s="388"/>
      <c r="I3170" s="388"/>
    </row>
    <row r="3171" spans="1:9" x14ac:dyDescent="0.3">
      <c r="A3171" s="384" t="b">
        <v>0</v>
      </c>
      <c r="B3171" s="384" t="s">
        <v>4196</v>
      </c>
      <c r="C3171" s="389">
        <v>51</v>
      </c>
      <c r="D3171" s="384">
        <f t="shared" si="172"/>
        <v>-174</v>
      </c>
      <c r="E3171" s="384">
        <f t="shared" si="173"/>
        <v>6</v>
      </c>
      <c r="F3171" s="384">
        <f t="shared" ca="1" si="174"/>
        <v>59</v>
      </c>
      <c r="G3171" s="384" t="s">
        <v>3830</v>
      </c>
      <c r="H3171" s="388"/>
      <c r="I3171" s="388"/>
    </row>
    <row r="3172" spans="1:9" x14ac:dyDescent="0.3">
      <c r="A3172" s="384" t="b">
        <v>0</v>
      </c>
      <c r="B3172" s="384" t="s">
        <v>4197</v>
      </c>
      <c r="C3172" s="389">
        <v>52</v>
      </c>
      <c r="D3172" s="384">
        <f t="shared" si="172"/>
        <v>-173</v>
      </c>
      <c r="E3172" s="384">
        <f t="shared" si="173"/>
        <v>1</v>
      </c>
      <c r="F3172" s="384">
        <f t="shared" ca="1" si="174"/>
        <v>60</v>
      </c>
      <c r="G3172" s="384" t="s">
        <v>3832</v>
      </c>
      <c r="H3172" s="388"/>
      <c r="I3172" s="388"/>
    </row>
    <row r="3173" spans="1:9" x14ac:dyDescent="0.3">
      <c r="A3173" s="384" t="b">
        <v>0</v>
      </c>
      <c r="B3173" s="384" t="s">
        <v>4198</v>
      </c>
      <c r="C3173" s="389">
        <v>52</v>
      </c>
      <c r="D3173" s="384">
        <f t="shared" si="172"/>
        <v>-172</v>
      </c>
      <c r="E3173" s="384">
        <f t="shared" si="173"/>
        <v>2</v>
      </c>
      <c r="F3173" s="384">
        <f t="shared" ca="1" si="174"/>
        <v>60</v>
      </c>
      <c r="G3173" s="384" t="s">
        <v>3832</v>
      </c>
      <c r="H3173" s="388"/>
      <c r="I3173" s="388"/>
    </row>
    <row r="3174" spans="1:9" x14ac:dyDescent="0.3">
      <c r="A3174" s="384" t="b">
        <v>0</v>
      </c>
      <c r="B3174" s="384" t="s">
        <v>4199</v>
      </c>
      <c r="C3174" s="389">
        <v>52</v>
      </c>
      <c r="D3174" s="384">
        <f t="shared" si="172"/>
        <v>-171</v>
      </c>
      <c r="E3174" s="384">
        <f t="shared" si="173"/>
        <v>3</v>
      </c>
      <c r="F3174" s="384">
        <f t="shared" ca="1" si="174"/>
        <v>60</v>
      </c>
      <c r="G3174" s="384" t="s">
        <v>3832</v>
      </c>
      <c r="H3174" s="388"/>
      <c r="I3174" s="388"/>
    </row>
    <row r="3175" spans="1:9" x14ac:dyDescent="0.3">
      <c r="A3175" s="384" t="b">
        <v>0</v>
      </c>
      <c r="B3175" s="384" t="s">
        <v>4200</v>
      </c>
      <c r="C3175" s="389">
        <v>52</v>
      </c>
      <c r="D3175" s="384">
        <f t="shared" si="172"/>
        <v>-170</v>
      </c>
      <c r="E3175" s="384">
        <f t="shared" si="173"/>
        <v>4</v>
      </c>
      <c r="F3175" s="384">
        <f t="shared" ca="1" si="174"/>
        <v>60</v>
      </c>
      <c r="G3175" s="384" t="s">
        <v>3832</v>
      </c>
      <c r="H3175" s="388"/>
      <c r="I3175" s="388"/>
    </row>
    <row r="3176" spans="1:9" x14ac:dyDescent="0.3">
      <c r="A3176" s="384" t="b">
        <v>0</v>
      </c>
      <c r="B3176" s="384" t="s">
        <v>4201</v>
      </c>
      <c r="C3176" s="389">
        <v>52</v>
      </c>
      <c r="D3176" s="384">
        <f t="shared" si="172"/>
        <v>-169</v>
      </c>
      <c r="E3176" s="384">
        <f t="shared" si="173"/>
        <v>5</v>
      </c>
      <c r="F3176" s="384">
        <f t="shared" ca="1" si="174"/>
        <v>60</v>
      </c>
      <c r="G3176" s="384" t="s">
        <v>3832</v>
      </c>
      <c r="H3176" s="388"/>
      <c r="I3176" s="388"/>
    </row>
    <row r="3177" spans="1:9" x14ac:dyDescent="0.3">
      <c r="A3177" s="384" t="b">
        <v>0</v>
      </c>
      <c r="B3177" s="384" t="s">
        <v>4202</v>
      </c>
      <c r="C3177" s="389">
        <v>52</v>
      </c>
      <c r="D3177" s="384">
        <f t="shared" si="172"/>
        <v>-168</v>
      </c>
      <c r="E3177" s="384">
        <f t="shared" si="173"/>
        <v>6</v>
      </c>
      <c r="F3177" s="384">
        <f t="shared" ca="1" si="174"/>
        <v>60</v>
      </c>
      <c r="G3177" s="384" t="s">
        <v>3832</v>
      </c>
      <c r="H3177" s="388"/>
      <c r="I3177" s="388"/>
    </row>
    <row r="3178" spans="1:9" x14ac:dyDescent="0.3">
      <c r="A3178" s="384" t="b">
        <v>0</v>
      </c>
      <c r="B3178" s="384" t="s">
        <v>4203</v>
      </c>
      <c r="C3178" s="389">
        <v>53</v>
      </c>
      <c r="D3178" s="384">
        <f t="shared" si="172"/>
        <v>-167</v>
      </c>
      <c r="E3178" s="384">
        <f t="shared" si="173"/>
        <v>1</v>
      </c>
      <c r="F3178" s="384">
        <f t="shared" ca="1" si="174"/>
        <v>61</v>
      </c>
      <c r="G3178" s="384" t="s">
        <v>3834</v>
      </c>
      <c r="H3178" s="388"/>
      <c r="I3178" s="388"/>
    </row>
    <row r="3179" spans="1:9" x14ac:dyDescent="0.3">
      <c r="A3179" s="384" t="b">
        <v>0</v>
      </c>
      <c r="B3179" s="384" t="s">
        <v>4204</v>
      </c>
      <c r="C3179" s="389">
        <v>53</v>
      </c>
      <c r="D3179" s="384">
        <f t="shared" si="172"/>
        <v>-166</v>
      </c>
      <c r="E3179" s="384">
        <f t="shared" si="173"/>
        <v>2</v>
      </c>
      <c r="F3179" s="384">
        <f t="shared" ca="1" si="174"/>
        <v>61</v>
      </c>
      <c r="G3179" s="384" t="s">
        <v>3834</v>
      </c>
      <c r="H3179" s="388"/>
      <c r="I3179" s="388"/>
    </row>
    <row r="3180" spans="1:9" x14ac:dyDescent="0.3">
      <c r="A3180" s="384" t="b">
        <v>0</v>
      </c>
      <c r="B3180" s="384" t="s">
        <v>4205</v>
      </c>
      <c r="C3180" s="389">
        <v>53</v>
      </c>
      <c r="D3180" s="384">
        <f t="shared" si="172"/>
        <v>-165</v>
      </c>
      <c r="E3180" s="384">
        <f t="shared" si="173"/>
        <v>3</v>
      </c>
      <c r="F3180" s="384">
        <f t="shared" ca="1" si="174"/>
        <v>61</v>
      </c>
      <c r="G3180" s="384" t="s">
        <v>3834</v>
      </c>
      <c r="H3180" s="388"/>
      <c r="I3180" s="388"/>
    </row>
    <row r="3181" spans="1:9" x14ac:dyDescent="0.3">
      <c r="A3181" s="384" t="b">
        <v>0</v>
      </c>
      <c r="B3181" s="384" t="s">
        <v>4206</v>
      </c>
      <c r="C3181" s="389">
        <v>53</v>
      </c>
      <c r="D3181" s="384">
        <f t="shared" si="172"/>
        <v>-164</v>
      </c>
      <c r="E3181" s="384">
        <f t="shared" si="173"/>
        <v>4</v>
      </c>
      <c r="F3181" s="384">
        <f t="shared" ca="1" si="174"/>
        <v>61</v>
      </c>
      <c r="G3181" s="384" t="s">
        <v>3834</v>
      </c>
      <c r="H3181" s="388"/>
      <c r="I3181" s="388"/>
    </row>
    <row r="3182" spans="1:9" x14ac:dyDescent="0.3">
      <c r="A3182" s="384" t="b">
        <v>0</v>
      </c>
      <c r="B3182" s="384" t="s">
        <v>4207</v>
      </c>
      <c r="C3182" s="389">
        <v>53</v>
      </c>
      <c r="D3182" s="384">
        <f t="shared" si="172"/>
        <v>-163</v>
      </c>
      <c r="E3182" s="384">
        <f t="shared" si="173"/>
        <v>5</v>
      </c>
      <c r="F3182" s="384">
        <f t="shared" ca="1" si="174"/>
        <v>61</v>
      </c>
      <c r="G3182" s="384" t="s">
        <v>3834</v>
      </c>
      <c r="H3182" s="388"/>
      <c r="I3182" s="388"/>
    </row>
    <row r="3183" spans="1:9" x14ac:dyDescent="0.3">
      <c r="A3183" s="384" t="b">
        <v>0</v>
      </c>
      <c r="B3183" s="384" t="s">
        <v>4208</v>
      </c>
      <c r="C3183" s="389">
        <v>53</v>
      </c>
      <c r="D3183" s="384">
        <f t="shared" si="172"/>
        <v>-162</v>
      </c>
      <c r="E3183" s="384">
        <f t="shared" si="173"/>
        <v>6</v>
      </c>
      <c r="F3183" s="384">
        <f t="shared" ca="1" si="174"/>
        <v>61</v>
      </c>
      <c r="G3183" s="384" t="s">
        <v>3834</v>
      </c>
      <c r="H3183" s="388"/>
      <c r="I3183" s="388"/>
    </row>
    <row r="3184" spans="1:9" x14ac:dyDescent="0.3">
      <c r="A3184" s="384" t="b">
        <v>0</v>
      </c>
      <c r="B3184" s="384" t="s">
        <v>4209</v>
      </c>
      <c r="C3184" s="389">
        <v>54</v>
      </c>
      <c r="D3184" s="384">
        <f t="shared" si="172"/>
        <v>-161</v>
      </c>
      <c r="E3184" s="384">
        <f t="shared" si="173"/>
        <v>1</v>
      </c>
      <c r="F3184" s="384">
        <f t="shared" ca="1" si="174"/>
        <v>62</v>
      </c>
      <c r="G3184" s="384" t="s">
        <v>3836</v>
      </c>
      <c r="H3184" s="388"/>
      <c r="I3184" s="388"/>
    </row>
    <row r="3185" spans="1:9" x14ac:dyDescent="0.3">
      <c r="A3185" s="384" t="b">
        <v>0</v>
      </c>
      <c r="B3185" s="384" t="s">
        <v>4210</v>
      </c>
      <c r="C3185" s="389">
        <v>54</v>
      </c>
      <c r="D3185" s="384">
        <f t="shared" si="172"/>
        <v>-160</v>
      </c>
      <c r="E3185" s="384">
        <f t="shared" si="173"/>
        <v>2</v>
      </c>
      <c r="F3185" s="384">
        <f t="shared" ca="1" si="174"/>
        <v>62</v>
      </c>
      <c r="G3185" s="384" t="s">
        <v>3836</v>
      </c>
      <c r="H3185" s="388"/>
      <c r="I3185" s="388"/>
    </row>
    <row r="3186" spans="1:9" x14ac:dyDescent="0.3">
      <c r="A3186" s="384" t="b">
        <v>0</v>
      </c>
      <c r="B3186" s="384" t="s">
        <v>4211</v>
      </c>
      <c r="C3186" s="389">
        <v>54</v>
      </c>
      <c r="D3186" s="384">
        <f t="shared" ref="D3186:D3249" si="175">D3185+1</f>
        <v>-159</v>
      </c>
      <c r="E3186" s="384">
        <f t="shared" ref="E3186:E3249" si="176">COUNTIF(C3016:C3186,C3186)</f>
        <v>3</v>
      </c>
      <c r="F3186" s="384">
        <f t="shared" ref="F3186:F3249" ca="1" si="177">IF(C3186=1,9,IF(E3185=MAX(E3184:E3186),F3184+1,F3185))</f>
        <v>62</v>
      </c>
      <c r="G3186" s="384" t="s">
        <v>3836</v>
      </c>
      <c r="H3186" s="388"/>
      <c r="I3186" s="388"/>
    </row>
    <row r="3187" spans="1:9" x14ac:dyDescent="0.3">
      <c r="A3187" s="384" t="b">
        <v>0</v>
      </c>
      <c r="B3187" s="384" t="s">
        <v>4212</v>
      </c>
      <c r="C3187" s="389">
        <v>54</v>
      </c>
      <c r="D3187" s="384">
        <f t="shared" si="175"/>
        <v>-158</v>
      </c>
      <c r="E3187" s="384">
        <f t="shared" si="176"/>
        <v>4</v>
      </c>
      <c r="F3187" s="384">
        <f t="shared" ca="1" si="177"/>
        <v>62</v>
      </c>
      <c r="G3187" s="384" t="s">
        <v>3836</v>
      </c>
      <c r="H3187" s="388"/>
      <c r="I3187" s="388"/>
    </row>
    <row r="3188" spans="1:9" x14ac:dyDescent="0.3">
      <c r="A3188" s="384" t="b">
        <v>0</v>
      </c>
      <c r="B3188" s="384" t="s">
        <v>4213</v>
      </c>
      <c r="C3188" s="389">
        <v>54</v>
      </c>
      <c r="D3188" s="384">
        <f t="shared" si="175"/>
        <v>-157</v>
      </c>
      <c r="E3188" s="384">
        <f t="shared" si="176"/>
        <v>5</v>
      </c>
      <c r="F3188" s="384">
        <f t="shared" ca="1" si="177"/>
        <v>62</v>
      </c>
      <c r="G3188" s="384" t="s">
        <v>3836</v>
      </c>
      <c r="H3188" s="388"/>
      <c r="I3188" s="388"/>
    </row>
    <row r="3189" spans="1:9" x14ac:dyDescent="0.3">
      <c r="A3189" s="384" t="b">
        <v>0</v>
      </c>
      <c r="B3189" s="384" t="s">
        <v>4214</v>
      </c>
      <c r="C3189" s="389">
        <v>54</v>
      </c>
      <c r="D3189" s="384">
        <f t="shared" si="175"/>
        <v>-156</v>
      </c>
      <c r="E3189" s="384">
        <f t="shared" si="176"/>
        <v>6</v>
      </c>
      <c r="F3189" s="384">
        <f t="shared" ca="1" si="177"/>
        <v>62</v>
      </c>
      <c r="G3189" s="384" t="s">
        <v>3836</v>
      </c>
      <c r="H3189" s="388"/>
      <c r="I3189" s="388"/>
    </row>
    <row r="3190" spans="1:9" x14ac:dyDescent="0.3">
      <c r="A3190" s="384" t="b">
        <v>0</v>
      </c>
      <c r="B3190" s="384" t="s">
        <v>4215</v>
      </c>
      <c r="C3190" s="389">
        <v>55</v>
      </c>
      <c r="D3190" s="384">
        <f t="shared" si="175"/>
        <v>-155</v>
      </c>
      <c r="E3190" s="384">
        <f t="shared" si="176"/>
        <v>1</v>
      </c>
      <c r="F3190" s="384">
        <f t="shared" ca="1" si="177"/>
        <v>63</v>
      </c>
      <c r="G3190" s="384" t="s">
        <v>3838</v>
      </c>
      <c r="H3190" s="388"/>
      <c r="I3190" s="388"/>
    </row>
    <row r="3191" spans="1:9" x14ac:dyDescent="0.3">
      <c r="A3191" s="384" t="b">
        <v>0</v>
      </c>
      <c r="B3191" s="384" t="s">
        <v>4216</v>
      </c>
      <c r="C3191" s="389">
        <v>55</v>
      </c>
      <c r="D3191" s="384">
        <f t="shared" si="175"/>
        <v>-154</v>
      </c>
      <c r="E3191" s="384">
        <f t="shared" si="176"/>
        <v>2</v>
      </c>
      <c r="F3191" s="384">
        <f t="shared" ca="1" si="177"/>
        <v>63</v>
      </c>
      <c r="G3191" s="384" t="s">
        <v>3838</v>
      </c>
      <c r="H3191" s="388"/>
      <c r="I3191" s="388"/>
    </row>
    <row r="3192" spans="1:9" x14ac:dyDescent="0.3">
      <c r="A3192" s="384" t="b">
        <v>0</v>
      </c>
      <c r="B3192" s="384" t="s">
        <v>4217</v>
      </c>
      <c r="C3192" s="389">
        <v>55</v>
      </c>
      <c r="D3192" s="384">
        <f t="shared" si="175"/>
        <v>-153</v>
      </c>
      <c r="E3192" s="384">
        <f t="shared" si="176"/>
        <v>3</v>
      </c>
      <c r="F3192" s="384">
        <f t="shared" ca="1" si="177"/>
        <v>63</v>
      </c>
      <c r="G3192" s="384" t="s">
        <v>3838</v>
      </c>
      <c r="H3192" s="388"/>
      <c r="I3192" s="388"/>
    </row>
    <row r="3193" spans="1:9" x14ac:dyDescent="0.3">
      <c r="A3193" s="384" t="b">
        <v>0</v>
      </c>
      <c r="B3193" s="384" t="s">
        <v>4218</v>
      </c>
      <c r="C3193" s="389">
        <v>55</v>
      </c>
      <c r="D3193" s="384">
        <f t="shared" si="175"/>
        <v>-152</v>
      </c>
      <c r="E3193" s="384">
        <f t="shared" si="176"/>
        <v>4</v>
      </c>
      <c r="F3193" s="384">
        <f t="shared" ca="1" si="177"/>
        <v>63</v>
      </c>
      <c r="G3193" s="384" t="s">
        <v>3838</v>
      </c>
      <c r="H3193" s="388"/>
      <c r="I3193" s="388"/>
    </row>
    <row r="3194" spans="1:9" x14ac:dyDescent="0.3">
      <c r="A3194" s="384" t="b">
        <v>0</v>
      </c>
      <c r="B3194" s="384" t="s">
        <v>4219</v>
      </c>
      <c r="C3194" s="389">
        <v>55</v>
      </c>
      <c r="D3194" s="384">
        <f t="shared" si="175"/>
        <v>-151</v>
      </c>
      <c r="E3194" s="384">
        <f t="shared" si="176"/>
        <v>5</v>
      </c>
      <c r="F3194" s="384">
        <f t="shared" ca="1" si="177"/>
        <v>63</v>
      </c>
      <c r="G3194" s="384" t="s">
        <v>3838</v>
      </c>
      <c r="H3194" s="388"/>
      <c r="I3194" s="388"/>
    </row>
    <row r="3195" spans="1:9" x14ac:dyDescent="0.3">
      <c r="A3195" s="384" t="b">
        <v>0</v>
      </c>
      <c r="B3195" s="384" t="s">
        <v>4220</v>
      </c>
      <c r="C3195" s="389">
        <v>55</v>
      </c>
      <c r="D3195" s="384">
        <f t="shared" si="175"/>
        <v>-150</v>
      </c>
      <c r="E3195" s="384">
        <f t="shared" si="176"/>
        <v>6</v>
      </c>
      <c r="F3195" s="384">
        <f t="shared" ca="1" si="177"/>
        <v>63</v>
      </c>
      <c r="G3195" s="384" t="s">
        <v>3838</v>
      </c>
      <c r="H3195" s="388"/>
      <c r="I3195" s="388"/>
    </row>
    <row r="3196" spans="1:9" x14ac:dyDescent="0.3">
      <c r="A3196" s="384" t="b">
        <v>0</v>
      </c>
      <c r="B3196" s="384" t="s">
        <v>4221</v>
      </c>
      <c r="C3196" s="389">
        <v>56</v>
      </c>
      <c r="D3196" s="384">
        <f t="shared" si="175"/>
        <v>-149</v>
      </c>
      <c r="E3196" s="384">
        <f t="shared" si="176"/>
        <v>1</v>
      </c>
      <c r="F3196" s="384">
        <f t="shared" ca="1" si="177"/>
        <v>64</v>
      </c>
      <c r="G3196" s="384" t="s">
        <v>3840</v>
      </c>
      <c r="H3196" s="388"/>
      <c r="I3196" s="388"/>
    </row>
    <row r="3197" spans="1:9" x14ac:dyDescent="0.3">
      <c r="A3197" s="384" t="b">
        <v>0</v>
      </c>
      <c r="B3197" s="384" t="s">
        <v>4222</v>
      </c>
      <c r="C3197" s="389">
        <v>56</v>
      </c>
      <c r="D3197" s="384">
        <f t="shared" si="175"/>
        <v>-148</v>
      </c>
      <c r="E3197" s="384">
        <f t="shared" si="176"/>
        <v>2</v>
      </c>
      <c r="F3197" s="384">
        <f t="shared" ca="1" si="177"/>
        <v>64</v>
      </c>
      <c r="G3197" s="384" t="s">
        <v>3840</v>
      </c>
      <c r="H3197" s="388"/>
      <c r="I3197" s="388"/>
    </row>
    <row r="3198" spans="1:9" x14ac:dyDescent="0.3">
      <c r="A3198" s="384" t="b">
        <v>0</v>
      </c>
      <c r="B3198" s="384" t="s">
        <v>4223</v>
      </c>
      <c r="C3198" s="389">
        <v>56</v>
      </c>
      <c r="D3198" s="384">
        <f t="shared" si="175"/>
        <v>-147</v>
      </c>
      <c r="E3198" s="384">
        <f t="shared" si="176"/>
        <v>3</v>
      </c>
      <c r="F3198" s="384">
        <f t="shared" ca="1" si="177"/>
        <v>64</v>
      </c>
      <c r="G3198" s="384" t="s">
        <v>3840</v>
      </c>
      <c r="H3198" s="388"/>
      <c r="I3198" s="388"/>
    </row>
    <row r="3199" spans="1:9" x14ac:dyDescent="0.3">
      <c r="A3199" s="384" t="b">
        <v>0</v>
      </c>
      <c r="B3199" s="384" t="s">
        <v>4224</v>
      </c>
      <c r="C3199" s="389">
        <v>56</v>
      </c>
      <c r="D3199" s="384">
        <f t="shared" si="175"/>
        <v>-146</v>
      </c>
      <c r="E3199" s="384">
        <f t="shared" si="176"/>
        <v>4</v>
      </c>
      <c r="F3199" s="384">
        <f t="shared" ca="1" si="177"/>
        <v>64</v>
      </c>
      <c r="G3199" s="384" t="s">
        <v>3840</v>
      </c>
      <c r="H3199" s="388"/>
      <c r="I3199" s="388"/>
    </row>
    <row r="3200" spans="1:9" x14ac:dyDescent="0.3">
      <c r="A3200" s="384" t="b">
        <v>0</v>
      </c>
      <c r="B3200" s="384" t="s">
        <v>4225</v>
      </c>
      <c r="C3200" s="389">
        <v>56</v>
      </c>
      <c r="D3200" s="384">
        <f t="shared" si="175"/>
        <v>-145</v>
      </c>
      <c r="E3200" s="384">
        <f t="shared" si="176"/>
        <v>5</v>
      </c>
      <c r="F3200" s="384">
        <f t="shared" ca="1" si="177"/>
        <v>64</v>
      </c>
      <c r="G3200" s="384" t="s">
        <v>3840</v>
      </c>
      <c r="H3200" s="388"/>
      <c r="I3200" s="388"/>
    </row>
    <row r="3201" spans="1:9" x14ac:dyDescent="0.3">
      <c r="A3201" s="384" t="b">
        <v>0</v>
      </c>
      <c r="B3201" s="384" t="s">
        <v>4226</v>
      </c>
      <c r="C3201" s="389">
        <v>56</v>
      </c>
      <c r="D3201" s="384">
        <f t="shared" si="175"/>
        <v>-144</v>
      </c>
      <c r="E3201" s="384">
        <f t="shared" si="176"/>
        <v>6</v>
      </c>
      <c r="F3201" s="384">
        <f t="shared" ca="1" si="177"/>
        <v>64</v>
      </c>
      <c r="G3201" s="384" t="s">
        <v>3840</v>
      </c>
      <c r="H3201" s="388"/>
      <c r="I3201" s="388"/>
    </row>
    <row r="3202" spans="1:9" x14ac:dyDescent="0.3">
      <c r="A3202" s="384" t="b">
        <v>0</v>
      </c>
      <c r="B3202" s="384" t="s">
        <v>4227</v>
      </c>
      <c r="C3202" s="389">
        <v>57</v>
      </c>
      <c r="D3202" s="384">
        <f t="shared" si="175"/>
        <v>-143</v>
      </c>
      <c r="E3202" s="384">
        <f t="shared" si="176"/>
        <v>1</v>
      </c>
      <c r="F3202" s="384">
        <f t="shared" ca="1" si="177"/>
        <v>65</v>
      </c>
      <c r="G3202" s="384" t="s">
        <v>3842</v>
      </c>
      <c r="H3202" s="388"/>
      <c r="I3202" s="388"/>
    </row>
    <row r="3203" spans="1:9" x14ac:dyDescent="0.3">
      <c r="A3203" s="384" t="b">
        <v>0</v>
      </c>
      <c r="B3203" s="384" t="s">
        <v>4228</v>
      </c>
      <c r="C3203" s="389">
        <v>57</v>
      </c>
      <c r="D3203" s="384">
        <f t="shared" si="175"/>
        <v>-142</v>
      </c>
      <c r="E3203" s="384">
        <f t="shared" si="176"/>
        <v>2</v>
      </c>
      <c r="F3203" s="384">
        <f t="shared" ca="1" si="177"/>
        <v>65</v>
      </c>
      <c r="G3203" s="384" t="s">
        <v>3842</v>
      </c>
      <c r="H3203" s="388"/>
      <c r="I3203" s="388"/>
    </row>
    <row r="3204" spans="1:9" x14ac:dyDescent="0.3">
      <c r="A3204" s="384" t="b">
        <v>0</v>
      </c>
      <c r="B3204" s="384" t="s">
        <v>4229</v>
      </c>
      <c r="C3204" s="389">
        <v>57</v>
      </c>
      <c r="D3204" s="384">
        <f t="shared" si="175"/>
        <v>-141</v>
      </c>
      <c r="E3204" s="384">
        <f t="shared" si="176"/>
        <v>3</v>
      </c>
      <c r="F3204" s="384">
        <f t="shared" ca="1" si="177"/>
        <v>65</v>
      </c>
      <c r="G3204" s="384" t="s">
        <v>3842</v>
      </c>
      <c r="H3204" s="388"/>
      <c r="I3204" s="388"/>
    </row>
    <row r="3205" spans="1:9" x14ac:dyDescent="0.3">
      <c r="A3205" s="384" t="b">
        <v>0</v>
      </c>
      <c r="B3205" s="384" t="s">
        <v>4230</v>
      </c>
      <c r="C3205" s="389">
        <v>57</v>
      </c>
      <c r="D3205" s="384">
        <f t="shared" si="175"/>
        <v>-140</v>
      </c>
      <c r="E3205" s="384">
        <f t="shared" si="176"/>
        <v>4</v>
      </c>
      <c r="F3205" s="384">
        <f t="shared" ca="1" si="177"/>
        <v>65</v>
      </c>
      <c r="G3205" s="384" t="s">
        <v>3842</v>
      </c>
      <c r="H3205" s="388"/>
      <c r="I3205" s="388"/>
    </row>
    <row r="3206" spans="1:9" x14ac:dyDescent="0.3">
      <c r="A3206" s="384" t="b">
        <v>0</v>
      </c>
      <c r="B3206" s="384" t="s">
        <v>4231</v>
      </c>
      <c r="C3206" s="389">
        <v>57</v>
      </c>
      <c r="D3206" s="384">
        <f t="shared" si="175"/>
        <v>-139</v>
      </c>
      <c r="E3206" s="384">
        <f t="shared" si="176"/>
        <v>5</v>
      </c>
      <c r="F3206" s="384">
        <f t="shared" ca="1" si="177"/>
        <v>65</v>
      </c>
      <c r="G3206" s="384" t="s">
        <v>3842</v>
      </c>
      <c r="H3206" s="388"/>
      <c r="I3206" s="388"/>
    </row>
    <row r="3207" spans="1:9" x14ac:dyDescent="0.3">
      <c r="A3207" s="384" t="b">
        <v>0</v>
      </c>
      <c r="B3207" s="384" t="s">
        <v>4232</v>
      </c>
      <c r="C3207" s="389">
        <v>57</v>
      </c>
      <c r="D3207" s="384">
        <f t="shared" si="175"/>
        <v>-138</v>
      </c>
      <c r="E3207" s="384">
        <f t="shared" si="176"/>
        <v>6</v>
      </c>
      <c r="F3207" s="384">
        <f t="shared" ca="1" si="177"/>
        <v>65</v>
      </c>
      <c r="G3207" s="384" t="s">
        <v>3842</v>
      </c>
      <c r="H3207" s="388"/>
      <c r="I3207" s="388"/>
    </row>
    <row r="3208" spans="1:9" x14ac:dyDescent="0.3">
      <c r="A3208" s="384" t="b">
        <v>0</v>
      </c>
      <c r="B3208" s="384" t="s">
        <v>4233</v>
      </c>
      <c r="C3208" s="389">
        <v>58</v>
      </c>
      <c r="D3208" s="384">
        <f t="shared" si="175"/>
        <v>-137</v>
      </c>
      <c r="E3208" s="384">
        <f t="shared" si="176"/>
        <v>1</v>
      </c>
      <c r="F3208" s="384">
        <f t="shared" ca="1" si="177"/>
        <v>66</v>
      </c>
      <c r="G3208" s="384" t="s">
        <v>3844</v>
      </c>
      <c r="H3208" s="388"/>
      <c r="I3208" s="388"/>
    </row>
    <row r="3209" spans="1:9" x14ac:dyDescent="0.3">
      <c r="A3209" s="384" t="b">
        <v>0</v>
      </c>
      <c r="B3209" s="384" t="s">
        <v>4234</v>
      </c>
      <c r="C3209" s="389">
        <v>58</v>
      </c>
      <c r="D3209" s="384">
        <f t="shared" si="175"/>
        <v>-136</v>
      </c>
      <c r="E3209" s="384">
        <f t="shared" si="176"/>
        <v>2</v>
      </c>
      <c r="F3209" s="384">
        <f t="shared" ca="1" si="177"/>
        <v>66</v>
      </c>
      <c r="G3209" s="384" t="s">
        <v>3844</v>
      </c>
      <c r="H3209" s="388"/>
      <c r="I3209" s="388"/>
    </row>
    <row r="3210" spans="1:9" x14ac:dyDescent="0.3">
      <c r="A3210" s="384" t="b">
        <v>0</v>
      </c>
      <c r="B3210" s="384" t="s">
        <v>4235</v>
      </c>
      <c r="C3210" s="389">
        <v>58</v>
      </c>
      <c r="D3210" s="384">
        <f t="shared" si="175"/>
        <v>-135</v>
      </c>
      <c r="E3210" s="384">
        <f t="shared" si="176"/>
        <v>3</v>
      </c>
      <c r="F3210" s="384">
        <f t="shared" ca="1" si="177"/>
        <v>66</v>
      </c>
      <c r="G3210" s="384" t="s">
        <v>3844</v>
      </c>
      <c r="H3210" s="388"/>
      <c r="I3210" s="388"/>
    </row>
    <row r="3211" spans="1:9" x14ac:dyDescent="0.3">
      <c r="A3211" s="384" t="b">
        <v>0</v>
      </c>
      <c r="B3211" s="384" t="s">
        <v>4236</v>
      </c>
      <c r="C3211" s="389">
        <v>58</v>
      </c>
      <c r="D3211" s="384">
        <f t="shared" si="175"/>
        <v>-134</v>
      </c>
      <c r="E3211" s="384">
        <f t="shared" si="176"/>
        <v>4</v>
      </c>
      <c r="F3211" s="384">
        <f t="shared" ca="1" si="177"/>
        <v>66</v>
      </c>
      <c r="G3211" s="384" t="s">
        <v>3844</v>
      </c>
      <c r="H3211" s="388"/>
      <c r="I3211" s="388"/>
    </row>
    <row r="3212" spans="1:9" x14ac:dyDescent="0.3">
      <c r="A3212" s="384" t="b">
        <v>0</v>
      </c>
      <c r="B3212" s="384" t="s">
        <v>4237</v>
      </c>
      <c r="C3212" s="389">
        <v>58</v>
      </c>
      <c r="D3212" s="384">
        <f t="shared" si="175"/>
        <v>-133</v>
      </c>
      <c r="E3212" s="384">
        <f t="shared" si="176"/>
        <v>5</v>
      </c>
      <c r="F3212" s="384">
        <f t="shared" ca="1" si="177"/>
        <v>66</v>
      </c>
      <c r="G3212" s="384" t="s">
        <v>3844</v>
      </c>
      <c r="H3212" s="388"/>
      <c r="I3212" s="388"/>
    </row>
    <row r="3213" spans="1:9" x14ac:dyDescent="0.3">
      <c r="A3213" s="384" t="b">
        <v>0</v>
      </c>
      <c r="B3213" s="384" t="s">
        <v>4238</v>
      </c>
      <c r="C3213" s="389">
        <v>58</v>
      </c>
      <c r="D3213" s="384">
        <f t="shared" si="175"/>
        <v>-132</v>
      </c>
      <c r="E3213" s="384">
        <f t="shared" si="176"/>
        <v>6</v>
      </c>
      <c r="F3213" s="384">
        <f t="shared" ca="1" si="177"/>
        <v>66</v>
      </c>
      <c r="G3213" s="384" t="s">
        <v>3844</v>
      </c>
      <c r="H3213" s="388"/>
      <c r="I3213" s="388"/>
    </row>
    <row r="3214" spans="1:9" x14ac:dyDescent="0.3">
      <c r="A3214" s="384" t="b">
        <v>0</v>
      </c>
      <c r="B3214" s="384" t="s">
        <v>4239</v>
      </c>
      <c r="C3214" s="389">
        <v>59</v>
      </c>
      <c r="D3214" s="384">
        <f t="shared" si="175"/>
        <v>-131</v>
      </c>
      <c r="E3214" s="384">
        <f t="shared" si="176"/>
        <v>1</v>
      </c>
      <c r="F3214" s="384">
        <f t="shared" ca="1" si="177"/>
        <v>67</v>
      </c>
      <c r="G3214" s="384" t="s">
        <v>3846</v>
      </c>
      <c r="H3214" s="388"/>
      <c r="I3214" s="388"/>
    </row>
    <row r="3215" spans="1:9" x14ac:dyDescent="0.3">
      <c r="A3215" s="384" t="b">
        <v>0</v>
      </c>
      <c r="B3215" s="384" t="s">
        <v>4240</v>
      </c>
      <c r="C3215" s="389">
        <v>59</v>
      </c>
      <c r="D3215" s="384">
        <f t="shared" si="175"/>
        <v>-130</v>
      </c>
      <c r="E3215" s="384">
        <f t="shared" si="176"/>
        <v>2</v>
      </c>
      <c r="F3215" s="384">
        <f t="shared" ca="1" si="177"/>
        <v>67</v>
      </c>
      <c r="G3215" s="384" t="s">
        <v>3846</v>
      </c>
      <c r="H3215" s="388"/>
      <c r="I3215" s="388"/>
    </row>
    <row r="3216" spans="1:9" x14ac:dyDescent="0.3">
      <c r="A3216" s="384" t="b">
        <v>0</v>
      </c>
      <c r="B3216" s="384" t="s">
        <v>4241</v>
      </c>
      <c r="C3216" s="389">
        <v>59</v>
      </c>
      <c r="D3216" s="384">
        <f t="shared" si="175"/>
        <v>-129</v>
      </c>
      <c r="E3216" s="384">
        <f t="shared" si="176"/>
        <v>3</v>
      </c>
      <c r="F3216" s="384">
        <f t="shared" ca="1" si="177"/>
        <v>67</v>
      </c>
      <c r="G3216" s="384" t="s">
        <v>3846</v>
      </c>
      <c r="H3216" s="388"/>
      <c r="I3216" s="388"/>
    </row>
    <row r="3217" spans="1:9" x14ac:dyDescent="0.3">
      <c r="A3217" s="384" t="b">
        <v>0</v>
      </c>
      <c r="B3217" s="384" t="s">
        <v>4242</v>
      </c>
      <c r="C3217" s="389">
        <v>59</v>
      </c>
      <c r="D3217" s="384">
        <f t="shared" si="175"/>
        <v>-128</v>
      </c>
      <c r="E3217" s="384">
        <f t="shared" si="176"/>
        <v>4</v>
      </c>
      <c r="F3217" s="384">
        <f t="shared" ca="1" si="177"/>
        <v>67</v>
      </c>
      <c r="G3217" s="384" t="s">
        <v>3846</v>
      </c>
      <c r="H3217" s="388"/>
      <c r="I3217" s="388"/>
    </row>
    <row r="3218" spans="1:9" x14ac:dyDescent="0.3">
      <c r="A3218" s="384" t="b">
        <v>0</v>
      </c>
      <c r="B3218" s="384" t="s">
        <v>4243</v>
      </c>
      <c r="C3218" s="389">
        <v>59</v>
      </c>
      <c r="D3218" s="384">
        <f t="shared" si="175"/>
        <v>-127</v>
      </c>
      <c r="E3218" s="384">
        <f t="shared" si="176"/>
        <v>5</v>
      </c>
      <c r="F3218" s="384">
        <f t="shared" ca="1" si="177"/>
        <v>67</v>
      </c>
      <c r="G3218" s="384" t="s">
        <v>3846</v>
      </c>
      <c r="H3218" s="388"/>
      <c r="I3218" s="388"/>
    </row>
    <row r="3219" spans="1:9" x14ac:dyDescent="0.3">
      <c r="A3219" s="384" t="b">
        <v>0</v>
      </c>
      <c r="B3219" s="384" t="s">
        <v>4244</v>
      </c>
      <c r="C3219" s="389">
        <v>59</v>
      </c>
      <c r="D3219" s="384">
        <f t="shared" si="175"/>
        <v>-126</v>
      </c>
      <c r="E3219" s="384">
        <f t="shared" si="176"/>
        <v>6</v>
      </c>
      <c r="F3219" s="384">
        <f t="shared" ca="1" si="177"/>
        <v>67</v>
      </c>
      <c r="G3219" s="384" t="s">
        <v>3846</v>
      </c>
      <c r="H3219" s="388"/>
      <c r="I3219" s="388"/>
    </row>
    <row r="3220" spans="1:9" x14ac:dyDescent="0.3">
      <c r="A3220" s="384" t="b">
        <v>0</v>
      </c>
      <c r="B3220" s="384" t="s">
        <v>4245</v>
      </c>
      <c r="C3220" s="389">
        <v>60</v>
      </c>
      <c r="D3220" s="384">
        <f t="shared" si="175"/>
        <v>-125</v>
      </c>
      <c r="E3220" s="384">
        <f t="shared" si="176"/>
        <v>1</v>
      </c>
      <c r="F3220" s="384">
        <f t="shared" ca="1" si="177"/>
        <v>68</v>
      </c>
      <c r="G3220" s="384" t="s">
        <v>3848</v>
      </c>
      <c r="H3220" s="388"/>
      <c r="I3220" s="388"/>
    </row>
    <row r="3221" spans="1:9" x14ac:dyDescent="0.3">
      <c r="A3221" s="384" t="b">
        <v>0</v>
      </c>
      <c r="B3221" s="384" t="s">
        <v>4246</v>
      </c>
      <c r="C3221" s="389">
        <v>60</v>
      </c>
      <c r="D3221" s="384">
        <f t="shared" si="175"/>
        <v>-124</v>
      </c>
      <c r="E3221" s="384">
        <f t="shared" si="176"/>
        <v>2</v>
      </c>
      <c r="F3221" s="384">
        <f t="shared" ca="1" si="177"/>
        <v>68</v>
      </c>
      <c r="G3221" s="384" t="s">
        <v>3848</v>
      </c>
      <c r="H3221" s="388"/>
      <c r="I3221" s="388"/>
    </row>
    <row r="3222" spans="1:9" x14ac:dyDescent="0.3">
      <c r="A3222" s="384" t="b">
        <v>0</v>
      </c>
      <c r="B3222" s="384" t="s">
        <v>4247</v>
      </c>
      <c r="C3222" s="389">
        <v>60</v>
      </c>
      <c r="D3222" s="384">
        <f t="shared" si="175"/>
        <v>-123</v>
      </c>
      <c r="E3222" s="384">
        <f t="shared" si="176"/>
        <v>3</v>
      </c>
      <c r="F3222" s="384">
        <f t="shared" ca="1" si="177"/>
        <v>68</v>
      </c>
      <c r="G3222" s="384" t="s">
        <v>3848</v>
      </c>
      <c r="H3222" s="388"/>
      <c r="I3222" s="388"/>
    </row>
    <row r="3223" spans="1:9" x14ac:dyDescent="0.3">
      <c r="A3223" s="384" t="b">
        <v>0</v>
      </c>
      <c r="B3223" s="384" t="s">
        <v>4248</v>
      </c>
      <c r="C3223" s="389">
        <v>60</v>
      </c>
      <c r="D3223" s="384">
        <f t="shared" si="175"/>
        <v>-122</v>
      </c>
      <c r="E3223" s="384">
        <f t="shared" si="176"/>
        <v>4</v>
      </c>
      <c r="F3223" s="384">
        <f t="shared" ca="1" si="177"/>
        <v>68</v>
      </c>
      <c r="G3223" s="384" t="s">
        <v>3848</v>
      </c>
      <c r="H3223" s="388"/>
      <c r="I3223" s="388"/>
    </row>
    <row r="3224" spans="1:9" x14ac:dyDescent="0.3">
      <c r="A3224" s="384" t="b">
        <v>0</v>
      </c>
      <c r="B3224" s="384" t="s">
        <v>4249</v>
      </c>
      <c r="C3224" s="389">
        <v>60</v>
      </c>
      <c r="D3224" s="384">
        <f t="shared" si="175"/>
        <v>-121</v>
      </c>
      <c r="E3224" s="384">
        <f t="shared" si="176"/>
        <v>5</v>
      </c>
      <c r="F3224" s="384">
        <f t="shared" ca="1" si="177"/>
        <v>68</v>
      </c>
      <c r="G3224" s="384" t="s">
        <v>3848</v>
      </c>
      <c r="H3224" s="388"/>
      <c r="I3224" s="388"/>
    </row>
    <row r="3225" spans="1:9" x14ac:dyDescent="0.3">
      <c r="A3225" s="384" t="b">
        <v>0</v>
      </c>
      <c r="B3225" s="384" t="s">
        <v>4250</v>
      </c>
      <c r="C3225" s="389">
        <v>60</v>
      </c>
      <c r="D3225" s="384">
        <f t="shared" si="175"/>
        <v>-120</v>
      </c>
      <c r="E3225" s="384">
        <f t="shared" si="176"/>
        <v>6</v>
      </c>
      <c r="F3225" s="384">
        <f t="shared" ca="1" si="177"/>
        <v>68</v>
      </c>
      <c r="G3225" s="384" t="s">
        <v>3848</v>
      </c>
      <c r="H3225" s="388"/>
      <c r="I3225" s="388"/>
    </row>
    <row r="3226" spans="1:9" x14ac:dyDescent="0.3">
      <c r="A3226" s="384" t="b">
        <v>0</v>
      </c>
      <c r="B3226" s="384" t="s">
        <v>4251</v>
      </c>
      <c r="C3226" s="389">
        <v>61</v>
      </c>
      <c r="D3226" s="384">
        <f t="shared" si="175"/>
        <v>-119</v>
      </c>
      <c r="E3226" s="384">
        <f t="shared" si="176"/>
        <v>1</v>
      </c>
      <c r="F3226" s="384">
        <f t="shared" ca="1" si="177"/>
        <v>69</v>
      </c>
      <c r="G3226" s="384" t="s">
        <v>3850</v>
      </c>
      <c r="H3226" s="388"/>
      <c r="I3226" s="388"/>
    </row>
    <row r="3227" spans="1:9" x14ac:dyDescent="0.3">
      <c r="A3227" s="384" t="b">
        <v>0</v>
      </c>
      <c r="B3227" s="384" t="s">
        <v>4252</v>
      </c>
      <c r="C3227" s="389">
        <v>61</v>
      </c>
      <c r="D3227" s="384">
        <f t="shared" si="175"/>
        <v>-118</v>
      </c>
      <c r="E3227" s="384">
        <f t="shared" si="176"/>
        <v>2</v>
      </c>
      <c r="F3227" s="384">
        <f t="shared" ca="1" si="177"/>
        <v>69</v>
      </c>
      <c r="G3227" s="384" t="s">
        <v>3850</v>
      </c>
      <c r="H3227" s="388"/>
      <c r="I3227" s="388"/>
    </row>
    <row r="3228" spans="1:9" x14ac:dyDescent="0.3">
      <c r="A3228" s="384" t="b">
        <v>0</v>
      </c>
      <c r="B3228" s="384" t="s">
        <v>4253</v>
      </c>
      <c r="C3228" s="389">
        <v>61</v>
      </c>
      <c r="D3228" s="384">
        <f t="shared" si="175"/>
        <v>-117</v>
      </c>
      <c r="E3228" s="384">
        <f t="shared" si="176"/>
        <v>3</v>
      </c>
      <c r="F3228" s="384">
        <f t="shared" ca="1" si="177"/>
        <v>69</v>
      </c>
      <c r="G3228" s="384" t="s">
        <v>3850</v>
      </c>
      <c r="H3228" s="388"/>
      <c r="I3228" s="388"/>
    </row>
    <row r="3229" spans="1:9" x14ac:dyDescent="0.3">
      <c r="A3229" s="384" t="b">
        <v>0</v>
      </c>
      <c r="B3229" s="384" t="s">
        <v>4254</v>
      </c>
      <c r="C3229" s="389">
        <v>61</v>
      </c>
      <c r="D3229" s="384">
        <f t="shared" si="175"/>
        <v>-116</v>
      </c>
      <c r="E3229" s="384">
        <f t="shared" si="176"/>
        <v>4</v>
      </c>
      <c r="F3229" s="384">
        <f t="shared" ca="1" si="177"/>
        <v>69</v>
      </c>
      <c r="G3229" s="384" t="s">
        <v>3850</v>
      </c>
      <c r="H3229" s="388"/>
      <c r="I3229" s="388"/>
    </row>
    <row r="3230" spans="1:9" x14ac:dyDescent="0.3">
      <c r="A3230" s="384" t="b">
        <v>0</v>
      </c>
      <c r="B3230" s="384" t="s">
        <v>4255</v>
      </c>
      <c r="C3230" s="389">
        <v>61</v>
      </c>
      <c r="D3230" s="384">
        <f t="shared" si="175"/>
        <v>-115</v>
      </c>
      <c r="E3230" s="384">
        <f t="shared" si="176"/>
        <v>5</v>
      </c>
      <c r="F3230" s="384">
        <f t="shared" ca="1" si="177"/>
        <v>69</v>
      </c>
      <c r="G3230" s="384" t="s">
        <v>3850</v>
      </c>
      <c r="H3230" s="388"/>
      <c r="I3230" s="388"/>
    </row>
    <row r="3231" spans="1:9" x14ac:dyDescent="0.3">
      <c r="A3231" s="384" t="b">
        <v>0</v>
      </c>
      <c r="B3231" s="384" t="s">
        <v>4256</v>
      </c>
      <c r="C3231" s="389">
        <v>61</v>
      </c>
      <c r="D3231" s="384">
        <f t="shared" si="175"/>
        <v>-114</v>
      </c>
      <c r="E3231" s="384">
        <f t="shared" si="176"/>
        <v>6</v>
      </c>
      <c r="F3231" s="384">
        <f t="shared" ca="1" si="177"/>
        <v>69</v>
      </c>
      <c r="G3231" s="384" t="s">
        <v>3850</v>
      </c>
      <c r="H3231" s="388"/>
      <c r="I3231" s="388"/>
    </row>
    <row r="3232" spans="1:9" x14ac:dyDescent="0.3">
      <c r="A3232" s="384" t="b">
        <v>0</v>
      </c>
      <c r="B3232" s="384" t="s">
        <v>4257</v>
      </c>
      <c r="C3232" s="389">
        <v>62</v>
      </c>
      <c r="D3232" s="384">
        <f t="shared" si="175"/>
        <v>-113</v>
      </c>
      <c r="E3232" s="384">
        <f t="shared" si="176"/>
        <v>1</v>
      </c>
      <c r="F3232" s="384">
        <f t="shared" ca="1" si="177"/>
        <v>70</v>
      </c>
      <c r="G3232" s="384" t="s">
        <v>3852</v>
      </c>
      <c r="H3232" s="388"/>
      <c r="I3232" s="388"/>
    </row>
    <row r="3233" spans="1:9" x14ac:dyDescent="0.3">
      <c r="A3233" s="384" t="b">
        <v>0</v>
      </c>
      <c r="B3233" s="384" t="s">
        <v>4258</v>
      </c>
      <c r="C3233" s="389">
        <v>62</v>
      </c>
      <c r="D3233" s="384">
        <f t="shared" si="175"/>
        <v>-112</v>
      </c>
      <c r="E3233" s="384">
        <f t="shared" si="176"/>
        <v>2</v>
      </c>
      <c r="F3233" s="384">
        <f t="shared" ca="1" si="177"/>
        <v>70</v>
      </c>
      <c r="G3233" s="384" t="s">
        <v>3852</v>
      </c>
      <c r="H3233" s="388"/>
      <c r="I3233" s="388"/>
    </row>
    <row r="3234" spans="1:9" x14ac:dyDescent="0.3">
      <c r="A3234" s="384" t="b">
        <v>0</v>
      </c>
      <c r="B3234" s="384" t="s">
        <v>4259</v>
      </c>
      <c r="C3234" s="389">
        <v>62</v>
      </c>
      <c r="D3234" s="384">
        <f t="shared" si="175"/>
        <v>-111</v>
      </c>
      <c r="E3234" s="384">
        <f t="shared" si="176"/>
        <v>3</v>
      </c>
      <c r="F3234" s="384">
        <f t="shared" ca="1" si="177"/>
        <v>70</v>
      </c>
      <c r="G3234" s="384" t="s">
        <v>3852</v>
      </c>
      <c r="H3234" s="388"/>
      <c r="I3234" s="388"/>
    </row>
    <row r="3235" spans="1:9" x14ac:dyDescent="0.3">
      <c r="A3235" s="384" t="b">
        <v>0</v>
      </c>
      <c r="B3235" s="384" t="s">
        <v>4260</v>
      </c>
      <c r="C3235" s="389">
        <v>62</v>
      </c>
      <c r="D3235" s="384">
        <f t="shared" si="175"/>
        <v>-110</v>
      </c>
      <c r="E3235" s="384">
        <f t="shared" si="176"/>
        <v>4</v>
      </c>
      <c r="F3235" s="384">
        <f t="shared" ca="1" si="177"/>
        <v>70</v>
      </c>
      <c r="G3235" s="384" t="s">
        <v>3852</v>
      </c>
      <c r="H3235" s="388"/>
      <c r="I3235" s="388"/>
    </row>
    <row r="3236" spans="1:9" x14ac:dyDescent="0.3">
      <c r="A3236" s="384" t="b">
        <v>0</v>
      </c>
      <c r="B3236" s="384" t="s">
        <v>4261</v>
      </c>
      <c r="C3236" s="389">
        <v>62</v>
      </c>
      <c r="D3236" s="384">
        <f t="shared" si="175"/>
        <v>-109</v>
      </c>
      <c r="E3236" s="384">
        <f t="shared" si="176"/>
        <v>5</v>
      </c>
      <c r="F3236" s="384">
        <f t="shared" ca="1" si="177"/>
        <v>70</v>
      </c>
      <c r="G3236" s="384" t="s">
        <v>3852</v>
      </c>
      <c r="H3236" s="388"/>
      <c r="I3236" s="388"/>
    </row>
    <row r="3237" spans="1:9" x14ac:dyDescent="0.3">
      <c r="A3237" s="384" t="b">
        <v>0</v>
      </c>
      <c r="B3237" s="384" t="s">
        <v>4262</v>
      </c>
      <c r="C3237" s="389">
        <v>62</v>
      </c>
      <c r="D3237" s="384">
        <f t="shared" si="175"/>
        <v>-108</v>
      </c>
      <c r="E3237" s="384">
        <f t="shared" si="176"/>
        <v>6</v>
      </c>
      <c r="F3237" s="384">
        <f t="shared" ca="1" si="177"/>
        <v>70</v>
      </c>
      <c r="G3237" s="384" t="s">
        <v>3852</v>
      </c>
      <c r="H3237" s="388"/>
      <c r="I3237" s="388"/>
    </row>
    <row r="3238" spans="1:9" x14ac:dyDescent="0.3">
      <c r="A3238" s="384" t="b">
        <v>0</v>
      </c>
      <c r="B3238" s="384" t="s">
        <v>4263</v>
      </c>
      <c r="C3238" s="389">
        <v>63</v>
      </c>
      <c r="D3238" s="384">
        <f t="shared" si="175"/>
        <v>-107</v>
      </c>
      <c r="E3238" s="384">
        <f t="shared" si="176"/>
        <v>1</v>
      </c>
      <c r="F3238" s="384">
        <f t="shared" ca="1" si="177"/>
        <v>71</v>
      </c>
      <c r="G3238" s="384" t="s">
        <v>3854</v>
      </c>
      <c r="H3238" s="388"/>
      <c r="I3238" s="388"/>
    </row>
    <row r="3239" spans="1:9" x14ac:dyDescent="0.3">
      <c r="A3239" s="384" t="b">
        <v>0</v>
      </c>
      <c r="B3239" s="384" t="s">
        <v>4264</v>
      </c>
      <c r="C3239" s="389">
        <v>63</v>
      </c>
      <c r="D3239" s="384">
        <f t="shared" si="175"/>
        <v>-106</v>
      </c>
      <c r="E3239" s="384">
        <f t="shared" si="176"/>
        <v>2</v>
      </c>
      <c r="F3239" s="384">
        <f t="shared" ca="1" si="177"/>
        <v>71</v>
      </c>
      <c r="G3239" s="384" t="s">
        <v>3854</v>
      </c>
      <c r="H3239" s="388"/>
      <c r="I3239" s="388"/>
    </row>
    <row r="3240" spans="1:9" x14ac:dyDescent="0.3">
      <c r="A3240" s="384" t="b">
        <v>0</v>
      </c>
      <c r="B3240" s="384" t="s">
        <v>4265</v>
      </c>
      <c r="C3240" s="389">
        <v>63</v>
      </c>
      <c r="D3240" s="384">
        <f t="shared" si="175"/>
        <v>-105</v>
      </c>
      <c r="E3240" s="384">
        <f t="shared" si="176"/>
        <v>3</v>
      </c>
      <c r="F3240" s="384">
        <f t="shared" ca="1" si="177"/>
        <v>71</v>
      </c>
      <c r="G3240" s="384" t="s">
        <v>3854</v>
      </c>
      <c r="H3240" s="388"/>
      <c r="I3240" s="388"/>
    </row>
    <row r="3241" spans="1:9" x14ac:dyDescent="0.3">
      <c r="A3241" s="384" t="b">
        <v>0</v>
      </c>
      <c r="B3241" s="384" t="s">
        <v>4266</v>
      </c>
      <c r="C3241" s="389">
        <v>63</v>
      </c>
      <c r="D3241" s="384">
        <f t="shared" si="175"/>
        <v>-104</v>
      </c>
      <c r="E3241" s="384">
        <f t="shared" si="176"/>
        <v>4</v>
      </c>
      <c r="F3241" s="384">
        <f t="shared" ca="1" si="177"/>
        <v>71</v>
      </c>
      <c r="G3241" s="384" t="s">
        <v>3854</v>
      </c>
      <c r="H3241" s="388"/>
      <c r="I3241" s="388"/>
    </row>
    <row r="3242" spans="1:9" x14ac:dyDescent="0.3">
      <c r="A3242" s="384" t="b">
        <v>0</v>
      </c>
      <c r="B3242" s="384" t="s">
        <v>4267</v>
      </c>
      <c r="C3242" s="389">
        <v>63</v>
      </c>
      <c r="D3242" s="384">
        <f t="shared" si="175"/>
        <v>-103</v>
      </c>
      <c r="E3242" s="384">
        <f t="shared" si="176"/>
        <v>5</v>
      </c>
      <c r="F3242" s="384">
        <f t="shared" ca="1" si="177"/>
        <v>71</v>
      </c>
      <c r="G3242" s="384" t="s">
        <v>3854</v>
      </c>
      <c r="H3242" s="388"/>
      <c r="I3242" s="388"/>
    </row>
    <row r="3243" spans="1:9" x14ac:dyDescent="0.3">
      <c r="A3243" s="384" t="b">
        <v>0</v>
      </c>
      <c r="B3243" s="384" t="s">
        <v>4268</v>
      </c>
      <c r="C3243" s="389">
        <v>63</v>
      </c>
      <c r="D3243" s="384">
        <f t="shared" si="175"/>
        <v>-102</v>
      </c>
      <c r="E3243" s="384">
        <f t="shared" si="176"/>
        <v>6</v>
      </c>
      <c r="F3243" s="384">
        <f t="shared" ca="1" si="177"/>
        <v>71</v>
      </c>
      <c r="G3243" s="384" t="s">
        <v>3854</v>
      </c>
      <c r="H3243" s="388"/>
      <c r="I3243" s="388"/>
    </row>
    <row r="3244" spans="1:9" x14ac:dyDescent="0.3">
      <c r="A3244" s="384" t="b">
        <v>0</v>
      </c>
      <c r="B3244" s="384" t="s">
        <v>4269</v>
      </c>
      <c r="C3244" s="389">
        <v>64</v>
      </c>
      <c r="D3244" s="384">
        <f t="shared" si="175"/>
        <v>-101</v>
      </c>
      <c r="E3244" s="384">
        <f t="shared" si="176"/>
        <v>1</v>
      </c>
      <c r="F3244" s="384">
        <f t="shared" ca="1" si="177"/>
        <v>72</v>
      </c>
      <c r="G3244" s="384" t="s">
        <v>3856</v>
      </c>
      <c r="H3244" s="388"/>
      <c r="I3244" s="388"/>
    </row>
    <row r="3245" spans="1:9" x14ac:dyDescent="0.3">
      <c r="A3245" s="384" t="b">
        <v>0</v>
      </c>
      <c r="B3245" s="384" t="s">
        <v>4270</v>
      </c>
      <c r="C3245" s="389">
        <v>64</v>
      </c>
      <c r="D3245" s="384">
        <f t="shared" si="175"/>
        <v>-100</v>
      </c>
      <c r="E3245" s="384">
        <f t="shared" si="176"/>
        <v>2</v>
      </c>
      <c r="F3245" s="384">
        <f t="shared" ca="1" si="177"/>
        <v>72</v>
      </c>
      <c r="G3245" s="384" t="s">
        <v>3856</v>
      </c>
      <c r="H3245" s="388"/>
      <c r="I3245" s="388"/>
    </row>
    <row r="3246" spans="1:9" x14ac:dyDescent="0.3">
      <c r="A3246" s="384" t="b">
        <v>0</v>
      </c>
      <c r="B3246" s="384" t="s">
        <v>4271</v>
      </c>
      <c r="C3246" s="389">
        <v>64</v>
      </c>
      <c r="D3246" s="384">
        <f t="shared" si="175"/>
        <v>-99</v>
      </c>
      <c r="E3246" s="384">
        <f t="shared" si="176"/>
        <v>3</v>
      </c>
      <c r="F3246" s="384">
        <f t="shared" ca="1" si="177"/>
        <v>72</v>
      </c>
      <c r="G3246" s="384" t="s">
        <v>3856</v>
      </c>
      <c r="H3246" s="388"/>
      <c r="I3246" s="388"/>
    </row>
    <row r="3247" spans="1:9" x14ac:dyDescent="0.3">
      <c r="A3247" s="384" t="b">
        <v>0</v>
      </c>
      <c r="B3247" s="384" t="s">
        <v>4272</v>
      </c>
      <c r="C3247" s="389">
        <v>64</v>
      </c>
      <c r="D3247" s="384">
        <f t="shared" si="175"/>
        <v>-98</v>
      </c>
      <c r="E3247" s="384">
        <f t="shared" si="176"/>
        <v>4</v>
      </c>
      <c r="F3247" s="384">
        <f t="shared" ca="1" si="177"/>
        <v>72</v>
      </c>
      <c r="G3247" s="384" t="s">
        <v>3856</v>
      </c>
      <c r="H3247" s="388"/>
      <c r="I3247" s="388"/>
    </row>
    <row r="3248" spans="1:9" x14ac:dyDescent="0.3">
      <c r="A3248" s="384" t="b">
        <v>0</v>
      </c>
      <c r="B3248" s="384" t="s">
        <v>4273</v>
      </c>
      <c r="C3248" s="389">
        <v>64</v>
      </c>
      <c r="D3248" s="384">
        <f t="shared" si="175"/>
        <v>-97</v>
      </c>
      <c r="E3248" s="384">
        <f t="shared" si="176"/>
        <v>5</v>
      </c>
      <c r="F3248" s="384">
        <f t="shared" ca="1" si="177"/>
        <v>72</v>
      </c>
      <c r="G3248" s="384" t="s">
        <v>3856</v>
      </c>
      <c r="H3248" s="388"/>
      <c r="I3248" s="388"/>
    </row>
    <row r="3249" spans="1:9" x14ac:dyDescent="0.3">
      <c r="A3249" s="384" t="b">
        <v>0</v>
      </c>
      <c r="B3249" s="384" t="s">
        <v>4274</v>
      </c>
      <c r="C3249" s="389">
        <v>64</v>
      </c>
      <c r="D3249" s="384">
        <f t="shared" si="175"/>
        <v>-96</v>
      </c>
      <c r="E3249" s="384">
        <f t="shared" si="176"/>
        <v>6</v>
      </c>
      <c r="F3249" s="384">
        <f t="shared" ca="1" si="177"/>
        <v>72</v>
      </c>
      <c r="G3249" s="384" t="s">
        <v>3856</v>
      </c>
      <c r="H3249" s="388"/>
      <c r="I3249" s="388"/>
    </row>
    <row r="3250" spans="1:9" x14ac:dyDescent="0.3">
      <c r="A3250" s="384" t="b">
        <v>0</v>
      </c>
      <c r="B3250" s="384" t="s">
        <v>4275</v>
      </c>
      <c r="C3250" s="389">
        <v>65</v>
      </c>
      <c r="D3250" s="384">
        <f t="shared" ref="D3250:D3313" si="178">D3249+1</f>
        <v>-95</v>
      </c>
      <c r="E3250" s="384">
        <f t="shared" ref="E3250:E3313" si="179">COUNTIF(C3080:C3250,C3250)</f>
        <v>1</v>
      </c>
      <c r="F3250" s="384">
        <f t="shared" ref="F3250:F3313" ca="1" si="180">IF(C3250=1,9,IF(E3249=MAX(E3248:E3250),F3248+1,F3249))</f>
        <v>73</v>
      </c>
      <c r="G3250" s="384" t="s">
        <v>3858</v>
      </c>
      <c r="H3250" s="388"/>
      <c r="I3250" s="388"/>
    </row>
    <row r="3251" spans="1:9" x14ac:dyDescent="0.3">
      <c r="A3251" s="384" t="b">
        <v>0</v>
      </c>
      <c r="B3251" s="384" t="s">
        <v>4276</v>
      </c>
      <c r="C3251" s="389">
        <v>65</v>
      </c>
      <c r="D3251" s="384">
        <f t="shared" si="178"/>
        <v>-94</v>
      </c>
      <c r="E3251" s="384">
        <f t="shared" si="179"/>
        <v>2</v>
      </c>
      <c r="F3251" s="384">
        <f t="shared" ca="1" si="180"/>
        <v>73</v>
      </c>
      <c r="G3251" s="384" t="s">
        <v>3858</v>
      </c>
      <c r="H3251" s="388"/>
      <c r="I3251" s="388"/>
    </row>
    <row r="3252" spans="1:9" x14ac:dyDescent="0.3">
      <c r="A3252" s="384" t="b">
        <v>0</v>
      </c>
      <c r="B3252" s="384" t="s">
        <v>4277</v>
      </c>
      <c r="C3252" s="389">
        <v>65</v>
      </c>
      <c r="D3252" s="384">
        <f t="shared" si="178"/>
        <v>-93</v>
      </c>
      <c r="E3252" s="384">
        <f t="shared" si="179"/>
        <v>3</v>
      </c>
      <c r="F3252" s="384">
        <f t="shared" ca="1" si="180"/>
        <v>73</v>
      </c>
      <c r="G3252" s="384" t="s">
        <v>3858</v>
      </c>
      <c r="H3252" s="388"/>
      <c r="I3252" s="388"/>
    </row>
    <row r="3253" spans="1:9" x14ac:dyDescent="0.3">
      <c r="A3253" s="384" t="b">
        <v>0</v>
      </c>
      <c r="B3253" s="384" t="s">
        <v>4278</v>
      </c>
      <c r="C3253" s="389">
        <v>65</v>
      </c>
      <c r="D3253" s="384">
        <f t="shared" si="178"/>
        <v>-92</v>
      </c>
      <c r="E3253" s="384">
        <f t="shared" si="179"/>
        <v>4</v>
      </c>
      <c r="F3253" s="384">
        <f t="shared" ca="1" si="180"/>
        <v>73</v>
      </c>
      <c r="G3253" s="384" t="s">
        <v>3858</v>
      </c>
      <c r="H3253" s="388"/>
      <c r="I3253" s="388"/>
    </row>
    <row r="3254" spans="1:9" x14ac:dyDescent="0.3">
      <c r="A3254" s="384" t="b">
        <v>0</v>
      </c>
      <c r="B3254" s="384" t="s">
        <v>4279</v>
      </c>
      <c r="C3254" s="389">
        <v>65</v>
      </c>
      <c r="D3254" s="384">
        <f t="shared" si="178"/>
        <v>-91</v>
      </c>
      <c r="E3254" s="384">
        <f t="shared" si="179"/>
        <v>5</v>
      </c>
      <c r="F3254" s="384">
        <f t="shared" ca="1" si="180"/>
        <v>73</v>
      </c>
      <c r="G3254" s="384" t="s">
        <v>3858</v>
      </c>
      <c r="H3254" s="388"/>
      <c r="I3254" s="388"/>
    </row>
    <row r="3255" spans="1:9" x14ac:dyDescent="0.3">
      <c r="A3255" s="384" t="b">
        <v>0</v>
      </c>
      <c r="B3255" s="384" t="s">
        <v>4280</v>
      </c>
      <c r="C3255" s="389">
        <v>65</v>
      </c>
      <c r="D3255" s="384">
        <f t="shared" si="178"/>
        <v>-90</v>
      </c>
      <c r="E3255" s="384">
        <f t="shared" si="179"/>
        <v>6</v>
      </c>
      <c r="F3255" s="384">
        <f t="shared" ca="1" si="180"/>
        <v>73</v>
      </c>
      <c r="G3255" s="384" t="s">
        <v>3858</v>
      </c>
      <c r="H3255" s="388"/>
      <c r="I3255" s="388"/>
    </row>
    <row r="3256" spans="1:9" x14ac:dyDescent="0.3">
      <c r="A3256" s="384" t="b">
        <v>0</v>
      </c>
      <c r="B3256" s="384" t="s">
        <v>4281</v>
      </c>
      <c r="C3256" s="389">
        <v>66</v>
      </c>
      <c r="D3256" s="384">
        <f t="shared" si="178"/>
        <v>-89</v>
      </c>
      <c r="E3256" s="384">
        <f t="shared" si="179"/>
        <v>1</v>
      </c>
      <c r="F3256" s="384">
        <f t="shared" ca="1" si="180"/>
        <v>74</v>
      </c>
      <c r="G3256" s="384" t="s">
        <v>3860</v>
      </c>
      <c r="H3256" s="388"/>
      <c r="I3256" s="388"/>
    </row>
    <row r="3257" spans="1:9" x14ac:dyDescent="0.3">
      <c r="A3257" s="384" t="b">
        <v>0</v>
      </c>
      <c r="B3257" s="384" t="s">
        <v>4282</v>
      </c>
      <c r="C3257" s="389">
        <v>66</v>
      </c>
      <c r="D3257" s="384">
        <f t="shared" si="178"/>
        <v>-88</v>
      </c>
      <c r="E3257" s="384">
        <f t="shared" si="179"/>
        <v>2</v>
      </c>
      <c r="F3257" s="384">
        <f t="shared" ca="1" si="180"/>
        <v>74</v>
      </c>
      <c r="G3257" s="384" t="s">
        <v>3860</v>
      </c>
      <c r="H3257" s="388"/>
      <c r="I3257" s="388"/>
    </row>
    <row r="3258" spans="1:9" x14ac:dyDescent="0.3">
      <c r="A3258" s="384" t="b">
        <v>0</v>
      </c>
      <c r="B3258" s="384" t="s">
        <v>4283</v>
      </c>
      <c r="C3258" s="389">
        <v>66</v>
      </c>
      <c r="D3258" s="384">
        <f t="shared" si="178"/>
        <v>-87</v>
      </c>
      <c r="E3258" s="384">
        <f t="shared" si="179"/>
        <v>3</v>
      </c>
      <c r="F3258" s="384">
        <f t="shared" ca="1" si="180"/>
        <v>74</v>
      </c>
      <c r="G3258" s="384" t="s">
        <v>3860</v>
      </c>
      <c r="H3258" s="388"/>
      <c r="I3258" s="388"/>
    </row>
    <row r="3259" spans="1:9" x14ac:dyDescent="0.3">
      <c r="A3259" s="384" t="b">
        <v>0</v>
      </c>
      <c r="B3259" s="384" t="s">
        <v>4284</v>
      </c>
      <c r="C3259" s="389">
        <v>66</v>
      </c>
      <c r="D3259" s="384">
        <f t="shared" si="178"/>
        <v>-86</v>
      </c>
      <c r="E3259" s="384">
        <f t="shared" si="179"/>
        <v>4</v>
      </c>
      <c r="F3259" s="384">
        <f t="shared" ca="1" si="180"/>
        <v>74</v>
      </c>
      <c r="G3259" s="384" t="s">
        <v>3860</v>
      </c>
      <c r="H3259" s="388"/>
      <c r="I3259" s="388"/>
    </row>
    <row r="3260" spans="1:9" x14ac:dyDescent="0.3">
      <c r="A3260" s="384" t="b">
        <v>0</v>
      </c>
      <c r="B3260" s="384" t="s">
        <v>4285</v>
      </c>
      <c r="C3260" s="389">
        <v>66</v>
      </c>
      <c r="D3260" s="384">
        <f t="shared" si="178"/>
        <v>-85</v>
      </c>
      <c r="E3260" s="384">
        <f t="shared" si="179"/>
        <v>5</v>
      </c>
      <c r="F3260" s="384">
        <f t="shared" ca="1" si="180"/>
        <v>74</v>
      </c>
      <c r="G3260" s="384" t="s">
        <v>3860</v>
      </c>
      <c r="H3260" s="388"/>
      <c r="I3260" s="388"/>
    </row>
    <row r="3261" spans="1:9" x14ac:dyDescent="0.3">
      <c r="A3261" s="384" t="b">
        <v>0</v>
      </c>
      <c r="B3261" s="384" t="s">
        <v>4286</v>
      </c>
      <c r="C3261" s="389">
        <v>66</v>
      </c>
      <c r="D3261" s="384">
        <f t="shared" si="178"/>
        <v>-84</v>
      </c>
      <c r="E3261" s="384">
        <f t="shared" si="179"/>
        <v>6</v>
      </c>
      <c r="F3261" s="384">
        <f t="shared" ca="1" si="180"/>
        <v>74</v>
      </c>
      <c r="G3261" s="384" t="s">
        <v>3860</v>
      </c>
      <c r="H3261" s="388"/>
      <c r="I3261" s="388"/>
    </row>
    <row r="3262" spans="1:9" x14ac:dyDescent="0.3">
      <c r="A3262" s="384" t="b">
        <v>0</v>
      </c>
      <c r="B3262" s="384" t="s">
        <v>4287</v>
      </c>
      <c r="C3262" s="389">
        <v>67</v>
      </c>
      <c r="D3262" s="384">
        <f t="shared" si="178"/>
        <v>-83</v>
      </c>
      <c r="E3262" s="384">
        <f t="shared" si="179"/>
        <v>1</v>
      </c>
      <c r="F3262" s="384">
        <f t="shared" ca="1" si="180"/>
        <v>75</v>
      </c>
      <c r="G3262" s="384" t="s">
        <v>3862</v>
      </c>
      <c r="H3262" s="388"/>
      <c r="I3262" s="388"/>
    </row>
    <row r="3263" spans="1:9" x14ac:dyDescent="0.3">
      <c r="A3263" s="384" t="b">
        <v>0</v>
      </c>
      <c r="B3263" s="384" t="s">
        <v>4288</v>
      </c>
      <c r="C3263" s="389">
        <v>67</v>
      </c>
      <c r="D3263" s="384">
        <f t="shared" si="178"/>
        <v>-82</v>
      </c>
      <c r="E3263" s="384">
        <f t="shared" si="179"/>
        <v>2</v>
      </c>
      <c r="F3263" s="384">
        <f t="shared" ca="1" si="180"/>
        <v>75</v>
      </c>
      <c r="G3263" s="384" t="s">
        <v>3862</v>
      </c>
      <c r="H3263" s="388"/>
      <c r="I3263" s="388"/>
    </row>
    <row r="3264" spans="1:9" x14ac:dyDescent="0.3">
      <c r="A3264" s="384" t="b">
        <v>0</v>
      </c>
      <c r="B3264" s="384" t="s">
        <v>4289</v>
      </c>
      <c r="C3264" s="389">
        <v>67</v>
      </c>
      <c r="D3264" s="384">
        <f t="shared" si="178"/>
        <v>-81</v>
      </c>
      <c r="E3264" s="384">
        <f t="shared" si="179"/>
        <v>3</v>
      </c>
      <c r="F3264" s="384">
        <f t="shared" ca="1" si="180"/>
        <v>75</v>
      </c>
      <c r="G3264" s="384" t="s">
        <v>3862</v>
      </c>
      <c r="H3264" s="388"/>
      <c r="I3264" s="388"/>
    </row>
    <row r="3265" spans="1:9" x14ac:dyDescent="0.3">
      <c r="A3265" s="384" t="b">
        <v>0</v>
      </c>
      <c r="B3265" s="384" t="s">
        <v>4290</v>
      </c>
      <c r="C3265" s="389">
        <v>67</v>
      </c>
      <c r="D3265" s="384">
        <f t="shared" si="178"/>
        <v>-80</v>
      </c>
      <c r="E3265" s="384">
        <f t="shared" si="179"/>
        <v>4</v>
      </c>
      <c r="F3265" s="384">
        <f t="shared" ca="1" si="180"/>
        <v>75</v>
      </c>
      <c r="G3265" s="384" t="s">
        <v>3862</v>
      </c>
      <c r="H3265" s="388"/>
      <c r="I3265" s="388"/>
    </row>
    <row r="3266" spans="1:9" x14ac:dyDescent="0.3">
      <c r="A3266" s="384" t="b">
        <v>0</v>
      </c>
      <c r="B3266" s="384" t="s">
        <v>4291</v>
      </c>
      <c r="C3266" s="389">
        <v>67</v>
      </c>
      <c r="D3266" s="384">
        <f t="shared" si="178"/>
        <v>-79</v>
      </c>
      <c r="E3266" s="384">
        <f t="shared" si="179"/>
        <v>5</v>
      </c>
      <c r="F3266" s="384">
        <f t="shared" ca="1" si="180"/>
        <v>75</v>
      </c>
      <c r="G3266" s="384" t="s">
        <v>3862</v>
      </c>
      <c r="H3266" s="388"/>
      <c r="I3266" s="388"/>
    </row>
    <row r="3267" spans="1:9" x14ac:dyDescent="0.3">
      <c r="A3267" s="384" t="b">
        <v>0</v>
      </c>
      <c r="B3267" s="384" t="s">
        <v>4292</v>
      </c>
      <c r="C3267" s="389">
        <v>67</v>
      </c>
      <c r="D3267" s="384">
        <f t="shared" si="178"/>
        <v>-78</v>
      </c>
      <c r="E3267" s="384">
        <f t="shared" si="179"/>
        <v>6</v>
      </c>
      <c r="F3267" s="384">
        <f t="shared" ca="1" si="180"/>
        <v>75</v>
      </c>
      <c r="G3267" s="384" t="s">
        <v>3862</v>
      </c>
      <c r="H3267" s="388"/>
      <c r="I3267" s="388"/>
    </row>
    <row r="3268" spans="1:9" x14ac:dyDescent="0.3">
      <c r="A3268" s="384" t="b">
        <v>0</v>
      </c>
      <c r="B3268" s="384" t="s">
        <v>4293</v>
      </c>
      <c r="C3268" s="389">
        <v>68</v>
      </c>
      <c r="D3268" s="384">
        <f t="shared" si="178"/>
        <v>-77</v>
      </c>
      <c r="E3268" s="384">
        <f t="shared" si="179"/>
        <v>1</v>
      </c>
      <c r="F3268" s="384">
        <f t="shared" ca="1" si="180"/>
        <v>76</v>
      </c>
      <c r="G3268" s="384" t="s">
        <v>3864</v>
      </c>
      <c r="H3268" s="388"/>
      <c r="I3268" s="388"/>
    </row>
    <row r="3269" spans="1:9" x14ac:dyDescent="0.3">
      <c r="A3269" s="384" t="b">
        <v>0</v>
      </c>
      <c r="B3269" s="384" t="s">
        <v>4294</v>
      </c>
      <c r="C3269" s="389">
        <v>68</v>
      </c>
      <c r="D3269" s="384">
        <f t="shared" si="178"/>
        <v>-76</v>
      </c>
      <c r="E3269" s="384">
        <f t="shared" si="179"/>
        <v>2</v>
      </c>
      <c r="F3269" s="384">
        <f t="shared" ca="1" si="180"/>
        <v>76</v>
      </c>
      <c r="G3269" s="384" t="s">
        <v>3864</v>
      </c>
      <c r="H3269" s="388"/>
      <c r="I3269" s="388"/>
    </row>
    <row r="3270" spans="1:9" x14ac:dyDescent="0.3">
      <c r="A3270" s="384" t="b">
        <v>0</v>
      </c>
      <c r="B3270" s="384" t="s">
        <v>4295</v>
      </c>
      <c r="C3270" s="389">
        <v>68</v>
      </c>
      <c r="D3270" s="384">
        <f t="shared" si="178"/>
        <v>-75</v>
      </c>
      <c r="E3270" s="384">
        <f t="shared" si="179"/>
        <v>3</v>
      </c>
      <c r="F3270" s="384">
        <f t="shared" ca="1" si="180"/>
        <v>76</v>
      </c>
      <c r="G3270" s="384" t="s">
        <v>3864</v>
      </c>
      <c r="H3270" s="388"/>
      <c r="I3270" s="388"/>
    </row>
    <row r="3271" spans="1:9" x14ac:dyDescent="0.3">
      <c r="A3271" s="384" t="b">
        <v>0</v>
      </c>
      <c r="B3271" s="384" t="s">
        <v>4296</v>
      </c>
      <c r="C3271" s="389">
        <v>68</v>
      </c>
      <c r="D3271" s="384">
        <f t="shared" si="178"/>
        <v>-74</v>
      </c>
      <c r="E3271" s="384">
        <f t="shared" si="179"/>
        <v>4</v>
      </c>
      <c r="F3271" s="384">
        <f t="shared" ca="1" si="180"/>
        <v>76</v>
      </c>
      <c r="G3271" s="384" t="s">
        <v>3864</v>
      </c>
      <c r="H3271" s="388"/>
      <c r="I3271" s="388"/>
    </row>
    <row r="3272" spans="1:9" x14ac:dyDescent="0.3">
      <c r="A3272" s="384" t="b">
        <v>0</v>
      </c>
      <c r="B3272" s="384" t="s">
        <v>4297</v>
      </c>
      <c r="C3272" s="389">
        <v>68</v>
      </c>
      <c r="D3272" s="384">
        <f t="shared" si="178"/>
        <v>-73</v>
      </c>
      <c r="E3272" s="384">
        <f t="shared" si="179"/>
        <v>5</v>
      </c>
      <c r="F3272" s="384">
        <f t="shared" ca="1" si="180"/>
        <v>76</v>
      </c>
      <c r="G3272" s="384" t="s">
        <v>3864</v>
      </c>
      <c r="H3272" s="388"/>
      <c r="I3272" s="388"/>
    </row>
    <row r="3273" spans="1:9" x14ac:dyDescent="0.3">
      <c r="A3273" s="384" t="b">
        <v>0</v>
      </c>
      <c r="B3273" s="384" t="s">
        <v>4298</v>
      </c>
      <c r="C3273" s="389">
        <v>68</v>
      </c>
      <c r="D3273" s="384">
        <f t="shared" si="178"/>
        <v>-72</v>
      </c>
      <c r="E3273" s="384">
        <f t="shared" si="179"/>
        <v>6</v>
      </c>
      <c r="F3273" s="384">
        <f t="shared" ca="1" si="180"/>
        <v>76</v>
      </c>
      <c r="G3273" s="384" t="s">
        <v>3864</v>
      </c>
      <c r="H3273" s="388"/>
      <c r="I3273" s="388"/>
    </row>
    <row r="3274" spans="1:9" x14ac:dyDescent="0.3">
      <c r="A3274" s="384" t="b">
        <v>0</v>
      </c>
      <c r="B3274" s="384" t="s">
        <v>4299</v>
      </c>
      <c r="C3274" s="389">
        <v>69</v>
      </c>
      <c r="D3274" s="384">
        <f t="shared" si="178"/>
        <v>-71</v>
      </c>
      <c r="E3274" s="384">
        <f t="shared" si="179"/>
        <v>1</v>
      </c>
      <c r="F3274" s="384">
        <f t="shared" ca="1" si="180"/>
        <v>77</v>
      </c>
      <c r="G3274" s="384" t="s">
        <v>3866</v>
      </c>
      <c r="H3274" s="388"/>
      <c r="I3274" s="388"/>
    </row>
    <row r="3275" spans="1:9" x14ac:dyDescent="0.3">
      <c r="A3275" s="384" t="b">
        <v>0</v>
      </c>
      <c r="B3275" s="384" t="s">
        <v>4300</v>
      </c>
      <c r="C3275" s="389">
        <v>69</v>
      </c>
      <c r="D3275" s="384">
        <f t="shared" si="178"/>
        <v>-70</v>
      </c>
      <c r="E3275" s="384">
        <f t="shared" si="179"/>
        <v>2</v>
      </c>
      <c r="F3275" s="384">
        <f t="shared" ca="1" si="180"/>
        <v>77</v>
      </c>
      <c r="G3275" s="384" t="s">
        <v>3866</v>
      </c>
      <c r="H3275" s="388"/>
      <c r="I3275" s="388"/>
    </row>
    <row r="3276" spans="1:9" x14ac:dyDescent="0.3">
      <c r="A3276" s="384" t="b">
        <v>0</v>
      </c>
      <c r="B3276" s="384" t="s">
        <v>4301</v>
      </c>
      <c r="C3276" s="389">
        <v>69</v>
      </c>
      <c r="D3276" s="384">
        <f t="shared" si="178"/>
        <v>-69</v>
      </c>
      <c r="E3276" s="384">
        <f t="shared" si="179"/>
        <v>3</v>
      </c>
      <c r="F3276" s="384">
        <f t="shared" ca="1" si="180"/>
        <v>77</v>
      </c>
      <c r="G3276" s="384" t="s">
        <v>3866</v>
      </c>
      <c r="H3276" s="388"/>
      <c r="I3276" s="388"/>
    </row>
    <row r="3277" spans="1:9" x14ac:dyDescent="0.3">
      <c r="A3277" s="384" t="b">
        <v>0</v>
      </c>
      <c r="B3277" s="384" t="s">
        <v>4302</v>
      </c>
      <c r="C3277" s="389">
        <v>69</v>
      </c>
      <c r="D3277" s="384">
        <f t="shared" si="178"/>
        <v>-68</v>
      </c>
      <c r="E3277" s="384">
        <f t="shared" si="179"/>
        <v>4</v>
      </c>
      <c r="F3277" s="384">
        <f t="shared" ca="1" si="180"/>
        <v>77</v>
      </c>
      <c r="G3277" s="384" t="s">
        <v>3866</v>
      </c>
      <c r="H3277" s="388"/>
      <c r="I3277" s="388"/>
    </row>
    <row r="3278" spans="1:9" x14ac:dyDescent="0.3">
      <c r="A3278" s="384" t="b">
        <v>0</v>
      </c>
      <c r="B3278" s="384" t="s">
        <v>4303</v>
      </c>
      <c r="C3278" s="389">
        <v>69</v>
      </c>
      <c r="D3278" s="384">
        <f t="shared" si="178"/>
        <v>-67</v>
      </c>
      <c r="E3278" s="384">
        <f t="shared" si="179"/>
        <v>5</v>
      </c>
      <c r="F3278" s="384">
        <f t="shared" ca="1" si="180"/>
        <v>77</v>
      </c>
      <c r="G3278" s="384" t="s">
        <v>3866</v>
      </c>
      <c r="H3278" s="388"/>
      <c r="I3278" s="388"/>
    </row>
    <row r="3279" spans="1:9" x14ac:dyDescent="0.3">
      <c r="A3279" s="384" t="b">
        <v>0</v>
      </c>
      <c r="B3279" s="384" t="s">
        <v>4304</v>
      </c>
      <c r="C3279" s="389">
        <v>69</v>
      </c>
      <c r="D3279" s="384">
        <f t="shared" si="178"/>
        <v>-66</v>
      </c>
      <c r="E3279" s="384">
        <f t="shared" si="179"/>
        <v>6</v>
      </c>
      <c r="F3279" s="384">
        <f t="shared" ca="1" si="180"/>
        <v>77</v>
      </c>
      <c r="G3279" s="384" t="s">
        <v>3866</v>
      </c>
      <c r="H3279" s="388"/>
      <c r="I3279" s="388"/>
    </row>
    <row r="3280" spans="1:9" x14ac:dyDescent="0.3">
      <c r="A3280" s="384" t="b">
        <v>0</v>
      </c>
      <c r="B3280" s="384" t="s">
        <v>4305</v>
      </c>
      <c r="C3280" s="389">
        <v>70</v>
      </c>
      <c r="D3280" s="384">
        <f t="shared" si="178"/>
        <v>-65</v>
      </c>
      <c r="E3280" s="384">
        <f t="shared" si="179"/>
        <v>1</v>
      </c>
      <c r="F3280" s="384">
        <f t="shared" ca="1" si="180"/>
        <v>78</v>
      </c>
      <c r="G3280" s="384" t="s">
        <v>3868</v>
      </c>
      <c r="H3280" s="388"/>
      <c r="I3280" s="388"/>
    </row>
    <row r="3281" spans="1:9" x14ac:dyDescent="0.3">
      <c r="A3281" s="384" t="b">
        <v>0</v>
      </c>
      <c r="B3281" s="384" t="s">
        <v>4306</v>
      </c>
      <c r="C3281" s="389">
        <v>70</v>
      </c>
      <c r="D3281" s="384">
        <f t="shared" si="178"/>
        <v>-64</v>
      </c>
      <c r="E3281" s="384">
        <f t="shared" si="179"/>
        <v>2</v>
      </c>
      <c r="F3281" s="384">
        <f t="shared" ca="1" si="180"/>
        <v>78</v>
      </c>
      <c r="G3281" s="384" t="s">
        <v>3868</v>
      </c>
      <c r="H3281" s="388"/>
      <c r="I3281" s="388"/>
    </row>
    <row r="3282" spans="1:9" x14ac:dyDescent="0.3">
      <c r="A3282" s="384" t="b">
        <v>0</v>
      </c>
      <c r="B3282" s="384" t="s">
        <v>4307</v>
      </c>
      <c r="C3282" s="389">
        <v>70</v>
      </c>
      <c r="D3282" s="384">
        <f t="shared" si="178"/>
        <v>-63</v>
      </c>
      <c r="E3282" s="384">
        <f t="shared" si="179"/>
        <v>3</v>
      </c>
      <c r="F3282" s="384">
        <f t="shared" ca="1" si="180"/>
        <v>78</v>
      </c>
      <c r="G3282" s="384" t="s">
        <v>3868</v>
      </c>
      <c r="H3282" s="388"/>
      <c r="I3282" s="388"/>
    </row>
    <row r="3283" spans="1:9" x14ac:dyDescent="0.3">
      <c r="A3283" s="384" t="b">
        <v>0</v>
      </c>
      <c r="B3283" s="384" t="s">
        <v>4308</v>
      </c>
      <c r="C3283" s="389">
        <v>70</v>
      </c>
      <c r="D3283" s="384">
        <f t="shared" si="178"/>
        <v>-62</v>
      </c>
      <c r="E3283" s="384">
        <f t="shared" si="179"/>
        <v>4</v>
      </c>
      <c r="F3283" s="384">
        <f t="shared" ca="1" si="180"/>
        <v>78</v>
      </c>
      <c r="G3283" s="384" t="s">
        <v>3868</v>
      </c>
      <c r="H3283" s="388"/>
      <c r="I3283" s="388"/>
    </row>
    <row r="3284" spans="1:9" x14ac:dyDescent="0.3">
      <c r="A3284" s="384" t="b">
        <v>0</v>
      </c>
      <c r="B3284" s="384" t="s">
        <v>4309</v>
      </c>
      <c r="C3284" s="389">
        <v>70</v>
      </c>
      <c r="D3284" s="384">
        <f t="shared" si="178"/>
        <v>-61</v>
      </c>
      <c r="E3284" s="384">
        <f t="shared" si="179"/>
        <v>5</v>
      </c>
      <c r="F3284" s="384">
        <f t="shared" ca="1" si="180"/>
        <v>78</v>
      </c>
      <c r="G3284" s="384" t="s">
        <v>3868</v>
      </c>
      <c r="H3284" s="388"/>
      <c r="I3284" s="388"/>
    </row>
    <row r="3285" spans="1:9" x14ac:dyDescent="0.3">
      <c r="A3285" s="384" t="b">
        <v>0</v>
      </c>
      <c r="B3285" s="384" t="s">
        <v>4310</v>
      </c>
      <c r="C3285" s="389">
        <v>70</v>
      </c>
      <c r="D3285" s="384">
        <f t="shared" si="178"/>
        <v>-60</v>
      </c>
      <c r="E3285" s="384">
        <f t="shared" si="179"/>
        <v>6</v>
      </c>
      <c r="F3285" s="384">
        <f t="shared" ca="1" si="180"/>
        <v>78</v>
      </c>
      <c r="G3285" s="384" t="s">
        <v>3868</v>
      </c>
      <c r="H3285" s="388"/>
      <c r="I3285" s="388"/>
    </row>
    <row r="3286" spans="1:9" x14ac:dyDescent="0.3">
      <c r="A3286" s="384" t="b">
        <v>0</v>
      </c>
      <c r="B3286" s="384" t="s">
        <v>4311</v>
      </c>
      <c r="C3286" s="389">
        <v>71</v>
      </c>
      <c r="D3286" s="384">
        <f t="shared" si="178"/>
        <v>-59</v>
      </c>
      <c r="E3286" s="384">
        <f t="shared" si="179"/>
        <v>1</v>
      </c>
      <c r="F3286" s="384">
        <f t="shared" ca="1" si="180"/>
        <v>79</v>
      </c>
      <c r="G3286" s="384" t="s">
        <v>3870</v>
      </c>
      <c r="H3286" s="388"/>
      <c r="I3286" s="388"/>
    </row>
    <row r="3287" spans="1:9" x14ac:dyDescent="0.3">
      <c r="A3287" s="384" t="b">
        <v>0</v>
      </c>
      <c r="B3287" s="384" t="s">
        <v>4312</v>
      </c>
      <c r="C3287" s="389">
        <v>71</v>
      </c>
      <c r="D3287" s="384">
        <f t="shared" si="178"/>
        <v>-58</v>
      </c>
      <c r="E3287" s="384">
        <f t="shared" si="179"/>
        <v>2</v>
      </c>
      <c r="F3287" s="384">
        <f t="shared" ca="1" si="180"/>
        <v>79</v>
      </c>
      <c r="G3287" s="384" t="s">
        <v>3870</v>
      </c>
      <c r="H3287" s="388"/>
      <c r="I3287" s="388"/>
    </row>
    <row r="3288" spans="1:9" x14ac:dyDescent="0.3">
      <c r="A3288" s="384" t="b">
        <v>0</v>
      </c>
      <c r="B3288" s="384" t="s">
        <v>4313</v>
      </c>
      <c r="C3288" s="389">
        <v>71</v>
      </c>
      <c r="D3288" s="384">
        <f t="shared" si="178"/>
        <v>-57</v>
      </c>
      <c r="E3288" s="384">
        <f t="shared" si="179"/>
        <v>3</v>
      </c>
      <c r="F3288" s="384">
        <f t="shared" ca="1" si="180"/>
        <v>79</v>
      </c>
      <c r="G3288" s="384" t="s">
        <v>3870</v>
      </c>
      <c r="H3288" s="388"/>
      <c r="I3288" s="388"/>
    </row>
    <row r="3289" spans="1:9" x14ac:dyDescent="0.3">
      <c r="A3289" s="384" t="b">
        <v>0</v>
      </c>
      <c r="B3289" s="384" t="s">
        <v>4314</v>
      </c>
      <c r="C3289" s="389">
        <v>71</v>
      </c>
      <c r="D3289" s="384">
        <f t="shared" si="178"/>
        <v>-56</v>
      </c>
      <c r="E3289" s="384">
        <f t="shared" si="179"/>
        <v>4</v>
      </c>
      <c r="F3289" s="384">
        <f t="shared" ca="1" si="180"/>
        <v>79</v>
      </c>
      <c r="G3289" s="384" t="s">
        <v>3870</v>
      </c>
      <c r="H3289" s="388"/>
      <c r="I3289" s="388"/>
    </row>
    <row r="3290" spans="1:9" x14ac:dyDescent="0.3">
      <c r="A3290" s="384" t="b">
        <v>0</v>
      </c>
      <c r="B3290" s="384" t="s">
        <v>4315</v>
      </c>
      <c r="C3290" s="389">
        <v>71</v>
      </c>
      <c r="D3290" s="384">
        <f t="shared" si="178"/>
        <v>-55</v>
      </c>
      <c r="E3290" s="384">
        <f t="shared" si="179"/>
        <v>5</v>
      </c>
      <c r="F3290" s="384">
        <f t="shared" ca="1" si="180"/>
        <v>79</v>
      </c>
      <c r="G3290" s="384" t="s">
        <v>3870</v>
      </c>
      <c r="H3290" s="388"/>
      <c r="I3290" s="388"/>
    </row>
    <row r="3291" spans="1:9" x14ac:dyDescent="0.3">
      <c r="A3291" s="384" t="b">
        <v>0</v>
      </c>
      <c r="B3291" s="384" t="s">
        <v>4316</v>
      </c>
      <c r="C3291" s="389">
        <v>71</v>
      </c>
      <c r="D3291" s="384">
        <f t="shared" si="178"/>
        <v>-54</v>
      </c>
      <c r="E3291" s="384">
        <f t="shared" si="179"/>
        <v>6</v>
      </c>
      <c r="F3291" s="384">
        <f t="shared" ca="1" si="180"/>
        <v>79</v>
      </c>
      <c r="G3291" s="384" t="s">
        <v>3870</v>
      </c>
      <c r="H3291" s="388"/>
      <c r="I3291" s="388"/>
    </row>
    <row r="3292" spans="1:9" x14ac:dyDescent="0.3">
      <c r="A3292" s="384" t="b">
        <v>0</v>
      </c>
      <c r="B3292" s="384" t="s">
        <v>4317</v>
      </c>
      <c r="C3292" s="389">
        <v>72</v>
      </c>
      <c r="D3292" s="384">
        <f t="shared" si="178"/>
        <v>-53</v>
      </c>
      <c r="E3292" s="384">
        <f t="shared" si="179"/>
        <v>1</v>
      </c>
      <c r="F3292" s="384">
        <f t="shared" ca="1" si="180"/>
        <v>80</v>
      </c>
      <c r="G3292" s="384" t="s">
        <v>3872</v>
      </c>
      <c r="H3292" s="388"/>
      <c r="I3292" s="388"/>
    </row>
    <row r="3293" spans="1:9" x14ac:dyDescent="0.3">
      <c r="A3293" s="384" t="b">
        <v>0</v>
      </c>
      <c r="B3293" s="384" t="s">
        <v>4318</v>
      </c>
      <c r="C3293" s="389">
        <v>72</v>
      </c>
      <c r="D3293" s="384">
        <f t="shared" si="178"/>
        <v>-52</v>
      </c>
      <c r="E3293" s="384">
        <f t="shared" si="179"/>
        <v>2</v>
      </c>
      <c r="F3293" s="384">
        <f t="shared" ca="1" si="180"/>
        <v>80</v>
      </c>
      <c r="G3293" s="384" t="s">
        <v>3872</v>
      </c>
      <c r="H3293" s="388"/>
      <c r="I3293" s="388"/>
    </row>
    <row r="3294" spans="1:9" x14ac:dyDescent="0.3">
      <c r="A3294" s="384" t="b">
        <v>0</v>
      </c>
      <c r="B3294" s="384" t="s">
        <v>4319</v>
      </c>
      <c r="C3294" s="389">
        <v>72</v>
      </c>
      <c r="D3294" s="384">
        <f t="shared" si="178"/>
        <v>-51</v>
      </c>
      <c r="E3294" s="384">
        <f t="shared" si="179"/>
        <v>3</v>
      </c>
      <c r="F3294" s="384">
        <f t="shared" ca="1" si="180"/>
        <v>80</v>
      </c>
      <c r="G3294" s="384" t="s">
        <v>3872</v>
      </c>
      <c r="H3294" s="388"/>
      <c r="I3294" s="388"/>
    </row>
    <row r="3295" spans="1:9" x14ac:dyDescent="0.3">
      <c r="A3295" s="384" t="b">
        <v>0</v>
      </c>
      <c r="B3295" s="384" t="s">
        <v>4320</v>
      </c>
      <c r="C3295" s="389">
        <v>72</v>
      </c>
      <c r="D3295" s="384">
        <f t="shared" si="178"/>
        <v>-50</v>
      </c>
      <c r="E3295" s="384">
        <f t="shared" si="179"/>
        <v>4</v>
      </c>
      <c r="F3295" s="384">
        <f t="shared" ca="1" si="180"/>
        <v>80</v>
      </c>
      <c r="G3295" s="384" t="s">
        <v>3872</v>
      </c>
      <c r="H3295" s="388"/>
      <c r="I3295" s="388"/>
    </row>
    <row r="3296" spans="1:9" x14ac:dyDescent="0.3">
      <c r="A3296" s="384" t="b">
        <v>0</v>
      </c>
      <c r="B3296" s="384" t="s">
        <v>4321</v>
      </c>
      <c r="C3296" s="389">
        <v>72</v>
      </c>
      <c r="D3296" s="384">
        <f t="shared" si="178"/>
        <v>-49</v>
      </c>
      <c r="E3296" s="384">
        <f t="shared" si="179"/>
        <v>5</v>
      </c>
      <c r="F3296" s="384">
        <f t="shared" ca="1" si="180"/>
        <v>80</v>
      </c>
      <c r="G3296" s="384" t="s">
        <v>3872</v>
      </c>
      <c r="H3296" s="388"/>
      <c r="I3296" s="388"/>
    </row>
    <row r="3297" spans="1:9" x14ac:dyDescent="0.3">
      <c r="A3297" s="384" t="b">
        <v>0</v>
      </c>
      <c r="B3297" s="384" t="s">
        <v>4322</v>
      </c>
      <c r="C3297" s="389">
        <v>72</v>
      </c>
      <c r="D3297" s="384">
        <f t="shared" si="178"/>
        <v>-48</v>
      </c>
      <c r="E3297" s="384">
        <f t="shared" si="179"/>
        <v>6</v>
      </c>
      <c r="F3297" s="384">
        <f t="shared" ca="1" si="180"/>
        <v>80</v>
      </c>
      <c r="G3297" s="384" t="s">
        <v>3872</v>
      </c>
      <c r="H3297" s="388"/>
      <c r="I3297" s="388"/>
    </row>
    <row r="3298" spans="1:9" x14ac:dyDescent="0.3">
      <c r="A3298" s="384" t="b">
        <v>0</v>
      </c>
      <c r="B3298" s="384" t="s">
        <v>4323</v>
      </c>
      <c r="C3298" s="389">
        <v>73</v>
      </c>
      <c r="D3298" s="384">
        <f t="shared" si="178"/>
        <v>-47</v>
      </c>
      <c r="E3298" s="384">
        <f t="shared" si="179"/>
        <v>1</v>
      </c>
      <c r="F3298" s="384">
        <f t="shared" ca="1" si="180"/>
        <v>81</v>
      </c>
      <c r="G3298" s="384" t="s">
        <v>3874</v>
      </c>
      <c r="H3298" s="388"/>
      <c r="I3298" s="388"/>
    </row>
    <row r="3299" spans="1:9" x14ac:dyDescent="0.3">
      <c r="A3299" s="384" t="b">
        <v>0</v>
      </c>
      <c r="B3299" s="384" t="s">
        <v>4324</v>
      </c>
      <c r="C3299" s="389">
        <v>73</v>
      </c>
      <c r="D3299" s="384">
        <f t="shared" si="178"/>
        <v>-46</v>
      </c>
      <c r="E3299" s="384">
        <f t="shared" si="179"/>
        <v>2</v>
      </c>
      <c r="F3299" s="384">
        <f t="shared" ca="1" si="180"/>
        <v>81</v>
      </c>
      <c r="G3299" s="384" t="s">
        <v>3874</v>
      </c>
      <c r="H3299" s="388"/>
      <c r="I3299" s="388"/>
    </row>
    <row r="3300" spans="1:9" x14ac:dyDescent="0.3">
      <c r="A3300" s="384" t="b">
        <v>0</v>
      </c>
      <c r="B3300" s="384" t="s">
        <v>4325</v>
      </c>
      <c r="C3300" s="389">
        <v>73</v>
      </c>
      <c r="D3300" s="384">
        <f t="shared" si="178"/>
        <v>-45</v>
      </c>
      <c r="E3300" s="384">
        <f t="shared" si="179"/>
        <v>3</v>
      </c>
      <c r="F3300" s="384">
        <f t="shared" ca="1" si="180"/>
        <v>81</v>
      </c>
      <c r="G3300" s="384" t="s">
        <v>3874</v>
      </c>
      <c r="H3300" s="388"/>
      <c r="I3300" s="388"/>
    </row>
    <row r="3301" spans="1:9" x14ac:dyDescent="0.3">
      <c r="A3301" s="384" t="b">
        <v>0</v>
      </c>
      <c r="B3301" s="384" t="s">
        <v>4326</v>
      </c>
      <c r="C3301" s="389">
        <v>73</v>
      </c>
      <c r="D3301" s="384">
        <f t="shared" si="178"/>
        <v>-44</v>
      </c>
      <c r="E3301" s="384">
        <f t="shared" si="179"/>
        <v>4</v>
      </c>
      <c r="F3301" s="384">
        <f t="shared" ca="1" si="180"/>
        <v>81</v>
      </c>
      <c r="G3301" s="384" t="s">
        <v>3874</v>
      </c>
      <c r="H3301" s="388"/>
      <c r="I3301" s="388"/>
    </row>
    <row r="3302" spans="1:9" x14ac:dyDescent="0.3">
      <c r="A3302" s="384" t="b">
        <v>0</v>
      </c>
      <c r="B3302" s="384" t="s">
        <v>4327</v>
      </c>
      <c r="C3302" s="389">
        <v>73</v>
      </c>
      <c r="D3302" s="384">
        <f t="shared" si="178"/>
        <v>-43</v>
      </c>
      <c r="E3302" s="384">
        <f t="shared" si="179"/>
        <v>5</v>
      </c>
      <c r="F3302" s="384">
        <f t="shared" ca="1" si="180"/>
        <v>81</v>
      </c>
      <c r="G3302" s="384" t="s">
        <v>3874</v>
      </c>
      <c r="H3302" s="388"/>
      <c r="I3302" s="388"/>
    </row>
    <row r="3303" spans="1:9" x14ac:dyDescent="0.3">
      <c r="A3303" s="384" t="b">
        <v>0</v>
      </c>
      <c r="B3303" s="384" t="s">
        <v>4328</v>
      </c>
      <c r="C3303" s="389">
        <v>73</v>
      </c>
      <c r="D3303" s="384">
        <f t="shared" si="178"/>
        <v>-42</v>
      </c>
      <c r="E3303" s="384">
        <f t="shared" si="179"/>
        <v>6</v>
      </c>
      <c r="F3303" s="384">
        <f t="shared" ca="1" si="180"/>
        <v>81</v>
      </c>
      <c r="G3303" s="384" t="s">
        <v>3874</v>
      </c>
      <c r="H3303" s="388"/>
      <c r="I3303" s="388"/>
    </row>
    <row r="3304" spans="1:9" x14ac:dyDescent="0.3">
      <c r="A3304" s="384" t="b">
        <v>0</v>
      </c>
      <c r="B3304" s="384" t="s">
        <v>4329</v>
      </c>
      <c r="C3304" s="389">
        <v>74</v>
      </c>
      <c r="D3304" s="384">
        <f t="shared" si="178"/>
        <v>-41</v>
      </c>
      <c r="E3304" s="384">
        <f t="shared" si="179"/>
        <v>1</v>
      </c>
      <c r="F3304" s="384">
        <f t="shared" ca="1" si="180"/>
        <v>82</v>
      </c>
      <c r="G3304" s="384" t="s">
        <v>3876</v>
      </c>
      <c r="H3304" s="388"/>
      <c r="I3304" s="388"/>
    </row>
    <row r="3305" spans="1:9" x14ac:dyDescent="0.3">
      <c r="A3305" s="384" t="b">
        <v>0</v>
      </c>
      <c r="B3305" s="384" t="s">
        <v>4330</v>
      </c>
      <c r="C3305" s="389">
        <v>74</v>
      </c>
      <c r="D3305" s="384">
        <f t="shared" si="178"/>
        <v>-40</v>
      </c>
      <c r="E3305" s="384">
        <f t="shared" si="179"/>
        <v>2</v>
      </c>
      <c r="F3305" s="384">
        <f t="shared" ca="1" si="180"/>
        <v>82</v>
      </c>
      <c r="G3305" s="384" t="s">
        <v>3876</v>
      </c>
      <c r="H3305" s="388"/>
      <c r="I3305" s="388"/>
    </row>
    <row r="3306" spans="1:9" x14ac:dyDescent="0.3">
      <c r="A3306" s="384" t="b">
        <v>0</v>
      </c>
      <c r="B3306" s="384" t="s">
        <v>4331</v>
      </c>
      <c r="C3306" s="389">
        <v>74</v>
      </c>
      <c r="D3306" s="384">
        <f t="shared" si="178"/>
        <v>-39</v>
      </c>
      <c r="E3306" s="384">
        <f t="shared" si="179"/>
        <v>3</v>
      </c>
      <c r="F3306" s="384">
        <f t="shared" ca="1" si="180"/>
        <v>82</v>
      </c>
      <c r="G3306" s="384" t="s">
        <v>3876</v>
      </c>
      <c r="H3306" s="388"/>
      <c r="I3306" s="388"/>
    </row>
    <row r="3307" spans="1:9" x14ac:dyDescent="0.3">
      <c r="A3307" s="384" t="b">
        <v>0</v>
      </c>
      <c r="B3307" s="384" t="s">
        <v>4332</v>
      </c>
      <c r="C3307" s="389">
        <v>74</v>
      </c>
      <c r="D3307" s="384">
        <f t="shared" si="178"/>
        <v>-38</v>
      </c>
      <c r="E3307" s="384">
        <f t="shared" si="179"/>
        <v>4</v>
      </c>
      <c r="F3307" s="384">
        <f t="shared" ca="1" si="180"/>
        <v>82</v>
      </c>
      <c r="G3307" s="384" t="s">
        <v>3876</v>
      </c>
      <c r="H3307" s="388"/>
      <c r="I3307" s="388"/>
    </row>
    <row r="3308" spans="1:9" x14ac:dyDescent="0.3">
      <c r="A3308" s="384" t="b">
        <v>0</v>
      </c>
      <c r="B3308" s="384" t="s">
        <v>4333</v>
      </c>
      <c r="C3308" s="389">
        <v>74</v>
      </c>
      <c r="D3308" s="384">
        <f t="shared" si="178"/>
        <v>-37</v>
      </c>
      <c r="E3308" s="384">
        <f t="shared" si="179"/>
        <v>5</v>
      </c>
      <c r="F3308" s="384">
        <f t="shared" ca="1" si="180"/>
        <v>82</v>
      </c>
      <c r="G3308" s="384" t="s">
        <v>3876</v>
      </c>
      <c r="H3308" s="388"/>
      <c r="I3308" s="388"/>
    </row>
    <row r="3309" spans="1:9" x14ac:dyDescent="0.3">
      <c r="A3309" s="384" t="b">
        <v>0</v>
      </c>
      <c r="B3309" s="384" t="s">
        <v>4334</v>
      </c>
      <c r="C3309" s="389">
        <v>74</v>
      </c>
      <c r="D3309" s="384">
        <f t="shared" si="178"/>
        <v>-36</v>
      </c>
      <c r="E3309" s="384">
        <f t="shared" si="179"/>
        <v>6</v>
      </c>
      <c r="F3309" s="384">
        <f t="shared" ca="1" si="180"/>
        <v>82</v>
      </c>
      <c r="G3309" s="384" t="s">
        <v>3876</v>
      </c>
      <c r="H3309" s="388"/>
      <c r="I3309" s="388"/>
    </row>
    <row r="3310" spans="1:9" x14ac:dyDescent="0.3">
      <c r="A3310" s="384" t="b">
        <v>0</v>
      </c>
      <c r="B3310" s="384" t="s">
        <v>4335</v>
      </c>
      <c r="C3310" s="389">
        <v>75</v>
      </c>
      <c r="D3310" s="384">
        <f t="shared" si="178"/>
        <v>-35</v>
      </c>
      <c r="E3310" s="384">
        <f t="shared" si="179"/>
        <v>1</v>
      </c>
      <c r="F3310" s="384">
        <f t="shared" ca="1" si="180"/>
        <v>83</v>
      </c>
      <c r="G3310" s="384" t="s">
        <v>3878</v>
      </c>
      <c r="H3310" s="388"/>
      <c r="I3310" s="388"/>
    </row>
    <row r="3311" spans="1:9" x14ac:dyDescent="0.3">
      <c r="A3311" s="384" t="b">
        <v>0</v>
      </c>
      <c r="B3311" s="384" t="s">
        <v>4336</v>
      </c>
      <c r="C3311" s="389">
        <v>75</v>
      </c>
      <c r="D3311" s="384">
        <f t="shared" si="178"/>
        <v>-34</v>
      </c>
      <c r="E3311" s="384">
        <f t="shared" si="179"/>
        <v>2</v>
      </c>
      <c r="F3311" s="384">
        <f t="shared" ca="1" si="180"/>
        <v>83</v>
      </c>
      <c r="G3311" s="384" t="s">
        <v>3878</v>
      </c>
      <c r="H3311" s="388"/>
      <c r="I3311" s="388"/>
    </row>
    <row r="3312" spans="1:9" x14ac:dyDescent="0.3">
      <c r="A3312" s="384" t="b">
        <v>0</v>
      </c>
      <c r="B3312" s="384" t="s">
        <v>4337</v>
      </c>
      <c r="C3312" s="389">
        <v>75</v>
      </c>
      <c r="D3312" s="384">
        <f t="shared" si="178"/>
        <v>-33</v>
      </c>
      <c r="E3312" s="384">
        <f t="shared" si="179"/>
        <v>3</v>
      </c>
      <c r="F3312" s="384">
        <f t="shared" ca="1" si="180"/>
        <v>83</v>
      </c>
      <c r="G3312" s="384" t="s">
        <v>3878</v>
      </c>
      <c r="H3312" s="388"/>
      <c r="I3312" s="388"/>
    </row>
    <row r="3313" spans="1:9" x14ac:dyDescent="0.3">
      <c r="A3313" s="384" t="b">
        <v>0</v>
      </c>
      <c r="B3313" s="384" t="s">
        <v>4338</v>
      </c>
      <c r="C3313" s="389">
        <v>75</v>
      </c>
      <c r="D3313" s="384">
        <f t="shared" si="178"/>
        <v>-32</v>
      </c>
      <c r="E3313" s="384">
        <f t="shared" si="179"/>
        <v>4</v>
      </c>
      <c r="F3313" s="384">
        <f t="shared" ca="1" si="180"/>
        <v>83</v>
      </c>
      <c r="G3313" s="384" t="s">
        <v>3878</v>
      </c>
      <c r="H3313" s="388"/>
      <c r="I3313" s="388"/>
    </row>
    <row r="3314" spans="1:9" x14ac:dyDescent="0.3">
      <c r="A3314" s="384" t="b">
        <v>0</v>
      </c>
      <c r="B3314" s="384" t="s">
        <v>4339</v>
      </c>
      <c r="C3314" s="389">
        <v>75</v>
      </c>
      <c r="D3314" s="384">
        <f t="shared" ref="D3314:D3377" si="181">D3313+1</f>
        <v>-31</v>
      </c>
      <c r="E3314" s="384">
        <f t="shared" ref="E3314:E3377" si="182">COUNTIF(C3144:C3314,C3314)</f>
        <v>5</v>
      </c>
      <c r="F3314" s="384">
        <f t="shared" ref="F3314:F3377" ca="1" si="183">IF(C3314=1,9,IF(E3313=MAX(E3312:E3314),F3312+1,F3313))</f>
        <v>83</v>
      </c>
      <c r="G3314" s="384" t="s">
        <v>3878</v>
      </c>
      <c r="H3314" s="388"/>
      <c r="I3314" s="388"/>
    </row>
    <row r="3315" spans="1:9" x14ac:dyDescent="0.3">
      <c r="A3315" s="384" t="b">
        <v>0</v>
      </c>
      <c r="B3315" s="384" t="s">
        <v>4340</v>
      </c>
      <c r="C3315" s="389">
        <v>75</v>
      </c>
      <c r="D3315" s="384">
        <f t="shared" si="181"/>
        <v>-30</v>
      </c>
      <c r="E3315" s="384">
        <f t="shared" si="182"/>
        <v>6</v>
      </c>
      <c r="F3315" s="384">
        <f t="shared" ca="1" si="183"/>
        <v>83</v>
      </c>
      <c r="G3315" s="384" t="s">
        <v>3878</v>
      </c>
      <c r="H3315" s="388"/>
      <c r="I3315" s="388"/>
    </row>
    <row r="3316" spans="1:9" x14ac:dyDescent="0.3">
      <c r="A3316" s="384" t="b">
        <v>0</v>
      </c>
      <c r="B3316" s="384" t="s">
        <v>4341</v>
      </c>
      <c r="C3316" s="389">
        <v>76</v>
      </c>
      <c r="D3316" s="384">
        <f t="shared" si="181"/>
        <v>-29</v>
      </c>
      <c r="E3316" s="384">
        <f t="shared" si="182"/>
        <v>1</v>
      </c>
      <c r="F3316" s="384">
        <f t="shared" ca="1" si="183"/>
        <v>84</v>
      </c>
      <c r="G3316" s="384" t="s">
        <v>3880</v>
      </c>
      <c r="H3316" s="388"/>
      <c r="I3316" s="388"/>
    </row>
    <row r="3317" spans="1:9" x14ac:dyDescent="0.3">
      <c r="A3317" s="384" t="b">
        <v>0</v>
      </c>
      <c r="B3317" s="384" t="s">
        <v>4342</v>
      </c>
      <c r="C3317" s="389">
        <v>76</v>
      </c>
      <c r="D3317" s="384">
        <f t="shared" si="181"/>
        <v>-28</v>
      </c>
      <c r="E3317" s="384">
        <f t="shared" si="182"/>
        <v>2</v>
      </c>
      <c r="F3317" s="384">
        <f t="shared" ca="1" si="183"/>
        <v>84</v>
      </c>
      <c r="G3317" s="384" t="s">
        <v>3880</v>
      </c>
      <c r="H3317" s="388"/>
      <c r="I3317" s="388"/>
    </row>
    <row r="3318" spans="1:9" x14ac:dyDescent="0.3">
      <c r="A3318" s="384" t="b">
        <v>0</v>
      </c>
      <c r="B3318" s="384" t="s">
        <v>4343</v>
      </c>
      <c r="C3318" s="389">
        <v>76</v>
      </c>
      <c r="D3318" s="384">
        <f t="shared" si="181"/>
        <v>-27</v>
      </c>
      <c r="E3318" s="384">
        <f t="shared" si="182"/>
        <v>3</v>
      </c>
      <c r="F3318" s="384">
        <f t="shared" ca="1" si="183"/>
        <v>84</v>
      </c>
      <c r="G3318" s="384" t="s">
        <v>3880</v>
      </c>
      <c r="H3318" s="388"/>
      <c r="I3318" s="388"/>
    </row>
    <row r="3319" spans="1:9" x14ac:dyDescent="0.3">
      <c r="A3319" s="384" t="b">
        <v>0</v>
      </c>
      <c r="B3319" s="384" t="s">
        <v>4344</v>
      </c>
      <c r="C3319" s="389">
        <v>76</v>
      </c>
      <c r="D3319" s="384">
        <f t="shared" si="181"/>
        <v>-26</v>
      </c>
      <c r="E3319" s="384">
        <f t="shared" si="182"/>
        <v>4</v>
      </c>
      <c r="F3319" s="384">
        <f t="shared" ca="1" si="183"/>
        <v>84</v>
      </c>
      <c r="G3319" s="384" t="s">
        <v>3880</v>
      </c>
      <c r="H3319" s="388"/>
      <c r="I3319" s="388"/>
    </row>
    <row r="3320" spans="1:9" x14ac:dyDescent="0.3">
      <c r="A3320" s="384" t="b">
        <v>0</v>
      </c>
      <c r="B3320" s="384" t="s">
        <v>4345</v>
      </c>
      <c r="C3320" s="389">
        <v>76</v>
      </c>
      <c r="D3320" s="384">
        <f t="shared" si="181"/>
        <v>-25</v>
      </c>
      <c r="E3320" s="384">
        <f t="shared" si="182"/>
        <v>5</v>
      </c>
      <c r="F3320" s="384">
        <f t="shared" ca="1" si="183"/>
        <v>84</v>
      </c>
      <c r="G3320" s="384" t="s">
        <v>3880</v>
      </c>
      <c r="H3320" s="388"/>
      <c r="I3320" s="388"/>
    </row>
    <row r="3321" spans="1:9" x14ac:dyDescent="0.3">
      <c r="A3321" s="384" t="b">
        <v>0</v>
      </c>
      <c r="B3321" s="384" t="s">
        <v>4346</v>
      </c>
      <c r="C3321" s="389">
        <v>76</v>
      </c>
      <c r="D3321" s="384">
        <f t="shared" si="181"/>
        <v>-24</v>
      </c>
      <c r="E3321" s="384">
        <f t="shared" si="182"/>
        <v>6</v>
      </c>
      <c r="F3321" s="384">
        <f t="shared" ca="1" si="183"/>
        <v>84</v>
      </c>
      <c r="G3321" s="384" t="s">
        <v>3880</v>
      </c>
      <c r="H3321" s="388"/>
      <c r="I3321" s="388"/>
    </row>
    <row r="3322" spans="1:9" x14ac:dyDescent="0.3">
      <c r="A3322" s="384" t="b">
        <v>0</v>
      </c>
      <c r="B3322" s="384" t="s">
        <v>4347</v>
      </c>
      <c r="C3322" s="389">
        <v>77</v>
      </c>
      <c r="D3322" s="384">
        <f t="shared" si="181"/>
        <v>-23</v>
      </c>
      <c r="E3322" s="384">
        <f t="shared" si="182"/>
        <v>1</v>
      </c>
      <c r="F3322" s="384">
        <f t="shared" ca="1" si="183"/>
        <v>85</v>
      </c>
      <c r="G3322" s="384" t="s">
        <v>3882</v>
      </c>
      <c r="H3322" s="388"/>
      <c r="I3322" s="388"/>
    </row>
    <row r="3323" spans="1:9" x14ac:dyDescent="0.3">
      <c r="A3323" s="384" t="b">
        <v>0</v>
      </c>
      <c r="B3323" s="384" t="s">
        <v>4348</v>
      </c>
      <c r="C3323" s="389">
        <v>77</v>
      </c>
      <c r="D3323" s="384">
        <f t="shared" si="181"/>
        <v>-22</v>
      </c>
      <c r="E3323" s="384">
        <f t="shared" si="182"/>
        <v>2</v>
      </c>
      <c r="F3323" s="384">
        <f t="shared" ca="1" si="183"/>
        <v>85</v>
      </c>
      <c r="G3323" s="384" t="s">
        <v>3882</v>
      </c>
      <c r="H3323" s="388"/>
      <c r="I3323" s="388"/>
    </row>
    <row r="3324" spans="1:9" x14ac:dyDescent="0.3">
      <c r="A3324" s="384" t="b">
        <v>0</v>
      </c>
      <c r="B3324" s="384" t="s">
        <v>4349</v>
      </c>
      <c r="C3324" s="389">
        <v>77</v>
      </c>
      <c r="D3324" s="384">
        <f t="shared" si="181"/>
        <v>-21</v>
      </c>
      <c r="E3324" s="384">
        <f t="shared" si="182"/>
        <v>3</v>
      </c>
      <c r="F3324" s="384">
        <f t="shared" ca="1" si="183"/>
        <v>85</v>
      </c>
      <c r="G3324" s="384" t="s">
        <v>3882</v>
      </c>
      <c r="H3324" s="388"/>
      <c r="I3324" s="388"/>
    </row>
    <row r="3325" spans="1:9" x14ac:dyDescent="0.3">
      <c r="A3325" s="384" t="b">
        <v>0</v>
      </c>
      <c r="B3325" s="384" t="s">
        <v>4350</v>
      </c>
      <c r="C3325" s="389">
        <v>77</v>
      </c>
      <c r="D3325" s="384">
        <f t="shared" si="181"/>
        <v>-20</v>
      </c>
      <c r="E3325" s="384">
        <f t="shared" si="182"/>
        <v>4</v>
      </c>
      <c r="F3325" s="384">
        <f t="shared" ca="1" si="183"/>
        <v>85</v>
      </c>
      <c r="G3325" s="384" t="s">
        <v>3882</v>
      </c>
      <c r="H3325" s="388"/>
      <c r="I3325" s="388"/>
    </row>
    <row r="3326" spans="1:9" x14ac:dyDescent="0.3">
      <c r="A3326" s="384" t="b">
        <v>0</v>
      </c>
      <c r="B3326" s="384" t="s">
        <v>4351</v>
      </c>
      <c r="C3326" s="389">
        <v>77</v>
      </c>
      <c r="D3326" s="384">
        <f t="shared" si="181"/>
        <v>-19</v>
      </c>
      <c r="E3326" s="384">
        <f t="shared" si="182"/>
        <v>5</v>
      </c>
      <c r="F3326" s="384">
        <f t="shared" ca="1" si="183"/>
        <v>85</v>
      </c>
      <c r="G3326" s="384" t="s">
        <v>3882</v>
      </c>
      <c r="H3326" s="388"/>
      <c r="I3326" s="388"/>
    </row>
    <row r="3327" spans="1:9" x14ac:dyDescent="0.3">
      <c r="A3327" s="384" t="b">
        <v>0</v>
      </c>
      <c r="B3327" s="384" t="s">
        <v>4352</v>
      </c>
      <c r="C3327" s="389">
        <v>77</v>
      </c>
      <c r="D3327" s="384">
        <f t="shared" si="181"/>
        <v>-18</v>
      </c>
      <c r="E3327" s="384">
        <f t="shared" si="182"/>
        <v>6</v>
      </c>
      <c r="F3327" s="384">
        <f t="shared" ca="1" si="183"/>
        <v>85</v>
      </c>
      <c r="G3327" s="384" t="s">
        <v>3882</v>
      </c>
      <c r="H3327" s="388"/>
      <c r="I3327" s="388"/>
    </row>
    <row r="3328" spans="1:9" x14ac:dyDescent="0.3">
      <c r="A3328" s="384" t="b">
        <v>0</v>
      </c>
      <c r="B3328" s="384" t="s">
        <v>4353</v>
      </c>
      <c r="C3328" s="389">
        <v>78</v>
      </c>
      <c r="D3328" s="384">
        <f t="shared" si="181"/>
        <v>-17</v>
      </c>
      <c r="E3328" s="384">
        <f t="shared" si="182"/>
        <v>1</v>
      </c>
      <c r="F3328" s="384">
        <f t="shared" ca="1" si="183"/>
        <v>86</v>
      </c>
      <c r="G3328" s="384" t="s">
        <v>3884</v>
      </c>
      <c r="H3328" s="388"/>
      <c r="I3328" s="388"/>
    </row>
    <row r="3329" spans="1:9" x14ac:dyDescent="0.3">
      <c r="A3329" s="384" t="b">
        <v>0</v>
      </c>
      <c r="B3329" s="384" t="s">
        <v>4354</v>
      </c>
      <c r="C3329" s="389">
        <v>78</v>
      </c>
      <c r="D3329" s="384">
        <f t="shared" si="181"/>
        <v>-16</v>
      </c>
      <c r="E3329" s="384">
        <f t="shared" si="182"/>
        <v>2</v>
      </c>
      <c r="F3329" s="384">
        <f t="shared" ca="1" si="183"/>
        <v>86</v>
      </c>
      <c r="G3329" s="384" t="s">
        <v>3884</v>
      </c>
      <c r="H3329" s="388"/>
      <c r="I3329" s="388"/>
    </row>
    <row r="3330" spans="1:9" x14ac:dyDescent="0.3">
      <c r="A3330" s="384" t="b">
        <v>0</v>
      </c>
      <c r="B3330" s="384" t="s">
        <v>4355</v>
      </c>
      <c r="C3330" s="389">
        <v>78</v>
      </c>
      <c r="D3330" s="384">
        <f t="shared" si="181"/>
        <v>-15</v>
      </c>
      <c r="E3330" s="384">
        <f t="shared" si="182"/>
        <v>3</v>
      </c>
      <c r="F3330" s="384">
        <f t="shared" ca="1" si="183"/>
        <v>86</v>
      </c>
      <c r="G3330" s="384" t="s">
        <v>3884</v>
      </c>
      <c r="H3330" s="388"/>
      <c r="I3330" s="388"/>
    </row>
    <row r="3331" spans="1:9" x14ac:dyDescent="0.3">
      <c r="A3331" s="384" t="b">
        <v>0</v>
      </c>
      <c r="B3331" s="384" t="s">
        <v>4356</v>
      </c>
      <c r="C3331" s="389">
        <v>78</v>
      </c>
      <c r="D3331" s="384">
        <f t="shared" si="181"/>
        <v>-14</v>
      </c>
      <c r="E3331" s="384">
        <f t="shared" si="182"/>
        <v>4</v>
      </c>
      <c r="F3331" s="384">
        <f t="shared" ca="1" si="183"/>
        <v>86</v>
      </c>
      <c r="G3331" s="384" t="s">
        <v>3884</v>
      </c>
      <c r="H3331" s="388"/>
      <c r="I3331" s="388"/>
    </row>
    <row r="3332" spans="1:9" x14ac:dyDescent="0.3">
      <c r="A3332" s="384" t="b">
        <v>0</v>
      </c>
      <c r="B3332" s="384" t="s">
        <v>4357</v>
      </c>
      <c r="C3332" s="389">
        <v>78</v>
      </c>
      <c r="D3332" s="384">
        <f t="shared" si="181"/>
        <v>-13</v>
      </c>
      <c r="E3332" s="384">
        <f t="shared" si="182"/>
        <v>5</v>
      </c>
      <c r="F3332" s="384">
        <f t="shared" ca="1" si="183"/>
        <v>86</v>
      </c>
      <c r="G3332" s="384" t="s">
        <v>3884</v>
      </c>
      <c r="H3332" s="388"/>
      <c r="I3332" s="388"/>
    </row>
    <row r="3333" spans="1:9" x14ac:dyDescent="0.3">
      <c r="A3333" s="384" t="b">
        <v>0</v>
      </c>
      <c r="B3333" s="384" t="s">
        <v>4358</v>
      </c>
      <c r="C3333" s="389">
        <v>78</v>
      </c>
      <c r="D3333" s="384">
        <f t="shared" si="181"/>
        <v>-12</v>
      </c>
      <c r="E3333" s="384">
        <f t="shared" si="182"/>
        <v>6</v>
      </c>
      <c r="F3333" s="384">
        <f t="shared" ca="1" si="183"/>
        <v>86</v>
      </c>
      <c r="G3333" s="384" t="s">
        <v>3884</v>
      </c>
      <c r="H3333" s="388"/>
      <c r="I3333" s="388"/>
    </row>
    <row r="3334" spans="1:9" x14ac:dyDescent="0.3">
      <c r="A3334" s="384" t="b">
        <v>0</v>
      </c>
      <c r="B3334" s="384" t="s">
        <v>4359</v>
      </c>
      <c r="C3334" s="389">
        <v>79</v>
      </c>
      <c r="D3334" s="384">
        <f t="shared" si="181"/>
        <v>-11</v>
      </c>
      <c r="E3334" s="384">
        <f t="shared" si="182"/>
        <v>1</v>
      </c>
      <c r="F3334" s="384">
        <f t="shared" ca="1" si="183"/>
        <v>87</v>
      </c>
      <c r="G3334" s="384" t="s">
        <v>3886</v>
      </c>
      <c r="H3334" s="388"/>
      <c r="I3334" s="388"/>
    </row>
    <row r="3335" spans="1:9" x14ac:dyDescent="0.3">
      <c r="A3335" s="384" t="b">
        <v>0</v>
      </c>
      <c r="B3335" s="384" t="s">
        <v>4360</v>
      </c>
      <c r="C3335" s="389">
        <v>79</v>
      </c>
      <c r="D3335" s="384">
        <f t="shared" si="181"/>
        <v>-10</v>
      </c>
      <c r="E3335" s="384">
        <f t="shared" si="182"/>
        <v>2</v>
      </c>
      <c r="F3335" s="384">
        <f t="shared" ca="1" si="183"/>
        <v>87</v>
      </c>
      <c r="G3335" s="384" t="s">
        <v>3886</v>
      </c>
      <c r="H3335" s="388"/>
      <c r="I3335" s="388"/>
    </row>
    <row r="3336" spans="1:9" x14ac:dyDescent="0.3">
      <c r="A3336" s="384" t="b">
        <v>0</v>
      </c>
      <c r="B3336" s="384" t="s">
        <v>4361</v>
      </c>
      <c r="C3336" s="389">
        <v>79</v>
      </c>
      <c r="D3336" s="384">
        <f t="shared" si="181"/>
        <v>-9</v>
      </c>
      <c r="E3336" s="384">
        <f t="shared" si="182"/>
        <v>3</v>
      </c>
      <c r="F3336" s="384">
        <f t="shared" ca="1" si="183"/>
        <v>87</v>
      </c>
      <c r="G3336" s="384" t="s">
        <v>3886</v>
      </c>
      <c r="H3336" s="388"/>
      <c r="I3336" s="388"/>
    </row>
    <row r="3337" spans="1:9" x14ac:dyDescent="0.3">
      <c r="A3337" s="384" t="b">
        <v>0</v>
      </c>
      <c r="B3337" s="384" t="s">
        <v>4362</v>
      </c>
      <c r="C3337" s="389">
        <v>79</v>
      </c>
      <c r="D3337" s="384">
        <f t="shared" si="181"/>
        <v>-8</v>
      </c>
      <c r="E3337" s="384">
        <f t="shared" si="182"/>
        <v>4</v>
      </c>
      <c r="F3337" s="384">
        <f t="shared" ca="1" si="183"/>
        <v>87</v>
      </c>
      <c r="G3337" s="384" t="s">
        <v>3886</v>
      </c>
      <c r="H3337" s="388"/>
      <c r="I3337" s="388"/>
    </row>
    <row r="3338" spans="1:9" x14ac:dyDescent="0.3">
      <c r="A3338" s="384" t="b">
        <v>0</v>
      </c>
      <c r="B3338" s="384" t="s">
        <v>4363</v>
      </c>
      <c r="C3338" s="389">
        <v>79</v>
      </c>
      <c r="D3338" s="384">
        <f t="shared" si="181"/>
        <v>-7</v>
      </c>
      <c r="E3338" s="384">
        <f t="shared" si="182"/>
        <v>5</v>
      </c>
      <c r="F3338" s="384">
        <f t="shared" ca="1" si="183"/>
        <v>87</v>
      </c>
      <c r="G3338" s="384" t="s">
        <v>3886</v>
      </c>
      <c r="H3338" s="388"/>
      <c r="I3338" s="388"/>
    </row>
    <row r="3339" spans="1:9" x14ac:dyDescent="0.3">
      <c r="A3339" s="384" t="b">
        <v>0</v>
      </c>
      <c r="B3339" s="384" t="s">
        <v>4364</v>
      </c>
      <c r="C3339" s="389">
        <v>79</v>
      </c>
      <c r="D3339" s="384">
        <f t="shared" si="181"/>
        <v>-6</v>
      </c>
      <c r="E3339" s="384">
        <f t="shared" si="182"/>
        <v>6</v>
      </c>
      <c r="F3339" s="384">
        <f t="shared" ca="1" si="183"/>
        <v>87</v>
      </c>
      <c r="G3339" s="384" t="s">
        <v>3886</v>
      </c>
      <c r="H3339" s="388"/>
      <c r="I3339" s="388"/>
    </row>
    <row r="3340" spans="1:9" x14ac:dyDescent="0.3">
      <c r="A3340" s="384" t="b">
        <v>0</v>
      </c>
      <c r="B3340" s="384" t="s">
        <v>4365</v>
      </c>
      <c r="C3340" s="389">
        <v>80</v>
      </c>
      <c r="D3340" s="384">
        <f t="shared" si="181"/>
        <v>-5</v>
      </c>
      <c r="E3340" s="384">
        <f t="shared" si="182"/>
        <v>1</v>
      </c>
      <c r="F3340" s="384">
        <f t="shared" ca="1" si="183"/>
        <v>88</v>
      </c>
      <c r="G3340" s="384" t="s">
        <v>3888</v>
      </c>
      <c r="H3340" s="388"/>
      <c r="I3340" s="388"/>
    </row>
    <row r="3341" spans="1:9" x14ac:dyDescent="0.3">
      <c r="A3341" s="384" t="b">
        <v>0</v>
      </c>
      <c r="B3341" s="384" t="s">
        <v>4366</v>
      </c>
      <c r="C3341" s="389">
        <v>80</v>
      </c>
      <c r="D3341" s="384">
        <f t="shared" si="181"/>
        <v>-4</v>
      </c>
      <c r="E3341" s="384">
        <f t="shared" si="182"/>
        <v>2</v>
      </c>
      <c r="F3341" s="384">
        <f t="shared" ca="1" si="183"/>
        <v>88</v>
      </c>
      <c r="G3341" s="384" t="s">
        <v>3888</v>
      </c>
      <c r="H3341" s="388"/>
      <c r="I3341" s="388"/>
    </row>
    <row r="3342" spans="1:9" x14ac:dyDescent="0.3">
      <c r="A3342" s="384" t="b">
        <v>0</v>
      </c>
      <c r="B3342" s="384" t="s">
        <v>4367</v>
      </c>
      <c r="C3342" s="389">
        <v>80</v>
      </c>
      <c r="D3342" s="384">
        <f t="shared" si="181"/>
        <v>-3</v>
      </c>
      <c r="E3342" s="384">
        <f t="shared" si="182"/>
        <v>3</v>
      </c>
      <c r="F3342" s="384">
        <f t="shared" ca="1" si="183"/>
        <v>88</v>
      </c>
      <c r="G3342" s="384" t="s">
        <v>3888</v>
      </c>
      <c r="H3342" s="388"/>
      <c r="I3342" s="388"/>
    </row>
    <row r="3343" spans="1:9" x14ac:dyDescent="0.3">
      <c r="A3343" s="384" t="b">
        <v>0</v>
      </c>
      <c r="B3343" s="384" t="s">
        <v>4368</v>
      </c>
      <c r="C3343" s="389">
        <v>80</v>
      </c>
      <c r="D3343" s="384">
        <f t="shared" si="181"/>
        <v>-2</v>
      </c>
      <c r="E3343" s="384">
        <f t="shared" si="182"/>
        <v>4</v>
      </c>
      <c r="F3343" s="384">
        <f t="shared" ca="1" si="183"/>
        <v>88</v>
      </c>
      <c r="G3343" s="384" t="s">
        <v>3888</v>
      </c>
      <c r="H3343" s="388"/>
      <c r="I3343" s="388"/>
    </row>
    <row r="3344" spans="1:9" x14ac:dyDescent="0.3">
      <c r="A3344" s="384" t="b">
        <v>0</v>
      </c>
      <c r="B3344" s="384" t="s">
        <v>4369</v>
      </c>
      <c r="C3344" s="389">
        <v>80</v>
      </c>
      <c r="D3344" s="384">
        <f t="shared" si="181"/>
        <v>-1</v>
      </c>
      <c r="E3344" s="384">
        <f t="shared" si="182"/>
        <v>5</v>
      </c>
      <c r="F3344" s="384">
        <f t="shared" ca="1" si="183"/>
        <v>88</v>
      </c>
      <c r="G3344" s="384" t="s">
        <v>3888</v>
      </c>
      <c r="H3344" s="388"/>
      <c r="I3344" s="388"/>
    </row>
    <row r="3345" spans="1:9" x14ac:dyDescent="0.3">
      <c r="A3345" s="384" t="b">
        <v>0</v>
      </c>
      <c r="B3345" s="384" t="s">
        <v>4370</v>
      </c>
      <c r="C3345" s="389">
        <v>80</v>
      </c>
      <c r="D3345" s="384">
        <f t="shared" si="181"/>
        <v>0</v>
      </c>
      <c r="E3345" s="384">
        <f t="shared" si="182"/>
        <v>6</v>
      </c>
      <c r="F3345" s="384">
        <f t="shared" ca="1" si="183"/>
        <v>88</v>
      </c>
      <c r="G3345" s="384" t="s">
        <v>3888</v>
      </c>
      <c r="H3345" s="388"/>
      <c r="I3345" s="388"/>
    </row>
    <row r="3346" spans="1:9" x14ac:dyDescent="0.3">
      <c r="A3346" s="384" t="b">
        <f t="shared" ref="A3346:A3409" ca="1" si="184">IF(OR(AND(H3346&lt;&gt;"", H3346&lt;&gt;0), AND(I3346&lt;&gt;"",I3346&lt;&gt;0)),TRUE,FALSE)</f>
        <v>0</v>
      </c>
      <c r="B3346" s="393" t="str">
        <f ca="1">IF(COUNTA(G$2863:G3345)=1,"",OFFSET(B3346,-COUNTA(G$2863:G3345)+1,0))</f>
        <v>a1bDm000000Y7pBIAS</v>
      </c>
      <c r="C3346" s="389">
        <f ca="1">IF(COUNTA(G$2863:G3345)=1,"",OFFSET(C3346,-COUNTA(G$2863:G3345)+1,0))</f>
        <v>1</v>
      </c>
      <c r="D3346" s="384">
        <f t="shared" si="181"/>
        <v>1</v>
      </c>
      <c r="E3346" s="384">
        <f t="shared" ca="1" si="182"/>
        <v>1</v>
      </c>
      <c r="F3346" s="384">
        <f t="shared" ca="1" si="183"/>
        <v>9</v>
      </c>
      <c r="G3346" s="384"/>
      <c r="H3346" s="388" t="str">
        <f t="shared" ref="H3346:H3409" ca="1" si="185">CHOOSE(E3346,IFERROR(IF(INDIRECT("'WPTM - Section F'!H"&amp;F3346)=0,"",INDIRECT("'WPTM - Section F'!H"&amp;$F3346)),""),IFERROR(IF(INDIRECT("'WPTM - Section F'!J"&amp;F3346)=0,"",INDIRECT("'WPTM - Section F'!J"&amp;$F3346)),""),IFERROR(IF(INDIRECT("'WPTM - Section F'!L"&amp;F3346)=0,"",INDIRECT("'WPTM - Section F'!L"&amp;$F3346)),""),IFERROR(IF(INDIRECT("'WPTM - Section F'!N"&amp;F3346)=0,"",INDIRECT("'WPTM - Section F'!N"&amp;$F3346)),""),IFERROR(IF(INDIRECT("'WPTM - Section F'!P"&amp;F3346)=0,"",INDIRECT("'WPTM - Section F'!P"&amp;$F3346)),""),IFERROR(IF(INDIRECT("'WPTM - Section F'!R"&amp;F3346)=0,"",INDIRECT("'WPTM - Section F'!R"&amp;$F3346)),""),IFERROR(IF(INDIRECT("'WPTM - Section F'!T"&amp;F3346)=0,"",INDIRECT("'WPTM - Section F'!T"&amp;$F3346)),""),IFERROR(IF(INDIRECT("'WPTM - Section F'!V"&amp;F3346)=0,"",INDIRECT("'WPTM - Section F'!V"&amp;$F3346)),""),)</f>
        <v/>
      </c>
      <c r="I3346" s="388" t="str">
        <f t="shared" ref="I3346:I3409" ca="1" si="186">CHOOSE(E3346,IFERROR(IF(INDIRECT("'WPTM - Section F'!G"&amp;F3346)=0,"",INDIRECT("'WPTM - Section F'!G"&amp;$F3346)),""),IFERROR(IF(INDIRECT("'WPTM - Section F'!I"&amp;F3346)=0,"",INDIRECT("'WPTM - Section F'!I"&amp;$F3346)),""),IFERROR(IF(INDIRECT("'WPTM - Section F'!K"&amp;F3346)=0,"",INDIRECT("'WPTM - Section F'!K"&amp;$F3346)),""),IFERROR(IF(INDIRECT("'WPTM - Section F'!M"&amp;F3346)=0,"",INDIRECT("'WPTM - Section F'!M"&amp;$F3346)),""),IFERROR(IF(INDIRECT("'WPTM - Section F'!O"&amp;F3346)=0,"",INDIRECT("'WPTM - Section F'!O"&amp;$F3346)),""),IFERROR(IF(INDIRECT("'WPTM - Section F'!Q"&amp;F3346)=0,"",INDIRECT("'WPTM - Section F'!Q"&amp;$F3346)),""),IFERROR(IF(INDIRECT("'WPTM - Section F'!S"&amp;F3346)=0,"",INDIRECT("'WPTM - Section F'!S"&amp;$F3346)),""),IFERROR(IF(INDIRECT("'WPTM - Section F'!U"&amp;F3346)=0,"",INDIRECT("'WPTM - Section F'!U"&amp;$F3346)),""),)</f>
        <v/>
      </c>
    </row>
    <row r="3347" spans="1:9" x14ac:dyDescent="0.3">
      <c r="A3347" s="384" t="b">
        <f t="shared" ca="1" si="184"/>
        <v>0</v>
      </c>
      <c r="B3347" s="393" t="str">
        <f ca="1">IF(COUNTA(G$2863:G3346)=1,"",OFFSET(B3347,-COUNTA(G$2863:G3346)+1,0))</f>
        <v>a1bDm000000Y7qTIAS</v>
      </c>
      <c r="C3347" s="389">
        <f ca="1">IF(COUNTA(G$2863:G3346)=1,"",OFFSET(C3347,-COUNTA(G$2863:G3346)+1,0))</f>
        <v>1</v>
      </c>
      <c r="D3347" s="384">
        <f t="shared" si="181"/>
        <v>2</v>
      </c>
      <c r="E3347" s="384">
        <f t="shared" ca="1" si="182"/>
        <v>2</v>
      </c>
      <c r="F3347" s="384">
        <f t="shared" ca="1" si="183"/>
        <v>9</v>
      </c>
      <c r="G3347" s="384"/>
      <c r="H3347" s="388" t="str">
        <f t="shared" ca="1" si="185"/>
        <v/>
      </c>
      <c r="I3347" s="388" t="str">
        <f t="shared" ca="1" si="186"/>
        <v/>
      </c>
    </row>
    <row r="3348" spans="1:9" x14ac:dyDescent="0.3">
      <c r="A3348" s="384" t="b">
        <f t="shared" ca="1" si="184"/>
        <v>0</v>
      </c>
      <c r="B3348" s="393" t="str">
        <f ca="1">IF(COUNTA(G$2863:G3347)=1,"",OFFSET(B3348,-COUNTA(G$2863:G3347)+1,0))</f>
        <v>a1bDm000000Y7rlIAC</v>
      </c>
      <c r="C3348" s="389">
        <f ca="1">IF(COUNTA(G$2863:G3347)=1,"",OFFSET(C3348,-COUNTA(G$2863:G3347)+1,0))</f>
        <v>1</v>
      </c>
      <c r="D3348" s="384">
        <f t="shared" si="181"/>
        <v>3</v>
      </c>
      <c r="E3348" s="384">
        <f t="shared" ca="1" si="182"/>
        <v>3</v>
      </c>
      <c r="F3348" s="384">
        <f t="shared" ca="1" si="183"/>
        <v>9</v>
      </c>
      <c r="G3348" s="384"/>
      <c r="H3348" s="388" t="str">
        <f t="shared" ca="1" si="185"/>
        <v/>
      </c>
      <c r="I3348" s="388" t="str">
        <f t="shared" ca="1" si="186"/>
        <v/>
      </c>
    </row>
    <row r="3349" spans="1:9" x14ac:dyDescent="0.3">
      <c r="A3349" s="384" t="b">
        <f t="shared" ca="1" si="184"/>
        <v>0</v>
      </c>
      <c r="B3349" s="393" t="str">
        <f ca="1">IF(COUNTA(G$2863:G3348)=1,"",OFFSET(B3349,-COUNTA(G$2863:G3348)+1,0))</f>
        <v>a1bDm000000Y7t3IAC</v>
      </c>
      <c r="C3349" s="389">
        <f ca="1">IF(COUNTA(G$2863:G3348)=1,"",OFFSET(C3349,-COUNTA(G$2863:G3348)+1,0))</f>
        <v>1</v>
      </c>
      <c r="D3349" s="384">
        <f t="shared" si="181"/>
        <v>4</v>
      </c>
      <c r="E3349" s="384">
        <f t="shared" ca="1" si="182"/>
        <v>4</v>
      </c>
      <c r="F3349" s="384">
        <f t="shared" ca="1" si="183"/>
        <v>9</v>
      </c>
      <c r="G3349" s="384"/>
      <c r="H3349" s="388" t="str">
        <f t="shared" ca="1" si="185"/>
        <v/>
      </c>
      <c r="I3349" s="388" t="str">
        <f t="shared" ca="1" si="186"/>
        <v/>
      </c>
    </row>
    <row r="3350" spans="1:9" x14ac:dyDescent="0.3">
      <c r="A3350" s="384" t="b">
        <f t="shared" ca="1" si="184"/>
        <v>0</v>
      </c>
      <c r="B3350" s="393" t="str">
        <f ca="1">IF(COUNTA(G$2863:G3349)=1,"",OFFSET(B3350,-COUNTA(G$2863:G3349)+1,0))</f>
        <v>a1bDm000000Y7uLIAS</v>
      </c>
      <c r="C3350" s="389">
        <f ca="1">IF(COUNTA(G$2863:G3349)=1,"",OFFSET(C3350,-COUNTA(G$2863:G3349)+1,0))</f>
        <v>1</v>
      </c>
      <c r="D3350" s="384">
        <f t="shared" si="181"/>
        <v>5</v>
      </c>
      <c r="E3350" s="384">
        <f t="shared" ca="1" si="182"/>
        <v>5</v>
      </c>
      <c r="F3350" s="384">
        <f t="shared" ca="1" si="183"/>
        <v>9</v>
      </c>
      <c r="G3350" s="384"/>
      <c r="H3350" s="388" t="str">
        <f t="shared" ca="1" si="185"/>
        <v/>
      </c>
      <c r="I3350" s="388" t="str">
        <f t="shared" ca="1" si="186"/>
        <v/>
      </c>
    </row>
    <row r="3351" spans="1:9" x14ac:dyDescent="0.3">
      <c r="A3351" s="384" t="b">
        <f t="shared" ca="1" si="184"/>
        <v>0</v>
      </c>
      <c r="B3351" s="393" t="str">
        <f ca="1">IF(COUNTA(G$2863:G3350)=1,"",OFFSET(B3351,-COUNTA(G$2863:G3350)+1,0))</f>
        <v>a1bDm000000Y7vdIAC</v>
      </c>
      <c r="C3351" s="389">
        <f ca="1">IF(COUNTA(G$2863:G3350)=1,"",OFFSET(C3351,-COUNTA(G$2863:G3350)+1,0))</f>
        <v>1</v>
      </c>
      <c r="D3351" s="384">
        <f t="shared" si="181"/>
        <v>6</v>
      </c>
      <c r="E3351" s="384">
        <f t="shared" ca="1" si="182"/>
        <v>6</v>
      </c>
      <c r="F3351" s="384">
        <f t="shared" ca="1" si="183"/>
        <v>9</v>
      </c>
      <c r="G3351" s="384"/>
      <c r="H3351" s="388" t="str">
        <f t="shared" ca="1" si="185"/>
        <v/>
      </c>
      <c r="I3351" s="388" t="str">
        <f t="shared" ca="1" si="186"/>
        <v/>
      </c>
    </row>
    <row r="3352" spans="1:9" x14ac:dyDescent="0.3">
      <c r="A3352" s="384" t="b">
        <f t="shared" ca="1" si="184"/>
        <v>0</v>
      </c>
      <c r="B3352" s="393" t="str">
        <f ca="1">IF(COUNTA(G$2863:G3351)=1,"",OFFSET(B3352,-COUNTA(G$2863:G3351)+1,0))</f>
        <v>a1bDm000000Y7pCIAS</v>
      </c>
      <c r="C3352" s="389">
        <f ca="1">IF(COUNTA(G$2863:G3351)=1,"",OFFSET(C3352,-COUNTA(G$2863:G3351)+1,0))</f>
        <v>2</v>
      </c>
      <c r="D3352" s="384">
        <f t="shared" si="181"/>
        <v>7</v>
      </c>
      <c r="E3352" s="384">
        <f t="shared" ca="1" si="182"/>
        <v>1</v>
      </c>
      <c r="F3352" s="384">
        <f t="shared" ca="1" si="183"/>
        <v>10</v>
      </c>
      <c r="G3352" s="384"/>
      <c r="H3352" s="388" t="str">
        <f t="shared" ca="1" si="185"/>
        <v/>
      </c>
      <c r="I3352" s="388" t="str">
        <f t="shared" ca="1" si="186"/>
        <v/>
      </c>
    </row>
    <row r="3353" spans="1:9" x14ac:dyDescent="0.3">
      <c r="A3353" s="384" t="b">
        <f t="shared" ca="1" si="184"/>
        <v>0</v>
      </c>
      <c r="B3353" s="393" t="str">
        <f ca="1">IF(COUNTA(G$2863:G3352)=1,"",OFFSET(B3353,-COUNTA(G$2863:G3352)+1,0))</f>
        <v>a1bDm000000Y7qUIAS</v>
      </c>
      <c r="C3353" s="389">
        <f ca="1">IF(COUNTA(G$2863:G3352)=1,"",OFFSET(C3353,-COUNTA(G$2863:G3352)+1,0))</f>
        <v>2</v>
      </c>
      <c r="D3353" s="384">
        <f t="shared" si="181"/>
        <v>8</v>
      </c>
      <c r="E3353" s="384">
        <f t="shared" ca="1" si="182"/>
        <v>2</v>
      </c>
      <c r="F3353" s="384">
        <f t="shared" ca="1" si="183"/>
        <v>10</v>
      </c>
      <c r="G3353" s="384"/>
      <c r="H3353" s="388" t="str">
        <f t="shared" ca="1" si="185"/>
        <v/>
      </c>
      <c r="I3353" s="388" t="str">
        <f t="shared" ca="1" si="186"/>
        <v/>
      </c>
    </row>
    <row r="3354" spans="1:9" x14ac:dyDescent="0.3">
      <c r="A3354" s="384" t="b">
        <f t="shared" ca="1" si="184"/>
        <v>0</v>
      </c>
      <c r="B3354" s="393" t="str">
        <f ca="1">IF(COUNTA(G$2863:G3353)=1,"",OFFSET(B3354,-COUNTA(G$2863:G3353)+1,0))</f>
        <v>a1bDm000000Y7rmIAC</v>
      </c>
      <c r="C3354" s="389">
        <f ca="1">IF(COUNTA(G$2863:G3353)=1,"",OFFSET(C3354,-COUNTA(G$2863:G3353)+1,0))</f>
        <v>2</v>
      </c>
      <c r="D3354" s="384">
        <f t="shared" si="181"/>
        <v>9</v>
      </c>
      <c r="E3354" s="384">
        <f t="shared" ca="1" si="182"/>
        <v>3</v>
      </c>
      <c r="F3354" s="384">
        <f t="shared" ca="1" si="183"/>
        <v>10</v>
      </c>
      <c r="G3354" s="384"/>
      <c r="H3354" s="388" t="str">
        <f t="shared" ca="1" si="185"/>
        <v/>
      </c>
      <c r="I3354" s="388" t="str">
        <f t="shared" ca="1" si="186"/>
        <v/>
      </c>
    </row>
    <row r="3355" spans="1:9" x14ac:dyDescent="0.3">
      <c r="A3355" s="384" t="b">
        <f t="shared" ca="1" si="184"/>
        <v>0</v>
      </c>
      <c r="B3355" s="393" t="str">
        <f ca="1">IF(COUNTA(G$2863:G3354)=1,"",OFFSET(B3355,-COUNTA(G$2863:G3354)+1,0))</f>
        <v>a1bDm000000Y7t4IAC</v>
      </c>
      <c r="C3355" s="389">
        <f ca="1">IF(COUNTA(G$2863:G3354)=1,"",OFFSET(C3355,-COUNTA(G$2863:G3354)+1,0))</f>
        <v>2</v>
      </c>
      <c r="D3355" s="384">
        <f t="shared" si="181"/>
        <v>10</v>
      </c>
      <c r="E3355" s="384">
        <f t="shared" ca="1" si="182"/>
        <v>4</v>
      </c>
      <c r="F3355" s="384">
        <f t="shared" ca="1" si="183"/>
        <v>10</v>
      </c>
      <c r="G3355" s="384"/>
      <c r="H3355" s="388" t="str">
        <f t="shared" ca="1" si="185"/>
        <v/>
      </c>
      <c r="I3355" s="388" t="str">
        <f t="shared" ca="1" si="186"/>
        <v/>
      </c>
    </row>
    <row r="3356" spans="1:9" x14ac:dyDescent="0.3">
      <c r="A3356" s="384" t="b">
        <f t="shared" ca="1" si="184"/>
        <v>0</v>
      </c>
      <c r="B3356" s="393" t="str">
        <f ca="1">IF(COUNTA(G$2863:G3355)=1,"",OFFSET(B3356,-COUNTA(G$2863:G3355)+1,0))</f>
        <v>a1bDm000000Y7uMIAS</v>
      </c>
      <c r="C3356" s="389">
        <f ca="1">IF(COUNTA(G$2863:G3355)=1,"",OFFSET(C3356,-COUNTA(G$2863:G3355)+1,0))</f>
        <v>2</v>
      </c>
      <c r="D3356" s="384">
        <f t="shared" si="181"/>
        <v>11</v>
      </c>
      <c r="E3356" s="384">
        <f t="shared" ca="1" si="182"/>
        <v>5</v>
      </c>
      <c r="F3356" s="384">
        <f t="shared" ca="1" si="183"/>
        <v>10</v>
      </c>
      <c r="G3356" s="384"/>
      <c r="H3356" s="388" t="str">
        <f t="shared" ca="1" si="185"/>
        <v/>
      </c>
      <c r="I3356" s="388" t="str">
        <f t="shared" ca="1" si="186"/>
        <v/>
      </c>
    </row>
    <row r="3357" spans="1:9" x14ac:dyDescent="0.3">
      <c r="A3357" s="384" t="b">
        <f t="shared" ca="1" si="184"/>
        <v>0</v>
      </c>
      <c r="B3357" s="393" t="str">
        <f ca="1">IF(COUNTA(G$2863:G3356)=1,"",OFFSET(B3357,-COUNTA(G$2863:G3356)+1,0))</f>
        <v>a1bDm000000Y7veIAC</v>
      </c>
      <c r="C3357" s="389">
        <f ca="1">IF(COUNTA(G$2863:G3356)=1,"",OFFSET(C3357,-COUNTA(G$2863:G3356)+1,0))</f>
        <v>2</v>
      </c>
      <c r="D3357" s="384">
        <f t="shared" si="181"/>
        <v>12</v>
      </c>
      <c r="E3357" s="384">
        <f t="shared" ca="1" si="182"/>
        <v>6</v>
      </c>
      <c r="F3357" s="384">
        <f t="shared" ca="1" si="183"/>
        <v>10</v>
      </c>
      <c r="G3357" s="384"/>
      <c r="H3357" s="388" t="str">
        <f t="shared" ca="1" si="185"/>
        <v/>
      </c>
      <c r="I3357" s="388" t="str">
        <f t="shared" ca="1" si="186"/>
        <v/>
      </c>
    </row>
    <row r="3358" spans="1:9" x14ac:dyDescent="0.3">
      <c r="A3358" s="384" t="b">
        <f t="shared" ca="1" si="184"/>
        <v>0</v>
      </c>
      <c r="B3358" s="393" t="str">
        <f ca="1">IF(COUNTA(G$2863:G3357)=1,"",OFFSET(B3358,-COUNTA(G$2863:G3357)+1,0))</f>
        <v>a1bDm000000Y7pDIAS</v>
      </c>
      <c r="C3358" s="389">
        <f ca="1">IF(COUNTA(G$2863:G3357)=1,"",OFFSET(C3358,-COUNTA(G$2863:G3357)+1,0))</f>
        <v>3</v>
      </c>
      <c r="D3358" s="384">
        <f t="shared" si="181"/>
        <v>13</v>
      </c>
      <c r="E3358" s="384">
        <f t="shared" ca="1" si="182"/>
        <v>1</v>
      </c>
      <c r="F3358" s="384">
        <f t="shared" ca="1" si="183"/>
        <v>11</v>
      </c>
      <c r="G3358" s="384"/>
      <c r="H3358" s="388" t="str">
        <f t="shared" ca="1" si="185"/>
        <v/>
      </c>
      <c r="I3358" s="388" t="str">
        <f t="shared" ca="1" si="186"/>
        <v/>
      </c>
    </row>
    <row r="3359" spans="1:9" x14ac:dyDescent="0.3">
      <c r="A3359" s="384" t="b">
        <f t="shared" ca="1" si="184"/>
        <v>0</v>
      </c>
      <c r="B3359" s="393" t="str">
        <f ca="1">IF(COUNTA(G$2863:G3358)=1,"",OFFSET(B3359,-COUNTA(G$2863:G3358)+1,0))</f>
        <v>a1bDm000000Y7qVIAS</v>
      </c>
      <c r="C3359" s="389">
        <f ca="1">IF(COUNTA(G$2863:G3358)=1,"",OFFSET(C3359,-COUNTA(G$2863:G3358)+1,0))</f>
        <v>3</v>
      </c>
      <c r="D3359" s="384">
        <f t="shared" si="181"/>
        <v>14</v>
      </c>
      <c r="E3359" s="384">
        <f t="shared" ca="1" si="182"/>
        <v>2</v>
      </c>
      <c r="F3359" s="384">
        <f t="shared" ca="1" si="183"/>
        <v>11</v>
      </c>
      <c r="G3359" s="384"/>
      <c r="H3359" s="388" t="str">
        <f t="shared" ca="1" si="185"/>
        <v/>
      </c>
      <c r="I3359" s="388" t="str">
        <f t="shared" ca="1" si="186"/>
        <v/>
      </c>
    </row>
    <row r="3360" spans="1:9" x14ac:dyDescent="0.3">
      <c r="A3360" s="384" t="b">
        <f t="shared" ca="1" si="184"/>
        <v>0</v>
      </c>
      <c r="B3360" s="393" t="str">
        <f ca="1">IF(COUNTA(G$2863:G3359)=1,"",OFFSET(B3360,-COUNTA(G$2863:G3359)+1,0))</f>
        <v>a1bDm000000Y7rnIAC</v>
      </c>
      <c r="C3360" s="389">
        <f ca="1">IF(COUNTA(G$2863:G3359)=1,"",OFFSET(C3360,-COUNTA(G$2863:G3359)+1,0))</f>
        <v>3</v>
      </c>
      <c r="D3360" s="384">
        <f t="shared" si="181"/>
        <v>15</v>
      </c>
      <c r="E3360" s="384">
        <f t="shared" ca="1" si="182"/>
        <v>3</v>
      </c>
      <c r="F3360" s="384">
        <f t="shared" ca="1" si="183"/>
        <v>11</v>
      </c>
      <c r="G3360" s="384"/>
      <c r="H3360" s="388" t="str">
        <f t="shared" ca="1" si="185"/>
        <v/>
      </c>
      <c r="I3360" s="388" t="str">
        <f t="shared" ca="1" si="186"/>
        <v/>
      </c>
    </row>
    <row r="3361" spans="1:9" x14ac:dyDescent="0.3">
      <c r="A3361" s="384" t="b">
        <f t="shared" ca="1" si="184"/>
        <v>0</v>
      </c>
      <c r="B3361" s="393" t="str">
        <f ca="1">IF(COUNTA(G$2863:G3360)=1,"",OFFSET(B3361,-COUNTA(G$2863:G3360)+1,0))</f>
        <v>a1bDm000000Y7t5IAC</v>
      </c>
      <c r="C3361" s="389">
        <f ca="1">IF(COUNTA(G$2863:G3360)=1,"",OFFSET(C3361,-COUNTA(G$2863:G3360)+1,0))</f>
        <v>3</v>
      </c>
      <c r="D3361" s="384">
        <f t="shared" si="181"/>
        <v>16</v>
      </c>
      <c r="E3361" s="384">
        <f t="shared" ca="1" si="182"/>
        <v>4</v>
      </c>
      <c r="F3361" s="384">
        <f t="shared" ca="1" si="183"/>
        <v>11</v>
      </c>
      <c r="G3361" s="384"/>
      <c r="H3361" s="388" t="str">
        <f t="shared" ca="1" si="185"/>
        <v/>
      </c>
      <c r="I3361" s="388" t="str">
        <f t="shared" ca="1" si="186"/>
        <v/>
      </c>
    </row>
    <row r="3362" spans="1:9" x14ac:dyDescent="0.3">
      <c r="A3362" s="384" t="b">
        <f t="shared" ca="1" si="184"/>
        <v>0</v>
      </c>
      <c r="B3362" s="393" t="str">
        <f ca="1">IF(COUNTA(G$2863:G3361)=1,"",OFFSET(B3362,-COUNTA(G$2863:G3361)+1,0))</f>
        <v>a1bDm000000Y7uNIAS</v>
      </c>
      <c r="C3362" s="389">
        <f ca="1">IF(COUNTA(G$2863:G3361)=1,"",OFFSET(C3362,-COUNTA(G$2863:G3361)+1,0))</f>
        <v>3</v>
      </c>
      <c r="D3362" s="384">
        <f t="shared" si="181"/>
        <v>17</v>
      </c>
      <c r="E3362" s="384">
        <f t="shared" ca="1" si="182"/>
        <v>5</v>
      </c>
      <c r="F3362" s="384">
        <f t="shared" ca="1" si="183"/>
        <v>11</v>
      </c>
      <c r="G3362" s="384"/>
      <c r="H3362" s="388" t="str">
        <f t="shared" ca="1" si="185"/>
        <v/>
      </c>
      <c r="I3362" s="388" t="str">
        <f t="shared" ca="1" si="186"/>
        <v/>
      </c>
    </row>
    <row r="3363" spans="1:9" x14ac:dyDescent="0.3">
      <c r="A3363" s="384" t="b">
        <f t="shared" ca="1" si="184"/>
        <v>0</v>
      </c>
      <c r="B3363" s="393" t="str">
        <f ca="1">IF(COUNTA(G$2863:G3362)=1,"",OFFSET(B3363,-COUNTA(G$2863:G3362)+1,0))</f>
        <v>a1bDm000000Y7vfIAC</v>
      </c>
      <c r="C3363" s="389">
        <f ca="1">IF(COUNTA(G$2863:G3362)=1,"",OFFSET(C3363,-COUNTA(G$2863:G3362)+1,0))</f>
        <v>3</v>
      </c>
      <c r="D3363" s="384">
        <f t="shared" si="181"/>
        <v>18</v>
      </c>
      <c r="E3363" s="384">
        <f t="shared" ca="1" si="182"/>
        <v>6</v>
      </c>
      <c r="F3363" s="384">
        <f t="shared" ca="1" si="183"/>
        <v>11</v>
      </c>
      <c r="G3363" s="384"/>
      <c r="H3363" s="388" t="str">
        <f t="shared" ca="1" si="185"/>
        <v/>
      </c>
      <c r="I3363" s="388" t="str">
        <f t="shared" ca="1" si="186"/>
        <v/>
      </c>
    </row>
    <row r="3364" spans="1:9" x14ac:dyDescent="0.3">
      <c r="A3364" s="384" t="b">
        <f t="shared" ca="1" si="184"/>
        <v>0</v>
      </c>
      <c r="B3364" s="393" t="str">
        <f ca="1">IF(COUNTA(G$2863:G3363)=1,"",OFFSET(B3364,-COUNTA(G$2863:G3363)+1,0))</f>
        <v>a1bDm000000Y7pEIAS</v>
      </c>
      <c r="C3364" s="389">
        <f ca="1">IF(COUNTA(G$2863:G3363)=1,"",OFFSET(C3364,-COUNTA(G$2863:G3363)+1,0))</f>
        <v>4</v>
      </c>
      <c r="D3364" s="384">
        <f t="shared" si="181"/>
        <v>19</v>
      </c>
      <c r="E3364" s="384">
        <f t="shared" ca="1" si="182"/>
        <v>1</v>
      </c>
      <c r="F3364" s="384">
        <f t="shared" ca="1" si="183"/>
        <v>12</v>
      </c>
      <c r="G3364" s="384"/>
      <c r="H3364" s="388" t="str">
        <f t="shared" ca="1" si="185"/>
        <v/>
      </c>
      <c r="I3364" s="388" t="str">
        <f t="shared" ca="1" si="186"/>
        <v/>
      </c>
    </row>
    <row r="3365" spans="1:9" x14ac:dyDescent="0.3">
      <c r="A3365" s="384" t="b">
        <f t="shared" ca="1" si="184"/>
        <v>0</v>
      </c>
      <c r="B3365" s="393" t="str">
        <f ca="1">IF(COUNTA(G$2863:G3364)=1,"",OFFSET(B3365,-COUNTA(G$2863:G3364)+1,0))</f>
        <v>a1bDm000000Y7qWIAS</v>
      </c>
      <c r="C3365" s="389">
        <f ca="1">IF(COUNTA(G$2863:G3364)=1,"",OFFSET(C3365,-COUNTA(G$2863:G3364)+1,0))</f>
        <v>4</v>
      </c>
      <c r="D3365" s="384">
        <f t="shared" si="181"/>
        <v>20</v>
      </c>
      <c r="E3365" s="384">
        <f t="shared" ca="1" si="182"/>
        <v>2</v>
      </c>
      <c r="F3365" s="384">
        <f t="shared" ca="1" si="183"/>
        <v>12</v>
      </c>
      <c r="G3365" s="384"/>
      <c r="H3365" s="388" t="str">
        <f t="shared" ca="1" si="185"/>
        <v/>
      </c>
      <c r="I3365" s="388" t="str">
        <f t="shared" ca="1" si="186"/>
        <v/>
      </c>
    </row>
    <row r="3366" spans="1:9" x14ac:dyDescent="0.3">
      <c r="A3366" s="384" t="b">
        <f t="shared" ca="1" si="184"/>
        <v>0</v>
      </c>
      <c r="B3366" s="393" t="str">
        <f ca="1">IF(COUNTA(G$2863:G3365)=1,"",OFFSET(B3366,-COUNTA(G$2863:G3365)+1,0))</f>
        <v>a1bDm000000Y7roIAC</v>
      </c>
      <c r="C3366" s="389">
        <f ca="1">IF(COUNTA(G$2863:G3365)=1,"",OFFSET(C3366,-COUNTA(G$2863:G3365)+1,0))</f>
        <v>4</v>
      </c>
      <c r="D3366" s="384">
        <f t="shared" si="181"/>
        <v>21</v>
      </c>
      <c r="E3366" s="384">
        <f t="shared" ca="1" si="182"/>
        <v>3</v>
      </c>
      <c r="F3366" s="384">
        <f t="shared" ca="1" si="183"/>
        <v>12</v>
      </c>
      <c r="G3366" s="384"/>
      <c r="H3366" s="388" t="str">
        <f t="shared" ca="1" si="185"/>
        <v/>
      </c>
      <c r="I3366" s="388" t="str">
        <f t="shared" ca="1" si="186"/>
        <v/>
      </c>
    </row>
    <row r="3367" spans="1:9" x14ac:dyDescent="0.3">
      <c r="A3367" s="384" t="b">
        <f t="shared" ca="1" si="184"/>
        <v>0</v>
      </c>
      <c r="B3367" s="393" t="str">
        <f ca="1">IF(COUNTA(G$2863:G3366)=1,"",OFFSET(B3367,-COUNTA(G$2863:G3366)+1,0))</f>
        <v>a1bDm000000Y7t6IAC</v>
      </c>
      <c r="C3367" s="389">
        <f ca="1">IF(COUNTA(G$2863:G3366)=1,"",OFFSET(C3367,-COUNTA(G$2863:G3366)+1,0))</f>
        <v>4</v>
      </c>
      <c r="D3367" s="384">
        <f t="shared" si="181"/>
        <v>22</v>
      </c>
      <c r="E3367" s="384">
        <f t="shared" ca="1" si="182"/>
        <v>4</v>
      </c>
      <c r="F3367" s="384">
        <f t="shared" ca="1" si="183"/>
        <v>12</v>
      </c>
      <c r="G3367" s="384"/>
      <c r="H3367" s="388" t="str">
        <f t="shared" ca="1" si="185"/>
        <v/>
      </c>
      <c r="I3367" s="388" t="str">
        <f t="shared" ca="1" si="186"/>
        <v/>
      </c>
    </row>
    <row r="3368" spans="1:9" x14ac:dyDescent="0.3">
      <c r="A3368" s="384" t="b">
        <f t="shared" ca="1" si="184"/>
        <v>0</v>
      </c>
      <c r="B3368" s="393" t="str">
        <f ca="1">IF(COUNTA(G$2863:G3367)=1,"",OFFSET(B3368,-COUNTA(G$2863:G3367)+1,0))</f>
        <v>a1bDm000000Y7uOIAS</v>
      </c>
      <c r="C3368" s="389">
        <f ca="1">IF(COUNTA(G$2863:G3367)=1,"",OFFSET(C3368,-COUNTA(G$2863:G3367)+1,0))</f>
        <v>4</v>
      </c>
      <c r="D3368" s="384">
        <f t="shared" si="181"/>
        <v>23</v>
      </c>
      <c r="E3368" s="384">
        <f t="shared" ca="1" si="182"/>
        <v>5</v>
      </c>
      <c r="F3368" s="384">
        <f t="shared" ca="1" si="183"/>
        <v>12</v>
      </c>
      <c r="G3368" s="384"/>
      <c r="H3368" s="388" t="str">
        <f t="shared" ca="1" si="185"/>
        <v/>
      </c>
      <c r="I3368" s="388" t="str">
        <f t="shared" ca="1" si="186"/>
        <v/>
      </c>
    </row>
    <row r="3369" spans="1:9" x14ac:dyDescent="0.3">
      <c r="A3369" s="384" t="b">
        <f t="shared" ca="1" si="184"/>
        <v>0</v>
      </c>
      <c r="B3369" s="393" t="str">
        <f ca="1">IF(COUNTA(G$2863:G3368)=1,"",OFFSET(B3369,-COUNTA(G$2863:G3368)+1,0))</f>
        <v>a1bDm000000Y7vgIAC</v>
      </c>
      <c r="C3369" s="389">
        <f ca="1">IF(COUNTA(G$2863:G3368)=1,"",OFFSET(C3369,-COUNTA(G$2863:G3368)+1,0))</f>
        <v>4</v>
      </c>
      <c r="D3369" s="384">
        <f t="shared" si="181"/>
        <v>24</v>
      </c>
      <c r="E3369" s="384">
        <f t="shared" ca="1" si="182"/>
        <v>6</v>
      </c>
      <c r="F3369" s="384">
        <f t="shared" ca="1" si="183"/>
        <v>12</v>
      </c>
      <c r="G3369" s="384"/>
      <c r="H3369" s="388" t="str">
        <f t="shared" ca="1" si="185"/>
        <v/>
      </c>
      <c r="I3369" s="388" t="str">
        <f t="shared" ca="1" si="186"/>
        <v/>
      </c>
    </row>
    <row r="3370" spans="1:9" x14ac:dyDescent="0.3">
      <c r="A3370" s="384" t="b">
        <f t="shared" ca="1" si="184"/>
        <v>0</v>
      </c>
      <c r="B3370" s="393" t="str">
        <f ca="1">IF(COUNTA(G$2863:G3369)=1,"",OFFSET(B3370,-COUNTA(G$2863:G3369)+1,0))</f>
        <v>a1bDm000000Y7pFIAS</v>
      </c>
      <c r="C3370" s="389">
        <f ca="1">IF(COUNTA(G$2863:G3369)=1,"",OFFSET(C3370,-COUNTA(G$2863:G3369)+1,0))</f>
        <v>5</v>
      </c>
      <c r="D3370" s="384">
        <f t="shared" si="181"/>
        <v>25</v>
      </c>
      <c r="E3370" s="384">
        <f t="shared" ca="1" si="182"/>
        <v>1</v>
      </c>
      <c r="F3370" s="384">
        <f t="shared" ca="1" si="183"/>
        <v>13</v>
      </c>
      <c r="G3370" s="384"/>
      <c r="H3370" s="388" t="str">
        <f t="shared" ca="1" si="185"/>
        <v/>
      </c>
      <c r="I3370" s="388" t="str">
        <f t="shared" ca="1" si="186"/>
        <v/>
      </c>
    </row>
    <row r="3371" spans="1:9" x14ac:dyDescent="0.3">
      <c r="A3371" s="384" t="b">
        <f t="shared" ca="1" si="184"/>
        <v>0</v>
      </c>
      <c r="B3371" s="393" t="str">
        <f ca="1">IF(COUNTA(G$2863:G3370)=1,"",OFFSET(B3371,-COUNTA(G$2863:G3370)+1,0))</f>
        <v>a1bDm000000Y7qXIAS</v>
      </c>
      <c r="C3371" s="389">
        <f ca="1">IF(COUNTA(G$2863:G3370)=1,"",OFFSET(C3371,-COUNTA(G$2863:G3370)+1,0))</f>
        <v>5</v>
      </c>
      <c r="D3371" s="384">
        <f t="shared" si="181"/>
        <v>26</v>
      </c>
      <c r="E3371" s="384">
        <f t="shared" ca="1" si="182"/>
        <v>2</v>
      </c>
      <c r="F3371" s="384">
        <f t="shared" ca="1" si="183"/>
        <v>13</v>
      </c>
      <c r="G3371" s="384"/>
      <c r="H3371" s="388" t="str">
        <f t="shared" ca="1" si="185"/>
        <v/>
      </c>
      <c r="I3371" s="388" t="str">
        <f t="shared" ca="1" si="186"/>
        <v/>
      </c>
    </row>
    <row r="3372" spans="1:9" x14ac:dyDescent="0.3">
      <c r="A3372" s="384" t="b">
        <f t="shared" ca="1" si="184"/>
        <v>0</v>
      </c>
      <c r="B3372" s="393" t="str">
        <f ca="1">IF(COUNTA(G$2863:G3371)=1,"",OFFSET(B3372,-COUNTA(G$2863:G3371)+1,0))</f>
        <v>a1bDm000000Y7rpIAC</v>
      </c>
      <c r="C3372" s="389">
        <f ca="1">IF(COUNTA(G$2863:G3371)=1,"",OFFSET(C3372,-COUNTA(G$2863:G3371)+1,0))</f>
        <v>5</v>
      </c>
      <c r="D3372" s="384">
        <f t="shared" si="181"/>
        <v>27</v>
      </c>
      <c r="E3372" s="384">
        <f t="shared" ca="1" si="182"/>
        <v>3</v>
      </c>
      <c r="F3372" s="384">
        <f t="shared" ca="1" si="183"/>
        <v>13</v>
      </c>
      <c r="G3372" s="384"/>
      <c r="H3372" s="388" t="str">
        <f t="shared" ca="1" si="185"/>
        <v/>
      </c>
      <c r="I3372" s="388" t="str">
        <f t="shared" ca="1" si="186"/>
        <v/>
      </c>
    </row>
    <row r="3373" spans="1:9" x14ac:dyDescent="0.3">
      <c r="A3373" s="384" t="b">
        <f t="shared" ca="1" si="184"/>
        <v>0</v>
      </c>
      <c r="B3373" s="393" t="str">
        <f ca="1">IF(COUNTA(G$2863:G3372)=1,"",OFFSET(B3373,-COUNTA(G$2863:G3372)+1,0))</f>
        <v>a1bDm000000Y7t7IAC</v>
      </c>
      <c r="C3373" s="389">
        <f ca="1">IF(COUNTA(G$2863:G3372)=1,"",OFFSET(C3373,-COUNTA(G$2863:G3372)+1,0))</f>
        <v>5</v>
      </c>
      <c r="D3373" s="384">
        <f t="shared" si="181"/>
        <v>28</v>
      </c>
      <c r="E3373" s="384">
        <f t="shared" ca="1" si="182"/>
        <v>4</v>
      </c>
      <c r="F3373" s="384">
        <f t="shared" ca="1" si="183"/>
        <v>13</v>
      </c>
      <c r="G3373" s="384"/>
      <c r="H3373" s="388" t="str">
        <f t="shared" ca="1" si="185"/>
        <v/>
      </c>
      <c r="I3373" s="388" t="str">
        <f t="shared" ca="1" si="186"/>
        <v/>
      </c>
    </row>
    <row r="3374" spans="1:9" x14ac:dyDescent="0.3">
      <c r="A3374" s="384" t="b">
        <f t="shared" ca="1" si="184"/>
        <v>0</v>
      </c>
      <c r="B3374" s="393" t="str">
        <f ca="1">IF(COUNTA(G$2863:G3373)=1,"",OFFSET(B3374,-COUNTA(G$2863:G3373)+1,0))</f>
        <v>a1bDm000000Y7uPIAS</v>
      </c>
      <c r="C3374" s="389">
        <f ca="1">IF(COUNTA(G$2863:G3373)=1,"",OFFSET(C3374,-COUNTA(G$2863:G3373)+1,0))</f>
        <v>5</v>
      </c>
      <c r="D3374" s="384">
        <f t="shared" si="181"/>
        <v>29</v>
      </c>
      <c r="E3374" s="384">
        <f t="shared" ca="1" si="182"/>
        <v>5</v>
      </c>
      <c r="F3374" s="384">
        <f t="shared" ca="1" si="183"/>
        <v>13</v>
      </c>
      <c r="G3374" s="384"/>
      <c r="H3374" s="388" t="str">
        <f t="shared" ca="1" si="185"/>
        <v/>
      </c>
      <c r="I3374" s="388" t="str">
        <f t="shared" ca="1" si="186"/>
        <v/>
      </c>
    </row>
    <row r="3375" spans="1:9" x14ac:dyDescent="0.3">
      <c r="A3375" s="384" t="b">
        <f t="shared" ca="1" si="184"/>
        <v>0</v>
      </c>
      <c r="B3375" s="393" t="str">
        <f ca="1">IF(COUNTA(G$2863:G3374)=1,"",OFFSET(B3375,-COUNTA(G$2863:G3374)+1,0))</f>
        <v>a1bDm000000Y7vhIAC</v>
      </c>
      <c r="C3375" s="389">
        <f ca="1">IF(COUNTA(G$2863:G3374)=1,"",OFFSET(C3375,-COUNTA(G$2863:G3374)+1,0))</f>
        <v>5</v>
      </c>
      <c r="D3375" s="384">
        <f t="shared" si="181"/>
        <v>30</v>
      </c>
      <c r="E3375" s="384">
        <f t="shared" ca="1" si="182"/>
        <v>6</v>
      </c>
      <c r="F3375" s="384">
        <f t="shared" ca="1" si="183"/>
        <v>13</v>
      </c>
      <c r="G3375" s="384"/>
      <c r="H3375" s="388" t="str">
        <f t="shared" ca="1" si="185"/>
        <v/>
      </c>
      <c r="I3375" s="388" t="str">
        <f t="shared" ca="1" si="186"/>
        <v/>
      </c>
    </row>
    <row r="3376" spans="1:9" x14ac:dyDescent="0.3">
      <c r="A3376" s="384" t="b">
        <f t="shared" ca="1" si="184"/>
        <v>0</v>
      </c>
      <c r="B3376" s="393" t="str">
        <f ca="1">IF(COUNTA(G$2863:G3375)=1,"",OFFSET(B3376,-COUNTA(G$2863:G3375)+1,0))</f>
        <v>a1bDm000000Y7pGIAS</v>
      </c>
      <c r="C3376" s="389">
        <f ca="1">IF(COUNTA(G$2863:G3375)=1,"",OFFSET(C3376,-COUNTA(G$2863:G3375)+1,0))</f>
        <v>6</v>
      </c>
      <c r="D3376" s="384">
        <f t="shared" si="181"/>
        <v>31</v>
      </c>
      <c r="E3376" s="384">
        <f t="shared" ca="1" si="182"/>
        <v>1</v>
      </c>
      <c r="F3376" s="384">
        <f t="shared" ca="1" si="183"/>
        <v>14</v>
      </c>
      <c r="G3376" s="384"/>
      <c r="H3376" s="388" t="str">
        <f t="shared" ca="1" si="185"/>
        <v/>
      </c>
      <c r="I3376" s="388" t="str">
        <f t="shared" ca="1" si="186"/>
        <v/>
      </c>
    </row>
    <row r="3377" spans="1:9" x14ac:dyDescent="0.3">
      <c r="A3377" s="384" t="b">
        <f t="shared" ca="1" si="184"/>
        <v>0</v>
      </c>
      <c r="B3377" s="393" t="str">
        <f ca="1">IF(COUNTA(G$2863:G3376)=1,"",OFFSET(B3377,-COUNTA(G$2863:G3376)+1,0))</f>
        <v>a1bDm000000Y7qYIAS</v>
      </c>
      <c r="C3377" s="389">
        <f ca="1">IF(COUNTA(G$2863:G3376)=1,"",OFFSET(C3377,-COUNTA(G$2863:G3376)+1,0))</f>
        <v>6</v>
      </c>
      <c r="D3377" s="384">
        <f t="shared" si="181"/>
        <v>32</v>
      </c>
      <c r="E3377" s="384">
        <f t="shared" ca="1" si="182"/>
        <v>2</v>
      </c>
      <c r="F3377" s="384">
        <f t="shared" ca="1" si="183"/>
        <v>14</v>
      </c>
      <c r="G3377" s="384"/>
      <c r="H3377" s="388" t="str">
        <f t="shared" ca="1" si="185"/>
        <v/>
      </c>
      <c r="I3377" s="388" t="str">
        <f t="shared" ca="1" si="186"/>
        <v/>
      </c>
    </row>
    <row r="3378" spans="1:9" x14ac:dyDescent="0.3">
      <c r="A3378" s="384" t="b">
        <f t="shared" ca="1" si="184"/>
        <v>0</v>
      </c>
      <c r="B3378" s="393" t="str">
        <f ca="1">IF(COUNTA(G$2863:G3377)=1,"",OFFSET(B3378,-COUNTA(G$2863:G3377)+1,0))</f>
        <v>a1bDm000000Y7rqIAC</v>
      </c>
      <c r="C3378" s="389">
        <f ca="1">IF(COUNTA(G$2863:G3377)=1,"",OFFSET(C3378,-COUNTA(G$2863:G3377)+1,0))</f>
        <v>6</v>
      </c>
      <c r="D3378" s="384">
        <f t="shared" ref="D3378:D3441" si="187">D3377+1</f>
        <v>33</v>
      </c>
      <c r="E3378" s="384">
        <f t="shared" ref="E3378:E3441" ca="1" si="188">COUNTIF(C3208:C3378,C3378)</f>
        <v>3</v>
      </c>
      <c r="F3378" s="384">
        <f t="shared" ref="F3378:F3441" ca="1" si="189">IF(C3378=1,9,IF(E3377=MAX(E3376:E3378),F3376+1,F3377))</f>
        <v>14</v>
      </c>
      <c r="G3378" s="384"/>
      <c r="H3378" s="388" t="str">
        <f t="shared" ca="1" si="185"/>
        <v/>
      </c>
      <c r="I3378" s="388" t="str">
        <f t="shared" ca="1" si="186"/>
        <v/>
      </c>
    </row>
    <row r="3379" spans="1:9" x14ac:dyDescent="0.3">
      <c r="A3379" s="384" t="b">
        <f t="shared" ca="1" si="184"/>
        <v>0</v>
      </c>
      <c r="B3379" s="393" t="str">
        <f ca="1">IF(COUNTA(G$2863:G3378)=1,"",OFFSET(B3379,-COUNTA(G$2863:G3378)+1,0))</f>
        <v>a1bDm000000Y7t8IAC</v>
      </c>
      <c r="C3379" s="389">
        <f ca="1">IF(COUNTA(G$2863:G3378)=1,"",OFFSET(C3379,-COUNTA(G$2863:G3378)+1,0))</f>
        <v>6</v>
      </c>
      <c r="D3379" s="384">
        <f t="shared" si="187"/>
        <v>34</v>
      </c>
      <c r="E3379" s="384">
        <f t="shared" ca="1" si="188"/>
        <v>4</v>
      </c>
      <c r="F3379" s="384">
        <f t="shared" ca="1" si="189"/>
        <v>14</v>
      </c>
      <c r="G3379" s="384"/>
      <c r="H3379" s="388" t="str">
        <f t="shared" ca="1" si="185"/>
        <v/>
      </c>
      <c r="I3379" s="388" t="str">
        <f t="shared" ca="1" si="186"/>
        <v/>
      </c>
    </row>
    <row r="3380" spans="1:9" x14ac:dyDescent="0.3">
      <c r="A3380" s="384" t="b">
        <f t="shared" ca="1" si="184"/>
        <v>0</v>
      </c>
      <c r="B3380" s="393" t="str">
        <f ca="1">IF(COUNTA(G$2863:G3379)=1,"",OFFSET(B3380,-COUNTA(G$2863:G3379)+1,0))</f>
        <v>a1bDm000000Y7uQIAS</v>
      </c>
      <c r="C3380" s="389">
        <f ca="1">IF(COUNTA(G$2863:G3379)=1,"",OFFSET(C3380,-COUNTA(G$2863:G3379)+1,0))</f>
        <v>6</v>
      </c>
      <c r="D3380" s="384">
        <f t="shared" si="187"/>
        <v>35</v>
      </c>
      <c r="E3380" s="384">
        <f t="shared" ca="1" si="188"/>
        <v>5</v>
      </c>
      <c r="F3380" s="384">
        <f t="shared" ca="1" si="189"/>
        <v>14</v>
      </c>
      <c r="G3380" s="384"/>
      <c r="H3380" s="388" t="str">
        <f t="shared" ca="1" si="185"/>
        <v/>
      </c>
      <c r="I3380" s="388" t="str">
        <f t="shared" ca="1" si="186"/>
        <v/>
      </c>
    </row>
    <row r="3381" spans="1:9" x14ac:dyDescent="0.3">
      <c r="A3381" s="384" t="b">
        <f t="shared" ca="1" si="184"/>
        <v>0</v>
      </c>
      <c r="B3381" s="393" t="str">
        <f ca="1">IF(COUNTA(G$2863:G3380)=1,"",OFFSET(B3381,-COUNTA(G$2863:G3380)+1,0))</f>
        <v>a1bDm000000Y7viIAC</v>
      </c>
      <c r="C3381" s="389">
        <f ca="1">IF(COUNTA(G$2863:G3380)=1,"",OFFSET(C3381,-COUNTA(G$2863:G3380)+1,0))</f>
        <v>6</v>
      </c>
      <c r="D3381" s="384">
        <f t="shared" si="187"/>
        <v>36</v>
      </c>
      <c r="E3381" s="384">
        <f t="shared" ca="1" si="188"/>
        <v>6</v>
      </c>
      <c r="F3381" s="384">
        <f t="shared" ca="1" si="189"/>
        <v>14</v>
      </c>
      <c r="G3381" s="384"/>
      <c r="H3381" s="388" t="str">
        <f t="shared" ca="1" si="185"/>
        <v/>
      </c>
      <c r="I3381" s="388" t="str">
        <f t="shared" ca="1" si="186"/>
        <v/>
      </c>
    </row>
    <row r="3382" spans="1:9" x14ac:dyDescent="0.3">
      <c r="A3382" s="384" t="b">
        <f t="shared" ca="1" si="184"/>
        <v>0</v>
      </c>
      <c r="B3382" s="393" t="str">
        <f ca="1">IF(COUNTA(G$2863:G3381)=1,"",OFFSET(B3382,-COUNTA(G$2863:G3381)+1,0))</f>
        <v>a1bDm000000Y7pHIAS</v>
      </c>
      <c r="C3382" s="389">
        <f ca="1">IF(COUNTA(G$2863:G3381)=1,"",OFFSET(C3382,-COUNTA(G$2863:G3381)+1,0))</f>
        <v>7</v>
      </c>
      <c r="D3382" s="384">
        <f t="shared" si="187"/>
        <v>37</v>
      </c>
      <c r="E3382" s="384">
        <f t="shared" ca="1" si="188"/>
        <v>1</v>
      </c>
      <c r="F3382" s="384">
        <f t="shared" ca="1" si="189"/>
        <v>15</v>
      </c>
      <c r="G3382" s="384"/>
      <c r="H3382" s="388" t="str">
        <f t="shared" ca="1" si="185"/>
        <v/>
      </c>
      <c r="I3382" s="388" t="str">
        <f t="shared" ca="1" si="186"/>
        <v/>
      </c>
    </row>
    <row r="3383" spans="1:9" x14ac:dyDescent="0.3">
      <c r="A3383" s="384" t="b">
        <f t="shared" ca="1" si="184"/>
        <v>0</v>
      </c>
      <c r="B3383" s="393" t="str">
        <f ca="1">IF(COUNTA(G$2863:G3382)=1,"",OFFSET(B3383,-COUNTA(G$2863:G3382)+1,0))</f>
        <v>a1bDm000000Y7qZIAS</v>
      </c>
      <c r="C3383" s="389">
        <f ca="1">IF(COUNTA(G$2863:G3382)=1,"",OFFSET(C3383,-COUNTA(G$2863:G3382)+1,0))</f>
        <v>7</v>
      </c>
      <c r="D3383" s="384">
        <f t="shared" si="187"/>
        <v>38</v>
      </c>
      <c r="E3383" s="384">
        <f t="shared" ca="1" si="188"/>
        <v>2</v>
      </c>
      <c r="F3383" s="384">
        <f t="shared" ca="1" si="189"/>
        <v>15</v>
      </c>
      <c r="G3383" s="384"/>
      <c r="H3383" s="388" t="str">
        <f t="shared" ca="1" si="185"/>
        <v/>
      </c>
      <c r="I3383" s="388" t="str">
        <f t="shared" ca="1" si="186"/>
        <v/>
      </c>
    </row>
    <row r="3384" spans="1:9" x14ac:dyDescent="0.3">
      <c r="A3384" s="384" t="b">
        <f t="shared" ca="1" si="184"/>
        <v>0</v>
      </c>
      <c r="B3384" s="393" t="str">
        <f ca="1">IF(COUNTA(G$2863:G3383)=1,"",OFFSET(B3384,-COUNTA(G$2863:G3383)+1,0))</f>
        <v>a1bDm000000Y7rrIAC</v>
      </c>
      <c r="C3384" s="389">
        <f ca="1">IF(COUNTA(G$2863:G3383)=1,"",OFFSET(C3384,-COUNTA(G$2863:G3383)+1,0))</f>
        <v>7</v>
      </c>
      <c r="D3384" s="384">
        <f t="shared" si="187"/>
        <v>39</v>
      </c>
      <c r="E3384" s="384">
        <f t="shared" ca="1" si="188"/>
        <v>3</v>
      </c>
      <c r="F3384" s="384">
        <f t="shared" ca="1" si="189"/>
        <v>15</v>
      </c>
      <c r="G3384" s="384"/>
      <c r="H3384" s="388" t="str">
        <f t="shared" ca="1" si="185"/>
        <v/>
      </c>
      <c r="I3384" s="388" t="str">
        <f t="shared" ca="1" si="186"/>
        <v/>
      </c>
    </row>
    <row r="3385" spans="1:9" x14ac:dyDescent="0.3">
      <c r="A3385" s="384" t="b">
        <f t="shared" ca="1" si="184"/>
        <v>0</v>
      </c>
      <c r="B3385" s="393" t="str">
        <f ca="1">IF(COUNTA(G$2863:G3384)=1,"",OFFSET(B3385,-COUNTA(G$2863:G3384)+1,0))</f>
        <v>a1bDm000000Y7t9IAC</v>
      </c>
      <c r="C3385" s="389">
        <f ca="1">IF(COUNTA(G$2863:G3384)=1,"",OFFSET(C3385,-COUNTA(G$2863:G3384)+1,0))</f>
        <v>7</v>
      </c>
      <c r="D3385" s="384">
        <f t="shared" si="187"/>
        <v>40</v>
      </c>
      <c r="E3385" s="384">
        <f t="shared" ca="1" si="188"/>
        <v>4</v>
      </c>
      <c r="F3385" s="384">
        <f t="shared" ca="1" si="189"/>
        <v>15</v>
      </c>
      <c r="G3385" s="384"/>
      <c r="H3385" s="388" t="str">
        <f t="shared" ca="1" si="185"/>
        <v/>
      </c>
      <c r="I3385" s="388" t="str">
        <f t="shared" ca="1" si="186"/>
        <v/>
      </c>
    </row>
    <row r="3386" spans="1:9" x14ac:dyDescent="0.3">
      <c r="A3386" s="384" t="b">
        <f t="shared" ca="1" si="184"/>
        <v>0</v>
      </c>
      <c r="B3386" s="393" t="str">
        <f ca="1">IF(COUNTA(G$2863:G3385)=1,"",OFFSET(B3386,-COUNTA(G$2863:G3385)+1,0))</f>
        <v>a1bDm000000Y7uRIAS</v>
      </c>
      <c r="C3386" s="389">
        <f ca="1">IF(COUNTA(G$2863:G3385)=1,"",OFFSET(C3386,-COUNTA(G$2863:G3385)+1,0))</f>
        <v>7</v>
      </c>
      <c r="D3386" s="384">
        <f t="shared" si="187"/>
        <v>41</v>
      </c>
      <c r="E3386" s="384">
        <f t="shared" ca="1" si="188"/>
        <v>5</v>
      </c>
      <c r="F3386" s="384">
        <f t="shared" ca="1" si="189"/>
        <v>15</v>
      </c>
      <c r="G3386" s="384"/>
      <c r="H3386" s="388" t="str">
        <f t="shared" ca="1" si="185"/>
        <v/>
      </c>
      <c r="I3386" s="388" t="str">
        <f t="shared" ca="1" si="186"/>
        <v/>
      </c>
    </row>
    <row r="3387" spans="1:9" x14ac:dyDescent="0.3">
      <c r="A3387" s="384" t="b">
        <f t="shared" ca="1" si="184"/>
        <v>0</v>
      </c>
      <c r="B3387" s="393" t="str">
        <f ca="1">IF(COUNTA(G$2863:G3386)=1,"",OFFSET(B3387,-COUNTA(G$2863:G3386)+1,0))</f>
        <v>a1bDm000000Y7vjIAC</v>
      </c>
      <c r="C3387" s="389">
        <f ca="1">IF(COUNTA(G$2863:G3386)=1,"",OFFSET(C3387,-COUNTA(G$2863:G3386)+1,0))</f>
        <v>7</v>
      </c>
      <c r="D3387" s="384">
        <f t="shared" si="187"/>
        <v>42</v>
      </c>
      <c r="E3387" s="384">
        <f t="shared" ca="1" si="188"/>
        <v>6</v>
      </c>
      <c r="F3387" s="384">
        <f t="shared" ca="1" si="189"/>
        <v>15</v>
      </c>
      <c r="G3387" s="384"/>
      <c r="H3387" s="388" t="str">
        <f t="shared" ca="1" si="185"/>
        <v/>
      </c>
      <c r="I3387" s="388" t="str">
        <f t="shared" ca="1" si="186"/>
        <v/>
      </c>
    </row>
    <row r="3388" spans="1:9" x14ac:dyDescent="0.3">
      <c r="A3388" s="384" t="b">
        <f t="shared" ca="1" si="184"/>
        <v>0</v>
      </c>
      <c r="B3388" s="393" t="str">
        <f ca="1">IF(COUNTA(G$2863:G3387)=1,"",OFFSET(B3388,-COUNTA(G$2863:G3387)+1,0))</f>
        <v>a1bDm000000Y7pIIAS</v>
      </c>
      <c r="C3388" s="389">
        <f ca="1">IF(COUNTA(G$2863:G3387)=1,"",OFFSET(C3388,-COUNTA(G$2863:G3387)+1,0))</f>
        <v>8</v>
      </c>
      <c r="D3388" s="384">
        <f t="shared" si="187"/>
        <v>43</v>
      </c>
      <c r="E3388" s="384">
        <f t="shared" ca="1" si="188"/>
        <v>1</v>
      </c>
      <c r="F3388" s="384">
        <f t="shared" ca="1" si="189"/>
        <v>16</v>
      </c>
      <c r="G3388" s="384"/>
      <c r="H3388" s="388" t="str">
        <f t="shared" ca="1" si="185"/>
        <v/>
      </c>
      <c r="I3388" s="388" t="str">
        <f t="shared" ca="1" si="186"/>
        <v/>
      </c>
    </row>
    <row r="3389" spans="1:9" x14ac:dyDescent="0.3">
      <c r="A3389" s="384" t="b">
        <f t="shared" ca="1" si="184"/>
        <v>0</v>
      </c>
      <c r="B3389" s="393" t="str">
        <f ca="1">IF(COUNTA(G$2863:G3388)=1,"",OFFSET(B3389,-COUNTA(G$2863:G3388)+1,0))</f>
        <v>a1bDm000000Y7qaIAC</v>
      </c>
      <c r="C3389" s="389">
        <f ca="1">IF(COUNTA(G$2863:G3388)=1,"",OFFSET(C3389,-COUNTA(G$2863:G3388)+1,0))</f>
        <v>8</v>
      </c>
      <c r="D3389" s="384">
        <f t="shared" si="187"/>
        <v>44</v>
      </c>
      <c r="E3389" s="384">
        <f t="shared" ca="1" si="188"/>
        <v>2</v>
      </c>
      <c r="F3389" s="384">
        <f t="shared" ca="1" si="189"/>
        <v>16</v>
      </c>
      <c r="G3389" s="384"/>
      <c r="H3389" s="388" t="str">
        <f t="shared" ca="1" si="185"/>
        <v/>
      </c>
      <c r="I3389" s="388" t="str">
        <f t="shared" ca="1" si="186"/>
        <v/>
      </c>
    </row>
    <row r="3390" spans="1:9" x14ac:dyDescent="0.3">
      <c r="A3390" s="384" t="b">
        <f t="shared" ca="1" si="184"/>
        <v>0</v>
      </c>
      <c r="B3390" s="393" t="str">
        <f ca="1">IF(COUNTA(G$2863:G3389)=1,"",OFFSET(B3390,-COUNTA(G$2863:G3389)+1,0))</f>
        <v>a1bDm000000Y7rsIAC</v>
      </c>
      <c r="C3390" s="389">
        <f ca="1">IF(COUNTA(G$2863:G3389)=1,"",OFFSET(C3390,-COUNTA(G$2863:G3389)+1,0))</f>
        <v>8</v>
      </c>
      <c r="D3390" s="384">
        <f t="shared" si="187"/>
        <v>45</v>
      </c>
      <c r="E3390" s="384">
        <f t="shared" ca="1" si="188"/>
        <v>3</v>
      </c>
      <c r="F3390" s="384">
        <f t="shared" ca="1" si="189"/>
        <v>16</v>
      </c>
      <c r="G3390" s="384"/>
      <c r="H3390" s="388" t="str">
        <f t="shared" ca="1" si="185"/>
        <v/>
      </c>
      <c r="I3390" s="388" t="str">
        <f t="shared" ca="1" si="186"/>
        <v/>
      </c>
    </row>
    <row r="3391" spans="1:9" x14ac:dyDescent="0.3">
      <c r="A3391" s="384" t="b">
        <f t="shared" ca="1" si="184"/>
        <v>0</v>
      </c>
      <c r="B3391" s="393" t="str">
        <f ca="1">IF(COUNTA(G$2863:G3390)=1,"",OFFSET(B3391,-COUNTA(G$2863:G3390)+1,0))</f>
        <v>a1bDm000000Y7tAIAS</v>
      </c>
      <c r="C3391" s="389">
        <f ca="1">IF(COUNTA(G$2863:G3390)=1,"",OFFSET(C3391,-COUNTA(G$2863:G3390)+1,0))</f>
        <v>8</v>
      </c>
      <c r="D3391" s="384">
        <f t="shared" si="187"/>
        <v>46</v>
      </c>
      <c r="E3391" s="384">
        <f t="shared" ca="1" si="188"/>
        <v>4</v>
      </c>
      <c r="F3391" s="384">
        <f t="shared" ca="1" si="189"/>
        <v>16</v>
      </c>
      <c r="G3391" s="384"/>
      <c r="H3391" s="388" t="str">
        <f t="shared" ca="1" si="185"/>
        <v/>
      </c>
      <c r="I3391" s="388" t="str">
        <f t="shared" ca="1" si="186"/>
        <v/>
      </c>
    </row>
    <row r="3392" spans="1:9" x14ac:dyDescent="0.3">
      <c r="A3392" s="384" t="b">
        <f t="shared" ca="1" si="184"/>
        <v>0</v>
      </c>
      <c r="B3392" s="393" t="str">
        <f ca="1">IF(COUNTA(G$2863:G3391)=1,"",OFFSET(B3392,-COUNTA(G$2863:G3391)+1,0))</f>
        <v>a1bDm000000Y7uSIAS</v>
      </c>
      <c r="C3392" s="389">
        <f ca="1">IF(COUNTA(G$2863:G3391)=1,"",OFFSET(C3392,-COUNTA(G$2863:G3391)+1,0))</f>
        <v>8</v>
      </c>
      <c r="D3392" s="384">
        <f t="shared" si="187"/>
        <v>47</v>
      </c>
      <c r="E3392" s="384">
        <f t="shared" ca="1" si="188"/>
        <v>5</v>
      </c>
      <c r="F3392" s="384">
        <f t="shared" ca="1" si="189"/>
        <v>16</v>
      </c>
      <c r="G3392" s="384"/>
      <c r="H3392" s="388" t="str">
        <f t="shared" ca="1" si="185"/>
        <v/>
      </c>
      <c r="I3392" s="388" t="str">
        <f t="shared" ca="1" si="186"/>
        <v/>
      </c>
    </row>
    <row r="3393" spans="1:9" x14ac:dyDescent="0.3">
      <c r="A3393" s="384" t="b">
        <f t="shared" ca="1" si="184"/>
        <v>0</v>
      </c>
      <c r="B3393" s="393" t="str">
        <f ca="1">IF(COUNTA(G$2863:G3392)=1,"",OFFSET(B3393,-COUNTA(G$2863:G3392)+1,0))</f>
        <v>a1bDm000000Y7vkIAC</v>
      </c>
      <c r="C3393" s="389">
        <f ca="1">IF(COUNTA(G$2863:G3392)=1,"",OFFSET(C3393,-COUNTA(G$2863:G3392)+1,0))</f>
        <v>8</v>
      </c>
      <c r="D3393" s="384">
        <f t="shared" si="187"/>
        <v>48</v>
      </c>
      <c r="E3393" s="384">
        <f t="shared" ca="1" si="188"/>
        <v>6</v>
      </c>
      <c r="F3393" s="384">
        <f t="shared" ca="1" si="189"/>
        <v>16</v>
      </c>
      <c r="G3393" s="384"/>
      <c r="H3393" s="388" t="str">
        <f t="shared" ca="1" si="185"/>
        <v/>
      </c>
      <c r="I3393" s="388" t="str">
        <f t="shared" ca="1" si="186"/>
        <v/>
      </c>
    </row>
    <row r="3394" spans="1:9" x14ac:dyDescent="0.3">
      <c r="A3394" s="384" t="b">
        <f t="shared" ca="1" si="184"/>
        <v>0</v>
      </c>
      <c r="B3394" s="393" t="str">
        <f ca="1">IF(COUNTA(G$2863:G3393)=1,"",OFFSET(B3394,-COUNTA(G$2863:G3393)+1,0))</f>
        <v>a1bDm000000Y7pJIAS</v>
      </c>
      <c r="C3394" s="389">
        <f ca="1">IF(COUNTA(G$2863:G3393)=1,"",OFFSET(C3394,-COUNTA(G$2863:G3393)+1,0))</f>
        <v>9</v>
      </c>
      <c r="D3394" s="384">
        <f t="shared" si="187"/>
        <v>49</v>
      </c>
      <c r="E3394" s="384">
        <f t="shared" ca="1" si="188"/>
        <v>1</v>
      </c>
      <c r="F3394" s="384">
        <f t="shared" ca="1" si="189"/>
        <v>17</v>
      </c>
      <c r="G3394" s="384"/>
      <c r="H3394" s="388" t="str">
        <f t="shared" ca="1" si="185"/>
        <v/>
      </c>
      <c r="I3394" s="388" t="str">
        <f t="shared" ca="1" si="186"/>
        <v/>
      </c>
    </row>
    <row r="3395" spans="1:9" x14ac:dyDescent="0.3">
      <c r="A3395" s="384" t="b">
        <f t="shared" ca="1" si="184"/>
        <v>0</v>
      </c>
      <c r="B3395" s="393" t="str">
        <f ca="1">IF(COUNTA(G$2863:G3394)=1,"",OFFSET(B3395,-COUNTA(G$2863:G3394)+1,0))</f>
        <v>a1bDm000000Y7qbIAC</v>
      </c>
      <c r="C3395" s="389">
        <f ca="1">IF(COUNTA(G$2863:G3394)=1,"",OFFSET(C3395,-COUNTA(G$2863:G3394)+1,0))</f>
        <v>9</v>
      </c>
      <c r="D3395" s="384">
        <f t="shared" si="187"/>
        <v>50</v>
      </c>
      <c r="E3395" s="384">
        <f t="shared" ca="1" si="188"/>
        <v>2</v>
      </c>
      <c r="F3395" s="384">
        <f t="shared" ca="1" si="189"/>
        <v>17</v>
      </c>
      <c r="G3395" s="384"/>
      <c r="H3395" s="388" t="str">
        <f t="shared" ca="1" si="185"/>
        <v/>
      </c>
      <c r="I3395" s="388" t="str">
        <f t="shared" ca="1" si="186"/>
        <v/>
      </c>
    </row>
    <row r="3396" spans="1:9" x14ac:dyDescent="0.3">
      <c r="A3396" s="384" t="b">
        <f t="shared" ca="1" si="184"/>
        <v>0</v>
      </c>
      <c r="B3396" s="393" t="str">
        <f ca="1">IF(COUNTA(G$2863:G3395)=1,"",OFFSET(B3396,-COUNTA(G$2863:G3395)+1,0))</f>
        <v>a1bDm000000Y7rtIAC</v>
      </c>
      <c r="C3396" s="389">
        <f ca="1">IF(COUNTA(G$2863:G3395)=1,"",OFFSET(C3396,-COUNTA(G$2863:G3395)+1,0))</f>
        <v>9</v>
      </c>
      <c r="D3396" s="384">
        <f t="shared" si="187"/>
        <v>51</v>
      </c>
      <c r="E3396" s="384">
        <f t="shared" ca="1" si="188"/>
        <v>3</v>
      </c>
      <c r="F3396" s="384">
        <f t="shared" ca="1" si="189"/>
        <v>17</v>
      </c>
      <c r="G3396" s="384"/>
      <c r="H3396" s="388" t="str">
        <f t="shared" ca="1" si="185"/>
        <v/>
      </c>
      <c r="I3396" s="388" t="str">
        <f t="shared" ca="1" si="186"/>
        <v/>
      </c>
    </row>
    <row r="3397" spans="1:9" x14ac:dyDescent="0.3">
      <c r="A3397" s="384" t="b">
        <f t="shared" ca="1" si="184"/>
        <v>0</v>
      </c>
      <c r="B3397" s="393" t="str">
        <f ca="1">IF(COUNTA(G$2863:G3396)=1,"",OFFSET(B3397,-COUNTA(G$2863:G3396)+1,0))</f>
        <v>a1bDm000000Y7tBIAS</v>
      </c>
      <c r="C3397" s="389">
        <f ca="1">IF(COUNTA(G$2863:G3396)=1,"",OFFSET(C3397,-COUNTA(G$2863:G3396)+1,0))</f>
        <v>9</v>
      </c>
      <c r="D3397" s="384">
        <f t="shared" si="187"/>
        <v>52</v>
      </c>
      <c r="E3397" s="384">
        <f t="shared" ca="1" si="188"/>
        <v>4</v>
      </c>
      <c r="F3397" s="384">
        <f t="shared" ca="1" si="189"/>
        <v>17</v>
      </c>
      <c r="G3397" s="384"/>
      <c r="H3397" s="388" t="str">
        <f t="shared" ca="1" si="185"/>
        <v/>
      </c>
      <c r="I3397" s="388" t="str">
        <f t="shared" ca="1" si="186"/>
        <v/>
      </c>
    </row>
    <row r="3398" spans="1:9" x14ac:dyDescent="0.3">
      <c r="A3398" s="384" t="b">
        <f t="shared" ca="1" si="184"/>
        <v>0</v>
      </c>
      <c r="B3398" s="393" t="str">
        <f ca="1">IF(COUNTA(G$2863:G3397)=1,"",OFFSET(B3398,-COUNTA(G$2863:G3397)+1,0))</f>
        <v>a1bDm000000Y7uTIAS</v>
      </c>
      <c r="C3398" s="389">
        <f ca="1">IF(COUNTA(G$2863:G3397)=1,"",OFFSET(C3398,-COUNTA(G$2863:G3397)+1,0))</f>
        <v>9</v>
      </c>
      <c r="D3398" s="384">
        <f t="shared" si="187"/>
        <v>53</v>
      </c>
      <c r="E3398" s="384">
        <f t="shared" ca="1" si="188"/>
        <v>5</v>
      </c>
      <c r="F3398" s="384">
        <f t="shared" ca="1" si="189"/>
        <v>17</v>
      </c>
      <c r="G3398" s="384"/>
      <c r="H3398" s="388" t="str">
        <f t="shared" ca="1" si="185"/>
        <v/>
      </c>
      <c r="I3398" s="388" t="str">
        <f t="shared" ca="1" si="186"/>
        <v/>
      </c>
    </row>
    <row r="3399" spans="1:9" x14ac:dyDescent="0.3">
      <c r="A3399" s="384" t="b">
        <f t="shared" ca="1" si="184"/>
        <v>0</v>
      </c>
      <c r="B3399" s="393" t="str">
        <f ca="1">IF(COUNTA(G$2863:G3398)=1,"",OFFSET(B3399,-COUNTA(G$2863:G3398)+1,0))</f>
        <v>a1bDm000000Y7vlIAC</v>
      </c>
      <c r="C3399" s="389">
        <f ca="1">IF(COUNTA(G$2863:G3398)=1,"",OFFSET(C3399,-COUNTA(G$2863:G3398)+1,0))</f>
        <v>9</v>
      </c>
      <c r="D3399" s="384">
        <f t="shared" si="187"/>
        <v>54</v>
      </c>
      <c r="E3399" s="384">
        <f t="shared" ca="1" si="188"/>
        <v>6</v>
      </c>
      <c r="F3399" s="384">
        <f t="shared" ca="1" si="189"/>
        <v>17</v>
      </c>
      <c r="G3399" s="384"/>
      <c r="H3399" s="388" t="str">
        <f t="shared" ca="1" si="185"/>
        <v/>
      </c>
      <c r="I3399" s="388" t="str">
        <f t="shared" ca="1" si="186"/>
        <v/>
      </c>
    </row>
    <row r="3400" spans="1:9" x14ac:dyDescent="0.3">
      <c r="A3400" s="384" t="b">
        <f t="shared" ca="1" si="184"/>
        <v>0</v>
      </c>
      <c r="B3400" s="393" t="str">
        <f ca="1">IF(COUNTA(G$2863:G3399)=1,"",OFFSET(B3400,-COUNTA(G$2863:G3399)+1,0))</f>
        <v>a1bDm000000Y7pKIAS</v>
      </c>
      <c r="C3400" s="389">
        <f ca="1">IF(COUNTA(G$2863:G3399)=1,"",OFFSET(C3400,-COUNTA(G$2863:G3399)+1,0))</f>
        <v>10</v>
      </c>
      <c r="D3400" s="384">
        <f t="shared" si="187"/>
        <v>55</v>
      </c>
      <c r="E3400" s="384">
        <f t="shared" ca="1" si="188"/>
        <v>1</v>
      </c>
      <c r="F3400" s="384">
        <f t="shared" ca="1" si="189"/>
        <v>18</v>
      </c>
      <c r="G3400" s="384"/>
      <c r="H3400" s="388" t="str">
        <f t="shared" ca="1" si="185"/>
        <v/>
      </c>
      <c r="I3400" s="388" t="str">
        <f t="shared" ca="1" si="186"/>
        <v/>
      </c>
    </row>
    <row r="3401" spans="1:9" x14ac:dyDescent="0.3">
      <c r="A3401" s="384" t="b">
        <f t="shared" ca="1" si="184"/>
        <v>0</v>
      </c>
      <c r="B3401" s="393" t="str">
        <f ca="1">IF(COUNTA(G$2863:G3400)=1,"",OFFSET(B3401,-COUNTA(G$2863:G3400)+1,0))</f>
        <v>a1bDm000000Y7qcIAC</v>
      </c>
      <c r="C3401" s="389">
        <f ca="1">IF(COUNTA(G$2863:G3400)=1,"",OFFSET(C3401,-COUNTA(G$2863:G3400)+1,0))</f>
        <v>10</v>
      </c>
      <c r="D3401" s="384">
        <f t="shared" si="187"/>
        <v>56</v>
      </c>
      <c r="E3401" s="384">
        <f t="shared" ca="1" si="188"/>
        <v>2</v>
      </c>
      <c r="F3401" s="384">
        <f t="shared" ca="1" si="189"/>
        <v>18</v>
      </c>
      <c r="G3401" s="384"/>
      <c r="H3401" s="388" t="str">
        <f t="shared" ca="1" si="185"/>
        <v/>
      </c>
      <c r="I3401" s="388" t="str">
        <f t="shared" ca="1" si="186"/>
        <v/>
      </c>
    </row>
    <row r="3402" spans="1:9" x14ac:dyDescent="0.3">
      <c r="A3402" s="384" t="b">
        <f t="shared" ca="1" si="184"/>
        <v>0</v>
      </c>
      <c r="B3402" s="393" t="str">
        <f ca="1">IF(COUNTA(G$2863:G3401)=1,"",OFFSET(B3402,-COUNTA(G$2863:G3401)+1,0))</f>
        <v>a1bDm000000Y7ruIAC</v>
      </c>
      <c r="C3402" s="389">
        <f ca="1">IF(COUNTA(G$2863:G3401)=1,"",OFFSET(C3402,-COUNTA(G$2863:G3401)+1,0))</f>
        <v>10</v>
      </c>
      <c r="D3402" s="384">
        <f t="shared" si="187"/>
        <v>57</v>
      </c>
      <c r="E3402" s="384">
        <f t="shared" ca="1" si="188"/>
        <v>3</v>
      </c>
      <c r="F3402" s="384">
        <f t="shared" ca="1" si="189"/>
        <v>18</v>
      </c>
      <c r="G3402" s="384"/>
      <c r="H3402" s="388" t="str">
        <f t="shared" ca="1" si="185"/>
        <v/>
      </c>
      <c r="I3402" s="388" t="str">
        <f t="shared" ca="1" si="186"/>
        <v/>
      </c>
    </row>
    <row r="3403" spans="1:9" x14ac:dyDescent="0.3">
      <c r="A3403" s="384" t="b">
        <f t="shared" ca="1" si="184"/>
        <v>0</v>
      </c>
      <c r="B3403" s="393" t="str">
        <f ca="1">IF(COUNTA(G$2863:G3402)=1,"",OFFSET(B3403,-COUNTA(G$2863:G3402)+1,0))</f>
        <v>a1bDm000000Y7tCIAS</v>
      </c>
      <c r="C3403" s="389">
        <f ca="1">IF(COUNTA(G$2863:G3402)=1,"",OFFSET(C3403,-COUNTA(G$2863:G3402)+1,0))</f>
        <v>10</v>
      </c>
      <c r="D3403" s="384">
        <f t="shared" si="187"/>
        <v>58</v>
      </c>
      <c r="E3403" s="384">
        <f t="shared" ca="1" si="188"/>
        <v>4</v>
      </c>
      <c r="F3403" s="384">
        <f t="shared" ca="1" si="189"/>
        <v>18</v>
      </c>
      <c r="G3403" s="384"/>
      <c r="H3403" s="388" t="str">
        <f t="shared" ca="1" si="185"/>
        <v/>
      </c>
      <c r="I3403" s="388" t="str">
        <f t="shared" ca="1" si="186"/>
        <v/>
      </c>
    </row>
    <row r="3404" spans="1:9" x14ac:dyDescent="0.3">
      <c r="A3404" s="384" t="b">
        <f t="shared" ca="1" si="184"/>
        <v>0</v>
      </c>
      <c r="B3404" s="393" t="str">
        <f ca="1">IF(COUNTA(G$2863:G3403)=1,"",OFFSET(B3404,-COUNTA(G$2863:G3403)+1,0))</f>
        <v>a1bDm000000Y7uUIAS</v>
      </c>
      <c r="C3404" s="389">
        <f ca="1">IF(COUNTA(G$2863:G3403)=1,"",OFFSET(C3404,-COUNTA(G$2863:G3403)+1,0))</f>
        <v>10</v>
      </c>
      <c r="D3404" s="384">
        <f t="shared" si="187"/>
        <v>59</v>
      </c>
      <c r="E3404" s="384">
        <f t="shared" ca="1" si="188"/>
        <v>5</v>
      </c>
      <c r="F3404" s="384">
        <f t="shared" ca="1" si="189"/>
        <v>18</v>
      </c>
      <c r="G3404" s="384"/>
      <c r="H3404" s="388" t="str">
        <f t="shared" ca="1" si="185"/>
        <v/>
      </c>
      <c r="I3404" s="388" t="str">
        <f t="shared" ca="1" si="186"/>
        <v/>
      </c>
    </row>
    <row r="3405" spans="1:9" x14ac:dyDescent="0.3">
      <c r="A3405" s="384" t="b">
        <f t="shared" ca="1" si="184"/>
        <v>0</v>
      </c>
      <c r="B3405" s="393" t="str">
        <f ca="1">IF(COUNTA(G$2863:G3404)=1,"",OFFSET(B3405,-COUNTA(G$2863:G3404)+1,0))</f>
        <v>a1bDm000000Y7vmIAC</v>
      </c>
      <c r="C3405" s="389">
        <f ca="1">IF(COUNTA(G$2863:G3404)=1,"",OFFSET(C3405,-COUNTA(G$2863:G3404)+1,0))</f>
        <v>10</v>
      </c>
      <c r="D3405" s="384">
        <f t="shared" si="187"/>
        <v>60</v>
      </c>
      <c r="E3405" s="384">
        <f t="shared" ca="1" si="188"/>
        <v>6</v>
      </c>
      <c r="F3405" s="384">
        <f t="shared" ca="1" si="189"/>
        <v>18</v>
      </c>
      <c r="G3405" s="384"/>
      <c r="H3405" s="388" t="str">
        <f t="shared" ca="1" si="185"/>
        <v/>
      </c>
      <c r="I3405" s="388" t="str">
        <f t="shared" ca="1" si="186"/>
        <v/>
      </c>
    </row>
    <row r="3406" spans="1:9" x14ac:dyDescent="0.3">
      <c r="A3406" s="384" t="b">
        <f t="shared" ca="1" si="184"/>
        <v>0</v>
      </c>
      <c r="B3406" s="393" t="str">
        <f ca="1">IF(COUNTA(G$2863:G3405)=1,"",OFFSET(B3406,-COUNTA(G$2863:G3405)+1,0))</f>
        <v>a1bDm000000Y7pLIAS</v>
      </c>
      <c r="C3406" s="389">
        <f ca="1">IF(COUNTA(G$2863:G3405)=1,"",OFFSET(C3406,-COUNTA(G$2863:G3405)+1,0))</f>
        <v>11</v>
      </c>
      <c r="D3406" s="384">
        <f t="shared" si="187"/>
        <v>61</v>
      </c>
      <c r="E3406" s="384">
        <f t="shared" ca="1" si="188"/>
        <v>1</v>
      </c>
      <c r="F3406" s="384">
        <f t="shared" ca="1" si="189"/>
        <v>19</v>
      </c>
      <c r="G3406" s="384"/>
      <c r="H3406" s="388" t="str">
        <f t="shared" ca="1" si="185"/>
        <v/>
      </c>
      <c r="I3406" s="388" t="str">
        <f t="shared" ca="1" si="186"/>
        <v/>
      </c>
    </row>
    <row r="3407" spans="1:9" x14ac:dyDescent="0.3">
      <c r="A3407" s="384" t="b">
        <f t="shared" ca="1" si="184"/>
        <v>0</v>
      </c>
      <c r="B3407" s="393" t="str">
        <f ca="1">IF(COUNTA(G$2863:G3406)=1,"",OFFSET(B3407,-COUNTA(G$2863:G3406)+1,0))</f>
        <v>a1bDm000000Y7qdIAC</v>
      </c>
      <c r="C3407" s="389">
        <f ca="1">IF(COUNTA(G$2863:G3406)=1,"",OFFSET(C3407,-COUNTA(G$2863:G3406)+1,0))</f>
        <v>11</v>
      </c>
      <c r="D3407" s="384">
        <f t="shared" si="187"/>
        <v>62</v>
      </c>
      <c r="E3407" s="384">
        <f t="shared" ca="1" si="188"/>
        <v>2</v>
      </c>
      <c r="F3407" s="384">
        <f t="shared" ca="1" si="189"/>
        <v>19</v>
      </c>
      <c r="G3407" s="384"/>
      <c r="H3407" s="388" t="str">
        <f t="shared" ca="1" si="185"/>
        <v/>
      </c>
      <c r="I3407" s="388" t="str">
        <f t="shared" ca="1" si="186"/>
        <v/>
      </c>
    </row>
    <row r="3408" spans="1:9" x14ac:dyDescent="0.3">
      <c r="A3408" s="384" t="b">
        <f t="shared" ca="1" si="184"/>
        <v>0</v>
      </c>
      <c r="B3408" s="393" t="str">
        <f ca="1">IF(COUNTA(G$2863:G3407)=1,"",OFFSET(B3408,-COUNTA(G$2863:G3407)+1,0))</f>
        <v>a1bDm000000Y7rvIAC</v>
      </c>
      <c r="C3408" s="389">
        <f ca="1">IF(COUNTA(G$2863:G3407)=1,"",OFFSET(C3408,-COUNTA(G$2863:G3407)+1,0))</f>
        <v>11</v>
      </c>
      <c r="D3408" s="384">
        <f t="shared" si="187"/>
        <v>63</v>
      </c>
      <c r="E3408" s="384">
        <f t="shared" ca="1" si="188"/>
        <v>3</v>
      </c>
      <c r="F3408" s="384">
        <f t="shared" ca="1" si="189"/>
        <v>19</v>
      </c>
      <c r="G3408" s="384"/>
      <c r="H3408" s="388" t="str">
        <f t="shared" ca="1" si="185"/>
        <v/>
      </c>
      <c r="I3408" s="388" t="str">
        <f t="shared" ca="1" si="186"/>
        <v/>
      </c>
    </row>
    <row r="3409" spans="1:9" x14ac:dyDescent="0.3">
      <c r="A3409" s="384" t="b">
        <f t="shared" ca="1" si="184"/>
        <v>0</v>
      </c>
      <c r="B3409" s="393" t="str">
        <f ca="1">IF(COUNTA(G$2863:G3408)=1,"",OFFSET(B3409,-COUNTA(G$2863:G3408)+1,0))</f>
        <v>a1bDm000000Y7tDIAS</v>
      </c>
      <c r="C3409" s="389">
        <f ca="1">IF(COUNTA(G$2863:G3408)=1,"",OFFSET(C3409,-COUNTA(G$2863:G3408)+1,0))</f>
        <v>11</v>
      </c>
      <c r="D3409" s="384">
        <f t="shared" si="187"/>
        <v>64</v>
      </c>
      <c r="E3409" s="384">
        <f t="shared" ca="1" si="188"/>
        <v>4</v>
      </c>
      <c r="F3409" s="384">
        <f t="shared" ca="1" si="189"/>
        <v>19</v>
      </c>
      <c r="G3409" s="384"/>
      <c r="H3409" s="388" t="str">
        <f t="shared" ca="1" si="185"/>
        <v/>
      </c>
      <c r="I3409" s="388" t="str">
        <f t="shared" ca="1" si="186"/>
        <v/>
      </c>
    </row>
    <row r="3410" spans="1:9" x14ac:dyDescent="0.3">
      <c r="A3410" s="384" t="b">
        <f t="shared" ref="A3410:A3473" ca="1" si="190">IF(OR(AND(H3410&lt;&gt;"", H3410&lt;&gt;0), AND(I3410&lt;&gt;"",I3410&lt;&gt;0)),TRUE,FALSE)</f>
        <v>0</v>
      </c>
      <c r="B3410" s="393" t="str">
        <f ca="1">IF(COUNTA(G$2863:G3409)=1,"",OFFSET(B3410,-COUNTA(G$2863:G3409)+1,0))</f>
        <v>a1bDm000000Y7uVIAS</v>
      </c>
      <c r="C3410" s="389">
        <f ca="1">IF(COUNTA(G$2863:G3409)=1,"",OFFSET(C3410,-COUNTA(G$2863:G3409)+1,0))</f>
        <v>11</v>
      </c>
      <c r="D3410" s="384">
        <f t="shared" si="187"/>
        <v>65</v>
      </c>
      <c r="E3410" s="384">
        <f t="shared" ca="1" si="188"/>
        <v>5</v>
      </c>
      <c r="F3410" s="384">
        <f t="shared" ca="1" si="189"/>
        <v>19</v>
      </c>
      <c r="G3410" s="384"/>
      <c r="H3410" s="388" t="str">
        <f t="shared" ref="H3410:H3473" ca="1" si="191">CHOOSE(E3410,IFERROR(IF(INDIRECT("'WPTM - Section F'!H"&amp;F3410)=0,"",INDIRECT("'WPTM - Section F'!H"&amp;$F3410)),""),IFERROR(IF(INDIRECT("'WPTM - Section F'!J"&amp;F3410)=0,"",INDIRECT("'WPTM - Section F'!J"&amp;$F3410)),""),IFERROR(IF(INDIRECT("'WPTM - Section F'!L"&amp;F3410)=0,"",INDIRECT("'WPTM - Section F'!L"&amp;$F3410)),""),IFERROR(IF(INDIRECT("'WPTM - Section F'!N"&amp;F3410)=0,"",INDIRECT("'WPTM - Section F'!N"&amp;$F3410)),""),IFERROR(IF(INDIRECT("'WPTM - Section F'!P"&amp;F3410)=0,"",INDIRECT("'WPTM - Section F'!P"&amp;$F3410)),""),IFERROR(IF(INDIRECT("'WPTM - Section F'!R"&amp;F3410)=0,"",INDIRECT("'WPTM - Section F'!R"&amp;$F3410)),""),IFERROR(IF(INDIRECT("'WPTM - Section F'!T"&amp;F3410)=0,"",INDIRECT("'WPTM - Section F'!T"&amp;$F3410)),""),IFERROR(IF(INDIRECT("'WPTM - Section F'!V"&amp;F3410)=0,"",INDIRECT("'WPTM - Section F'!V"&amp;$F3410)),""),)</f>
        <v/>
      </c>
      <c r="I3410" s="388" t="str">
        <f t="shared" ref="I3410:I3473" ca="1" si="192">CHOOSE(E3410,IFERROR(IF(INDIRECT("'WPTM - Section F'!G"&amp;F3410)=0,"",INDIRECT("'WPTM - Section F'!G"&amp;$F3410)),""),IFERROR(IF(INDIRECT("'WPTM - Section F'!I"&amp;F3410)=0,"",INDIRECT("'WPTM - Section F'!I"&amp;$F3410)),""),IFERROR(IF(INDIRECT("'WPTM - Section F'!K"&amp;F3410)=0,"",INDIRECT("'WPTM - Section F'!K"&amp;$F3410)),""),IFERROR(IF(INDIRECT("'WPTM - Section F'!M"&amp;F3410)=0,"",INDIRECT("'WPTM - Section F'!M"&amp;$F3410)),""),IFERROR(IF(INDIRECT("'WPTM - Section F'!O"&amp;F3410)=0,"",INDIRECT("'WPTM - Section F'!O"&amp;$F3410)),""),IFERROR(IF(INDIRECT("'WPTM - Section F'!Q"&amp;F3410)=0,"",INDIRECT("'WPTM - Section F'!Q"&amp;$F3410)),""),IFERROR(IF(INDIRECT("'WPTM - Section F'!S"&amp;F3410)=0,"",INDIRECT("'WPTM - Section F'!S"&amp;$F3410)),""),IFERROR(IF(INDIRECT("'WPTM - Section F'!U"&amp;F3410)=0,"",INDIRECT("'WPTM - Section F'!U"&amp;$F3410)),""),)</f>
        <v/>
      </c>
    </row>
    <row r="3411" spans="1:9" x14ac:dyDescent="0.3">
      <c r="A3411" s="384" t="b">
        <f t="shared" ca="1" si="190"/>
        <v>0</v>
      </c>
      <c r="B3411" s="393" t="str">
        <f ca="1">IF(COUNTA(G$2863:G3410)=1,"",OFFSET(B3411,-COUNTA(G$2863:G3410)+1,0))</f>
        <v>a1bDm000000Y7vnIAC</v>
      </c>
      <c r="C3411" s="389">
        <f ca="1">IF(COUNTA(G$2863:G3410)=1,"",OFFSET(C3411,-COUNTA(G$2863:G3410)+1,0))</f>
        <v>11</v>
      </c>
      <c r="D3411" s="384">
        <f t="shared" si="187"/>
        <v>66</v>
      </c>
      <c r="E3411" s="384">
        <f t="shared" ca="1" si="188"/>
        <v>6</v>
      </c>
      <c r="F3411" s="384">
        <f t="shared" ca="1" si="189"/>
        <v>19</v>
      </c>
      <c r="G3411" s="384"/>
      <c r="H3411" s="388" t="str">
        <f t="shared" ca="1" si="191"/>
        <v/>
      </c>
      <c r="I3411" s="388" t="str">
        <f t="shared" ca="1" si="192"/>
        <v/>
      </c>
    </row>
    <row r="3412" spans="1:9" x14ac:dyDescent="0.3">
      <c r="A3412" s="384" t="b">
        <f t="shared" ca="1" si="190"/>
        <v>0</v>
      </c>
      <c r="B3412" s="393" t="str">
        <f ca="1">IF(COUNTA(G$2863:G3411)=1,"",OFFSET(B3412,-COUNTA(G$2863:G3411)+1,0))</f>
        <v>a1bDm000000Y7pMIAS</v>
      </c>
      <c r="C3412" s="389">
        <f ca="1">IF(COUNTA(G$2863:G3411)=1,"",OFFSET(C3412,-COUNTA(G$2863:G3411)+1,0))</f>
        <v>12</v>
      </c>
      <c r="D3412" s="384">
        <f t="shared" si="187"/>
        <v>67</v>
      </c>
      <c r="E3412" s="384">
        <f t="shared" ca="1" si="188"/>
        <v>1</v>
      </c>
      <c r="F3412" s="384">
        <f t="shared" ca="1" si="189"/>
        <v>20</v>
      </c>
      <c r="G3412" s="384"/>
      <c r="H3412" s="388" t="str">
        <f t="shared" ca="1" si="191"/>
        <v/>
      </c>
      <c r="I3412" s="388" t="str">
        <f t="shared" ca="1" si="192"/>
        <v/>
      </c>
    </row>
    <row r="3413" spans="1:9" x14ac:dyDescent="0.3">
      <c r="A3413" s="384" t="b">
        <f t="shared" ca="1" si="190"/>
        <v>0</v>
      </c>
      <c r="B3413" s="393" t="str">
        <f ca="1">IF(COUNTA(G$2863:G3412)=1,"",OFFSET(B3413,-COUNTA(G$2863:G3412)+1,0))</f>
        <v>a1bDm000000Y7qeIAC</v>
      </c>
      <c r="C3413" s="389">
        <f ca="1">IF(COUNTA(G$2863:G3412)=1,"",OFFSET(C3413,-COUNTA(G$2863:G3412)+1,0))</f>
        <v>12</v>
      </c>
      <c r="D3413" s="384">
        <f t="shared" si="187"/>
        <v>68</v>
      </c>
      <c r="E3413" s="384">
        <f t="shared" ca="1" si="188"/>
        <v>2</v>
      </c>
      <c r="F3413" s="384">
        <f t="shared" ca="1" si="189"/>
        <v>20</v>
      </c>
      <c r="G3413" s="384"/>
      <c r="H3413" s="388" t="str">
        <f t="shared" ca="1" si="191"/>
        <v/>
      </c>
      <c r="I3413" s="388" t="str">
        <f t="shared" ca="1" si="192"/>
        <v/>
      </c>
    </row>
    <row r="3414" spans="1:9" x14ac:dyDescent="0.3">
      <c r="A3414" s="384" t="b">
        <f t="shared" ca="1" si="190"/>
        <v>0</v>
      </c>
      <c r="B3414" s="393" t="str">
        <f ca="1">IF(COUNTA(G$2863:G3413)=1,"",OFFSET(B3414,-COUNTA(G$2863:G3413)+1,0))</f>
        <v>a1bDm000000Y7rwIAC</v>
      </c>
      <c r="C3414" s="389">
        <f ca="1">IF(COUNTA(G$2863:G3413)=1,"",OFFSET(C3414,-COUNTA(G$2863:G3413)+1,0))</f>
        <v>12</v>
      </c>
      <c r="D3414" s="384">
        <f t="shared" si="187"/>
        <v>69</v>
      </c>
      <c r="E3414" s="384">
        <f t="shared" ca="1" si="188"/>
        <v>3</v>
      </c>
      <c r="F3414" s="384">
        <f t="shared" ca="1" si="189"/>
        <v>20</v>
      </c>
      <c r="G3414" s="384"/>
      <c r="H3414" s="388" t="str">
        <f t="shared" ca="1" si="191"/>
        <v/>
      </c>
      <c r="I3414" s="388" t="str">
        <f t="shared" ca="1" si="192"/>
        <v/>
      </c>
    </row>
    <row r="3415" spans="1:9" x14ac:dyDescent="0.3">
      <c r="A3415" s="384" t="b">
        <f t="shared" ca="1" si="190"/>
        <v>0</v>
      </c>
      <c r="B3415" s="393" t="str">
        <f ca="1">IF(COUNTA(G$2863:G3414)=1,"",OFFSET(B3415,-COUNTA(G$2863:G3414)+1,0))</f>
        <v>a1bDm000000Y7tEIAS</v>
      </c>
      <c r="C3415" s="389">
        <f ca="1">IF(COUNTA(G$2863:G3414)=1,"",OFFSET(C3415,-COUNTA(G$2863:G3414)+1,0))</f>
        <v>12</v>
      </c>
      <c r="D3415" s="384">
        <f t="shared" si="187"/>
        <v>70</v>
      </c>
      <c r="E3415" s="384">
        <f t="shared" ca="1" si="188"/>
        <v>4</v>
      </c>
      <c r="F3415" s="384">
        <f t="shared" ca="1" si="189"/>
        <v>20</v>
      </c>
      <c r="G3415" s="384"/>
      <c r="H3415" s="388" t="str">
        <f t="shared" ca="1" si="191"/>
        <v/>
      </c>
      <c r="I3415" s="388" t="str">
        <f t="shared" ca="1" si="192"/>
        <v/>
      </c>
    </row>
    <row r="3416" spans="1:9" x14ac:dyDescent="0.3">
      <c r="A3416" s="384" t="b">
        <f t="shared" ca="1" si="190"/>
        <v>0</v>
      </c>
      <c r="B3416" s="393" t="str">
        <f ca="1">IF(COUNTA(G$2863:G3415)=1,"",OFFSET(B3416,-COUNTA(G$2863:G3415)+1,0))</f>
        <v>a1bDm000000Y7uWIAS</v>
      </c>
      <c r="C3416" s="389">
        <f ca="1">IF(COUNTA(G$2863:G3415)=1,"",OFFSET(C3416,-COUNTA(G$2863:G3415)+1,0))</f>
        <v>12</v>
      </c>
      <c r="D3416" s="384">
        <f t="shared" si="187"/>
        <v>71</v>
      </c>
      <c r="E3416" s="384">
        <f t="shared" ca="1" si="188"/>
        <v>5</v>
      </c>
      <c r="F3416" s="384">
        <f t="shared" ca="1" si="189"/>
        <v>20</v>
      </c>
      <c r="G3416" s="384"/>
      <c r="H3416" s="388" t="str">
        <f t="shared" ca="1" si="191"/>
        <v/>
      </c>
      <c r="I3416" s="388" t="str">
        <f t="shared" ca="1" si="192"/>
        <v/>
      </c>
    </row>
    <row r="3417" spans="1:9" x14ac:dyDescent="0.3">
      <c r="A3417" s="384" t="b">
        <f t="shared" ca="1" si="190"/>
        <v>0</v>
      </c>
      <c r="B3417" s="393" t="str">
        <f ca="1">IF(COUNTA(G$2863:G3416)=1,"",OFFSET(B3417,-COUNTA(G$2863:G3416)+1,0))</f>
        <v>a1bDm000000Y7voIAC</v>
      </c>
      <c r="C3417" s="389">
        <f ca="1">IF(COUNTA(G$2863:G3416)=1,"",OFFSET(C3417,-COUNTA(G$2863:G3416)+1,0))</f>
        <v>12</v>
      </c>
      <c r="D3417" s="384">
        <f t="shared" si="187"/>
        <v>72</v>
      </c>
      <c r="E3417" s="384">
        <f t="shared" ca="1" si="188"/>
        <v>6</v>
      </c>
      <c r="F3417" s="384">
        <f t="shared" ca="1" si="189"/>
        <v>20</v>
      </c>
      <c r="G3417" s="384"/>
      <c r="H3417" s="388" t="str">
        <f t="shared" ca="1" si="191"/>
        <v/>
      </c>
      <c r="I3417" s="388" t="str">
        <f t="shared" ca="1" si="192"/>
        <v/>
      </c>
    </row>
    <row r="3418" spans="1:9" x14ac:dyDescent="0.3">
      <c r="A3418" s="384" t="b">
        <f t="shared" ca="1" si="190"/>
        <v>0</v>
      </c>
      <c r="B3418" s="393" t="str">
        <f ca="1">IF(COUNTA(G$2863:G3417)=1,"",OFFSET(B3418,-COUNTA(G$2863:G3417)+1,0))</f>
        <v>a1bDm000000Y7pNIAS</v>
      </c>
      <c r="C3418" s="389">
        <f ca="1">IF(COUNTA(G$2863:G3417)=1,"",OFFSET(C3418,-COUNTA(G$2863:G3417)+1,0))</f>
        <v>13</v>
      </c>
      <c r="D3418" s="384">
        <f t="shared" si="187"/>
        <v>73</v>
      </c>
      <c r="E3418" s="384">
        <f t="shared" ca="1" si="188"/>
        <v>1</v>
      </c>
      <c r="F3418" s="384">
        <f t="shared" ca="1" si="189"/>
        <v>21</v>
      </c>
      <c r="G3418" s="384"/>
      <c r="H3418" s="388" t="str">
        <f t="shared" ca="1" si="191"/>
        <v/>
      </c>
      <c r="I3418" s="388" t="str">
        <f t="shared" ca="1" si="192"/>
        <v/>
      </c>
    </row>
    <row r="3419" spans="1:9" x14ac:dyDescent="0.3">
      <c r="A3419" s="384" t="b">
        <f t="shared" ca="1" si="190"/>
        <v>0</v>
      </c>
      <c r="B3419" s="393" t="str">
        <f ca="1">IF(COUNTA(G$2863:G3418)=1,"",OFFSET(B3419,-COUNTA(G$2863:G3418)+1,0))</f>
        <v>a1bDm000000Y7qfIAC</v>
      </c>
      <c r="C3419" s="389">
        <f ca="1">IF(COUNTA(G$2863:G3418)=1,"",OFFSET(C3419,-COUNTA(G$2863:G3418)+1,0))</f>
        <v>13</v>
      </c>
      <c r="D3419" s="384">
        <f t="shared" si="187"/>
        <v>74</v>
      </c>
      <c r="E3419" s="384">
        <f t="shared" ca="1" si="188"/>
        <v>2</v>
      </c>
      <c r="F3419" s="384">
        <f t="shared" ca="1" si="189"/>
        <v>21</v>
      </c>
      <c r="G3419" s="384"/>
      <c r="H3419" s="388" t="str">
        <f t="shared" ca="1" si="191"/>
        <v/>
      </c>
      <c r="I3419" s="388" t="str">
        <f t="shared" ca="1" si="192"/>
        <v/>
      </c>
    </row>
    <row r="3420" spans="1:9" x14ac:dyDescent="0.3">
      <c r="A3420" s="384" t="b">
        <f t="shared" ca="1" si="190"/>
        <v>0</v>
      </c>
      <c r="B3420" s="393" t="str">
        <f ca="1">IF(COUNTA(G$2863:G3419)=1,"",OFFSET(B3420,-COUNTA(G$2863:G3419)+1,0))</f>
        <v>a1bDm000000Y7rxIAC</v>
      </c>
      <c r="C3420" s="389">
        <f ca="1">IF(COUNTA(G$2863:G3419)=1,"",OFFSET(C3420,-COUNTA(G$2863:G3419)+1,0))</f>
        <v>13</v>
      </c>
      <c r="D3420" s="384">
        <f t="shared" si="187"/>
        <v>75</v>
      </c>
      <c r="E3420" s="384">
        <f t="shared" ca="1" si="188"/>
        <v>3</v>
      </c>
      <c r="F3420" s="384">
        <f t="shared" ca="1" si="189"/>
        <v>21</v>
      </c>
      <c r="G3420" s="384"/>
      <c r="H3420" s="388" t="str">
        <f t="shared" ca="1" si="191"/>
        <v/>
      </c>
      <c r="I3420" s="388" t="str">
        <f t="shared" ca="1" si="192"/>
        <v/>
      </c>
    </row>
    <row r="3421" spans="1:9" x14ac:dyDescent="0.3">
      <c r="A3421" s="384" t="b">
        <f t="shared" ca="1" si="190"/>
        <v>0</v>
      </c>
      <c r="B3421" s="393" t="str">
        <f ca="1">IF(COUNTA(G$2863:G3420)=1,"",OFFSET(B3421,-COUNTA(G$2863:G3420)+1,0))</f>
        <v>a1bDm000000Y7tFIAS</v>
      </c>
      <c r="C3421" s="389">
        <f ca="1">IF(COUNTA(G$2863:G3420)=1,"",OFFSET(C3421,-COUNTA(G$2863:G3420)+1,0))</f>
        <v>13</v>
      </c>
      <c r="D3421" s="384">
        <f t="shared" si="187"/>
        <v>76</v>
      </c>
      <c r="E3421" s="384">
        <f t="shared" ca="1" si="188"/>
        <v>4</v>
      </c>
      <c r="F3421" s="384">
        <f t="shared" ca="1" si="189"/>
        <v>21</v>
      </c>
      <c r="G3421" s="384"/>
      <c r="H3421" s="388" t="str">
        <f t="shared" ca="1" si="191"/>
        <v/>
      </c>
      <c r="I3421" s="388" t="str">
        <f t="shared" ca="1" si="192"/>
        <v/>
      </c>
    </row>
    <row r="3422" spans="1:9" x14ac:dyDescent="0.3">
      <c r="A3422" s="384" t="b">
        <f t="shared" ca="1" si="190"/>
        <v>0</v>
      </c>
      <c r="B3422" s="393" t="str">
        <f ca="1">IF(COUNTA(G$2863:G3421)=1,"",OFFSET(B3422,-COUNTA(G$2863:G3421)+1,0))</f>
        <v>a1bDm000000Y7uXIAS</v>
      </c>
      <c r="C3422" s="389">
        <f ca="1">IF(COUNTA(G$2863:G3421)=1,"",OFFSET(C3422,-COUNTA(G$2863:G3421)+1,0))</f>
        <v>13</v>
      </c>
      <c r="D3422" s="384">
        <f t="shared" si="187"/>
        <v>77</v>
      </c>
      <c r="E3422" s="384">
        <f t="shared" ca="1" si="188"/>
        <v>5</v>
      </c>
      <c r="F3422" s="384">
        <f t="shared" ca="1" si="189"/>
        <v>21</v>
      </c>
      <c r="G3422" s="384"/>
      <c r="H3422" s="388" t="str">
        <f t="shared" ca="1" si="191"/>
        <v/>
      </c>
      <c r="I3422" s="388" t="str">
        <f t="shared" ca="1" si="192"/>
        <v/>
      </c>
    </row>
    <row r="3423" spans="1:9" x14ac:dyDescent="0.3">
      <c r="A3423" s="384" t="b">
        <f t="shared" ca="1" si="190"/>
        <v>0</v>
      </c>
      <c r="B3423" s="393" t="str">
        <f ca="1">IF(COUNTA(G$2863:G3422)=1,"",OFFSET(B3423,-COUNTA(G$2863:G3422)+1,0))</f>
        <v>a1bDm000000Y7vpIAC</v>
      </c>
      <c r="C3423" s="389">
        <f ca="1">IF(COUNTA(G$2863:G3422)=1,"",OFFSET(C3423,-COUNTA(G$2863:G3422)+1,0))</f>
        <v>13</v>
      </c>
      <c r="D3423" s="384">
        <f t="shared" si="187"/>
        <v>78</v>
      </c>
      <c r="E3423" s="384">
        <f t="shared" ca="1" si="188"/>
        <v>6</v>
      </c>
      <c r="F3423" s="384">
        <f t="shared" ca="1" si="189"/>
        <v>21</v>
      </c>
      <c r="G3423" s="384"/>
      <c r="H3423" s="388" t="str">
        <f t="shared" ca="1" si="191"/>
        <v/>
      </c>
      <c r="I3423" s="388" t="str">
        <f t="shared" ca="1" si="192"/>
        <v/>
      </c>
    </row>
    <row r="3424" spans="1:9" x14ac:dyDescent="0.3">
      <c r="A3424" s="384" t="b">
        <f t="shared" ca="1" si="190"/>
        <v>0</v>
      </c>
      <c r="B3424" s="393" t="str">
        <f ca="1">IF(COUNTA(G$2863:G3423)=1,"",OFFSET(B3424,-COUNTA(G$2863:G3423)+1,0))</f>
        <v>a1bDm000000Y7pOIAS</v>
      </c>
      <c r="C3424" s="389">
        <f ca="1">IF(COUNTA(G$2863:G3423)=1,"",OFFSET(C3424,-COUNTA(G$2863:G3423)+1,0))</f>
        <v>14</v>
      </c>
      <c r="D3424" s="384">
        <f t="shared" si="187"/>
        <v>79</v>
      </c>
      <c r="E3424" s="384">
        <f t="shared" ca="1" si="188"/>
        <v>1</v>
      </c>
      <c r="F3424" s="384">
        <f t="shared" ca="1" si="189"/>
        <v>22</v>
      </c>
      <c r="G3424" s="384"/>
      <c r="H3424" s="388" t="str">
        <f t="shared" ca="1" si="191"/>
        <v/>
      </c>
      <c r="I3424" s="388" t="str">
        <f t="shared" ca="1" si="192"/>
        <v/>
      </c>
    </row>
    <row r="3425" spans="1:9" x14ac:dyDescent="0.3">
      <c r="A3425" s="384" t="b">
        <f t="shared" ca="1" si="190"/>
        <v>0</v>
      </c>
      <c r="B3425" s="393" t="str">
        <f ca="1">IF(COUNTA(G$2863:G3424)=1,"",OFFSET(B3425,-COUNTA(G$2863:G3424)+1,0))</f>
        <v>a1bDm000000Y7qgIAC</v>
      </c>
      <c r="C3425" s="389">
        <f ca="1">IF(COUNTA(G$2863:G3424)=1,"",OFFSET(C3425,-COUNTA(G$2863:G3424)+1,0))</f>
        <v>14</v>
      </c>
      <c r="D3425" s="384">
        <f t="shared" si="187"/>
        <v>80</v>
      </c>
      <c r="E3425" s="384">
        <f t="shared" ca="1" si="188"/>
        <v>2</v>
      </c>
      <c r="F3425" s="384">
        <f t="shared" ca="1" si="189"/>
        <v>22</v>
      </c>
      <c r="G3425" s="384"/>
      <c r="H3425" s="388" t="str">
        <f t="shared" ca="1" si="191"/>
        <v/>
      </c>
      <c r="I3425" s="388" t="str">
        <f t="shared" ca="1" si="192"/>
        <v/>
      </c>
    </row>
    <row r="3426" spans="1:9" x14ac:dyDescent="0.3">
      <c r="A3426" s="384" t="b">
        <f t="shared" ca="1" si="190"/>
        <v>0</v>
      </c>
      <c r="B3426" s="393" t="str">
        <f ca="1">IF(COUNTA(G$2863:G3425)=1,"",OFFSET(B3426,-COUNTA(G$2863:G3425)+1,0))</f>
        <v>a1bDm000000Y7ryIAC</v>
      </c>
      <c r="C3426" s="389">
        <f ca="1">IF(COUNTA(G$2863:G3425)=1,"",OFFSET(C3426,-COUNTA(G$2863:G3425)+1,0))</f>
        <v>14</v>
      </c>
      <c r="D3426" s="384">
        <f t="shared" si="187"/>
        <v>81</v>
      </c>
      <c r="E3426" s="384">
        <f t="shared" ca="1" si="188"/>
        <v>3</v>
      </c>
      <c r="F3426" s="384">
        <f t="shared" ca="1" si="189"/>
        <v>22</v>
      </c>
      <c r="G3426" s="384"/>
      <c r="H3426" s="388" t="str">
        <f t="shared" ca="1" si="191"/>
        <v/>
      </c>
      <c r="I3426" s="388" t="str">
        <f t="shared" ca="1" si="192"/>
        <v/>
      </c>
    </row>
    <row r="3427" spans="1:9" x14ac:dyDescent="0.3">
      <c r="A3427" s="384" t="b">
        <f t="shared" ca="1" si="190"/>
        <v>0</v>
      </c>
      <c r="B3427" s="393" t="str">
        <f ca="1">IF(COUNTA(G$2863:G3426)=1,"",OFFSET(B3427,-COUNTA(G$2863:G3426)+1,0))</f>
        <v>a1bDm000000Y7tGIAS</v>
      </c>
      <c r="C3427" s="389">
        <f ca="1">IF(COUNTA(G$2863:G3426)=1,"",OFFSET(C3427,-COUNTA(G$2863:G3426)+1,0))</f>
        <v>14</v>
      </c>
      <c r="D3427" s="384">
        <f t="shared" si="187"/>
        <v>82</v>
      </c>
      <c r="E3427" s="384">
        <f t="shared" ca="1" si="188"/>
        <v>4</v>
      </c>
      <c r="F3427" s="384">
        <f t="shared" ca="1" si="189"/>
        <v>22</v>
      </c>
      <c r="G3427" s="384"/>
      <c r="H3427" s="388" t="str">
        <f t="shared" ca="1" si="191"/>
        <v/>
      </c>
      <c r="I3427" s="388" t="str">
        <f t="shared" ca="1" si="192"/>
        <v/>
      </c>
    </row>
    <row r="3428" spans="1:9" x14ac:dyDescent="0.3">
      <c r="A3428" s="384" t="b">
        <f t="shared" ca="1" si="190"/>
        <v>0</v>
      </c>
      <c r="B3428" s="393" t="str">
        <f ca="1">IF(COUNTA(G$2863:G3427)=1,"",OFFSET(B3428,-COUNTA(G$2863:G3427)+1,0))</f>
        <v>a1bDm000000Y7uYIAS</v>
      </c>
      <c r="C3428" s="389">
        <f ca="1">IF(COUNTA(G$2863:G3427)=1,"",OFFSET(C3428,-COUNTA(G$2863:G3427)+1,0))</f>
        <v>14</v>
      </c>
      <c r="D3428" s="384">
        <f t="shared" si="187"/>
        <v>83</v>
      </c>
      <c r="E3428" s="384">
        <f t="shared" ca="1" si="188"/>
        <v>5</v>
      </c>
      <c r="F3428" s="384">
        <f t="shared" ca="1" si="189"/>
        <v>22</v>
      </c>
      <c r="G3428" s="384"/>
      <c r="H3428" s="388" t="str">
        <f t="shared" ca="1" si="191"/>
        <v/>
      </c>
      <c r="I3428" s="388" t="str">
        <f t="shared" ca="1" si="192"/>
        <v/>
      </c>
    </row>
    <row r="3429" spans="1:9" x14ac:dyDescent="0.3">
      <c r="A3429" s="384" t="b">
        <f t="shared" ca="1" si="190"/>
        <v>0</v>
      </c>
      <c r="B3429" s="393" t="str">
        <f ca="1">IF(COUNTA(G$2863:G3428)=1,"",OFFSET(B3429,-COUNTA(G$2863:G3428)+1,0))</f>
        <v>a1bDm000000Y7vqIAC</v>
      </c>
      <c r="C3429" s="389">
        <f ca="1">IF(COUNTA(G$2863:G3428)=1,"",OFFSET(C3429,-COUNTA(G$2863:G3428)+1,0))</f>
        <v>14</v>
      </c>
      <c r="D3429" s="384">
        <f t="shared" si="187"/>
        <v>84</v>
      </c>
      <c r="E3429" s="384">
        <f t="shared" ca="1" si="188"/>
        <v>6</v>
      </c>
      <c r="F3429" s="384">
        <f t="shared" ca="1" si="189"/>
        <v>22</v>
      </c>
      <c r="G3429" s="384"/>
      <c r="H3429" s="388" t="str">
        <f t="shared" ca="1" si="191"/>
        <v/>
      </c>
      <c r="I3429" s="388" t="str">
        <f t="shared" ca="1" si="192"/>
        <v/>
      </c>
    </row>
    <row r="3430" spans="1:9" x14ac:dyDescent="0.3">
      <c r="A3430" s="384" t="b">
        <f t="shared" ca="1" si="190"/>
        <v>0</v>
      </c>
      <c r="B3430" s="393" t="str">
        <f ca="1">IF(COUNTA(G$2863:G3429)=1,"",OFFSET(B3430,-COUNTA(G$2863:G3429)+1,0))</f>
        <v>a1bDm000000Y7pPIAS</v>
      </c>
      <c r="C3430" s="389">
        <f ca="1">IF(COUNTA(G$2863:G3429)=1,"",OFFSET(C3430,-COUNTA(G$2863:G3429)+1,0))</f>
        <v>15</v>
      </c>
      <c r="D3430" s="384">
        <f t="shared" si="187"/>
        <v>85</v>
      </c>
      <c r="E3430" s="384">
        <f t="shared" ca="1" si="188"/>
        <v>1</v>
      </c>
      <c r="F3430" s="384">
        <f t="shared" ca="1" si="189"/>
        <v>23</v>
      </c>
      <c r="G3430" s="384"/>
      <c r="H3430" s="388" t="str">
        <f t="shared" ca="1" si="191"/>
        <v/>
      </c>
      <c r="I3430" s="388" t="str">
        <f t="shared" ca="1" si="192"/>
        <v/>
      </c>
    </row>
    <row r="3431" spans="1:9" x14ac:dyDescent="0.3">
      <c r="A3431" s="384" t="b">
        <f t="shared" ca="1" si="190"/>
        <v>0</v>
      </c>
      <c r="B3431" s="393" t="str">
        <f ca="1">IF(COUNTA(G$2863:G3430)=1,"",OFFSET(B3431,-COUNTA(G$2863:G3430)+1,0))</f>
        <v>a1bDm000000Y7qhIAC</v>
      </c>
      <c r="C3431" s="389">
        <f ca="1">IF(COUNTA(G$2863:G3430)=1,"",OFFSET(C3431,-COUNTA(G$2863:G3430)+1,0))</f>
        <v>15</v>
      </c>
      <c r="D3431" s="384">
        <f t="shared" si="187"/>
        <v>86</v>
      </c>
      <c r="E3431" s="384">
        <f t="shared" ca="1" si="188"/>
        <v>2</v>
      </c>
      <c r="F3431" s="384">
        <f t="shared" ca="1" si="189"/>
        <v>23</v>
      </c>
      <c r="G3431" s="384"/>
      <c r="H3431" s="388" t="str">
        <f t="shared" ca="1" si="191"/>
        <v/>
      </c>
      <c r="I3431" s="388" t="str">
        <f t="shared" ca="1" si="192"/>
        <v/>
      </c>
    </row>
    <row r="3432" spans="1:9" x14ac:dyDescent="0.3">
      <c r="A3432" s="384" t="b">
        <f t="shared" ca="1" si="190"/>
        <v>0</v>
      </c>
      <c r="B3432" s="393" t="str">
        <f ca="1">IF(COUNTA(G$2863:G3431)=1,"",OFFSET(B3432,-COUNTA(G$2863:G3431)+1,0))</f>
        <v>a1bDm000000Y7rzIAC</v>
      </c>
      <c r="C3432" s="389">
        <f ca="1">IF(COUNTA(G$2863:G3431)=1,"",OFFSET(C3432,-COUNTA(G$2863:G3431)+1,0))</f>
        <v>15</v>
      </c>
      <c r="D3432" s="384">
        <f t="shared" si="187"/>
        <v>87</v>
      </c>
      <c r="E3432" s="384">
        <f t="shared" ca="1" si="188"/>
        <v>3</v>
      </c>
      <c r="F3432" s="384">
        <f t="shared" ca="1" si="189"/>
        <v>23</v>
      </c>
      <c r="G3432" s="384"/>
      <c r="H3432" s="388" t="str">
        <f t="shared" ca="1" si="191"/>
        <v/>
      </c>
      <c r="I3432" s="388" t="str">
        <f t="shared" ca="1" si="192"/>
        <v/>
      </c>
    </row>
    <row r="3433" spans="1:9" x14ac:dyDescent="0.3">
      <c r="A3433" s="384" t="b">
        <f t="shared" ca="1" si="190"/>
        <v>0</v>
      </c>
      <c r="B3433" s="393" t="str">
        <f ca="1">IF(COUNTA(G$2863:G3432)=1,"",OFFSET(B3433,-COUNTA(G$2863:G3432)+1,0))</f>
        <v>a1bDm000000Y7tHIAS</v>
      </c>
      <c r="C3433" s="389">
        <f ca="1">IF(COUNTA(G$2863:G3432)=1,"",OFFSET(C3433,-COUNTA(G$2863:G3432)+1,0))</f>
        <v>15</v>
      </c>
      <c r="D3433" s="384">
        <f t="shared" si="187"/>
        <v>88</v>
      </c>
      <c r="E3433" s="384">
        <f t="shared" ca="1" si="188"/>
        <v>4</v>
      </c>
      <c r="F3433" s="384">
        <f t="shared" ca="1" si="189"/>
        <v>23</v>
      </c>
      <c r="G3433" s="384"/>
      <c r="H3433" s="388" t="str">
        <f t="shared" ca="1" si="191"/>
        <v/>
      </c>
      <c r="I3433" s="388" t="str">
        <f t="shared" ca="1" si="192"/>
        <v/>
      </c>
    </row>
    <row r="3434" spans="1:9" x14ac:dyDescent="0.3">
      <c r="A3434" s="384" t="b">
        <f t="shared" ca="1" si="190"/>
        <v>0</v>
      </c>
      <c r="B3434" s="393" t="str">
        <f ca="1">IF(COUNTA(G$2863:G3433)=1,"",OFFSET(B3434,-COUNTA(G$2863:G3433)+1,0))</f>
        <v>a1bDm000000Y7uZIAS</v>
      </c>
      <c r="C3434" s="389">
        <f ca="1">IF(COUNTA(G$2863:G3433)=1,"",OFFSET(C3434,-COUNTA(G$2863:G3433)+1,0))</f>
        <v>15</v>
      </c>
      <c r="D3434" s="384">
        <f t="shared" si="187"/>
        <v>89</v>
      </c>
      <c r="E3434" s="384">
        <f t="shared" ca="1" si="188"/>
        <v>5</v>
      </c>
      <c r="F3434" s="384">
        <f t="shared" ca="1" si="189"/>
        <v>23</v>
      </c>
      <c r="G3434" s="384"/>
      <c r="H3434" s="388" t="str">
        <f t="shared" ca="1" si="191"/>
        <v/>
      </c>
      <c r="I3434" s="388" t="str">
        <f t="shared" ca="1" si="192"/>
        <v/>
      </c>
    </row>
    <row r="3435" spans="1:9" x14ac:dyDescent="0.3">
      <c r="A3435" s="384" t="b">
        <f t="shared" ca="1" si="190"/>
        <v>0</v>
      </c>
      <c r="B3435" s="393" t="str">
        <f ca="1">IF(COUNTA(G$2863:G3434)=1,"",OFFSET(B3435,-COUNTA(G$2863:G3434)+1,0))</f>
        <v>a1bDm000000Y7vrIAC</v>
      </c>
      <c r="C3435" s="389">
        <f ca="1">IF(COUNTA(G$2863:G3434)=1,"",OFFSET(C3435,-COUNTA(G$2863:G3434)+1,0))</f>
        <v>15</v>
      </c>
      <c r="D3435" s="384">
        <f t="shared" si="187"/>
        <v>90</v>
      </c>
      <c r="E3435" s="384">
        <f t="shared" ca="1" si="188"/>
        <v>6</v>
      </c>
      <c r="F3435" s="384">
        <f t="shared" ca="1" si="189"/>
        <v>23</v>
      </c>
      <c r="G3435" s="384"/>
      <c r="H3435" s="388" t="str">
        <f t="shared" ca="1" si="191"/>
        <v/>
      </c>
      <c r="I3435" s="388" t="str">
        <f t="shared" ca="1" si="192"/>
        <v/>
      </c>
    </row>
    <row r="3436" spans="1:9" x14ac:dyDescent="0.3">
      <c r="A3436" s="384" t="b">
        <f t="shared" ca="1" si="190"/>
        <v>0</v>
      </c>
      <c r="B3436" s="393" t="str">
        <f ca="1">IF(COUNTA(G$2863:G3435)=1,"",OFFSET(B3436,-COUNTA(G$2863:G3435)+1,0))</f>
        <v>a1bDm000000Y7pQIAS</v>
      </c>
      <c r="C3436" s="389">
        <f ca="1">IF(COUNTA(G$2863:G3435)=1,"",OFFSET(C3436,-COUNTA(G$2863:G3435)+1,0))</f>
        <v>16</v>
      </c>
      <c r="D3436" s="384">
        <f t="shared" si="187"/>
        <v>91</v>
      </c>
      <c r="E3436" s="384">
        <f t="shared" ca="1" si="188"/>
        <v>1</v>
      </c>
      <c r="F3436" s="384">
        <f t="shared" ca="1" si="189"/>
        <v>24</v>
      </c>
      <c r="G3436" s="384"/>
      <c r="H3436" s="388" t="str">
        <f t="shared" ca="1" si="191"/>
        <v/>
      </c>
      <c r="I3436" s="388" t="str">
        <f t="shared" ca="1" si="192"/>
        <v/>
      </c>
    </row>
    <row r="3437" spans="1:9" x14ac:dyDescent="0.3">
      <c r="A3437" s="384" t="b">
        <f t="shared" ca="1" si="190"/>
        <v>0</v>
      </c>
      <c r="B3437" s="393" t="str">
        <f ca="1">IF(COUNTA(G$2863:G3436)=1,"",OFFSET(B3437,-COUNTA(G$2863:G3436)+1,0))</f>
        <v>a1bDm000000Y7qiIAC</v>
      </c>
      <c r="C3437" s="389">
        <f ca="1">IF(COUNTA(G$2863:G3436)=1,"",OFFSET(C3437,-COUNTA(G$2863:G3436)+1,0))</f>
        <v>16</v>
      </c>
      <c r="D3437" s="384">
        <f t="shared" si="187"/>
        <v>92</v>
      </c>
      <c r="E3437" s="384">
        <f t="shared" ca="1" si="188"/>
        <v>2</v>
      </c>
      <c r="F3437" s="384">
        <f t="shared" ca="1" si="189"/>
        <v>24</v>
      </c>
      <c r="G3437" s="384"/>
      <c r="H3437" s="388" t="str">
        <f t="shared" ca="1" si="191"/>
        <v/>
      </c>
      <c r="I3437" s="388" t="str">
        <f t="shared" ca="1" si="192"/>
        <v/>
      </c>
    </row>
    <row r="3438" spans="1:9" x14ac:dyDescent="0.3">
      <c r="A3438" s="384" t="b">
        <f t="shared" ca="1" si="190"/>
        <v>0</v>
      </c>
      <c r="B3438" s="393" t="str">
        <f ca="1">IF(COUNTA(G$2863:G3437)=1,"",OFFSET(B3438,-COUNTA(G$2863:G3437)+1,0))</f>
        <v>a1bDm000000Y7s0IAC</v>
      </c>
      <c r="C3438" s="389">
        <f ca="1">IF(COUNTA(G$2863:G3437)=1,"",OFFSET(C3438,-COUNTA(G$2863:G3437)+1,0))</f>
        <v>16</v>
      </c>
      <c r="D3438" s="384">
        <f t="shared" si="187"/>
        <v>93</v>
      </c>
      <c r="E3438" s="384">
        <f t="shared" ca="1" si="188"/>
        <v>3</v>
      </c>
      <c r="F3438" s="384">
        <f t="shared" ca="1" si="189"/>
        <v>24</v>
      </c>
      <c r="G3438" s="384"/>
      <c r="H3438" s="388" t="str">
        <f t="shared" ca="1" si="191"/>
        <v/>
      </c>
      <c r="I3438" s="388" t="str">
        <f t="shared" ca="1" si="192"/>
        <v/>
      </c>
    </row>
    <row r="3439" spans="1:9" x14ac:dyDescent="0.3">
      <c r="A3439" s="384" t="b">
        <f t="shared" ca="1" si="190"/>
        <v>0</v>
      </c>
      <c r="B3439" s="393" t="str">
        <f ca="1">IF(COUNTA(G$2863:G3438)=1,"",OFFSET(B3439,-COUNTA(G$2863:G3438)+1,0))</f>
        <v>a1bDm000000Y7tIIAS</v>
      </c>
      <c r="C3439" s="389">
        <f ca="1">IF(COUNTA(G$2863:G3438)=1,"",OFFSET(C3439,-COUNTA(G$2863:G3438)+1,0))</f>
        <v>16</v>
      </c>
      <c r="D3439" s="384">
        <f t="shared" si="187"/>
        <v>94</v>
      </c>
      <c r="E3439" s="384">
        <f t="shared" ca="1" si="188"/>
        <v>4</v>
      </c>
      <c r="F3439" s="384">
        <f t="shared" ca="1" si="189"/>
        <v>24</v>
      </c>
      <c r="G3439" s="384"/>
      <c r="H3439" s="388" t="str">
        <f t="shared" ca="1" si="191"/>
        <v/>
      </c>
      <c r="I3439" s="388" t="str">
        <f t="shared" ca="1" si="192"/>
        <v/>
      </c>
    </row>
    <row r="3440" spans="1:9" x14ac:dyDescent="0.3">
      <c r="A3440" s="384" t="b">
        <f t="shared" ca="1" si="190"/>
        <v>0</v>
      </c>
      <c r="B3440" s="393" t="str">
        <f ca="1">IF(COUNTA(G$2863:G3439)=1,"",OFFSET(B3440,-COUNTA(G$2863:G3439)+1,0))</f>
        <v>a1bDm000000Y7uaIAC</v>
      </c>
      <c r="C3440" s="389">
        <f ca="1">IF(COUNTA(G$2863:G3439)=1,"",OFFSET(C3440,-COUNTA(G$2863:G3439)+1,0))</f>
        <v>16</v>
      </c>
      <c r="D3440" s="384">
        <f t="shared" si="187"/>
        <v>95</v>
      </c>
      <c r="E3440" s="384">
        <f t="shared" ca="1" si="188"/>
        <v>5</v>
      </c>
      <c r="F3440" s="384">
        <f t="shared" ca="1" si="189"/>
        <v>24</v>
      </c>
      <c r="G3440" s="384"/>
      <c r="H3440" s="388" t="str">
        <f t="shared" ca="1" si="191"/>
        <v/>
      </c>
      <c r="I3440" s="388" t="str">
        <f t="shared" ca="1" si="192"/>
        <v/>
      </c>
    </row>
    <row r="3441" spans="1:9" x14ac:dyDescent="0.3">
      <c r="A3441" s="384" t="b">
        <f t="shared" ca="1" si="190"/>
        <v>0</v>
      </c>
      <c r="B3441" s="393" t="str">
        <f ca="1">IF(COUNTA(G$2863:G3440)=1,"",OFFSET(B3441,-COUNTA(G$2863:G3440)+1,0))</f>
        <v>a1bDm000000Y7vsIAC</v>
      </c>
      <c r="C3441" s="389">
        <f ca="1">IF(COUNTA(G$2863:G3440)=1,"",OFFSET(C3441,-COUNTA(G$2863:G3440)+1,0))</f>
        <v>16</v>
      </c>
      <c r="D3441" s="384">
        <f t="shared" si="187"/>
        <v>96</v>
      </c>
      <c r="E3441" s="384">
        <f t="shared" ca="1" si="188"/>
        <v>6</v>
      </c>
      <c r="F3441" s="384">
        <f t="shared" ca="1" si="189"/>
        <v>24</v>
      </c>
      <c r="G3441" s="384"/>
      <c r="H3441" s="388" t="str">
        <f t="shared" ca="1" si="191"/>
        <v/>
      </c>
      <c r="I3441" s="388" t="str">
        <f t="shared" ca="1" si="192"/>
        <v/>
      </c>
    </row>
    <row r="3442" spans="1:9" x14ac:dyDescent="0.3">
      <c r="A3442" s="384" t="b">
        <f t="shared" ca="1" si="190"/>
        <v>0</v>
      </c>
      <c r="B3442" s="393" t="str">
        <f ca="1">IF(COUNTA(G$2863:G3441)=1,"",OFFSET(B3442,-COUNTA(G$2863:G3441)+1,0))</f>
        <v>a1bDm000000Y7pRIAS</v>
      </c>
      <c r="C3442" s="389">
        <f ca="1">IF(COUNTA(G$2863:G3441)=1,"",OFFSET(C3442,-COUNTA(G$2863:G3441)+1,0))</f>
        <v>17</v>
      </c>
      <c r="D3442" s="384">
        <f t="shared" ref="D3442:D3505" si="193">D3441+1</f>
        <v>97</v>
      </c>
      <c r="E3442" s="384">
        <f t="shared" ref="E3442:E3505" ca="1" si="194">COUNTIF(C3272:C3442,C3442)</f>
        <v>1</v>
      </c>
      <c r="F3442" s="384">
        <f t="shared" ref="F3442:F3505" ca="1" si="195">IF(C3442=1,9,IF(E3441=MAX(E3440:E3442),F3440+1,F3441))</f>
        <v>25</v>
      </c>
      <c r="G3442" s="384"/>
      <c r="H3442" s="388" t="str">
        <f t="shared" ca="1" si="191"/>
        <v/>
      </c>
      <c r="I3442" s="388" t="str">
        <f t="shared" ca="1" si="192"/>
        <v/>
      </c>
    </row>
    <row r="3443" spans="1:9" x14ac:dyDescent="0.3">
      <c r="A3443" s="384" t="b">
        <f t="shared" ca="1" si="190"/>
        <v>0</v>
      </c>
      <c r="B3443" s="393" t="str">
        <f ca="1">IF(COUNTA(G$2863:G3442)=1,"",OFFSET(B3443,-COUNTA(G$2863:G3442)+1,0))</f>
        <v>a1bDm000000Y7qjIAC</v>
      </c>
      <c r="C3443" s="389">
        <f ca="1">IF(COUNTA(G$2863:G3442)=1,"",OFFSET(C3443,-COUNTA(G$2863:G3442)+1,0))</f>
        <v>17</v>
      </c>
      <c r="D3443" s="384">
        <f t="shared" si="193"/>
        <v>98</v>
      </c>
      <c r="E3443" s="384">
        <f t="shared" ca="1" si="194"/>
        <v>2</v>
      </c>
      <c r="F3443" s="384">
        <f t="shared" ca="1" si="195"/>
        <v>25</v>
      </c>
      <c r="G3443" s="384"/>
      <c r="H3443" s="388" t="str">
        <f t="shared" ca="1" si="191"/>
        <v/>
      </c>
      <c r="I3443" s="388" t="str">
        <f t="shared" ca="1" si="192"/>
        <v/>
      </c>
    </row>
    <row r="3444" spans="1:9" x14ac:dyDescent="0.3">
      <c r="A3444" s="384" t="b">
        <f t="shared" ca="1" si="190"/>
        <v>0</v>
      </c>
      <c r="B3444" s="393" t="str">
        <f ca="1">IF(COUNTA(G$2863:G3443)=1,"",OFFSET(B3444,-COUNTA(G$2863:G3443)+1,0))</f>
        <v>a1bDm000000Y7s1IAC</v>
      </c>
      <c r="C3444" s="389">
        <f ca="1">IF(COUNTA(G$2863:G3443)=1,"",OFFSET(C3444,-COUNTA(G$2863:G3443)+1,0))</f>
        <v>17</v>
      </c>
      <c r="D3444" s="384">
        <f t="shared" si="193"/>
        <v>99</v>
      </c>
      <c r="E3444" s="384">
        <f t="shared" ca="1" si="194"/>
        <v>3</v>
      </c>
      <c r="F3444" s="384">
        <f t="shared" ca="1" si="195"/>
        <v>25</v>
      </c>
      <c r="G3444" s="384"/>
      <c r="H3444" s="388" t="str">
        <f t="shared" ca="1" si="191"/>
        <v/>
      </c>
      <c r="I3444" s="388" t="str">
        <f t="shared" ca="1" si="192"/>
        <v/>
      </c>
    </row>
    <row r="3445" spans="1:9" x14ac:dyDescent="0.3">
      <c r="A3445" s="384" t="b">
        <f t="shared" ca="1" si="190"/>
        <v>0</v>
      </c>
      <c r="B3445" s="393" t="str">
        <f ca="1">IF(COUNTA(G$2863:G3444)=1,"",OFFSET(B3445,-COUNTA(G$2863:G3444)+1,0))</f>
        <v>a1bDm000000Y7tJIAS</v>
      </c>
      <c r="C3445" s="389">
        <f ca="1">IF(COUNTA(G$2863:G3444)=1,"",OFFSET(C3445,-COUNTA(G$2863:G3444)+1,0))</f>
        <v>17</v>
      </c>
      <c r="D3445" s="384">
        <f t="shared" si="193"/>
        <v>100</v>
      </c>
      <c r="E3445" s="384">
        <f t="shared" ca="1" si="194"/>
        <v>4</v>
      </c>
      <c r="F3445" s="384">
        <f t="shared" ca="1" si="195"/>
        <v>25</v>
      </c>
      <c r="G3445" s="384"/>
      <c r="H3445" s="388" t="str">
        <f t="shared" ca="1" si="191"/>
        <v/>
      </c>
      <c r="I3445" s="388" t="str">
        <f t="shared" ca="1" si="192"/>
        <v/>
      </c>
    </row>
    <row r="3446" spans="1:9" x14ac:dyDescent="0.3">
      <c r="A3446" s="384" t="b">
        <f t="shared" ca="1" si="190"/>
        <v>0</v>
      </c>
      <c r="B3446" s="393" t="str">
        <f ca="1">IF(COUNTA(G$2863:G3445)=1,"",OFFSET(B3446,-COUNTA(G$2863:G3445)+1,0))</f>
        <v>a1bDm000000Y7ubIAC</v>
      </c>
      <c r="C3446" s="389">
        <f ca="1">IF(COUNTA(G$2863:G3445)=1,"",OFFSET(C3446,-COUNTA(G$2863:G3445)+1,0))</f>
        <v>17</v>
      </c>
      <c r="D3446" s="384">
        <f t="shared" si="193"/>
        <v>101</v>
      </c>
      <c r="E3446" s="384">
        <f t="shared" ca="1" si="194"/>
        <v>5</v>
      </c>
      <c r="F3446" s="384">
        <f t="shared" ca="1" si="195"/>
        <v>25</v>
      </c>
      <c r="G3446" s="384"/>
      <c r="H3446" s="388" t="str">
        <f t="shared" ca="1" si="191"/>
        <v/>
      </c>
      <c r="I3446" s="388" t="str">
        <f t="shared" ca="1" si="192"/>
        <v/>
      </c>
    </row>
    <row r="3447" spans="1:9" x14ac:dyDescent="0.3">
      <c r="A3447" s="384" t="b">
        <f t="shared" ca="1" si="190"/>
        <v>0</v>
      </c>
      <c r="B3447" s="393" t="str">
        <f ca="1">IF(COUNTA(G$2863:G3446)=1,"",OFFSET(B3447,-COUNTA(G$2863:G3446)+1,0))</f>
        <v>a1bDm000000Y7vtIAC</v>
      </c>
      <c r="C3447" s="389">
        <f ca="1">IF(COUNTA(G$2863:G3446)=1,"",OFFSET(C3447,-COUNTA(G$2863:G3446)+1,0))</f>
        <v>17</v>
      </c>
      <c r="D3447" s="384">
        <f t="shared" si="193"/>
        <v>102</v>
      </c>
      <c r="E3447" s="384">
        <f t="shared" ca="1" si="194"/>
        <v>6</v>
      </c>
      <c r="F3447" s="384">
        <f t="shared" ca="1" si="195"/>
        <v>25</v>
      </c>
      <c r="G3447" s="384"/>
      <c r="H3447" s="388" t="str">
        <f t="shared" ca="1" si="191"/>
        <v/>
      </c>
      <c r="I3447" s="388" t="str">
        <f t="shared" ca="1" si="192"/>
        <v/>
      </c>
    </row>
    <row r="3448" spans="1:9" x14ac:dyDescent="0.3">
      <c r="A3448" s="384" t="b">
        <f t="shared" ca="1" si="190"/>
        <v>0</v>
      </c>
      <c r="B3448" s="393" t="str">
        <f ca="1">IF(COUNTA(G$2863:G3447)=1,"",OFFSET(B3448,-COUNTA(G$2863:G3447)+1,0))</f>
        <v>a1bDm000000Y7pSIAS</v>
      </c>
      <c r="C3448" s="389">
        <f ca="1">IF(COUNTA(G$2863:G3447)=1,"",OFFSET(C3448,-COUNTA(G$2863:G3447)+1,0))</f>
        <v>18</v>
      </c>
      <c r="D3448" s="384">
        <f t="shared" si="193"/>
        <v>103</v>
      </c>
      <c r="E3448" s="384">
        <f t="shared" ca="1" si="194"/>
        <v>1</v>
      </c>
      <c r="F3448" s="384">
        <f t="shared" ca="1" si="195"/>
        <v>26</v>
      </c>
      <c r="G3448" s="384"/>
      <c r="H3448" s="388" t="str">
        <f t="shared" ca="1" si="191"/>
        <v/>
      </c>
      <c r="I3448" s="388" t="str">
        <f t="shared" ca="1" si="192"/>
        <v/>
      </c>
    </row>
    <row r="3449" spans="1:9" x14ac:dyDescent="0.3">
      <c r="A3449" s="384" t="b">
        <f t="shared" ca="1" si="190"/>
        <v>0</v>
      </c>
      <c r="B3449" s="393" t="str">
        <f ca="1">IF(COUNTA(G$2863:G3448)=1,"",OFFSET(B3449,-COUNTA(G$2863:G3448)+1,0))</f>
        <v>a1bDm000000Y7qkIAC</v>
      </c>
      <c r="C3449" s="389">
        <f ca="1">IF(COUNTA(G$2863:G3448)=1,"",OFFSET(C3449,-COUNTA(G$2863:G3448)+1,0))</f>
        <v>18</v>
      </c>
      <c r="D3449" s="384">
        <f t="shared" si="193"/>
        <v>104</v>
      </c>
      <c r="E3449" s="384">
        <f t="shared" ca="1" si="194"/>
        <v>2</v>
      </c>
      <c r="F3449" s="384">
        <f t="shared" ca="1" si="195"/>
        <v>26</v>
      </c>
      <c r="G3449" s="384"/>
      <c r="H3449" s="388" t="str">
        <f t="shared" ca="1" si="191"/>
        <v/>
      </c>
      <c r="I3449" s="388" t="str">
        <f t="shared" ca="1" si="192"/>
        <v/>
      </c>
    </row>
    <row r="3450" spans="1:9" x14ac:dyDescent="0.3">
      <c r="A3450" s="384" t="b">
        <f t="shared" ca="1" si="190"/>
        <v>0</v>
      </c>
      <c r="B3450" s="393" t="str">
        <f ca="1">IF(COUNTA(G$2863:G3449)=1,"",OFFSET(B3450,-COUNTA(G$2863:G3449)+1,0))</f>
        <v>a1bDm000000Y7s2IAC</v>
      </c>
      <c r="C3450" s="389">
        <f ca="1">IF(COUNTA(G$2863:G3449)=1,"",OFFSET(C3450,-COUNTA(G$2863:G3449)+1,0))</f>
        <v>18</v>
      </c>
      <c r="D3450" s="384">
        <f t="shared" si="193"/>
        <v>105</v>
      </c>
      <c r="E3450" s="384">
        <f t="shared" ca="1" si="194"/>
        <v>3</v>
      </c>
      <c r="F3450" s="384">
        <f t="shared" ca="1" si="195"/>
        <v>26</v>
      </c>
      <c r="G3450" s="384"/>
      <c r="H3450" s="388" t="str">
        <f t="shared" ca="1" si="191"/>
        <v/>
      </c>
      <c r="I3450" s="388" t="str">
        <f t="shared" ca="1" si="192"/>
        <v/>
      </c>
    </row>
    <row r="3451" spans="1:9" x14ac:dyDescent="0.3">
      <c r="A3451" s="384" t="b">
        <f t="shared" ca="1" si="190"/>
        <v>0</v>
      </c>
      <c r="B3451" s="393" t="str">
        <f ca="1">IF(COUNTA(G$2863:G3450)=1,"",OFFSET(B3451,-COUNTA(G$2863:G3450)+1,0))</f>
        <v>a1bDm000000Y7tKIAS</v>
      </c>
      <c r="C3451" s="389">
        <f ca="1">IF(COUNTA(G$2863:G3450)=1,"",OFFSET(C3451,-COUNTA(G$2863:G3450)+1,0))</f>
        <v>18</v>
      </c>
      <c r="D3451" s="384">
        <f t="shared" si="193"/>
        <v>106</v>
      </c>
      <c r="E3451" s="384">
        <f t="shared" ca="1" si="194"/>
        <v>4</v>
      </c>
      <c r="F3451" s="384">
        <f t="shared" ca="1" si="195"/>
        <v>26</v>
      </c>
      <c r="G3451" s="384"/>
      <c r="H3451" s="388" t="str">
        <f t="shared" ca="1" si="191"/>
        <v/>
      </c>
      <c r="I3451" s="388" t="str">
        <f t="shared" ca="1" si="192"/>
        <v/>
      </c>
    </row>
    <row r="3452" spans="1:9" x14ac:dyDescent="0.3">
      <c r="A3452" s="384" t="b">
        <f t="shared" ca="1" si="190"/>
        <v>0</v>
      </c>
      <c r="B3452" s="393" t="str">
        <f ca="1">IF(COUNTA(G$2863:G3451)=1,"",OFFSET(B3452,-COUNTA(G$2863:G3451)+1,0))</f>
        <v>a1bDm000000Y7ucIAC</v>
      </c>
      <c r="C3452" s="389">
        <f ca="1">IF(COUNTA(G$2863:G3451)=1,"",OFFSET(C3452,-COUNTA(G$2863:G3451)+1,0))</f>
        <v>18</v>
      </c>
      <c r="D3452" s="384">
        <f t="shared" si="193"/>
        <v>107</v>
      </c>
      <c r="E3452" s="384">
        <f t="shared" ca="1" si="194"/>
        <v>5</v>
      </c>
      <c r="F3452" s="384">
        <f t="shared" ca="1" si="195"/>
        <v>26</v>
      </c>
      <c r="G3452" s="384"/>
      <c r="H3452" s="388" t="str">
        <f t="shared" ca="1" si="191"/>
        <v/>
      </c>
      <c r="I3452" s="388" t="str">
        <f t="shared" ca="1" si="192"/>
        <v/>
      </c>
    </row>
    <row r="3453" spans="1:9" x14ac:dyDescent="0.3">
      <c r="A3453" s="384" t="b">
        <f t="shared" ca="1" si="190"/>
        <v>0</v>
      </c>
      <c r="B3453" s="393" t="str">
        <f ca="1">IF(COUNTA(G$2863:G3452)=1,"",OFFSET(B3453,-COUNTA(G$2863:G3452)+1,0))</f>
        <v>a1bDm000000Y7vuIAC</v>
      </c>
      <c r="C3453" s="389">
        <f ca="1">IF(COUNTA(G$2863:G3452)=1,"",OFFSET(C3453,-COUNTA(G$2863:G3452)+1,0))</f>
        <v>18</v>
      </c>
      <c r="D3453" s="384">
        <f t="shared" si="193"/>
        <v>108</v>
      </c>
      <c r="E3453" s="384">
        <f t="shared" ca="1" si="194"/>
        <v>6</v>
      </c>
      <c r="F3453" s="384">
        <f t="shared" ca="1" si="195"/>
        <v>26</v>
      </c>
      <c r="G3453" s="384"/>
      <c r="H3453" s="388" t="str">
        <f t="shared" ca="1" si="191"/>
        <v/>
      </c>
      <c r="I3453" s="388" t="str">
        <f t="shared" ca="1" si="192"/>
        <v/>
      </c>
    </row>
    <row r="3454" spans="1:9" x14ac:dyDescent="0.3">
      <c r="A3454" s="384" t="b">
        <f t="shared" ca="1" si="190"/>
        <v>0</v>
      </c>
      <c r="B3454" s="393" t="str">
        <f ca="1">IF(COUNTA(G$2863:G3453)=1,"",OFFSET(B3454,-COUNTA(G$2863:G3453)+1,0))</f>
        <v>a1bDm000000Y7pTIAS</v>
      </c>
      <c r="C3454" s="389">
        <f ca="1">IF(COUNTA(G$2863:G3453)=1,"",OFFSET(C3454,-COUNTA(G$2863:G3453)+1,0))</f>
        <v>19</v>
      </c>
      <c r="D3454" s="384">
        <f t="shared" si="193"/>
        <v>109</v>
      </c>
      <c r="E3454" s="384">
        <f t="shared" ca="1" si="194"/>
        <v>1</v>
      </c>
      <c r="F3454" s="384">
        <f t="shared" ca="1" si="195"/>
        <v>27</v>
      </c>
      <c r="G3454" s="384"/>
      <c r="H3454" s="388" t="str">
        <f t="shared" ca="1" si="191"/>
        <v/>
      </c>
      <c r="I3454" s="388" t="str">
        <f t="shared" ca="1" si="192"/>
        <v/>
      </c>
    </row>
    <row r="3455" spans="1:9" x14ac:dyDescent="0.3">
      <c r="A3455" s="384" t="b">
        <f t="shared" ca="1" si="190"/>
        <v>0</v>
      </c>
      <c r="B3455" s="393" t="str">
        <f ca="1">IF(COUNTA(G$2863:G3454)=1,"",OFFSET(B3455,-COUNTA(G$2863:G3454)+1,0))</f>
        <v>a1bDm000000Y7qlIAC</v>
      </c>
      <c r="C3455" s="389">
        <f ca="1">IF(COUNTA(G$2863:G3454)=1,"",OFFSET(C3455,-COUNTA(G$2863:G3454)+1,0))</f>
        <v>19</v>
      </c>
      <c r="D3455" s="384">
        <f t="shared" si="193"/>
        <v>110</v>
      </c>
      <c r="E3455" s="384">
        <f t="shared" ca="1" si="194"/>
        <v>2</v>
      </c>
      <c r="F3455" s="384">
        <f t="shared" ca="1" si="195"/>
        <v>27</v>
      </c>
      <c r="G3455" s="384"/>
      <c r="H3455" s="388" t="str">
        <f t="shared" ca="1" si="191"/>
        <v/>
      </c>
      <c r="I3455" s="388" t="str">
        <f t="shared" ca="1" si="192"/>
        <v/>
      </c>
    </row>
    <row r="3456" spans="1:9" x14ac:dyDescent="0.3">
      <c r="A3456" s="384" t="b">
        <f t="shared" ca="1" si="190"/>
        <v>0</v>
      </c>
      <c r="B3456" s="393" t="str">
        <f ca="1">IF(COUNTA(G$2863:G3455)=1,"",OFFSET(B3456,-COUNTA(G$2863:G3455)+1,0))</f>
        <v>a1bDm000000Y7s3IAC</v>
      </c>
      <c r="C3456" s="389">
        <f ca="1">IF(COUNTA(G$2863:G3455)=1,"",OFFSET(C3456,-COUNTA(G$2863:G3455)+1,0))</f>
        <v>19</v>
      </c>
      <c r="D3456" s="384">
        <f t="shared" si="193"/>
        <v>111</v>
      </c>
      <c r="E3456" s="384">
        <f t="shared" ca="1" si="194"/>
        <v>3</v>
      </c>
      <c r="F3456" s="384">
        <f t="shared" ca="1" si="195"/>
        <v>27</v>
      </c>
      <c r="G3456" s="384"/>
      <c r="H3456" s="388" t="str">
        <f t="shared" ca="1" si="191"/>
        <v/>
      </c>
      <c r="I3456" s="388" t="str">
        <f t="shared" ca="1" si="192"/>
        <v/>
      </c>
    </row>
    <row r="3457" spans="1:9" x14ac:dyDescent="0.3">
      <c r="A3457" s="384" t="b">
        <f t="shared" ca="1" si="190"/>
        <v>0</v>
      </c>
      <c r="B3457" s="393" t="str">
        <f ca="1">IF(COUNTA(G$2863:G3456)=1,"",OFFSET(B3457,-COUNTA(G$2863:G3456)+1,0))</f>
        <v>a1bDm000000Y7tLIAS</v>
      </c>
      <c r="C3457" s="389">
        <f ca="1">IF(COUNTA(G$2863:G3456)=1,"",OFFSET(C3457,-COUNTA(G$2863:G3456)+1,0))</f>
        <v>19</v>
      </c>
      <c r="D3457" s="384">
        <f t="shared" si="193"/>
        <v>112</v>
      </c>
      <c r="E3457" s="384">
        <f t="shared" ca="1" si="194"/>
        <v>4</v>
      </c>
      <c r="F3457" s="384">
        <f t="shared" ca="1" si="195"/>
        <v>27</v>
      </c>
      <c r="G3457" s="384"/>
      <c r="H3457" s="388" t="str">
        <f t="shared" ca="1" si="191"/>
        <v/>
      </c>
      <c r="I3457" s="388" t="str">
        <f t="shared" ca="1" si="192"/>
        <v/>
      </c>
    </row>
    <row r="3458" spans="1:9" x14ac:dyDescent="0.3">
      <c r="A3458" s="384" t="b">
        <f t="shared" ca="1" si="190"/>
        <v>0</v>
      </c>
      <c r="B3458" s="393" t="str">
        <f ca="1">IF(COUNTA(G$2863:G3457)=1,"",OFFSET(B3458,-COUNTA(G$2863:G3457)+1,0))</f>
        <v>a1bDm000000Y7udIAC</v>
      </c>
      <c r="C3458" s="389">
        <f ca="1">IF(COUNTA(G$2863:G3457)=1,"",OFFSET(C3458,-COUNTA(G$2863:G3457)+1,0))</f>
        <v>19</v>
      </c>
      <c r="D3458" s="384">
        <f t="shared" si="193"/>
        <v>113</v>
      </c>
      <c r="E3458" s="384">
        <f t="shared" ca="1" si="194"/>
        <v>5</v>
      </c>
      <c r="F3458" s="384">
        <f t="shared" ca="1" si="195"/>
        <v>27</v>
      </c>
      <c r="G3458" s="384"/>
      <c r="H3458" s="388" t="str">
        <f t="shared" ca="1" si="191"/>
        <v/>
      </c>
      <c r="I3458" s="388" t="str">
        <f t="shared" ca="1" si="192"/>
        <v/>
      </c>
    </row>
    <row r="3459" spans="1:9" x14ac:dyDescent="0.3">
      <c r="A3459" s="384" t="b">
        <f t="shared" ca="1" si="190"/>
        <v>0</v>
      </c>
      <c r="B3459" s="393" t="str">
        <f ca="1">IF(COUNTA(G$2863:G3458)=1,"",OFFSET(B3459,-COUNTA(G$2863:G3458)+1,0))</f>
        <v>a1bDm000000Y7vvIAC</v>
      </c>
      <c r="C3459" s="389">
        <f ca="1">IF(COUNTA(G$2863:G3458)=1,"",OFFSET(C3459,-COUNTA(G$2863:G3458)+1,0))</f>
        <v>19</v>
      </c>
      <c r="D3459" s="384">
        <f t="shared" si="193"/>
        <v>114</v>
      </c>
      <c r="E3459" s="384">
        <f t="shared" ca="1" si="194"/>
        <v>6</v>
      </c>
      <c r="F3459" s="384">
        <f t="shared" ca="1" si="195"/>
        <v>27</v>
      </c>
      <c r="G3459" s="384"/>
      <c r="H3459" s="388" t="str">
        <f t="shared" ca="1" si="191"/>
        <v/>
      </c>
      <c r="I3459" s="388" t="str">
        <f t="shared" ca="1" si="192"/>
        <v/>
      </c>
    </row>
    <row r="3460" spans="1:9" x14ac:dyDescent="0.3">
      <c r="A3460" s="384" t="b">
        <f t="shared" ca="1" si="190"/>
        <v>0</v>
      </c>
      <c r="B3460" s="393" t="str">
        <f ca="1">IF(COUNTA(G$2863:G3459)=1,"",OFFSET(B3460,-COUNTA(G$2863:G3459)+1,0))</f>
        <v>a1bDm000000Y7pUIAS</v>
      </c>
      <c r="C3460" s="389">
        <f ca="1">IF(COUNTA(G$2863:G3459)=1,"",OFFSET(C3460,-COUNTA(G$2863:G3459)+1,0))</f>
        <v>20</v>
      </c>
      <c r="D3460" s="384">
        <f t="shared" si="193"/>
        <v>115</v>
      </c>
      <c r="E3460" s="384">
        <f t="shared" ca="1" si="194"/>
        <v>1</v>
      </c>
      <c r="F3460" s="384">
        <f t="shared" ca="1" si="195"/>
        <v>28</v>
      </c>
      <c r="G3460" s="384"/>
      <c r="H3460" s="388" t="str">
        <f t="shared" ca="1" si="191"/>
        <v/>
      </c>
      <c r="I3460" s="388" t="str">
        <f t="shared" ca="1" si="192"/>
        <v/>
      </c>
    </row>
    <row r="3461" spans="1:9" x14ac:dyDescent="0.3">
      <c r="A3461" s="384" t="b">
        <f t="shared" ca="1" si="190"/>
        <v>0</v>
      </c>
      <c r="B3461" s="393" t="str">
        <f ca="1">IF(COUNTA(G$2863:G3460)=1,"",OFFSET(B3461,-COUNTA(G$2863:G3460)+1,0))</f>
        <v>a1bDm000000Y7qmIAC</v>
      </c>
      <c r="C3461" s="389">
        <f ca="1">IF(COUNTA(G$2863:G3460)=1,"",OFFSET(C3461,-COUNTA(G$2863:G3460)+1,0))</f>
        <v>20</v>
      </c>
      <c r="D3461" s="384">
        <f t="shared" si="193"/>
        <v>116</v>
      </c>
      <c r="E3461" s="384">
        <f t="shared" ca="1" si="194"/>
        <v>2</v>
      </c>
      <c r="F3461" s="384">
        <f t="shared" ca="1" si="195"/>
        <v>28</v>
      </c>
      <c r="G3461" s="384"/>
      <c r="H3461" s="388" t="str">
        <f t="shared" ca="1" si="191"/>
        <v/>
      </c>
      <c r="I3461" s="388" t="str">
        <f t="shared" ca="1" si="192"/>
        <v/>
      </c>
    </row>
    <row r="3462" spans="1:9" x14ac:dyDescent="0.3">
      <c r="A3462" s="384" t="b">
        <f t="shared" ca="1" si="190"/>
        <v>0</v>
      </c>
      <c r="B3462" s="393" t="str">
        <f ca="1">IF(COUNTA(G$2863:G3461)=1,"",OFFSET(B3462,-COUNTA(G$2863:G3461)+1,0))</f>
        <v>a1bDm000000Y7s4IAC</v>
      </c>
      <c r="C3462" s="389">
        <f ca="1">IF(COUNTA(G$2863:G3461)=1,"",OFFSET(C3462,-COUNTA(G$2863:G3461)+1,0))</f>
        <v>20</v>
      </c>
      <c r="D3462" s="384">
        <f t="shared" si="193"/>
        <v>117</v>
      </c>
      <c r="E3462" s="384">
        <f t="shared" ca="1" si="194"/>
        <v>3</v>
      </c>
      <c r="F3462" s="384">
        <f t="shared" ca="1" si="195"/>
        <v>28</v>
      </c>
      <c r="G3462" s="384"/>
      <c r="H3462" s="388" t="str">
        <f t="shared" ca="1" si="191"/>
        <v/>
      </c>
      <c r="I3462" s="388" t="str">
        <f t="shared" ca="1" si="192"/>
        <v/>
      </c>
    </row>
    <row r="3463" spans="1:9" x14ac:dyDescent="0.3">
      <c r="A3463" s="384" t="b">
        <f t="shared" ca="1" si="190"/>
        <v>0</v>
      </c>
      <c r="B3463" s="393" t="str">
        <f ca="1">IF(COUNTA(G$2863:G3462)=1,"",OFFSET(B3463,-COUNTA(G$2863:G3462)+1,0))</f>
        <v>a1bDm000000Y7tMIAS</v>
      </c>
      <c r="C3463" s="389">
        <f ca="1">IF(COUNTA(G$2863:G3462)=1,"",OFFSET(C3463,-COUNTA(G$2863:G3462)+1,0))</f>
        <v>20</v>
      </c>
      <c r="D3463" s="384">
        <f t="shared" si="193"/>
        <v>118</v>
      </c>
      <c r="E3463" s="384">
        <f t="shared" ca="1" si="194"/>
        <v>4</v>
      </c>
      <c r="F3463" s="384">
        <f t="shared" ca="1" si="195"/>
        <v>28</v>
      </c>
      <c r="G3463" s="384"/>
      <c r="H3463" s="388" t="str">
        <f t="shared" ca="1" si="191"/>
        <v/>
      </c>
      <c r="I3463" s="388" t="str">
        <f t="shared" ca="1" si="192"/>
        <v/>
      </c>
    </row>
    <row r="3464" spans="1:9" x14ac:dyDescent="0.3">
      <c r="A3464" s="384" t="b">
        <f t="shared" ca="1" si="190"/>
        <v>0</v>
      </c>
      <c r="B3464" s="393" t="str">
        <f ca="1">IF(COUNTA(G$2863:G3463)=1,"",OFFSET(B3464,-COUNTA(G$2863:G3463)+1,0))</f>
        <v>a1bDm000000Y7ueIAC</v>
      </c>
      <c r="C3464" s="389">
        <f ca="1">IF(COUNTA(G$2863:G3463)=1,"",OFFSET(C3464,-COUNTA(G$2863:G3463)+1,0))</f>
        <v>20</v>
      </c>
      <c r="D3464" s="384">
        <f t="shared" si="193"/>
        <v>119</v>
      </c>
      <c r="E3464" s="384">
        <f t="shared" ca="1" si="194"/>
        <v>5</v>
      </c>
      <c r="F3464" s="384">
        <f t="shared" ca="1" si="195"/>
        <v>28</v>
      </c>
      <c r="G3464" s="384"/>
      <c r="H3464" s="388" t="str">
        <f t="shared" ca="1" si="191"/>
        <v/>
      </c>
      <c r="I3464" s="388" t="str">
        <f t="shared" ca="1" si="192"/>
        <v/>
      </c>
    </row>
    <row r="3465" spans="1:9" x14ac:dyDescent="0.3">
      <c r="A3465" s="384" t="b">
        <f t="shared" ca="1" si="190"/>
        <v>0</v>
      </c>
      <c r="B3465" s="393" t="str">
        <f ca="1">IF(COUNTA(G$2863:G3464)=1,"",OFFSET(B3465,-COUNTA(G$2863:G3464)+1,0))</f>
        <v>a1bDm000000Y7vwIAC</v>
      </c>
      <c r="C3465" s="389">
        <f ca="1">IF(COUNTA(G$2863:G3464)=1,"",OFFSET(C3465,-COUNTA(G$2863:G3464)+1,0))</f>
        <v>20</v>
      </c>
      <c r="D3465" s="384">
        <f t="shared" si="193"/>
        <v>120</v>
      </c>
      <c r="E3465" s="384">
        <f t="shared" ca="1" si="194"/>
        <v>6</v>
      </c>
      <c r="F3465" s="384">
        <f t="shared" ca="1" si="195"/>
        <v>28</v>
      </c>
      <c r="G3465" s="384"/>
      <c r="H3465" s="388" t="str">
        <f t="shared" ca="1" si="191"/>
        <v/>
      </c>
      <c r="I3465" s="388" t="str">
        <f t="shared" ca="1" si="192"/>
        <v/>
      </c>
    </row>
    <row r="3466" spans="1:9" x14ac:dyDescent="0.3">
      <c r="A3466" s="384" t="b">
        <f t="shared" ca="1" si="190"/>
        <v>0</v>
      </c>
      <c r="B3466" s="393" t="str">
        <f ca="1">IF(COUNTA(G$2863:G3465)=1,"",OFFSET(B3466,-COUNTA(G$2863:G3465)+1,0))</f>
        <v>a1bDm000000Y7pVIAS</v>
      </c>
      <c r="C3466" s="389">
        <f ca="1">IF(COUNTA(G$2863:G3465)=1,"",OFFSET(C3466,-COUNTA(G$2863:G3465)+1,0))</f>
        <v>21</v>
      </c>
      <c r="D3466" s="384">
        <f t="shared" si="193"/>
        <v>121</v>
      </c>
      <c r="E3466" s="384">
        <f t="shared" ca="1" si="194"/>
        <v>1</v>
      </c>
      <c r="F3466" s="384">
        <f t="shared" ca="1" si="195"/>
        <v>29</v>
      </c>
      <c r="G3466" s="384"/>
      <c r="H3466" s="388" t="str">
        <f t="shared" ca="1" si="191"/>
        <v/>
      </c>
      <c r="I3466" s="388" t="str">
        <f t="shared" ca="1" si="192"/>
        <v/>
      </c>
    </row>
    <row r="3467" spans="1:9" x14ac:dyDescent="0.3">
      <c r="A3467" s="384" t="b">
        <f t="shared" ca="1" si="190"/>
        <v>0</v>
      </c>
      <c r="B3467" s="393" t="str">
        <f ca="1">IF(COUNTA(G$2863:G3466)=1,"",OFFSET(B3467,-COUNTA(G$2863:G3466)+1,0))</f>
        <v>a1bDm000000Y7qnIAC</v>
      </c>
      <c r="C3467" s="389">
        <f ca="1">IF(COUNTA(G$2863:G3466)=1,"",OFFSET(C3467,-COUNTA(G$2863:G3466)+1,0))</f>
        <v>21</v>
      </c>
      <c r="D3467" s="384">
        <f t="shared" si="193"/>
        <v>122</v>
      </c>
      <c r="E3467" s="384">
        <f t="shared" ca="1" si="194"/>
        <v>2</v>
      </c>
      <c r="F3467" s="384">
        <f t="shared" ca="1" si="195"/>
        <v>29</v>
      </c>
      <c r="G3467" s="384"/>
      <c r="H3467" s="388" t="str">
        <f t="shared" ca="1" si="191"/>
        <v/>
      </c>
      <c r="I3467" s="388" t="str">
        <f t="shared" ca="1" si="192"/>
        <v/>
      </c>
    </row>
    <row r="3468" spans="1:9" x14ac:dyDescent="0.3">
      <c r="A3468" s="384" t="b">
        <f t="shared" ca="1" si="190"/>
        <v>0</v>
      </c>
      <c r="B3468" s="393" t="str">
        <f ca="1">IF(COUNTA(G$2863:G3467)=1,"",OFFSET(B3468,-COUNTA(G$2863:G3467)+1,0))</f>
        <v>a1bDm000000Y7s5IAC</v>
      </c>
      <c r="C3468" s="389">
        <f ca="1">IF(COUNTA(G$2863:G3467)=1,"",OFFSET(C3468,-COUNTA(G$2863:G3467)+1,0))</f>
        <v>21</v>
      </c>
      <c r="D3468" s="384">
        <f t="shared" si="193"/>
        <v>123</v>
      </c>
      <c r="E3468" s="384">
        <f t="shared" ca="1" si="194"/>
        <v>3</v>
      </c>
      <c r="F3468" s="384">
        <f t="shared" ca="1" si="195"/>
        <v>29</v>
      </c>
      <c r="G3468" s="384"/>
      <c r="H3468" s="388" t="str">
        <f t="shared" ca="1" si="191"/>
        <v/>
      </c>
      <c r="I3468" s="388" t="str">
        <f t="shared" ca="1" si="192"/>
        <v/>
      </c>
    </row>
    <row r="3469" spans="1:9" x14ac:dyDescent="0.3">
      <c r="A3469" s="384" t="b">
        <f t="shared" ca="1" si="190"/>
        <v>0</v>
      </c>
      <c r="B3469" s="393" t="str">
        <f ca="1">IF(COUNTA(G$2863:G3468)=1,"",OFFSET(B3469,-COUNTA(G$2863:G3468)+1,0))</f>
        <v>a1bDm000000Y7tNIAS</v>
      </c>
      <c r="C3469" s="389">
        <f ca="1">IF(COUNTA(G$2863:G3468)=1,"",OFFSET(C3469,-COUNTA(G$2863:G3468)+1,0))</f>
        <v>21</v>
      </c>
      <c r="D3469" s="384">
        <f t="shared" si="193"/>
        <v>124</v>
      </c>
      <c r="E3469" s="384">
        <f t="shared" ca="1" si="194"/>
        <v>4</v>
      </c>
      <c r="F3469" s="384">
        <f t="shared" ca="1" si="195"/>
        <v>29</v>
      </c>
      <c r="G3469" s="384"/>
      <c r="H3469" s="388" t="str">
        <f t="shared" ca="1" si="191"/>
        <v/>
      </c>
      <c r="I3469" s="388" t="str">
        <f t="shared" ca="1" si="192"/>
        <v/>
      </c>
    </row>
    <row r="3470" spans="1:9" x14ac:dyDescent="0.3">
      <c r="A3470" s="384" t="b">
        <f t="shared" ca="1" si="190"/>
        <v>0</v>
      </c>
      <c r="B3470" s="393" t="str">
        <f ca="1">IF(COUNTA(G$2863:G3469)=1,"",OFFSET(B3470,-COUNTA(G$2863:G3469)+1,0))</f>
        <v>a1bDm000000Y7ufIAC</v>
      </c>
      <c r="C3470" s="389">
        <f ca="1">IF(COUNTA(G$2863:G3469)=1,"",OFFSET(C3470,-COUNTA(G$2863:G3469)+1,0))</f>
        <v>21</v>
      </c>
      <c r="D3470" s="384">
        <f t="shared" si="193"/>
        <v>125</v>
      </c>
      <c r="E3470" s="384">
        <f t="shared" ca="1" si="194"/>
        <v>5</v>
      </c>
      <c r="F3470" s="384">
        <f t="shared" ca="1" si="195"/>
        <v>29</v>
      </c>
      <c r="G3470" s="384"/>
      <c r="H3470" s="388" t="str">
        <f t="shared" ca="1" si="191"/>
        <v/>
      </c>
      <c r="I3470" s="388" t="str">
        <f t="shared" ca="1" si="192"/>
        <v/>
      </c>
    </row>
    <row r="3471" spans="1:9" x14ac:dyDescent="0.3">
      <c r="A3471" s="384" t="b">
        <f t="shared" ca="1" si="190"/>
        <v>0</v>
      </c>
      <c r="B3471" s="393" t="str">
        <f ca="1">IF(COUNTA(G$2863:G3470)=1,"",OFFSET(B3471,-COUNTA(G$2863:G3470)+1,0))</f>
        <v>a1bDm000000Y7vxIAC</v>
      </c>
      <c r="C3471" s="389">
        <f ca="1">IF(COUNTA(G$2863:G3470)=1,"",OFFSET(C3471,-COUNTA(G$2863:G3470)+1,0))</f>
        <v>21</v>
      </c>
      <c r="D3471" s="384">
        <f t="shared" si="193"/>
        <v>126</v>
      </c>
      <c r="E3471" s="384">
        <f t="shared" ca="1" si="194"/>
        <v>6</v>
      </c>
      <c r="F3471" s="384">
        <f t="shared" ca="1" si="195"/>
        <v>29</v>
      </c>
      <c r="G3471" s="384"/>
      <c r="H3471" s="388" t="str">
        <f t="shared" ca="1" si="191"/>
        <v/>
      </c>
      <c r="I3471" s="388" t="str">
        <f t="shared" ca="1" si="192"/>
        <v/>
      </c>
    </row>
    <row r="3472" spans="1:9" x14ac:dyDescent="0.3">
      <c r="A3472" s="384" t="b">
        <f t="shared" ca="1" si="190"/>
        <v>0</v>
      </c>
      <c r="B3472" s="393" t="str">
        <f ca="1">IF(COUNTA(G$2863:G3471)=1,"",OFFSET(B3472,-COUNTA(G$2863:G3471)+1,0))</f>
        <v>a1bDm000000Y7pWIAS</v>
      </c>
      <c r="C3472" s="389">
        <f ca="1">IF(COUNTA(G$2863:G3471)=1,"",OFFSET(C3472,-COUNTA(G$2863:G3471)+1,0))</f>
        <v>22</v>
      </c>
      <c r="D3472" s="384">
        <f t="shared" si="193"/>
        <v>127</v>
      </c>
      <c r="E3472" s="384">
        <f t="shared" ca="1" si="194"/>
        <v>1</v>
      </c>
      <c r="F3472" s="384">
        <f t="shared" ca="1" si="195"/>
        <v>30</v>
      </c>
      <c r="G3472" s="384"/>
      <c r="H3472" s="388" t="str">
        <f t="shared" ca="1" si="191"/>
        <v/>
      </c>
      <c r="I3472" s="388" t="str">
        <f t="shared" ca="1" si="192"/>
        <v/>
      </c>
    </row>
    <row r="3473" spans="1:9" x14ac:dyDescent="0.3">
      <c r="A3473" s="384" t="b">
        <f t="shared" ca="1" si="190"/>
        <v>0</v>
      </c>
      <c r="B3473" s="393" t="str">
        <f ca="1">IF(COUNTA(G$2863:G3472)=1,"",OFFSET(B3473,-COUNTA(G$2863:G3472)+1,0))</f>
        <v>a1bDm000000Y7qoIAC</v>
      </c>
      <c r="C3473" s="389">
        <f ca="1">IF(COUNTA(G$2863:G3472)=1,"",OFFSET(C3473,-COUNTA(G$2863:G3472)+1,0))</f>
        <v>22</v>
      </c>
      <c r="D3473" s="384">
        <f t="shared" si="193"/>
        <v>128</v>
      </c>
      <c r="E3473" s="384">
        <f t="shared" ca="1" si="194"/>
        <v>2</v>
      </c>
      <c r="F3473" s="384">
        <f t="shared" ca="1" si="195"/>
        <v>30</v>
      </c>
      <c r="G3473" s="384"/>
      <c r="H3473" s="388" t="str">
        <f t="shared" ca="1" si="191"/>
        <v/>
      </c>
      <c r="I3473" s="388" t="str">
        <f t="shared" ca="1" si="192"/>
        <v/>
      </c>
    </row>
    <row r="3474" spans="1:9" x14ac:dyDescent="0.3">
      <c r="A3474" s="384" t="b">
        <f t="shared" ref="A3474:A3537" ca="1" si="196">IF(OR(AND(H3474&lt;&gt;"", H3474&lt;&gt;0), AND(I3474&lt;&gt;"",I3474&lt;&gt;0)),TRUE,FALSE)</f>
        <v>0</v>
      </c>
      <c r="B3474" s="393" t="str">
        <f ca="1">IF(COUNTA(G$2863:G3473)=1,"",OFFSET(B3474,-COUNTA(G$2863:G3473)+1,0))</f>
        <v>a1bDm000000Y7s6IAC</v>
      </c>
      <c r="C3474" s="389">
        <f ca="1">IF(COUNTA(G$2863:G3473)=1,"",OFFSET(C3474,-COUNTA(G$2863:G3473)+1,0))</f>
        <v>22</v>
      </c>
      <c r="D3474" s="384">
        <f t="shared" si="193"/>
        <v>129</v>
      </c>
      <c r="E3474" s="384">
        <f t="shared" ca="1" si="194"/>
        <v>3</v>
      </c>
      <c r="F3474" s="384">
        <f t="shared" ca="1" si="195"/>
        <v>30</v>
      </c>
      <c r="G3474" s="384"/>
      <c r="H3474" s="388" t="str">
        <f t="shared" ref="H3474:H3537" ca="1" si="197">CHOOSE(E3474,IFERROR(IF(INDIRECT("'WPTM - Section F'!H"&amp;F3474)=0,"",INDIRECT("'WPTM - Section F'!H"&amp;$F3474)),""),IFERROR(IF(INDIRECT("'WPTM - Section F'!J"&amp;F3474)=0,"",INDIRECT("'WPTM - Section F'!J"&amp;$F3474)),""),IFERROR(IF(INDIRECT("'WPTM - Section F'!L"&amp;F3474)=0,"",INDIRECT("'WPTM - Section F'!L"&amp;$F3474)),""),IFERROR(IF(INDIRECT("'WPTM - Section F'!N"&amp;F3474)=0,"",INDIRECT("'WPTM - Section F'!N"&amp;$F3474)),""),IFERROR(IF(INDIRECT("'WPTM - Section F'!P"&amp;F3474)=0,"",INDIRECT("'WPTM - Section F'!P"&amp;$F3474)),""),IFERROR(IF(INDIRECT("'WPTM - Section F'!R"&amp;F3474)=0,"",INDIRECT("'WPTM - Section F'!R"&amp;$F3474)),""),IFERROR(IF(INDIRECT("'WPTM - Section F'!T"&amp;F3474)=0,"",INDIRECT("'WPTM - Section F'!T"&amp;$F3474)),""),IFERROR(IF(INDIRECT("'WPTM - Section F'!V"&amp;F3474)=0,"",INDIRECT("'WPTM - Section F'!V"&amp;$F3474)),""),)</f>
        <v/>
      </c>
      <c r="I3474" s="388" t="str">
        <f t="shared" ref="I3474:I3537" ca="1" si="198">CHOOSE(E3474,IFERROR(IF(INDIRECT("'WPTM - Section F'!G"&amp;F3474)=0,"",INDIRECT("'WPTM - Section F'!G"&amp;$F3474)),""),IFERROR(IF(INDIRECT("'WPTM - Section F'!I"&amp;F3474)=0,"",INDIRECT("'WPTM - Section F'!I"&amp;$F3474)),""),IFERROR(IF(INDIRECT("'WPTM - Section F'!K"&amp;F3474)=0,"",INDIRECT("'WPTM - Section F'!K"&amp;$F3474)),""),IFERROR(IF(INDIRECT("'WPTM - Section F'!M"&amp;F3474)=0,"",INDIRECT("'WPTM - Section F'!M"&amp;$F3474)),""),IFERROR(IF(INDIRECT("'WPTM - Section F'!O"&amp;F3474)=0,"",INDIRECT("'WPTM - Section F'!O"&amp;$F3474)),""),IFERROR(IF(INDIRECT("'WPTM - Section F'!Q"&amp;F3474)=0,"",INDIRECT("'WPTM - Section F'!Q"&amp;$F3474)),""),IFERROR(IF(INDIRECT("'WPTM - Section F'!S"&amp;F3474)=0,"",INDIRECT("'WPTM - Section F'!S"&amp;$F3474)),""),IFERROR(IF(INDIRECT("'WPTM - Section F'!U"&amp;F3474)=0,"",INDIRECT("'WPTM - Section F'!U"&amp;$F3474)),""),)</f>
        <v/>
      </c>
    </row>
    <row r="3475" spans="1:9" x14ac:dyDescent="0.3">
      <c r="A3475" s="384" t="b">
        <f t="shared" ca="1" si="196"/>
        <v>0</v>
      </c>
      <c r="B3475" s="393" t="str">
        <f ca="1">IF(COUNTA(G$2863:G3474)=1,"",OFFSET(B3475,-COUNTA(G$2863:G3474)+1,0))</f>
        <v>a1bDm000000Y7tOIAS</v>
      </c>
      <c r="C3475" s="389">
        <f ca="1">IF(COUNTA(G$2863:G3474)=1,"",OFFSET(C3475,-COUNTA(G$2863:G3474)+1,0))</f>
        <v>22</v>
      </c>
      <c r="D3475" s="384">
        <f t="shared" si="193"/>
        <v>130</v>
      </c>
      <c r="E3475" s="384">
        <f t="shared" ca="1" si="194"/>
        <v>4</v>
      </c>
      <c r="F3475" s="384">
        <f t="shared" ca="1" si="195"/>
        <v>30</v>
      </c>
      <c r="G3475" s="384"/>
      <c r="H3475" s="388" t="str">
        <f t="shared" ca="1" si="197"/>
        <v/>
      </c>
      <c r="I3475" s="388" t="str">
        <f t="shared" ca="1" si="198"/>
        <v/>
      </c>
    </row>
    <row r="3476" spans="1:9" x14ac:dyDescent="0.3">
      <c r="A3476" s="384" t="b">
        <f t="shared" ca="1" si="196"/>
        <v>0</v>
      </c>
      <c r="B3476" s="393" t="str">
        <f ca="1">IF(COUNTA(G$2863:G3475)=1,"",OFFSET(B3476,-COUNTA(G$2863:G3475)+1,0))</f>
        <v>a1bDm000000Y7ugIAC</v>
      </c>
      <c r="C3476" s="389">
        <f ca="1">IF(COUNTA(G$2863:G3475)=1,"",OFFSET(C3476,-COUNTA(G$2863:G3475)+1,0))</f>
        <v>22</v>
      </c>
      <c r="D3476" s="384">
        <f t="shared" si="193"/>
        <v>131</v>
      </c>
      <c r="E3476" s="384">
        <f t="shared" ca="1" si="194"/>
        <v>5</v>
      </c>
      <c r="F3476" s="384">
        <f t="shared" ca="1" si="195"/>
        <v>30</v>
      </c>
      <c r="G3476" s="384"/>
      <c r="H3476" s="388" t="str">
        <f t="shared" ca="1" si="197"/>
        <v/>
      </c>
      <c r="I3476" s="388" t="str">
        <f t="shared" ca="1" si="198"/>
        <v/>
      </c>
    </row>
    <row r="3477" spans="1:9" x14ac:dyDescent="0.3">
      <c r="A3477" s="384" t="b">
        <f t="shared" ca="1" si="196"/>
        <v>0</v>
      </c>
      <c r="B3477" s="393" t="str">
        <f ca="1">IF(COUNTA(G$2863:G3476)=1,"",OFFSET(B3477,-COUNTA(G$2863:G3476)+1,0))</f>
        <v>a1bDm000000Y7vyIAC</v>
      </c>
      <c r="C3477" s="389">
        <f ca="1">IF(COUNTA(G$2863:G3476)=1,"",OFFSET(C3477,-COUNTA(G$2863:G3476)+1,0))</f>
        <v>22</v>
      </c>
      <c r="D3477" s="384">
        <f t="shared" si="193"/>
        <v>132</v>
      </c>
      <c r="E3477" s="384">
        <f t="shared" ca="1" si="194"/>
        <v>6</v>
      </c>
      <c r="F3477" s="384">
        <f t="shared" ca="1" si="195"/>
        <v>30</v>
      </c>
      <c r="G3477" s="384"/>
      <c r="H3477" s="388" t="str">
        <f t="shared" ca="1" si="197"/>
        <v/>
      </c>
      <c r="I3477" s="388" t="str">
        <f t="shared" ca="1" si="198"/>
        <v/>
      </c>
    </row>
    <row r="3478" spans="1:9" x14ac:dyDescent="0.3">
      <c r="A3478" s="384" t="b">
        <f t="shared" ca="1" si="196"/>
        <v>0</v>
      </c>
      <c r="B3478" s="393" t="str">
        <f ca="1">IF(COUNTA(G$2863:G3477)=1,"",OFFSET(B3478,-COUNTA(G$2863:G3477)+1,0))</f>
        <v>a1bDm000000Y7pXIAS</v>
      </c>
      <c r="C3478" s="389">
        <f ca="1">IF(COUNTA(G$2863:G3477)=1,"",OFFSET(C3478,-COUNTA(G$2863:G3477)+1,0))</f>
        <v>23</v>
      </c>
      <c r="D3478" s="384">
        <f t="shared" si="193"/>
        <v>133</v>
      </c>
      <c r="E3478" s="384">
        <f t="shared" ca="1" si="194"/>
        <v>1</v>
      </c>
      <c r="F3478" s="384">
        <f t="shared" ca="1" si="195"/>
        <v>31</v>
      </c>
      <c r="G3478" s="384"/>
      <c r="H3478" s="388" t="str">
        <f t="shared" ca="1" si="197"/>
        <v/>
      </c>
      <c r="I3478" s="388" t="str">
        <f t="shared" ca="1" si="198"/>
        <v/>
      </c>
    </row>
    <row r="3479" spans="1:9" x14ac:dyDescent="0.3">
      <c r="A3479" s="384" t="b">
        <f t="shared" ca="1" si="196"/>
        <v>0</v>
      </c>
      <c r="B3479" s="393" t="str">
        <f ca="1">IF(COUNTA(G$2863:G3478)=1,"",OFFSET(B3479,-COUNTA(G$2863:G3478)+1,0))</f>
        <v>a1bDm000000Y7qpIAC</v>
      </c>
      <c r="C3479" s="389">
        <f ca="1">IF(COUNTA(G$2863:G3478)=1,"",OFFSET(C3479,-COUNTA(G$2863:G3478)+1,0))</f>
        <v>23</v>
      </c>
      <c r="D3479" s="384">
        <f t="shared" si="193"/>
        <v>134</v>
      </c>
      <c r="E3479" s="384">
        <f t="shared" ca="1" si="194"/>
        <v>2</v>
      </c>
      <c r="F3479" s="384">
        <f t="shared" ca="1" si="195"/>
        <v>31</v>
      </c>
      <c r="G3479" s="384"/>
      <c r="H3479" s="388" t="str">
        <f t="shared" ca="1" si="197"/>
        <v/>
      </c>
      <c r="I3479" s="388" t="str">
        <f t="shared" ca="1" si="198"/>
        <v/>
      </c>
    </row>
    <row r="3480" spans="1:9" x14ac:dyDescent="0.3">
      <c r="A3480" s="384" t="b">
        <f t="shared" ca="1" si="196"/>
        <v>0</v>
      </c>
      <c r="B3480" s="393" t="str">
        <f ca="1">IF(COUNTA(G$2863:G3479)=1,"",OFFSET(B3480,-COUNTA(G$2863:G3479)+1,0))</f>
        <v>a1bDm000000Y7s7IAC</v>
      </c>
      <c r="C3480" s="389">
        <f ca="1">IF(COUNTA(G$2863:G3479)=1,"",OFFSET(C3480,-COUNTA(G$2863:G3479)+1,0))</f>
        <v>23</v>
      </c>
      <c r="D3480" s="384">
        <f t="shared" si="193"/>
        <v>135</v>
      </c>
      <c r="E3480" s="384">
        <f t="shared" ca="1" si="194"/>
        <v>3</v>
      </c>
      <c r="F3480" s="384">
        <f t="shared" ca="1" si="195"/>
        <v>31</v>
      </c>
      <c r="G3480" s="384"/>
      <c r="H3480" s="388" t="str">
        <f t="shared" ca="1" si="197"/>
        <v/>
      </c>
      <c r="I3480" s="388" t="str">
        <f t="shared" ca="1" si="198"/>
        <v/>
      </c>
    </row>
    <row r="3481" spans="1:9" x14ac:dyDescent="0.3">
      <c r="A3481" s="384" t="b">
        <f t="shared" ca="1" si="196"/>
        <v>0</v>
      </c>
      <c r="B3481" s="393" t="str">
        <f ca="1">IF(COUNTA(G$2863:G3480)=1,"",OFFSET(B3481,-COUNTA(G$2863:G3480)+1,0))</f>
        <v>a1bDm000000Y7tPIAS</v>
      </c>
      <c r="C3481" s="389">
        <f ca="1">IF(COUNTA(G$2863:G3480)=1,"",OFFSET(C3481,-COUNTA(G$2863:G3480)+1,0))</f>
        <v>23</v>
      </c>
      <c r="D3481" s="384">
        <f t="shared" si="193"/>
        <v>136</v>
      </c>
      <c r="E3481" s="384">
        <f t="shared" ca="1" si="194"/>
        <v>4</v>
      </c>
      <c r="F3481" s="384">
        <f t="shared" ca="1" si="195"/>
        <v>31</v>
      </c>
      <c r="G3481" s="384"/>
      <c r="H3481" s="388" t="str">
        <f t="shared" ca="1" si="197"/>
        <v/>
      </c>
      <c r="I3481" s="388" t="str">
        <f t="shared" ca="1" si="198"/>
        <v/>
      </c>
    </row>
    <row r="3482" spans="1:9" x14ac:dyDescent="0.3">
      <c r="A3482" s="384" t="b">
        <f t="shared" ca="1" si="196"/>
        <v>0</v>
      </c>
      <c r="B3482" s="393" t="str">
        <f ca="1">IF(COUNTA(G$2863:G3481)=1,"",OFFSET(B3482,-COUNTA(G$2863:G3481)+1,0))</f>
        <v>a1bDm000000Y7uhIAC</v>
      </c>
      <c r="C3482" s="389">
        <f ca="1">IF(COUNTA(G$2863:G3481)=1,"",OFFSET(C3482,-COUNTA(G$2863:G3481)+1,0))</f>
        <v>23</v>
      </c>
      <c r="D3482" s="384">
        <f t="shared" si="193"/>
        <v>137</v>
      </c>
      <c r="E3482" s="384">
        <f t="shared" ca="1" si="194"/>
        <v>5</v>
      </c>
      <c r="F3482" s="384">
        <f t="shared" ca="1" si="195"/>
        <v>31</v>
      </c>
      <c r="G3482" s="384"/>
      <c r="H3482" s="388" t="str">
        <f t="shared" ca="1" si="197"/>
        <v/>
      </c>
      <c r="I3482" s="388" t="str">
        <f t="shared" ca="1" si="198"/>
        <v/>
      </c>
    </row>
    <row r="3483" spans="1:9" x14ac:dyDescent="0.3">
      <c r="A3483" s="384" t="b">
        <f t="shared" ca="1" si="196"/>
        <v>0</v>
      </c>
      <c r="B3483" s="393" t="str">
        <f ca="1">IF(COUNTA(G$2863:G3482)=1,"",OFFSET(B3483,-COUNTA(G$2863:G3482)+1,0))</f>
        <v>a1bDm000000Y7vzIAC</v>
      </c>
      <c r="C3483" s="389">
        <f ca="1">IF(COUNTA(G$2863:G3482)=1,"",OFFSET(C3483,-COUNTA(G$2863:G3482)+1,0))</f>
        <v>23</v>
      </c>
      <c r="D3483" s="384">
        <f t="shared" si="193"/>
        <v>138</v>
      </c>
      <c r="E3483" s="384">
        <f t="shared" ca="1" si="194"/>
        <v>6</v>
      </c>
      <c r="F3483" s="384">
        <f t="shared" ca="1" si="195"/>
        <v>31</v>
      </c>
      <c r="G3483" s="384"/>
      <c r="H3483" s="388" t="str">
        <f t="shared" ca="1" si="197"/>
        <v/>
      </c>
      <c r="I3483" s="388" t="str">
        <f t="shared" ca="1" si="198"/>
        <v/>
      </c>
    </row>
    <row r="3484" spans="1:9" x14ac:dyDescent="0.3">
      <c r="A3484" s="384" t="b">
        <f t="shared" ca="1" si="196"/>
        <v>0</v>
      </c>
      <c r="B3484" s="393" t="str">
        <f ca="1">IF(COUNTA(G$2863:G3483)=1,"",OFFSET(B3484,-COUNTA(G$2863:G3483)+1,0))</f>
        <v>a1bDm000000Y7pYIAS</v>
      </c>
      <c r="C3484" s="389">
        <f ca="1">IF(COUNTA(G$2863:G3483)=1,"",OFFSET(C3484,-COUNTA(G$2863:G3483)+1,0))</f>
        <v>24</v>
      </c>
      <c r="D3484" s="384">
        <f t="shared" si="193"/>
        <v>139</v>
      </c>
      <c r="E3484" s="384">
        <f t="shared" ca="1" si="194"/>
        <v>1</v>
      </c>
      <c r="F3484" s="384">
        <f t="shared" ca="1" si="195"/>
        <v>32</v>
      </c>
      <c r="G3484" s="384"/>
      <c r="H3484" s="388" t="str">
        <f t="shared" ca="1" si="197"/>
        <v/>
      </c>
      <c r="I3484" s="388" t="str">
        <f t="shared" ca="1" si="198"/>
        <v/>
      </c>
    </row>
    <row r="3485" spans="1:9" x14ac:dyDescent="0.3">
      <c r="A3485" s="384" t="b">
        <f t="shared" ca="1" si="196"/>
        <v>0</v>
      </c>
      <c r="B3485" s="393" t="str">
        <f ca="1">IF(COUNTA(G$2863:G3484)=1,"",OFFSET(B3485,-COUNTA(G$2863:G3484)+1,0))</f>
        <v>a1bDm000000Y7qqIAC</v>
      </c>
      <c r="C3485" s="389">
        <f ca="1">IF(COUNTA(G$2863:G3484)=1,"",OFFSET(C3485,-COUNTA(G$2863:G3484)+1,0))</f>
        <v>24</v>
      </c>
      <c r="D3485" s="384">
        <f t="shared" si="193"/>
        <v>140</v>
      </c>
      <c r="E3485" s="384">
        <f t="shared" ca="1" si="194"/>
        <v>2</v>
      </c>
      <c r="F3485" s="384">
        <f t="shared" ca="1" si="195"/>
        <v>32</v>
      </c>
      <c r="G3485" s="384"/>
      <c r="H3485" s="388" t="str">
        <f t="shared" ca="1" si="197"/>
        <v/>
      </c>
      <c r="I3485" s="388" t="str">
        <f t="shared" ca="1" si="198"/>
        <v/>
      </c>
    </row>
    <row r="3486" spans="1:9" x14ac:dyDescent="0.3">
      <c r="A3486" s="384" t="b">
        <f t="shared" ca="1" si="196"/>
        <v>0</v>
      </c>
      <c r="B3486" s="393" t="str">
        <f ca="1">IF(COUNTA(G$2863:G3485)=1,"",OFFSET(B3486,-COUNTA(G$2863:G3485)+1,0))</f>
        <v>a1bDm000000Y7s8IAC</v>
      </c>
      <c r="C3486" s="389">
        <f ca="1">IF(COUNTA(G$2863:G3485)=1,"",OFFSET(C3486,-COUNTA(G$2863:G3485)+1,0))</f>
        <v>24</v>
      </c>
      <c r="D3486" s="384">
        <f t="shared" si="193"/>
        <v>141</v>
      </c>
      <c r="E3486" s="384">
        <f t="shared" ca="1" si="194"/>
        <v>3</v>
      </c>
      <c r="F3486" s="384">
        <f t="shared" ca="1" si="195"/>
        <v>32</v>
      </c>
      <c r="G3486" s="384"/>
      <c r="H3486" s="388" t="str">
        <f t="shared" ca="1" si="197"/>
        <v/>
      </c>
      <c r="I3486" s="388" t="str">
        <f t="shared" ca="1" si="198"/>
        <v/>
      </c>
    </row>
    <row r="3487" spans="1:9" x14ac:dyDescent="0.3">
      <c r="A3487" s="384" t="b">
        <f t="shared" ca="1" si="196"/>
        <v>0</v>
      </c>
      <c r="B3487" s="393" t="str">
        <f ca="1">IF(COUNTA(G$2863:G3486)=1,"",OFFSET(B3487,-COUNTA(G$2863:G3486)+1,0))</f>
        <v>a1bDm000000Y7tQIAS</v>
      </c>
      <c r="C3487" s="389">
        <f ca="1">IF(COUNTA(G$2863:G3486)=1,"",OFFSET(C3487,-COUNTA(G$2863:G3486)+1,0))</f>
        <v>24</v>
      </c>
      <c r="D3487" s="384">
        <f t="shared" si="193"/>
        <v>142</v>
      </c>
      <c r="E3487" s="384">
        <f t="shared" ca="1" si="194"/>
        <v>4</v>
      </c>
      <c r="F3487" s="384">
        <f t="shared" ca="1" si="195"/>
        <v>32</v>
      </c>
      <c r="G3487" s="384"/>
      <c r="H3487" s="388" t="str">
        <f t="shared" ca="1" si="197"/>
        <v/>
      </c>
      <c r="I3487" s="388" t="str">
        <f t="shared" ca="1" si="198"/>
        <v/>
      </c>
    </row>
    <row r="3488" spans="1:9" x14ac:dyDescent="0.3">
      <c r="A3488" s="384" t="b">
        <f t="shared" ca="1" si="196"/>
        <v>0</v>
      </c>
      <c r="B3488" s="393" t="str">
        <f ca="1">IF(COUNTA(G$2863:G3487)=1,"",OFFSET(B3488,-COUNTA(G$2863:G3487)+1,0))</f>
        <v>a1bDm000000Y7uiIAC</v>
      </c>
      <c r="C3488" s="389">
        <f ca="1">IF(COUNTA(G$2863:G3487)=1,"",OFFSET(C3488,-COUNTA(G$2863:G3487)+1,0))</f>
        <v>24</v>
      </c>
      <c r="D3488" s="384">
        <f t="shared" si="193"/>
        <v>143</v>
      </c>
      <c r="E3488" s="384">
        <f t="shared" ca="1" si="194"/>
        <v>5</v>
      </c>
      <c r="F3488" s="384">
        <f t="shared" ca="1" si="195"/>
        <v>32</v>
      </c>
      <c r="G3488" s="384"/>
      <c r="H3488" s="388" t="str">
        <f t="shared" ca="1" si="197"/>
        <v/>
      </c>
      <c r="I3488" s="388" t="str">
        <f t="shared" ca="1" si="198"/>
        <v/>
      </c>
    </row>
    <row r="3489" spans="1:9" x14ac:dyDescent="0.3">
      <c r="A3489" s="384" t="b">
        <f t="shared" ca="1" si="196"/>
        <v>0</v>
      </c>
      <c r="B3489" s="393" t="str">
        <f ca="1">IF(COUNTA(G$2863:G3488)=1,"",OFFSET(B3489,-COUNTA(G$2863:G3488)+1,0))</f>
        <v>a1bDm000000Y7w0IAC</v>
      </c>
      <c r="C3489" s="389">
        <f ca="1">IF(COUNTA(G$2863:G3488)=1,"",OFFSET(C3489,-COUNTA(G$2863:G3488)+1,0))</f>
        <v>24</v>
      </c>
      <c r="D3489" s="384">
        <f t="shared" si="193"/>
        <v>144</v>
      </c>
      <c r="E3489" s="384">
        <f t="shared" ca="1" si="194"/>
        <v>6</v>
      </c>
      <c r="F3489" s="384">
        <f t="shared" ca="1" si="195"/>
        <v>32</v>
      </c>
      <c r="G3489" s="384"/>
      <c r="H3489" s="388" t="str">
        <f t="shared" ca="1" si="197"/>
        <v/>
      </c>
      <c r="I3489" s="388" t="str">
        <f t="shared" ca="1" si="198"/>
        <v/>
      </c>
    </row>
    <row r="3490" spans="1:9" x14ac:dyDescent="0.3">
      <c r="A3490" s="384" t="b">
        <f t="shared" ca="1" si="196"/>
        <v>0</v>
      </c>
      <c r="B3490" s="393" t="str">
        <f ca="1">IF(COUNTA(G$2863:G3489)=1,"",OFFSET(B3490,-COUNTA(G$2863:G3489)+1,0))</f>
        <v>a1bDm000000Y7pZIAS</v>
      </c>
      <c r="C3490" s="389">
        <f ca="1">IF(COUNTA(G$2863:G3489)=1,"",OFFSET(C3490,-COUNTA(G$2863:G3489)+1,0))</f>
        <v>25</v>
      </c>
      <c r="D3490" s="384">
        <f t="shared" si="193"/>
        <v>145</v>
      </c>
      <c r="E3490" s="384">
        <f t="shared" ca="1" si="194"/>
        <v>1</v>
      </c>
      <c r="F3490" s="384">
        <f t="shared" ca="1" si="195"/>
        <v>33</v>
      </c>
      <c r="G3490" s="384"/>
      <c r="H3490" s="388" t="str">
        <f t="shared" ca="1" si="197"/>
        <v/>
      </c>
      <c r="I3490" s="388" t="str">
        <f t="shared" ca="1" si="198"/>
        <v/>
      </c>
    </row>
    <row r="3491" spans="1:9" x14ac:dyDescent="0.3">
      <c r="A3491" s="384" t="b">
        <f t="shared" ca="1" si="196"/>
        <v>0</v>
      </c>
      <c r="B3491" s="393" t="str">
        <f ca="1">IF(COUNTA(G$2863:G3490)=1,"",OFFSET(B3491,-COUNTA(G$2863:G3490)+1,0))</f>
        <v>a1bDm000000Y7qrIAC</v>
      </c>
      <c r="C3491" s="389">
        <f ca="1">IF(COUNTA(G$2863:G3490)=1,"",OFFSET(C3491,-COUNTA(G$2863:G3490)+1,0))</f>
        <v>25</v>
      </c>
      <c r="D3491" s="384">
        <f t="shared" si="193"/>
        <v>146</v>
      </c>
      <c r="E3491" s="384">
        <f t="shared" ca="1" si="194"/>
        <v>2</v>
      </c>
      <c r="F3491" s="384">
        <f t="shared" ca="1" si="195"/>
        <v>33</v>
      </c>
      <c r="G3491" s="384"/>
      <c r="H3491" s="388" t="str">
        <f t="shared" ca="1" si="197"/>
        <v/>
      </c>
      <c r="I3491" s="388" t="str">
        <f t="shared" ca="1" si="198"/>
        <v/>
      </c>
    </row>
    <row r="3492" spans="1:9" x14ac:dyDescent="0.3">
      <c r="A3492" s="384" t="b">
        <f t="shared" ca="1" si="196"/>
        <v>0</v>
      </c>
      <c r="B3492" s="393" t="str">
        <f ca="1">IF(COUNTA(G$2863:G3491)=1,"",OFFSET(B3492,-COUNTA(G$2863:G3491)+1,0))</f>
        <v>a1bDm000000Y7s9IAC</v>
      </c>
      <c r="C3492" s="389">
        <f ca="1">IF(COUNTA(G$2863:G3491)=1,"",OFFSET(C3492,-COUNTA(G$2863:G3491)+1,0))</f>
        <v>25</v>
      </c>
      <c r="D3492" s="384">
        <f t="shared" si="193"/>
        <v>147</v>
      </c>
      <c r="E3492" s="384">
        <f t="shared" ca="1" si="194"/>
        <v>3</v>
      </c>
      <c r="F3492" s="384">
        <f t="shared" ca="1" si="195"/>
        <v>33</v>
      </c>
      <c r="G3492" s="384"/>
      <c r="H3492" s="388" t="str">
        <f t="shared" ca="1" si="197"/>
        <v/>
      </c>
      <c r="I3492" s="388" t="str">
        <f t="shared" ca="1" si="198"/>
        <v/>
      </c>
    </row>
    <row r="3493" spans="1:9" x14ac:dyDescent="0.3">
      <c r="A3493" s="384" t="b">
        <f t="shared" ca="1" si="196"/>
        <v>0</v>
      </c>
      <c r="B3493" s="393" t="str">
        <f ca="1">IF(COUNTA(G$2863:G3492)=1,"",OFFSET(B3493,-COUNTA(G$2863:G3492)+1,0))</f>
        <v>a1bDm000000Y7tRIAS</v>
      </c>
      <c r="C3493" s="389">
        <f ca="1">IF(COUNTA(G$2863:G3492)=1,"",OFFSET(C3493,-COUNTA(G$2863:G3492)+1,0))</f>
        <v>25</v>
      </c>
      <c r="D3493" s="384">
        <f t="shared" si="193"/>
        <v>148</v>
      </c>
      <c r="E3493" s="384">
        <f t="shared" ca="1" si="194"/>
        <v>4</v>
      </c>
      <c r="F3493" s="384">
        <f t="shared" ca="1" si="195"/>
        <v>33</v>
      </c>
      <c r="G3493" s="384"/>
      <c r="H3493" s="388" t="str">
        <f t="shared" ca="1" si="197"/>
        <v/>
      </c>
      <c r="I3493" s="388" t="str">
        <f t="shared" ca="1" si="198"/>
        <v/>
      </c>
    </row>
    <row r="3494" spans="1:9" x14ac:dyDescent="0.3">
      <c r="A3494" s="384" t="b">
        <f t="shared" ca="1" si="196"/>
        <v>0</v>
      </c>
      <c r="B3494" s="393" t="str">
        <f ca="1">IF(COUNTA(G$2863:G3493)=1,"",OFFSET(B3494,-COUNTA(G$2863:G3493)+1,0))</f>
        <v>a1bDm000000Y7ujIAC</v>
      </c>
      <c r="C3494" s="389">
        <f ca="1">IF(COUNTA(G$2863:G3493)=1,"",OFFSET(C3494,-COUNTA(G$2863:G3493)+1,0))</f>
        <v>25</v>
      </c>
      <c r="D3494" s="384">
        <f t="shared" si="193"/>
        <v>149</v>
      </c>
      <c r="E3494" s="384">
        <f t="shared" ca="1" si="194"/>
        <v>5</v>
      </c>
      <c r="F3494" s="384">
        <f t="shared" ca="1" si="195"/>
        <v>33</v>
      </c>
      <c r="G3494" s="384"/>
      <c r="H3494" s="388" t="str">
        <f t="shared" ca="1" si="197"/>
        <v/>
      </c>
      <c r="I3494" s="388" t="str">
        <f t="shared" ca="1" si="198"/>
        <v/>
      </c>
    </row>
    <row r="3495" spans="1:9" x14ac:dyDescent="0.3">
      <c r="A3495" s="384" t="b">
        <f t="shared" ca="1" si="196"/>
        <v>0</v>
      </c>
      <c r="B3495" s="393" t="str">
        <f ca="1">IF(COUNTA(G$2863:G3494)=1,"",OFFSET(B3495,-COUNTA(G$2863:G3494)+1,0))</f>
        <v>a1bDm000000Y7w1IAC</v>
      </c>
      <c r="C3495" s="389">
        <f ca="1">IF(COUNTA(G$2863:G3494)=1,"",OFFSET(C3495,-COUNTA(G$2863:G3494)+1,0))</f>
        <v>25</v>
      </c>
      <c r="D3495" s="384">
        <f t="shared" si="193"/>
        <v>150</v>
      </c>
      <c r="E3495" s="384">
        <f t="shared" ca="1" si="194"/>
        <v>6</v>
      </c>
      <c r="F3495" s="384">
        <f t="shared" ca="1" si="195"/>
        <v>33</v>
      </c>
      <c r="G3495" s="384"/>
      <c r="H3495" s="388" t="str">
        <f t="shared" ca="1" si="197"/>
        <v/>
      </c>
      <c r="I3495" s="388" t="str">
        <f t="shared" ca="1" si="198"/>
        <v/>
      </c>
    </row>
    <row r="3496" spans="1:9" x14ac:dyDescent="0.3">
      <c r="A3496" s="384" t="b">
        <f t="shared" ca="1" si="196"/>
        <v>0</v>
      </c>
      <c r="B3496" s="393" t="str">
        <f ca="1">IF(COUNTA(G$2863:G3495)=1,"",OFFSET(B3496,-COUNTA(G$2863:G3495)+1,0))</f>
        <v>a1bDm000000Y7paIAC</v>
      </c>
      <c r="C3496" s="389">
        <f ca="1">IF(COUNTA(G$2863:G3495)=1,"",OFFSET(C3496,-COUNTA(G$2863:G3495)+1,0))</f>
        <v>26</v>
      </c>
      <c r="D3496" s="384">
        <f t="shared" si="193"/>
        <v>151</v>
      </c>
      <c r="E3496" s="384">
        <f t="shared" ca="1" si="194"/>
        <v>1</v>
      </c>
      <c r="F3496" s="384">
        <f t="shared" ca="1" si="195"/>
        <v>34</v>
      </c>
      <c r="G3496" s="384"/>
      <c r="H3496" s="388" t="str">
        <f t="shared" ca="1" si="197"/>
        <v/>
      </c>
      <c r="I3496" s="388" t="str">
        <f t="shared" ca="1" si="198"/>
        <v/>
      </c>
    </row>
    <row r="3497" spans="1:9" x14ac:dyDescent="0.3">
      <c r="A3497" s="384" t="b">
        <f t="shared" ca="1" si="196"/>
        <v>0</v>
      </c>
      <c r="B3497" s="393" t="str">
        <f ca="1">IF(COUNTA(G$2863:G3496)=1,"",OFFSET(B3497,-COUNTA(G$2863:G3496)+1,0))</f>
        <v>a1bDm000000Y7qsIAC</v>
      </c>
      <c r="C3497" s="389">
        <f ca="1">IF(COUNTA(G$2863:G3496)=1,"",OFFSET(C3497,-COUNTA(G$2863:G3496)+1,0))</f>
        <v>26</v>
      </c>
      <c r="D3497" s="384">
        <f t="shared" si="193"/>
        <v>152</v>
      </c>
      <c r="E3497" s="384">
        <f t="shared" ca="1" si="194"/>
        <v>2</v>
      </c>
      <c r="F3497" s="384">
        <f t="shared" ca="1" si="195"/>
        <v>34</v>
      </c>
      <c r="G3497" s="384"/>
      <c r="H3497" s="388" t="str">
        <f t="shared" ca="1" si="197"/>
        <v/>
      </c>
      <c r="I3497" s="388" t="str">
        <f t="shared" ca="1" si="198"/>
        <v/>
      </c>
    </row>
    <row r="3498" spans="1:9" x14ac:dyDescent="0.3">
      <c r="A3498" s="384" t="b">
        <f t="shared" ca="1" si="196"/>
        <v>0</v>
      </c>
      <c r="B3498" s="393" t="str">
        <f ca="1">IF(COUNTA(G$2863:G3497)=1,"",OFFSET(B3498,-COUNTA(G$2863:G3497)+1,0))</f>
        <v>a1bDm000000Y7sAIAS</v>
      </c>
      <c r="C3498" s="389">
        <f ca="1">IF(COUNTA(G$2863:G3497)=1,"",OFFSET(C3498,-COUNTA(G$2863:G3497)+1,0))</f>
        <v>26</v>
      </c>
      <c r="D3498" s="384">
        <f t="shared" si="193"/>
        <v>153</v>
      </c>
      <c r="E3498" s="384">
        <f t="shared" ca="1" si="194"/>
        <v>3</v>
      </c>
      <c r="F3498" s="384">
        <f t="shared" ca="1" si="195"/>
        <v>34</v>
      </c>
      <c r="G3498" s="384"/>
      <c r="H3498" s="388" t="str">
        <f t="shared" ca="1" si="197"/>
        <v/>
      </c>
      <c r="I3498" s="388" t="str">
        <f t="shared" ca="1" si="198"/>
        <v/>
      </c>
    </row>
    <row r="3499" spans="1:9" x14ac:dyDescent="0.3">
      <c r="A3499" s="384" t="b">
        <f t="shared" ca="1" si="196"/>
        <v>0</v>
      </c>
      <c r="B3499" s="393" t="str">
        <f ca="1">IF(COUNTA(G$2863:G3498)=1,"",OFFSET(B3499,-COUNTA(G$2863:G3498)+1,0))</f>
        <v>a1bDm000000Y7tSIAS</v>
      </c>
      <c r="C3499" s="389">
        <f ca="1">IF(COUNTA(G$2863:G3498)=1,"",OFFSET(C3499,-COUNTA(G$2863:G3498)+1,0))</f>
        <v>26</v>
      </c>
      <c r="D3499" s="384">
        <f t="shared" si="193"/>
        <v>154</v>
      </c>
      <c r="E3499" s="384">
        <f t="shared" ca="1" si="194"/>
        <v>4</v>
      </c>
      <c r="F3499" s="384">
        <f t="shared" ca="1" si="195"/>
        <v>34</v>
      </c>
      <c r="G3499" s="384"/>
      <c r="H3499" s="388" t="str">
        <f t="shared" ca="1" si="197"/>
        <v/>
      </c>
      <c r="I3499" s="388" t="str">
        <f t="shared" ca="1" si="198"/>
        <v/>
      </c>
    </row>
    <row r="3500" spans="1:9" x14ac:dyDescent="0.3">
      <c r="A3500" s="384" t="b">
        <f t="shared" ca="1" si="196"/>
        <v>0</v>
      </c>
      <c r="B3500" s="393" t="str">
        <f ca="1">IF(COUNTA(G$2863:G3499)=1,"",OFFSET(B3500,-COUNTA(G$2863:G3499)+1,0))</f>
        <v>a1bDm000000Y7ukIAC</v>
      </c>
      <c r="C3500" s="389">
        <f ca="1">IF(COUNTA(G$2863:G3499)=1,"",OFFSET(C3500,-COUNTA(G$2863:G3499)+1,0))</f>
        <v>26</v>
      </c>
      <c r="D3500" s="384">
        <f t="shared" si="193"/>
        <v>155</v>
      </c>
      <c r="E3500" s="384">
        <f t="shared" ca="1" si="194"/>
        <v>5</v>
      </c>
      <c r="F3500" s="384">
        <f t="shared" ca="1" si="195"/>
        <v>34</v>
      </c>
      <c r="G3500" s="384"/>
      <c r="H3500" s="388" t="str">
        <f t="shared" ca="1" si="197"/>
        <v/>
      </c>
      <c r="I3500" s="388" t="str">
        <f t="shared" ca="1" si="198"/>
        <v/>
      </c>
    </row>
    <row r="3501" spans="1:9" x14ac:dyDescent="0.3">
      <c r="A3501" s="384" t="b">
        <f t="shared" ca="1" si="196"/>
        <v>0</v>
      </c>
      <c r="B3501" s="393" t="str">
        <f ca="1">IF(COUNTA(G$2863:G3500)=1,"",OFFSET(B3501,-COUNTA(G$2863:G3500)+1,0))</f>
        <v>a1bDm000000Y7w2IAC</v>
      </c>
      <c r="C3501" s="389">
        <f ca="1">IF(COUNTA(G$2863:G3500)=1,"",OFFSET(C3501,-COUNTA(G$2863:G3500)+1,0))</f>
        <v>26</v>
      </c>
      <c r="D3501" s="384">
        <f t="shared" si="193"/>
        <v>156</v>
      </c>
      <c r="E3501" s="384">
        <f t="shared" ca="1" si="194"/>
        <v>6</v>
      </c>
      <c r="F3501" s="384">
        <f t="shared" ca="1" si="195"/>
        <v>34</v>
      </c>
      <c r="G3501" s="384"/>
      <c r="H3501" s="388" t="str">
        <f t="shared" ca="1" si="197"/>
        <v/>
      </c>
      <c r="I3501" s="388" t="str">
        <f t="shared" ca="1" si="198"/>
        <v/>
      </c>
    </row>
    <row r="3502" spans="1:9" x14ac:dyDescent="0.3">
      <c r="A3502" s="384" t="b">
        <f t="shared" ca="1" si="196"/>
        <v>0</v>
      </c>
      <c r="B3502" s="393" t="str">
        <f ca="1">IF(COUNTA(G$2863:G3501)=1,"",OFFSET(B3502,-COUNTA(G$2863:G3501)+1,0))</f>
        <v>a1bDm000000Y7pbIAC</v>
      </c>
      <c r="C3502" s="389">
        <f ca="1">IF(COUNTA(G$2863:G3501)=1,"",OFFSET(C3502,-COUNTA(G$2863:G3501)+1,0))</f>
        <v>27</v>
      </c>
      <c r="D3502" s="384">
        <f t="shared" si="193"/>
        <v>157</v>
      </c>
      <c r="E3502" s="384">
        <f t="shared" ca="1" si="194"/>
        <v>1</v>
      </c>
      <c r="F3502" s="384">
        <f t="shared" ca="1" si="195"/>
        <v>35</v>
      </c>
      <c r="G3502" s="384"/>
      <c r="H3502" s="388" t="str">
        <f t="shared" ca="1" si="197"/>
        <v/>
      </c>
      <c r="I3502" s="388" t="str">
        <f t="shared" ca="1" si="198"/>
        <v/>
      </c>
    </row>
    <row r="3503" spans="1:9" x14ac:dyDescent="0.3">
      <c r="A3503" s="384" t="b">
        <f t="shared" ca="1" si="196"/>
        <v>0</v>
      </c>
      <c r="B3503" s="393" t="str">
        <f ca="1">IF(COUNTA(G$2863:G3502)=1,"",OFFSET(B3503,-COUNTA(G$2863:G3502)+1,0))</f>
        <v>a1bDm000000Y7qtIAC</v>
      </c>
      <c r="C3503" s="389">
        <f ca="1">IF(COUNTA(G$2863:G3502)=1,"",OFFSET(C3503,-COUNTA(G$2863:G3502)+1,0))</f>
        <v>27</v>
      </c>
      <c r="D3503" s="384">
        <f t="shared" si="193"/>
        <v>158</v>
      </c>
      <c r="E3503" s="384">
        <f t="shared" ca="1" si="194"/>
        <v>2</v>
      </c>
      <c r="F3503" s="384">
        <f t="shared" ca="1" si="195"/>
        <v>35</v>
      </c>
      <c r="G3503" s="384"/>
      <c r="H3503" s="388" t="str">
        <f t="shared" ca="1" si="197"/>
        <v/>
      </c>
      <c r="I3503" s="388" t="str">
        <f t="shared" ca="1" si="198"/>
        <v/>
      </c>
    </row>
    <row r="3504" spans="1:9" x14ac:dyDescent="0.3">
      <c r="A3504" s="384" t="b">
        <f t="shared" ca="1" si="196"/>
        <v>0</v>
      </c>
      <c r="B3504" s="393" t="str">
        <f ca="1">IF(COUNTA(G$2863:G3503)=1,"",OFFSET(B3504,-COUNTA(G$2863:G3503)+1,0))</f>
        <v>a1bDm000000Y7sBIAS</v>
      </c>
      <c r="C3504" s="389">
        <f ca="1">IF(COUNTA(G$2863:G3503)=1,"",OFFSET(C3504,-COUNTA(G$2863:G3503)+1,0))</f>
        <v>27</v>
      </c>
      <c r="D3504" s="384">
        <f t="shared" si="193"/>
        <v>159</v>
      </c>
      <c r="E3504" s="384">
        <f t="shared" ca="1" si="194"/>
        <v>3</v>
      </c>
      <c r="F3504" s="384">
        <f t="shared" ca="1" si="195"/>
        <v>35</v>
      </c>
      <c r="G3504" s="384"/>
      <c r="H3504" s="388" t="str">
        <f t="shared" ca="1" si="197"/>
        <v/>
      </c>
      <c r="I3504" s="388" t="str">
        <f t="shared" ca="1" si="198"/>
        <v/>
      </c>
    </row>
    <row r="3505" spans="1:9" x14ac:dyDescent="0.3">
      <c r="A3505" s="384" t="b">
        <f t="shared" ca="1" si="196"/>
        <v>0</v>
      </c>
      <c r="B3505" s="393" t="str">
        <f ca="1">IF(COUNTA(G$2863:G3504)=1,"",OFFSET(B3505,-COUNTA(G$2863:G3504)+1,0))</f>
        <v>a1bDm000000Y7tTIAS</v>
      </c>
      <c r="C3505" s="389">
        <f ca="1">IF(COUNTA(G$2863:G3504)=1,"",OFFSET(C3505,-COUNTA(G$2863:G3504)+1,0))</f>
        <v>27</v>
      </c>
      <c r="D3505" s="384">
        <f t="shared" si="193"/>
        <v>160</v>
      </c>
      <c r="E3505" s="384">
        <f t="shared" ca="1" si="194"/>
        <v>4</v>
      </c>
      <c r="F3505" s="384">
        <f t="shared" ca="1" si="195"/>
        <v>35</v>
      </c>
      <c r="G3505" s="384"/>
      <c r="H3505" s="388" t="str">
        <f t="shared" ca="1" si="197"/>
        <v/>
      </c>
      <c r="I3505" s="388" t="str">
        <f t="shared" ca="1" si="198"/>
        <v/>
      </c>
    </row>
    <row r="3506" spans="1:9" x14ac:dyDescent="0.3">
      <c r="A3506" s="384" t="b">
        <f t="shared" ca="1" si="196"/>
        <v>0</v>
      </c>
      <c r="B3506" s="393" t="str">
        <f ca="1">IF(COUNTA(G$2863:G3505)=1,"",OFFSET(B3506,-COUNTA(G$2863:G3505)+1,0))</f>
        <v>a1bDm000000Y7ulIAC</v>
      </c>
      <c r="C3506" s="389">
        <f ca="1">IF(COUNTA(G$2863:G3505)=1,"",OFFSET(C3506,-COUNTA(G$2863:G3505)+1,0))</f>
        <v>27</v>
      </c>
      <c r="D3506" s="384">
        <f t="shared" ref="D3506:D3569" si="199">D3505+1</f>
        <v>161</v>
      </c>
      <c r="E3506" s="384">
        <f t="shared" ref="E3506:E3569" ca="1" si="200">COUNTIF(C3336:C3506,C3506)</f>
        <v>5</v>
      </c>
      <c r="F3506" s="384">
        <f t="shared" ref="F3506:F3569" ca="1" si="201">IF(C3506=1,9,IF(E3505=MAX(E3504:E3506),F3504+1,F3505))</f>
        <v>35</v>
      </c>
      <c r="G3506" s="384"/>
      <c r="H3506" s="388" t="str">
        <f t="shared" ca="1" si="197"/>
        <v/>
      </c>
      <c r="I3506" s="388" t="str">
        <f t="shared" ca="1" si="198"/>
        <v/>
      </c>
    </row>
    <row r="3507" spans="1:9" x14ac:dyDescent="0.3">
      <c r="A3507" s="384" t="b">
        <f t="shared" ca="1" si="196"/>
        <v>0</v>
      </c>
      <c r="B3507" s="393" t="str">
        <f ca="1">IF(COUNTA(G$2863:G3506)=1,"",OFFSET(B3507,-COUNTA(G$2863:G3506)+1,0))</f>
        <v>a1bDm000000Y7w3IAC</v>
      </c>
      <c r="C3507" s="389">
        <f ca="1">IF(COUNTA(G$2863:G3506)=1,"",OFFSET(C3507,-COUNTA(G$2863:G3506)+1,0))</f>
        <v>27</v>
      </c>
      <c r="D3507" s="384">
        <f t="shared" si="199"/>
        <v>162</v>
      </c>
      <c r="E3507" s="384">
        <f t="shared" ca="1" si="200"/>
        <v>6</v>
      </c>
      <c r="F3507" s="384">
        <f t="shared" ca="1" si="201"/>
        <v>35</v>
      </c>
      <c r="G3507" s="384"/>
      <c r="H3507" s="388" t="str">
        <f t="shared" ca="1" si="197"/>
        <v/>
      </c>
      <c r="I3507" s="388" t="str">
        <f t="shared" ca="1" si="198"/>
        <v/>
      </c>
    </row>
    <row r="3508" spans="1:9" x14ac:dyDescent="0.3">
      <c r="A3508" s="384" t="b">
        <f t="shared" ca="1" si="196"/>
        <v>0</v>
      </c>
      <c r="B3508" s="393" t="str">
        <f ca="1">IF(COUNTA(G$2863:G3507)=1,"",OFFSET(B3508,-COUNTA(G$2863:G3507)+1,0))</f>
        <v>a1bDm000000Y7pcIAC</v>
      </c>
      <c r="C3508" s="389">
        <f ca="1">IF(COUNTA(G$2863:G3507)=1,"",OFFSET(C3508,-COUNTA(G$2863:G3507)+1,0))</f>
        <v>28</v>
      </c>
      <c r="D3508" s="384">
        <f t="shared" si="199"/>
        <v>163</v>
      </c>
      <c r="E3508" s="384">
        <f t="shared" ca="1" si="200"/>
        <v>1</v>
      </c>
      <c r="F3508" s="384">
        <f t="shared" ca="1" si="201"/>
        <v>36</v>
      </c>
      <c r="G3508" s="384"/>
      <c r="H3508" s="388" t="str">
        <f t="shared" ca="1" si="197"/>
        <v/>
      </c>
      <c r="I3508" s="388" t="str">
        <f t="shared" ca="1" si="198"/>
        <v/>
      </c>
    </row>
    <row r="3509" spans="1:9" x14ac:dyDescent="0.3">
      <c r="A3509" s="384" t="b">
        <f t="shared" ca="1" si="196"/>
        <v>0</v>
      </c>
      <c r="B3509" s="393" t="str">
        <f ca="1">IF(COUNTA(G$2863:G3508)=1,"",OFFSET(B3509,-COUNTA(G$2863:G3508)+1,0))</f>
        <v>a1bDm000000Y7quIAC</v>
      </c>
      <c r="C3509" s="389">
        <f ca="1">IF(COUNTA(G$2863:G3508)=1,"",OFFSET(C3509,-COUNTA(G$2863:G3508)+1,0))</f>
        <v>28</v>
      </c>
      <c r="D3509" s="384">
        <f t="shared" si="199"/>
        <v>164</v>
      </c>
      <c r="E3509" s="384">
        <f t="shared" ca="1" si="200"/>
        <v>2</v>
      </c>
      <c r="F3509" s="384">
        <f t="shared" ca="1" si="201"/>
        <v>36</v>
      </c>
      <c r="G3509" s="384"/>
      <c r="H3509" s="388" t="str">
        <f t="shared" ca="1" si="197"/>
        <v/>
      </c>
      <c r="I3509" s="388" t="str">
        <f t="shared" ca="1" si="198"/>
        <v/>
      </c>
    </row>
    <row r="3510" spans="1:9" x14ac:dyDescent="0.3">
      <c r="A3510" s="384" t="b">
        <f t="shared" ca="1" si="196"/>
        <v>0</v>
      </c>
      <c r="B3510" s="393" t="str">
        <f ca="1">IF(COUNTA(G$2863:G3509)=1,"",OFFSET(B3510,-COUNTA(G$2863:G3509)+1,0))</f>
        <v>a1bDm000000Y7sCIAS</v>
      </c>
      <c r="C3510" s="389">
        <f ca="1">IF(COUNTA(G$2863:G3509)=1,"",OFFSET(C3510,-COUNTA(G$2863:G3509)+1,0))</f>
        <v>28</v>
      </c>
      <c r="D3510" s="384">
        <f t="shared" si="199"/>
        <v>165</v>
      </c>
      <c r="E3510" s="384">
        <f t="shared" ca="1" si="200"/>
        <v>3</v>
      </c>
      <c r="F3510" s="384">
        <f t="shared" ca="1" si="201"/>
        <v>36</v>
      </c>
      <c r="G3510" s="384"/>
      <c r="H3510" s="388" t="str">
        <f t="shared" ca="1" si="197"/>
        <v/>
      </c>
      <c r="I3510" s="388" t="str">
        <f t="shared" ca="1" si="198"/>
        <v/>
      </c>
    </row>
    <row r="3511" spans="1:9" x14ac:dyDescent="0.3">
      <c r="A3511" s="384" t="b">
        <f t="shared" ca="1" si="196"/>
        <v>0</v>
      </c>
      <c r="B3511" s="393" t="str">
        <f ca="1">IF(COUNTA(G$2863:G3510)=1,"",OFFSET(B3511,-COUNTA(G$2863:G3510)+1,0))</f>
        <v>a1bDm000000Y7tUIAS</v>
      </c>
      <c r="C3511" s="389">
        <f ca="1">IF(COUNTA(G$2863:G3510)=1,"",OFFSET(C3511,-COUNTA(G$2863:G3510)+1,0))</f>
        <v>28</v>
      </c>
      <c r="D3511" s="384">
        <f t="shared" si="199"/>
        <v>166</v>
      </c>
      <c r="E3511" s="384">
        <f t="shared" ca="1" si="200"/>
        <v>4</v>
      </c>
      <c r="F3511" s="384">
        <f t="shared" ca="1" si="201"/>
        <v>36</v>
      </c>
      <c r="G3511" s="384"/>
      <c r="H3511" s="388" t="str">
        <f t="shared" ca="1" si="197"/>
        <v/>
      </c>
      <c r="I3511" s="388" t="str">
        <f t="shared" ca="1" si="198"/>
        <v/>
      </c>
    </row>
    <row r="3512" spans="1:9" x14ac:dyDescent="0.3">
      <c r="A3512" s="384" t="b">
        <f t="shared" ca="1" si="196"/>
        <v>0</v>
      </c>
      <c r="B3512" s="393" t="str">
        <f ca="1">IF(COUNTA(G$2863:G3511)=1,"",OFFSET(B3512,-COUNTA(G$2863:G3511)+1,0))</f>
        <v>a1bDm000000Y7umIAC</v>
      </c>
      <c r="C3512" s="389">
        <f ca="1">IF(COUNTA(G$2863:G3511)=1,"",OFFSET(C3512,-COUNTA(G$2863:G3511)+1,0))</f>
        <v>28</v>
      </c>
      <c r="D3512" s="384">
        <f t="shared" si="199"/>
        <v>167</v>
      </c>
      <c r="E3512" s="384">
        <f t="shared" ca="1" si="200"/>
        <v>5</v>
      </c>
      <c r="F3512" s="384">
        <f t="shared" ca="1" si="201"/>
        <v>36</v>
      </c>
      <c r="G3512" s="384"/>
      <c r="H3512" s="388" t="str">
        <f t="shared" ca="1" si="197"/>
        <v/>
      </c>
      <c r="I3512" s="388" t="str">
        <f t="shared" ca="1" si="198"/>
        <v/>
      </c>
    </row>
    <row r="3513" spans="1:9" x14ac:dyDescent="0.3">
      <c r="A3513" s="384" t="b">
        <f t="shared" ca="1" si="196"/>
        <v>0</v>
      </c>
      <c r="B3513" s="393" t="str">
        <f ca="1">IF(COUNTA(G$2863:G3512)=1,"",OFFSET(B3513,-COUNTA(G$2863:G3512)+1,0))</f>
        <v>a1bDm000000Y7w4IAC</v>
      </c>
      <c r="C3513" s="389">
        <f ca="1">IF(COUNTA(G$2863:G3512)=1,"",OFFSET(C3513,-COUNTA(G$2863:G3512)+1,0))</f>
        <v>28</v>
      </c>
      <c r="D3513" s="384">
        <f t="shared" si="199"/>
        <v>168</v>
      </c>
      <c r="E3513" s="384">
        <f t="shared" ca="1" si="200"/>
        <v>6</v>
      </c>
      <c r="F3513" s="384">
        <f t="shared" ca="1" si="201"/>
        <v>36</v>
      </c>
      <c r="G3513" s="384"/>
      <c r="H3513" s="388" t="str">
        <f t="shared" ca="1" si="197"/>
        <v/>
      </c>
      <c r="I3513" s="388" t="str">
        <f t="shared" ca="1" si="198"/>
        <v/>
      </c>
    </row>
    <row r="3514" spans="1:9" x14ac:dyDescent="0.3">
      <c r="A3514" s="384" t="b">
        <f t="shared" ca="1" si="196"/>
        <v>0</v>
      </c>
      <c r="B3514" s="393" t="str">
        <f ca="1">IF(COUNTA(G$2863:G3513)=1,"",OFFSET(B3514,-COUNTA(G$2863:G3513)+1,0))</f>
        <v>a1bDm000000Y7pdIAC</v>
      </c>
      <c r="C3514" s="389">
        <f ca="1">IF(COUNTA(G$2863:G3513)=1,"",OFFSET(C3514,-COUNTA(G$2863:G3513)+1,0))</f>
        <v>29</v>
      </c>
      <c r="D3514" s="384">
        <f t="shared" si="199"/>
        <v>169</v>
      </c>
      <c r="E3514" s="384">
        <f t="shared" ca="1" si="200"/>
        <v>1</v>
      </c>
      <c r="F3514" s="384">
        <f t="shared" ca="1" si="201"/>
        <v>37</v>
      </c>
      <c r="G3514" s="384"/>
      <c r="H3514" s="388" t="str">
        <f t="shared" ca="1" si="197"/>
        <v/>
      </c>
      <c r="I3514" s="388" t="str">
        <f t="shared" ca="1" si="198"/>
        <v/>
      </c>
    </row>
    <row r="3515" spans="1:9" x14ac:dyDescent="0.3">
      <c r="A3515" s="384" t="b">
        <f t="shared" ca="1" si="196"/>
        <v>0</v>
      </c>
      <c r="B3515" s="393" t="str">
        <f ca="1">IF(COUNTA(G$2863:G3514)=1,"",OFFSET(B3515,-COUNTA(G$2863:G3514)+1,0))</f>
        <v>a1bDm000000Y7qvIAC</v>
      </c>
      <c r="C3515" s="389">
        <f ca="1">IF(COUNTA(G$2863:G3514)=1,"",OFFSET(C3515,-COUNTA(G$2863:G3514)+1,0))</f>
        <v>29</v>
      </c>
      <c r="D3515" s="384">
        <f t="shared" si="199"/>
        <v>170</v>
      </c>
      <c r="E3515" s="384">
        <f t="shared" ca="1" si="200"/>
        <v>2</v>
      </c>
      <c r="F3515" s="384">
        <f t="shared" ca="1" si="201"/>
        <v>37</v>
      </c>
      <c r="G3515" s="384"/>
      <c r="H3515" s="388" t="str">
        <f t="shared" ca="1" si="197"/>
        <v/>
      </c>
      <c r="I3515" s="388" t="str">
        <f t="shared" ca="1" si="198"/>
        <v/>
      </c>
    </row>
    <row r="3516" spans="1:9" x14ac:dyDescent="0.3">
      <c r="A3516" s="384" t="b">
        <f t="shared" ca="1" si="196"/>
        <v>0</v>
      </c>
      <c r="B3516" s="393" t="str">
        <f ca="1">IF(COUNTA(G$2863:G3515)=1,"",OFFSET(B3516,-COUNTA(G$2863:G3515)+1,0))</f>
        <v>a1bDm000000Y7sDIAS</v>
      </c>
      <c r="C3516" s="389">
        <f ca="1">IF(COUNTA(G$2863:G3515)=1,"",OFFSET(C3516,-COUNTA(G$2863:G3515)+1,0))</f>
        <v>29</v>
      </c>
      <c r="D3516" s="384">
        <f t="shared" si="199"/>
        <v>171</v>
      </c>
      <c r="E3516" s="384">
        <f t="shared" ca="1" si="200"/>
        <v>3</v>
      </c>
      <c r="F3516" s="384">
        <f t="shared" ca="1" si="201"/>
        <v>37</v>
      </c>
      <c r="G3516" s="384"/>
      <c r="H3516" s="388" t="str">
        <f t="shared" ca="1" si="197"/>
        <v/>
      </c>
      <c r="I3516" s="388" t="str">
        <f t="shared" ca="1" si="198"/>
        <v/>
      </c>
    </row>
    <row r="3517" spans="1:9" x14ac:dyDescent="0.3">
      <c r="A3517" s="384" t="b">
        <f t="shared" ca="1" si="196"/>
        <v>0</v>
      </c>
      <c r="B3517" s="393" t="str">
        <f ca="1">IF(COUNTA(G$2863:G3516)=1,"",OFFSET(B3517,-COUNTA(G$2863:G3516)+1,0))</f>
        <v>a1bDm000000Y7tVIAS</v>
      </c>
      <c r="C3517" s="389">
        <f ca="1">IF(COUNTA(G$2863:G3516)=1,"",OFFSET(C3517,-COUNTA(G$2863:G3516)+1,0))</f>
        <v>29</v>
      </c>
      <c r="D3517" s="384">
        <f t="shared" si="199"/>
        <v>172</v>
      </c>
      <c r="E3517" s="384">
        <f t="shared" ca="1" si="200"/>
        <v>4</v>
      </c>
      <c r="F3517" s="384">
        <f t="shared" ca="1" si="201"/>
        <v>37</v>
      </c>
      <c r="G3517" s="384"/>
      <c r="H3517" s="388" t="str">
        <f t="shared" ca="1" si="197"/>
        <v/>
      </c>
      <c r="I3517" s="388" t="str">
        <f t="shared" ca="1" si="198"/>
        <v/>
      </c>
    </row>
    <row r="3518" spans="1:9" x14ac:dyDescent="0.3">
      <c r="A3518" s="384" t="b">
        <f t="shared" ca="1" si="196"/>
        <v>0</v>
      </c>
      <c r="B3518" s="393" t="str">
        <f ca="1">IF(COUNTA(G$2863:G3517)=1,"",OFFSET(B3518,-COUNTA(G$2863:G3517)+1,0))</f>
        <v>a1bDm000000Y7unIAC</v>
      </c>
      <c r="C3518" s="389">
        <f ca="1">IF(COUNTA(G$2863:G3517)=1,"",OFFSET(C3518,-COUNTA(G$2863:G3517)+1,0))</f>
        <v>29</v>
      </c>
      <c r="D3518" s="384">
        <f t="shared" si="199"/>
        <v>173</v>
      </c>
      <c r="E3518" s="384">
        <f t="shared" ca="1" si="200"/>
        <v>5</v>
      </c>
      <c r="F3518" s="384">
        <f t="shared" ca="1" si="201"/>
        <v>37</v>
      </c>
      <c r="G3518" s="384"/>
      <c r="H3518" s="388" t="str">
        <f t="shared" ca="1" si="197"/>
        <v/>
      </c>
      <c r="I3518" s="388" t="str">
        <f t="shared" ca="1" si="198"/>
        <v/>
      </c>
    </row>
    <row r="3519" spans="1:9" x14ac:dyDescent="0.3">
      <c r="A3519" s="384" t="b">
        <f t="shared" ca="1" si="196"/>
        <v>0</v>
      </c>
      <c r="B3519" s="393" t="str">
        <f ca="1">IF(COUNTA(G$2863:G3518)=1,"",OFFSET(B3519,-COUNTA(G$2863:G3518)+1,0))</f>
        <v>a1bDm000000Y7w5IAC</v>
      </c>
      <c r="C3519" s="389">
        <f ca="1">IF(COUNTA(G$2863:G3518)=1,"",OFFSET(C3519,-COUNTA(G$2863:G3518)+1,0))</f>
        <v>29</v>
      </c>
      <c r="D3519" s="384">
        <f t="shared" si="199"/>
        <v>174</v>
      </c>
      <c r="E3519" s="384">
        <f t="shared" ca="1" si="200"/>
        <v>6</v>
      </c>
      <c r="F3519" s="384">
        <f t="shared" ca="1" si="201"/>
        <v>37</v>
      </c>
      <c r="G3519" s="384"/>
      <c r="H3519" s="388" t="str">
        <f t="shared" ca="1" si="197"/>
        <v/>
      </c>
      <c r="I3519" s="388" t="str">
        <f t="shared" ca="1" si="198"/>
        <v/>
      </c>
    </row>
    <row r="3520" spans="1:9" x14ac:dyDescent="0.3">
      <c r="A3520" s="384" t="b">
        <f t="shared" ca="1" si="196"/>
        <v>0</v>
      </c>
      <c r="B3520" s="393" t="str">
        <f ca="1">IF(COUNTA(G$2863:G3519)=1,"",OFFSET(B3520,-COUNTA(G$2863:G3519)+1,0))</f>
        <v>a1bDm000000Y7peIAC</v>
      </c>
      <c r="C3520" s="389">
        <f ca="1">IF(COUNTA(G$2863:G3519)=1,"",OFFSET(C3520,-COUNTA(G$2863:G3519)+1,0))</f>
        <v>30</v>
      </c>
      <c r="D3520" s="384">
        <f t="shared" si="199"/>
        <v>175</v>
      </c>
      <c r="E3520" s="384">
        <f t="shared" ca="1" si="200"/>
        <v>1</v>
      </c>
      <c r="F3520" s="384">
        <f t="shared" ca="1" si="201"/>
        <v>38</v>
      </c>
      <c r="G3520" s="384"/>
      <c r="H3520" s="388" t="str">
        <f t="shared" ca="1" si="197"/>
        <v/>
      </c>
      <c r="I3520" s="388" t="str">
        <f t="shared" ca="1" si="198"/>
        <v/>
      </c>
    </row>
    <row r="3521" spans="1:9" x14ac:dyDescent="0.3">
      <c r="A3521" s="384" t="b">
        <f t="shared" ca="1" si="196"/>
        <v>0</v>
      </c>
      <c r="B3521" s="393" t="str">
        <f ca="1">IF(COUNTA(G$2863:G3520)=1,"",OFFSET(B3521,-COUNTA(G$2863:G3520)+1,0))</f>
        <v>a1bDm000000Y7qwIAC</v>
      </c>
      <c r="C3521" s="389">
        <f ca="1">IF(COUNTA(G$2863:G3520)=1,"",OFFSET(C3521,-COUNTA(G$2863:G3520)+1,0))</f>
        <v>30</v>
      </c>
      <c r="D3521" s="384">
        <f t="shared" si="199"/>
        <v>176</v>
      </c>
      <c r="E3521" s="384">
        <f t="shared" ca="1" si="200"/>
        <v>2</v>
      </c>
      <c r="F3521" s="384">
        <f t="shared" ca="1" si="201"/>
        <v>38</v>
      </c>
      <c r="G3521" s="384"/>
      <c r="H3521" s="388" t="str">
        <f t="shared" ca="1" si="197"/>
        <v/>
      </c>
      <c r="I3521" s="388" t="str">
        <f t="shared" ca="1" si="198"/>
        <v/>
      </c>
    </row>
    <row r="3522" spans="1:9" x14ac:dyDescent="0.3">
      <c r="A3522" s="384" t="b">
        <f t="shared" ca="1" si="196"/>
        <v>0</v>
      </c>
      <c r="B3522" s="393" t="str">
        <f ca="1">IF(COUNTA(G$2863:G3521)=1,"",OFFSET(B3522,-COUNTA(G$2863:G3521)+1,0))</f>
        <v>a1bDm000000Y7sEIAS</v>
      </c>
      <c r="C3522" s="389">
        <f ca="1">IF(COUNTA(G$2863:G3521)=1,"",OFFSET(C3522,-COUNTA(G$2863:G3521)+1,0))</f>
        <v>30</v>
      </c>
      <c r="D3522" s="384">
        <f t="shared" si="199"/>
        <v>177</v>
      </c>
      <c r="E3522" s="384">
        <f t="shared" ca="1" si="200"/>
        <v>3</v>
      </c>
      <c r="F3522" s="384">
        <f t="shared" ca="1" si="201"/>
        <v>38</v>
      </c>
      <c r="G3522" s="384"/>
      <c r="H3522" s="388" t="str">
        <f t="shared" ca="1" si="197"/>
        <v/>
      </c>
      <c r="I3522" s="388" t="str">
        <f t="shared" ca="1" si="198"/>
        <v/>
      </c>
    </row>
    <row r="3523" spans="1:9" x14ac:dyDescent="0.3">
      <c r="A3523" s="384" t="b">
        <f t="shared" ca="1" si="196"/>
        <v>0</v>
      </c>
      <c r="B3523" s="393" t="str">
        <f ca="1">IF(COUNTA(G$2863:G3522)=1,"",OFFSET(B3523,-COUNTA(G$2863:G3522)+1,0))</f>
        <v>a1bDm000000Y7tWIAS</v>
      </c>
      <c r="C3523" s="389">
        <f ca="1">IF(COUNTA(G$2863:G3522)=1,"",OFFSET(C3523,-COUNTA(G$2863:G3522)+1,0))</f>
        <v>30</v>
      </c>
      <c r="D3523" s="384">
        <f t="shared" si="199"/>
        <v>178</v>
      </c>
      <c r="E3523" s="384">
        <f t="shared" ca="1" si="200"/>
        <v>4</v>
      </c>
      <c r="F3523" s="384">
        <f t="shared" ca="1" si="201"/>
        <v>38</v>
      </c>
      <c r="G3523" s="384"/>
      <c r="H3523" s="388" t="str">
        <f t="shared" ca="1" si="197"/>
        <v/>
      </c>
      <c r="I3523" s="388" t="str">
        <f t="shared" ca="1" si="198"/>
        <v/>
      </c>
    </row>
    <row r="3524" spans="1:9" x14ac:dyDescent="0.3">
      <c r="A3524" s="384" t="b">
        <f t="shared" ca="1" si="196"/>
        <v>0</v>
      </c>
      <c r="B3524" s="393" t="str">
        <f ca="1">IF(COUNTA(G$2863:G3523)=1,"",OFFSET(B3524,-COUNTA(G$2863:G3523)+1,0))</f>
        <v>a1bDm000000Y7uoIAC</v>
      </c>
      <c r="C3524" s="389">
        <f ca="1">IF(COUNTA(G$2863:G3523)=1,"",OFFSET(C3524,-COUNTA(G$2863:G3523)+1,0))</f>
        <v>30</v>
      </c>
      <c r="D3524" s="384">
        <f t="shared" si="199"/>
        <v>179</v>
      </c>
      <c r="E3524" s="384">
        <f t="shared" ca="1" si="200"/>
        <v>5</v>
      </c>
      <c r="F3524" s="384">
        <f t="shared" ca="1" si="201"/>
        <v>38</v>
      </c>
      <c r="G3524" s="384"/>
      <c r="H3524" s="388" t="str">
        <f t="shared" ca="1" si="197"/>
        <v/>
      </c>
      <c r="I3524" s="388" t="str">
        <f t="shared" ca="1" si="198"/>
        <v/>
      </c>
    </row>
    <row r="3525" spans="1:9" x14ac:dyDescent="0.3">
      <c r="A3525" s="384" t="b">
        <f t="shared" ca="1" si="196"/>
        <v>0</v>
      </c>
      <c r="B3525" s="393" t="str">
        <f ca="1">IF(COUNTA(G$2863:G3524)=1,"",OFFSET(B3525,-COUNTA(G$2863:G3524)+1,0))</f>
        <v>a1bDm000000Y7w6IAC</v>
      </c>
      <c r="C3525" s="389">
        <f ca="1">IF(COUNTA(G$2863:G3524)=1,"",OFFSET(C3525,-COUNTA(G$2863:G3524)+1,0))</f>
        <v>30</v>
      </c>
      <c r="D3525" s="384">
        <f t="shared" si="199"/>
        <v>180</v>
      </c>
      <c r="E3525" s="384">
        <f t="shared" ca="1" si="200"/>
        <v>6</v>
      </c>
      <c r="F3525" s="384">
        <f t="shared" ca="1" si="201"/>
        <v>38</v>
      </c>
      <c r="G3525" s="384"/>
      <c r="H3525" s="388" t="str">
        <f t="shared" ca="1" si="197"/>
        <v/>
      </c>
      <c r="I3525" s="388" t="str">
        <f t="shared" ca="1" si="198"/>
        <v/>
      </c>
    </row>
    <row r="3526" spans="1:9" x14ac:dyDescent="0.3">
      <c r="A3526" s="384" t="b">
        <f t="shared" ca="1" si="196"/>
        <v>0</v>
      </c>
      <c r="B3526" s="393" t="str">
        <f ca="1">IF(COUNTA(G$2863:G3525)=1,"",OFFSET(B3526,-COUNTA(G$2863:G3525)+1,0))</f>
        <v>a1bDm000000Y7pfIAC</v>
      </c>
      <c r="C3526" s="389">
        <f ca="1">IF(COUNTA(G$2863:G3525)=1,"",OFFSET(C3526,-COUNTA(G$2863:G3525)+1,0))</f>
        <v>31</v>
      </c>
      <c r="D3526" s="384">
        <f t="shared" si="199"/>
        <v>181</v>
      </c>
      <c r="E3526" s="384">
        <f t="shared" ca="1" si="200"/>
        <v>1</v>
      </c>
      <c r="F3526" s="384">
        <f t="shared" ca="1" si="201"/>
        <v>39</v>
      </c>
      <c r="G3526" s="384"/>
      <c r="H3526" s="388" t="str">
        <f t="shared" ca="1" si="197"/>
        <v/>
      </c>
      <c r="I3526" s="388" t="str">
        <f t="shared" ca="1" si="198"/>
        <v/>
      </c>
    </row>
    <row r="3527" spans="1:9" x14ac:dyDescent="0.3">
      <c r="A3527" s="384" t="b">
        <f t="shared" ca="1" si="196"/>
        <v>0</v>
      </c>
      <c r="B3527" s="393" t="str">
        <f ca="1">IF(COUNTA(G$2863:G3526)=1,"",OFFSET(B3527,-COUNTA(G$2863:G3526)+1,0))</f>
        <v>a1bDm000000Y7qxIAC</v>
      </c>
      <c r="C3527" s="389">
        <f ca="1">IF(COUNTA(G$2863:G3526)=1,"",OFFSET(C3527,-COUNTA(G$2863:G3526)+1,0))</f>
        <v>31</v>
      </c>
      <c r="D3527" s="384">
        <f t="shared" si="199"/>
        <v>182</v>
      </c>
      <c r="E3527" s="384">
        <f t="shared" ca="1" si="200"/>
        <v>2</v>
      </c>
      <c r="F3527" s="384">
        <f t="shared" ca="1" si="201"/>
        <v>39</v>
      </c>
      <c r="G3527" s="384"/>
      <c r="H3527" s="388" t="str">
        <f t="shared" ca="1" si="197"/>
        <v/>
      </c>
      <c r="I3527" s="388" t="str">
        <f t="shared" ca="1" si="198"/>
        <v/>
      </c>
    </row>
    <row r="3528" spans="1:9" x14ac:dyDescent="0.3">
      <c r="A3528" s="384" t="b">
        <f t="shared" ca="1" si="196"/>
        <v>0</v>
      </c>
      <c r="B3528" s="393" t="str">
        <f ca="1">IF(COUNTA(G$2863:G3527)=1,"",OFFSET(B3528,-COUNTA(G$2863:G3527)+1,0))</f>
        <v>a1bDm000000Y7sFIAS</v>
      </c>
      <c r="C3528" s="389">
        <f ca="1">IF(COUNTA(G$2863:G3527)=1,"",OFFSET(C3528,-COUNTA(G$2863:G3527)+1,0))</f>
        <v>31</v>
      </c>
      <c r="D3528" s="384">
        <f t="shared" si="199"/>
        <v>183</v>
      </c>
      <c r="E3528" s="384">
        <f t="shared" ca="1" si="200"/>
        <v>3</v>
      </c>
      <c r="F3528" s="384">
        <f t="shared" ca="1" si="201"/>
        <v>39</v>
      </c>
      <c r="G3528" s="384"/>
      <c r="H3528" s="388" t="str">
        <f t="shared" ca="1" si="197"/>
        <v/>
      </c>
      <c r="I3528" s="388" t="str">
        <f t="shared" ca="1" si="198"/>
        <v/>
      </c>
    </row>
    <row r="3529" spans="1:9" x14ac:dyDescent="0.3">
      <c r="A3529" s="384" t="b">
        <f t="shared" ca="1" si="196"/>
        <v>0</v>
      </c>
      <c r="B3529" s="393" t="str">
        <f ca="1">IF(COUNTA(G$2863:G3528)=1,"",OFFSET(B3529,-COUNTA(G$2863:G3528)+1,0))</f>
        <v>a1bDm000000Y7tXIAS</v>
      </c>
      <c r="C3529" s="389">
        <f ca="1">IF(COUNTA(G$2863:G3528)=1,"",OFFSET(C3529,-COUNTA(G$2863:G3528)+1,0))</f>
        <v>31</v>
      </c>
      <c r="D3529" s="384">
        <f t="shared" si="199"/>
        <v>184</v>
      </c>
      <c r="E3529" s="384">
        <f t="shared" ca="1" si="200"/>
        <v>4</v>
      </c>
      <c r="F3529" s="384">
        <f t="shared" ca="1" si="201"/>
        <v>39</v>
      </c>
      <c r="G3529" s="384"/>
      <c r="H3529" s="388" t="str">
        <f t="shared" ca="1" si="197"/>
        <v/>
      </c>
      <c r="I3529" s="388" t="str">
        <f t="shared" ca="1" si="198"/>
        <v/>
      </c>
    </row>
    <row r="3530" spans="1:9" x14ac:dyDescent="0.3">
      <c r="A3530" s="384" t="b">
        <f t="shared" ca="1" si="196"/>
        <v>0</v>
      </c>
      <c r="B3530" s="393" t="str">
        <f ca="1">IF(COUNTA(G$2863:G3529)=1,"",OFFSET(B3530,-COUNTA(G$2863:G3529)+1,0))</f>
        <v>a1bDm000000Y7upIAC</v>
      </c>
      <c r="C3530" s="389">
        <f ca="1">IF(COUNTA(G$2863:G3529)=1,"",OFFSET(C3530,-COUNTA(G$2863:G3529)+1,0))</f>
        <v>31</v>
      </c>
      <c r="D3530" s="384">
        <f t="shared" si="199"/>
        <v>185</v>
      </c>
      <c r="E3530" s="384">
        <f t="shared" ca="1" si="200"/>
        <v>5</v>
      </c>
      <c r="F3530" s="384">
        <f t="shared" ca="1" si="201"/>
        <v>39</v>
      </c>
      <c r="G3530" s="384"/>
      <c r="H3530" s="388" t="str">
        <f t="shared" ca="1" si="197"/>
        <v/>
      </c>
      <c r="I3530" s="388" t="str">
        <f t="shared" ca="1" si="198"/>
        <v/>
      </c>
    </row>
    <row r="3531" spans="1:9" x14ac:dyDescent="0.3">
      <c r="A3531" s="384" t="b">
        <f t="shared" ca="1" si="196"/>
        <v>0</v>
      </c>
      <c r="B3531" s="393" t="str">
        <f ca="1">IF(COUNTA(G$2863:G3530)=1,"",OFFSET(B3531,-COUNTA(G$2863:G3530)+1,0))</f>
        <v>a1bDm000000Y7w7IAC</v>
      </c>
      <c r="C3531" s="389">
        <f ca="1">IF(COUNTA(G$2863:G3530)=1,"",OFFSET(C3531,-COUNTA(G$2863:G3530)+1,0))</f>
        <v>31</v>
      </c>
      <c r="D3531" s="384">
        <f t="shared" si="199"/>
        <v>186</v>
      </c>
      <c r="E3531" s="384">
        <f t="shared" ca="1" si="200"/>
        <v>6</v>
      </c>
      <c r="F3531" s="384">
        <f t="shared" ca="1" si="201"/>
        <v>39</v>
      </c>
      <c r="G3531" s="384"/>
      <c r="H3531" s="388" t="str">
        <f t="shared" ca="1" si="197"/>
        <v/>
      </c>
      <c r="I3531" s="388" t="str">
        <f t="shared" ca="1" si="198"/>
        <v/>
      </c>
    </row>
    <row r="3532" spans="1:9" x14ac:dyDescent="0.3">
      <c r="A3532" s="384" t="b">
        <f t="shared" ca="1" si="196"/>
        <v>0</v>
      </c>
      <c r="B3532" s="393" t="str">
        <f ca="1">IF(COUNTA(G$2863:G3531)=1,"",OFFSET(B3532,-COUNTA(G$2863:G3531)+1,0))</f>
        <v>a1bDm000000Y7pgIAC</v>
      </c>
      <c r="C3532" s="389">
        <f ca="1">IF(COUNTA(G$2863:G3531)=1,"",OFFSET(C3532,-COUNTA(G$2863:G3531)+1,0))</f>
        <v>32</v>
      </c>
      <c r="D3532" s="384">
        <f t="shared" si="199"/>
        <v>187</v>
      </c>
      <c r="E3532" s="384">
        <f t="shared" ca="1" si="200"/>
        <v>1</v>
      </c>
      <c r="F3532" s="384">
        <f t="shared" ca="1" si="201"/>
        <v>40</v>
      </c>
      <c r="G3532" s="384"/>
      <c r="H3532" s="388" t="str">
        <f t="shared" ca="1" si="197"/>
        <v/>
      </c>
      <c r="I3532" s="388" t="str">
        <f t="shared" ca="1" si="198"/>
        <v/>
      </c>
    </row>
    <row r="3533" spans="1:9" x14ac:dyDescent="0.3">
      <c r="A3533" s="384" t="b">
        <f t="shared" ca="1" si="196"/>
        <v>0</v>
      </c>
      <c r="B3533" s="393" t="str">
        <f ca="1">IF(COUNTA(G$2863:G3532)=1,"",OFFSET(B3533,-COUNTA(G$2863:G3532)+1,0))</f>
        <v>a1bDm000000Y7qyIAC</v>
      </c>
      <c r="C3533" s="389">
        <f ca="1">IF(COUNTA(G$2863:G3532)=1,"",OFFSET(C3533,-COUNTA(G$2863:G3532)+1,0))</f>
        <v>32</v>
      </c>
      <c r="D3533" s="384">
        <f t="shared" si="199"/>
        <v>188</v>
      </c>
      <c r="E3533" s="384">
        <f t="shared" ca="1" si="200"/>
        <v>2</v>
      </c>
      <c r="F3533" s="384">
        <f t="shared" ca="1" si="201"/>
        <v>40</v>
      </c>
      <c r="G3533" s="384"/>
      <c r="H3533" s="388" t="str">
        <f t="shared" ca="1" si="197"/>
        <v/>
      </c>
      <c r="I3533" s="388" t="str">
        <f t="shared" ca="1" si="198"/>
        <v/>
      </c>
    </row>
    <row r="3534" spans="1:9" x14ac:dyDescent="0.3">
      <c r="A3534" s="384" t="b">
        <f t="shared" ca="1" si="196"/>
        <v>0</v>
      </c>
      <c r="B3534" s="393" t="str">
        <f ca="1">IF(COUNTA(G$2863:G3533)=1,"",OFFSET(B3534,-COUNTA(G$2863:G3533)+1,0))</f>
        <v>a1bDm000000Y7sGIAS</v>
      </c>
      <c r="C3534" s="389">
        <f ca="1">IF(COUNTA(G$2863:G3533)=1,"",OFFSET(C3534,-COUNTA(G$2863:G3533)+1,0))</f>
        <v>32</v>
      </c>
      <c r="D3534" s="384">
        <f t="shared" si="199"/>
        <v>189</v>
      </c>
      <c r="E3534" s="384">
        <f t="shared" ca="1" si="200"/>
        <v>3</v>
      </c>
      <c r="F3534" s="384">
        <f t="shared" ca="1" si="201"/>
        <v>40</v>
      </c>
      <c r="G3534" s="384"/>
      <c r="H3534" s="388" t="str">
        <f t="shared" ca="1" si="197"/>
        <v/>
      </c>
      <c r="I3534" s="388" t="str">
        <f t="shared" ca="1" si="198"/>
        <v/>
      </c>
    </row>
    <row r="3535" spans="1:9" x14ac:dyDescent="0.3">
      <c r="A3535" s="384" t="b">
        <f t="shared" ca="1" si="196"/>
        <v>0</v>
      </c>
      <c r="B3535" s="393" t="str">
        <f ca="1">IF(COUNTA(G$2863:G3534)=1,"",OFFSET(B3535,-COUNTA(G$2863:G3534)+1,0))</f>
        <v>a1bDm000000Y7tYIAS</v>
      </c>
      <c r="C3535" s="389">
        <f ca="1">IF(COUNTA(G$2863:G3534)=1,"",OFFSET(C3535,-COUNTA(G$2863:G3534)+1,0))</f>
        <v>32</v>
      </c>
      <c r="D3535" s="384">
        <f t="shared" si="199"/>
        <v>190</v>
      </c>
      <c r="E3535" s="384">
        <f t="shared" ca="1" si="200"/>
        <v>4</v>
      </c>
      <c r="F3535" s="384">
        <f t="shared" ca="1" si="201"/>
        <v>40</v>
      </c>
      <c r="G3535" s="384"/>
      <c r="H3535" s="388" t="str">
        <f t="shared" ca="1" si="197"/>
        <v/>
      </c>
      <c r="I3535" s="388" t="str">
        <f t="shared" ca="1" si="198"/>
        <v/>
      </c>
    </row>
    <row r="3536" spans="1:9" x14ac:dyDescent="0.3">
      <c r="A3536" s="384" t="b">
        <f t="shared" ca="1" si="196"/>
        <v>0</v>
      </c>
      <c r="B3536" s="393" t="str">
        <f ca="1">IF(COUNTA(G$2863:G3535)=1,"",OFFSET(B3536,-COUNTA(G$2863:G3535)+1,0))</f>
        <v>a1bDm000000Y7uqIAC</v>
      </c>
      <c r="C3536" s="389">
        <f ca="1">IF(COUNTA(G$2863:G3535)=1,"",OFFSET(C3536,-COUNTA(G$2863:G3535)+1,0))</f>
        <v>32</v>
      </c>
      <c r="D3536" s="384">
        <f t="shared" si="199"/>
        <v>191</v>
      </c>
      <c r="E3536" s="384">
        <f t="shared" ca="1" si="200"/>
        <v>5</v>
      </c>
      <c r="F3536" s="384">
        <f t="shared" ca="1" si="201"/>
        <v>40</v>
      </c>
      <c r="G3536" s="384"/>
      <c r="H3536" s="388" t="str">
        <f t="shared" ca="1" si="197"/>
        <v/>
      </c>
      <c r="I3536" s="388" t="str">
        <f t="shared" ca="1" si="198"/>
        <v/>
      </c>
    </row>
    <row r="3537" spans="1:9" x14ac:dyDescent="0.3">
      <c r="A3537" s="384" t="b">
        <f t="shared" ca="1" si="196"/>
        <v>0</v>
      </c>
      <c r="B3537" s="393" t="str">
        <f ca="1">IF(COUNTA(G$2863:G3536)=1,"",OFFSET(B3537,-COUNTA(G$2863:G3536)+1,0))</f>
        <v>a1bDm000000Y7w8IAC</v>
      </c>
      <c r="C3537" s="389">
        <f ca="1">IF(COUNTA(G$2863:G3536)=1,"",OFFSET(C3537,-COUNTA(G$2863:G3536)+1,0))</f>
        <v>32</v>
      </c>
      <c r="D3537" s="384">
        <f t="shared" si="199"/>
        <v>192</v>
      </c>
      <c r="E3537" s="384">
        <f t="shared" ca="1" si="200"/>
        <v>6</v>
      </c>
      <c r="F3537" s="384">
        <f t="shared" ca="1" si="201"/>
        <v>40</v>
      </c>
      <c r="G3537" s="384"/>
      <c r="H3537" s="388" t="str">
        <f t="shared" ca="1" si="197"/>
        <v/>
      </c>
      <c r="I3537" s="388" t="str">
        <f t="shared" ca="1" si="198"/>
        <v/>
      </c>
    </row>
    <row r="3538" spans="1:9" x14ac:dyDescent="0.3">
      <c r="A3538" s="384" t="b">
        <f t="shared" ref="A3538:A3601" ca="1" si="202">IF(OR(AND(H3538&lt;&gt;"", H3538&lt;&gt;0), AND(I3538&lt;&gt;"",I3538&lt;&gt;0)),TRUE,FALSE)</f>
        <v>0</v>
      </c>
      <c r="B3538" s="393" t="str">
        <f ca="1">IF(COUNTA(G$2863:G3537)=1,"",OFFSET(B3538,-COUNTA(G$2863:G3537)+1,0))</f>
        <v>a1bDm000000Y7phIAC</v>
      </c>
      <c r="C3538" s="389">
        <f ca="1">IF(COUNTA(G$2863:G3537)=1,"",OFFSET(C3538,-COUNTA(G$2863:G3537)+1,0))</f>
        <v>33</v>
      </c>
      <c r="D3538" s="384">
        <f t="shared" si="199"/>
        <v>193</v>
      </c>
      <c r="E3538" s="384">
        <f t="shared" ca="1" si="200"/>
        <v>1</v>
      </c>
      <c r="F3538" s="384">
        <f t="shared" ca="1" si="201"/>
        <v>41</v>
      </c>
      <c r="G3538" s="384"/>
      <c r="H3538" s="388" t="str">
        <f t="shared" ref="H3538:H3601" ca="1" si="203">CHOOSE(E3538,IFERROR(IF(INDIRECT("'WPTM - Section F'!H"&amp;F3538)=0,"",INDIRECT("'WPTM - Section F'!H"&amp;$F3538)),""),IFERROR(IF(INDIRECT("'WPTM - Section F'!J"&amp;F3538)=0,"",INDIRECT("'WPTM - Section F'!J"&amp;$F3538)),""),IFERROR(IF(INDIRECT("'WPTM - Section F'!L"&amp;F3538)=0,"",INDIRECT("'WPTM - Section F'!L"&amp;$F3538)),""),IFERROR(IF(INDIRECT("'WPTM - Section F'!N"&amp;F3538)=0,"",INDIRECT("'WPTM - Section F'!N"&amp;$F3538)),""),IFERROR(IF(INDIRECT("'WPTM - Section F'!P"&amp;F3538)=0,"",INDIRECT("'WPTM - Section F'!P"&amp;$F3538)),""),IFERROR(IF(INDIRECT("'WPTM - Section F'!R"&amp;F3538)=0,"",INDIRECT("'WPTM - Section F'!R"&amp;$F3538)),""),IFERROR(IF(INDIRECT("'WPTM - Section F'!T"&amp;F3538)=0,"",INDIRECT("'WPTM - Section F'!T"&amp;$F3538)),""),IFERROR(IF(INDIRECT("'WPTM - Section F'!V"&amp;F3538)=0,"",INDIRECT("'WPTM - Section F'!V"&amp;$F3538)),""),)</f>
        <v/>
      </c>
      <c r="I3538" s="388" t="str">
        <f t="shared" ref="I3538:I3601" ca="1" si="204">CHOOSE(E3538,IFERROR(IF(INDIRECT("'WPTM - Section F'!G"&amp;F3538)=0,"",INDIRECT("'WPTM - Section F'!G"&amp;$F3538)),""),IFERROR(IF(INDIRECT("'WPTM - Section F'!I"&amp;F3538)=0,"",INDIRECT("'WPTM - Section F'!I"&amp;$F3538)),""),IFERROR(IF(INDIRECT("'WPTM - Section F'!K"&amp;F3538)=0,"",INDIRECT("'WPTM - Section F'!K"&amp;$F3538)),""),IFERROR(IF(INDIRECT("'WPTM - Section F'!M"&amp;F3538)=0,"",INDIRECT("'WPTM - Section F'!M"&amp;$F3538)),""),IFERROR(IF(INDIRECT("'WPTM - Section F'!O"&amp;F3538)=0,"",INDIRECT("'WPTM - Section F'!O"&amp;$F3538)),""),IFERROR(IF(INDIRECT("'WPTM - Section F'!Q"&amp;F3538)=0,"",INDIRECT("'WPTM - Section F'!Q"&amp;$F3538)),""),IFERROR(IF(INDIRECT("'WPTM - Section F'!S"&amp;F3538)=0,"",INDIRECT("'WPTM - Section F'!S"&amp;$F3538)),""),IFERROR(IF(INDIRECT("'WPTM - Section F'!U"&amp;F3538)=0,"",INDIRECT("'WPTM - Section F'!U"&amp;$F3538)),""),)</f>
        <v/>
      </c>
    </row>
    <row r="3539" spans="1:9" x14ac:dyDescent="0.3">
      <c r="A3539" s="384" t="b">
        <f t="shared" ca="1" si="202"/>
        <v>0</v>
      </c>
      <c r="B3539" s="393" t="str">
        <f ca="1">IF(COUNTA(G$2863:G3538)=1,"",OFFSET(B3539,-COUNTA(G$2863:G3538)+1,0))</f>
        <v>a1bDm000000Y7qzIAC</v>
      </c>
      <c r="C3539" s="389">
        <f ca="1">IF(COUNTA(G$2863:G3538)=1,"",OFFSET(C3539,-COUNTA(G$2863:G3538)+1,0))</f>
        <v>33</v>
      </c>
      <c r="D3539" s="384">
        <f t="shared" si="199"/>
        <v>194</v>
      </c>
      <c r="E3539" s="384">
        <f t="shared" ca="1" si="200"/>
        <v>2</v>
      </c>
      <c r="F3539" s="384">
        <f t="shared" ca="1" si="201"/>
        <v>41</v>
      </c>
      <c r="G3539" s="384"/>
      <c r="H3539" s="388" t="str">
        <f t="shared" ca="1" si="203"/>
        <v/>
      </c>
      <c r="I3539" s="388" t="str">
        <f t="shared" ca="1" si="204"/>
        <v/>
      </c>
    </row>
    <row r="3540" spans="1:9" x14ac:dyDescent="0.3">
      <c r="A3540" s="384" t="b">
        <f t="shared" ca="1" si="202"/>
        <v>0</v>
      </c>
      <c r="B3540" s="393" t="str">
        <f ca="1">IF(COUNTA(G$2863:G3539)=1,"",OFFSET(B3540,-COUNTA(G$2863:G3539)+1,0))</f>
        <v>a1bDm000000Y7sHIAS</v>
      </c>
      <c r="C3540" s="389">
        <f ca="1">IF(COUNTA(G$2863:G3539)=1,"",OFFSET(C3540,-COUNTA(G$2863:G3539)+1,0))</f>
        <v>33</v>
      </c>
      <c r="D3540" s="384">
        <f t="shared" si="199"/>
        <v>195</v>
      </c>
      <c r="E3540" s="384">
        <f t="shared" ca="1" si="200"/>
        <v>3</v>
      </c>
      <c r="F3540" s="384">
        <f t="shared" ca="1" si="201"/>
        <v>41</v>
      </c>
      <c r="G3540" s="384"/>
      <c r="H3540" s="388" t="str">
        <f t="shared" ca="1" si="203"/>
        <v/>
      </c>
      <c r="I3540" s="388" t="str">
        <f t="shared" ca="1" si="204"/>
        <v/>
      </c>
    </row>
    <row r="3541" spans="1:9" x14ac:dyDescent="0.3">
      <c r="A3541" s="384" t="b">
        <f t="shared" ca="1" si="202"/>
        <v>0</v>
      </c>
      <c r="B3541" s="393" t="str">
        <f ca="1">IF(COUNTA(G$2863:G3540)=1,"",OFFSET(B3541,-COUNTA(G$2863:G3540)+1,0))</f>
        <v>a1bDm000000Y7tZIAS</v>
      </c>
      <c r="C3541" s="389">
        <f ca="1">IF(COUNTA(G$2863:G3540)=1,"",OFFSET(C3541,-COUNTA(G$2863:G3540)+1,0))</f>
        <v>33</v>
      </c>
      <c r="D3541" s="384">
        <f t="shared" si="199"/>
        <v>196</v>
      </c>
      <c r="E3541" s="384">
        <f t="shared" ca="1" si="200"/>
        <v>4</v>
      </c>
      <c r="F3541" s="384">
        <f t="shared" ca="1" si="201"/>
        <v>41</v>
      </c>
      <c r="G3541" s="384"/>
      <c r="H3541" s="388" t="str">
        <f t="shared" ca="1" si="203"/>
        <v/>
      </c>
      <c r="I3541" s="388" t="str">
        <f t="shared" ca="1" si="204"/>
        <v/>
      </c>
    </row>
    <row r="3542" spans="1:9" x14ac:dyDescent="0.3">
      <c r="A3542" s="384" t="b">
        <f t="shared" ca="1" si="202"/>
        <v>0</v>
      </c>
      <c r="B3542" s="393" t="str">
        <f ca="1">IF(COUNTA(G$2863:G3541)=1,"",OFFSET(B3542,-COUNTA(G$2863:G3541)+1,0))</f>
        <v>a1bDm000000Y7urIAC</v>
      </c>
      <c r="C3542" s="389">
        <f ca="1">IF(COUNTA(G$2863:G3541)=1,"",OFFSET(C3542,-COUNTA(G$2863:G3541)+1,0))</f>
        <v>33</v>
      </c>
      <c r="D3542" s="384">
        <f t="shared" si="199"/>
        <v>197</v>
      </c>
      <c r="E3542" s="384">
        <f t="shared" ca="1" si="200"/>
        <v>5</v>
      </c>
      <c r="F3542" s="384">
        <f t="shared" ca="1" si="201"/>
        <v>41</v>
      </c>
      <c r="G3542" s="384"/>
      <c r="H3542" s="388" t="str">
        <f t="shared" ca="1" si="203"/>
        <v/>
      </c>
      <c r="I3542" s="388" t="str">
        <f t="shared" ca="1" si="204"/>
        <v/>
      </c>
    </row>
    <row r="3543" spans="1:9" x14ac:dyDescent="0.3">
      <c r="A3543" s="384" t="b">
        <f t="shared" ca="1" si="202"/>
        <v>0</v>
      </c>
      <c r="B3543" s="393" t="str">
        <f ca="1">IF(COUNTA(G$2863:G3542)=1,"",OFFSET(B3543,-COUNTA(G$2863:G3542)+1,0))</f>
        <v>a1bDm000000Y7w9IAC</v>
      </c>
      <c r="C3543" s="389">
        <f ca="1">IF(COUNTA(G$2863:G3542)=1,"",OFFSET(C3543,-COUNTA(G$2863:G3542)+1,0))</f>
        <v>33</v>
      </c>
      <c r="D3543" s="384">
        <f t="shared" si="199"/>
        <v>198</v>
      </c>
      <c r="E3543" s="384">
        <f t="shared" ca="1" si="200"/>
        <v>6</v>
      </c>
      <c r="F3543" s="384">
        <f t="shared" ca="1" si="201"/>
        <v>41</v>
      </c>
      <c r="G3543" s="384"/>
      <c r="H3543" s="388" t="str">
        <f t="shared" ca="1" si="203"/>
        <v/>
      </c>
      <c r="I3543" s="388" t="str">
        <f t="shared" ca="1" si="204"/>
        <v/>
      </c>
    </row>
    <row r="3544" spans="1:9" x14ac:dyDescent="0.3">
      <c r="A3544" s="384" t="b">
        <f t="shared" ca="1" si="202"/>
        <v>0</v>
      </c>
      <c r="B3544" s="393" t="str">
        <f ca="1">IF(COUNTA(G$2863:G3543)=1,"",OFFSET(B3544,-COUNTA(G$2863:G3543)+1,0))</f>
        <v>a1bDm000000Y7piIAC</v>
      </c>
      <c r="C3544" s="389">
        <f ca="1">IF(COUNTA(G$2863:G3543)=1,"",OFFSET(C3544,-COUNTA(G$2863:G3543)+1,0))</f>
        <v>34</v>
      </c>
      <c r="D3544" s="384">
        <f t="shared" si="199"/>
        <v>199</v>
      </c>
      <c r="E3544" s="384">
        <f t="shared" ca="1" si="200"/>
        <v>1</v>
      </c>
      <c r="F3544" s="384">
        <f t="shared" ca="1" si="201"/>
        <v>42</v>
      </c>
      <c r="G3544" s="384"/>
      <c r="H3544" s="388" t="str">
        <f t="shared" ca="1" si="203"/>
        <v/>
      </c>
      <c r="I3544" s="388" t="str">
        <f t="shared" ca="1" si="204"/>
        <v/>
      </c>
    </row>
    <row r="3545" spans="1:9" x14ac:dyDescent="0.3">
      <c r="A3545" s="384" t="b">
        <f t="shared" ca="1" si="202"/>
        <v>0</v>
      </c>
      <c r="B3545" s="393" t="str">
        <f ca="1">IF(COUNTA(G$2863:G3544)=1,"",OFFSET(B3545,-COUNTA(G$2863:G3544)+1,0))</f>
        <v>a1bDm000000Y7r0IAC</v>
      </c>
      <c r="C3545" s="389">
        <f ca="1">IF(COUNTA(G$2863:G3544)=1,"",OFFSET(C3545,-COUNTA(G$2863:G3544)+1,0))</f>
        <v>34</v>
      </c>
      <c r="D3545" s="384">
        <f t="shared" si="199"/>
        <v>200</v>
      </c>
      <c r="E3545" s="384">
        <f t="shared" ca="1" si="200"/>
        <v>2</v>
      </c>
      <c r="F3545" s="384">
        <f t="shared" ca="1" si="201"/>
        <v>42</v>
      </c>
      <c r="G3545" s="384"/>
      <c r="H3545" s="388" t="str">
        <f t="shared" ca="1" si="203"/>
        <v/>
      </c>
      <c r="I3545" s="388" t="str">
        <f t="shared" ca="1" si="204"/>
        <v/>
      </c>
    </row>
    <row r="3546" spans="1:9" x14ac:dyDescent="0.3">
      <c r="A3546" s="384" t="b">
        <f t="shared" ca="1" si="202"/>
        <v>0</v>
      </c>
      <c r="B3546" s="393" t="str">
        <f ca="1">IF(COUNTA(G$2863:G3545)=1,"",OFFSET(B3546,-COUNTA(G$2863:G3545)+1,0))</f>
        <v>a1bDm000000Y7sIIAS</v>
      </c>
      <c r="C3546" s="389">
        <f ca="1">IF(COUNTA(G$2863:G3545)=1,"",OFFSET(C3546,-COUNTA(G$2863:G3545)+1,0))</f>
        <v>34</v>
      </c>
      <c r="D3546" s="384">
        <f t="shared" si="199"/>
        <v>201</v>
      </c>
      <c r="E3546" s="384">
        <f t="shared" ca="1" si="200"/>
        <v>3</v>
      </c>
      <c r="F3546" s="384">
        <f t="shared" ca="1" si="201"/>
        <v>42</v>
      </c>
      <c r="G3546" s="384"/>
      <c r="H3546" s="388" t="str">
        <f t="shared" ca="1" si="203"/>
        <v/>
      </c>
      <c r="I3546" s="388" t="str">
        <f t="shared" ca="1" si="204"/>
        <v/>
      </c>
    </row>
    <row r="3547" spans="1:9" x14ac:dyDescent="0.3">
      <c r="A3547" s="384" t="b">
        <f t="shared" ca="1" si="202"/>
        <v>0</v>
      </c>
      <c r="B3547" s="393" t="str">
        <f ca="1">IF(COUNTA(G$2863:G3546)=1,"",OFFSET(B3547,-COUNTA(G$2863:G3546)+1,0))</f>
        <v>a1bDm000000Y7taIAC</v>
      </c>
      <c r="C3547" s="389">
        <f ca="1">IF(COUNTA(G$2863:G3546)=1,"",OFFSET(C3547,-COUNTA(G$2863:G3546)+1,0))</f>
        <v>34</v>
      </c>
      <c r="D3547" s="384">
        <f t="shared" si="199"/>
        <v>202</v>
      </c>
      <c r="E3547" s="384">
        <f t="shared" ca="1" si="200"/>
        <v>4</v>
      </c>
      <c r="F3547" s="384">
        <f t="shared" ca="1" si="201"/>
        <v>42</v>
      </c>
      <c r="G3547" s="384"/>
      <c r="H3547" s="388" t="str">
        <f t="shared" ca="1" si="203"/>
        <v/>
      </c>
      <c r="I3547" s="388" t="str">
        <f t="shared" ca="1" si="204"/>
        <v/>
      </c>
    </row>
    <row r="3548" spans="1:9" x14ac:dyDescent="0.3">
      <c r="A3548" s="384" t="b">
        <f t="shared" ca="1" si="202"/>
        <v>0</v>
      </c>
      <c r="B3548" s="393" t="str">
        <f ca="1">IF(COUNTA(G$2863:G3547)=1,"",OFFSET(B3548,-COUNTA(G$2863:G3547)+1,0))</f>
        <v>a1bDm000000Y7usIAC</v>
      </c>
      <c r="C3548" s="389">
        <f ca="1">IF(COUNTA(G$2863:G3547)=1,"",OFFSET(C3548,-COUNTA(G$2863:G3547)+1,0))</f>
        <v>34</v>
      </c>
      <c r="D3548" s="384">
        <f t="shared" si="199"/>
        <v>203</v>
      </c>
      <c r="E3548" s="384">
        <f t="shared" ca="1" si="200"/>
        <v>5</v>
      </c>
      <c r="F3548" s="384">
        <f t="shared" ca="1" si="201"/>
        <v>42</v>
      </c>
      <c r="G3548" s="384"/>
      <c r="H3548" s="388" t="str">
        <f t="shared" ca="1" si="203"/>
        <v/>
      </c>
      <c r="I3548" s="388" t="str">
        <f t="shared" ca="1" si="204"/>
        <v/>
      </c>
    </row>
    <row r="3549" spans="1:9" x14ac:dyDescent="0.3">
      <c r="A3549" s="384" t="b">
        <f t="shared" ca="1" si="202"/>
        <v>0</v>
      </c>
      <c r="B3549" s="393" t="str">
        <f ca="1">IF(COUNTA(G$2863:G3548)=1,"",OFFSET(B3549,-COUNTA(G$2863:G3548)+1,0))</f>
        <v>a1bDm000000Y7wAIAS</v>
      </c>
      <c r="C3549" s="389">
        <f ca="1">IF(COUNTA(G$2863:G3548)=1,"",OFFSET(C3549,-COUNTA(G$2863:G3548)+1,0))</f>
        <v>34</v>
      </c>
      <c r="D3549" s="384">
        <f t="shared" si="199"/>
        <v>204</v>
      </c>
      <c r="E3549" s="384">
        <f t="shared" ca="1" si="200"/>
        <v>6</v>
      </c>
      <c r="F3549" s="384">
        <f t="shared" ca="1" si="201"/>
        <v>42</v>
      </c>
      <c r="G3549" s="384"/>
      <c r="H3549" s="388" t="str">
        <f t="shared" ca="1" si="203"/>
        <v/>
      </c>
      <c r="I3549" s="388" t="str">
        <f t="shared" ca="1" si="204"/>
        <v/>
      </c>
    </row>
    <row r="3550" spans="1:9" x14ac:dyDescent="0.3">
      <c r="A3550" s="384" t="b">
        <f t="shared" ca="1" si="202"/>
        <v>0</v>
      </c>
      <c r="B3550" s="393" t="str">
        <f ca="1">IF(COUNTA(G$2863:G3549)=1,"",OFFSET(B3550,-COUNTA(G$2863:G3549)+1,0))</f>
        <v>a1bDm000000Y7pjIAC</v>
      </c>
      <c r="C3550" s="389">
        <f ca="1">IF(COUNTA(G$2863:G3549)=1,"",OFFSET(C3550,-COUNTA(G$2863:G3549)+1,0))</f>
        <v>35</v>
      </c>
      <c r="D3550" s="384">
        <f t="shared" si="199"/>
        <v>205</v>
      </c>
      <c r="E3550" s="384">
        <f t="shared" ca="1" si="200"/>
        <v>1</v>
      </c>
      <c r="F3550" s="384">
        <f t="shared" ca="1" si="201"/>
        <v>43</v>
      </c>
      <c r="G3550" s="384"/>
      <c r="H3550" s="388" t="str">
        <f t="shared" ca="1" si="203"/>
        <v/>
      </c>
      <c r="I3550" s="388" t="str">
        <f t="shared" ca="1" si="204"/>
        <v/>
      </c>
    </row>
    <row r="3551" spans="1:9" x14ac:dyDescent="0.3">
      <c r="A3551" s="384" t="b">
        <f t="shared" ca="1" si="202"/>
        <v>0</v>
      </c>
      <c r="B3551" s="393" t="str">
        <f ca="1">IF(COUNTA(G$2863:G3550)=1,"",OFFSET(B3551,-COUNTA(G$2863:G3550)+1,0))</f>
        <v>a1bDm000000Y7r1IAC</v>
      </c>
      <c r="C3551" s="389">
        <f ca="1">IF(COUNTA(G$2863:G3550)=1,"",OFFSET(C3551,-COUNTA(G$2863:G3550)+1,0))</f>
        <v>35</v>
      </c>
      <c r="D3551" s="384">
        <f t="shared" si="199"/>
        <v>206</v>
      </c>
      <c r="E3551" s="384">
        <f t="shared" ca="1" si="200"/>
        <v>2</v>
      </c>
      <c r="F3551" s="384">
        <f t="shared" ca="1" si="201"/>
        <v>43</v>
      </c>
      <c r="G3551" s="384"/>
      <c r="H3551" s="388" t="str">
        <f t="shared" ca="1" si="203"/>
        <v/>
      </c>
      <c r="I3551" s="388" t="str">
        <f t="shared" ca="1" si="204"/>
        <v/>
      </c>
    </row>
    <row r="3552" spans="1:9" x14ac:dyDescent="0.3">
      <c r="A3552" s="384" t="b">
        <f t="shared" ca="1" si="202"/>
        <v>0</v>
      </c>
      <c r="B3552" s="393" t="str">
        <f ca="1">IF(COUNTA(G$2863:G3551)=1,"",OFFSET(B3552,-COUNTA(G$2863:G3551)+1,0))</f>
        <v>a1bDm000000Y7sJIAS</v>
      </c>
      <c r="C3552" s="389">
        <f ca="1">IF(COUNTA(G$2863:G3551)=1,"",OFFSET(C3552,-COUNTA(G$2863:G3551)+1,0))</f>
        <v>35</v>
      </c>
      <c r="D3552" s="384">
        <f t="shared" si="199"/>
        <v>207</v>
      </c>
      <c r="E3552" s="384">
        <f t="shared" ca="1" si="200"/>
        <v>3</v>
      </c>
      <c r="F3552" s="384">
        <f t="shared" ca="1" si="201"/>
        <v>43</v>
      </c>
      <c r="G3552" s="384"/>
      <c r="H3552" s="388" t="str">
        <f t="shared" ca="1" si="203"/>
        <v/>
      </c>
      <c r="I3552" s="388" t="str">
        <f t="shared" ca="1" si="204"/>
        <v/>
      </c>
    </row>
    <row r="3553" spans="1:9" x14ac:dyDescent="0.3">
      <c r="A3553" s="384" t="b">
        <f t="shared" ca="1" si="202"/>
        <v>0</v>
      </c>
      <c r="B3553" s="393" t="str">
        <f ca="1">IF(COUNTA(G$2863:G3552)=1,"",OFFSET(B3553,-COUNTA(G$2863:G3552)+1,0))</f>
        <v>a1bDm000000Y7tbIAC</v>
      </c>
      <c r="C3553" s="389">
        <f ca="1">IF(COUNTA(G$2863:G3552)=1,"",OFFSET(C3553,-COUNTA(G$2863:G3552)+1,0))</f>
        <v>35</v>
      </c>
      <c r="D3553" s="384">
        <f t="shared" si="199"/>
        <v>208</v>
      </c>
      <c r="E3553" s="384">
        <f t="shared" ca="1" si="200"/>
        <v>4</v>
      </c>
      <c r="F3553" s="384">
        <f t="shared" ca="1" si="201"/>
        <v>43</v>
      </c>
      <c r="G3553" s="384"/>
      <c r="H3553" s="388" t="str">
        <f t="shared" ca="1" si="203"/>
        <v/>
      </c>
      <c r="I3553" s="388" t="str">
        <f t="shared" ca="1" si="204"/>
        <v/>
      </c>
    </row>
    <row r="3554" spans="1:9" x14ac:dyDescent="0.3">
      <c r="A3554" s="384" t="b">
        <f t="shared" ca="1" si="202"/>
        <v>0</v>
      </c>
      <c r="B3554" s="393" t="str">
        <f ca="1">IF(COUNTA(G$2863:G3553)=1,"",OFFSET(B3554,-COUNTA(G$2863:G3553)+1,0))</f>
        <v>a1bDm000000Y7utIAC</v>
      </c>
      <c r="C3554" s="389">
        <f ca="1">IF(COUNTA(G$2863:G3553)=1,"",OFFSET(C3554,-COUNTA(G$2863:G3553)+1,0))</f>
        <v>35</v>
      </c>
      <c r="D3554" s="384">
        <f t="shared" si="199"/>
        <v>209</v>
      </c>
      <c r="E3554" s="384">
        <f t="shared" ca="1" si="200"/>
        <v>5</v>
      </c>
      <c r="F3554" s="384">
        <f t="shared" ca="1" si="201"/>
        <v>43</v>
      </c>
      <c r="G3554" s="384"/>
      <c r="H3554" s="388" t="str">
        <f t="shared" ca="1" si="203"/>
        <v/>
      </c>
      <c r="I3554" s="388" t="str">
        <f t="shared" ca="1" si="204"/>
        <v/>
      </c>
    </row>
    <row r="3555" spans="1:9" x14ac:dyDescent="0.3">
      <c r="A3555" s="384" t="b">
        <f t="shared" ca="1" si="202"/>
        <v>0</v>
      </c>
      <c r="B3555" s="393" t="str">
        <f ca="1">IF(COUNTA(G$2863:G3554)=1,"",OFFSET(B3555,-COUNTA(G$2863:G3554)+1,0))</f>
        <v>a1bDm000000Y7wBIAS</v>
      </c>
      <c r="C3555" s="389">
        <f ca="1">IF(COUNTA(G$2863:G3554)=1,"",OFFSET(C3555,-COUNTA(G$2863:G3554)+1,0))</f>
        <v>35</v>
      </c>
      <c r="D3555" s="384">
        <f t="shared" si="199"/>
        <v>210</v>
      </c>
      <c r="E3555" s="384">
        <f t="shared" ca="1" si="200"/>
        <v>6</v>
      </c>
      <c r="F3555" s="384">
        <f t="shared" ca="1" si="201"/>
        <v>43</v>
      </c>
      <c r="G3555" s="384"/>
      <c r="H3555" s="388" t="str">
        <f t="shared" ca="1" si="203"/>
        <v/>
      </c>
      <c r="I3555" s="388" t="str">
        <f t="shared" ca="1" si="204"/>
        <v/>
      </c>
    </row>
    <row r="3556" spans="1:9" x14ac:dyDescent="0.3">
      <c r="A3556" s="384" t="b">
        <f t="shared" ca="1" si="202"/>
        <v>0</v>
      </c>
      <c r="B3556" s="393" t="str">
        <f ca="1">IF(COUNTA(G$2863:G3555)=1,"",OFFSET(B3556,-COUNTA(G$2863:G3555)+1,0))</f>
        <v>a1bDm000000Y7pkIAC</v>
      </c>
      <c r="C3556" s="389">
        <f ca="1">IF(COUNTA(G$2863:G3555)=1,"",OFFSET(C3556,-COUNTA(G$2863:G3555)+1,0))</f>
        <v>36</v>
      </c>
      <c r="D3556" s="384">
        <f t="shared" si="199"/>
        <v>211</v>
      </c>
      <c r="E3556" s="384">
        <f t="shared" ca="1" si="200"/>
        <v>1</v>
      </c>
      <c r="F3556" s="384">
        <f t="shared" ca="1" si="201"/>
        <v>44</v>
      </c>
      <c r="G3556" s="384"/>
      <c r="H3556" s="388" t="str">
        <f t="shared" ca="1" si="203"/>
        <v/>
      </c>
      <c r="I3556" s="388" t="str">
        <f t="shared" ca="1" si="204"/>
        <v/>
      </c>
    </row>
    <row r="3557" spans="1:9" x14ac:dyDescent="0.3">
      <c r="A3557" s="384" t="b">
        <f t="shared" ca="1" si="202"/>
        <v>0</v>
      </c>
      <c r="B3557" s="393" t="str">
        <f ca="1">IF(COUNTA(G$2863:G3556)=1,"",OFFSET(B3557,-COUNTA(G$2863:G3556)+1,0))</f>
        <v>a1bDm000000Y7r2IAC</v>
      </c>
      <c r="C3557" s="389">
        <f ca="1">IF(COUNTA(G$2863:G3556)=1,"",OFFSET(C3557,-COUNTA(G$2863:G3556)+1,0))</f>
        <v>36</v>
      </c>
      <c r="D3557" s="384">
        <f t="shared" si="199"/>
        <v>212</v>
      </c>
      <c r="E3557" s="384">
        <f t="shared" ca="1" si="200"/>
        <v>2</v>
      </c>
      <c r="F3557" s="384">
        <f t="shared" ca="1" si="201"/>
        <v>44</v>
      </c>
      <c r="G3557" s="384"/>
      <c r="H3557" s="388" t="str">
        <f t="shared" ca="1" si="203"/>
        <v/>
      </c>
      <c r="I3557" s="388" t="str">
        <f t="shared" ca="1" si="204"/>
        <v/>
      </c>
    </row>
    <row r="3558" spans="1:9" x14ac:dyDescent="0.3">
      <c r="A3558" s="384" t="b">
        <f t="shared" ca="1" si="202"/>
        <v>0</v>
      </c>
      <c r="B3558" s="393" t="str">
        <f ca="1">IF(COUNTA(G$2863:G3557)=1,"",OFFSET(B3558,-COUNTA(G$2863:G3557)+1,0))</f>
        <v>a1bDm000000Y7sKIAS</v>
      </c>
      <c r="C3558" s="389">
        <f ca="1">IF(COUNTA(G$2863:G3557)=1,"",OFFSET(C3558,-COUNTA(G$2863:G3557)+1,0))</f>
        <v>36</v>
      </c>
      <c r="D3558" s="384">
        <f t="shared" si="199"/>
        <v>213</v>
      </c>
      <c r="E3558" s="384">
        <f t="shared" ca="1" si="200"/>
        <v>3</v>
      </c>
      <c r="F3558" s="384">
        <f t="shared" ca="1" si="201"/>
        <v>44</v>
      </c>
      <c r="G3558" s="384"/>
      <c r="H3558" s="388" t="str">
        <f t="shared" ca="1" si="203"/>
        <v/>
      </c>
      <c r="I3558" s="388" t="str">
        <f t="shared" ca="1" si="204"/>
        <v/>
      </c>
    </row>
    <row r="3559" spans="1:9" x14ac:dyDescent="0.3">
      <c r="A3559" s="384" t="b">
        <f t="shared" ca="1" si="202"/>
        <v>0</v>
      </c>
      <c r="B3559" s="393" t="str">
        <f ca="1">IF(COUNTA(G$2863:G3558)=1,"",OFFSET(B3559,-COUNTA(G$2863:G3558)+1,0))</f>
        <v>a1bDm000000Y7tcIAC</v>
      </c>
      <c r="C3559" s="389">
        <f ca="1">IF(COUNTA(G$2863:G3558)=1,"",OFFSET(C3559,-COUNTA(G$2863:G3558)+1,0))</f>
        <v>36</v>
      </c>
      <c r="D3559" s="384">
        <f t="shared" si="199"/>
        <v>214</v>
      </c>
      <c r="E3559" s="384">
        <f t="shared" ca="1" si="200"/>
        <v>4</v>
      </c>
      <c r="F3559" s="384">
        <f t="shared" ca="1" si="201"/>
        <v>44</v>
      </c>
      <c r="G3559" s="384"/>
      <c r="H3559" s="388" t="str">
        <f t="shared" ca="1" si="203"/>
        <v/>
      </c>
      <c r="I3559" s="388" t="str">
        <f t="shared" ca="1" si="204"/>
        <v/>
      </c>
    </row>
    <row r="3560" spans="1:9" x14ac:dyDescent="0.3">
      <c r="A3560" s="384" t="b">
        <f t="shared" ca="1" si="202"/>
        <v>0</v>
      </c>
      <c r="B3560" s="393" t="str">
        <f ca="1">IF(COUNTA(G$2863:G3559)=1,"",OFFSET(B3560,-COUNTA(G$2863:G3559)+1,0))</f>
        <v>a1bDm000000Y7uuIAC</v>
      </c>
      <c r="C3560" s="389">
        <f ca="1">IF(COUNTA(G$2863:G3559)=1,"",OFFSET(C3560,-COUNTA(G$2863:G3559)+1,0))</f>
        <v>36</v>
      </c>
      <c r="D3560" s="384">
        <f t="shared" si="199"/>
        <v>215</v>
      </c>
      <c r="E3560" s="384">
        <f t="shared" ca="1" si="200"/>
        <v>5</v>
      </c>
      <c r="F3560" s="384">
        <f t="shared" ca="1" si="201"/>
        <v>44</v>
      </c>
      <c r="G3560" s="384"/>
      <c r="H3560" s="388" t="str">
        <f t="shared" ca="1" si="203"/>
        <v/>
      </c>
      <c r="I3560" s="388" t="str">
        <f t="shared" ca="1" si="204"/>
        <v/>
      </c>
    </row>
    <row r="3561" spans="1:9" x14ac:dyDescent="0.3">
      <c r="A3561" s="384" t="b">
        <f t="shared" ca="1" si="202"/>
        <v>0</v>
      </c>
      <c r="B3561" s="393" t="str">
        <f ca="1">IF(COUNTA(G$2863:G3560)=1,"",OFFSET(B3561,-COUNTA(G$2863:G3560)+1,0))</f>
        <v>a1bDm000000Y7wCIAS</v>
      </c>
      <c r="C3561" s="389">
        <f ca="1">IF(COUNTA(G$2863:G3560)=1,"",OFFSET(C3561,-COUNTA(G$2863:G3560)+1,0))</f>
        <v>36</v>
      </c>
      <c r="D3561" s="384">
        <f t="shared" si="199"/>
        <v>216</v>
      </c>
      <c r="E3561" s="384">
        <f t="shared" ca="1" si="200"/>
        <v>6</v>
      </c>
      <c r="F3561" s="384">
        <f t="shared" ca="1" si="201"/>
        <v>44</v>
      </c>
      <c r="G3561" s="384"/>
      <c r="H3561" s="388" t="str">
        <f t="shared" ca="1" si="203"/>
        <v/>
      </c>
      <c r="I3561" s="388" t="str">
        <f t="shared" ca="1" si="204"/>
        <v/>
      </c>
    </row>
    <row r="3562" spans="1:9" x14ac:dyDescent="0.3">
      <c r="A3562" s="384" t="b">
        <f t="shared" ca="1" si="202"/>
        <v>0</v>
      </c>
      <c r="B3562" s="393" t="str">
        <f ca="1">IF(COUNTA(G$2863:G3561)=1,"",OFFSET(B3562,-COUNTA(G$2863:G3561)+1,0))</f>
        <v>a1bDm000000Y7plIAC</v>
      </c>
      <c r="C3562" s="389">
        <f ca="1">IF(COUNTA(G$2863:G3561)=1,"",OFFSET(C3562,-COUNTA(G$2863:G3561)+1,0))</f>
        <v>37</v>
      </c>
      <c r="D3562" s="384">
        <f t="shared" si="199"/>
        <v>217</v>
      </c>
      <c r="E3562" s="384">
        <f t="shared" ca="1" si="200"/>
        <v>1</v>
      </c>
      <c r="F3562" s="384">
        <f t="shared" ca="1" si="201"/>
        <v>45</v>
      </c>
      <c r="G3562" s="384"/>
      <c r="H3562" s="388" t="str">
        <f t="shared" ca="1" si="203"/>
        <v/>
      </c>
      <c r="I3562" s="388" t="str">
        <f t="shared" ca="1" si="204"/>
        <v/>
      </c>
    </row>
    <row r="3563" spans="1:9" x14ac:dyDescent="0.3">
      <c r="A3563" s="384" t="b">
        <f t="shared" ca="1" si="202"/>
        <v>0</v>
      </c>
      <c r="B3563" s="393" t="str">
        <f ca="1">IF(COUNTA(G$2863:G3562)=1,"",OFFSET(B3563,-COUNTA(G$2863:G3562)+1,0))</f>
        <v>a1bDm000000Y7r3IAC</v>
      </c>
      <c r="C3563" s="389">
        <f ca="1">IF(COUNTA(G$2863:G3562)=1,"",OFFSET(C3563,-COUNTA(G$2863:G3562)+1,0))</f>
        <v>37</v>
      </c>
      <c r="D3563" s="384">
        <f t="shared" si="199"/>
        <v>218</v>
      </c>
      <c r="E3563" s="384">
        <f t="shared" ca="1" si="200"/>
        <v>2</v>
      </c>
      <c r="F3563" s="384">
        <f t="shared" ca="1" si="201"/>
        <v>45</v>
      </c>
      <c r="G3563" s="384"/>
      <c r="H3563" s="388" t="str">
        <f t="shared" ca="1" si="203"/>
        <v/>
      </c>
      <c r="I3563" s="388" t="str">
        <f t="shared" ca="1" si="204"/>
        <v/>
      </c>
    </row>
    <row r="3564" spans="1:9" x14ac:dyDescent="0.3">
      <c r="A3564" s="384" t="b">
        <f t="shared" ca="1" si="202"/>
        <v>0</v>
      </c>
      <c r="B3564" s="393" t="str">
        <f ca="1">IF(COUNTA(G$2863:G3563)=1,"",OFFSET(B3564,-COUNTA(G$2863:G3563)+1,0))</f>
        <v>a1bDm000000Y7sLIAS</v>
      </c>
      <c r="C3564" s="389">
        <f ca="1">IF(COUNTA(G$2863:G3563)=1,"",OFFSET(C3564,-COUNTA(G$2863:G3563)+1,0))</f>
        <v>37</v>
      </c>
      <c r="D3564" s="384">
        <f t="shared" si="199"/>
        <v>219</v>
      </c>
      <c r="E3564" s="384">
        <f t="shared" ca="1" si="200"/>
        <v>3</v>
      </c>
      <c r="F3564" s="384">
        <f t="shared" ca="1" si="201"/>
        <v>45</v>
      </c>
      <c r="G3564" s="384"/>
      <c r="H3564" s="388" t="str">
        <f t="shared" ca="1" si="203"/>
        <v/>
      </c>
      <c r="I3564" s="388" t="str">
        <f t="shared" ca="1" si="204"/>
        <v/>
      </c>
    </row>
    <row r="3565" spans="1:9" x14ac:dyDescent="0.3">
      <c r="A3565" s="384" t="b">
        <f t="shared" ca="1" si="202"/>
        <v>0</v>
      </c>
      <c r="B3565" s="393" t="str">
        <f ca="1">IF(COUNTA(G$2863:G3564)=1,"",OFFSET(B3565,-COUNTA(G$2863:G3564)+1,0))</f>
        <v>a1bDm000000Y7tdIAC</v>
      </c>
      <c r="C3565" s="389">
        <f ca="1">IF(COUNTA(G$2863:G3564)=1,"",OFFSET(C3565,-COUNTA(G$2863:G3564)+1,0))</f>
        <v>37</v>
      </c>
      <c r="D3565" s="384">
        <f t="shared" si="199"/>
        <v>220</v>
      </c>
      <c r="E3565" s="384">
        <f t="shared" ca="1" si="200"/>
        <v>4</v>
      </c>
      <c r="F3565" s="384">
        <f t="shared" ca="1" si="201"/>
        <v>45</v>
      </c>
      <c r="G3565" s="384"/>
      <c r="H3565" s="388" t="str">
        <f t="shared" ca="1" si="203"/>
        <v/>
      </c>
      <c r="I3565" s="388" t="str">
        <f t="shared" ca="1" si="204"/>
        <v/>
      </c>
    </row>
    <row r="3566" spans="1:9" x14ac:dyDescent="0.3">
      <c r="A3566" s="384" t="b">
        <f t="shared" ca="1" si="202"/>
        <v>0</v>
      </c>
      <c r="B3566" s="393" t="str">
        <f ca="1">IF(COUNTA(G$2863:G3565)=1,"",OFFSET(B3566,-COUNTA(G$2863:G3565)+1,0))</f>
        <v>a1bDm000000Y7uvIAC</v>
      </c>
      <c r="C3566" s="389">
        <f ca="1">IF(COUNTA(G$2863:G3565)=1,"",OFFSET(C3566,-COUNTA(G$2863:G3565)+1,0))</f>
        <v>37</v>
      </c>
      <c r="D3566" s="384">
        <f t="shared" si="199"/>
        <v>221</v>
      </c>
      <c r="E3566" s="384">
        <f t="shared" ca="1" si="200"/>
        <v>5</v>
      </c>
      <c r="F3566" s="384">
        <f t="shared" ca="1" si="201"/>
        <v>45</v>
      </c>
      <c r="G3566" s="384"/>
      <c r="H3566" s="388" t="str">
        <f t="shared" ca="1" si="203"/>
        <v/>
      </c>
      <c r="I3566" s="388" t="str">
        <f t="shared" ca="1" si="204"/>
        <v/>
      </c>
    </row>
    <row r="3567" spans="1:9" x14ac:dyDescent="0.3">
      <c r="A3567" s="384" t="b">
        <f t="shared" ca="1" si="202"/>
        <v>0</v>
      </c>
      <c r="B3567" s="393" t="str">
        <f ca="1">IF(COUNTA(G$2863:G3566)=1,"",OFFSET(B3567,-COUNTA(G$2863:G3566)+1,0))</f>
        <v>a1bDm000000Y7wDIAS</v>
      </c>
      <c r="C3567" s="389">
        <f ca="1">IF(COUNTA(G$2863:G3566)=1,"",OFFSET(C3567,-COUNTA(G$2863:G3566)+1,0))</f>
        <v>37</v>
      </c>
      <c r="D3567" s="384">
        <f t="shared" si="199"/>
        <v>222</v>
      </c>
      <c r="E3567" s="384">
        <f t="shared" ca="1" si="200"/>
        <v>6</v>
      </c>
      <c r="F3567" s="384">
        <f t="shared" ca="1" si="201"/>
        <v>45</v>
      </c>
      <c r="G3567" s="384"/>
      <c r="H3567" s="388" t="str">
        <f t="shared" ca="1" si="203"/>
        <v/>
      </c>
      <c r="I3567" s="388" t="str">
        <f t="shared" ca="1" si="204"/>
        <v/>
      </c>
    </row>
    <row r="3568" spans="1:9" x14ac:dyDescent="0.3">
      <c r="A3568" s="384" t="b">
        <f t="shared" ca="1" si="202"/>
        <v>0</v>
      </c>
      <c r="B3568" s="393" t="str">
        <f ca="1">IF(COUNTA(G$2863:G3567)=1,"",OFFSET(B3568,-COUNTA(G$2863:G3567)+1,0))</f>
        <v>a1bDm000000Y7pmIAC</v>
      </c>
      <c r="C3568" s="389">
        <f ca="1">IF(COUNTA(G$2863:G3567)=1,"",OFFSET(C3568,-COUNTA(G$2863:G3567)+1,0))</f>
        <v>38</v>
      </c>
      <c r="D3568" s="384">
        <f t="shared" si="199"/>
        <v>223</v>
      </c>
      <c r="E3568" s="384">
        <f t="shared" ca="1" si="200"/>
        <v>1</v>
      </c>
      <c r="F3568" s="384">
        <f t="shared" ca="1" si="201"/>
        <v>46</v>
      </c>
      <c r="G3568" s="384"/>
      <c r="H3568" s="388" t="str">
        <f t="shared" ca="1" si="203"/>
        <v/>
      </c>
      <c r="I3568" s="388" t="str">
        <f t="shared" ca="1" si="204"/>
        <v/>
      </c>
    </row>
    <row r="3569" spans="1:9" x14ac:dyDescent="0.3">
      <c r="A3569" s="384" t="b">
        <f t="shared" ca="1" si="202"/>
        <v>0</v>
      </c>
      <c r="B3569" s="393" t="str">
        <f ca="1">IF(COUNTA(G$2863:G3568)=1,"",OFFSET(B3569,-COUNTA(G$2863:G3568)+1,0))</f>
        <v>a1bDm000000Y7r4IAC</v>
      </c>
      <c r="C3569" s="389">
        <f ca="1">IF(COUNTA(G$2863:G3568)=1,"",OFFSET(C3569,-COUNTA(G$2863:G3568)+1,0))</f>
        <v>38</v>
      </c>
      <c r="D3569" s="384">
        <f t="shared" si="199"/>
        <v>224</v>
      </c>
      <c r="E3569" s="384">
        <f t="shared" ca="1" si="200"/>
        <v>2</v>
      </c>
      <c r="F3569" s="384">
        <f t="shared" ca="1" si="201"/>
        <v>46</v>
      </c>
      <c r="G3569" s="384"/>
      <c r="H3569" s="388" t="str">
        <f t="shared" ca="1" si="203"/>
        <v/>
      </c>
      <c r="I3569" s="388" t="str">
        <f t="shared" ca="1" si="204"/>
        <v/>
      </c>
    </row>
    <row r="3570" spans="1:9" x14ac:dyDescent="0.3">
      <c r="A3570" s="384" t="b">
        <f t="shared" ca="1" si="202"/>
        <v>0</v>
      </c>
      <c r="B3570" s="393" t="str">
        <f ca="1">IF(COUNTA(G$2863:G3569)=1,"",OFFSET(B3570,-COUNTA(G$2863:G3569)+1,0))</f>
        <v>a1bDm000000Y7sMIAS</v>
      </c>
      <c r="C3570" s="389">
        <f ca="1">IF(COUNTA(G$2863:G3569)=1,"",OFFSET(C3570,-COUNTA(G$2863:G3569)+1,0))</f>
        <v>38</v>
      </c>
      <c r="D3570" s="384">
        <f t="shared" ref="D3570:D3633" si="205">D3569+1</f>
        <v>225</v>
      </c>
      <c r="E3570" s="384">
        <f t="shared" ref="E3570:E3633" ca="1" si="206">COUNTIF(C3400:C3570,C3570)</f>
        <v>3</v>
      </c>
      <c r="F3570" s="384">
        <f t="shared" ref="F3570:F3633" ca="1" si="207">IF(C3570=1,9,IF(E3569=MAX(E3568:E3570),F3568+1,F3569))</f>
        <v>46</v>
      </c>
      <c r="G3570" s="384"/>
      <c r="H3570" s="388" t="str">
        <f t="shared" ca="1" si="203"/>
        <v/>
      </c>
      <c r="I3570" s="388" t="str">
        <f t="shared" ca="1" si="204"/>
        <v/>
      </c>
    </row>
    <row r="3571" spans="1:9" x14ac:dyDescent="0.3">
      <c r="A3571" s="384" t="b">
        <f t="shared" ca="1" si="202"/>
        <v>0</v>
      </c>
      <c r="B3571" s="393" t="str">
        <f ca="1">IF(COUNTA(G$2863:G3570)=1,"",OFFSET(B3571,-COUNTA(G$2863:G3570)+1,0))</f>
        <v>a1bDm000000Y7teIAC</v>
      </c>
      <c r="C3571" s="389">
        <f ca="1">IF(COUNTA(G$2863:G3570)=1,"",OFFSET(C3571,-COUNTA(G$2863:G3570)+1,0))</f>
        <v>38</v>
      </c>
      <c r="D3571" s="384">
        <f t="shared" si="205"/>
        <v>226</v>
      </c>
      <c r="E3571" s="384">
        <f t="shared" ca="1" si="206"/>
        <v>4</v>
      </c>
      <c r="F3571" s="384">
        <f t="shared" ca="1" si="207"/>
        <v>46</v>
      </c>
      <c r="G3571" s="384"/>
      <c r="H3571" s="388" t="str">
        <f t="shared" ca="1" si="203"/>
        <v/>
      </c>
      <c r="I3571" s="388" t="str">
        <f t="shared" ca="1" si="204"/>
        <v/>
      </c>
    </row>
    <row r="3572" spans="1:9" x14ac:dyDescent="0.3">
      <c r="A3572" s="384" t="b">
        <f t="shared" ca="1" si="202"/>
        <v>0</v>
      </c>
      <c r="B3572" s="393" t="str">
        <f ca="1">IF(COUNTA(G$2863:G3571)=1,"",OFFSET(B3572,-COUNTA(G$2863:G3571)+1,0))</f>
        <v>a1bDm000000Y7uwIAC</v>
      </c>
      <c r="C3572" s="389">
        <f ca="1">IF(COUNTA(G$2863:G3571)=1,"",OFFSET(C3572,-COUNTA(G$2863:G3571)+1,0))</f>
        <v>38</v>
      </c>
      <c r="D3572" s="384">
        <f t="shared" si="205"/>
        <v>227</v>
      </c>
      <c r="E3572" s="384">
        <f t="shared" ca="1" si="206"/>
        <v>5</v>
      </c>
      <c r="F3572" s="384">
        <f t="shared" ca="1" si="207"/>
        <v>46</v>
      </c>
      <c r="G3572" s="384"/>
      <c r="H3572" s="388" t="str">
        <f t="shared" ca="1" si="203"/>
        <v/>
      </c>
      <c r="I3572" s="388" t="str">
        <f t="shared" ca="1" si="204"/>
        <v/>
      </c>
    </row>
    <row r="3573" spans="1:9" x14ac:dyDescent="0.3">
      <c r="A3573" s="384" t="b">
        <f t="shared" ca="1" si="202"/>
        <v>0</v>
      </c>
      <c r="B3573" s="393" t="str">
        <f ca="1">IF(COUNTA(G$2863:G3572)=1,"",OFFSET(B3573,-COUNTA(G$2863:G3572)+1,0))</f>
        <v>a1bDm000000Y7wEIAS</v>
      </c>
      <c r="C3573" s="389">
        <f ca="1">IF(COUNTA(G$2863:G3572)=1,"",OFFSET(C3573,-COUNTA(G$2863:G3572)+1,0))</f>
        <v>38</v>
      </c>
      <c r="D3573" s="384">
        <f t="shared" si="205"/>
        <v>228</v>
      </c>
      <c r="E3573" s="384">
        <f t="shared" ca="1" si="206"/>
        <v>6</v>
      </c>
      <c r="F3573" s="384">
        <f t="shared" ca="1" si="207"/>
        <v>46</v>
      </c>
      <c r="G3573" s="384"/>
      <c r="H3573" s="388" t="str">
        <f t="shared" ca="1" si="203"/>
        <v/>
      </c>
      <c r="I3573" s="388" t="str">
        <f t="shared" ca="1" si="204"/>
        <v/>
      </c>
    </row>
    <row r="3574" spans="1:9" x14ac:dyDescent="0.3">
      <c r="A3574" s="384" t="b">
        <f t="shared" ca="1" si="202"/>
        <v>0</v>
      </c>
      <c r="B3574" s="393" t="str">
        <f ca="1">IF(COUNTA(G$2863:G3573)=1,"",OFFSET(B3574,-COUNTA(G$2863:G3573)+1,0))</f>
        <v>a1bDm000000Y7pnIAC</v>
      </c>
      <c r="C3574" s="389">
        <f ca="1">IF(COUNTA(G$2863:G3573)=1,"",OFFSET(C3574,-COUNTA(G$2863:G3573)+1,0))</f>
        <v>39</v>
      </c>
      <c r="D3574" s="384">
        <f t="shared" si="205"/>
        <v>229</v>
      </c>
      <c r="E3574" s="384">
        <f t="shared" ca="1" si="206"/>
        <v>1</v>
      </c>
      <c r="F3574" s="384">
        <f t="shared" ca="1" si="207"/>
        <v>47</v>
      </c>
      <c r="G3574" s="384"/>
      <c r="H3574" s="388" t="str">
        <f t="shared" ca="1" si="203"/>
        <v/>
      </c>
      <c r="I3574" s="388" t="str">
        <f t="shared" ca="1" si="204"/>
        <v/>
      </c>
    </row>
    <row r="3575" spans="1:9" x14ac:dyDescent="0.3">
      <c r="A3575" s="384" t="b">
        <f t="shared" ca="1" si="202"/>
        <v>0</v>
      </c>
      <c r="B3575" s="393" t="str">
        <f ca="1">IF(COUNTA(G$2863:G3574)=1,"",OFFSET(B3575,-COUNTA(G$2863:G3574)+1,0))</f>
        <v>a1bDm000000Y7r5IAC</v>
      </c>
      <c r="C3575" s="389">
        <f ca="1">IF(COUNTA(G$2863:G3574)=1,"",OFFSET(C3575,-COUNTA(G$2863:G3574)+1,0))</f>
        <v>39</v>
      </c>
      <c r="D3575" s="384">
        <f t="shared" si="205"/>
        <v>230</v>
      </c>
      <c r="E3575" s="384">
        <f t="shared" ca="1" si="206"/>
        <v>2</v>
      </c>
      <c r="F3575" s="384">
        <f t="shared" ca="1" si="207"/>
        <v>47</v>
      </c>
      <c r="G3575" s="384"/>
      <c r="H3575" s="388" t="str">
        <f t="shared" ca="1" si="203"/>
        <v/>
      </c>
      <c r="I3575" s="388" t="str">
        <f t="shared" ca="1" si="204"/>
        <v/>
      </c>
    </row>
    <row r="3576" spans="1:9" x14ac:dyDescent="0.3">
      <c r="A3576" s="384" t="b">
        <f t="shared" ca="1" si="202"/>
        <v>0</v>
      </c>
      <c r="B3576" s="393" t="str">
        <f ca="1">IF(COUNTA(G$2863:G3575)=1,"",OFFSET(B3576,-COUNTA(G$2863:G3575)+1,0))</f>
        <v>a1bDm000000Y7sNIAS</v>
      </c>
      <c r="C3576" s="389">
        <f ca="1">IF(COUNTA(G$2863:G3575)=1,"",OFFSET(C3576,-COUNTA(G$2863:G3575)+1,0))</f>
        <v>39</v>
      </c>
      <c r="D3576" s="384">
        <f t="shared" si="205"/>
        <v>231</v>
      </c>
      <c r="E3576" s="384">
        <f t="shared" ca="1" si="206"/>
        <v>3</v>
      </c>
      <c r="F3576" s="384">
        <f t="shared" ca="1" si="207"/>
        <v>47</v>
      </c>
      <c r="G3576" s="384"/>
      <c r="H3576" s="388" t="str">
        <f t="shared" ca="1" si="203"/>
        <v/>
      </c>
      <c r="I3576" s="388" t="str">
        <f t="shared" ca="1" si="204"/>
        <v/>
      </c>
    </row>
    <row r="3577" spans="1:9" x14ac:dyDescent="0.3">
      <c r="A3577" s="384" t="b">
        <f t="shared" ca="1" si="202"/>
        <v>0</v>
      </c>
      <c r="B3577" s="393" t="str">
        <f ca="1">IF(COUNTA(G$2863:G3576)=1,"",OFFSET(B3577,-COUNTA(G$2863:G3576)+1,0))</f>
        <v>a1bDm000000Y7tfIAC</v>
      </c>
      <c r="C3577" s="389">
        <f ca="1">IF(COUNTA(G$2863:G3576)=1,"",OFFSET(C3577,-COUNTA(G$2863:G3576)+1,0))</f>
        <v>39</v>
      </c>
      <c r="D3577" s="384">
        <f t="shared" si="205"/>
        <v>232</v>
      </c>
      <c r="E3577" s="384">
        <f t="shared" ca="1" si="206"/>
        <v>4</v>
      </c>
      <c r="F3577" s="384">
        <f t="shared" ca="1" si="207"/>
        <v>47</v>
      </c>
      <c r="G3577" s="384"/>
      <c r="H3577" s="388" t="str">
        <f t="shared" ca="1" si="203"/>
        <v/>
      </c>
      <c r="I3577" s="388" t="str">
        <f t="shared" ca="1" si="204"/>
        <v/>
      </c>
    </row>
    <row r="3578" spans="1:9" x14ac:dyDescent="0.3">
      <c r="A3578" s="384" t="b">
        <f t="shared" ca="1" si="202"/>
        <v>0</v>
      </c>
      <c r="B3578" s="393" t="str">
        <f ca="1">IF(COUNTA(G$2863:G3577)=1,"",OFFSET(B3578,-COUNTA(G$2863:G3577)+1,0))</f>
        <v>a1bDm000000Y7uxIAC</v>
      </c>
      <c r="C3578" s="389">
        <f ca="1">IF(COUNTA(G$2863:G3577)=1,"",OFFSET(C3578,-COUNTA(G$2863:G3577)+1,0))</f>
        <v>39</v>
      </c>
      <c r="D3578" s="384">
        <f t="shared" si="205"/>
        <v>233</v>
      </c>
      <c r="E3578" s="384">
        <f t="shared" ca="1" si="206"/>
        <v>5</v>
      </c>
      <c r="F3578" s="384">
        <f t="shared" ca="1" si="207"/>
        <v>47</v>
      </c>
      <c r="G3578" s="384"/>
      <c r="H3578" s="388" t="str">
        <f t="shared" ca="1" si="203"/>
        <v/>
      </c>
      <c r="I3578" s="388" t="str">
        <f t="shared" ca="1" si="204"/>
        <v/>
      </c>
    </row>
    <row r="3579" spans="1:9" x14ac:dyDescent="0.3">
      <c r="A3579" s="384" t="b">
        <f t="shared" ca="1" si="202"/>
        <v>0</v>
      </c>
      <c r="B3579" s="393" t="str">
        <f ca="1">IF(COUNTA(G$2863:G3578)=1,"",OFFSET(B3579,-COUNTA(G$2863:G3578)+1,0))</f>
        <v>a1bDm000000Y7wFIAS</v>
      </c>
      <c r="C3579" s="389">
        <f ca="1">IF(COUNTA(G$2863:G3578)=1,"",OFFSET(C3579,-COUNTA(G$2863:G3578)+1,0))</f>
        <v>39</v>
      </c>
      <c r="D3579" s="384">
        <f t="shared" si="205"/>
        <v>234</v>
      </c>
      <c r="E3579" s="384">
        <f t="shared" ca="1" si="206"/>
        <v>6</v>
      </c>
      <c r="F3579" s="384">
        <f t="shared" ca="1" si="207"/>
        <v>47</v>
      </c>
      <c r="G3579" s="384"/>
      <c r="H3579" s="388" t="str">
        <f t="shared" ca="1" si="203"/>
        <v/>
      </c>
      <c r="I3579" s="388" t="str">
        <f t="shared" ca="1" si="204"/>
        <v/>
      </c>
    </row>
    <row r="3580" spans="1:9" x14ac:dyDescent="0.3">
      <c r="A3580" s="384" t="b">
        <f t="shared" ca="1" si="202"/>
        <v>0</v>
      </c>
      <c r="B3580" s="393" t="str">
        <f ca="1">IF(COUNTA(G$2863:G3579)=1,"",OFFSET(B3580,-COUNTA(G$2863:G3579)+1,0))</f>
        <v>a1bDm000000Y7poIAC</v>
      </c>
      <c r="C3580" s="389">
        <f ca="1">IF(COUNTA(G$2863:G3579)=1,"",OFFSET(C3580,-COUNTA(G$2863:G3579)+1,0))</f>
        <v>40</v>
      </c>
      <c r="D3580" s="384">
        <f t="shared" si="205"/>
        <v>235</v>
      </c>
      <c r="E3580" s="384">
        <f t="shared" ca="1" si="206"/>
        <v>1</v>
      </c>
      <c r="F3580" s="384">
        <f t="shared" ca="1" si="207"/>
        <v>48</v>
      </c>
      <c r="G3580" s="384"/>
      <c r="H3580" s="388" t="str">
        <f t="shared" ca="1" si="203"/>
        <v/>
      </c>
      <c r="I3580" s="388" t="str">
        <f t="shared" ca="1" si="204"/>
        <v/>
      </c>
    </row>
    <row r="3581" spans="1:9" x14ac:dyDescent="0.3">
      <c r="A3581" s="384" t="b">
        <f t="shared" ca="1" si="202"/>
        <v>0</v>
      </c>
      <c r="B3581" s="393" t="str">
        <f ca="1">IF(COUNTA(G$2863:G3580)=1,"",OFFSET(B3581,-COUNTA(G$2863:G3580)+1,0))</f>
        <v>a1bDm000000Y7r6IAC</v>
      </c>
      <c r="C3581" s="389">
        <f ca="1">IF(COUNTA(G$2863:G3580)=1,"",OFFSET(C3581,-COUNTA(G$2863:G3580)+1,0))</f>
        <v>40</v>
      </c>
      <c r="D3581" s="384">
        <f t="shared" si="205"/>
        <v>236</v>
      </c>
      <c r="E3581" s="384">
        <f t="shared" ca="1" si="206"/>
        <v>2</v>
      </c>
      <c r="F3581" s="384">
        <f t="shared" ca="1" si="207"/>
        <v>48</v>
      </c>
      <c r="G3581" s="384"/>
      <c r="H3581" s="388" t="str">
        <f t="shared" ca="1" si="203"/>
        <v/>
      </c>
      <c r="I3581" s="388" t="str">
        <f t="shared" ca="1" si="204"/>
        <v/>
      </c>
    </row>
    <row r="3582" spans="1:9" x14ac:dyDescent="0.3">
      <c r="A3582" s="384" t="b">
        <f t="shared" ca="1" si="202"/>
        <v>0</v>
      </c>
      <c r="B3582" s="393" t="str">
        <f ca="1">IF(COUNTA(G$2863:G3581)=1,"",OFFSET(B3582,-COUNTA(G$2863:G3581)+1,0))</f>
        <v>a1bDm000000Y7sOIAS</v>
      </c>
      <c r="C3582" s="389">
        <f ca="1">IF(COUNTA(G$2863:G3581)=1,"",OFFSET(C3582,-COUNTA(G$2863:G3581)+1,0))</f>
        <v>40</v>
      </c>
      <c r="D3582" s="384">
        <f t="shared" si="205"/>
        <v>237</v>
      </c>
      <c r="E3582" s="384">
        <f t="shared" ca="1" si="206"/>
        <v>3</v>
      </c>
      <c r="F3582" s="384">
        <f t="shared" ca="1" si="207"/>
        <v>48</v>
      </c>
      <c r="G3582" s="384"/>
      <c r="H3582" s="388" t="str">
        <f t="shared" ca="1" si="203"/>
        <v/>
      </c>
      <c r="I3582" s="388" t="str">
        <f t="shared" ca="1" si="204"/>
        <v/>
      </c>
    </row>
    <row r="3583" spans="1:9" x14ac:dyDescent="0.3">
      <c r="A3583" s="384" t="b">
        <f t="shared" ca="1" si="202"/>
        <v>0</v>
      </c>
      <c r="B3583" s="393" t="str">
        <f ca="1">IF(COUNTA(G$2863:G3582)=1,"",OFFSET(B3583,-COUNTA(G$2863:G3582)+1,0))</f>
        <v>a1bDm000000Y7tgIAC</v>
      </c>
      <c r="C3583" s="389">
        <f ca="1">IF(COUNTA(G$2863:G3582)=1,"",OFFSET(C3583,-COUNTA(G$2863:G3582)+1,0))</f>
        <v>40</v>
      </c>
      <c r="D3583" s="384">
        <f t="shared" si="205"/>
        <v>238</v>
      </c>
      <c r="E3583" s="384">
        <f t="shared" ca="1" si="206"/>
        <v>4</v>
      </c>
      <c r="F3583" s="384">
        <f t="shared" ca="1" si="207"/>
        <v>48</v>
      </c>
      <c r="G3583" s="384"/>
      <c r="H3583" s="388" t="str">
        <f t="shared" ca="1" si="203"/>
        <v/>
      </c>
      <c r="I3583" s="388" t="str">
        <f t="shared" ca="1" si="204"/>
        <v/>
      </c>
    </row>
    <row r="3584" spans="1:9" x14ac:dyDescent="0.3">
      <c r="A3584" s="384" t="b">
        <f t="shared" ca="1" si="202"/>
        <v>0</v>
      </c>
      <c r="B3584" s="393" t="str">
        <f ca="1">IF(COUNTA(G$2863:G3583)=1,"",OFFSET(B3584,-COUNTA(G$2863:G3583)+1,0))</f>
        <v>a1bDm000000Y7uyIAC</v>
      </c>
      <c r="C3584" s="389">
        <f ca="1">IF(COUNTA(G$2863:G3583)=1,"",OFFSET(C3584,-COUNTA(G$2863:G3583)+1,0))</f>
        <v>40</v>
      </c>
      <c r="D3584" s="384">
        <f t="shared" si="205"/>
        <v>239</v>
      </c>
      <c r="E3584" s="384">
        <f t="shared" ca="1" si="206"/>
        <v>5</v>
      </c>
      <c r="F3584" s="384">
        <f t="shared" ca="1" si="207"/>
        <v>48</v>
      </c>
      <c r="G3584" s="384"/>
      <c r="H3584" s="388" t="str">
        <f t="shared" ca="1" si="203"/>
        <v/>
      </c>
      <c r="I3584" s="388" t="str">
        <f t="shared" ca="1" si="204"/>
        <v/>
      </c>
    </row>
    <row r="3585" spans="1:9" x14ac:dyDescent="0.3">
      <c r="A3585" s="384" t="b">
        <f t="shared" ca="1" si="202"/>
        <v>0</v>
      </c>
      <c r="B3585" s="393" t="str">
        <f ca="1">IF(COUNTA(G$2863:G3584)=1,"",OFFSET(B3585,-COUNTA(G$2863:G3584)+1,0))</f>
        <v>a1bDm000000Y7wGIAS</v>
      </c>
      <c r="C3585" s="389">
        <f ca="1">IF(COUNTA(G$2863:G3584)=1,"",OFFSET(C3585,-COUNTA(G$2863:G3584)+1,0))</f>
        <v>40</v>
      </c>
      <c r="D3585" s="384">
        <f t="shared" si="205"/>
        <v>240</v>
      </c>
      <c r="E3585" s="384">
        <f t="shared" ca="1" si="206"/>
        <v>6</v>
      </c>
      <c r="F3585" s="384">
        <f t="shared" ca="1" si="207"/>
        <v>48</v>
      </c>
      <c r="G3585" s="384"/>
      <c r="H3585" s="388" t="str">
        <f t="shared" ca="1" si="203"/>
        <v/>
      </c>
      <c r="I3585" s="388" t="str">
        <f t="shared" ca="1" si="204"/>
        <v/>
      </c>
    </row>
    <row r="3586" spans="1:9" x14ac:dyDescent="0.3">
      <c r="A3586" s="384" t="b">
        <f t="shared" ca="1" si="202"/>
        <v>0</v>
      </c>
      <c r="B3586" s="393" t="str">
        <f ca="1">IF(COUNTA(G$2863:G3585)=1,"",OFFSET(B3586,-COUNTA(G$2863:G3585)+1,0))</f>
        <v>a1bDm000000Y7ppIAC</v>
      </c>
      <c r="C3586" s="389">
        <f ca="1">IF(COUNTA(G$2863:G3585)=1,"",OFFSET(C3586,-COUNTA(G$2863:G3585)+1,0))</f>
        <v>41</v>
      </c>
      <c r="D3586" s="384">
        <f t="shared" si="205"/>
        <v>241</v>
      </c>
      <c r="E3586" s="384">
        <f t="shared" ca="1" si="206"/>
        <v>1</v>
      </c>
      <c r="F3586" s="384">
        <f t="shared" ca="1" si="207"/>
        <v>49</v>
      </c>
      <c r="G3586" s="384"/>
      <c r="H3586" s="388" t="str">
        <f t="shared" ca="1" si="203"/>
        <v/>
      </c>
      <c r="I3586" s="388" t="str">
        <f t="shared" ca="1" si="204"/>
        <v/>
      </c>
    </row>
    <row r="3587" spans="1:9" x14ac:dyDescent="0.3">
      <c r="A3587" s="384" t="b">
        <f t="shared" ca="1" si="202"/>
        <v>0</v>
      </c>
      <c r="B3587" s="393" t="str">
        <f ca="1">IF(COUNTA(G$2863:G3586)=1,"",OFFSET(B3587,-COUNTA(G$2863:G3586)+1,0))</f>
        <v>a1bDm000000Y7r7IAC</v>
      </c>
      <c r="C3587" s="389">
        <f ca="1">IF(COUNTA(G$2863:G3586)=1,"",OFFSET(C3587,-COUNTA(G$2863:G3586)+1,0))</f>
        <v>41</v>
      </c>
      <c r="D3587" s="384">
        <f t="shared" si="205"/>
        <v>242</v>
      </c>
      <c r="E3587" s="384">
        <f t="shared" ca="1" si="206"/>
        <v>2</v>
      </c>
      <c r="F3587" s="384">
        <f t="shared" ca="1" si="207"/>
        <v>49</v>
      </c>
      <c r="G3587" s="384"/>
      <c r="H3587" s="388" t="str">
        <f t="shared" ca="1" si="203"/>
        <v/>
      </c>
      <c r="I3587" s="388" t="str">
        <f t="shared" ca="1" si="204"/>
        <v/>
      </c>
    </row>
    <row r="3588" spans="1:9" x14ac:dyDescent="0.3">
      <c r="A3588" s="384" t="b">
        <f t="shared" ca="1" si="202"/>
        <v>0</v>
      </c>
      <c r="B3588" s="393" t="str">
        <f ca="1">IF(COUNTA(G$2863:G3587)=1,"",OFFSET(B3588,-COUNTA(G$2863:G3587)+1,0))</f>
        <v>a1bDm000000Y7sPIAS</v>
      </c>
      <c r="C3588" s="389">
        <f ca="1">IF(COUNTA(G$2863:G3587)=1,"",OFFSET(C3588,-COUNTA(G$2863:G3587)+1,0))</f>
        <v>41</v>
      </c>
      <c r="D3588" s="384">
        <f t="shared" si="205"/>
        <v>243</v>
      </c>
      <c r="E3588" s="384">
        <f t="shared" ca="1" si="206"/>
        <v>3</v>
      </c>
      <c r="F3588" s="384">
        <f t="shared" ca="1" si="207"/>
        <v>49</v>
      </c>
      <c r="G3588" s="384"/>
      <c r="H3588" s="388" t="str">
        <f t="shared" ca="1" si="203"/>
        <v/>
      </c>
      <c r="I3588" s="388" t="str">
        <f t="shared" ca="1" si="204"/>
        <v/>
      </c>
    </row>
    <row r="3589" spans="1:9" x14ac:dyDescent="0.3">
      <c r="A3589" s="384" t="b">
        <f t="shared" ca="1" si="202"/>
        <v>0</v>
      </c>
      <c r="B3589" s="393" t="str">
        <f ca="1">IF(COUNTA(G$2863:G3588)=1,"",OFFSET(B3589,-COUNTA(G$2863:G3588)+1,0))</f>
        <v>a1bDm000000Y7thIAC</v>
      </c>
      <c r="C3589" s="389">
        <f ca="1">IF(COUNTA(G$2863:G3588)=1,"",OFFSET(C3589,-COUNTA(G$2863:G3588)+1,0))</f>
        <v>41</v>
      </c>
      <c r="D3589" s="384">
        <f t="shared" si="205"/>
        <v>244</v>
      </c>
      <c r="E3589" s="384">
        <f t="shared" ca="1" si="206"/>
        <v>4</v>
      </c>
      <c r="F3589" s="384">
        <f t="shared" ca="1" si="207"/>
        <v>49</v>
      </c>
      <c r="G3589" s="384"/>
      <c r="H3589" s="388" t="str">
        <f t="shared" ca="1" si="203"/>
        <v/>
      </c>
      <c r="I3589" s="388" t="str">
        <f t="shared" ca="1" si="204"/>
        <v/>
      </c>
    </row>
    <row r="3590" spans="1:9" x14ac:dyDescent="0.3">
      <c r="A3590" s="384" t="b">
        <f t="shared" ca="1" si="202"/>
        <v>0</v>
      </c>
      <c r="B3590" s="393" t="str">
        <f ca="1">IF(COUNTA(G$2863:G3589)=1,"",OFFSET(B3590,-COUNTA(G$2863:G3589)+1,0))</f>
        <v>a1bDm000000Y7uzIAC</v>
      </c>
      <c r="C3590" s="389">
        <f ca="1">IF(COUNTA(G$2863:G3589)=1,"",OFFSET(C3590,-COUNTA(G$2863:G3589)+1,0))</f>
        <v>41</v>
      </c>
      <c r="D3590" s="384">
        <f t="shared" si="205"/>
        <v>245</v>
      </c>
      <c r="E3590" s="384">
        <f t="shared" ca="1" si="206"/>
        <v>5</v>
      </c>
      <c r="F3590" s="384">
        <f t="shared" ca="1" si="207"/>
        <v>49</v>
      </c>
      <c r="G3590" s="384"/>
      <c r="H3590" s="388" t="str">
        <f t="shared" ca="1" si="203"/>
        <v/>
      </c>
      <c r="I3590" s="388" t="str">
        <f t="shared" ca="1" si="204"/>
        <v/>
      </c>
    </row>
    <row r="3591" spans="1:9" x14ac:dyDescent="0.3">
      <c r="A3591" s="384" t="b">
        <f t="shared" ca="1" si="202"/>
        <v>0</v>
      </c>
      <c r="B3591" s="393" t="str">
        <f ca="1">IF(COUNTA(G$2863:G3590)=1,"",OFFSET(B3591,-COUNTA(G$2863:G3590)+1,0))</f>
        <v>a1bDm000000Y7wHIAS</v>
      </c>
      <c r="C3591" s="389">
        <f ca="1">IF(COUNTA(G$2863:G3590)=1,"",OFFSET(C3591,-COUNTA(G$2863:G3590)+1,0))</f>
        <v>41</v>
      </c>
      <c r="D3591" s="384">
        <f t="shared" si="205"/>
        <v>246</v>
      </c>
      <c r="E3591" s="384">
        <f t="shared" ca="1" si="206"/>
        <v>6</v>
      </c>
      <c r="F3591" s="384">
        <f t="shared" ca="1" si="207"/>
        <v>49</v>
      </c>
      <c r="G3591" s="384"/>
      <c r="H3591" s="388" t="str">
        <f t="shared" ca="1" si="203"/>
        <v/>
      </c>
      <c r="I3591" s="388" t="str">
        <f t="shared" ca="1" si="204"/>
        <v/>
      </c>
    </row>
    <row r="3592" spans="1:9" x14ac:dyDescent="0.3">
      <c r="A3592" s="384" t="b">
        <f t="shared" ca="1" si="202"/>
        <v>0</v>
      </c>
      <c r="B3592" s="393" t="str">
        <f ca="1">IF(COUNTA(G$2863:G3591)=1,"",OFFSET(B3592,-COUNTA(G$2863:G3591)+1,0))</f>
        <v>a1bDm000000Y7pqIAC</v>
      </c>
      <c r="C3592" s="389">
        <f ca="1">IF(COUNTA(G$2863:G3591)=1,"",OFFSET(C3592,-COUNTA(G$2863:G3591)+1,0))</f>
        <v>42</v>
      </c>
      <c r="D3592" s="384">
        <f t="shared" si="205"/>
        <v>247</v>
      </c>
      <c r="E3592" s="384">
        <f t="shared" ca="1" si="206"/>
        <v>1</v>
      </c>
      <c r="F3592" s="384">
        <f t="shared" ca="1" si="207"/>
        <v>50</v>
      </c>
      <c r="G3592" s="384"/>
      <c r="H3592" s="388" t="str">
        <f t="shared" ca="1" si="203"/>
        <v/>
      </c>
      <c r="I3592" s="388" t="str">
        <f t="shared" ca="1" si="204"/>
        <v/>
      </c>
    </row>
    <row r="3593" spans="1:9" x14ac:dyDescent="0.3">
      <c r="A3593" s="384" t="b">
        <f t="shared" ca="1" si="202"/>
        <v>0</v>
      </c>
      <c r="B3593" s="393" t="str">
        <f ca="1">IF(COUNTA(G$2863:G3592)=1,"",OFFSET(B3593,-COUNTA(G$2863:G3592)+1,0))</f>
        <v>a1bDm000000Y7r8IAC</v>
      </c>
      <c r="C3593" s="389">
        <f ca="1">IF(COUNTA(G$2863:G3592)=1,"",OFFSET(C3593,-COUNTA(G$2863:G3592)+1,0))</f>
        <v>42</v>
      </c>
      <c r="D3593" s="384">
        <f t="shared" si="205"/>
        <v>248</v>
      </c>
      <c r="E3593" s="384">
        <f t="shared" ca="1" si="206"/>
        <v>2</v>
      </c>
      <c r="F3593" s="384">
        <f t="shared" ca="1" si="207"/>
        <v>50</v>
      </c>
      <c r="G3593" s="384"/>
      <c r="H3593" s="388" t="str">
        <f t="shared" ca="1" si="203"/>
        <v/>
      </c>
      <c r="I3593" s="388" t="str">
        <f t="shared" ca="1" si="204"/>
        <v/>
      </c>
    </row>
    <row r="3594" spans="1:9" x14ac:dyDescent="0.3">
      <c r="A3594" s="384" t="b">
        <f t="shared" ca="1" si="202"/>
        <v>0</v>
      </c>
      <c r="B3594" s="393" t="str">
        <f ca="1">IF(COUNTA(G$2863:G3593)=1,"",OFFSET(B3594,-COUNTA(G$2863:G3593)+1,0))</f>
        <v>a1bDm000000Y7sQIAS</v>
      </c>
      <c r="C3594" s="389">
        <f ca="1">IF(COUNTA(G$2863:G3593)=1,"",OFFSET(C3594,-COUNTA(G$2863:G3593)+1,0))</f>
        <v>42</v>
      </c>
      <c r="D3594" s="384">
        <f t="shared" si="205"/>
        <v>249</v>
      </c>
      <c r="E3594" s="384">
        <f t="shared" ca="1" si="206"/>
        <v>3</v>
      </c>
      <c r="F3594" s="384">
        <f t="shared" ca="1" si="207"/>
        <v>50</v>
      </c>
      <c r="G3594" s="384"/>
      <c r="H3594" s="388" t="str">
        <f t="shared" ca="1" si="203"/>
        <v/>
      </c>
      <c r="I3594" s="388" t="str">
        <f t="shared" ca="1" si="204"/>
        <v/>
      </c>
    </row>
    <row r="3595" spans="1:9" x14ac:dyDescent="0.3">
      <c r="A3595" s="384" t="b">
        <f t="shared" ca="1" si="202"/>
        <v>0</v>
      </c>
      <c r="B3595" s="393" t="str">
        <f ca="1">IF(COUNTA(G$2863:G3594)=1,"",OFFSET(B3595,-COUNTA(G$2863:G3594)+1,0))</f>
        <v>a1bDm000000Y7tiIAC</v>
      </c>
      <c r="C3595" s="389">
        <f ca="1">IF(COUNTA(G$2863:G3594)=1,"",OFFSET(C3595,-COUNTA(G$2863:G3594)+1,0))</f>
        <v>42</v>
      </c>
      <c r="D3595" s="384">
        <f t="shared" si="205"/>
        <v>250</v>
      </c>
      <c r="E3595" s="384">
        <f t="shared" ca="1" si="206"/>
        <v>4</v>
      </c>
      <c r="F3595" s="384">
        <f t="shared" ca="1" si="207"/>
        <v>50</v>
      </c>
      <c r="G3595" s="384"/>
      <c r="H3595" s="388" t="str">
        <f t="shared" ca="1" si="203"/>
        <v/>
      </c>
      <c r="I3595" s="388" t="str">
        <f t="shared" ca="1" si="204"/>
        <v/>
      </c>
    </row>
    <row r="3596" spans="1:9" x14ac:dyDescent="0.3">
      <c r="A3596" s="384" t="b">
        <f t="shared" ca="1" si="202"/>
        <v>0</v>
      </c>
      <c r="B3596" s="393" t="str">
        <f ca="1">IF(COUNTA(G$2863:G3595)=1,"",OFFSET(B3596,-COUNTA(G$2863:G3595)+1,0))</f>
        <v>a1bDm000000Y7v0IAC</v>
      </c>
      <c r="C3596" s="389">
        <f ca="1">IF(COUNTA(G$2863:G3595)=1,"",OFFSET(C3596,-COUNTA(G$2863:G3595)+1,0))</f>
        <v>42</v>
      </c>
      <c r="D3596" s="384">
        <f t="shared" si="205"/>
        <v>251</v>
      </c>
      <c r="E3596" s="384">
        <f t="shared" ca="1" si="206"/>
        <v>5</v>
      </c>
      <c r="F3596" s="384">
        <f t="shared" ca="1" si="207"/>
        <v>50</v>
      </c>
      <c r="G3596" s="384"/>
      <c r="H3596" s="388" t="str">
        <f t="shared" ca="1" si="203"/>
        <v/>
      </c>
      <c r="I3596" s="388" t="str">
        <f t="shared" ca="1" si="204"/>
        <v/>
      </c>
    </row>
    <row r="3597" spans="1:9" x14ac:dyDescent="0.3">
      <c r="A3597" s="384" t="b">
        <f t="shared" ca="1" si="202"/>
        <v>0</v>
      </c>
      <c r="B3597" s="393" t="str">
        <f ca="1">IF(COUNTA(G$2863:G3596)=1,"",OFFSET(B3597,-COUNTA(G$2863:G3596)+1,0))</f>
        <v>a1bDm000000Y7wIIAS</v>
      </c>
      <c r="C3597" s="389">
        <f ca="1">IF(COUNTA(G$2863:G3596)=1,"",OFFSET(C3597,-COUNTA(G$2863:G3596)+1,0))</f>
        <v>42</v>
      </c>
      <c r="D3597" s="384">
        <f t="shared" si="205"/>
        <v>252</v>
      </c>
      <c r="E3597" s="384">
        <f t="shared" ca="1" si="206"/>
        <v>6</v>
      </c>
      <c r="F3597" s="384">
        <f t="shared" ca="1" si="207"/>
        <v>50</v>
      </c>
      <c r="G3597" s="384"/>
      <c r="H3597" s="388" t="str">
        <f t="shared" ca="1" si="203"/>
        <v/>
      </c>
      <c r="I3597" s="388" t="str">
        <f t="shared" ca="1" si="204"/>
        <v/>
      </c>
    </row>
    <row r="3598" spans="1:9" x14ac:dyDescent="0.3">
      <c r="A3598" s="384" t="b">
        <f t="shared" ca="1" si="202"/>
        <v>0</v>
      </c>
      <c r="B3598" s="393" t="str">
        <f ca="1">IF(COUNTA(G$2863:G3597)=1,"",OFFSET(B3598,-COUNTA(G$2863:G3597)+1,0))</f>
        <v>a1bDm000000Y7prIAC</v>
      </c>
      <c r="C3598" s="389">
        <f ca="1">IF(COUNTA(G$2863:G3597)=1,"",OFFSET(C3598,-COUNTA(G$2863:G3597)+1,0))</f>
        <v>43</v>
      </c>
      <c r="D3598" s="384">
        <f t="shared" si="205"/>
        <v>253</v>
      </c>
      <c r="E3598" s="384">
        <f t="shared" ca="1" si="206"/>
        <v>1</v>
      </c>
      <c r="F3598" s="384">
        <f t="shared" ca="1" si="207"/>
        <v>51</v>
      </c>
      <c r="G3598" s="384"/>
      <c r="H3598" s="388" t="str">
        <f t="shared" ca="1" si="203"/>
        <v/>
      </c>
      <c r="I3598" s="388" t="str">
        <f t="shared" ca="1" si="204"/>
        <v/>
      </c>
    </row>
    <row r="3599" spans="1:9" x14ac:dyDescent="0.3">
      <c r="A3599" s="384" t="b">
        <f t="shared" ca="1" si="202"/>
        <v>0</v>
      </c>
      <c r="B3599" s="393" t="str">
        <f ca="1">IF(COUNTA(G$2863:G3598)=1,"",OFFSET(B3599,-COUNTA(G$2863:G3598)+1,0))</f>
        <v>a1bDm000000Y7r9IAC</v>
      </c>
      <c r="C3599" s="389">
        <f ca="1">IF(COUNTA(G$2863:G3598)=1,"",OFFSET(C3599,-COUNTA(G$2863:G3598)+1,0))</f>
        <v>43</v>
      </c>
      <c r="D3599" s="384">
        <f t="shared" si="205"/>
        <v>254</v>
      </c>
      <c r="E3599" s="384">
        <f t="shared" ca="1" si="206"/>
        <v>2</v>
      </c>
      <c r="F3599" s="384">
        <f t="shared" ca="1" si="207"/>
        <v>51</v>
      </c>
      <c r="G3599" s="384"/>
      <c r="H3599" s="388" t="str">
        <f t="shared" ca="1" si="203"/>
        <v/>
      </c>
      <c r="I3599" s="388" t="str">
        <f t="shared" ca="1" si="204"/>
        <v/>
      </c>
    </row>
    <row r="3600" spans="1:9" x14ac:dyDescent="0.3">
      <c r="A3600" s="384" t="b">
        <f t="shared" ca="1" si="202"/>
        <v>0</v>
      </c>
      <c r="B3600" s="393" t="str">
        <f ca="1">IF(COUNTA(G$2863:G3599)=1,"",OFFSET(B3600,-COUNTA(G$2863:G3599)+1,0))</f>
        <v>a1bDm000000Y7sRIAS</v>
      </c>
      <c r="C3600" s="389">
        <f ca="1">IF(COUNTA(G$2863:G3599)=1,"",OFFSET(C3600,-COUNTA(G$2863:G3599)+1,0))</f>
        <v>43</v>
      </c>
      <c r="D3600" s="384">
        <f t="shared" si="205"/>
        <v>255</v>
      </c>
      <c r="E3600" s="384">
        <f t="shared" ca="1" si="206"/>
        <v>3</v>
      </c>
      <c r="F3600" s="384">
        <f t="shared" ca="1" si="207"/>
        <v>51</v>
      </c>
      <c r="G3600" s="384"/>
      <c r="H3600" s="388" t="str">
        <f t="shared" ca="1" si="203"/>
        <v/>
      </c>
      <c r="I3600" s="388" t="str">
        <f t="shared" ca="1" si="204"/>
        <v/>
      </c>
    </row>
    <row r="3601" spans="1:9" x14ac:dyDescent="0.3">
      <c r="A3601" s="384" t="b">
        <f t="shared" ca="1" si="202"/>
        <v>0</v>
      </c>
      <c r="B3601" s="393" t="str">
        <f ca="1">IF(COUNTA(G$2863:G3600)=1,"",OFFSET(B3601,-COUNTA(G$2863:G3600)+1,0))</f>
        <v>a1bDm000000Y7tjIAC</v>
      </c>
      <c r="C3601" s="389">
        <f ca="1">IF(COUNTA(G$2863:G3600)=1,"",OFFSET(C3601,-COUNTA(G$2863:G3600)+1,0))</f>
        <v>43</v>
      </c>
      <c r="D3601" s="384">
        <f t="shared" si="205"/>
        <v>256</v>
      </c>
      <c r="E3601" s="384">
        <f t="shared" ca="1" si="206"/>
        <v>4</v>
      </c>
      <c r="F3601" s="384">
        <f t="shared" ca="1" si="207"/>
        <v>51</v>
      </c>
      <c r="G3601" s="384"/>
      <c r="H3601" s="388" t="str">
        <f t="shared" ca="1" si="203"/>
        <v/>
      </c>
      <c r="I3601" s="388" t="str">
        <f t="shared" ca="1" si="204"/>
        <v/>
      </c>
    </row>
    <row r="3602" spans="1:9" x14ac:dyDescent="0.3">
      <c r="A3602" s="384" t="b">
        <f t="shared" ref="A3602:A3665" ca="1" si="208">IF(OR(AND(H3602&lt;&gt;"", H3602&lt;&gt;0), AND(I3602&lt;&gt;"",I3602&lt;&gt;0)),TRUE,FALSE)</f>
        <v>0</v>
      </c>
      <c r="B3602" s="393" t="str">
        <f ca="1">IF(COUNTA(G$2863:G3601)=1,"",OFFSET(B3602,-COUNTA(G$2863:G3601)+1,0))</f>
        <v>a1bDm000000Y7v1IAC</v>
      </c>
      <c r="C3602" s="389">
        <f ca="1">IF(COUNTA(G$2863:G3601)=1,"",OFFSET(C3602,-COUNTA(G$2863:G3601)+1,0))</f>
        <v>43</v>
      </c>
      <c r="D3602" s="384">
        <f t="shared" si="205"/>
        <v>257</v>
      </c>
      <c r="E3602" s="384">
        <f t="shared" ca="1" si="206"/>
        <v>5</v>
      </c>
      <c r="F3602" s="384">
        <f t="shared" ca="1" si="207"/>
        <v>51</v>
      </c>
      <c r="G3602" s="384"/>
      <c r="H3602" s="388" t="str">
        <f t="shared" ref="H3602:H3665" ca="1" si="209">CHOOSE(E3602,IFERROR(IF(INDIRECT("'WPTM - Section F'!H"&amp;F3602)=0,"",INDIRECT("'WPTM - Section F'!H"&amp;$F3602)),""),IFERROR(IF(INDIRECT("'WPTM - Section F'!J"&amp;F3602)=0,"",INDIRECT("'WPTM - Section F'!J"&amp;$F3602)),""),IFERROR(IF(INDIRECT("'WPTM - Section F'!L"&amp;F3602)=0,"",INDIRECT("'WPTM - Section F'!L"&amp;$F3602)),""),IFERROR(IF(INDIRECT("'WPTM - Section F'!N"&amp;F3602)=0,"",INDIRECT("'WPTM - Section F'!N"&amp;$F3602)),""),IFERROR(IF(INDIRECT("'WPTM - Section F'!P"&amp;F3602)=0,"",INDIRECT("'WPTM - Section F'!P"&amp;$F3602)),""),IFERROR(IF(INDIRECT("'WPTM - Section F'!R"&amp;F3602)=0,"",INDIRECT("'WPTM - Section F'!R"&amp;$F3602)),""),IFERROR(IF(INDIRECT("'WPTM - Section F'!T"&amp;F3602)=0,"",INDIRECT("'WPTM - Section F'!T"&amp;$F3602)),""),IFERROR(IF(INDIRECT("'WPTM - Section F'!V"&amp;F3602)=0,"",INDIRECT("'WPTM - Section F'!V"&amp;$F3602)),""),)</f>
        <v/>
      </c>
      <c r="I3602" s="388" t="str">
        <f t="shared" ref="I3602:I3665" ca="1" si="210">CHOOSE(E3602,IFERROR(IF(INDIRECT("'WPTM - Section F'!G"&amp;F3602)=0,"",INDIRECT("'WPTM - Section F'!G"&amp;$F3602)),""),IFERROR(IF(INDIRECT("'WPTM - Section F'!I"&amp;F3602)=0,"",INDIRECT("'WPTM - Section F'!I"&amp;$F3602)),""),IFERROR(IF(INDIRECT("'WPTM - Section F'!K"&amp;F3602)=0,"",INDIRECT("'WPTM - Section F'!K"&amp;$F3602)),""),IFERROR(IF(INDIRECT("'WPTM - Section F'!M"&amp;F3602)=0,"",INDIRECT("'WPTM - Section F'!M"&amp;$F3602)),""),IFERROR(IF(INDIRECT("'WPTM - Section F'!O"&amp;F3602)=0,"",INDIRECT("'WPTM - Section F'!O"&amp;$F3602)),""),IFERROR(IF(INDIRECT("'WPTM - Section F'!Q"&amp;F3602)=0,"",INDIRECT("'WPTM - Section F'!Q"&amp;$F3602)),""),IFERROR(IF(INDIRECT("'WPTM - Section F'!S"&amp;F3602)=0,"",INDIRECT("'WPTM - Section F'!S"&amp;$F3602)),""),IFERROR(IF(INDIRECT("'WPTM - Section F'!U"&amp;F3602)=0,"",INDIRECT("'WPTM - Section F'!U"&amp;$F3602)),""),)</f>
        <v/>
      </c>
    </row>
    <row r="3603" spans="1:9" x14ac:dyDescent="0.3">
      <c r="A3603" s="384" t="b">
        <f t="shared" ca="1" si="208"/>
        <v>0</v>
      </c>
      <c r="B3603" s="393" t="str">
        <f ca="1">IF(COUNTA(G$2863:G3602)=1,"",OFFSET(B3603,-COUNTA(G$2863:G3602)+1,0))</f>
        <v>a1bDm000000Y7wJIAS</v>
      </c>
      <c r="C3603" s="389">
        <f ca="1">IF(COUNTA(G$2863:G3602)=1,"",OFFSET(C3603,-COUNTA(G$2863:G3602)+1,0))</f>
        <v>43</v>
      </c>
      <c r="D3603" s="384">
        <f t="shared" si="205"/>
        <v>258</v>
      </c>
      <c r="E3603" s="384">
        <f t="shared" ca="1" si="206"/>
        <v>6</v>
      </c>
      <c r="F3603" s="384">
        <f t="shared" ca="1" si="207"/>
        <v>51</v>
      </c>
      <c r="G3603" s="384"/>
      <c r="H3603" s="388" t="str">
        <f t="shared" ca="1" si="209"/>
        <v/>
      </c>
      <c r="I3603" s="388" t="str">
        <f t="shared" ca="1" si="210"/>
        <v/>
      </c>
    </row>
    <row r="3604" spans="1:9" x14ac:dyDescent="0.3">
      <c r="A3604" s="384" t="b">
        <f t="shared" ca="1" si="208"/>
        <v>0</v>
      </c>
      <c r="B3604" s="393" t="str">
        <f ca="1">IF(COUNTA(G$2863:G3603)=1,"",OFFSET(B3604,-COUNTA(G$2863:G3603)+1,0))</f>
        <v>a1bDm000000Y7psIAC</v>
      </c>
      <c r="C3604" s="389">
        <f ca="1">IF(COUNTA(G$2863:G3603)=1,"",OFFSET(C3604,-COUNTA(G$2863:G3603)+1,0))</f>
        <v>44</v>
      </c>
      <c r="D3604" s="384">
        <f t="shared" si="205"/>
        <v>259</v>
      </c>
      <c r="E3604" s="384">
        <f t="shared" ca="1" si="206"/>
        <v>1</v>
      </c>
      <c r="F3604" s="384">
        <f t="shared" ca="1" si="207"/>
        <v>52</v>
      </c>
      <c r="G3604" s="384"/>
      <c r="H3604" s="388" t="str">
        <f t="shared" ca="1" si="209"/>
        <v/>
      </c>
      <c r="I3604" s="388" t="str">
        <f t="shared" ca="1" si="210"/>
        <v/>
      </c>
    </row>
    <row r="3605" spans="1:9" x14ac:dyDescent="0.3">
      <c r="A3605" s="384" t="b">
        <f t="shared" ca="1" si="208"/>
        <v>0</v>
      </c>
      <c r="B3605" s="393" t="str">
        <f ca="1">IF(COUNTA(G$2863:G3604)=1,"",OFFSET(B3605,-COUNTA(G$2863:G3604)+1,0))</f>
        <v>a1bDm000000Y7rAIAS</v>
      </c>
      <c r="C3605" s="389">
        <f ca="1">IF(COUNTA(G$2863:G3604)=1,"",OFFSET(C3605,-COUNTA(G$2863:G3604)+1,0))</f>
        <v>44</v>
      </c>
      <c r="D3605" s="384">
        <f t="shared" si="205"/>
        <v>260</v>
      </c>
      <c r="E3605" s="384">
        <f t="shared" ca="1" si="206"/>
        <v>2</v>
      </c>
      <c r="F3605" s="384">
        <f t="shared" ca="1" si="207"/>
        <v>52</v>
      </c>
      <c r="G3605" s="384"/>
      <c r="H3605" s="388" t="str">
        <f t="shared" ca="1" si="209"/>
        <v/>
      </c>
      <c r="I3605" s="388" t="str">
        <f t="shared" ca="1" si="210"/>
        <v/>
      </c>
    </row>
    <row r="3606" spans="1:9" x14ac:dyDescent="0.3">
      <c r="A3606" s="384" t="b">
        <f t="shared" ca="1" si="208"/>
        <v>0</v>
      </c>
      <c r="B3606" s="393" t="str">
        <f ca="1">IF(COUNTA(G$2863:G3605)=1,"",OFFSET(B3606,-COUNTA(G$2863:G3605)+1,0))</f>
        <v>a1bDm000000Y7sSIAS</v>
      </c>
      <c r="C3606" s="389">
        <f ca="1">IF(COUNTA(G$2863:G3605)=1,"",OFFSET(C3606,-COUNTA(G$2863:G3605)+1,0))</f>
        <v>44</v>
      </c>
      <c r="D3606" s="384">
        <f t="shared" si="205"/>
        <v>261</v>
      </c>
      <c r="E3606" s="384">
        <f t="shared" ca="1" si="206"/>
        <v>3</v>
      </c>
      <c r="F3606" s="384">
        <f t="shared" ca="1" si="207"/>
        <v>52</v>
      </c>
      <c r="G3606" s="384"/>
      <c r="H3606" s="388" t="str">
        <f t="shared" ca="1" si="209"/>
        <v/>
      </c>
      <c r="I3606" s="388" t="str">
        <f t="shared" ca="1" si="210"/>
        <v/>
      </c>
    </row>
    <row r="3607" spans="1:9" x14ac:dyDescent="0.3">
      <c r="A3607" s="384" t="b">
        <f t="shared" ca="1" si="208"/>
        <v>0</v>
      </c>
      <c r="B3607" s="393" t="str">
        <f ca="1">IF(COUNTA(G$2863:G3606)=1,"",OFFSET(B3607,-COUNTA(G$2863:G3606)+1,0))</f>
        <v>a1bDm000000Y7tkIAC</v>
      </c>
      <c r="C3607" s="389">
        <f ca="1">IF(COUNTA(G$2863:G3606)=1,"",OFFSET(C3607,-COUNTA(G$2863:G3606)+1,0))</f>
        <v>44</v>
      </c>
      <c r="D3607" s="384">
        <f t="shared" si="205"/>
        <v>262</v>
      </c>
      <c r="E3607" s="384">
        <f t="shared" ca="1" si="206"/>
        <v>4</v>
      </c>
      <c r="F3607" s="384">
        <f t="shared" ca="1" si="207"/>
        <v>52</v>
      </c>
      <c r="G3607" s="384"/>
      <c r="H3607" s="388" t="str">
        <f t="shared" ca="1" si="209"/>
        <v/>
      </c>
      <c r="I3607" s="388" t="str">
        <f t="shared" ca="1" si="210"/>
        <v/>
      </c>
    </row>
    <row r="3608" spans="1:9" x14ac:dyDescent="0.3">
      <c r="A3608" s="384" t="b">
        <f t="shared" ca="1" si="208"/>
        <v>0</v>
      </c>
      <c r="B3608" s="393" t="str">
        <f ca="1">IF(COUNTA(G$2863:G3607)=1,"",OFFSET(B3608,-COUNTA(G$2863:G3607)+1,0))</f>
        <v>a1bDm000000Y7v2IAC</v>
      </c>
      <c r="C3608" s="389">
        <f ca="1">IF(COUNTA(G$2863:G3607)=1,"",OFFSET(C3608,-COUNTA(G$2863:G3607)+1,0))</f>
        <v>44</v>
      </c>
      <c r="D3608" s="384">
        <f t="shared" si="205"/>
        <v>263</v>
      </c>
      <c r="E3608" s="384">
        <f t="shared" ca="1" si="206"/>
        <v>5</v>
      </c>
      <c r="F3608" s="384">
        <f t="shared" ca="1" si="207"/>
        <v>52</v>
      </c>
      <c r="G3608" s="384"/>
      <c r="H3608" s="388" t="str">
        <f t="shared" ca="1" si="209"/>
        <v/>
      </c>
      <c r="I3608" s="388" t="str">
        <f t="shared" ca="1" si="210"/>
        <v/>
      </c>
    </row>
    <row r="3609" spans="1:9" x14ac:dyDescent="0.3">
      <c r="A3609" s="384" t="b">
        <f t="shared" ca="1" si="208"/>
        <v>0</v>
      </c>
      <c r="B3609" s="393" t="str">
        <f ca="1">IF(COUNTA(G$2863:G3608)=1,"",OFFSET(B3609,-COUNTA(G$2863:G3608)+1,0))</f>
        <v>a1bDm000000Y7wKIAS</v>
      </c>
      <c r="C3609" s="389">
        <f ca="1">IF(COUNTA(G$2863:G3608)=1,"",OFFSET(C3609,-COUNTA(G$2863:G3608)+1,0))</f>
        <v>44</v>
      </c>
      <c r="D3609" s="384">
        <f t="shared" si="205"/>
        <v>264</v>
      </c>
      <c r="E3609" s="384">
        <f t="shared" ca="1" si="206"/>
        <v>6</v>
      </c>
      <c r="F3609" s="384">
        <f t="shared" ca="1" si="207"/>
        <v>52</v>
      </c>
      <c r="G3609" s="384"/>
      <c r="H3609" s="388" t="str">
        <f t="shared" ca="1" si="209"/>
        <v/>
      </c>
      <c r="I3609" s="388" t="str">
        <f t="shared" ca="1" si="210"/>
        <v/>
      </c>
    </row>
    <row r="3610" spans="1:9" x14ac:dyDescent="0.3">
      <c r="A3610" s="384" t="b">
        <f t="shared" ca="1" si="208"/>
        <v>0</v>
      </c>
      <c r="B3610" s="393" t="str">
        <f ca="1">IF(COUNTA(G$2863:G3609)=1,"",OFFSET(B3610,-COUNTA(G$2863:G3609)+1,0))</f>
        <v>a1bDm000000Y7ptIAC</v>
      </c>
      <c r="C3610" s="389">
        <f ca="1">IF(COUNTA(G$2863:G3609)=1,"",OFFSET(C3610,-COUNTA(G$2863:G3609)+1,0))</f>
        <v>45</v>
      </c>
      <c r="D3610" s="384">
        <f t="shared" si="205"/>
        <v>265</v>
      </c>
      <c r="E3610" s="384">
        <f t="shared" ca="1" si="206"/>
        <v>1</v>
      </c>
      <c r="F3610" s="384">
        <f t="shared" ca="1" si="207"/>
        <v>53</v>
      </c>
      <c r="G3610" s="384"/>
      <c r="H3610" s="388" t="str">
        <f t="shared" ca="1" si="209"/>
        <v/>
      </c>
      <c r="I3610" s="388" t="str">
        <f t="shared" ca="1" si="210"/>
        <v/>
      </c>
    </row>
    <row r="3611" spans="1:9" x14ac:dyDescent="0.3">
      <c r="A3611" s="384" t="b">
        <f t="shared" ca="1" si="208"/>
        <v>0</v>
      </c>
      <c r="B3611" s="393" t="str">
        <f ca="1">IF(COUNTA(G$2863:G3610)=1,"",OFFSET(B3611,-COUNTA(G$2863:G3610)+1,0))</f>
        <v>a1bDm000000Y7rBIAS</v>
      </c>
      <c r="C3611" s="389">
        <f ca="1">IF(COUNTA(G$2863:G3610)=1,"",OFFSET(C3611,-COUNTA(G$2863:G3610)+1,0))</f>
        <v>45</v>
      </c>
      <c r="D3611" s="384">
        <f t="shared" si="205"/>
        <v>266</v>
      </c>
      <c r="E3611" s="384">
        <f t="shared" ca="1" si="206"/>
        <v>2</v>
      </c>
      <c r="F3611" s="384">
        <f t="shared" ca="1" si="207"/>
        <v>53</v>
      </c>
      <c r="G3611" s="384"/>
      <c r="H3611" s="388" t="str">
        <f t="shared" ca="1" si="209"/>
        <v/>
      </c>
      <c r="I3611" s="388" t="str">
        <f t="shared" ca="1" si="210"/>
        <v/>
      </c>
    </row>
    <row r="3612" spans="1:9" x14ac:dyDescent="0.3">
      <c r="A3612" s="384" t="b">
        <f t="shared" ca="1" si="208"/>
        <v>0</v>
      </c>
      <c r="B3612" s="393" t="str">
        <f ca="1">IF(COUNTA(G$2863:G3611)=1,"",OFFSET(B3612,-COUNTA(G$2863:G3611)+1,0))</f>
        <v>a1bDm000000Y7sTIAS</v>
      </c>
      <c r="C3612" s="389">
        <f ca="1">IF(COUNTA(G$2863:G3611)=1,"",OFFSET(C3612,-COUNTA(G$2863:G3611)+1,0))</f>
        <v>45</v>
      </c>
      <c r="D3612" s="384">
        <f t="shared" si="205"/>
        <v>267</v>
      </c>
      <c r="E3612" s="384">
        <f t="shared" ca="1" si="206"/>
        <v>3</v>
      </c>
      <c r="F3612" s="384">
        <f t="shared" ca="1" si="207"/>
        <v>53</v>
      </c>
      <c r="G3612" s="384"/>
      <c r="H3612" s="388" t="str">
        <f t="shared" ca="1" si="209"/>
        <v/>
      </c>
      <c r="I3612" s="388" t="str">
        <f t="shared" ca="1" si="210"/>
        <v/>
      </c>
    </row>
    <row r="3613" spans="1:9" x14ac:dyDescent="0.3">
      <c r="A3613" s="384" t="b">
        <f t="shared" ca="1" si="208"/>
        <v>0</v>
      </c>
      <c r="B3613" s="393" t="str">
        <f ca="1">IF(COUNTA(G$2863:G3612)=1,"",OFFSET(B3613,-COUNTA(G$2863:G3612)+1,0))</f>
        <v>a1bDm000000Y7tlIAC</v>
      </c>
      <c r="C3613" s="389">
        <f ca="1">IF(COUNTA(G$2863:G3612)=1,"",OFFSET(C3613,-COUNTA(G$2863:G3612)+1,0))</f>
        <v>45</v>
      </c>
      <c r="D3613" s="384">
        <f t="shared" si="205"/>
        <v>268</v>
      </c>
      <c r="E3613" s="384">
        <f t="shared" ca="1" si="206"/>
        <v>4</v>
      </c>
      <c r="F3613" s="384">
        <f t="shared" ca="1" si="207"/>
        <v>53</v>
      </c>
      <c r="G3613" s="384"/>
      <c r="H3613" s="388" t="str">
        <f t="shared" ca="1" si="209"/>
        <v/>
      </c>
      <c r="I3613" s="388" t="str">
        <f t="shared" ca="1" si="210"/>
        <v/>
      </c>
    </row>
    <row r="3614" spans="1:9" x14ac:dyDescent="0.3">
      <c r="A3614" s="384" t="b">
        <f t="shared" ca="1" si="208"/>
        <v>0</v>
      </c>
      <c r="B3614" s="393" t="str">
        <f ca="1">IF(COUNTA(G$2863:G3613)=1,"",OFFSET(B3614,-COUNTA(G$2863:G3613)+1,0))</f>
        <v>a1bDm000000Y7v3IAC</v>
      </c>
      <c r="C3614" s="389">
        <f ca="1">IF(COUNTA(G$2863:G3613)=1,"",OFFSET(C3614,-COUNTA(G$2863:G3613)+1,0))</f>
        <v>45</v>
      </c>
      <c r="D3614" s="384">
        <f t="shared" si="205"/>
        <v>269</v>
      </c>
      <c r="E3614" s="384">
        <f t="shared" ca="1" si="206"/>
        <v>5</v>
      </c>
      <c r="F3614" s="384">
        <f t="shared" ca="1" si="207"/>
        <v>53</v>
      </c>
      <c r="G3614" s="384"/>
      <c r="H3614" s="388" t="str">
        <f t="shared" ca="1" si="209"/>
        <v/>
      </c>
      <c r="I3614" s="388" t="str">
        <f t="shared" ca="1" si="210"/>
        <v/>
      </c>
    </row>
    <row r="3615" spans="1:9" x14ac:dyDescent="0.3">
      <c r="A3615" s="384" t="b">
        <f t="shared" ca="1" si="208"/>
        <v>0</v>
      </c>
      <c r="B3615" s="393" t="str">
        <f ca="1">IF(COUNTA(G$2863:G3614)=1,"",OFFSET(B3615,-COUNTA(G$2863:G3614)+1,0))</f>
        <v>a1bDm000000Y7wLIAS</v>
      </c>
      <c r="C3615" s="389">
        <f ca="1">IF(COUNTA(G$2863:G3614)=1,"",OFFSET(C3615,-COUNTA(G$2863:G3614)+1,0))</f>
        <v>45</v>
      </c>
      <c r="D3615" s="384">
        <f t="shared" si="205"/>
        <v>270</v>
      </c>
      <c r="E3615" s="384">
        <f t="shared" ca="1" si="206"/>
        <v>6</v>
      </c>
      <c r="F3615" s="384">
        <f t="shared" ca="1" si="207"/>
        <v>53</v>
      </c>
      <c r="G3615" s="384"/>
      <c r="H3615" s="388" t="str">
        <f t="shared" ca="1" si="209"/>
        <v/>
      </c>
      <c r="I3615" s="388" t="str">
        <f t="shared" ca="1" si="210"/>
        <v/>
      </c>
    </row>
    <row r="3616" spans="1:9" x14ac:dyDescent="0.3">
      <c r="A3616" s="384" t="b">
        <f t="shared" ca="1" si="208"/>
        <v>0</v>
      </c>
      <c r="B3616" s="393" t="str">
        <f ca="1">IF(COUNTA(G$2863:G3615)=1,"",OFFSET(B3616,-COUNTA(G$2863:G3615)+1,0))</f>
        <v>a1bDm000000Y7puIAC</v>
      </c>
      <c r="C3616" s="389">
        <f ca="1">IF(COUNTA(G$2863:G3615)=1,"",OFFSET(C3616,-COUNTA(G$2863:G3615)+1,0))</f>
        <v>46</v>
      </c>
      <c r="D3616" s="384">
        <f t="shared" si="205"/>
        <v>271</v>
      </c>
      <c r="E3616" s="384">
        <f t="shared" ca="1" si="206"/>
        <v>1</v>
      </c>
      <c r="F3616" s="384">
        <f t="shared" ca="1" si="207"/>
        <v>54</v>
      </c>
      <c r="G3616" s="384"/>
      <c r="H3616" s="388" t="str">
        <f t="shared" ca="1" si="209"/>
        <v/>
      </c>
      <c r="I3616" s="388" t="str">
        <f t="shared" ca="1" si="210"/>
        <v/>
      </c>
    </row>
    <row r="3617" spans="1:9" x14ac:dyDescent="0.3">
      <c r="A3617" s="384" t="b">
        <f t="shared" ca="1" si="208"/>
        <v>0</v>
      </c>
      <c r="B3617" s="393" t="str">
        <f ca="1">IF(COUNTA(G$2863:G3616)=1,"",OFFSET(B3617,-COUNTA(G$2863:G3616)+1,0))</f>
        <v>a1bDm000000Y7rCIAS</v>
      </c>
      <c r="C3617" s="389">
        <f ca="1">IF(COUNTA(G$2863:G3616)=1,"",OFFSET(C3617,-COUNTA(G$2863:G3616)+1,0))</f>
        <v>46</v>
      </c>
      <c r="D3617" s="384">
        <f t="shared" si="205"/>
        <v>272</v>
      </c>
      <c r="E3617" s="384">
        <f t="shared" ca="1" si="206"/>
        <v>2</v>
      </c>
      <c r="F3617" s="384">
        <f t="shared" ca="1" si="207"/>
        <v>54</v>
      </c>
      <c r="G3617" s="384"/>
      <c r="H3617" s="388" t="str">
        <f t="shared" ca="1" si="209"/>
        <v/>
      </c>
      <c r="I3617" s="388" t="str">
        <f t="shared" ca="1" si="210"/>
        <v/>
      </c>
    </row>
    <row r="3618" spans="1:9" x14ac:dyDescent="0.3">
      <c r="A3618" s="384" t="b">
        <f t="shared" ca="1" si="208"/>
        <v>0</v>
      </c>
      <c r="B3618" s="393" t="str">
        <f ca="1">IF(COUNTA(G$2863:G3617)=1,"",OFFSET(B3618,-COUNTA(G$2863:G3617)+1,0))</f>
        <v>a1bDm000000Y7sUIAS</v>
      </c>
      <c r="C3618" s="389">
        <f ca="1">IF(COUNTA(G$2863:G3617)=1,"",OFFSET(C3618,-COUNTA(G$2863:G3617)+1,0))</f>
        <v>46</v>
      </c>
      <c r="D3618" s="384">
        <f t="shared" si="205"/>
        <v>273</v>
      </c>
      <c r="E3618" s="384">
        <f t="shared" ca="1" si="206"/>
        <v>3</v>
      </c>
      <c r="F3618" s="384">
        <f t="shared" ca="1" si="207"/>
        <v>54</v>
      </c>
      <c r="G3618" s="384"/>
      <c r="H3618" s="388" t="str">
        <f t="shared" ca="1" si="209"/>
        <v/>
      </c>
      <c r="I3618" s="388" t="str">
        <f t="shared" ca="1" si="210"/>
        <v/>
      </c>
    </row>
    <row r="3619" spans="1:9" x14ac:dyDescent="0.3">
      <c r="A3619" s="384" t="b">
        <f t="shared" ca="1" si="208"/>
        <v>0</v>
      </c>
      <c r="B3619" s="393" t="str">
        <f ca="1">IF(COUNTA(G$2863:G3618)=1,"",OFFSET(B3619,-COUNTA(G$2863:G3618)+1,0))</f>
        <v>a1bDm000000Y7tmIAC</v>
      </c>
      <c r="C3619" s="389">
        <f ca="1">IF(COUNTA(G$2863:G3618)=1,"",OFFSET(C3619,-COUNTA(G$2863:G3618)+1,0))</f>
        <v>46</v>
      </c>
      <c r="D3619" s="384">
        <f t="shared" si="205"/>
        <v>274</v>
      </c>
      <c r="E3619" s="384">
        <f t="shared" ca="1" si="206"/>
        <v>4</v>
      </c>
      <c r="F3619" s="384">
        <f t="shared" ca="1" si="207"/>
        <v>54</v>
      </c>
      <c r="G3619" s="384"/>
      <c r="H3619" s="388" t="str">
        <f t="shared" ca="1" si="209"/>
        <v/>
      </c>
      <c r="I3619" s="388" t="str">
        <f t="shared" ca="1" si="210"/>
        <v/>
      </c>
    </row>
    <row r="3620" spans="1:9" x14ac:dyDescent="0.3">
      <c r="A3620" s="384" t="b">
        <f t="shared" ca="1" si="208"/>
        <v>0</v>
      </c>
      <c r="B3620" s="393" t="str">
        <f ca="1">IF(COUNTA(G$2863:G3619)=1,"",OFFSET(B3620,-COUNTA(G$2863:G3619)+1,0))</f>
        <v>a1bDm000000Y7v4IAC</v>
      </c>
      <c r="C3620" s="389">
        <f ca="1">IF(COUNTA(G$2863:G3619)=1,"",OFFSET(C3620,-COUNTA(G$2863:G3619)+1,0))</f>
        <v>46</v>
      </c>
      <c r="D3620" s="384">
        <f t="shared" si="205"/>
        <v>275</v>
      </c>
      <c r="E3620" s="384">
        <f t="shared" ca="1" si="206"/>
        <v>5</v>
      </c>
      <c r="F3620" s="384">
        <f t="shared" ca="1" si="207"/>
        <v>54</v>
      </c>
      <c r="G3620" s="384"/>
      <c r="H3620" s="388" t="str">
        <f t="shared" ca="1" si="209"/>
        <v/>
      </c>
      <c r="I3620" s="388" t="str">
        <f t="shared" ca="1" si="210"/>
        <v/>
      </c>
    </row>
    <row r="3621" spans="1:9" x14ac:dyDescent="0.3">
      <c r="A3621" s="384" t="b">
        <f t="shared" ca="1" si="208"/>
        <v>0</v>
      </c>
      <c r="B3621" s="393" t="str">
        <f ca="1">IF(COUNTA(G$2863:G3620)=1,"",OFFSET(B3621,-COUNTA(G$2863:G3620)+1,0))</f>
        <v>a1bDm000000Y7wMIAS</v>
      </c>
      <c r="C3621" s="389">
        <f ca="1">IF(COUNTA(G$2863:G3620)=1,"",OFFSET(C3621,-COUNTA(G$2863:G3620)+1,0))</f>
        <v>46</v>
      </c>
      <c r="D3621" s="384">
        <f t="shared" si="205"/>
        <v>276</v>
      </c>
      <c r="E3621" s="384">
        <f t="shared" ca="1" si="206"/>
        <v>6</v>
      </c>
      <c r="F3621" s="384">
        <f t="shared" ca="1" si="207"/>
        <v>54</v>
      </c>
      <c r="G3621" s="384"/>
      <c r="H3621" s="388" t="str">
        <f t="shared" ca="1" si="209"/>
        <v/>
      </c>
      <c r="I3621" s="388" t="str">
        <f t="shared" ca="1" si="210"/>
        <v/>
      </c>
    </row>
    <row r="3622" spans="1:9" x14ac:dyDescent="0.3">
      <c r="A3622" s="384" t="b">
        <f t="shared" ca="1" si="208"/>
        <v>0</v>
      </c>
      <c r="B3622" s="393" t="str">
        <f ca="1">IF(COUNTA(G$2863:G3621)=1,"",OFFSET(B3622,-COUNTA(G$2863:G3621)+1,0))</f>
        <v>a1bDm000000Y7pvIAC</v>
      </c>
      <c r="C3622" s="389">
        <f ca="1">IF(COUNTA(G$2863:G3621)=1,"",OFFSET(C3622,-COUNTA(G$2863:G3621)+1,0))</f>
        <v>47</v>
      </c>
      <c r="D3622" s="384">
        <f t="shared" si="205"/>
        <v>277</v>
      </c>
      <c r="E3622" s="384">
        <f t="shared" ca="1" si="206"/>
        <v>1</v>
      </c>
      <c r="F3622" s="384">
        <f t="shared" ca="1" si="207"/>
        <v>55</v>
      </c>
      <c r="G3622" s="384"/>
      <c r="H3622" s="388" t="str">
        <f t="shared" ca="1" si="209"/>
        <v/>
      </c>
      <c r="I3622" s="388" t="str">
        <f t="shared" ca="1" si="210"/>
        <v/>
      </c>
    </row>
    <row r="3623" spans="1:9" x14ac:dyDescent="0.3">
      <c r="A3623" s="384" t="b">
        <f t="shared" ca="1" si="208"/>
        <v>0</v>
      </c>
      <c r="B3623" s="393" t="str">
        <f ca="1">IF(COUNTA(G$2863:G3622)=1,"",OFFSET(B3623,-COUNTA(G$2863:G3622)+1,0))</f>
        <v>a1bDm000000Y7rDIAS</v>
      </c>
      <c r="C3623" s="389">
        <f ca="1">IF(COUNTA(G$2863:G3622)=1,"",OFFSET(C3623,-COUNTA(G$2863:G3622)+1,0))</f>
        <v>47</v>
      </c>
      <c r="D3623" s="384">
        <f t="shared" si="205"/>
        <v>278</v>
      </c>
      <c r="E3623" s="384">
        <f t="shared" ca="1" si="206"/>
        <v>2</v>
      </c>
      <c r="F3623" s="384">
        <f t="shared" ca="1" si="207"/>
        <v>55</v>
      </c>
      <c r="G3623" s="384"/>
      <c r="H3623" s="388" t="str">
        <f t="shared" ca="1" si="209"/>
        <v/>
      </c>
      <c r="I3623" s="388" t="str">
        <f t="shared" ca="1" si="210"/>
        <v/>
      </c>
    </row>
    <row r="3624" spans="1:9" x14ac:dyDescent="0.3">
      <c r="A3624" s="384" t="b">
        <f t="shared" ca="1" si="208"/>
        <v>0</v>
      </c>
      <c r="B3624" s="393" t="str">
        <f ca="1">IF(COUNTA(G$2863:G3623)=1,"",OFFSET(B3624,-COUNTA(G$2863:G3623)+1,0))</f>
        <v>a1bDm000000Y7sVIAS</v>
      </c>
      <c r="C3624" s="389">
        <f ca="1">IF(COUNTA(G$2863:G3623)=1,"",OFFSET(C3624,-COUNTA(G$2863:G3623)+1,0))</f>
        <v>47</v>
      </c>
      <c r="D3624" s="384">
        <f t="shared" si="205"/>
        <v>279</v>
      </c>
      <c r="E3624" s="384">
        <f t="shared" ca="1" si="206"/>
        <v>3</v>
      </c>
      <c r="F3624" s="384">
        <f t="shared" ca="1" si="207"/>
        <v>55</v>
      </c>
      <c r="G3624" s="384"/>
      <c r="H3624" s="388" t="str">
        <f t="shared" ca="1" si="209"/>
        <v/>
      </c>
      <c r="I3624" s="388" t="str">
        <f t="shared" ca="1" si="210"/>
        <v/>
      </c>
    </row>
    <row r="3625" spans="1:9" x14ac:dyDescent="0.3">
      <c r="A3625" s="384" t="b">
        <f t="shared" ca="1" si="208"/>
        <v>0</v>
      </c>
      <c r="B3625" s="393" t="str">
        <f ca="1">IF(COUNTA(G$2863:G3624)=1,"",OFFSET(B3625,-COUNTA(G$2863:G3624)+1,0))</f>
        <v>a1bDm000000Y7tnIAC</v>
      </c>
      <c r="C3625" s="389">
        <f ca="1">IF(COUNTA(G$2863:G3624)=1,"",OFFSET(C3625,-COUNTA(G$2863:G3624)+1,0))</f>
        <v>47</v>
      </c>
      <c r="D3625" s="384">
        <f t="shared" si="205"/>
        <v>280</v>
      </c>
      <c r="E3625" s="384">
        <f t="shared" ca="1" si="206"/>
        <v>4</v>
      </c>
      <c r="F3625" s="384">
        <f t="shared" ca="1" si="207"/>
        <v>55</v>
      </c>
      <c r="G3625" s="384"/>
      <c r="H3625" s="388" t="str">
        <f t="shared" ca="1" si="209"/>
        <v/>
      </c>
      <c r="I3625" s="388" t="str">
        <f t="shared" ca="1" si="210"/>
        <v/>
      </c>
    </row>
    <row r="3626" spans="1:9" x14ac:dyDescent="0.3">
      <c r="A3626" s="384" t="b">
        <f t="shared" ca="1" si="208"/>
        <v>0</v>
      </c>
      <c r="B3626" s="393" t="str">
        <f ca="1">IF(COUNTA(G$2863:G3625)=1,"",OFFSET(B3626,-COUNTA(G$2863:G3625)+1,0))</f>
        <v>a1bDm000000Y7v5IAC</v>
      </c>
      <c r="C3626" s="389">
        <f ca="1">IF(COUNTA(G$2863:G3625)=1,"",OFFSET(C3626,-COUNTA(G$2863:G3625)+1,0))</f>
        <v>47</v>
      </c>
      <c r="D3626" s="384">
        <f t="shared" si="205"/>
        <v>281</v>
      </c>
      <c r="E3626" s="384">
        <f t="shared" ca="1" si="206"/>
        <v>5</v>
      </c>
      <c r="F3626" s="384">
        <f t="shared" ca="1" si="207"/>
        <v>55</v>
      </c>
      <c r="G3626" s="384"/>
      <c r="H3626" s="388" t="str">
        <f t="shared" ca="1" si="209"/>
        <v/>
      </c>
      <c r="I3626" s="388" t="str">
        <f t="shared" ca="1" si="210"/>
        <v/>
      </c>
    </row>
    <row r="3627" spans="1:9" x14ac:dyDescent="0.3">
      <c r="A3627" s="384" t="b">
        <f t="shared" ca="1" si="208"/>
        <v>0</v>
      </c>
      <c r="B3627" s="393" t="str">
        <f ca="1">IF(COUNTA(G$2863:G3626)=1,"",OFFSET(B3627,-COUNTA(G$2863:G3626)+1,0))</f>
        <v>a1bDm000000Y7wNIAS</v>
      </c>
      <c r="C3627" s="389">
        <f ca="1">IF(COUNTA(G$2863:G3626)=1,"",OFFSET(C3627,-COUNTA(G$2863:G3626)+1,0))</f>
        <v>47</v>
      </c>
      <c r="D3627" s="384">
        <f t="shared" si="205"/>
        <v>282</v>
      </c>
      <c r="E3627" s="384">
        <f t="shared" ca="1" si="206"/>
        <v>6</v>
      </c>
      <c r="F3627" s="384">
        <f t="shared" ca="1" si="207"/>
        <v>55</v>
      </c>
      <c r="G3627" s="384"/>
      <c r="H3627" s="388" t="str">
        <f t="shared" ca="1" si="209"/>
        <v/>
      </c>
      <c r="I3627" s="388" t="str">
        <f t="shared" ca="1" si="210"/>
        <v/>
      </c>
    </row>
    <row r="3628" spans="1:9" x14ac:dyDescent="0.3">
      <c r="A3628" s="384" t="b">
        <f t="shared" ca="1" si="208"/>
        <v>0</v>
      </c>
      <c r="B3628" s="393" t="str">
        <f ca="1">IF(COUNTA(G$2863:G3627)=1,"",OFFSET(B3628,-COUNTA(G$2863:G3627)+1,0))</f>
        <v>a1bDm000000Y7pwIAC</v>
      </c>
      <c r="C3628" s="389">
        <f ca="1">IF(COUNTA(G$2863:G3627)=1,"",OFFSET(C3628,-COUNTA(G$2863:G3627)+1,0))</f>
        <v>48</v>
      </c>
      <c r="D3628" s="384">
        <f t="shared" si="205"/>
        <v>283</v>
      </c>
      <c r="E3628" s="384">
        <f t="shared" ca="1" si="206"/>
        <v>1</v>
      </c>
      <c r="F3628" s="384">
        <f t="shared" ca="1" si="207"/>
        <v>56</v>
      </c>
      <c r="G3628" s="384"/>
      <c r="H3628" s="388" t="str">
        <f t="shared" ca="1" si="209"/>
        <v/>
      </c>
      <c r="I3628" s="388" t="str">
        <f t="shared" ca="1" si="210"/>
        <v/>
      </c>
    </row>
    <row r="3629" spans="1:9" x14ac:dyDescent="0.3">
      <c r="A3629" s="384" t="b">
        <f t="shared" ca="1" si="208"/>
        <v>0</v>
      </c>
      <c r="B3629" s="393" t="str">
        <f ca="1">IF(COUNTA(G$2863:G3628)=1,"",OFFSET(B3629,-COUNTA(G$2863:G3628)+1,0))</f>
        <v>a1bDm000000Y7rEIAS</v>
      </c>
      <c r="C3629" s="389">
        <f ca="1">IF(COUNTA(G$2863:G3628)=1,"",OFFSET(C3629,-COUNTA(G$2863:G3628)+1,0))</f>
        <v>48</v>
      </c>
      <c r="D3629" s="384">
        <f t="shared" si="205"/>
        <v>284</v>
      </c>
      <c r="E3629" s="384">
        <f t="shared" ca="1" si="206"/>
        <v>2</v>
      </c>
      <c r="F3629" s="384">
        <f t="shared" ca="1" si="207"/>
        <v>56</v>
      </c>
      <c r="G3629" s="384"/>
      <c r="H3629" s="388" t="str">
        <f t="shared" ca="1" si="209"/>
        <v/>
      </c>
      <c r="I3629" s="388" t="str">
        <f t="shared" ca="1" si="210"/>
        <v/>
      </c>
    </row>
    <row r="3630" spans="1:9" x14ac:dyDescent="0.3">
      <c r="A3630" s="384" t="b">
        <f t="shared" ca="1" si="208"/>
        <v>0</v>
      </c>
      <c r="B3630" s="393" t="str">
        <f ca="1">IF(COUNTA(G$2863:G3629)=1,"",OFFSET(B3630,-COUNTA(G$2863:G3629)+1,0))</f>
        <v>a1bDm000000Y7sWIAS</v>
      </c>
      <c r="C3630" s="389">
        <f ca="1">IF(COUNTA(G$2863:G3629)=1,"",OFFSET(C3630,-COUNTA(G$2863:G3629)+1,0))</f>
        <v>48</v>
      </c>
      <c r="D3630" s="384">
        <f t="shared" si="205"/>
        <v>285</v>
      </c>
      <c r="E3630" s="384">
        <f t="shared" ca="1" si="206"/>
        <v>3</v>
      </c>
      <c r="F3630" s="384">
        <f t="shared" ca="1" si="207"/>
        <v>56</v>
      </c>
      <c r="G3630" s="384"/>
      <c r="H3630" s="388" t="str">
        <f t="shared" ca="1" si="209"/>
        <v/>
      </c>
      <c r="I3630" s="388" t="str">
        <f t="shared" ca="1" si="210"/>
        <v/>
      </c>
    </row>
    <row r="3631" spans="1:9" x14ac:dyDescent="0.3">
      <c r="A3631" s="384" t="b">
        <f t="shared" ca="1" si="208"/>
        <v>0</v>
      </c>
      <c r="B3631" s="393" t="str">
        <f ca="1">IF(COUNTA(G$2863:G3630)=1,"",OFFSET(B3631,-COUNTA(G$2863:G3630)+1,0))</f>
        <v>a1bDm000000Y7toIAC</v>
      </c>
      <c r="C3631" s="389">
        <f ca="1">IF(COUNTA(G$2863:G3630)=1,"",OFFSET(C3631,-COUNTA(G$2863:G3630)+1,0))</f>
        <v>48</v>
      </c>
      <c r="D3631" s="384">
        <f t="shared" si="205"/>
        <v>286</v>
      </c>
      <c r="E3631" s="384">
        <f t="shared" ca="1" si="206"/>
        <v>4</v>
      </c>
      <c r="F3631" s="384">
        <f t="shared" ca="1" si="207"/>
        <v>56</v>
      </c>
      <c r="G3631" s="384"/>
      <c r="H3631" s="388" t="str">
        <f t="shared" ca="1" si="209"/>
        <v/>
      </c>
      <c r="I3631" s="388" t="str">
        <f t="shared" ca="1" si="210"/>
        <v/>
      </c>
    </row>
    <row r="3632" spans="1:9" x14ac:dyDescent="0.3">
      <c r="A3632" s="384" t="b">
        <f t="shared" ca="1" si="208"/>
        <v>0</v>
      </c>
      <c r="B3632" s="393" t="str">
        <f ca="1">IF(COUNTA(G$2863:G3631)=1,"",OFFSET(B3632,-COUNTA(G$2863:G3631)+1,0))</f>
        <v>a1bDm000000Y7v6IAC</v>
      </c>
      <c r="C3632" s="389">
        <f ca="1">IF(COUNTA(G$2863:G3631)=1,"",OFFSET(C3632,-COUNTA(G$2863:G3631)+1,0))</f>
        <v>48</v>
      </c>
      <c r="D3632" s="384">
        <f t="shared" si="205"/>
        <v>287</v>
      </c>
      <c r="E3632" s="384">
        <f t="shared" ca="1" si="206"/>
        <v>5</v>
      </c>
      <c r="F3632" s="384">
        <f t="shared" ca="1" si="207"/>
        <v>56</v>
      </c>
      <c r="G3632" s="384"/>
      <c r="H3632" s="388" t="str">
        <f t="shared" ca="1" si="209"/>
        <v/>
      </c>
      <c r="I3632" s="388" t="str">
        <f t="shared" ca="1" si="210"/>
        <v/>
      </c>
    </row>
    <row r="3633" spans="1:9" x14ac:dyDescent="0.3">
      <c r="A3633" s="384" t="b">
        <f t="shared" ca="1" si="208"/>
        <v>0</v>
      </c>
      <c r="B3633" s="393" t="str">
        <f ca="1">IF(COUNTA(G$2863:G3632)=1,"",OFFSET(B3633,-COUNTA(G$2863:G3632)+1,0))</f>
        <v>a1bDm000000Y7wOIAS</v>
      </c>
      <c r="C3633" s="389">
        <f ca="1">IF(COUNTA(G$2863:G3632)=1,"",OFFSET(C3633,-COUNTA(G$2863:G3632)+1,0))</f>
        <v>48</v>
      </c>
      <c r="D3633" s="384">
        <f t="shared" si="205"/>
        <v>288</v>
      </c>
      <c r="E3633" s="384">
        <f t="shared" ca="1" si="206"/>
        <v>6</v>
      </c>
      <c r="F3633" s="384">
        <f t="shared" ca="1" si="207"/>
        <v>56</v>
      </c>
      <c r="G3633" s="384"/>
      <c r="H3633" s="388" t="str">
        <f t="shared" ca="1" si="209"/>
        <v/>
      </c>
      <c r="I3633" s="388" t="str">
        <f t="shared" ca="1" si="210"/>
        <v/>
      </c>
    </row>
    <row r="3634" spans="1:9" x14ac:dyDescent="0.3">
      <c r="A3634" s="384" t="b">
        <f t="shared" ca="1" si="208"/>
        <v>0</v>
      </c>
      <c r="B3634" s="393" t="str">
        <f ca="1">IF(COUNTA(G$2863:G3633)=1,"",OFFSET(B3634,-COUNTA(G$2863:G3633)+1,0))</f>
        <v>a1bDm000000Y7pxIAC</v>
      </c>
      <c r="C3634" s="389">
        <f ca="1">IF(COUNTA(G$2863:G3633)=1,"",OFFSET(C3634,-COUNTA(G$2863:G3633)+1,0))</f>
        <v>49</v>
      </c>
      <c r="D3634" s="384">
        <f t="shared" ref="D3634:D3697" si="211">D3633+1</f>
        <v>289</v>
      </c>
      <c r="E3634" s="384">
        <f t="shared" ref="E3634:E3697" ca="1" si="212">COUNTIF(C3464:C3634,C3634)</f>
        <v>1</v>
      </c>
      <c r="F3634" s="384">
        <f t="shared" ref="F3634:F3697" ca="1" si="213">IF(C3634=1,9,IF(E3633=MAX(E3632:E3634),F3632+1,F3633))</f>
        <v>57</v>
      </c>
      <c r="G3634" s="384"/>
      <c r="H3634" s="388" t="str">
        <f t="shared" ca="1" si="209"/>
        <v/>
      </c>
      <c r="I3634" s="388" t="str">
        <f t="shared" ca="1" si="210"/>
        <v/>
      </c>
    </row>
    <row r="3635" spans="1:9" x14ac:dyDescent="0.3">
      <c r="A3635" s="384" t="b">
        <f t="shared" ca="1" si="208"/>
        <v>0</v>
      </c>
      <c r="B3635" s="393" t="str">
        <f ca="1">IF(COUNTA(G$2863:G3634)=1,"",OFFSET(B3635,-COUNTA(G$2863:G3634)+1,0))</f>
        <v>a1bDm000000Y7rFIAS</v>
      </c>
      <c r="C3635" s="389">
        <f ca="1">IF(COUNTA(G$2863:G3634)=1,"",OFFSET(C3635,-COUNTA(G$2863:G3634)+1,0))</f>
        <v>49</v>
      </c>
      <c r="D3635" s="384">
        <f t="shared" si="211"/>
        <v>290</v>
      </c>
      <c r="E3635" s="384">
        <f t="shared" ca="1" si="212"/>
        <v>2</v>
      </c>
      <c r="F3635" s="384">
        <f t="shared" ca="1" si="213"/>
        <v>57</v>
      </c>
      <c r="G3635" s="384"/>
      <c r="H3635" s="388" t="str">
        <f t="shared" ca="1" si="209"/>
        <v/>
      </c>
      <c r="I3635" s="388" t="str">
        <f t="shared" ca="1" si="210"/>
        <v/>
      </c>
    </row>
    <row r="3636" spans="1:9" x14ac:dyDescent="0.3">
      <c r="A3636" s="384" t="b">
        <f t="shared" ca="1" si="208"/>
        <v>0</v>
      </c>
      <c r="B3636" s="393" t="str">
        <f ca="1">IF(COUNTA(G$2863:G3635)=1,"",OFFSET(B3636,-COUNTA(G$2863:G3635)+1,0))</f>
        <v>a1bDm000000Y7sXIAS</v>
      </c>
      <c r="C3636" s="389">
        <f ca="1">IF(COUNTA(G$2863:G3635)=1,"",OFFSET(C3636,-COUNTA(G$2863:G3635)+1,0))</f>
        <v>49</v>
      </c>
      <c r="D3636" s="384">
        <f t="shared" si="211"/>
        <v>291</v>
      </c>
      <c r="E3636" s="384">
        <f t="shared" ca="1" si="212"/>
        <v>3</v>
      </c>
      <c r="F3636" s="384">
        <f t="shared" ca="1" si="213"/>
        <v>57</v>
      </c>
      <c r="G3636" s="384"/>
      <c r="H3636" s="388" t="str">
        <f t="shared" ca="1" si="209"/>
        <v/>
      </c>
      <c r="I3636" s="388" t="str">
        <f t="shared" ca="1" si="210"/>
        <v/>
      </c>
    </row>
    <row r="3637" spans="1:9" x14ac:dyDescent="0.3">
      <c r="A3637" s="384" t="b">
        <f t="shared" ca="1" si="208"/>
        <v>0</v>
      </c>
      <c r="B3637" s="393" t="str">
        <f ca="1">IF(COUNTA(G$2863:G3636)=1,"",OFFSET(B3637,-COUNTA(G$2863:G3636)+1,0))</f>
        <v>a1bDm000000Y7tpIAC</v>
      </c>
      <c r="C3637" s="389">
        <f ca="1">IF(COUNTA(G$2863:G3636)=1,"",OFFSET(C3637,-COUNTA(G$2863:G3636)+1,0))</f>
        <v>49</v>
      </c>
      <c r="D3637" s="384">
        <f t="shared" si="211"/>
        <v>292</v>
      </c>
      <c r="E3637" s="384">
        <f t="shared" ca="1" si="212"/>
        <v>4</v>
      </c>
      <c r="F3637" s="384">
        <f t="shared" ca="1" si="213"/>
        <v>57</v>
      </c>
      <c r="G3637" s="384"/>
      <c r="H3637" s="388" t="str">
        <f t="shared" ca="1" si="209"/>
        <v/>
      </c>
      <c r="I3637" s="388" t="str">
        <f t="shared" ca="1" si="210"/>
        <v/>
      </c>
    </row>
    <row r="3638" spans="1:9" x14ac:dyDescent="0.3">
      <c r="A3638" s="384" t="b">
        <f t="shared" ca="1" si="208"/>
        <v>0</v>
      </c>
      <c r="B3638" s="393" t="str">
        <f ca="1">IF(COUNTA(G$2863:G3637)=1,"",OFFSET(B3638,-COUNTA(G$2863:G3637)+1,0))</f>
        <v>a1bDm000000Y7v7IAC</v>
      </c>
      <c r="C3638" s="389">
        <f ca="1">IF(COUNTA(G$2863:G3637)=1,"",OFFSET(C3638,-COUNTA(G$2863:G3637)+1,0))</f>
        <v>49</v>
      </c>
      <c r="D3638" s="384">
        <f t="shared" si="211"/>
        <v>293</v>
      </c>
      <c r="E3638" s="384">
        <f t="shared" ca="1" si="212"/>
        <v>5</v>
      </c>
      <c r="F3638" s="384">
        <f t="shared" ca="1" si="213"/>
        <v>57</v>
      </c>
      <c r="G3638" s="384"/>
      <c r="H3638" s="388" t="str">
        <f t="shared" ca="1" si="209"/>
        <v/>
      </c>
      <c r="I3638" s="388" t="str">
        <f t="shared" ca="1" si="210"/>
        <v/>
      </c>
    </row>
    <row r="3639" spans="1:9" x14ac:dyDescent="0.3">
      <c r="A3639" s="384" t="b">
        <f t="shared" ca="1" si="208"/>
        <v>0</v>
      </c>
      <c r="B3639" s="393" t="str">
        <f ca="1">IF(COUNTA(G$2863:G3638)=1,"",OFFSET(B3639,-COUNTA(G$2863:G3638)+1,0))</f>
        <v>a1bDm000000Y7wPIAS</v>
      </c>
      <c r="C3639" s="389">
        <f ca="1">IF(COUNTA(G$2863:G3638)=1,"",OFFSET(C3639,-COUNTA(G$2863:G3638)+1,0))</f>
        <v>49</v>
      </c>
      <c r="D3639" s="384">
        <f t="shared" si="211"/>
        <v>294</v>
      </c>
      <c r="E3639" s="384">
        <f t="shared" ca="1" si="212"/>
        <v>6</v>
      </c>
      <c r="F3639" s="384">
        <f t="shared" ca="1" si="213"/>
        <v>57</v>
      </c>
      <c r="G3639" s="384"/>
      <c r="H3639" s="388" t="str">
        <f t="shared" ca="1" si="209"/>
        <v/>
      </c>
      <c r="I3639" s="388" t="str">
        <f t="shared" ca="1" si="210"/>
        <v/>
      </c>
    </row>
    <row r="3640" spans="1:9" x14ac:dyDescent="0.3">
      <c r="A3640" s="384" t="b">
        <f t="shared" ca="1" si="208"/>
        <v>0</v>
      </c>
      <c r="B3640" s="393" t="str">
        <f ca="1">IF(COUNTA(G$2863:G3639)=1,"",OFFSET(B3640,-COUNTA(G$2863:G3639)+1,0))</f>
        <v>a1bDm000000Y7pyIAC</v>
      </c>
      <c r="C3640" s="389">
        <f ca="1">IF(COUNTA(G$2863:G3639)=1,"",OFFSET(C3640,-COUNTA(G$2863:G3639)+1,0))</f>
        <v>50</v>
      </c>
      <c r="D3640" s="384">
        <f t="shared" si="211"/>
        <v>295</v>
      </c>
      <c r="E3640" s="384">
        <f t="shared" ca="1" si="212"/>
        <v>1</v>
      </c>
      <c r="F3640" s="384">
        <f t="shared" ca="1" si="213"/>
        <v>58</v>
      </c>
      <c r="G3640" s="384"/>
      <c r="H3640" s="388" t="str">
        <f t="shared" ca="1" si="209"/>
        <v/>
      </c>
      <c r="I3640" s="388" t="str">
        <f t="shared" ca="1" si="210"/>
        <v/>
      </c>
    </row>
    <row r="3641" spans="1:9" x14ac:dyDescent="0.3">
      <c r="A3641" s="384" t="b">
        <f t="shared" ca="1" si="208"/>
        <v>0</v>
      </c>
      <c r="B3641" s="393" t="str">
        <f ca="1">IF(COUNTA(G$2863:G3640)=1,"",OFFSET(B3641,-COUNTA(G$2863:G3640)+1,0))</f>
        <v>a1bDm000000Y7rGIAS</v>
      </c>
      <c r="C3641" s="389">
        <f ca="1">IF(COUNTA(G$2863:G3640)=1,"",OFFSET(C3641,-COUNTA(G$2863:G3640)+1,0))</f>
        <v>50</v>
      </c>
      <c r="D3641" s="384">
        <f t="shared" si="211"/>
        <v>296</v>
      </c>
      <c r="E3641" s="384">
        <f t="shared" ca="1" si="212"/>
        <v>2</v>
      </c>
      <c r="F3641" s="384">
        <f t="shared" ca="1" si="213"/>
        <v>58</v>
      </c>
      <c r="G3641" s="384"/>
      <c r="H3641" s="388" t="str">
        <f t="shared" ca="1" si="209"/>
        <v/>
      </c>
      <c r="I3641" s="388" t="str">
        <f t="shared" ca="1" si="210"/>
        <v/>
      </c>
    </row>
    <row r="3642" spans="1:9" x14ac:dyDescent="0.3">
      <c r="A3642" s="384" t="b">
        <f t="shared" ca="1" si="208"/>
        <v>0</v>
      </c>
      <c r="B3642" s="393" t="str">
        <f ca="1">IF(COUNTA(G$2863:G3641)=1,"",OFFSET(B3642,-COUNTA(G$2863:G3641)+1,0))</f>
        <v>a1bDm000000Y7sYIAS</v>
      </c>
      <c r="C3642" s="389">
        <f ca="1">IF(COUNTA(G$2863:G3641)=1,"",OFFSET(C3642,-COUNTA(G$2863:G3641)+1,0))</f>
        <v>50</v>
      </c>
      <c r="D3642" s="384">
        <f t="shared" si="211"/>
        <v>297</v>
      </c>
      <c r="E3642" s="384">
        <f t="shared" ca="1" si="212"/>
        <v>3</v>
      </c>
      <c r="F3642" s="384">
        <f t="shared" ca="1" si="213"/>
        <v>58</v>
      </c>
      <c r="G3642" s="384"/>
      <c r="H3642" s="388" t="str">
        <f t="shared" ca="1" si="209"/>
        <v/>
      </c>
      <c r="I3642" s="388" t="str">
        <f t="shared" ca="1" si="210"/>
        <v/>
      </c>
    </row>
    <row r="3643" spans="1:9" x14ac:dyDescent="0.3">
      <c r="A3643" s="384" t="b">
        <f t="shared" ca="1" si="208"/>
        <v>0</v>
      </c>
      <c r="B3643" s="393" t="str">
        <f ca="1">IF(COUNTA(G$2863:G3642)=1,"",OFFSET(B3643,-COUNTA(G$2863:G3642)+1,0))</f>
        <v>a1bDm000000Y7tqIAC</v>
      </c>
      <c r="C3643" s="389">
        <f ca="1">IF(COUNTA(G$2863:G3642)=1,"",OFFSET(C3643,-COUNTA(G$2863:G3642)+1,0))</f>
        <v>50</v>
      </c>
      <c r="D3643" s="384">
        <f t="shared" si="211"/>
        <v>298</v>
      </c>
      <c r="E3643" s="384">
        <f t="shared" ca="1" si="212"/>
        <v>4</v>
      </c>
      <c r="F3643" s="384">
        <f t="shared" ca="1" si="213"/>
        <v>58</v>
      </c>
      <c r="G3643" s="384"/>
      <c r="H3643" s="388" t="str">
        <f t="shared" ca="1" si="209"/>
        <v/>
      </c>
      <c r="I3643" s="388" t="str">
        <f t="shared" ca="1" si="210"/>
        <v/>
      </c>
    </row>
    <row r="3644" spans="1:9" x14ac:dyDescent="0.3">
      <c r="A3644" s="384" t="b">
        <f t="shared" ca="1" si="208"/>
        <v>0</v>
      </c>
      <c r="B3644" s="393" t="str">
        <f ca="1">IF(COUNTA(G$2863:G3643)=1,"",OFFSET(B3644,-COUNTA(G$2863:G3643)+1,0))</f>
        <v>a1bDm000000Y7v8IAC</v>
      </c>
      <c r="C3644" s="389">
        <f ca="1">IF(COUNTA(G$2863:G3643)=1,"",OFFSET(C3644,-COUNTA(G$2863:G3643)+1,0))</f>
        <v>50</v>
      </c>
      <c r="D3644" s="384">
        <f t="shared" si="211"/>
        <v>299</v>
      </c>
      <c r="E3644" s="384">
        <f t="shared" ca="1" si="212"/>
        <v>5</v>
      </c>
      <c r="F3644" s="384">
        <f t="shared" ca="1" si="213"/>
        <v>58</v>
      </c>
      <c r="G3644" s="384"/>
      <c r="H3644" s="388" t="str">
        <f t="shared" ca="1" si="209"/>
        <v/>
      </c>
      <c r="I3644" s="388" t="str">
        <f t="shared" ca="1" si="210"/>
        <v/>
      </c>
    </row>
    <row r="3645" spans="1:9" x14ac:dyDescent="0.3">
      <c r="A3645" s="384" t="b">
        <f t="shared" ca="1" si="208"/>
        <v>0</v>
      </c>
      <c r="B3645" s="393" t="str">
        <f ca="1">IF(COUNTA(G$2863:G3644)=1,"",OFFSET(B3645,-COUNTA(G$2863:G3644)+1,0))</f>
        <v>a1bDm000000Y7wQIAS</v>
      </c>
      <c r="C3645" s="389">
        <f ca="1">IF(COUNTA(G$2863:G3644)=1,"",OFFSET(C3645,-COUNTA(G$2863:G3644)+1,0))</f>
        <v>50</v>
      </c>
      <c r="D3645" s="384">
        <f t="shared" si="211"/>
        <v>300</v>
      </c>
      <c r="E3645" s="384">
        <f t="shared" ca="1" si="212"/>
        <v>6</v>
      </c>
      <c r="F3645" s="384">
        <f t="shared" ca="1" si="213"/>
        <v>58</v>
      </c>
      <c r="G3645" s="384"/>
      <c r="H3645" s="388" t="str">
        <f t="shared" ca="1" si="209"/>
        <v/>
      </c>
      <c r="I3645" s="388" t="str">
        <f t="shared" ca="1" si="210"/>
        <v/>
      </c>
    </row>
    <row r="3646" spans="1:9" x14ac:dyDescent="0.3">
      <c r="A3646" s="384" t="b">
        <f t="shared" ca="1" si="208"/>
        <v>0</v>
      </c>
      <c r="B3646" s="393" t="str">
        <f ca="1">IF(COUNTA(G$2863:G3645)=1,"",OFFSET(B3646,-COUNTA(G$2863:G3645)+1,0))</f>
        <v>a1bDm000000Y7pzIAC</v>
      </c>
      <c r="C3646" s="389">
        <f ca="1">IF(COUNTA(G$2863:G3645)=1,"",OFFSET(C3646,-COUNTA(G$2863:G3645)+1,0))</f>
        <v>51</v>
      </c>
      <c r="D3646" s="384">
        <f t="shared" si="211"/>
        <v>301</v>
      </c>
      <c r="E3646" s="384">
        <f t="shared" ca="1" si="212"/>
        <v>1</v>
      </c>
      <c r="F3646" s="384">
        <f t="shared" ca="1" si="213"/>
        <v>59</v>
      </c>
      <c r="G3646" s="384"/>
      <c r="H3646" s="388" t="str">
        <f t="shared" ca="1" si="209"/>
        <v/>
      </c>
      <c r="I3646" s="388" t="str">
        <f t="shared" ca="1" si="210"/>
        <v/>
      </c>
    </row>
    <row r="3647" spans="1:9" x14ac:dyDescent="0.3">
      <c r="A3647" s="384" t="b">
        <f t="shared" ca="1" si="208"/>
        <v>0</v>
      </c>
      <c r="B3647" s="393" t="str">
        <f ca="1">IF(COUNTA(G$2863:G3646)=1,"",OFFSET(B3647,-COUNTA(G$2863:G3646)+1,0))</f>
        <v>a1bDm000000Y7rHIAS</v>
      </c>
      <c r="C3647" s="389">
        <f ca="1">IF(COUNTA(G$2863:G3646)=1,"",OFFSET(C3647,-COUNTA(G$2863:G3646)+1,0))</f>
        <v>51</v>
      </c>
      <c r="D3647" s="384">
        <f t="shared" si="211"/>
        <v>302</v>
      </c>
      <c r="E3647" s="384">
        <f t="shared" ca="1" si="212"/>
        <v>2</v>
      </c>
      <c r="F3647" s="384">
        <f t="shared" ca="1" si="213"/>
        <v>59</v>
      </c>
      <c r="G3647" s="384"/>
      <c r="H3647" s="388" t="str">
        <f t="shared" ca="1" si="209"/>
        <v/>
      </c>
      <c r="I3647" s="388" t="str">
        <f t="shared" ca="1" si="210"/>
        <v/>
      </c>
    </row>
    <row r="3648" spans="1:9" x14ac:dyDescent="0.3">
      <c r="A3648" s="384" t="b">
        <f t="shared" ca="1" si="208"/>
        <v>0</v>
      </c>
      <c r="B3648" s="393" t="str">
        <f ca="1">IF(COUNTA(G$2863:G3647)=1,"",OFFSET(B3648,-COUNTA(G$2863:G3647)+1,0))</f>
        <v>a1bDm000000Y7sZIAS</v>
      </c>
      <c r="C3648" s="389">
        <f ca="1">IF(COUNTA(G$2863:G3647)=1,"",OFFSET(C3648,-COUNTA(G$2863:G3647)+1,0))</f>
        <v>51</v>
      </c>
      <c r="D3648" s="384">
        <f t="shared" si="211"/>
        <v>303</v>
      </c>
      <c r="E3648" s="384">
        <f t="shared" ca="1" si="212"/>
        <v>3</v>
      </c>
      <c r="F3648" s="384">
        <f t="shared" ca="1" si="213"/>
        <v>59</v>
      </c>
      <c r="G3648" s="384"/>
      <c r="H3648" s="388" t="str">
        <f t="shared" ca="1" si="209"/>
        <v/>
      </c>
      <c r="I3648" s="388" t="str">
        <f t="shared" ca="1" si="210"/>
        <v/>
      </c>
    </row>
    <row r="3649" spans="1:9" x14ac:dyDescent="0.3">
      <c r="A3649" s="384" t="b">
        <f t="shared" ca="1" si="208"/>
        <v>0</v>
      </c>
      <c r="B3649" s="393" t="str">
        <f ca="1">IF(COUNTA(G$2863:G3648)=1,"",OFFSET(B3649,-COUNTA(G$2863:G3648)+1,0))</f>
        <v>a1bDm000000Y7trIAC</v>
      </c>
      <c r="C3649" s="389">
        <f ca="1">IF(COUNTA(G$2863:G3648)=1,"",OFFSET(C3649,-COUNTA(G$2863:G3648)+1,0))</f>
        <v>51</v>
      </c>
      <c r="D3649" s="384">
        <f t="shared" si="211"/>
        <v>304</v>
      </c>
      <c r="E3649" s="384">
        <f t="shared" ca="1" si="212"/>
        <v>4</v>
      </c>
      <c r="F3649" s="384">
        <f t="shared" ca="1" si="213"/>
        <v>59</v>
      </c>
      <c r="G3649" s="384"/>
      <c r="H3649" s="388" t="str">
        <f t="shared" ca="1" si="209"/>
        <v/>
      </c>
      <c r="I3649" s="388" t="str">
        <f t="shared" ca="1" si="210"/>
        <v/>
      </c>
    </row>
    <row r="3650" spans="1:9" x14ac:dyDescent="0.3">
      <c r="A3650" s="384" t="b">
        <f t="shared" ca="1" si="208"/>
        <v>0</v>
      </c>
      <c r="B3650" s="393" t="str">
        <f ca="1">IF(COUNTA(G$2863:G3649)=1,"",OFFSET(B3650,-COUNTA(G$2863:G3649)+1,0))</f>
        <v>a1bDm000000Y7v9IAC</v>
      </c>
      <c r="C3650" s="389">
        <f ca="1">IF(COUNTA(G$2863:G3649)=1,"",OFFSET(C3650,-COUNTA(G$2863:G3649)+1,0))</f>
        <v>51</v>
      </c>
      <c r="D3650" s="384">
        <f t="shared" si="211"/>
        <v>305</v>
      </c>
      <c r="E3650" s="384">
        <f t="shared" ca="1" si="212"/>
        <v>5</v>
      </c>
      <c r="F3650" s="384">
        <f t="shared" ca="1" si="213"/>
        <v>59</v>
      </c>
      <c r="G3650" s="384"/>
      <c r="H3650" s="388" t="str">
        <f t="shared" ca="1" si="209"/>
        <v/>
      </c>
      <c r="I3650" s="388" t="str">
        <f t="shared" ca="1" si="210"/>
        <v/>
      </c>
    </row>
    <row r="3651" spans="1:9" x14ac:dyDescent="0.3">
      <c r="A3651" s="384" t="b">
        <f t="shared" ca="1" si="208"/>
        <v>0</v>
      </c>
      <c r="B3651" s="393" t="str">
        <f ca="1">IF(COUNTA(G$2863:G3650)=1,"",OFFSET(B3651,-COUNTA(G$2863:G3650)+1,0))</f>
        <v>a1bDm000000Y7wRIAS</v>
      </c>
      <c r="C3651" s="389">
        <f ca="1">IF(COUNTA(G$2863:G3650)=1,"",OFFSET(C3651,-COUNTA(G$2863:G3650)+1,0))</f>
        <v>51</v>
      </c>
      <c r="D3651" s="384">
        <f t="shared" si="211"/>
        <v>306</v>
      </c>
      <c r="E3651" s="384">
        <f t="shared" ca="1" si="212"/>
        <v>6</v>
      </c>
      <c r="F3651" s="384">
        <f t="shared" ca="1" si="213"/>
        <v>59</v>
      </c>
      <c r="G3651" s="384"/>
      <c r="H3651" s="388" t="str">
        <f t="shared" ca="1" si="209"/>
        <v/>
      </c>
      <c r="I3651" s="388" t="str">
        <f t="shared" ca="1" si="210"/>
        <v/>
      </c>
    </row>
    <row r="3652" spans="1:9" x14ac:dyDescent="0.3">
      <c r="A3652" s="384" t="b">
        <f t="shared" ca="1" si="208"/>
        <v>0</v>
      </c>
      <c r="B3652" s="393" t="str">
        <f ca="1">IF(COUNTA(G$2863:G3651)=1,"",OFFSET(B3652,-COUNTA(G$2863:G3651)+1,0))</f>
        <v>a1bDm000000Y7q0IAC</v>
      </c>
      <c r="C3652" s="389">
        <f ca="1">IF(COUNTA(G$2863:G3651)=1,"",OFFSET(C3652,-COUNTA(G$2863:G3651)+1,0))</f>
        <v>52</v>
      </c>
      <c r="D3652" s="384">
        <f t="shared" si="211"/>
        <v>307</v>
      </c>
      <c r="E3652" s="384">
        <f t="shared" ca="1" si="212"/>
        <v>1</v>
      </c>
      <c r="F3652" s="384">
        <f t="shared" ca="1" si="213"/>
        <v>60</v>
      </c>
      <c r="G3652" s="384"/>
      <c r="H3652" s="388" t="str">
        <f t="shared" ca="1" si="209"/>
        <v/>
      </c>
      <c r="I3652" s="388" t="str">
        <f t="shared" ca="1" si="210"/>
        <v/>
      </c>
    </row>
    <row r="3653" spans="1:9" x14ac:dyDescent="0.3">
      <c r="A3653" s="384" t="b">
        <f t="shared" ca="1" si="208"/>
        <v>0</v>
      </c>
      <c r="B3653" s="393" t="str">
        <f ca="1">IF(COUNTA(G$2863:G3652)=1,"",OFFSET(B3653,-COUNTA(G$2863:G3652)+1,0))</f>
        <v>a1bDm000000Y7rIIAS</v>
      </c>
      <c r="C3653" s="389">
        <f ca="1">IF(COUNTA(G$2863:G3652)=1,"",OFFSET(C3653,-COUNTA(G$2863:G3652)+1,0))</f>
        <v>52</v>
      </c>
      <c r="D3653" s="384">
        <f t="shared" si="211"/>
        <v>308</v>
      </c>
      <c r="E3653" s="384">
        <f t="shared" ca="1" si="212"/>
        <v>2</v>
      </c>
      <c r="F3653" s="384">
        <f t="shared" ca="1" si="213"/>
        <v>60</v>
      </c>
      <c r="G3653" s="384"/>
      <c r="H3653" s="388" t="str">
        <f t="shared" ca="1" si="209"/>
        <v/>
      </c>
      <c r="I3653" s="388" t="str">
        <f t="shared" ca="1" si="210"/>
        <v/>
      </c>
    </row>
    <row r="3654" spans="1:9" x14ac:dyDescent="0.3">
      <c r="A3654" s="384" t="b">
        <f t="shared" ca="1" si="208"/>
        <v>0</v>
      </c>
      <c r="B3654" s="393" t="str">
        <f ca="1">IF(COUNTA(G$2863:G3653)=1,"",OFFSET(B3654,-COUNTA(G$2863:G3653)+1,0))</f>
        <v>a1bDm000000Y7saIAC</v>
      </c>
      <c r="C3654" s="389">
        <f ca="1">IF(COUNTA(G$2863:G3653)=1,"",OFFSET(C3654,-COUNTA(G$2863:G3653)+1,0))</f>
        <v>52</v>
      </c>
      <c r="D3654" s="384">
        <f t="shared" si="211"/>
        <v>309</v>
      </c>
      <c r="E3654" s="384">
        <f t="shared" ca="1" si="212"/>
        <v>3</v>
      </c>
      <c r="F3654" s="384">
        <f t="shared" ca="1" si="213"/>
        <v>60</v>
      </c>
      <c r="G3654" s="384"/>
      <c r="H3654" s="388" t="str">
        <f t="shared" ca="1" si="209"/>
        <v/>
      </c>
      <c r="I3654" s="388" t="str">
        <f t="shared" ca="1" si="210"/>
        <v/>
      </c>
    </row>
    <row r="3655" spans="1:9" x14ac:dyDescent="0.3">
      <c r="A3655" s="384" t="b">
        <f t="shared" ca="1" si="208"/>
        <v>0</v>
      </c>
      <c r="B3655" s="393" t="str">
        <f ca="1">IF(COUNTA(G$2863:G3654)=1,"",OFFSET(B3655,-COUNTA(G$2863:G3654)+1,0))</f>
        <v>a1bDm000000Y7tsIAC</v>
      </c>
      <c r="C3655" s="389">
        <f ca="1">IF(COUNTA(G$2863:G3654)=1,"",OFFSET(C3655,-COUNTA(G$2863:G3654)+1,0))</f>
        <v>52</v>
      </c>
      <c r="D3655" s="384">
        <f t="shared" si="211"/>
        <v>310</v>
      </c>
      <c r="E3655" s="384">
        <f t="shared" ca="1" si="212"/>
        <v>4</v>
      </c>
      <c r="F3655" s="384">
        <f t="shared" ca="1" si="213"/>
        <v>60</v>
      </c>
      <c r="G3655" s="384"/>
      <c r="H3655" s="388" t="str">
        <f t="shared" ca="1" si="209"/>
        <v/>
      </c>
      <c r="I3655" s="388" t="str">
        <f t="shared" ca="1" si="210"/>
        <v/>
      </c>
    </row>
    <row r="3656" spans="1:9" x14ac:dyDescent="0.3">
      <c r="A3656" s="384" t="b">
        <f t="shared" ca="1" si="208"/>
        <v>0</v>
      </c>
      <c r="B3656" s="393" t="str">
        <f ca="1">IF(COUNTA(G$2863:G3655)=1,"",OFFSET(B3656,-COUNTA(G$2863:G3655)+1,0))</f>
        <v>a1bDm000000Y7vAIAS</v>
      </c>
      <c r="C3656" s="389">
        <f ca="1">IF(COUNTA(G$2863:G3655)=1,"",OFFSET(C3656,-COUNTA(G$2863:G3655)+1,0))</f>
        <v>52</v>
      </c>
      <c r="D3656" s="384">
        <f t="shared" si="211"/>
        <v>311</v>
      </c>
      <c r="E3656" s="384">
        <f t="shared" ca="1" si="212"/>
        <v>5</v>
      </c>
      <c r="F3656" s="384">
        <f t="shared" ca="1" si="213"/>
        <v>60</v>
      </c>
      <c r="G3656" s="384"/>
      <c r="H3656" s="388" t="str">
        <f t="shared" ca="1" si="209"/>
        <v/>
      </c>
      <c r="I3656" s="388" t="str">
        <f t="shared" ca="1" si="210"/>
        <v/>
      </c>
    </row>
    <row r="3657" spans="1:9" x14ac:dyDescent="0.3">
      <c r="A3657" s="384" t="b">
        <f t="shared" ca="1" si="208"/>
        <v>0</v>
      </c>
      <c r="B3657" s="393" t="str">
        <f ca="1">IF(COUNTA(G$2863:G3656)=1,"",OFFSET(B3657,-COUNTA(G$2863:G3656)+1,0))</f>
        <v>a1bDm000000Y7wSIAS</v>
      </c>
      <c r="C3657" s="389">
        <f ca="1">IF(COUNTA(G$2863:G3656)=1,"",OFFSET(C3657,-COUNTA(G$2863:G3656)+1,0))</f>
        <v>52</v>
      </c>
      <c r="D3657" s="384">
        <f t="shared" si="211"/>
        <v>312</v>
      </c>
      <c r="E3657" s="384">
        <f t="shared" ca="1" si="212"/>
        <v>6</v>
      </c>
      <c r="F3657" s="384">
        <f t="shared" ca="1" si="213"/>
        <v>60</v>
      </c>
      <c r="G3657" s="384"/>
      <c r="H3657" s="388" t="str">
        <f t="shared" ca="1" si="209"/>
        <v/>
      </c>
      <c r="I3657" s="388" t="str">
        <f t="shared" ca="1" si="210"/>
        <v/>
      </c>
    </row>
    <row r="3658" spans="1:9" x14ac:dyDescent="0.3">
      <c r="A3658" s="384" t="b">
        <f t="shared" ca="1" si="208"/>
        <v>0</v>
      </c>
      <c r="B3658" s="393" t="str">
        <f ca="1">IF(COUNTA(G$2863:G3657)=1,"",OFFSET(B3658,-COUNTA(G$2863:G3657)+1,0))</f>
        <v>a1bDm000000Y7q1IAC</v>
      </c>
      <c r="C3658" s="389">
        <f ca="1">IF(COUNTA(G$2863:G3657)=1,"",OFFSET(C3658,-COUNTA(G$2863:G3657)+1,0))</f>
        <v>53</v>
      </c>
      <c r="D3658" s="384">
        <f t="shared" si="211"/>
        <v>313</v>
      </c>
      <c r="E3658" s="384">
        <f t="shared" ca="1" si="212"/>
        <v>1</v>
      </c>
      <c r="F3658" s="384">
        <f t="shared" ca="1" si="213"/>
        <v>61</v>
      </c>
      <c r="G3658" s="384"/>
      <c r="H3658" s="388" t="str">
        <f t="shared" ca="1" si="209"/>
        <v/>
      </c>
      <c r="I3658" s="388" t="str">
        <f t="shared" ca="1" si="210"/>
        <v/>
      </c>
    </row>
    <row r="3659" spans="1:9" x14ac:dyDescent="0.3">
      <c r="A3659" s="384" t="b">
        <f t="shared" ca="1" si="208"/>
        <v>0</v>
      </c>
      <c r="B3659" s="393" t="str">
        <f ca="1">IF(COUNTA(G$2863:G3658)=1,"",OFFSET(B3659,-COUNTA(G$2863:G3658)+1,0))</f>
        <v>a1bDm000000Y7rJIAS</v>
      </c>
      <c r="C3659" s="389">
        <f ca="1">IF(COUNTA(G$2863:G3658)=1,"",OFFSET(C3659,-COUNTA(G$2863:G3658)+1,0))</f>
        <v>53</v>
      </c>
      <c r="D3659" s="384">
        <f t="shared" si="211"/>
        <v>314</v>
      </c>
      <c r="E3659" s="384">
        <f t="shared" ca="1" si="212"/>
        <v>2</v>
      </c>
      <c r="F3659" s="384">
        <f t="shared" ca="1" si="213"/>
        <v>61</v>
      </c>
      <c r="G3659" s="384"/>
      <c r="H3659" s="388" t="str">
        <f t="shared" ca="1" si="209"/>
        <v/>
      </c>
      <c r="I3659" s="388" t="str">
        <f t="shared" ca="1" si="210"/>
        <v/>
      </c>
    </row>
    <row r="3660" spans="1:9" x14ac:dyDescent="0.3">
      <c r="A3660" s="384" t="b">
        <f t="shared" ca="1" si="208"/>
        <v>0</v>
      </c>
      <c r="B3660" s="393" t="str">
        <f ca="1">IF(COUNTA(G$2863:G3659)=1,"",OFFSET(B3660,-COUNTA(G$2863:G3659)+1,0))</f>
        <v>a1bDm000000Y7sbIAC</v>
      </c>
      <c r="C3660" s="389">
        <f ca="1">IF(COUNTA(G$2863:G3659)=1,"",OFFSET(C3660,-COUNTA(G$2863:G3659)+1,0))</f>
        <v>53</v>
      </c>
      <c r="D3660" s="384">
        <f t="shared" si="211"/>
        <v>315</v>
      </c>
      <c r="E3660" s="384">
        <f t="shared" ca="1" si="212"/>
        <v>3</v>
      </c>
      <c r="F3660" s="384">
        <f t="shared" ca="1" si="213"/>
        <v>61</v>
      </c>
      <c r="G3660" s="384"/>
      <c r="H3660" s="388" t="str">
        <f t="shared" ca="1" si="209"/>
        <v/>
      </c>
      <c r="I3660" s="388" t="str">
        <f t="shared" ca="1" si="210"/>
        <v/>
      </c>
    </row>
    <row r="3661" spans="1:9" x14ac:dyDescent="0.3">
      <c r="A3661" s="384" t="b">
        <f t="shared" ca="1" si="208"/>
        <v>0</v>
      </c>
      <c r="B3661" s="393" t="str">
        <f ca="1">IF(COUNTA(G$2863:G3660)=1,"",OFFSET(B3661,-COUNTA(G$2863:G3660)+1,0))</f>
        <v>a1bDm000000Y7ttIAC</v>
      </c>
      <c r="C3661" s="389">
        <f ca="1">IF(COUNTA(G$2863:G3660)=1,"",OFFSET(C3661,-COUNTA(G$2863:G3660)+1,0))</f>
        <v>53</v>
      </c>
      <c r="D3661" s="384">
        <f t="shared" si="211"/>
        <v>316</v>
      </c>
      <c r="E3661" s="384">
        <f t="shared" ca="1" si="212"/>
        <v>4</v>
      </c>
      <c r="F3661" s="384">
        <f t="shared" ca="1" si="213"/>
        <v>61</v>
      </c>
      <c r="G3661" s="384"/>
      <c r="H3661" s="388" t="str">
        <f t="shared" ca="1" si="209"/>
        <v/>
      </c>
      <c r="I3661" s="388" t="str">
        <f t="shared" ca="1" si="210"/>
        <v/>
      </c>
    </row>
    <row r="3662" spans="1:9" x14ac:dyDescent="0.3">
      <c r="A3662" s="384" t="b">
        <f t="shared" ca="1" si="208"/>
        <v>0</v>
      </c>
      <c r="B3662" s="393" t="str">
        <f ca="1">IF(COUNTA(G$2863:G3661)=1,"",OFFSET(B3662,-COUNTA(G$2863:G3661)+1,0))</f>
        <v>a1bDm000000Y7vBIAS</v>
      </c>
      <c r="C3662" s="389">
        <f ca="1">IF(COUNTA(G$2863:G3661)=1,"",OFFSET(C3662,-COUNTA(G$2863:G3661)+1,0))</f>
        <v>53</v>
      </c>
      <c r="D3662" s="384">
        <f t="shared" si="211"/>
        <v>317</v>
      </c>
      <c r="E3662" s="384">
        <f t="shared" ca="1" si="212"/>
        <v>5</v>
      </c>
      <c r="F3662" s="384">
        <f t="shared" ca="1" si="213"/>
        <v>61</v>
      </c>
      <c r="G3662" s="384"/>
      <c r="H3662" s="388" t="str">
        <f t="shared" ca="1" si="209"/>
        <v/>
      </c>
      <c r="I3662" s="388" t="str">
        <f t="shared" ca="1" si="210"/>
        <v/>
      </c>
    </row>
    <row r="3663" spans="1:9" x14ac:dyDescent="0.3">
      <c r="A3663" s="384" t="b">
        <f t="shared" ca="1" si="208"/>
        <v>0</v>
      </c>
      <c r="B3663" s="393" t="str">
        <f ca="1">IF(COUNTA(G$2863:G3662)=1,"",OFFSET(B3663,-COUNTA(G$2863:G3662)+1,0))</f>
        <v>a1bDm000000Y7wTIAS</v>
      </c>
      <c r="C3663" s="389">
        <f ca="1">IF(COUNTA(G$2863:G3662)=1,"",OFFSET(C3663,-COUNTA(G$2863:G3662)+1,0))</f>
        <v>53</v>
      </c>
      <c r="D3663" s="384">
        <f t="shared" si="211"/>
        <v>318</v>
      </c>
      <c r="E3663" s="384">
        <f t="shared" ca="1" si="212"/>
        <v>6</v>
      </c>
      <c r="F3663" s="384">
        <f t="shared" ca="1" si="213"/>
        <v>61</v>
      </c>
      <c r="G3663" s="384"/>
      <c r="H3663" s="388" t="str">
        <f t="shared" ca="1" si="209"/>
        <v/>
      </c>
      <c r="I3663" s="388" t="str">
        <f t="shared" ca="1" si="210"/>
        <v/>
      </c>
    </row>
    <row r="3664" spans="1:9" x14ac:dyDescent="0.3">
      <c r="A3664" s="384" t="b">
        <f t="shared" ca="1" si="208"/>
        <v>0</v>
      </c>
      <c r="B3664" s="393" t="str">
        <f ca="1">IF(COUNTA(G$2863:G3663)=1,"",OFFSET(B3664,-COUNTA(G$2863:G3663)+1,0))</f>
        <v>a1bDm000000Y7q2IAC</v>
      </c>
      <c r="C3664" s="389">
        <f ca="1">IF(COUNTA(G$2863:G3663)=1,"",OFFSET(C3664,-COUNTA(G$2863:G3663)+1,0))</f>
        <v>54</v>
      </c>
      <c r="D3664" s="384">
        <f t="shared" si="211"/>
        <v>319</v>
      </c>
      <c r="E3664" s="384">
        <f t="shared" ca="1" si="212"/>
        <v>1</v>
      </c>
      <c r="F3664" s="384">
        <f t="shared" ca="1" si="213"/>
        <v>62</v>
      </c>
      <c r="G3664" s="384"/>
      <c r="H3664" s="388" t="str">
        <f t="shared" ca="1" si="209"/>
        <v/>
      </c>
      <c r="I3664" s="388" t="str">
        <f t="shared" ca="1" si="210"/>
        <v/>
      </c>
    </row>
    <row r="3665" spans="1:9" x14ac:dyDescent="0.3">
      <c r="A3665" s="384" t="b">
        <f t="shared" ca="1" si="208"/>
        <v>0</v>
      </c>
      <c r="B3665" s="393" t="str">
        <f ca="1">IF(COUNTA(G$2863:G3664)=1,"",OFFSET(B3665,-COUNTA(G$2863:G3664)+1,0))</f>
        <v>a1bDm000000Y7rKIAS</v>
      </c>
      <c r="C3665" s="389">
        <f ca="1">IF(COUNTA(G$2863:G3664)=1,"",OFFSET(C3665,-COUNTA(G$2863:G3664)+1,0))</f>
        <v>54</v>
      </c>
      <c r="D3665" s="384">
        <f t="shared" si="211"/>
        <v>320</v>
      </c>
      <c r="E3665" s="384">
        <f t="shared" ca="1" si="212"/>
        <v>2</v>
      </c>
      <c r="F3665" s="384">
        <f t="shared" ca="1" si="213"/>
        <v>62</v>
      </c>
      <c r="G3665" s="384"/>
      <c r="H3665" s="388" t="str">
        <f t="shared" ca="1" si="209"/>
        <v/>
      </c>
      <c r="I3665" s="388" t="str">
        <f t="shared" ca="1" si="210"/>
        <v/>
      </c>
    </row>
    <row r="3666" spans="1:9" x14ac:dyDescent="0.3">
      <c r="A3666" s="384" t="b">
        <f t="shared" ref="A3666:A3729" ca="1" si="214">IF(OR(AND(H3666&lt;&gt;"", H3666&lt;&gt;0), AND(I3666&lt;&gt;"",I3666&lt;&gt;0)),TRUE,FALSE)</f>
        <v>0</v>
      </c>
      <c r="B3666" s="393" t="str">
        <f ca="1">IF(COUNTA(G$2863:G3665)=1,"",OFFSET(B3666,-COUNTA(G$2863:G3665)+1,0))</f>
        <v>a1bDm000000Y7scIAC</v>
      </c>
      <c r="C3666" s="389">
        <f ca="1">IF(COUNTA(G$2863:G3665)=1,"",OFFSET(C3666,-COUNTA(G$2863:G3665)+1,0))</f>
        <v>54</v>
      </c>
      <c r="D3666" s="384">
        <f t="shared" si="211"/>
        <v>321</v>
      </c>
      <c r="E3666" s="384">
        <f t="shared" ca="1" si="212"/>
        <v>3</v>
      </c>
      <c r="F3666" s="384">
        <f t="shared" ca="1" si="213"/>
        <v>62</v>
      </c>
      <c r="G3666" s="384"/>
      <c r="H3666" s="388" t="str">
        <f t="shared" ref="H3666:H3729" ca="1" si="215">CHOOSE(E3666,IFERROR(IF(INDIRECT("'WPTM - Section F'!H"&amp;F3666)=0,"",INDIRECT("'WPTM - Section F'!H"&amp;$F3666)),""),IFERROR(IF(INDIRECT("'WPTM - Section F'!J"&amp;F3666)=0,"",INDIRECT("'WPTM - Section F'!J"&amp;$F3666)),""),IFERROR(IF(INDIRECT("'WPTM - Section F'!L"&amp;F3666)=0,"",INDIRECT("'WPTM - Section F'!L"&amp;$F3666)),""),IFERROR(IF(INDIRECT("'WPTM - Section F'!N"&amp;F3666)=0,"",INDIRECT("'WPTM - Section F'!N"&amp;$F3666)),""),IFERROR(IF(INDIRECT("'WPTM - Section F'!P"&amp;F3666)=0,"",INDIRECT("'WPTM - Section F'!P"&amp;$F3666)),""),IFERROR(IF(INDIRECT("'WPTM - Section F'!R"&amp;F3666)=0,"",INDIRECT("'WPTM - Section F'!R"&amp;$F3666)),""),IFERROR(IF(INDIRECT("'WPTM - Section F'!T"&amp;F3666)=0,"",INDIRECT("'WPTM - Section F'!T"&amp;$F3666)),""),IFERROR(IF(INDIRECT("'WPTM - Section F'!V"&amp;F3666)=0,"",INDIRECT("'WPTM - Section F'!V"&amp;$F3666)),""),)</f>
        <v/>
      </c>
      <c r="I3666" s="388" t="str">
        <f t="shared" ref="I3666:I3729" ca="1" si="216">CHOOSE(E3666,IFERROR(IF(INDIRECT("'WPTM - Section F'!G"&amp;F3666)=0,"",INDIRECT("'WPTM - Section F'!G"&amp;$F3666)),""),IFERROR(IF(INDIRECT("'WPTM - Section F'!I"&amp;F3666)=0,"",INDIRECT("'WPTM - Section F'!I"&amp;$F3666)),""),IFERROR(IF(INDIRECT("'WPTM - Section F'!K"&amp;F3666)=0,"",INDIRECT("'WPTM - Section F'!K"&amp;$F3666)),""),IFERROR(IF(INDIRECT("'WPTM - Section F'!M"&amp;F3666)=0,"",INDIRECT("'WPTM - Section F'!M"&amp;$F3666)),""),IFERROR(IF(INDIRECT("'WPTM - Section F'!O"&amp;F3666)=0,"",INDIRECT("'WPTM - Section F'!O"&amp;$F3666)),""),IFERROR(IF(INDIRECT("'WPTM - Section F'!Q"&amp;F3666)=0,"",INDIRECT("'WPTM - Section F'!Q"&amp;$F3666)),""),IFERROR(IF(INDIRECT("'WPTM - Section F'!S"&amp;F3666)=0,"",INDIRECT("'WPTM - Section F'!S"&amp;$F3666)),""),IFERROR(IF(INDIRECT("'WPTM - Section F'!U"&amp;F3666)=0,"",INDIRECT("'WPTM - Section F'!U"&amp;$F3666)),""),)</f>
        <v/>
      </c>
    </row>
    <row r="3667" spans="1:9" x14ac:dyDescent="0.3">
      <c r="A3667" s="384" t="b">
        <f t="shared" ca="1" si="214"/>
        <v>0</v>
      </c>
      <c r="B3667" s="393" t="str">
        <f ca="1">IF(COUNTA(G$2863:G3666)=1,"",OFFSET(B3667,-COUNTA(G$2863:G3666)+1,0))</f>
        <v>a1bDm000000Y7tuIAC</v>
      </c>
      <c r="C3667" s="389">
        <f ca="1">IF(COUNTA(G$2863:G3666)=1,"",OFFSET(C3667,-COUNTA(G$2863:G3666)+1,0))</f>
        <v>54</v>
      </c>
      <c r="D3667" s="384">
        <f t="shared" si="211"/>
        <v>322</v>
      </c>
      <c r="E3667" s="384">
        <f t="shared" ca="1" si="212"/>
        <v>4</v>
      </c>
      <c r="F3667" s="384">
        <f t="shared" ca="1" si="213"/>
        <v>62</v>
      </c>
      <c r="G3667" s="384"/>
      <c r="H3667" s="388" t="str">
        <f t="shared" ca="1" si="215"/>
        <v/>
      </c>
      <c r="I3667" s="388" t="str">
        <f t="shared" ca="1" si="216"/>
        <v/>
      </c>
    </row>
    <row r="3668" spans="1:9" x14ac:dyDescent="0.3">
      <c r="A3668" s="384" t="b">
        <f t="shared" ca="1" si="214"/>
        <v>0</v>
      </c>
      <c r="B3668" s="393" t="str">
        <f ca="1">IF(COUNTA(G$2863:G3667)=1,"",OFFSET(B3668,-COUNTA(G$2863:G3667)+1,0))</f>
        <v>a1bDm000000Y7vCIAS</v>
      </c>
      <c r="C3668" s="389">
        <f ca="1">IF(COUNTA(G$2863:G3667)=1,"",OFFSET(C3668,-COUNTA(G$2863:G3667)+1,0))</f>
        <v>54</v>
      </c>
      <c r="D3668" s="384">
        <f t="shared" si="211"/>
        <v>323</v>
      </c>
      <c r="E3668" s="384">
        <f t="shared" ca="1" si="212"/>
        <v>5</v>
      </c>
      <c r="F3668" s="384">
        <f t="shared" ca="1" si="213"/>
        <v>62</v>
      </c>
      <c r="G3668" s="384"/>
      <c r="H3668" s="388" t="str">
        <f t="shared" ca="1" si="215"/>
        <v/>
      </c>
      <c r="I3668" s="388" t="str">
        <f t="shared" ca="1" si="216"/>
        <v/>
      </c>
    </row>
    <row r="3669" spans="1:9" x14ac:dyDescent="0.3">
      <c r="A3669" s="384" t="b">
        <f t="shared" ca="1" si="214"/>
        <v>0</v>
      </c>
      <c r="B3669" s="393" t="str">
        <f ca="1">IF(COUNTA(G$2863:G3668)=1,"",OFFSET(B3669,-COUNTA(G$2863:G3668)+1,0))</f>
        <v>a1bDm000000Y7wUIAS</v>
      </c>
      <c r="C3669" s="389">
        <f ca="1">IF(COUNTA(G$2863:G3668)=1,"",OFFSET(C3669,-COUNTA(G$2863:G3668)+1,0))</f>
        <v>54</v>
      </c>
      <c r="D3669" s="384">
        <f t="shared" si="211"/>
        <v>324</v>
      </c>
      <c r="E3669" s="384">
        <f t="shared" ca="1" si="212"/>
        <v>6</v>
      </c>
      <c r="F3669" s="384">
        <f t="shared" ca="1" si="213"/>
        <v>62</v>
      </c>
      <c r="G3669" s="384"/>
      <c r="H3669" s="388" t="str">
        <f t="shared" ca="1" si="215"/>
        <v/>
      </c>
      <c r="I3669" s="388" t="str">
        <f t="shared" ca="1" si="216"/>
        <v/>
      </c>
    </row>
    <row r="3670" spans="1:9" x14ac:dyDescent="0.3">
      <c r="A3670" s="384" t="b">
        <f t="shared" ca="1" si="214"/>
        <v>0</v>
      </c>
      <c r="B3670" s="393" t="str">
        <f ca="1">IF(COUNTA(G$2863:G3669)=1,"",OFFSET(B3670,-COUNTA(G$2863:G3669)+1,0))</f>
        <v>a1bDm000000Y7q3IAC</v>
      </c>
      <c r="C3670" s="389">
        <f ca="1">IF(COUNTA(G$2863:G3669)=1,"",OFFSET(C3670,-COUNTA(G$2863:G3669)+1,0))</f>
        <v>55</v>
      </c>
      <c r="D3670" s="384">
        <f t="shared" si="211"/>
        <v>325</v>
      </c>
      <c r="E3670" s="384">
        <f t="shared" ca="1" si="212"/>
        <v>1</v>
      </c>
      <c r="F3670" s="384">
        <f t="shared" ca="1" si="213"/>
        <v>63</v>
      </c>
      <c r="G3670" s="384"/>
      <c r="H3670" s="388" t="str">
        <f t="shared" ca="1" si="215"/>
        <v/>
      </c>
      <c r="I3670" s="388" t="str">
        <f t="shared" ca="1" si="216"/>
        <v/>
      </c>
    </row>
    <row r="3671" spans="1:9" x14ac:dyDescent="0.3">
      <c r="A3671" s="384" t="b">
        <f t="shared" ca="1" si="214"/>
        <v>0</v>
      </c>
      <c r="B3671" s="393" t="str">
        <f ca="1">IF(COUNTA(G$2863:G3670)=1,"",OFFSET(B3671,-COUNTA(G$2863:G3670)+1,0))</f>
        <v>a1bDm000000Y7rLIAS</v>
      </c>
      <c r="C3671" s="389">
        <f ca="1">IF(COUNTA(G$2863:G3670)=1,"",OFFSET(C3671,-COUNTA(G$2863:G3670)+1,0))</f>
        <v>55</v>
      </c>
      <c r="D3671" s="384">
        <f t="shared" si="211"/>
        <v>326</v>
      </c>
      <c r="E3671" s="384">
        <f t="shared" ca="1" si="212"/>
        <v>2</v>
      </c>
      <c r="F3671" s="384">
        <f t="shared" ca="1" si="213"/>
        <v>63</v>
      </c>
      <c r="G3671" s="384"/>
      <c r="H3671" s="388" t="str">
        <f t="shared" ca="1" si="215"/>
        <v/>
      </c>
      <c r="I3671" s="388" t="str">
        <f t="shared" ca="1" si="216"/>
        <v/>
      </c>
    </row>
    <row r="3672" spans="1:9" x14ac:dyDescent="0.3">
      <c r="A3672" s="384" t="b">
        <f t="shared" ca="1" si="214"/>
        <v>0</v>
      </c>
      <c r="B3672" s="393" t="str">
        <f ca="1">IF(COUNTA(G$2863:G3671)=1,"",OFFSET(B3672,-COUNTA(G$2863:G3671)+1,0))</f>
        <v>a1bDm000000Y7sdIAC</v>
      </c>
      <c r="C3672" s="389">
        <f ca="1">IF(COUNTA(G$2863:G3671)=1,"",OFFSET(C3672,-COUNTA(G$2863:G3671)+1,0))</f>
        <v>55</v>
      </c>
      <c r="D3672" s="384">
        <f t="shared" si="211"/>
        <v>327</v>
      </c>
      <c r="E3672" s="384">
        <f t="shared" ca="1" si="212"/>
        <v>3</v>
      </c>
      <c r="F3672" s="384">
        <f t="shared" ca="1" si="213"/>
        <v>63</v>
      </c>
      <c r="G3672" s="384"/>
      <c r="H3672" s="388" t="str">
        <f t="shared" ca="1" si="215"/>
        <v/>
      </c>
      <c r="I3672" s="388" t="str">
        <f t="shared" ca="1" si="216"/>
        <v/>
      </c>
    </row>
    <row r="3673" spans="1:9" x14ac:dyDescent="0.3">
      <c r="A3673" s="384" t="b">
        <f t="shared" ca="1" si="214"/>
        <v>0</v>
      </c>
      <c r="B3673" s="393" t="str">
        <f ca="1">IF(COUNTA(G$2863:G3672)=1,"",OFFSET(B3673,-COUNTA(G$2863:G3672)+1,0))</f>
        <v>a1bDm000000Y7tvIAC</v>
      </c>
      <c r="C3673" s="389">
        <f ca="1">IF(COUNTA(G$2863:G3672)=1,"",OFFSET(C3673,-COUNTA(G$2863:G3672)+1,0))</f>
        <v>55</v>
      </c>
      <c r="D3673" s="384">
        <f t="shared" si="211"/>
        <v>328</v>
      </c>
      <c r="E3673" s="384">
        <f t="shared" ca="1" si="212"/>
        <v>4</v>
      </c>
      <c r="F3673" s="384">
        <f t="shared" ca="1" si="213"/>
        <v>63</v>
      </c>
      <c r="G3673" s="384"/>
      <c r="H3673" s="388" t="str">
        <f t="shared" ca="1" si="215"/>
        <v/>
      </c>
      <c r="I3673" s="388" t="str">
        <f t="shared" ca="1" si="216"/>
        <v/>
      </c>
    </row>
    <row r="3674" spans="1:9" x14ac:dyDescent="0.3">
      <c r="A3674" s="384" t="b">
        <f t="shared" ca="1" si="214"/>
        <v>0</v>
      </c>
      <c r="B3674" s="393" t="str">
        <f ca="1">IF(COUNTA(G$2863:G3673)=1,"",OFFSET(B3674,-COUNTA(G$2863:G3673)+1,0))</f>
        <v>a1bDm000000Y7vDIAS</v>
      </c>
      <c r="C3674" s="389">
        <f ca="1">IF(COUNTA(G$2863:G3673)=1,"",OFFSET(C3674,-COUNTA(G$2863:G3673)+1,0))</f>
        <v>55</v>
      </c>
      <c r="D3674" s="384">
        <f t="shared" si="211"/>
        <v>329</v>
      </c>
      <c r="E3674" s="384">
        <f t="shared" ca="1" si="212"/>
        <v>5</v>
      </c>
      <c r="F3674" s="384">
        <f t="shared" ca="1" si="213"/>
        <v>63</v>
      </c>
      <c r="G3674" s="384"/>
      <c r="H3674" s="388" t="str">
        <f t="shared" ca="1" si="215"/>
        <v/>
      </c>
      <c r="I3674" s="388" t="str">
        <f t="shared" ca="1" si="216"/>
        <v/>
      </c>
    </row>
    <row r="3675" spans="1:9" x14ac:dyDescent="0.3">
      <c r="A3675" s="384" t="b">
        <f t="shared" ca="1" si="214"/>
        <v>0</v>
      </c>
      <c r="B3675" s="393" t="str">
        <f ca="1">IF(COUNTA(G$2863:G3674)=1,"",OFFSET(B3675,-COUNTA(G$2863:G3674)+1,0))</f>
        <v>a1bDm000000Y7wVIAS</v>
      </c>
      <c r="C3675" s="389">
        <f ca="1">IF(COUNTA(G$2863:G3674)=1,"",OFFSET(C3675,-COUNTA(G$2863:G3674)+1,0))</f>
        <v>55</v>
      </c>
      <c r="D3675" s="384">
        <f t="shared" si="211"/>
        <v>330</v>
      </c>
      <c r="E3675" s="384">
        <f t="shared" ca="1" si="212"/>
        <v>6</v>
      </c>
      <c r="F3675" s="384">
        <f t="shared" ca="1" si="213"/>
        <v>63</v>
      </c>
      <c r="G3675" s="384"/>
      <c r="H3675" s="388" t="str">
        <f t="shared" ca="1" si="215"/>
        <v/>
      </c>
      <c r="I3675" s="388" t="str">
        <f t="shared" ca="1" si="216"/>
        <v/>
      </c>
    </row>
    <row r="3676" spans="1:9" x14ac:dyDescent="0.3">
      <c r="A3676" s="384" t="b">
        <f t="shared" ca="1" si="214"/>
        <v>0</v>
      </c>
      <c r="B3676" s="393" t="str">
        <f ca="1">IF(COUNTA(G$2863:G3675)=1,"",OFFSET(B3676,-COUNTA(G$2863:G3675)+1,0))</f>
        <v>a1bDm000000Y7q4IAC</v>
      </c>
      <c r="C3676" s="389">
        <f ca="1">IF(COUNTA(G$2863:G3675)=1,"",OFFSET(C3676,-COUNTA(G$2863:G3675)+1,0))</f>
        <v>56</v>
      </c>
      <c r="D3676" s="384">
        <f t="shared" si="211"/>
        <v>331</v>
      </c>
      <c r="E3676" s="384">
        <f t="shared" ca="1" si="212"/>
        <v>1</v>
      </c>
      <c r="F3676" s="384">
        <f t="shared" ca="1" si="213"/>
        <v>64</v>
      </c>
      <c r="G3676" s="384"/>
      <c r="H3676" s="388" t="str">
        <f t="shared" ca="1" si="215"/>
        <v/>
      </c>
      <c r="I3676" s="388" t="str">
        <f t="shared" ca="1" si="216"/>
        <v/>
      </c>
    </row>
    <row r="3677" spans="1:9" x14ac:dyDescent="0.3">
      <c r="A3677" s="384" t="b">
        <f t="shared" ca="1" si="214"/>
        <v>0</v>
      </c>
      <c r="B3677" s="393" t="str">
        <f ca="1">IF(COUNTA(G$2863:G3676)=1,"",OFFSET(B3677,-COUNTA(G$2863:G3676)+1,0))</f>
        <v>a1bDm000000Y7rMIAS</v>
      </c>
      <c r="C3677" s="389">
        <f ca="1">IF(COUNTA(G$2863:G3676)=1,"",OFFSET(C3677,-COUNTA(G$2863:G3676)+1,0))</f>
        <v>56</v>
      </c>
      <c r="D3677" s="384">
        <f t="shared" si="211"/>
        <v>332</v>
      </c>
      <c r="E3677" s="384">
        <f t="shared" ca="1" si="212"/>
        <v>2</v>
      </c>
      <c r="F3677" s="384">
        <f t="shared" ca="1" si="213"/>
        <v>64</v>
      </c>
      <c r="G3677" s="384"/>
      <c r="H3677" s="388" t="str">
        <f t="shared" ca="1" si="215"/>
        <v/>
      </c>
      <c r="I3677" s="388" t="str">
        <f t="shared" ca="1" si="216"/>
        <v/>
      </c>
    </row>
    <row r="3678" spans="1:9" x14ac:dyDescent="0.3">
      <c r="A3678" s="384" t="b">
        <f t="shared" ca="1" si="214"/>
        <v>0</v>
      </c>
      <c r="B3678" s="393" t="str">
        <f ca="1">IF(COUNTA(G$2863:G3677)=1,"",OFFSET(B3678,-COUNTA(G$2863:G3677)+1,0))</f>
        <v>a1bDm000000Y7seIAC</v>
      </c>
      <c r="C3678" s="389">
        <f ca="1">IF(COUNTA(G$2863:G3677)=1,"",OFFSET(C3678,-COUNTA(G$2863:G3677)+1,0))</f>
        <v>56</v>
      </c>
      <c r="D3678" s="384">
        <f t="shared" si="211"/>
        <v>333</v>
      </c>
      <c r="E3678" s="384">
        <f t="shared" ca="1" si="212"/>
        <v>3</v>
      </c>
      <c r="F3678" s="384">
        <f t="shared" ca="1" si="213"/>
        <v>64</v>
      </c>
      <c r="G3678" s="384"/>
      <c r="H3678" s="388" t="str">
        <f t="shared" ca="1" si="215"/>
        <v/>
      </c>
      <c r="I3678" s="388" t="str">
        <f t="shared" ca="1" si="216"/>
        <v/>
      </c>
    </row>
    <row r="3679" spans="1:9" x14ac:dyDescent="0.3">
      <c r="A3679" s="384" t="b">
        <f t="shared" ca="1" si="214"/>
        <v>0</v>
      </c>
      <c r="B3679" s="393" t="str">
        <f ca="1">IF(COUNTA(G$2863:G3678)=1,"",OFFSET(B3679,-COUNTA(G$2863:G3678)+1,0))</f>
        <v>a1bDm000000Y7twIAC</v>
      </c>
      <c r="C3679" s="389">
        <f ca="1">IF(COUNTA(G$2863:G3678)=1,"",OFFSET(C3679,-COUNTA(G$2863:G3678)+1,0))</f>
        <v>56</v>
      </c>
      <c r="D3679" s="384">
        <f t="shared" si="211"/>
        <v>334</v>
      </c>
      <c r="E3679" s="384">
        <f t="shared" ca="1" si="212"/>
        <v>4</v>
      </c>
      <c r="F3679" s="384">
        <f t="shared" ca="1" si="213"/>
        <v>64</v>
      </c>
      <c r="G3679" s="384"/>
      <c r="H3679" s="388" t="str">
        <f t="shared" ca="1" si="215"/>
        <v/>
      </c>
      <c r="I3679" s="388" t="str">
        <f t="shared" ca="1" si="216"/>
        <v/>
      </c>
    </row>
    <row r="3680" spans="1:9" x14ac:dyDescent="0.3">
      <c r="A3680" s="384" t="b">
        <f t="shared" ca="1" si="214"/>
        <v>0</v>
      </c>
      <c r="B3680" s="393" t="str">
        <f ca="1">IF(COUNTA(G$2863:G3679)=1,"",OFFSET(B3680,-COUNTA(G$2863:G3679)+1,0))</f>
        <v>a1bDm000000Y7vEIAS</v>
      </c>
      <c r="C3680" s="389">
        <f ca="1">IF(COUNTA(G$2863:G3679)=1,"",OFFSET(C3680,-COUNTA(G$2863:G3679)+1,0))</f>
        <v>56</v>
      </c>
      <c r="D3680" s="384">
        <f t="shared" si="211"/>
        <v>335</v>
      </c>
      <c r="E3680" s="384">
        <f t="shared" ca="1" si="212"/>
        <v>5</v>
      </c>
      <c r="F3680" s="384">
        <f t="shared" ca="1" si="213"/>
        <v>64</v>
      </c>
      <c r="G3680" s="384"/>
      <c r="H3680" s="388" t="str">
        <f t="shared" ca="1" si="215"/>
        <v/>
      </c>
      <c r="I3680" s="388" t="str">
        <f t="shared" ca="1" si="216"/>
        <v/>
      </c>
    </row>
    <row r="3681" spans="1:9" x14ac:dyDescent="0.3">
      <c r="A3681" s="384" t="b">
        <f t="shared" ca="1" si="214"/>
        <v>0</v>
      </c>
      <c r="B3681" s="393" t="str">
        <f ca="1">IF(COUNTA(G$2863:G3680)=1,"",OFFSET(B3681,-COUNTA(G$2863:G3680)+1,0))</f>
        <v>a1bDm000000Y7wWIAS</v>
      </c>
      <c r="C3681" s="389">
        <f ca="1">IF(COUNTA(G$2863:G3680)=1,"",OFFSET(C3681,-COUNTA(G$2863:G3680)+1,0))</f>
        <v>56</v>
      </c>
      <c r="D3681" s="384">
        <f t="shared" si="211"/>
        <v>336</v>
      </c>
      <c r="E3681" s="384">
        <f t="shared" ca="1" si="212"/>
        <v>6</v>
      </c>
      <c r="F3681" s="384">
        <f t="shared" ca="1" si="213"/>
        <v>64</v>
      </c>
      <c r="G3681" s="384"/>
      <c r="H3681" s="388" t="str">
        <f t="shared" ca="1" si="215"/>
        <v/>
      </c>
      <c r="I3681" s="388" t="str">
        <f t="shared" ca="1" si="216"/>
        <v/>
      </c>
    </row>
    <row r="3682" spans="1:9" x14ac:dyDescent="0.3">
      <c r="A3682" s="384" t="b">
        <f t="shared" ca="1" si="214"/>
        <v>0</v>
      </c>
      <c r="B3682" s="393" t="str">
        <f ca="1">IF(COUNTA(G$2863:G3681)=1,"",OFFSET(B3682,-COUNTA(G$2863:G3681)+1,0))</f>
        <v>a1bDm000000Y7q5IAC</v>
      </c>
      <c r="C3682" s="389">
        <f ca="1">IF(COUNTA(G$2863:G3681)=1,"",OFFSET(C3682,-COUNTA(G$2863:G3681)+1,0))</f>
        <v>57</v>
      </c>
      <c r="D3682" s="384">
        <f t="shared" si="211"/>
        <v>337</v>
      </c>
      <c r="E3682" s="384">
        <f t="shared" ca="1" si="212"/>
        <v>1</v>
      </c>
      <c r="F3682" s="384">
        <f t="shared" ca="1" si="213"/>
        <v>65</v>
      </c>
      <c r="G3682" s="384"/>
      <c r="H3682" s="388" t="str">
        <f t="shared" ca="1" si="215"/>
        <v/>
      </c>
      <c r="I3682" s="388" t="str">
        <f t="shared" ca="1" si="216"/>
        <v/>
      </c>
    </row>
    <row r="3683" spans="1:9" x14ac:dyDescent="0.3">
      <c r="A3683" s="384" t="b">
        <f t="shared" ca="1" si="214"/>
        <v>0</v>
      </c>
      <c r="B3683" s="393" t="str">
        <f ca="1">IF(COUNTA(G$2863:G3682)=1,"",OFFSET(B3683,-COUNTA(G$2863:G3682)+1,0))</f>
        <v>a1bDm000000Y7rNIAS</v>
      </c>
      <c r="C3683" s="389">
        <f ca="1">IF(COUNTA(G$2863:G3682)=1,"",OFFSET(C3683,-COUNTA(G$2863:G3682)+1,0))</f>
        <v>57</v>
      </c>
      <c r="D3683" s="384">
        <f t="shared" si="211"/>
        <v>338</v>
      </c>
      <c r="E3683" s="384">
        <f t="shared" ca="1" si="212"/>
        <v>2</v>
      </c>
      <c r="F3683" s="384">
        <f t="shared" ca="1" si="213"/>
        <v>65</v>
      </c>
      <c r="G3683" s="384"/>
      <c r="H3683" s="388" t="str">
        <f t="shared" ca="1" si="215"/>
        <v/>
      </c>
      <c r="I3683" s="388" t="str">
        <f t="shared" ca="1" si="216"/>
        <v/>
      </c>
    </row>
    <row r="3684" spans="1:9" x14ac:dyDescent="0.3">
      <c r="A3684" s="384" t="b">
        <f t="shared" ca="1" si="214"/>
        <v>0</v>
      </c>
      <c r="B3684" s="393" t="str">
        <f ca="1">IF(COUNTA(G$2863:G3683)=1,"",OFFSET(B3684,-COUNTA(G$2863:G3683)+1,0))</f>
        <v>a1bDm000000Y7sfIAC</v>
      </c>
      <c r="C3684" s="389">
        <f ca="1">IF(COUNTA(G$2863:G3683)=1,"",OFFSET(C3684,-COUNTA(G$2863:G3683)+1,0))</f>
        <v>57</v>
      </c>
      <c r="D3684" s="384">
        <f t="shared" si="211"/>
        <v>339</v>
      </c>
      <c r="E3684" s="384">
        <f t="shared" ca="1" si="212"/>
        <v>3</v>
      </c>
      <c r="F3684" s="384">
        <f t="shared" ca="1" si="213"/>
        <v>65</v>
      </c>
      <c r="G3684" s="384"/>
      <c r="H3684" s="388" t="str">
        <f t="shared" ca="1" si="215"/>
        <v/>
      </c>
      <c r="I3684" s="388" t="str">
        <f t="shared" ca="1" si="216"/>
        <v/>
      </c>
    </row>
    <row r="3685" spans="1:9" x14ac:dyDescent="0.3">
      <c r="A3685" s="384" t="b">
        <f t="shared" ca="1" si="214"/>
        <v>0</v>
      </c>
      <c r="B3685" s="393" t="str">
        <f ca="1">IF(COUNTA(G$2863:G3684)=1,"",OFFSET(B3685,-COUNTA(G$2863:G3684)+1,0))</f>
        <v>a1bDm000000Y7txIAC</v>
      </c>
      <c r="C3685" s="389">
        <f ca="1">IF(COUNTA(G$2863:G3684)=1,"",OFFSET(C3685,-COUNTA(G$2863:G3684)+1,0))</f>
        <v>57</v>
      </c>
      <c r="D3685" s="384">
        <f t="shared" si="211"/>
        <v>340</v>
      </c>
      <c r="E3685" s="384">
        <f t="shared" ca="1" si="212"/>
        <v>4</v>
      </c>
      <c r="F3685" s="384">
        <f t="shared" ca="1" si="213"/>
        <v>65</v>
      </c>
      <c r="G3685" s="384"/>
      <c r="H3685" s="388" t="str">
        <f t="shared" ca="1" si="215"/>
        <v/>
      </c>
      <c r="I3685" s="388" t="str">
        <f t="shared" ca="1" si="216"/>
        <v/>
      </c>
    </row>
    <row r="3686" spans="1:9" x14ac:dyDescent="0.3">
      <c r="A3686" s="384" t="b">
        <f t="shared" ca="1" si="214"/>
        <v>0</v>
      </c>
      <c r="B3686" s="393" t="str">
        <f ca="1">IF(COUNTA(G$2863:G3685)=1,"",OFFSET(B3686,-COUNTA(G$2863:G3685)+1,0))</f>
        <v>a1bDm000000Y7vFIAS</v>
      </c>
      <c r="C3686" s="389">
        <f ca="1">IF(COUNTA(G$2863:G3685)=1,"",OFFSET(C3686,-COUNTA(G$2863:G3685)+1,0))</f>
        <v>57</v>
      </c>
      <c r="D3686" s="384">
        <f t="shared" si="211"/>
        <v>341</v>
      </c>
      <c r="E3686" s="384">
        <f t="shared" ca="1" si="212"/>
        <v>5</v>
      </c>
      <c r="F3686" s="384">
        <f t="shared" ca="1" si="213"/>
        <v>65</v>
      </c>
      <c r="G3686" s="384"/>
      <c r="H3686" s="388" t="str">
        <f t="shared" ca="1" si="215"/>
        <v/>
      </c>
      <c r="I3686" s="388" t="str">
        <f t="shared" ca="1" si="216"/>
        <v/>
      </c>
    </row>
    <row r="3687" spans="1:9" x14ac:dyDescent="0.3">
      <c r="A3687" s="384" t="b">
        <f t="shared" ca="1" si="214"/>
        <v>0</v>
      </c>
      <c r="B3687" s="393" t="str">
        <f ca="1">IF(COUNTA(G$2863:G3686)=1,"",OFFSET(B3687,-COUNTA(G$2863:G3686)+1,0))</f>
        <v>a1bDm000000Y7wXIAS</v>
      </c>
      <c r="C3687" s="389">
        <f ca="1">IF(COUNTA(G$2863:G3686)=1,"",OFFSET(C3687,-COUNTA(G$2863:G3686)+1,0))</f>
        <v>57</v>
      </c>
      <c r="D3687" s="384">
        <f t="shared" si="211"/>
        <v>342</v>
      </c>
      <c r="E3687" s="384">
        <f t="shared" ca="1" si="212"/>
        <v>6</v>
      </c>
      <c r="F3687" s="384">
        <f t="shared" ca="1" si="213"/>
        <v>65</v>
      </c>
      <c r="G3687" s="384"/>
      <c r="H3687" s="388" t="str">
        <f t="shared" ca="1" si="215"/>
        <v/>
      </c>
      <c r="I3687" s="388" t="str">
        <f t="shared" ca="1" si="216"/>
        <v/>
      </c>
    </row>
    <row r="3688" spans="1:9" x14ac:dyDescent="0.3">
      <c r="A3688" s="384" t="b">
        <f t="shared" ca="1" si="214"/>
        <v>0</v>
      </c>
      <c r="B3688" s="393" t="str">
        <f ca="1">IF(COUNTA(G$2863:G3687)=1,"",OFFSET(B3688,-COUNTA(G$2863:G3687)+1,0))</f>
        <v>a1bDm000000Y7q6IAC</v>
      </c>
      <c r="C3688" s="389">
        <f ca="1">IF(COUNTA(G$2863:G3687)=1,"",OFFSET(C3688,-COUNTA(G$2863:G3687)+1,0))</f>
        <v>58</v>
      </c>
      <c r="D3688" s="384">
        <f t="shared" si="211"/>
        <v>343</v>
      </c>
      <c r="E3688" s="384">
        <f t="shared" ca="1" si="212"/>
        <v>1</v>
      </c>
      <c r="F3688" s="384">
        <f t="shared" ca="1" si="213"/>
        <v>66</v>
      </c>
      <c r="G3688" s="384"/>
      <c r="H3688" s="388" t="str">
        <f t="shared" ca="1" si="215"/>
        <v/>
      </c>
      <c r="I3688" s="388" t="str">
        <f t="shared" ca="1" si="216"/>
        <v/>
      </c>
    </row>
    <row r="3689" spans="1:9" x14ac:dyDescent="0.3">
      <c r="A3689" s="384" t="b">
        <f t="shared" ca="1" si="214"/>
        <v>0</v>
      </c>
      <c r="B3689" s="393" t="str">
        <f ca="1">IF(COUNTA(G$2863:G3688)=1,"",OFFSET(B3689,-COUNTA(G$2863:G3688)+1,0))</f>
        <v>a1bDm000000Y7rOIAS</v>
      </c>
      <c r="C3689" s="389">
        <f ca="1">IF(COUNTA(G$2863:G3688)=1,"",OFFSET(C3689,-COUNTA(G$2863:G3688)+1,0))</f>
        <v>58</v>
      </c>
      <c r="D3689" s="384">
        <f t="shared" si="211"/>
        <v>344</v>
      </c>
      <c r="E3689" s="384">
        <f t="shared" ca="1" si="212"/>
        <v>2</v>
      </c>
      <c r="F3689" s="384">
        <f t="shared" ca="1" si="213"/>
        <v>66</v>
      </c>
      <c r="G3689" s="384"/>
      <c r="H3689" s="388" t="str">
        <f t="shared" ca="1" si="215"/>
        <v/>
      </c>
      <c r="I3689" s="388" t="str">
        <f t="shared" ca="1" si="216"/>
        <v/>
      </c>
    </row>
    <row r="3690" spans="1:9" x14ac:dyDescent="0.3">
      <c r="A3690" s="384" t="b">
        <f t="shared" ca="1" si="214"/>
        <v>0</v>
      </c>
      <c r="B3690" s="393" t="str">
        <f ca="1">IF(COUNTA(G$2863:G3689)=1,"",OFFSET(B3690,-COUNTA(G$2863:G3689)+1,0))</f>
        <v>a1bDm000000Y7sgIAC</v>
      </c>
      <c r="C3690" s="389">
        <f ca="1">IF(COUNTA(G$2863:G3689)=1,"",OFFSET(C3690,-COUNTA(G$2863:G3689)+1,0))</f>
        <v>58</v>
      </c>
      <c r="D3690" s="384">
        <f t="shared" si="211"/>
        <v>345</v>
      </c>
      <c r="E3690" s="384">
        <f t="shared" ca="1" si="212"/>
        <v>3</v>
      </c>
      <c r="F3690" s="384">
        <f t="shared" ca="1" si="213"/>
        <v>66</v>
      </c>
      <c r="G3690" s="384"/>
      <c r="H3690" s="388" t="str">
        <f t="shared" ca="1" si="215"/>
        <v/>
      </c>
      <c r="I3690" s="388" t="str">
        <f t="shared" ca="1" si="216"/>
        <v/>
      </c>
    </row>
    <row r="3691" spans="1:9" x14ac:dyDescent="0.3">
      <c r="A3691" s="384" t="b">
        <f t="shared" ca="1" si="214"/>
        <v>0</v>
      </c>
      <c r="B3691" s="393" t="str">
        <f ca="1">IF(COUNTA(G$2863:G3690)=1,"",OFFSET(B3691,-COUNTA(G$2863:G3690)+1,0))</f>
        <v>a1bDm000000Y7tyIAC</v>
      </c>
      <c r="C3691" s="389">
        <f ca="1">IF(COUNTA(G$2863:G3690)=1,"",OFFSET(C3691,-COUNTA(G$2863:G3690)+1,0))</f>
        <v>58</v>
      </c>
      <c r="D3691" s="384">
        <f t="shared" si="211"/>
        <v>346</v>
      </c>
      <c r="E3691" s="384">
        <f t="shared" ca="1" si="212"/>
        <v>4</v>
      </c>
      <c r="F3691" s="384">
        <f t="shared" ca="1" si="213"/>
        <v>66</v>
      </c>
      <c r="G3691" s="384"/>
      <c r="H3691" s="388" t="str">
        <f t="shared" ca="1" si="215"/>
        <v/>
      </c>
      <c r="I3691" s="388" t="str">
        <f t="shared" ca="1" si="216"/>
        <v/>
      </c>
    </row>
    <row r="3692" spans="1:9" x14ac:dyDescent="0.3">
      <c r="A3692" s="384" t="b">
        <f t="shared" ca="1" si="214"/>
        <v>0</v>
      </c>
      <c r="B3692" s="393" t="str">
        <f ca="1">IF(COUNTA(G$2863:G3691)=1,"",OFFSET(B3692,-COUNTA(G$2863:G3691)+1,0))</f>
        <v>a1bDm000000Y7vGIAS</v>
      </c>
      <c r="C3692" s="389">
        <f ca="1">IF(COUNTA(G$2863:G3691)=1,"",OFFSET(C3692,-COUNTA(G$2863:G3691)+1,0))</f>
        <v>58</v>
      </c>
      <c r="D3692" s="384">
        <f t="shared" si="211"/>
        <v>347</v>
      </c>
      <c r="E3692" s="384">
        <f t="shared" ca="1" si="212"/>
        <v>5</v>
      </c>
      <c r="F3692" s="384">
        <f t="shared" ca="1" si="213"/>
        <v>66</v>
      </c>
      <c r="G3692" s="384"/>
      <c r="H3692" s="388" t="str">
        <f t="shared" ca="1" si="215"/>
        <v/>
      </c>
      <c r="I3692" s="388" t="str">
        <f t="shared" ca="1" si="216"/>
        <v/>
      </c>
    </row>
    <row r="3693" spans="1:9" x14ac:dyDescent="0.3">
      <c r="A3693" s="384" t="b">
        <f t="shared" ca="1" si="214"/>
        <v>0</v>
      </c>
      <c r="B3693" s="393" t="str">
        <f ca="1">IF(COUNTA(G$2863:G3692)=1,"",OFFSET(B3693,-COUNTA(G$2863:G3692)+1,0))</f>
        <v>a1bDm000000Y7wYIAS</v>
      </c>
      <c r="C3693" s="389">
        <f ca="1">IF(COUNTA(G$2863:G3692)=1,"",OFFSET(C3693,-COUNTA(G$2863:G3692)+1,0))</f>
        <v>58</v>
      </c>
      <c r="D3693" s="384">
        <f t="shared" si="211"/>
        <v>348</v>
      </c>
      <c r="E3693" s="384">
        <f t="shared" ca="1" si="212"/>
        <v>6</v>
      </c>
      <c r="F3693" s="384">
        <f t="shared" ca="1" si="213"/>
        <v>66</v>
      </c>
      <c r="G3693" s="384"/>
      <c r="H3693" s="388" t="str">
        <f t="shared" ca="1" si="215"/>
        <v/>
      </c>
      <c r="I3693" s="388" t="str">
        <f t="shared" ca="1" si="216"/>
        <v/>
      </c>
    </row>
    <row r="3694" spans="1:9" x14ac:dyDescent="0.3">
      <c r="A3694" s="384" t="b">
        <f t="shared" ca="1" si="214"/>
        <v>0</v>
      </c>
      <c r="B3694" s="393" t="str">
        <f ca="1">IF(COUNTA(G$2863:G3693)=1,"",OFFSET(B3694,-COUNTA(G$2863:G3693)+1,0))</f>
        <v>a1bDm000000Y7q7IAC</v>
      </c>
      <c r="C3694" s="389">
        <f ca="1">IF(COUNTA(G$2863:G3693)=1,"",OFFSET(C3694,-COUNTA(G$2863:G3693)+1,0))</f>
        <v>59</v>
      </c>
      <c r="D3694" s="384">
        <f t="shared" si="211"/>
        <v>349</v>
      </c>
      <c r="E3694" s="384">
        <f t="shared" ca="1" si="212"/>
        <v>1</v>
      </c>
      <c r="F3694" s="384">
        <f t="shared" ca="1" si="213"/>
        <v>67</v>
      </c>
      <c r="G3694" s="384"/>
      <c r="H3694" s="388" t="str">
        <f t="shared" ca="1" si="215"/>
        <v/>
      </c>
      <c r="I3694" s="388" t="str">
        <f t="shared" ca="1" si="216"/>
        <v/>
      </c>
    </row>
    <row r="3695" spans="1:9" x14ac:dyDescent="0.3">
      <c r="A3695" s="384" t="b">
        <f t="shared" ca="1" si="214"/>
        <v>0</v>
      </c>
      <c r="B3695" s="393" t="str">
        <f ca="1">IF(COUNTA(G$2863:G3694)=1,"",OFFSET(B3695,-COUNTA(G$2863:G3694)+1,0))</f>
        <v>a1bDm000000Y7rPIAS</v>
      </c>
      <c r="C3695" s="389">
        <f ca="1">IF(COUNTA(G$2863:G3694)=1,"",OFFSET(C3695,-COUNTA(G$2863:G3694)+1,0))</f>
        <v>59</v>
      </c>
      <c r="D3695" s="384">
        <f t="shared" si="211"/>
        <v>350</v>
      </c>
      <c r="E3695" s="384">
        <f t="shared" ca="1" si="212"/>
        <v>2</v>
      </c>
      <c r="F3695" s="384">
        <f t="shared" ca="1" si="213"/>
        <v>67</v>
      </c>
      <c r="G3695" s="384"/>
      <c r="H3695" s="388" t="str">
        <f t="shared" ca="1" si="215"/>
        <v/>
      </c>
      <c r="I3695" s="388" t="str">
        <f t="shared" ca="1" si="216"/>
        <v/>
      </c>
    </row>
    <row r="3696" spans="1:9" x14ac:dyDescent="0.3">
      <c r="A3696" s="384" t="b">
        <f t="shared" ca="1" si="214"/>
        <v>0</v>
      </c>
      <c r="B3696" s="393" t="str">
        <f ca="1">IF(COUNTA(G$2863:G3695)=1,"",OFFSET(B3696,-COUNTA(G$2863:G3695)+1,0))</f>
        <v>a1bDm000000Y7shIAC</v>
      </c>
      <c r="C3696" s="389">
        <f ca="1">IF(COUNTA(G$2863:G3695)=1,"",OFFSET(C3696,-COUNTA(G$2863:G3695)+1,0))</f>
        <v>59</v>
      </c>
      <c r="D3696" s="384">
        <f t="shared" si="211"/>
        <v>351</v>
      </c>
      <c r="E3696" s="384">
        <f t="shared" ca="1" si="212"/>
        <v>3</v>
      </c>
      <c r="F3696" s="384">
        <f t="shared" ca="1" si="213"/>
        <v>67</v>
      </c>
      <c r="G3696" s="384"/>
      <c r="H3696" s="388" t="str">
        <f t="shared" ca="1" si="215"/>
        <v/>
      </c>
      <c r="I3696" s="388" t="str">
        <f t="shared" ca="1" si="216"/>
        <v/>
      </c>
    </row>
    <row r="3697" spans="1:9" x14ac:dyDescent="0.3">
      <c r="A3697" s="384" t="b">
        <f t="shared" ca="1" si="214"/>
        <v>0</v>
      </c>
      <c r="B3697" s="393" t="str">
        <f ca="1">IF(COUNTA(G$2863:G3696)=1,"",OFFSET(B3697,-COUNTA(G$2863:G3696)+1,0))</f>
        <v>a1bDm000000Y7tzIAC</v>
      </c>
      <c r="C3697" s="389">
        <f ca="1">IF(COUNTA(G$2863:G3696)=1,"",OFFSET(C3697,-COUNTA(G$2863:G3696)+1,0))</f>
        <v>59</v>
      </c>
      <c r="D3697" s="384">
        <f t="shared" si="211"/>
        <v>352</v>
      </c>
      <c r="E3697" s="384">
        <f t="shared" ca="1" si="212"/>
        <v>4</v>
      </c>
      <c r="F3697" s="384">
        <f t="shared" ca="1" si="213"/>
        <v>67</v>
      </c>
      <c r="G3697" s="384"/>
      <c r="H3697" s="388" t="str">
        <f t="shared" ca="1" si="215"/>
        <v/>
      </c>
      <c r="I3697" s="388" t="str">
        <f t="shared" ca="1" si="216"/>
        <v/>
      </c>
    </row>
    <row r="3698" spans="1:9" x14ac:dyDescent="0.3">
      <c r="A3698" s="384" t="b">
        <f t="shared" ca="1" si="214"/>
        <v>0</v>
      </c>
      <c r="B3698" s="393" t="str">
        <f ca="1">IF(COUNTA(G$2863:G3697)=1,"",OFFSET(B3698,-COUNTA(G$2863:G3697)+1,0))</f>
        <v>a1bDm000000Y7vHIAS</v>
      </c>
      <c r="C3698" s="389">
        <f ca="1">IF(COUNTA(G$2863:G3697)=1,"",OFFSET(C3698,-COUNTA(G$2863:G3697)+1,0))</f>
        <v>59</v>
      </c>
      <c r="D3698" s="384">
        <f t="shared" ref="D3698:D3761" si="217">D3697+1</f>
        <v>353</v>
      </c>
      <c r="E3698" s="384">
        <f t="shared" ref="E3698:E3761" ca="1" si="218">COUNTIF(C3528:C3698,C3698)</f>
        <v>5</v>
      </c>
      <c r="F3698" s="384">
        <f t="shared" ref="F3698:F3761" ca="1" si="219">IF(C3698=1,9,IF(E3697=MAX(E3696:E3698),F3696+1,F3697))</f>
        <v>67</v>
      </c>
      <c r="G3698" s="384"/>
      <c r="H3698" s="388" t="str">
        <f t="shared" ca="1" si="215"/>
        <v/>
      </c>
      <c r="I3698" s="388" t="str">
        <f t="shared" ca="1" si="216"/>
        <v/>
      </c>
    </row>
    <row r="3699" spans="1:9" x14ac:dyDescent="0.3">
      <c r="A3699" s="384" t="b">
        <f t="shared" ca="1" si="214"/>
        <v>0</v>
      </c>
      <c r="B3699" s="393" t="str">
        <f ca="1">IF(COUNTA(G$2863:G3698)=1,"",OFFSET(B3699,-COUNTA(G$2863:G3698)+1,0))</f>
        <v>a1bDm000000Y7wZIAS</v>
      </c>
      <c r="C3699" s="389">
        <f ca="1">IF(COUNTA(G$2863:G3698)=1,"",OFFSET(C3699,-COUNTA(G$2863:G3698)+1,0))</f>
        <v>59</v>
      </c>
      <c r="D3699" s="384">
        <f t="shared" si="217"/>
        <v>354</v>
      </c>
      <c r="E3699" s="384">
        <f t="shared" ca="1" si="218"/>
        <v>6</v>
      </c>
      <c r="F3699" s="384">
        <f t="shared" ca="1" si="219"/>
        <v>67</v>
      </c>
      <c r="G3699" s="384"/>
      <c r="H3699" s="388" t="str">
        <f t="shared" ca="1" si="215"/>
        <v/>
      </c>
      <c r="I3699" s="388" t="str">
        <f t="shared" ca="1" si="216"/>
        <v/>
      </c>
    </row>
    <row r="3700" spans="1:9" x14ac:dyDescent="0.3">
      <c r="A3700" s="384" t="b">
        <f t="shared" ca="1" si="214"/>
        <v>0</v>
      </c>
      <c r="B3700" s="393" t="str">
        <f ca="1">IF(COUNTA(G$2863:G3699)=1,"",OFFSET(B3700,-COUNTA(G$2863:G3699)+1,0))</f>
        <v>a1bDm000000Y7q8IAC</v>
      </c>
      <c r="C3700" s="389">
        <f ca="1">IF(COUNTA(G$2863:G3699)=1,"",OFFSET(C3700,-COUNTA(G$2863:G3699)+1,0))</f>
        <v>60</v>
      </c>
      <c r="D3700" s="384">
        <f t="shared" si="217"/>
        <v>355</v>
      </c>
      <c r="E3700" s="384">
        <f t="shared" ca="1" si="218"/>
        <v>1</v>
      </c>
      <c r="F3700" s="384">
        <f t="shared" ca="1" si="219"/>
        <v>68</v>
      </c>
      <c r="G3700" s="384"/>
      <c r="H3700" s="388" t="str">
        <f t="shared" ca="1" si="215"/>
        <v/>
      </c>
      <c r="I3700" s="388" t="str">
        <f t="shared" ca="1" si="216"/>
        <v/>
      </c>
    </row>
    <row r="3701" spans="1:9" x14ac:dyDescent="0.3">
      <c r="A3701" s="384" t="b">
        <f t="shared" ca="1" si="214"/>
        <v>0</v>
      </c>
      <c r="B3701" s="393" t="str">
        <f ca="1">IF(COUNTA(G$2863:G3700)=1,"",OFFSET(B3701,-COUNTA(G$2863:G3700)+1,0))</f>
        <v>a1bDm000000Y7rQIAS</v>
      </c>
      <c r="C3701" s="389">
        <f ca="1">IF(COUNTA(G$2863:G3700)=1,"",OFFSET(C3701,-COUNTA(G$2863:G3700)+1,0))</f>
        <v>60</v>
      </c>
      <c r="D3701" s="384">
        <f t="shared" si="217"/>
        <v>356</v>
      </c>
      <c r="E3701" s="384">
        <f t="shared" ca="1" si="218"/>
        <v>2</v>
      </c>
      <c r="F3701" s="384">
        <f t="shared" ca="1" si="219"/>
        <v>68</v>
      </c>
      <c r="G3701" s="384"/>
      <c r="H3701" s="388" t="str">
        <f t="shared" ca="1" si="215"/>
        <v/>
      </c>
      <c r="I3701" s="388" t="str">
        <f t="shared" ca="1" si="216"/>
        <v/>
      </c>
    </row>
    <row r="3702" spans="1:9" x14ac:dyDescent="0.3">
      <c r="A3702" s="384" t="b">
        <f t="shared" ca="1" si="214"/>
        <v>0</v>
      </c>
      <c r="B3702" s="393" t="str">
        <f ca="1">IF(COUNTA(G$2863:G3701)=1,"",OFFSET(B3702,-COUNTA(G$2863:G3701)+1,0))</f>
        <v>a1bDm000000Y7siIAC</v>
      </c>
      <c r="C3702" s="389">
        <f ca="1">IF(COUNTA(G$2863:G3701)=1,"",OFFSET(C3702,-COUNTA(G$2863:G3701)+1,0))</f>
        <v>60</v>
      </c>
      <c r="D3702" s="384">
        <f t="shared" si="217"/>
        <v>357</v>
      </c>
      <c r="E3702" s="384">
        <f t="shared" ca="1" si="218"/>
        <v>3</v>
      </c>
      <c r="F3702" s="384">
        <f t="shared" ca="1" si="219"/>
        <v>68</v>
      </c>
      <c r="G3702" s="384"/>
      <c r="H3702" s="388" t="str">
        <f t="shared" ca="1" si="215"/>
        <v/>
      </c>
      <c r="I3702" s="388" t="str">
        <f t="shared" ca="1" si="216"/>
        <v/>
      </c>
    </row>
    <row r="3703" spans="1:9" x14ac:dyDescent="0.3">
      <c r="A3703" s="384" t="b">
        <f t="shared" ca="1" si="214"/>
        <v>0</v>
      </c>
      <c r="B3703" s="393" t="str">
        <f ca="1">IF(COUNTA(G$2863:G3702)=1,"",OFFSET(B3703,-COUNTA(G$2863:G3702)+1,0))</f>
        <v>a1bDm000000Y7u0IAC</v>
      </c>
      <c r="C3703" s="389">
        <f ca="1">IF(COUNTA(G$2863:G3702)=1,"",OFFSET(C3703,-COUNTA(G$2863:G3702)+1,0))</f>
        <v>60</v>
      </c>
      <c r="D3703" s="384">
        <f t="shared" si="217"/>
        <v>358</v>
      </c>
      <c r="E3703" s="384">
        <f t="shared" ca="1" si="218"/>
        <v>4</v>
      </c>
      <c r="F3703" s="384">
        <f t="shared" ca="1" si="219"/>
        <v>68</v>
      </c>
      <c r="G3703" s="384"/>
      <c r="H3703" s="388" t="str">
        <f t="shared" ca="1" si="215"/>
        <v/>
      </c>
      <c r="I3703" s="388" t="str">
        <f t="shared" ca="1" si="216"/>
        <v/>
      </c>
    </row>
    <row r="3704" spans="1:9" x14ac:dyDescent="0.3">
      <c r="A3704" s="384" t="b">
        <f t="shared" ca="1" si="214"/>
        <v>0</v>
      </c>
      <c r="B3704" s="393" t="str">
        <f ca="1">IF(COUNTA(G$2863:G3703)=1,"",OFFSET(B3704,-COUNTA(G$2863:G3703)+1,0))</f>
        <v>a1bDm000000Y7vIIAS</v>
      </c>
      <c r="C3704" s="389">
        <f ca="1">IF(COUNTA(G$2863:G3703)=1,"",OFFSET(C3704,-COUNTA(G$2863:G3703)+1,0))</f>
        <v>60</v>
      </c>
      <c r="D3704" s="384">
        <f t="shared" si="217"/>
        <v>359</v>
      </c>
      <c r="E3704" s="384">
        <f t="shared" ca="1" si="218"/>
        <v>5</v>
      </c>
      <c r="F3704" s="384">
        <f t="shared" ca="1" si="219"/>
        <v>68</v>
      </c>
      <c r="G3704" s="384"/>
      <c r="H3704" s="388" t="str">
        <f t="shared" ca="1" si="215"/>
        <v/>
      </c>
      <c r="I3704" s="388" t="str">
        <f t="shared" ca="1" si="216"/>
        <v/>
      </c>
    </row>
    <row r="3705" spans="1:9" x14ac:dyDescent="0.3">
      <c r="A3705" s="384" t="b">
        <f t="shared" ca="1" si="214"/>
        <v>0</v>
      </c>
      <c r="B3705" s="393" t="str">
        <f ca="1">IF(COUNTA(G$2863:G3704)=1,"",OFFSET(B3705,-COUNTA(G$2863:G3704)+1,0))</f>
        <v>a1bDm000000Y7waIAC</v>
      </c>
      <c r="C3705" s="389">
        <f ca="1">IF(COUNTA(G$2863:G3704)=1,"",OFFSET(C3705,-COUNTA(G$2863:G3704)+1,0))</f>
        <v>60</v>
      </c>
      <c r="D3705" s="384">
        <f t="shared" si="217"/>
        <v>360</v>
      </c>
      <c r="E3705" s="384">
        <f t="shared" ca="1" si="218"/>
        <v>6</v>
      </c>
      <c r="F3705" s="384">
        <f t="shared" ca="1" si="219"/>
        <v>68</v>
      </c>
      <c r="G3705" s="384"/>
      <c r="H3705" s="388" t="str">
        <f t="shared" ca="1" si="215"/>
        <v/>
      </c>
      <c r="I3705" s="388" t="str">
        <f t="shared" ca="1" si="216"/>
        <v/>
      </c>
    </row>
    <row r="3706" spans="1:9" x14ac:dyDescent="0.3">
      <c r="A3706" s="384" t="b">
        <f t="shared" ca="1" si="214"/>
        <v>0</v>
      </c>
      <c r="B3706" s="393" t="str">
        <f ca="1">IF(COUNTA(G$2863:G3705)=1,"",OFFSET(B3706,-COUNTA(G$2863:G3705)+1,0))</f>
        <v>a1bDm000000Y7q9IAC</v>
      </c>
      <c r="C3706" s="389">
        <f ca="1">IF(COUNTA(G$2863:G3705)=1,"",OFFSET(C3706,-COUNTA(G$2863:G3705)+1,0))</f>
        <v>61</v>
      </c>
      <c r="D3706" s="384">
        <f t="shared" si="217"/>
        <v>361</v>
      </c>
      <c r="E3706" s="384">
        <f t="shared" ca="1" si="218"/>
        <v>1</v>
      </c>
      <c r="F3706" s="384">
        <f t="shared" ca="1" si="219"/>
        <v>69</v>
      </c>
      <c r="G3706" s="384"/>
      <c r="H3706" s="388" t="str">
        <f t="shared" ca="1" si="215"/>
        <v/>
      </c>
      <c r="I3706" s="388" t="str">
        <f t="shared" ca="1" si="216"/>
        <v/>
      </c>
    </row>
    <row r="3707" spans="1:9" x14ac:dyDescent="0.3">
      <c r="A3707" s="384" t="b">
        <f t="shared" ca="1" si="214"/>
        <v>0</v>
      </c>
      <c r="B3707" s="393" t="str">
        <f ca="1">IF(COUNTA(G$2863:G3706)=1,"",OFFSET(B3707,-COUNTA(G$2863:G3706)+1,0))</f>
        <v>a1bDm000000Y7rRIAS</v>
      </c>
      <c r="C3707" s="389">
        <f ca="1">IF(COUNTA(G$2863:G3706)=1,"",OFFSET(C3707,-COUNTA(G$2863:G3706)+1,0))</f>
        <v>61</v>
      </c>
      <c r="D3707" s="384">
        <f t="shared" si="217"/>
        <v>362</v>
      </c>
      <c r="E3707" s="384">
        <f t="shared" ca="1" si="218"/>
        <v>2</v>
      </c>
      <c r="F3707" s="384">
        <f t="shared" ca="1" si="219"/>
        <v>69</v>
      </c>
      <c r="G3707" s="384"/>
      <c r="H3707" s="388" t="str">
        <f t="shared" ca="1" si="215"/>
        <v/>
      </c>
      <c r="I3707" s="388" t="str">
        <f t="shared" ca="1" si="216"/>
        <v/>
      </c>
    </row>
    <row r="3708" spans="1:9" x14ac:dyDescent="0.3">
      <c r="A3708" s="384" t="b">
        <f t="shared" ca="1" si="214"/>
        <v>0</v>
      </c>
      <c r="B3708" s="393" t="str">
        <f ca="1">IF(COUNTA(G$2863:G3707)=1,"",OFFSET(B3708,-COUNTA(G$2863:G3707)+1,0))</f>
        <v>a1bDm000000Y7sjIAC</v>
      </c>
      <c r="C3708" s="389">
        <f ca="1">IF(COUNTA(G$2863:G3707)=1,"",OFFSET(C3708,-COUNTA(G$2863:G3707)+1,0))</f>
        <v>61</v>
      </c>
      <c r="D3708" s="384">
        <f t="shared" si="217"/>
        <v>363</v>
      </c>
      <c r="E3708" s="384">
        <f t="shared" ca="1" si="218"/>
        <v>3</v>
      </c>
      <c r="F3708" s="384">
        <f t="shared" ca="1" si="219"/>
        <v>69</v>
      </c>
      <c r="G3708" s="384"/>
      <c r="H3708" s="388" t="str">
        <f t="shared" ca="1" si="215"/>
        <v/>
      </c>
      <c r="I3708" s="388" t="str">
        <f t="shared" ca="1" si="216"/>
        <v/>
      </c>
    </row>
    <row r="3709" spans="1:9" x14ac:dyDescent="0.3">
      <c r="A3709" s="384" t="b">
        <f t="shared" ca="1" si="214"/>
        <v>0</v>
      </c>
      <c r="B3709" s="393" t="str">
        <f ca="1">IF(COUNTA(G$2863:G3708)=1,"",OFFSET(B3709,-COUNTA(G$2863:G3708)+1,0))</f>
        <v>a1bDm000000Y7u1IAC</v>
      </c>
      <c r="C3709" s="389">
        <f ca="1">IF(COUNTA(G$2863:G3708)=1,"",OFFSET(C3709,-COUNTA(G$2863:G3708)+1,0))</f>
        <v>61</v>
      </c>
      <c r="D3709" s="384">
        <f t="shared" si="217"/>
        <v>364</v>
      </c>
      <c r="E3709" s="384">
        <f t="shared" ca="1" si="218"/>
        <v>4</v>
      </c>
      <c r="F3709" s="384">
        <f t="shared" ca="1" si="219"/>
        <v>69</v>
      </c>
      <c r="G3709" s="384"/>
      <c r="H3709" s="388" t="str">
        <f t="shared" ca="1" si="215"/>
        <v/>
      </c>
      <c r="I3709" s="388" t="str">
        <f t="shared" ca="1" si="216"/>
        <v/>
      </c>
    </row>
    <row r="3710" spans="1:9" x14ac:dyDescent="0.3">
      <c r="A3710" s="384" t="b">
        <f t="shared" ca="1" si="214"/>
        <v>0</v>
      </c>
      <c r="B3710" s="393" t="str">
        <f ca="1">IF(COUNTA(G$2863:G3709)=1,"",OFFSET(B3710,-COUNTA(G$2863:G3709)+1,0))</f>
        <v>a1bDm000000Y7vJIAS</v>
      </c>
      <c r="C3710" s="389">
        <f ca="1">IF(COUNTA(G$2863:G3709)=1,"",OFFSET(C3710,-COUNTA(G$2863:G3709)+1,0))</f>
        <v>61</v>
      </c>
      <c r="D3710" s="384">
        <f t="shared" si="217"/>
        <v>365</v>
      </c>
      <c r="E3710" s="384">
        <f t="shared" ca="1" si="218"/>
        <v>5</v>
      </c>
      <c r="F3710" s="384">
        <f t="shared" ca="1" si="219"/>
        <v>69</v>
      </c>
      <c r="G3710" s="384"/>
      <c r="H3710" s="388" t="str">
        <f t="shared" ca="1" si="215"/>
        <v/>
      </c>
      <c r="I3710" s="388" t="str">
        <f t="shared" ca="1" si="216"/>
        <v/>
      </c>
    </row>
    <row r="3711" spans="1:9" x14ac:dyDescent="0.3">
      <c r="A3711" s="384" t="b">
        <f t="shared" ca="1" si="214"/>
        <v>0</v>
      </c>
      <c r="B3711" s="393" t="str">
        <f ca="1">IF(COUNTA(G$2863:G3710)=1,"",OFFSET(B3711,-COUNTA(G$2863:G3710)+1,0))</f>
        <v>a1bDm000000Y7wbIAC</v>
      </c>
      <c r="C3711" s="389">
        <f ca="1">IF(COUNTA(G$2863:G3710)=1,"",OFFSET(C3711,-COUNTA(G$2863:G3710)+1,0))</f>
        <v>61</v>
      </c>
      <c r="D3711" s="384">
        <f t="shared" si="217"/>
        <v>366</v>
      </c>
      <c r="E3711" s="384">
        <f t="shared" ca="1" si="218"/>
        <v>6</v>
      </c>
      <c r="F3711" s="384">
        <f t="shared" ca="1" si="219"/>
        <v>69</v>
      </c>
      <c r="G3711" s="384"/>
      <c r="H3711" s="388" t="str">
        <f t="shared" ca="1" si="215"/>
        <v/>
      </c>
      <c r="I3711" s="388" t="str">
        <f t="shared" ca="1" si="216"/>
        <v/>
      </c>
    </row>
    <row r="3712" spans="1:9" x14ac:dyDescent="0.3">
      <c r="A3712" s="384" t="b">
        <f t="shared" ca="1" si="214"/>
        <v>0</v>
      </c>
      <c r="B3712" s="393" t="str">
        <f ca="1">IF(COUNTA(G$2863:G3711)=1,"",OFFSET(B3712,-COUNTA(G$2863:G3711)+1,0))</f>
        <v>a1bDm000000Y7qAIAS</v>
      </c>
      <c r="C3712" s="389">
        <f ca="1">IF(COUNTA(G$2863:G3711)=1,"",OFFSET(C3712,-COUNTA(G$2863:G3711)+1,0))</f>
        <v>62</v>
      </c>
      <c r="D3712" s="384">
        <f t="shared" si="217"/>
        <v>367</v>
      </c>
      <c r="E3712" s="384">
        <f t="shared" ca="1" si="218"/>
        <v>1</v>
      </c>
      <c r="F3712" s="384">
        <f t="shared" ca="1" si="219"/>
        <v>70</v>
      </c>
      <c r="G3712" s="384"/>
      <c r="H3712" s="388" t="str">
        <f t="shared" ca="1" si="215"/>
        <v/>
      </c>
      <c r="I3712" s="388" t="str">
        <f t="shared" ca="1" si="216"/>
        <v/>
      </c>
    </row>
    <row r="3713" spans="1:9" x14ac:dyDescent="0.3">
      <c r="A3713" s="384" t="b">
        <f t="shared" ca="1" si="214"/>
        <v>0</v>
      </c>
      <c r="B3713" s="393" t="str">
        <f ca="1">IF(COUNTA(G$2863:G3712)=1,"",OFFSET(B3713,-COUNTA(G$2863:G3712)+1,0))</f>
        <v>a1bDm000000Y7rSIAS</v>
      </c>
      <c r="C3713" s="389">
        <f ca="1">IF(COUNTA(G$2863:G3712)=1,"",OFFSET(C3713,-COUNTA(G$2863:G3712)+1,0))</f>
        <v>62</v>
      </c>
      <c r="D3713" s="384">
        <f t="shared" si="217"/>
        <v>368</v>
      </c>
      <c r="E3713" s="384">
        <f t="shared" ca="1" si="218"/>
        <v>2</v>
      </c>
      <c r="F3713" s="384">
        <f t="shared" ca="1" si="219"/>
        <v>70</v>
      </c>
      <c r="G3713" s="384"/>
      <c r="H3713" s="388" t="str">
        <f t="shared" ca="1" si="215"/>
        <v/>
      </c>
      <c r="I3713" s="388" t="str">
        <f t="shared" ca="1" si="216"/>
        <v/>
      </c>
    </row>
    <row r="3714" spans="1:9" x14ac:dyDescent="0.3">
      <c r="A3714" s="384" t="b">
        <f t="shared" ca="1" si="214"/>
        <v>0</v>
      </c>
      <c r="B3714" s="393" t="str">
        <f ca="1">IF(COUNTA(G$2863:G3713)=1,"",OFFSET(B3714,-COUNTA(G$2863:G3713)+1,0))</f>
        <v>a1bDm000000Y7skIAC</v>
      </c>
      <c r="C3714" s="389">
        <f ca="1">IF(COUNTA(G$2863:G3713)=1,"",OFFSET(C3714,-COUNTA(G$2863:G3713)+1,0))</f>
        <v>62</v>
      </c>
      <c r="D3714" s="384">
        <f t="shared" si="217"/>
        <v>369</v>
      </c>
      <c r="E3714" s="384">
        <f t="shared" ca="1" si="218"/>
        <v>3</v>
      </c>
      <c r="F3714" s="384">
        <f t="shared" ca="1" si="219"/>
        <v>70</v>
      </c>
      <c r="G3714" s="384"/>
      <c r="H3714" s="388" t="str">
        <f t="shared" ca="1" si="215"/>
        <v/>
      </c>
      <c r="I3714" s="388" t="str">
        <f t="shared" ca="1" si="216"/>
        <v/>
      </c>
    </row>
    <row r="3715" spans="1:9" x14ac:dyDescent="0.3">
      <c r="A3715" s="384" t="b">
        <f t="shared" ca="1" si="214"/>
        <v>0</v>
      </c>
      <c r="B3715" s="393" t="str">
        <f ca="1">IF(COUNTA(G$2863:G3714)=1,"",OFFSET(B3715,-COUNTA(G$2863:G3714)+1,0))</f>
        <v>a1bDm000000Y7u2IAC</v>
      </c>
      <c r="C3715" s="389">
        <f ca="1">IF(COUNTA(G$2863:G3714)=1,"",OFFSET(C3715,-COUNTA(G$2863:G3714)+1,0))</f>
        <v>62</v>
      </c>
      <c r="D3715" s="384">
        <f t="shared" si="217"/>
        <v>370</v>
      </c>
      <c r="E3715" s="384">
        <f t="shared" ca="1" si="218"/>
        <v>4</v>
      </c>
      <c r="F3715" s="384">
        <f t="shared" ca="1" si="219"/>
        <v>70</v>
      </c>
      <c r="G3715" s="384"/>
      <c r="H3715" s="388" t="str">
        <f t="shared" ca="1" si="215"/>
        <v/>
      </c>
      <c r="I3715" s="388" t="str">
        <f t="shared" ca="1" si="216"/>
        <v/>
      </c>
    </row>
    <row r="3716" spans="1:9" x14ac:dyDescent="0.3">
      <c r="A3716" s="384" t="b">
        <f t="shared" ca="1" si="214"/>
        <v>0</v>
      </c>
      <c r="B3716" s="393" t="str">
        <f ca="1">IF(COUNTA(G$2863:G3715)=1,"",OFFSET(B3716,-COUNTA(G$2863:G3715)+1,0))</f>
        <v>a1bDm000000Y7vKIAS</v>
      </c>
      <c r="C3716" s="389">
        <f ca="1">IF(COUNTA(G$2863:G3715)=1,"",OFFSET(C3716,-COUNTA(G$2863:G3715)+1,0))</f>
        <v>62</v>
      </c>
      <c r="D3716" s="384">
        <f t="shared" si="217"/>
        <v>371</v>
      </c>
      <c r="E3716" s="384">
        <f t="shared" ca="1" si="218"/>
        <v>5</v>
      </c>
      <c r="F3716" s="384">
        <f t="shared" ca="1" si="219"/>
        <v>70</v>
      </c>
      <c r="G3716" s="384"/>
      <c r="H3716" s="388" t="str">
        <f t="shared" ca="1" si="215"/>
        <v/>
      </c>
      <c r="I3716" s="388" t="str">
        <f t="shared" ca="1" si="216"/>
        <v/>
      </c>
    </row>
    <row r="3717" spans="1:9" x14ac:dyDescent="0.3">
      <c r="A3717" s="384" t="b">
        <f t="shared" ca="1" si="214"/>
        <v>0</v>
      </c>
      <c r="B3717" s="393" t="str">
        <f ca="1">IF(COUNTA(G$2863:G3716)=1,"",OFFSET(B3717,-COUNTA(G$2863:G3716)+1,0))</f>
        <v>a1bDm000000Y7wcIAC</v>
      </c>
      <c r="C3717" s="389">
        <f ca="1">IF(COUNTA(G$2863:G3716)=1,"",OFFSET(C3717,-COUNTA(G$2863:G3716)+1,0))</f>
        <v>62</v>
      </c>
      <c r="D3717" s="384">
        <f t="shared" si="217"/>
        <v>372</v>
      </c>
      <c r="E3717" s="384">
        <f t="shared" ca="1" si="218"/>
        <v>6</v>
      </c>
      <c r="F3717" s="384">
        <f t="shared" ca="1" si="219"/>
        <v>70</v>
      </c>
      <c r="G3717" s="384"/>
      <c r="H3717" s="388" t="str">
        <f t="shared" ca="1" si="215"/>
        <v/>
      </c>
      <c r="I3717" s="388" t="str">
        <f t="shared" ca="1" si="216"/>
        <v/>
      </c>
    </row>
    <row r="3718" spans="1:9" x14ac:dyDescent="0.3">
      <c r="A3718" s="384" t="b">
        <f t="shared" ca="1" si="214"/>
        <v>0</v>
      </c>
      <c r="B3718" s="393" t="str">
        <f ca="1">IF(COUNTA(G$2863:G3717)=1,"",OFFSET(B3718,-COUNTA(G$2863:G3717)+1,0))</f>
        <v>a1bDm000000Y7qBIAS</v>
      </c>
      <c r="C3718" s="389">
        <f ca="1">IF(COUNTA(G$2863:G3717)=1,"",OFFSET(C3718,-COUNTA(G$2863:G3717)+1,0))</f>
        <v>63</v>
      </c>
      <c r="D3718" s="384">
        <f t="shared" si="217"/>
        <v>373</v>
      </c>
      <c r="E3718" s="384">
        <f t="shared" ca="1" si="218"/>
        <v>1</v>
      </c>
      <c r="F3718" s="384">
        <f t="shared" ca="1" si="219"/>
        <v>71</v>
      </c>
      <c r="G3718" s="384"/>
      <c r="H3718" s="388" t="str">
        <f t="shared" ca="1" si="215"/>
        <v/>
      </c>
      <c r="I3718" s="388" t="str">
        <f t="shared" ca="1" si="216"/>
        <v/>
      </c>
    </row>
    <row r="3719" spans="1:9" x14ac:dyDescent="0.3">
      <c r="A3719" s="384" t="b">
        <f t="shared" ca="1" si="214"/>
        <v>0</v>
      </c>
      <c r="B3719" s="393" t="str">
        <f ca="1">IF(COUNTA(G$2863:G3718)=1,"",OFFSET(B3719,-COUNTA(G$2863:G3718)+1,0))</f>
        <v>a1bDm000000Y7rTIAS</v>
      </c>
      <c r="C3719" s="389">
        <f ca="1">IF(COUNTA(G$2863:G3718)=1,"",OFFSET(C3719,-COUNTA(G$2863:G3718)+1,0))</f>
        <v>63</v>
      </c>
      <c r="D3719" s="384">
        <f t="shared" si="217"/>
        <v>374</v>
      </c>
      <c r="E3719" s="384">
        <f t="shared" ca="1" si="218"/>
        <v>2</v>
      </c>
      <c r="F3719" s="384">
        <f t="shared" ca="1" si="219"/>
        <v>71</v>
      </c>
      <c r="G3719" s="384"/>
      <c r="H3719" s="388" t="str">
        <f t="shared" ca="1" si="215"/>
        <v/>
      </c>
      <c r="I3719" s="388" t="str">
        <f t="shared" ca="1" si="216"/>
        <v/>
      </c>
    </row>
    <row r="3720" spans="1:9" x14ac:dyDescent="0.3">
      <c r="A3720" s="384" t="b">
        <f t="shared" ca="1" si="214"/>
        <v>0</v>
      </c>
      <c r="B3720" s="393" t="str">
        <f ca="1">IF(COUNTA(G$2863:G3719)=1,"",OFFSET(B3720,-COUNTA(G$2863:G3719)+1,0))</f>
        <v>a1bDm000000Y7slIAC</v>
      </c>
      <c r="C3720" s="389">
        <f ca="1">IF(COUNTA(G$2863:G3719)=1,"",OFFSET(C3720,-COUNTA(G$2863:G3719)+1,0))</f>
        <v>63</v>
      </c>
      <c r="D3720" s="384">
        <f t="shared" si="217"/>
        <v>375</v>
      </c>
      <c r="E3720" s="384">
        <f t="shared" ca="1" si="218"/>
        <v>3</v>
      </c>
      <c r="F3720" s="384">
        <f t="shared" ca="1" si="219"/>
        <v>71</v>
      </c>
      <c r="G3720" s="384"/>
      <c r="H3720" s="388" t="str">
        <f t="shared" ca="1" si="215"/>
        <v/>
      </c>
      <c r="I3720" s="388" t="str">
        <f t="shared" ca="1" si="216"/>
        <v/>
      </c>
    </row>
    <row r="3721" spans="1:9" x14ac:dyDescent="0.3">
      <c r="A3721" s="384" t="b">
        <f t="shared" ca="1" si="214"/>
        <v>0</v>
      </c>
      <c r="B3721" s="393" t="str">
        <f ca="1">IF(COUNTA(G$2863:G3720)=1,"",OFFSET(B3721,-COUNTA(G$2863:G3720)+1,0))</f>
        <v>a1bDm000000Y7u3IAC</v>
      </c>
      <c r="C3721" s="389">
        <f ca="1">IF(COUNTA(G$2863:G3720)=1,"",OFFSET(C3721,-COUNTA(G$2863:G3720)+1,0))</f>
        <v>63</v>
      </c>
      <c r="D3721" s="384">
        <f t="shared" si="217"/>
        <v>376</v>
      </c>
      <c r="E3721" s="384">
        <f t="shared" ca="1" si="218"/>
        <v>4</v>
      </c>
      <c r="F3721" s="384">
        <f t="shared" ca="1" si="219"/>
        <v>71</v>
      </c>
      <c r="G3721" s="384"/>
      <c r="H3721" s="388" t="str">
        <f t="shared" ca="1" si="215"/>
        <v/>
      </c>
      <c r="I3721" s="388" t="str">
        <f t="shared" ca="1" si="216"/>
        <v/>
      </c>
    </row>
    <row r="3722" spans="1:9" x14ac:dyDescent="0.3">
      <c r="A3722" s="384" t="b">
        <f t="shared" ca="1" si="214"/>
        <v>0</v>
      </c>
      <c r="B3722" s="393" t="str">
        <f ca="1">IF(COUNTA(G$2863:G3721)=1,"",OFFSET(B3722,-COUNTA(G$2863:G3721)+1,0))</f>
        <v>a1bDm000000Y7vLIAS</v>
      </c>
      <c r="C3722" s="389">
        <f ca="1">IF(COUNTA(G$2863:G3721)=1,"",OFFSET(C3722,-COUNTA(G$2863:G3721)+1,0))</f>
        <v>63</v>
      </c>
      <c r="D3722" s="384">
        <f t="shared" si="217"/>
        <v>377</v>
      </c>
      <c r="E3722" s="384">
        <f t="shared" ca="1" si="218"/>
        <v>5</v>
      </c>
      <c r="F3722" s="384">
        <f t="shared" ca="1" si="219"/>
        <v>71</v>
      </c>
      <c r="G3722" s="384"/>
      <c r="H3722" s="388" t="str">
        <f t="shared" ca="1" si="215"/>
        <v/>
      </c>
      <c r="I3722" s="388" t="str">
        <f t="shared" ca="1" si="216"/>
        <v/>
      </c>
    </row>
    <row r="3723" spans="1:9" x14ac:dyDescent="0.3">
      <c r="A3723" s="384" t="b">
        <f t="shared" ca="1" si="214"/>
        <v>0</v>
      </c>
      <c r="B3723" s="393" t="str">
        <f ca="1">IF(COUNTA(G$2863:G3722)=1,"",OFFSET(B3723,-COUNTA(G$2863:G3722)+1,0))</f>
        <v>a1bDm000000Y7wdIAC</v>
      </c>
      <c r="C3723" s="389">
        <f ca="1">IF(COUNTA(G$2863:G3722)=1,"",OFFSET(C3723,-COUNTA(G$2863:G3722)+1,0))</f>
        <v>63</v>
      </c>
      <c r="D3723" s="384">
        <f t="shared" si="217"/>
        <v>378</v>
      </c>
      <c r="E3723" s="384">
        <f t="shared" ca="1" si="218"/>
        <v>6</v>
      </c>
      <c r="F3723" s="384">
        <f t="shared" ca="1" si="219"/>
        <v>71</v>
      </c>
      <c r="G3723" s="384"/>
      <c r="H3723" s="388" t="str">
        <f t="shared" ca="1" si="215"/>
        <v/>
      </c>
      <c r="I3723" s="388" t="str">
        <f t="shared" ca="1" si="216"/>
        <v/>
      </c>
    </row>
    <row r="3724" spans="1:9" x14ac:dyDescent="0.3">
      <c r="A3724" s="384" t="b">
        <f t="shared" ca="1" si="214"/>
        <v>0</v>
      </c>
      <c r="B3724" s="393" t="str">
        <f ca="1">IF(COUNTA(G$2863:G3723)=1,"",OFFSET(B3724,-COUNTA(G$2863:G3723)+1,0))</f>
        <v>a1bDm000000Y7qCIAS</v>
      </c>
      <c r="C3724" s="389">
        <f ca="1">IF(COUNTA(G$2863:G3723)=1,"",OFFSET(C3724,-COUNTA(G$2863:G3723)+1,0))</f>
        <v>64</v>
      </c>
      <c r="D3724" s="384">
        <f t="shared" si="217"/>
        <v>379</v>
      </c>
      <c r="E3724" s="384">
        <f t="shared" ca="1" si="218"/>
        <v>1</v>
      </c>
      <c r="F3724" s="384">
        <f t="shared" ca="1" si="219"/>
        <v>72</v>
      </c>
      <c r="G3724" s="384"/>
      <c r="H3724" s="388" t="str">
        <f t="shared" ca="1" si="215"/>
        <v/>
      </c>
      <c r="I3724" s="388" t="str">
        <f t="shared" ca="1" si="216"/>
        <v/>
      </c>
    </row>
    <row r="3725" spans="1:9" x14ac:dyDescent="0.3">
      <c r="A3725" s="384" t="b">
        <f t="shared" ca="1" si="214"/>
        <v>0</v>
      </c>
      <c r="B3725" s="393" t="str">
        <f ca="1">IF(COUNTA(G$2863:G3724)=1,"",OFFSET(B3725,-COUNTA(G$2863:G3724)+1,0))</f>
        <v>a1bDm000000Y7rUIAS</v>
      </c>
      <c r="C3725" s="389">
        <f ca="1">IF(COUNTA(G$2863:G3724)=1,"",OFFSET(C3725,-COUNTA(G$2863:G3724)+1,0))</f>
        <v>64</v>
      </c>
      <c r="D3725" s="384">
        <f t="shared" si="217"/>
        <v>380</v>
      </c>
      <c r="E3725" s="384">
        <f t="shared" ca="1" si="218"/>
        <v>2</v>
      </c>
      <c r="F3725" s="384">
        <f t="shared" ca="1" si="219"/>
        <v>72</v>
      </c>
      <c r="G3725" s="384"/>
      <c r="H3725" s="388" t="str">
        <f t="shared" ca="1" si="215"/>
        <v/>
      </c>
      <c r="I3725" s="388" t="str">
        <f t="shared" ca="1" si="216"/>
        <v/>
      </c>
    </row>
    <row r="3726" spans="1:9" x14ac:dyDescent="0.3">
      <c r="A3726" s="384" t="b">
        <f t="shared" ca="1" si="214"/>
        <v>0</v>
      </c>
      <c r="B3726" s="393" t="str">
        <f ca="1">IF(COUNTA(G$2863:G3725)=1,"",OFFSET(B3726,-COUNTA(G$2863:G3725)+1,0))</f>
        <v>a1bDm000000Y7smIAC</v>
      </c>
      <c r="C3726" s="389">
        <f ca="1">IF(COUNTA(G$2863:G3725)=1,"",OFFSET(C3726,-COUNTA(G$2863:G3725)+1,0))</f>
        <v>64</v>
      </c>
      <c r="D3726" s="384">
        <f t="shared" si="217"/>
        <v>381</v>
      </c>
      <c r="E3726" s="384">
        <f t="shared" ca="1" si="218"/>
        <v>3</v>
      </c>
      <c r="F3726" s="384">
        <f t="shared" ca="1" si="219"/>
        <v>72</v>
      </c>
      <c r="G3726" s="384"/>
      <c r="H3726" s="388" t="str">
        <f t="shared" ca="1" si="215"/>
        <v/>
      </c>
      <c r="I3726" s="388" t="str">
        <f t="shared" ca="1" si="216"/>
        <v/>
      </c>
    </row>
    <row r="3727" spans="1:9" x14ac:dyDescent="0.3">
      <c r="A3727" s="384" t="b">
        <f t="shared" ca="1" si="214"/>
        <v>0</v>
      </c>
      <c r="B3727" s="393" t="str">
        <f ca="1">IF(COUNTA(G$2863:G3726)=1,"",OFFSET(B3727,-COUNTA(G$2863:G3726)+1,0))</f>
        <v>a1bDm000000Y7u4IAC</v>
      </c>
      <c r="C3727" s="389">
        <f ca="1">IF(COUNTA(G$2863:G3726)=1,"",OFFSET(C3727,-COUNTA(G$2863:G3726)+1,0))</f>
        <v>64</v>
      </c>
      <c r="D3727" s="384">
        <f t="shared" si="217"/>
        <v>382</v>
      </c>
      <c r="E3727" s="384">
        <f t="shared" ca="1" si="218"/>
        <v>4</v>
      </c>
      <c r="F3727" s="384">
        <f t="shared" ca="1" si="219"/>
        <v>72</v>
      </c>
      <c r="G3727" s="384"/>
      <c r="H3727" s="388" t="str">
        <f t="shared" ca="1" si="215"/>
        <v/>
      </c>
      <c r="I3727" s="388" t="str">
        <f t="shared" ca="1" si="216"/>
        <v/>
      </c>
    </row>
    <row r="3728" spans="1:9" x14ac:dyDescent="0.3">
      <c r="A3728" s="384" t="b">
        <f t="shared" ca="1" si="214"/>
        <v>0</v>
      </c>
      <c r="B3728" s="393" t="str">
        <f ca="1">IF(COUNTA(G$2863:G3727)=1,"",OFFSET(B3728,-COUNTA(G$2863:G3727)+1,0))</f>
        <v>a1bDm000000Y7vMIAS</v>
      </c>
      <c r="C3728" s="389">
        <f ca="1">IF(COUNTA(G$2863:G3727)=1,"",OFFSET(C3728,-COUNTA(G$2863:G3727)+1,0))</f>
        <v>64</v>
      </c>
      <c r="D3728" s="384">
        <f t="shared" si="217"/>
        <v>383</v>
      </c>
      <c r="E3728" s="384">
        <f t="shared" ca="1" si="218"/>
        <v>5</v>
      </c>
      <c r="F3728" s="384">
        <f t="shared" ca="1" si="219"/>
        <v>72</v>
      </c>
      <c r="G3728" s="384"/>
      <c r="H3728" s="388" t="str">
        <f t="shared" ca="1" si="215"/>
        <v/>
      </c>
      <c r="I3728" s="388" t="str">
        <f t="shared" ca="1" si="216"/>
        <v/>
      </c>
    </row>
    <row r="3729" spans="1:9" x14ac:dyDescent="0.3">
      <c r="A3729" s="384" t="b">
        <f t="shared" ca="1" si="214"/>
        <v>0</v>
      </c>
      <c r="B3729" s="393" t="str">
        <f ca="1">IF(COUNTA(G$2863:G3728)=1,"",OFFSET(B3729,-COUNTA(G$2863:G3728)+1,0))</f>
        <v>a1bDm000000Y7weIAC</v>
      </c>
      <c r="C3729" s="389">
        <f ca="1">IF(COUNTA(G$2863:G3728)=1,"",OFFSET(C3729,-COUNTA(G$2863:G3728)+1,0))</f>
        <v>64</v>
      </c>
      <c r="D3729" s="384">
        <f t="shared" si="217"/>
        <v>384</v>
      </c>
      <c r="E3729" s="384">
        <f t="shared" ca="1" si="218"/>
        <v>6</v>
      </c>
      <c r="F3729" s="384">
        <f t="shared" ca="1" si="219"/>
        <v>72</v>
      </c>
      <c r="G3729" s="384"/>
      <c r="H3729" s="388" t="str">
        <f t="shared" ca="1" si="215"/>
        <v/>
      </c>
      <c r="I3729" s="388" t="str">
        <f t="shared" ca="1" si="216"/>
        <v/>
      </c>
    </row>
    <row r="3730" spans="1:9" x14ac:dyDescent="0.3">
      <c r="A3730" s="384" t="b">
        <f t="shared" ref="A3730:A3793" ca="1" si="220">IF(OR(AND(H3730&lt;&gt;"", H3730&lt;&gt;0), AND(I3730&lt;&gt;"",I3730&lt;&gt;0)),TRUE,FALSE)</f>
        <v>0</v>
      </c>
      <c r="B3730" s="393" t="str">
        <f ca="1">IF(COUNTA(G$2863:G3729)=1,"",OFFSET(B3730,-COUNTA(G$2863:G3729)+1,0))</f>
        <v>a1bDm000000Y7qDIAS</v>
      </c>
      <c r="C3730" s="389">
        <f ca="1">IF(COUNTA(G$2863:G3729)=1,"",OFFSET(C3730,-COUNTA(G$2863:G3729)+1,0))</f>
        <v>65</v>
      </c>
      <c r="D3730" s="384">
        <f t="shared" si="217"/>
        <v>385</v>
      </c>
      <c r="E3730" s="384">
        <f t="shared" ca="1" si="218"/>
        <v>1</v>
      </c>
      <c r="F3730" s="384">
        <f t="shared" ca="1" si="219"/>
        <v>73</v>
      </c>
      <c r="G3730" s="384"/>
      <c r="H3730" s="388" t="str">
        <f t="shared" ref="H3730:H3793" ca="1" si="221">CHOOSE(E3730,IFERROR(IF(INDIRECT("'WPTM - Section F'!H"&amp;F3730)=0,"",INDIRECT("'WPTM - Section F'!H"&amp;$F3730)),""),IFERROR(IF(INDIRECT("'WPTM - Section F'!J"&amp;F3730)=0,"",INDIRECT("'WPTM - Section F'!J"&amp;$F3730)),""),IFERROR(IF(INDIRECT("'WPTM - Section F'!L"&amp;F3730)=0,"",INDIRECT("'WPTM - Section F'!L"&amp;$F3730)),""),IFERROR(IF(INDIRECT("'WPTM - Section F'!N"&amp;F3730)=0,"",INDIRECT("'WPTM - Section F'!N"&amp;$F3730)),""),IFERROR(IF(INDIRECT("'WPTM - Section F'!P"&amp;F3730)=0,"",INDIRECT("'WPTM - Section F'!P"&amp;$F3730)),""),IFERROR(IF(INDIRECT("'WPTM - Section F'!R"&amp;F3730)=0,"",INDIRECT("'WPTM - Section F'!R"&amp;$F3730)),""),IFERROR(IF(INDIRECT("'WPTM - Section F'!T"&amp;F3730)=0,"",INDIRECT("'WPTM - Section F'!T"&amp;$F3730)),""),IFERROR(IF(INDIRECT("'WPTM - Section F'!V"&amp;F3730)=0,"",INDIRECT("'WPTM - Section F'!V"&amp;$F3730)),""),)</f>
        <v/>
      </c>
      <c r="I3730" s="388" t="str">
        <f t="shared" ref="I3730:I3793" ca="1" si="222">CHOOSE(E3730,IFERROR(IF(INDIRECT("'WPTM - Section F'!G"&amp;F3730)=0,"",INDIRECT("'WPTM - Section F'!G"&amp;$F3730)),""),IFERROR(IF(INDIRECT("'WPTM - Section F'!I"&amp;F3730)=0,"",INDIRECT("'WPTM - Section F'!I"&amp;$F3730)),""),IFERROR(IF(INDIRECT("'WPTM - Section F'!K"&amp;F3730)=0,"",INDIRECT("'WPTM - Section F'!K"&amp;$F3730)),""),IFERROR(IF(INDIRECT("'WPTM - Section F'!M"&amp;F3730)=0,"",INDIRECT("'WPTM - Section F'!M"&amp;$F3730)),""),IFERROR(IF(INDIRECT("'WPTM - Section F'!O"&amp;F3730)=0,"",INDIRECT("'WPTM - Section F'!O"&amp;$F3730)),""),IFERROR(IF(INDIRECT("'WPTM - Section F'!Q"&amp;F3730)=0,"",INDIRECT("'WPTM - Section F'!Q"&amp;$F3730)),""),IFERROR(IF(INDIRECT("'WPTM - Section F'!S"&amp;F3730)=0,"",INDIRECT("'WPTM - Section F'!S"&amp;$F3730)),""),IFERROR(IF(INDIRECT("'WPTM - Section F'!U"&amp;F3730)=0,"",INDIRECT("'WPTM - Section F'!U"&amp;$F3730)),""),)</f>
        <v/>
      </c>
    </row>
    <row r="3731" spans="1:9" x14ac:dyDescent="0.3">
      <c r="A3731" s="384" t="b">
        <f t="shared" ca="1" si="220"/>
        <v>0</v>
      </c>
      <c r="B3731" s="393" t="str">
        <f ca="1">IF(COUNTA(G$2863:G3730)=1,"",OFFSET(B3731,-COUNTA(G$2863:G3730)+1,0))</f>
        <v>a1bDm000000Y7rVIAS</v>
      </c>
      <c r="C3731" s="389">
        <f ca="1">IF(COUNTA(G$2863:G3730)=1,"",OFFSET(C3731,-COUNTA(G$2863:G3730)+1,0))</f>
        <v>65</v>
      </c>
      <c r="D3731" s="384">
        <f t="shared" si="217"/>
        <v>386</v>
      </c>
      <c r="E3731" s="384">
        <f t="shared" ca="1" si="218"/>
        <v>2</v>
      </c>
      <c r="F3731" s="384">
        <f t="shared" ca="1" si="219"/>
        <v>73</v>
      </c>
      <c r="G3731" s="384"/>
      <c r="H3731" s="388" t="str">
        <f t="shared" ca="1" si="221"/>
        <v/>
      </c>
      <c r="I3731" s="388" t="str">
        <f t="shared" ca="1" si="222"/>
        <v/>
      </c>
    </row>
    <row r="3732" spans="1:9" x14ac:dyDescent="0.3">
      <c r="A3732" s="384" t="b">
        <f t="shared" ca="1" si="220"/>
        <v>0</v>
      </c>
      <c r="B3732" s="393" t="str">
        <f ca="1">IF(COUNTA(G$2863:G3731)=1,"",OFFSET(B3732,-COUNTA(G$2863:G3731)+1,0))</f>
        <v>a1bDm000000Y7snIAC</v>
      </c>
      <c r="C3732" s="389">
        <f ca="1">IF(COUNTA(G$2863:G3731)=1,"",OFFSET(C3732,-COUNTA(G$2863:G3731)+1,0))</f>
        <v>65</v>
      </c>
      <c r="D3732" s="384">
        <f t="shared" si="217"/>
        <v>387</v>
      </c>
      <c r="E3732" s="384">
        <f t="shared" ca="1" si="218"/>
        <v>3</v>
      </c>
      <c r="F3732" s="384">
        <f t="shared" ca="1" si="219"/>
        <v>73</v>
      </c>
      <c r="G3732" s="384"/>
      <c r="H3732" s="388" t="str">
        <f t="shared" ca="1" si="221"/>
        <v/>
      </c>
      <c r="I3732" s="388" t="str">
        <f t="shared" ca="1" si="222"/>
        <v/>
      </c>
    </row>
    <row r="3733" spans="1:9" x14ac:dyDescent="0.3">
      <c r="A3733" s="384" t="b">
        <f t="shared" ca="1" si="220"/>
        <v>0</v>
      </c>
      <c r="B3733" s="393" t="str">
        <f ca="1">IF(COUNTA(G$2863:G3732)=1,"",OFFSET(B3733,-COUNTA(G$2863:G3732)+1,0))</f>
        <v>a1bDm000000Y7u5IAC</v>
      </c>
      <c r="C3733" s="389">
        <f ca="1">IF(COUNTA(G$2863:G3732)=1,"",OFFSET(C3733,-COUNTA(G$2863:G3732)+1,0))</f>
        <v>65</v>
      </c>
      <c r="D3733" s="384">
        <f t="shared" si="217"/>
        <v>388</v>
      </c>
      <c r="E3733" s="384">
        <f t="shared" ca="1" si="218"/>
        <v>4</v>
      </c>
      <c r="F3733" s="384">
        <f t="shared" ca="1" si="219"/>
        <v>73</v>
      </c>
      <c r="G3733" s="384"/>
      <c r="H3733" s="388" t="str">
        <f t="shared" ca="1" si="221"/>
        <v/>
      </c>
      <c r="I3733" s="388" t="str">
        <f t="shared" ca="1" si="222"/>
        <v/>
      </c>
    </row>
    <row r="3734" spans="1:9" x14ac:dyDescent="0.3">
      <c r="A3734" s="384" t="b">
        <f t="shared" ca="1" si="220"/>
        <v>0</v>
      </c>
      <c r="B3734" s="393" t="str">
        <f ca="1">IF(COUNTA(G$2863:G3733)=1,"",OFFSET(B3734,-COUNTA(G$2863:G3733)+1,0))</f>
        <v>a1bDm000000Y7vNIAS</v>
      </c>
      <c r="C3734" s="389">
        <f ca="1">IF(COUNTA(G$2863:G3733)=1,"",OFFSET(C3734,-COUNTA(G$2863:G3733)+1,0))</f>
        <v>65</v>
      </c>
      <c r="D3734" s="384">
        <f t="shared" si="217"/>
        <v>389</v>
      </c>
      <c r="E3734" s="384">
        <f t="shared" ca="1" si="218"/>
        <v>5</v>
      </c>
      <c r="F3734" s="384">
        <f t="shared" ca="1" si="219"/>
        <v>73</v>
      </c>
      <c r="G3734" s="384"/>
      <c r="H3734" s="388" t="str">
        <f t="shared" ca="1" si="221"/>
        <v/>
      </c>
      <c r="I3734" s="388" t="str">
        <f t="shared" ca="1" si="222"/>
        <v/>
      </c>
    </row>
    <row r="3735" spans="1:9" x14ac:dyDescent="0.3">
      <c r="A3735" s="384" t="b">
        <f t="shared" ca="1" si="220"/>
        <v>0</v>
      </c>
      <c r="B3735" s="393" t="str">
        <f ca="1">IF(COUNTA(G$2863:G3734)=1,"",OFFSET(B3735,-COUNTA(G$2863:G3734)+1,0))</f>
        <v>a1bDm000000Y7wfIAC</v>
      </c>
      <c r="C3735" s="389">
        <f ca="1">IF(COUNTA(G$2863:G3734)=1,"",OFFSET(C3735,-COUNTA(G$2863:G3734)+1,0))</f>
        <v>65</v>
      </c>
      <c r="D3735" s="384">
        <f t="shared" si="217"/>
        <v>390</v>
      </c>
      <c r="E3735" s="384">
        <f t="shared" ca="1" si="218"/>
        <v>6</v>
      </c>
      <c r="F3735" s="384">
        <f t="shared" ca="1" si="219"/>
        <v>73</v>
      </c>
      <c r="G3735" s="384"/>
      <c r="H3735" s="388" t="str">
        <f t="shared" ca="1" si="221"/>
        <v/>
      </c>
      <c r="I3735" s="388" t="str">
        <f t="shared" ca="1" si="222"/>
        <v/>
      </c>
    </row>
    <row r="3736" spans="1:9" x14ac:dyDescent="0.3">
      <c r="A3736" s="384" t="b">
        <f t="shared" ca="1" si="220"/>
        <v>0</v>
      </c>
      <c r="B3736" s="393" t="str">
        <f ca="1">IF(COUNTA(G$2863:G3735)=1,"",OFFSET(B3736,-COUNTA(G$2863:G3735)+1,0))</f>
        <v>a1bDm000000Y7qEIAS</v>
      </c>
      <c r="C3736" s="389">
        <f ca="1">IF(COUNTA(G$2863:G3735)=1,"",OFFSET(C3736,-COUNTA(G$2863:G3735)+1,0))</f>
        <v>66</v>
      </c>
      <c r="D3736" s="384">
        <f t="shared" si="217"/>
        <v>391</v>
      </c>
      <c r="E3736" s="384">
        <f t="shared" ca="1" si="218"/>
        <v>1</v>
      </c>
      <c r="F3736" s="384">
        <f t="shared" ca="1" si="219"/>
        <v>74</v>
      </c>
      <c r="G3736" s="384"/>
      <c r="H3736" s="388" t="str">
        <f t="shared" ca="1" si="221"/>
        <v/>
      </c>
      <c r="I3736" s="388" t="str">
        <f t="shared" ca="1" si="222"/>
        <v/>
      </c>
    </row>
    <row r="3737" spans="1:9" x14ac:dyDescent="0.3">
      <c r="A3737" s="384" t="b">
        <f t="shared" ca="1" si="220"/>
        <v>0</v>
      </c>
      <c r="B3737" s="393" t="str">
        <f ca="1">IF(COUNTA(G$2863:G3736)=1,"",OFFSET(B3737,-COUNTA(G$2863:G3736)+1,0))</f>
        <v>a1bDm000000Y7rWIAS</v>
      </c>
      <c r="C3737" s="389">
        <f ca="1">IF(COUNTA(G$2863:G3736)=1,"",OFFSET(C3737,-COUNTA(G$2863:G3736)+1,0))</f>
        <v>66</v>
      </c>
      <c r="D3737" s="384">
        <f t="shared" si="217"/>
        <v>392</v>
      </c>
      <c r="E3737" s="384">
        <f t="shared" ca="1" si="218"/>
        <v>2</v>
      </c>
      <c r="F3737" s="384">
        <f t="shared" ca="1" si="219"/>
        <v>74</v>
      </c>
      <c r="G3737" s="384"/>
      <c r="H3737" s="388" t="str">
        <f t="shared" ca="1" si="221"/>
        <v/>
      </c>
      <c r="I3737" s="388" t="str">
        <f t="shared" ca="1" si="222"/>
        <v/>
      </c>
    </row>
    <row r="3738" spans="1:9" x14ac:dyDescent="0.3">
      <c r="A3738" s="384" t="b">
        <f t="shared" ca="1" si="220"/>
        <v>0</v>
      </c>
      <c r="B3738" s="393" t="str">
        <f ca="1">IF(COUNTA(G$2863:G3737)=1,"",OFFSET(B3738,-COUNTA(G$2863:G3737)+1,0))</f>
        <v>a1bDm000000Y7soIAC</v>
      </c>
      <c r="C3738" s="389">
        <f ca="1">IF(COUNTA(G$2863:G3737)=1,"",OFFSET(C3738,-COUNTA(G$2863:G3737)+1,0))</f>
        <v>66</v>
      </c>
      <c r="D3738" s="384">
        <f t="shared" si="217"/>
        <v>393</v>
      </c>
      <c r="E3738" s="384">
        <f t="shared" ca="1" si="218"/>
        <v>3</v>
      </c>
      <c r="F3738" s="384">
        <f t="shared" ca="1" si="219"/>
        <v>74</v>
      </c>
      <c r="G3738" s="384"/>
      <c r="H3738" s="388" t="str">
        <f t="shared" ca="1" si="221"/>
        <v/>
      </c>
      <c r="I3738" s="388" t="str">
        <f t="shared" ca="1" si="222"/>
        <v/>
      </c>
    </row>
    <row r="3739" spans="1:9" x14ac:dyDescent="0.3">
      <c r="A3739" s="384" t="b">
        <f t="shared" ca="1" si="220"/>
        <v>0</v>
      </c>
      <c r="B3739" s="393" t="str">
        <f ca="1">IF(COUNTA(G$2863:G3738)=1,"",OFFSET(B3739,-COUNTA(G$2863:G3738)+1,0))</f>
        <v>a1bDm000000Y7u6IAC</v>
      </c>
      <c r="C3739" s="389">
        <f ca="1">IF(COUNTA(G$2863:G3738)=1,"",OFFSET(C3739,-COUNTA(G$2863:G3738)+1,0))</f>
        <v>66</v>
      </c>
      <c r="D3739" s="384">
        <f t="shared" si="217"/>
        <v>394</v>
      </c>
      <c r="E3739" s="384">
        <f t="shared" ca="1" si="218"/>
        <v>4</v>
      </c>
      <c r="F3739" s="384">
        <f t="shared" ca="1" si="219"/>
        <v>74</v>
      </c>
      <c r="G3739" s="384"/>
      <c r="H3739" s="388" t="str">
        <f t="shared" ca="1" si="221"/>
        <v/>
      </c>
      <c r="I3739" s="388" t="str">
        <f t="shared" ca="1" si="222"/>
        <v/>
      </c>
    </row>
    <row r="3740" spans="1:9" x14ac:dyDescent="0.3">
      <c r="A3740" s="384" t="b">
        <f t="shared" ca="1" si="220"/>
        <v>0</v>
      </c>
      <c r="B3740" s="393" t="str">
        <f ca="1">IF(COUNTA(G$2863:G3739)=1,"",OFFSET(B3740,-COUNTA(G$2863:G3739)+1,0))</f>
        <v>a1bDm000000Y7vOIAS</v>
      </c>
      <c r="C3740" s="389">
        <f ca="1">IF(COUNTA(G$2863:G3739)=1,"",OFFSET(C3740,-COUNTA(G$2863:G3739)+1,0))</f>
        <v>66</v>
      </c>
      <c r="D3740" s="384">
        <f t="shared" si="217"/>
        <v>395</v>
      </c>
      <c r="E3740" s="384">
        <f t="shared" ca="1" si="218"/>
        <v>5</v>
      </c>
      <c r="F3740" s="384">
        <f t="shared" ca="1" si="219"/>
        <v>74</v>
      </c>
      <c r="G3740" s="384"/>
      <c r="H3740" s="388" t="str">
        <f t="shared" ca="1" si="221"/>
        <v/>
      </c>
      <c r="I3740" s="388" t="str">
        <f t="shared" ca="1" si="222"/>
        <v/>
      </c>
    </row>
    <row r="3741" spans="1:9" x14ac:dyDescent="0.3">
      <c r="A3741" s="384" t="b">
        <f t="shared" ca="1" si="220"/>
        <v>0</v>
      </c>
      <c r="B3741" s="393" t="str">
        <f ca="1">IF(COUNTA(G$2863:G3740)=1,"",OFFSET(B3741,-COUNTA(G$2863:G3740)+1,0))</f>
        <v>a1bDm000000Y7wgIAC</v>
      </c>
      <c r="C3741" s="389">
        <f ca="1">IF(COUNTA(G$2863:G3740)=1,"",OFFSET(C3741,-COUNTA(G$2863:G3740)+1,0))</f>
        <v>66</v>
      </c>
      <c r="D3741" s="384">
        <f t="shared" si="217"/>
        <v>396</v>
      </c>
      <c r="E3741" s="384">
        <f t="shared" ca="1" si="218"/>
        <v>6</v>
      </c>
      <c r="F3741" s="384">
        <f t="shared" ca="1" si="219"/>
        <v>74</v>
      </c>
      <c r="G3741" s="384"/>
      <c r="H3741" s="388" t="str">
        <f t="shared" ca="1" si="221"/>
        <v/>
      </c>
      <c r="I3741" s="388" t="str">
        <f t="shared" ca="1" si="222"/>
        <v/>
      </c>
    </row>
    <row r="3742" spans="1:9" x14ac:dyDescent="0.3">
      <c r="A3742" s="384" t="b">
        <f t="shared" ca="1" si="220"/>
        <v>0</v>
      </c>
      <c r="B3742" s="393" t="str">
        <f ca="1">IF(COUNTA(G$2863:G3741)=1,"",OFFSET(B3742,-COUNTA(G$2863:G3741)+1,0))</f>
        <v>a1bDm000000Y7qFIAS</v>
      </c>
      <c r="C3742" s="389">
        <f ca="1">IF(COUNTA(G$2863:G3741)=1,"",OFFSET(C3742,-COUNTA(G$2863:G3741)+1,0))</f>
        <v>67</v>
      </c>
      <c r="D3742" s="384">
        <f t="shared" si="217"/>
        <v>397</v>
      </c>
      <c r="E3742" s="384">
        <f t="shared" ca="1" si="218"/>
        <v>1</v>
      </c>
      <c r="F3742" s="384">
        <f t="shared" ca="1" si="219"/>
        <v>75</v>
      </c>
      <c r="G3742" s="384"/>
      <c r="H3742" s="388" t="str">
        <f t="shared" ca="1" si="221"/>
        <v/>
      </c>
      <c r="I3742" s="388" t="str">
        <f t="shared" ca="1" si="222"/>
        <v/>
      </c>
    </row>
    <row r="3743" spans="1:9" x14ac:dyDescent="0.3">
      <c r="A3743" s="384" t="b">
        <f t="shared" ca="1" si="220"/>
        <v>0</v>
      </c>
      <c r="B3743" s="393" t="str">
        <f ca="1">IF(COUNTA(G$2863:G3742)=1,"",OFFSET(B3743,-COUNTA(G$2863:G3742)+1,0))</f>
        <v>a1bDm000000Y7rXIAS</v>
      </c>
      <c r="C3743" s="389">
        <f ca="1">IF(COUNTA(G$2863:G3742)=1,"",OFFSET(C3743,-COUNTA(G$2863:G3742)+1,0))</f>
        <v>67</v>
      </c>
      <c r="D3743" s="384">
        <f t="shared" si="217"/>
        <v>398</v>
      </c>
      <c r="E3743" s="384">
        <f t="shared" ca="1" si="218"/>
        <v>2</v>
      </c>
      <c r="F3743" s="384">
        <f t="shared" ca="1" si="219"/>
        <v>75</v>
      </c>
      <c r="G3743" s="384"/>
      <c r="H3743" s="388" t="str">
        <f t="shared" ca="1" si="221"/>
        <v/>
      </c>
      <c r="I3743" s="388" t="str">
        <f t="shared" ca="1" si="222"/>
        <v/>
      </c>
    </row>
    <row r="3744" spans="1:9" x14ac:dyDescent="0.3">
      <c r="A3744" s="384" t="b">
        <f t="shared" ca="1" si="220"/>
        <v>0</v>
      </c>
      <c r="B3744" s="393" t="str">
        <f ca="1">IF(COUNTA(G$2863:G3743)=1,"",OFFSET(B3744,-COUNTA(G$2863:G3743)+1,0))</f>
        <v>a1bDm000000Y7spIAC</v>
      </c>
      <c r="C3744" s="389">
        <f ca="1">IF(COUNTA(G$2863:G3743)=1,"",OFFSET(C3744,-COUNTA(G$2863:G3743)+1,0))</f>
        <v>67</v>
      </c>
      <c r="D3744" s="384">
        <f t="shared" si="217"/>
        <v>399</v>
      </c>
      <c r="E3744" s="384">
        <f t="shared" ca="1" si="218"/>
        <v>3</v>
      </c>
      <c r="F3744" s="384">
        <f t="shared" ca="1" si="219"/>
        <v>75</v>
      </c>
      <c r="G3744" s="384"/>
      <c r="H3744" s="388" t="str">
        <f t="shared" ca="1" si="221"/>
        <v/>
      </c>
      <c r="I3744" s="388" t="str">
        <f t="shared" ca="1" si="222"/>
        <v/>
      </c>
    </row>
    <row r="3745" spans="1:9" x14ac:dyDescent="0.3">
      <c r="A3745" s="384" t="b">
        <f t="shared" ca="1" si="220"/>
        <v>0</v>
      </c>
      <c r="B3745" s="393" t="str">
        <f ca="1">IF(COUNTA(G$2863:G3744)=1,"",OFFSET(B3745,-COUNTA(G$2863:G3744)+1,0))</f>
        <v>a1bDm000000Y7u7IAC</v>
      </c>
      <c r="C3745" s="389">
        <f ca="1">IF(COUNTA(G$2863:G3744)=1,"",OFFSET(C3745,-COUNTA(G$2863:G3744)+1,0))</f>
        <v>67</v>
      </c>
      <c r="D3745" s="384">
        <f t="shared" si="217"/>
        <v>400</v>
      </c>
      <c r="E3745" s="384">
        <f t="shared" ca="1" si="218"/>
        <v>4</v>
      </c>
      <c r="F3745" s="384">
        <f t="shared" ca="1" si="219"/>
        <v>75</v>
      </c>
      <c r="G3745" s="384"/>
      <c r="H3745" s="388" t="str">
        <f t="shared" ca="1" si="221"/>
        <v/>
      </c>
      <c r="I3745" s="388" t="str">
        <f t="shared" ca="1" si="222"/>
        <v/>
      </c>
    </row>
    <row r="3746" spans="1:9" x14ac:dyDescent="0.3">
      <c r="A3746" s="384" t="b">
        <f t="shared" ca="1" si="220"/>
        <v>0</v>
      </c>
      <c r="B3746" s="393" t="str">
        <f ca="1">IF(COUNTA(G$2863:G3745)=1,"",OFFSET(B3746,-COUNTA(G$2863:G3745)+1,0))</f>
        <v>a1bDm000000Y7vPIAS</v>
      </c>
      <c r="C3746" s="389">
        <f ca="1">IF(COUNTA(G$2863:G3745)=1,"",OFFSET(C3746,-COUNTA(G$2863:G3745)+1,0))</f>
        <v>67</v>
      </c>
      <c r="D3746" s="384">
        <f t="shared" si="217"/>
        <v>401</v>
      </c>
      <c r="E3746" s="384">
        <f t="shared" ca="1" si="218"/>
        <v>5</v>
      </c>
      <c r="F3746" s="384">
        <f t="shared" ca="1" si="219"/>
        <v>75</v>
      </c>
      <c r="G3746" s="384"/>
      <c r="H3746" s="388" t="str">
        <f t="shared" ca="1" si="221"/>
        <v/>
      </c>
      <c r="I3746" s="388" t="str">
        <f t="shared" ca="1" si="222"/>
        <v/>
      </c>
    </row>
    <row r="3747" spans="1:9" x14ac:dyDescent="0.3">
      <c r="A3747" s="384" t="b">
        <f t="shared" ca="1" si="220"/>
        <v>0</v>
      </c>
      <c r="B3747" s="393" t="str">
        <f ca="1">IF(COUNTA(G$2863:G3746)=1,"",OFFSET(B3747,-COUNTA(G$2863:G3746)+1,0))</f>
        <v>a1bDm000000Y7whIAC</v>
      </c>
      <c r="C3747" s="389">
        <f ca="1">IF(COUNTA(G$2863:G3746)=1,"",OFFSET(C3747,-COUNTA(G$2863:G3746)+1,0))</f>
        <v>67</v>
      </c>
      <c r="D3747" s="384">
        <f t="shared" si="217"/>
        <v>402</v>
      </c>
      <c r="E3747" s="384">
        <f t="shared" ca="1" si="218"/>
        <v>6</v>
      </c>
      <c r="F3747" s="384">
        <f t="shared" ca="1" si="219"/>
        <v>75</v>
      </c>
      <c r="G3747" s="384"/>
      <c r="H3747" s="388" t="str">
        <f t="shared" ca="1" si="221"/>
        <v/>
      </c>
      <c r="I3747" s="388" t="str">
        <f t="shared" ca="1" si="222"/>
        <v/>
      </c>
    </row>
    <row r="3748" spans="1:9" x14ac:dyDescent="0.3">
      <c r="A3748" s="384" t="b">
        <f t="shared" ca="1" si="220"/>
        <v>0</v>
      </c>
      <c r="B3748" s="393" t="str">
        <f ca="1">IF(COUNTA(G$2863:G3747)=1,"",OFFSET(B3748,-COUNTA(G$2863:G3747)+1,0))</f>
        <v>a1bDm000000Y7qGIAS</v>
      </c>
      <c r="C3748" s="389">
        <f ca="1">IF(COUNTA(G$2863:G3747)=1,"",OFFSET(C3748,-COUNTA(G$2863:G3747)+1,0))</f>
        <v>68</v>
      </c>
      <c r="D3748" s="384">
        <f t="shared" si="217"/>
        <v>403</v>
      </c>
      <c r="E3748" s="384">
        <f t="shared" ca="1" si="218"/>
        <v>1</v>
      </c>
      <c r="F3748" s="384">
        <f t="shared" ca="1" si="219"/>
        <v>76</v>
      </c>
      <c r="G3748" s="384"/>
      <c r="H3748" s="388" t="str">
        <f t="shared" ca="1" si="221"/>
        <v/>
      </c>
      <c r="I3748" s="388" t="str">
        <f t="shared" ca="1" si="222"/>
        <v/>
      </c>
    </row>
    <row r="3749" spans="1:9" x14ac:dyDescent="0.3">
      <c r="A3749" s="384" t="b">
        <f t="shared" ca="1" si="220"/>
        <v>0</v>
      </c>
      <c r="B3749" s="393" t="str">
        <f ca="1">IF(COUNTA(G$2863:G3748)=1,"",OFFSET(B3749,-COUNTA(G$2863:G3748)+1,0))</f>
        <v>a1bDm000000Y7rYIAS</v>
      </c>
      <c r="C3749" s="389">
        <f ca="1">IF(COUNTA(G$2863:G3748)=1,"",OFFSET(C3749,-COUNTA(G$2863:G3748)+1,0))</f>
        <v>68</v>
      </c>
      <c r="D3749" s="384">
        <f t="shared" si="217"/>
        <v>404</v>
      </c>
      <c r="E3749" s="384">
        <f t="shared" ca="1" si="218"/>
        <v>2</v>
      </c>
      <c r="F3749" s="384">
        <f t="shared" ca="1" si="219"/>
        <v>76</v>
      </c>
      <c r="G3749" s="384"/>
      <c r="H3749" s="388" t="str">
        <f t="shared" ca="1" si="221"/>
        <v/>
      </c>
      <c r="I3749" s="388" t="str">
        <f t="shared" ca="1" si="222"/>
        <v/>
      </c>
    </row>
    <row r="3750" spans="1:9" x14ac:dyDescent="0.3">
      <c r="A3750" s="384" t="b">
        <f t="shared" ca="1" si="220"/>
        <v>0</v>
      </c>
      <c r="B3750" s="393" t="str">
        <f ca="1">IF(COUNTA(G$2863:G3749)=1,"",OFFSET(B3750,-COUNTA(G$2863:G3749)+1,0))</f>
        <v>a1bDm000000Y7sqIAC</v>
      </c>
      <c r="C3750" s="389">
        <f ca="1">IF(COUNTA(G$2863:G3749)=1,"",OFFSET(C3750,-COUNTA(G$2863:G3749)+1,0))</f>
        <v>68</v>
      </c>
      <c r="D3750" s="384">
        <f t="shared" si="217"/>
        <v>405</v>
      </c>
      <c r="E3750" s="384">
        <f t="shared" ca="1" si="218"/>
        <v>3</v>
      </c>
      <c r="F3750" s="384">
        <f t="shared" ca="1" si="219"/>
        <v>76</v>
      </c>
      <c r="G3750" s="384"/>
      <c r="H3750" s="388" t="str">
        <f t="shared" ca="1" si="221"/>
        <v/>
      </c>
      <c r="I3750" s="388" t="str">
        <f t="shared" ca="1" si="222"/>
        <v/>
      </c>
    </row>
    <row r="3751" spans="1:9" x14ac:dyDescent="0.3">
      <c r="A3751" s="384" t="b">
        <f t="shared" ca="1" si="220"/>
        <v>0</v>
      </c>
      <c r="B3751" s="393" t="str">
        <f ca="1">IF(COUNTA(G$2863:G3750)=1,"",OFFSET(B3751,-COUNTA(G$2863:G3750)+1,0))</f>
        <v>a1bDm000000Y7u8IAC</v>
      </c>
      <c r="C3751" s="389">
        <f ca="1">IF(COUNTA(G$2863:G3750)=1,"",OFFSET(C3751,-COUNTA(G$2863:G3750)+1,0))</f>
        <v>68</v>
      </c>
      <c r="D3751" s="384">
        <f t="shared" si="217"/>
        <v>406</v>
      </c>
      <c r="E3751" s="384">
        <f t="shared" ca="1" si="218"/>
        <v>4</v>
      </c>
      <c r="F3751" s="384">
        <f t="shared" ca="1" si="219"/>
        <v>76</v>
      </c>
      <c r="G3751" s="384"/>
      <c r="H3751" s="388" t="str">
        <f t="shared" ca="1" si="221"/>
        <v/>
      </c>
      <c r="I3751" s="388" t="str">
        <f t="shared" ca="1" si="222"/>
        <v/>
      </c>
    </row>
    <row r="3752" spans="1:9" x14ac:dyDescent="0.3">
      <c r="A3752" s="384" t="b">
        <f t="shared" ca="1" si="220"/>
        <v>0</v>
      </c>
      <c r="B3752" s="393" t="str">
        <f ca="1">IF(COUNTA(G$2863:G3751)=1,"",OFFSET(B3752,-COUNTA(G$2863:G3751)+1,0))</f>
        <v>a1bDm000000Y7vQIAS</v>
      </c>
      <c r="C3752" s="389">
        <f ca="1">IF(COUNTA(G$2863:G3751)=1,"",OFFSET(C3752,-COUNTA(G$2863:G3751)+1,0))</f>
        <v>68</v>
      </c>
      <c r="D3752" s="384">
        <f t="shared" si="217"/>
        <v>407</v>
      </c>
      <c r="E3752" s="384">
        <f t="shared" ca="1" si="218"/>
        <v>5</v>
      </c>
      <c r="F3752" s="384">
        <f t="shared" ca="1" si="219"/>
        <v>76</v>
      </c>
      <c r="G3752" s="384"/>
      <c r="H3752" s="388" t="str">
        <f t="shared" ca="1" si="221"/>
        <v/>
      </c>
      <c r="I3752" s="388" t="str">
        <f t="shared" ca="1" si="222"/>
        <v/>
      </c>
    </row>
    <row r="3753" spans="1:9" x14ac:dyDescent="0.3">
      <c r="A3753" s="384" t="b">
        <f t="shared" ca="1" si="220"/>
        <v>0</v>
      </c>
      <c r="B3753" s="393" t="str">
        <f ca="1">IF(COUNTA(G$2863:G3752)=1,"",OFFSET(B3753,-COUNTA(G$2863:G3752)+1,0))</f>
        <v>a1bDm000000Y7wiIAC</v>
      </c>
      <c r="C3753" s="389">
        <f ca="1">IF(COUNTA(G$2863:G3752)=1,"",OFFSET(C3753,-COUNTA(G$2863:G3752)+1,0))</f>
        <v>68</v>
      </c>
      <c r="D3753" s="384">
        <f t="shared" si="217"/>
        <v>408</v>
      </c>
      <c r="E3753" s="384">
        <f t="shared" ca="1" si="218"/>
        <v>6</v>
      </c>
      <c r="F3753" s="384">
        <f t="shared" ca="1" si="219"/>
        <v>76</v>
      </c>
      <c r="G3753" s="384"/>
      <c r="H3753" s="388" t="str">
        <f t="shared" ca="1" si="221"/>
        <v/>
      </c>
      <c r="I3753" s="388" t="str">
        <f t="shared" ca="1" si="222"/>
        <v/>
      </c>
    </row>
    <row r="3754" spans="1:9" x14ac:dyDescent="0.3">
      <c r="A3754" s="384" t="b">
        <f t="shared" ca="1" si="220"/>
        <v>0</v>
      </c>
      <c r="B3754" s="393" t="str">
        <f ca="1">IF(COUNTA(G$2863:G3753)=1,"",OFFSET(B3754,-COUNTA(G$2863:G3753)+1,0))</f>
        <v>a1bDm000000Y7qHIAS</v>
      </c>
      <c r="C3754" s="389">
        <f ca="1">IF(COUNTA(G$2863:G3753)=1,"",OFFSET(C3754,-COUNTA(G$2863:G3753)+1,0))</f>
        <v>69</v>
      </c>
      <c r="D3754" s="384">
        <f t="shared" si="217"/>
        <v>409</v>
      </c>
      <c r="E3754" s="384">
        <f t="shared" ca="1" si="218"/>
        <v>1</v>
      </c>
      <c r="F3754" s="384">
        <f t="shared" ca="1" si="219"/>
        <v>77</v>
      </c>
      <c r="G3754" s="384"/>
      <c r="H3754" s="388" t="str">
        <f t="shared" ca="1" si="221"/>
        <v/>
      </c>
      <c r="I3754" s="388" t="str">
        <f t="shared" ca="1" si="222"/>
        <v/>
      </c>
    </row>
    <row r="3755" spans="1:9" x14ac:dyDescent="0.3">
      <c r="A3755" s="384" t="b">
        <f t="shared" ca="1" si="220"/>
        <v>0</v>
      </c>
      <c r="B3755" s="393" t="str">
        <f ca="1">IF(COUNTA(G$2863:G3754)=1,"",OFFSET(B3755,-COUNTA(G$2863:G3754)+1,0))</f>
        <v>a1bDm000000Y7rZIAS</v>
      </c>
      <c r="C3755" s="389">
        <f ca="1">IF(COUNTA(G$2863:G3754)=1,"",OFFSET(C3755,-COUNTA(G$2863:G3754)+1,0))</f>
        <v>69</v>
      </c>
      <c r="D3755" s="384">
        <f t="shared" si="217"/>
        <v>410</v>
      </c>
      <c r="E3755" s="384">
        <f t="shared" ca="1" si="218"/>
        <v>2</v>
      </c>
      <c r="F3755" s="384">
        <f t="shared" ca="1" si="219"/>
        <v>77</v>
      </c>
      <c r="G3755" s="384"/>
      <c r="H3755" s="388" t="str">
        <f t="shared" ca="1" si="221"/>
        <v/>
      </c>
      <c r="I3755" s="388" t="str">
        <f t="shared" ca="1" si="222"/>
        <v/>
      </c>
    </row>
    <row r="3756" spans="1:9" x14ac:dyDescent="0.3">
      <c r="A3756" s="384" t="b">
        <f t="shared" ca="1" si="220"/>
        <v>0</v>
      </c>
      <c r="B3756" s="393" t="str">
        <f ca="1">IF(COUNTA(G$2863:G3755)=1,"",OFFSET(B3756,-COUNTA(G$2863:G3755)+1,0))</f>
        <v>a1bDm000000Y7srIAC</v>
      </c>
      <c r="C3756" s="389">
        <f ca="1">IF(COUNTA(G$2863:G3755)=1,"",OFFSET(C3756,-COUNTA(G$2863:G3755)+1,0))</f>
        <v>69</v>
      </c>
      <c r="D3756" s="384">
        <f t="shared" si="217"/>
        <v>411</v>
      </c>
      <c r="E3756" s="384">
        <f t="shared" ca="1" si="218"/>
        <v>3</v>
      </c>
      <c r="F3756" s="384">
        <f t="shared" ca="1" si="219"/>
        <v>77</v>
      </c>
      <c r="G3756" s="384"/>
      <c r="H3756" s="388" t="str">
        <f t="shared" ca="1" si="221"/>
        <v/>
      </c>
      <c r="I3756" s="388" t="str">
        <f t="shared" ca="1" si="222"/>
        <v/>
      </c>
    </row>
    <row r="3757" spans="1:9" x14ac:dyDescent="0.3">
      <c r="A3757" s="384" t="b">
        <f t="shared" ca="1" si="220"/>
        <v>0</v>
      </c>
      <c r="B3757" s="393" t="str">
        <f ca="1">IF(COUNTA(G$2863:G3756)=1,"",OFFSET(B3757,-COUNTA(G$2863:G3756)+1,0))</f>
        <v>a1bDm000000Y7u9IAC</v>
      </c>
      <c r="C3757" s="389">
        <f ca="1">IF(COUNTA(G$2863:G3756)=1,"",OFFSET(C3757,-COUNTA(G$2863:G3756)+1,0))</f>
        <v>69</v>
      </c>
      <c r="D3757" s="384">
        <f t="shared" si="217"/>
        <v>412</v>
      </c>
      <c r="E3757" s="384">
        <f t="shared" ca="1" si="218"/>
        <v>4</v>
      </c>
      <c r="F3757" s="384">
        <f t="shared" ca="1" si="219"/>
        <v>77</v>
      </c>
      <c r="G3757" s="384"/>
      <c r="H3757" s="388" t="str">
        <f t="shared" ca="1" si="221"/>
        <v/>
      </c>
      <c r="I3757" s="388" t="str">
        <f t="shared" ca="1" si="222"/>
        <v/>
      </c>
    </row>
    <row r="3758" spans="1:9" x14ac:dyDescent="0.3">
      <c r="A3758" s="384" t="b">
        <f t="shared" ca="1" si="220"/>
        <v>0</v>
      </c>
      <c r="B3758" s="393" t="str">
        <f ca="1">IF(COUNTA(G$2863:G3757)=1,"",OFFSET(B3758,-COUNTA(G$2863:G3757)+1,0))</f>
        <v>a1bDm000000Y7vRIAS</v>
      </c>
      <c r="C3758" s="389">
        <f ca="1">IF(COUNTA(G$2863:G3757)=1,"",OFFSET(C3758,-COUNTA(G$2863:G3757)+1,0))</f>
        <v>69</v>
      </c>
      <c r="D3758" s="384">
        <f t="shared" si="217"/>
        <v>413</v>
      </c>
      <c r="E3758" s="384">
        <f t="shared" ca="1" si="218"/>
        <v>5</v>
      </c>
      <c r="F3758" s="384">
        <f t="shared" ca="1" si="219"/>
        <v>77</v>
      </c>
      <c r="G3758" s="384"/>
      <c r="H3758" s="388" t="str">
        <f t="shared" ca="1" si="221"/>
        <v/>
      </c>
      <c r="I3758" s="388" t="str">
        <f t="shared" ca="1" si="222"/>
        <v/>
      </c>
    </row>
    <row r="3759" spans="1:9" x14ac:dyDescent="0.3">
      <c r="A3759" s="384" t="b">
        <f t="shared" ca="1" si="220"/>
        <v>0</v>
      </c>
      <c r="B3759" s="393" t="str">
        <f ca="1">IF(COUNTA(G$2863:G3758)=1,"",OFFSET(B3759,-COUNTA(G$2863:G3758)+1,0))</f>
        <v>a1bDm000000Y7wjIAC</v>
      </c>
      <c r="C3759" s="389">
        <f ca="1">IF(COUNTA(G$2863:G3758)=1,"",OFFSET(C3759,-COUNTA(G$2863:G3758)+1,0))</f>
        <v>69</v>
      </c>
      <c r="D3759" s="384">
        <f t="shared" si="217"/>
        <v>414</v>
      </c>
      <c r="E3759" s="384">
        <f t="shared" ca="1" si="218"/>
        <v>6</v>
      </c>
      <c r="F3759" s="384">
        <f t="shared" ca="1" si="219"/>
        <v>77</v>
      </c>
      <c r="G3759" s="384"/>
      <c r="H3759" s="388" t="str">
        <f t="shared" ca="1" si="221"/>
        <v/>
      </c>
      <c r="I3759" s="388" t="str">
        <f t="shared" ca="1" si="222"/>
        <v/>
      </c>
    </row>
    <row r="3760" spans="1:9" x14ac:dyDescent="0.3">
      <c r="A3760" s="384" t="b">
        <f t="shared" ca="1" si="220"/>
        <v>0</v>
      </c>
      <c r="B3760" s="393" t="str">
        <f ca="1">IF(COUNTA(G$2863:G3759)=1,"",OFFSET(B3760,-COUNTA(G$2863:G3759)+1,0))</f>
        <v>a1bDm000000Y7qIIAS</v>
      </c>
      <c r="C3760" s="389">
        <f ca="1">IF(COUNTA(G$2863:G3759)=1,"",OFFSET(C3760,-COUNTA(G$2863:G3759)+1,0))</f>
        <v>70</v>
      </c>
      <c r="D3760" s="384">
        <f t="shared" si="217"/>
        <v>415</v>
      </c>
      <c r="E3760" s="384">
        <f t="shared" ca="1" si="218"/>
        <v>1</v>
      </c>
      <c r="F3760" s="384">
        <f t="shared" ca="1" si="219"/>
        <v>78</v>
      </c>
      <c r="G3760" s="384"/>
      <c r="H3760" s="388" t="str">
        <f t="shared" ca="1" si="221"/>
        <v/>
      </c>
      <c r="I3760" s="388" t="str">
        <f t="shared" ca="1" si="222"/>
        <v/>
      </c>
    </row>
    <row r="3761" spans="1:9" x14ac:dyDescent="0.3">
      <c r="A3761" s="384" t="b">
        <f t="shared" ca="1" si="220"/>
        <v>0</v>
      </c>
      <c r="B3761" s="393" t="str">
        <f ca="1">IF(COUNTA(G$2863:G3760)=1,"",OFFSET(B3761,-COUNTA(G$2863:G3760)+1,0))</f>
        <v>a1bDm000000Y7raIAC</v>
      </c>
      <c r="C3761" s="389">
        <f ca="1">IF(COUNTA(G$2863:G3760)=1,"",OFFSET(C3761,-COUNTA(G$2863:G3760)+1,0))</f>
        <v>70</v>
      </c>
      <c r="D3761" s="384">
        <f t="shared" si="217"/>
        <v>416</v>
      </c>
      <c r="E3761" s="384">
        <f t="shared" ca="1" si="218"/>
        <v>2</v>
      </c>
      <c r="F3761" s="384">
        <f t="shared" ca="1" si="219"/>
        <v>78</v>
      </c>
      <c r="G3761" s="384"/>
      <c r="H3761" s="388" t="str">
        <f t="shared" ca="1" si="221"/>
        <v/>
      </c>
      <c r="I3761" s="388" t="str">
        <f t="shared" ca="1" si="222"/>
        <v/>
      </c>
    </row>
    <row r="3762" spans="1:9" x14ac:dyDescent="0.3">
      <c r="A3762" s="384" t="b">
        <f t="shared" ca="1" si="220"/>
        <v>0</v>
      </c>
      <c r="B3762" s="393" t="str">
        <f ca="1">IF(COUNTA(G$2863:G3761)=1,"",OFFSET(B3762,-COUNTA(G$2863:G3761)+1,0))</f>
        <v>a1bDm000000Y7ssIAC</v>
      </c>
      <c r="C3762" s="389">
        <f ca="1">IF(COUNTA(G$2863:G3761)=1,"",OFFSET(C3762,-COUNTA(G$2863:G3761)+1,0))</f>
        <v>70</v>
      </c>
      <c r="D3762" s="384">
        <f t="shared" ref="D3762:D3825" si="223">D3761+1</f>
        <v>417</v>
      </c>
      <c r="E3762" s="384">
        <f t="shared" ref="E3762:E3825" ca="1" si="224">COUNTIF(C3592:C3762,C3762)</f>
        <v>3</v>
      </c>
      <c r="F3762" s="384">
        <f t="shared" ref="F3762:F3825" ca="1" si="225">IF(C3762=1,9,IF(E3761=MAX(E3760:E3762),F3760+1,F3761))</f>
        <v>78</v>
      </c>
      <c r="G3762" s="384"/>
      <c r="H3762" s="388" t="str">
        <f t="shared" ca="1" si="221"/>
        <v/>
      </c>
      <c r="I3762" s="388" t="str">
        <f t="shared" ca="1" si="222"/>
        <v/>
      </c>
    </row>
    <row r="3763" spans="1:9" x14ac:dyDescent="0.3">
      <c r="A3763" s="384" t="b">
        <f t="shared" ca="1" si="220"/>
        <v>0</v>
      </c>
      <c r="B3763" s="393" t="str">
        <f ca="1">IF(COUNTA(G$2863:G3762)=1,"",OFFSET(B3763,-COUNTA(G$2863:G3762)+1,0))</f>
        <v>a1bDm000000Y7uAIAS</v>
      </c>
      <c r="C3763" s="389">
        <f ca="1">IF(COUNTA(G$2863:G3762)=1,"",OFFSET(C3763,-COUNTA(G$2863:G3762)+1,0))</f>
        <v>70</v>
      </c>
      <c r="D3763" s="384">
        <f t="shared" si="223"/>
        <v>418</v>
      </c>
      <c r="E3763" s="384">
        <f t="shared" ca="1" si="224"/>
        <v>4</v>
      </c>
      <c r="F3763" s="384">
        <f t="shared" ca="1" si="225"/>
        <v>78</v>
      </c>
      <c r="G3763" s="384"/>
      <c r="H3763" s="388" t="str">
        <f t="shared" ca="1" si="221"/>
        <v/>
      </c>
      <c r="I3763" s="388" t="str">
        <f t="shared" ca="1" si="222"/>
        <v/>
      </c>
    </row>
    <row r="3764" spans="1:9" x14ac:dyDescent="0.3">
      <c r="A3764" s="384" t="b">
        <f t="shared" ca="1" si="220"/>
        <v>0</v>
      </c>
      <c r="B3764" s="393" t="str">
        <f ca="1">IF(COUNTA(G$2863:G3763)=1,"",OFFSET(B3764,-COUNTA(G$2863:G3763)+1,0))</f>
        <v>a1bDm000000Y7vSIAS</v>
      </c>
      <c r="C3764" s="389">
        <f ca="1">IF(COUNTA(G$2863:G3763)=1,"",OFFSET(C3764,-COUNTA(G$2863:G3763)+1,0))</f>
        <v>70</v>
      </c>
      <c r="D3764" s="384">
        <f t="shared" si="223"/>
        <v>419</v>
      </c>
      <c r="E3764" s="384">
        <f t="shared" ca="1" si="224"/>
        <v>5</v>
      </c>
      <c r="F3764" s="384">
        <f t="shared" ca="1" si="225"/>
        <v>78</v>
      </c>
      <c r="G3764" s="384"/>
      <c r="H3764" s="388" t="str">
        <f t="shared" ca="1" si="221"/>
        <v/>
      </c>
      <c r="I3764" s="388" t="str">
        <f t="shared" ca="1" si="222"/>
        <v/>
      </c>
    </row>
    <row r="3765" spans="1:9" x14ac:dyDescent="0.3">
      <c r="A3765" s="384" t="b">
        <f t="shared" ca="1" si="220"/>
        <v>0</v>
      </c>
      <c r="B3765" s="393" t="str">
        <f ca="1">IF(COUNTA(G$2863:G3764)=1,"",OFFSET(B3765,-COUNTA(G$2863:G3764)+1,0))</f>
        <v>a1bDm000000Y7wkIAC</v>
      </c>
      <c r="C3765" s="389">
        <f ca="1">IF(COUNTA(G$2863:G3764)=1,"",OFFSET(C3765,-COUNTA(G$2863:G3764)+1,0))</f>
        <v>70</v>
      </c>
      <c r="D3765" s="384">
        <f t="shared" si="223"/>
        <v>420</v>
      </c>
      <c r="E3765" s="384">
        <f t="shared" ca="1" si="224"/>
        <v>6</v>
      </c>
      <c r="F3765" s="384">
        <f t="shared" ca="1" si="225"/>
        <v>78</v>
      </c>
      <c r="G3765" s="384"/>
      <c r="H3765" s="388" t="str">
        <f t="shared" ca="1" si="221"/>
        <v/>
      </c>
      <c r="I3765" s="388" t="str">
        <f t="shared" ca="1" si="222"/>
        <v/>
      </c>
    </row>
    <row r="3766" spans="1:9" x14ac:dyDescent="0.3">
      <c r="A3766" s="384" t="b">
        <f t="shared" ca="1" si="220"/>
        <v>0</v>
      </c>
      <c r="B3766" s="393" t="str">
        <f ca="1">IF(COUNTA(G$2863:G3765)=1,"",OFFSET(B3766,-COUNTA(G$2863:G3765)+1,0))</f>
        <v>a1bDm000000Y7qJIAS</v>
      </c>
      <c r="C3766" s="389">
        <f ca="1">IF(COUNTA(G$2863:G3765)=1,"",OFFSET(C3766,-COUNTA(G$2863:G3765)+1,0))</f>
        <v>71</v>
      </c>
      <c r="D3766" s="384">
        <f t="shared" si="223"/>
        <v>421</v>
      </c>
      <c r="E3766" s="384">
        <f t="shared" ca="1" si="224"/>
        <v>1</v>
      </c>
      <c r="F3766" s="384">
        <f t="shared" ca="1" si="225"/>
        <v>79</v>
      </c>
      <c r="G3766" s="384"/>
      <c r="H3766" s="388" t="str">
        <f t="shared" ca="1" si="221"/>
        <v/>
      </c>
      <c r="I3766" s="388" t="str">
        <f t="shared" ca="1" si="222"/>
        <v/>
      </c>
    </row>
    <row r="3767" spans="1:9" x14ac:dyDescent="0.3">
      <c r="A3767" s="384" t="b">
        <f t="shared" ca="1" si="220"/>
        <v>0</v>
      </c>
      <c r="B3767" s="393" t="str">
        <f ca="1">IF(COUNTA(G$2863:G3766)=1,"",OFFSET(B3767,-COUNTA(G$2863:G3766)+1,0))</f>
        <v>a1bDm000000Y7rbIAC</v>
      </c>
      <c r="C3767" s="389">
        <f ca="1">IF(COUNTA(G$2863:G3766)=1,"",OFFSET(C3767,-COUNTA(G$2863:G3766)+1,0))</f>
        <v>71</v>
      </c>
      <c r="D3767" s="384">
        <f t="shared" si="223"/>
        <v>422</v>
      </c>
      <c r="E3767" s="384">
        <f t="shared" ca="1" si="224"/>
        <v>2</v>
      </c>
      <c r="F3767" s="384">
        <f t="shared" ca="1" si="225"/>
        <v>79</v>
      </c>
      <c r="G3767" s="384"/>
      <c r="H3767" s="388" t="str">
        <f t="shared" ca="1" si="221"/>
        <v/>
      </c>
      <c r="I3767" s="388" t="str">
        <f t="shared" ca="1" si="222"/>
        <v/>
      </c>
    </row>
    <row r="3768" spans="1:9" x14ac:dyDescent="0.3">
      <c r="A3768" s="384" t="b">
        <f t="shared" ca="1" si="220"/>
        <v>0</v>
      </c>
      <c r="B3768" s="393" t="str">
        <f ca="1">IF(COUNTA(G$2863:G3767)=1,"",OFFSET(B3768,-COUNTA(G$2863:G3767)+1,0))</f>
        <v>a1bDm000000Y7stIAC</v>
      </c>
      <c r="C3768" s="389">
        <f ca="1">IF(COUNTA(G$2863:G3767)=1,"",OFFSET(C3768,-COUNTA(G$2863:G3767)+1,0))</f>
        <v>71</v>
      </c>
      <c r="D3768" s="384">
        <f t="shared" si="223"/>
        <v>423</v>
      </c>
      <c r="E3768" s="384">
        <f t="shared" ca="1" si="224"/>
        <v>3</v>
      </c>
      <c r="F3768" s="384">
        <f t="shared" ca="1" si="225"/>
        <v>79</v>
      </c>
      <c r="G3768" s="384"/>
      <c r="H3768" s="388" t="str">
        <f t="shared" ca="1" si="221"/>
        <v/>
      </c>
      <c r="I3768" s="388" t="str">
        <f t="shared" ca="1" si="222"/>
        <v/>
      </c>
    </row>
    <row r="3769" spans="1:9" x14ac:dyDescent="0.3">
      <c r="A3769" s="384" t="b">
        <f t="shared" ca="1" si="220"/>
        <v>0</v>
      </c>
      <c r="B3769" s="393" t="str">
        <f ca="1">IF(COUNTA(G$2863:G3768)=1,"",OFFSET(B3769,-COUNTA(G$2863:G3768)+1,0))</f>
        <v>a1bDm000000Y7uBIAS</v>
      </c>
      <c r="C3769" s="389">
        <f ca="1">IF(COUNTA(G$2863:G3768)=1,"",OFFSET(C3769,-COUNTA(G$2863:G3768)+1,0))</f>
        <v>71</v>
      </c>
      <c r="D3769" s="384">
        <f t="shared" si="223"/>
        <v>424</v>
      </c>
      <c r="E3769" s="384">
        <f t="shared" ca="1" si="224"/>
        <v>4</v>
      </c>
      <c r="F3769" s="384">
        <f t="shared" ca="1" si="225"/>
        <v>79</v>
      </c>
      <c r="G3769" s="384"/>
      <c r="H3769" s="388" t="str">
        <f t="shared" ca="1" si="221"/>
        <v/>
      </c>
      <c r="I3769" s="388" t="str">
        <f t="shared" ca="1" si="222"/>
        <v/>
      </c>
    </row>
    <row r="3770" spans="1:9" x14ac:dyDescent="0.3">
      <c r="A3770" s="384" t="b">
        <f t="shared" ca="1" si="220"/>
        <v>0</v>
      </c>
      <c r="B3770" s="393" t="str">
        <f ca="1">IF(COUNTA(G$2863:G3769)=1,"",OFFSET(B3770,-COUNTA(G$2863:G3769)+1,0))</f>
        <v>a1bDm000000Y7vTIAS</v>
      </c>
      <c r="C3770" s="389">
        <f ca="1">IF(COUNTA(G$2863:G3769)=1,"",OFFSET(C3770,-COUNTA(G$2863:G3769)+1,0))</f>
        <v>71</v>
      </c>
      <c r="D3770" s="384">
        <f t="shared" si="223"/>
        <v>425</v>
      </c>
      <c r="E3770" s="384">
        <f t="shared" ca="1" si="224"/>
        <v>5</v>
      </c>
      <c r="F3770" s="384">
        <f t="shared" ca="1" si="225"/>
        <v>79</v>
      </c>
      <c r="G3770" s="384"/>
      <c r="H3770" s="388" t="str">
        <f t="shared" ca="1" si="221"/>
        <v/>
      </c>
      <c r="I3770" s="388" t="str">
        <f t="shared" ca="1" si="222"/>
        <v/>
      </c>
    </row>
    <row r="3771" spans="1:9" x14ac:dyDescent="0.3">
      <c r="A3771" s="384" t="b">
        <f t="shared" ca="1" si="220"/>
        <v>0</v>
      </c>
      <c r="B3771" s="393" t="str">
        <f ca="1">IF(COUNTA(G$2863:G3770)=1,"",OFFSET(B3771,-COUNTA(G$2863:G3770)+1,0))</f>
        <v>a1bDm000000Y7wlIAC</v>
      </c>
      <c r="C3771" s="389">
        <f ca="1">IF(COUNTA(G$2863:G3770)=1,"",OFFSET(C3771,-COUNTA(G$2863:G3770)+1,0))</f>
        <v>71</v>
      </c>
      <c r="D3771" s="384">
        <f t="shared" si="223"/>
        <v>426</v>
      </c>
      <c r="E3771" s="384">
        <f t="shared" ca="1" si="224"/>
        <v>6</v>
      </c>
      <c r="F3771" s="384">
        <f t="shared" ca="1" si="225"/>
        <v>79</v>
      </c>
      <c r="G3771" s="384"/>
      <c r="H3771" s="388" t="str">
        <f t="shared" ca="1" si="221"/>
        <v/>
      </c>
      <c r="I3771" s="388" t="str">
        <f t="shared" ca="1" si="222"/>
        <v/>
      </c>
    </row>
    <row r="3772" spans="1:9" x14ac:dyDescent="0.3">
      <c r="A3772" s="384" t="b">
        <f t="shared" ca="1" si="220"/>
        <v>0</v>
      </c>
      <c r="B3772" s="393" t="str">
        <f ca="1">IF(COUNTA(G$2863:G3771)=1,"",OFFSET(B3772,-COUNTA(G$2863:G3771)+1,0))</f>
        <v>a1bDm000000Y7qKIAS</v>
      </c>
      <c r="C3772" s="389">
        <f ca="1">IF(COUNTA(G$2863:G3771)=1,"",OFFSET(C3772,-COUNTA(G$2863:G3771)+1,0))</f>
        <v>72</v>
      </c>
      <c r="D3772" s="384">
        <f t="shared" si="223"/>
        <v>427</v>
      </c>
      <c r="E3772" s="384">
        <f t="shared" ca="1" si="224"/>
        <v>1</v>
      </c>
      <c r="F3772" s="384">
        <f t="shared" ca="1" si="225"/>
        <v>80</v>
      </c>
      <c r="G3772" s="384"/>
      <c r="H3772" s="388" t="str">
        <f t="shared" ca="1" si="221"/>
        <v/>
      </c>
      <c r="I3772" s="388" t="str">
        <f t="shared" ca="1" si="222"/>
        <v/>
      </c>
    </row>
    <row r="3773" spans="1:9" x14ac:dyDescent="0.3">
      <c r="A3773" s="384" t="b">
        <f t="shared" ca="1" si="220"/>
        <v>0</v>
      </c>
      <c r="B3773" s="393" t="str">
        <f ca="1">IF(COUNTA(G$2863:G3772)=1,"",OFFSET(B3773,-COUNTA(G$2863:G3772)+1,0))</f>
        <v>a1bDm000000Y7rcIAC</v>
      </c>
      <c r="C3773" s="389">
        <f ca="1">IF(COUNTA(G$2863:G3772)=1,"",OFFSET(C3773,-COUNTA(G$2863:G3772)+1,0))</f>
        <v>72</v>
      </c>
      <c r="D3773" s="384">
        <f t="shared" si="223"/>
        <v>428</v>
      </c>
      <c r="E3773" s="384">
        <f t="shared" ca="1" si="224"/>
        <v>2</v>
      </c>
      <c r="F3773" s="384">
        <f t="shared" ca="1" si="225"/>
        <v>80</v>
      </c>
      <c r="G3773" s="384"/>
      <c r="H3773" s="388" t="str">
        <f t="shared" ca="1" si="221"/>
        <v/>
      </c>
      <c r="I3773" s="388" t="str">
        <f t="shared" ca="1" si="222"/>
        <v/>
      </c>
    </row>
    <row r="3774" spans="1:9" x14ac:dyDescent="0.3">
      <c r="A3774" s="384" t="b">
        <f t="shared" ca="1" si="220"/>
        <v>0</v>
      </c>
      <c r="B3774" s="393" t="str">
        <f ca="1">IF(COUNTA(G$2863:G3773)=1,"",OFFSET(B3774,-COUNTA(G$2863:G3773)+1,0))</f>
        <v>a1bDm000000Y7suIAC</v>
      </c>
      <c r="C3774" s="389">
        <f ca="1">IF(COUNTA(G$2863:G3773)=1,"",OFFSET(C3774,-COUNTA(G$2863:G3773)+1,0))</f>
        <v>72</v>
      </c>
      <c r="D3774" s="384">
        <f t="shared" si="223"/>
        <v>429</v>
      </c>
      <c r="E3774" s="384">
        <f t="shared" ca="1" si="224"/>
        <v>3</v>
      </c>
      <c r="F3774" s="384">
        <f t="shared" ca="1" si="225"/>
        <v>80</v>
      </c>
      <c r="G3774" s="384"/>
      <c r="H3774" s="388" t="str">
        <f t="shared" ca="1" si="221"/>
        <v/>
      </c>
      <c r="I3774" s="388" t="str">
        <f t="shared" ca="1" si="222"/>
        <v/>
      </c>
    </row>
    <row r="3775" spans="1:9" x14ac:dyDescent="0.3">
      <c r="A3775" s="384" t="b">
        <f t="shared" ca="1" si="220"/>
        <v>0</v>
      </c>
      <c r="B3775" s="393" t="str">
        <f ca="1">IF(COUNTA(G$2863:G3774)=1,"",OFFSET(B3775,-COUNTA(G$2863:G3774)+1,0))</f>
        <v>a1bDm000000Y7uCIAS</v>
      </c>
      <c r="C3775" s="389">
        <f ca="1">IF(COUNTA(G$2863:G3774)=1,"",OFFSET(C3775,-COUNTA(G$2863:G3774)+1,0))</f>
        <v>72</v>
      </c>
      <c r="D3775" s="384">
        <f t="shared" si="223"/>
        <v>430</v>
      </c>
      <c r="E3775" s="384">
        <f t="shared" ca="1" si="224"/>
        <v>4</v>
      </c>
      <c r="F3775" s="384">
        <f t="shared" ca="1" si="225"/>
        <v>80</v>
      </c>
      <c r="G3775" s="384"/>
      <c r="H3775" s="388" t="str">
        <f t="shared" ca="1" si="221"/>
        <v/>
      </c>
      <c r="I3775" s="388" t="str">
        <f t="shared" ca="1" si="222"/>
        <v/>
      </c>
    </row>
    <row r="3776" spans="1:9" x14ac:dyDescent="0.3">
      <c r="A3776" s="384" t="b">
        <f t="shared" ca="1" si="220"/>
        <v>0</v>
      </c>
      <c r="B3776" s="393" t="str">
        <f ca="1">IF(COUNTA(G$2863:G3775)=1,"",OFFSET(B3776,-COUNTA(G$2863:G3775)+1,0))</f>
        <v>a1bDm000000Y7vUIAS</v>
      </c>
      <c r="C3776" s="389">
        <f ca="1">IF(COUNTA(G$2863:G3775)=1,"",OFFSET(C3776,-COUNTA(G$2863:G3775)+1,0))</f>
        <v>72</v>
      </c>
      <c r="D3776" s="384">
        <f t="shared" si="223"/>
        <v>431</v>
      </c>
      <c r="E3776" s="384">
        <f t="shared" ca="1" si="224"/>
        <v>5</v>
      </c>
      <c r="F3776" s="384">
        <f t="shared" ca="1" si="225"/>
        <v>80</v>
      </c>
      <c r="G3776" s="384"/>
      <c r="H3776" s="388" t="str">
        <f t="shared" ca="1" si="221"/>
        <v/>
      </c>
      <c r="I3776" s="388" t="str">
        <f t="shared" ca="1" si="222"/>
        <v/>
      </c>
    </row>
    <row r="3777" spans="1:9" x14ac:dyDescent="0.3">
      <c r="A3777" s="384" t="b">
        <f t="shared" ca="1" si="220"/>
        <v>0</v>
      </c>
      <c r="B3777" s="393" t="str">
        <f ca="1">IF(COUNTA(G$2863:G3776)=1,"",OFFSET(B3777,-COUNTA(G$2863:G3776)+1,0))</f>
        <v>a1bDm000000Y7wmIAC</v>
      </c>
      <c r="C3777" s="389">
        <f ca="1">IF(COUNTA(G$2863:G3776)=1,"",OFFSET(C3777,-COUNTA(G$2863:G3776)+1,0))</f>
        <v>72</v>
      </c>
      <c r="D3777" s="384">
        <f t="shared" si="223"/>
        <v>432</v>
      </c>
      <c r="E3777" s="384">
        <f t="shared" ca="1" si="224"/>
        <v>6</v>
      </c>
      <c r="F3777" s="384">
        <f t="shared" ca="1" si="225"/>
        <v>80</v>
      </c>
      <c r="G3777" s="384"/>
      <c r="H3777" s="388" t="str">
        <f t="shared" ca="1" si="221"/>
        <v/>
      </c>
      <c r="I3777" s="388" t="str">
        <f t="shared" ca="1" si="222"/>
        <v/>
      </c>
    </row>
    <row r="3778" spans="1:9" x14ac:dyDescent="0.3">
      <c r="A3778" s="384" t="b">
        <f t="shared" ca="1" si="220"/>
        <v>0</v>
      </c>
      <c r="B3778" s="393" t="str">
        <f ca="1">IF(COUNTA(G$2863:G3777)=1,"",OFFSET(B3778,-COUNTA(G$2863:G3777)+1,0))</f>
        <v>a1bDm000000Y7qLIAS</v>
      </c>
      <c r="C3778" s="389">
        <f ca="1">IF(COUNTA(G$2863:G3777)=1,"",OFFSET(C3778,-COUNTA(G$2863:G3777)+1,0))</f>
        <v>73</v>
      </c>
      <c r="D3778" s="384">
        <f t="shared" si="223"/>
        <v>433</v>
      </c>
      <c r="E3778" s="384">
        <f t="shared" ca="1" si="224"/>
        <v>1</v>
      </c>
      <c r="F3778" s="384">
        <f t="shared" ca="1" si="225"/>
        <v>81</v>
      </c>
      <c r="G3778" s="384"/>
      <c r="H3778" s="388" t="str">
        <f t="shared" ca="1" si="221"/>
        <v/>
      </c>
      <c r="I3778" s="388" t="str">
        <f t="shared" ca="1" si="222"/>
        <v/>
      </c>
    </row>
    <row r="3779" spans="1:9" x14ac:dyDescent="0.3">
      <c r="A3779" s="384" t="b">
        <f t="shared" ca="1" si="220"/>
        <v>0</v>
      </c>
      <c r="B3779" s="393" t="str">
        <f ca="1">IF(COUNTA(G$2863:G3778)=1,"",OFFSET(B3779,-COUNTA(G$2863:G3778)+1,0))</f>
        <v>a1bDm000000Y7rdIAC</v>
      </c>
      <c r="C3779" s="389">
        <f ca="1">IF(COUNTA(G$2863:G3778)=1,"",OFFSET(C3779,-COUNTA(G$2863:G3778)+1,0))</f>
        <v>73</v>
      </c>
      <c r="D3779" s="384">
        <f t="shared" si="223"/>
        <v>434</v>
      </c>
      <c r="E3779" s="384">
        <f t="shared" ca="1" si="224"/>
        <v>2</v>
      </c>
      <c r="F3779" s="384">
        <f t="shared" ca="1" si="225"/>
        <v>81</v>
      </c>
      <c r="G3779" s="384"/>
      <c r="H3779" s="388" t="str">
        <f t="shared" ca="1" si="221"/>
        <v/>
      </c>
      <c r="I3779" s="388" t="str">
        <f t="shared" ca="1" si="222"/>
        <v/>
      </c>
    </row>
    <row r="3780" spans="1:9" x14ac:dyDescent="0.3">
      <c r="A3780" s="384" t="b">
        <f t="shared" ca="1" si="220"/>
        <v>0</v>
      </c>
      <c r="B3780" s="393" t="str">
        <f ca="1">IF(COUNTA(G$2863:G3779)=1,"",OFFSET(B3780,-COUNTA(G$2863:G3779)+1,0))</f>
        <v>a1bDm000000Y7svIAC</v>
      </c>
      <c r="C3780" s="389">
        <f ca="1">IF(COUNTA(G$2863:G3779)=1,"",OFFSET(C3780,-COUNTA(G$2863:G3779)+1,0))</f>
        <v>73</v>
      </c>
      <c r="D3780" s="384">
        <f t="shared" si="223"/>
        <v>435</v>
      </c>
      <c r="E3780" s="384">
        <f t="shared" ca="1" si="224"/>
        <v>3</v>
      </c>
      <c r="F3780" s="384">
        <f t="shared" ca="1" si="225"/>
        <v>81</v>
      </c>
      <c r="G3780" s="384"/>
      <c r="H3780" s="388" t="str">
        <f t="shared" ca="1" si="221"/>
        <v/>
      </c>
      <c r="I3780" s="388" t="str">
        <f t="shared" ca="1" si="222"/>
        <v/>
      </c>
    </row>
    <row r="3781" spans="1:9" x14ac:dyDescent="0.3">
      <c r="A3781" s="384" t="b">
        <f t="shared" ca="1" si="220"/>
        <v>0</v>
      </c>
      <c r="B3781" s="393" t="str">
        <f ca="1">IF(COUNTA(G$2863:G3780)=1,"",OFFSET(B3781,-COUNTA(G$2863:G3780)+1,0))</f>
        <v>a1bDm000000Y7uDIAS</v>
      </c>
      <c r="C3781" s="389">
        <f ca="1">IF(COUNTA(G$2863:G3780)=1,"",OFFSET(C3781,-COUNTA(G$2863:G3780)+1,0))</f>
        <v>73</v>
      </c>
      <c r="D3781" s="384">
        <f t="shared" si="223"/>
        <v>436</v>
      </c>
      <c r="E3781" s="384">
        <f t="shared" ca="1" si="224"/>
        <v>4</v>
      </c>
      <c r="F3781" s="384">
        <f t="shared" ca="1" si="225"/>
        <v>81</v>
      </c>
      <c r="G3781" s="384"/>
      <c r="H3781" s="388" t="str">
        <f t="shared" ca="1" si="221"/>
        <v/>
      </c>
      <c r="I3781" s="388" t="str">
        <f t="shared" ca="1" si="222"/>
        <v/>
      </c>
    </row>
    <row r="3782" spans="1:9" x14ac:dyDescent="0.3">
      <c r="A3782" s="384" t="b">
        <f t="shared" ca="1" si="220"/>
        <v>0</v>
      </c>
      <c r="B3782" s="393" t="str">
        <f ca="1">IF(COUNTA(G$2863:G3781)=1,"",OFFSET(B3782,-COUNTA(G$2863:G3781)+1,0))</f>
        <v>a1bDm000000Y7vVIAS</v>
      </c>
      <c r="C3782" s="389">
        <f ca="1">IF(COUNTA(G$2863:G3781)=1,"",OFFSET(C3782,-COUNTA(G$2863:G3781)+1,0))</f>
        <v>73</v>
      </c>
      <c r="D3782" s="384">
        <f t="shared" si="223"/>
        <v>437</v>
      </c>
      <c r="E3782" s="384">
        <f t="shared" ca="1" si="224"/>
        <v>5</v>
      </c>
      <c r="F3782" s="384">
        <f t="shared" ca="1" si="225"/>
        <v>81</v>
      </c>
      <c r="G3782" s="384"/>
      <c r="H3782" s="388" t="str">
        <f t="shared" ca="1" si="221"/>
        <v/>
      </c>
      <c r="I3782" s="388" t="str">
        <f t="shared" ca="1" si="222"/>
        <v/>
      </c>
    </row>
    <row r="3783" spans="1:9" x14ac:dyDescent="0.3">
      <c r="A3783" s="384" t="b">
        <f t="shared" ca="1" si="220"/>
        <v>0</v>
      </c>
      <c r="B3783" s="393" t="str">
        <f ca="1">IF(COUNTA(G$2863:G3782)=1,"",OFFSET(B3783,-COUNTA(G$2863:G3782)+1,0))</f>
        <v>a1bDm000000Y7wnIAC</v>
      </c>
      <c r="C3783" s="389">
        <f ca="1">IF(COUNTA(G$2863:G3782)=1,"",OFFSET(C3783,-COUNTA(G$2863:G3782)+1,0))</f>
        <v>73</v>
      </c>
      <c r="D3783" s="384">
        <f t="shared" si="223"/>
        <v>438</v>
      </c>
      <c r="E3783" s="384">
        <f t="shared" ca="1" si="224"/>
        <v>6</v>
      </c>
      <c r="F3783" s="384">
        <f t="shared" ca="1" si="225"/>
        <v>81</v>
      </c>
      <c r="G3783" s="384"/>
      <c r="H3783" s="388" t="str">
        <f t="shared" ca="1" si="221"/>
        <v/>
      </c>
      <c r="I3783" s="388" t="str">
        <f t="shared" ca="1" si="222"/>
        <v/>
      </c>
    </row>
    <row r="3784" spans="1:9" x14ac:dyDescent="0.3">
      <c r="A3784" s="384" t="b">
        <f t="shared" ca="1" si="220"/>
        <v>0</v>
      </c>
      <c r="B3784" s="393" t="str">
        <f ca="1">IF(COUNTA(G$2863:G3783)=1,"",OFFSET(B3784,-COUNTA(G$2863:G3783)+1,0))</f>
        <v>a1bDm000000Y7qMIAS</v>
      </c>
      <c r="C3784" s="389">
        <f ca="1">IF(COUNTA(G$2863:G3783)=1,"",OFFSET(C3784,-COUNTA(G$2863:G3783)+1,0))</f>
        <v>74</v>
      </c>
      <c r="D3784" s="384">
        <f t="shared" si="223"/>
        <v>439</v>
      </c>
      <c r="E3784" s="384">
        <f t="shared" ca="1" si="224"/>
        <v>1</v>
      </c>
      <c r="F3784" s="384">
        <f t="shared" ca="1" si="225"/>
        <v>82</v>
      </c>
      <c r="G3784" s="384"/>
      <c r="H3784" s="388" t="str">
        <f t="shared" ca="1" si="221"/>
        <v/>
      </c>
      <c r="I3784" s="388" t="str">
        <f t="shared" ca="1" si="222"/>
        <v/>
      </c>
    </row>
    <row r="3785" spans="1:9" x14ac:dyDescent="0.3">
      <c r="A3785" s="384" t="b">
        <f t="shared" ca="1" si="220"/>
        <v>0</v>
      </c>
      <c r="B3785" s="393" t="str">
        <f ca="1">IF(COUNTA(G$2863:G3784)=1,"",OFFSET(B3785,-COUNTA(G$2863:G3784)+1,0))</f>
        <v>a1bDm000000Y7reIAC</v>
      </c>
      <c r="C3785" s="389">
        <f ca="1">IF(COUNTA(G$2863:G3784)=1,"",OFFSET(C3785,-COUNTA(G$2863:G3784)+1,0))</f>
        <v>74</v>
      </c>
      <c r="D3785" s="384">
        <f t="shared" si="223"/>
        <v>440</v>
      </c>
      <c r="E3785" s="384">
        <f t="shared" ca="1" si="224"/>
        <v>2</v>
      </c>
      <c r="F3785" s="384">
        <f t="shared" ca="1" si="225"/>
        <v>82</v>
      </c>
      <c r="G3785" s="384"/>
      <c r="H3785" s="388" t="str">
        <f t="shared" ca="1" si="221"/>
        <v/>
      </c>
      <c r="I3785" s="388" t="str">
        <f t="shared" ca="1" si="222"/>
        <v/>
      </c>
    </row>
    <row r="3786" spans="1:9" x14ac:dyDescent="0.3">
      <c r="A3786" s="384" t="b">
        <f t="shared" ca="1" si="220"/>
        <v>0</v>
      </c>
      <c r="B3786" s="393" t="str">
        <f ca="1">IF(COUNTA(G$2863:G3785)=1,"",OFFSET(B3786,-COUNTA(G$2863:G3785)+1,0))</f>
        <v>a1bDm000000Y7swIAC</v>
      </c>
      <c r="C3786" s="389">
        <f ca="1">IF(COUNTA(G$2863:G3785)=1,"",OFFSET(C3786,-COUNTA(G$2863:G3785)+1,0))</f>
        <v>74</v>
      </c>
      <c r="D3786" s="384">
        <f t="shared" si="223"/>
        <v>441</v>
      </c>
      <c r="E3786" s="384">
        <f t="shared" ca="1" si="224"/>
        <v>3</v>
      </c>
      <c r="F3786" s="384">
        <f t="shared" ca="1" si="225"/>
        <v>82</v>
      </c>
      <c r="G3786" s="384"/>
      <c r="H3786" s="388" t="str">
        <f t="shared" ca="1" si="221"/>
        <v/>
      </c>
      <c r="I3786" s="388" t="str">
        <f t="shared" ca="1" si="222"/>
        <v/>
      </c>
    </row>
    <row r="3787" spans="1:9" x14ac:dyDescent="0.3">
      <c r="A3787" s="384" t="b">
        <f t="shared" ca="1" si="220"/>
        <v>0</v>
      </c>
      <c r="B3787" s="393" t="str">
        <f ca="1">IF(COUNTA(G$2863:G3786)=1,"",OFFSET(B3787,-COUNTA(G$2863:G3786)+1,0))</f>
        <v>a1bDm000000Y7uEIAS</v>
      </c>
      <c r="C3787" s="389">
        <f ca="1">IF(COUNTA(G$2863:G3786)=1,"",OFFSET(C3787,-COUNTA(G$2863:G3786)+1,0))</f>
        <v>74</v>
      </c>
      <c r="D3787" s="384">
        <f t="shared" si="223"/>
        <v>442</v>
      </c>
      <c r="E3787" s="384">
        <f t="shared" ca="1" si="224"/>
        <v>4</v>
      </c>
      <c r="F3787" s="384">
        <f t="shared" ca="1" si="225"/>
        <v>82</v>
      </c>
      <c r="G3787" s="384"/>
      <c r="H3787" s="388" t="str">
        <f t="shared" ca="1" si="221"/>
        <v/>
      </c>
      <c r="I3787" s="388" t="str">
        <f t="shared" ca="1" si="222"/>
        <v/>
      </c>
    </row>
    <row r="3788" spans="1:9" x14ac:dyDescent="0.3">
      <c r="A3788" s="384" t="b">
        <f t="shared" ca="1" si="220"/>
        <v>0</v>
      </c>
      <c r="B3788" s="393" t="str">
        <f ca="1">IF(COUNTA(G$2863:G3787)=1,"",OFFSET(B3788,-COUNTA(G$2863:G3787)+1,0))</f>
        <v>a1bDm000000Y7vWIAS</v>
      </c>
      <c r="C3788" s="389">
        <f ca="1">IF(COUNTA(G$2863:G3787)=1,"",OFFSET(C3788,-COUNTA(G$2863:G3787)+1,0))</f>
        <v>74</v>
      </c>
      <c r="D3788" s="384">
        <f t="shared" si="223"/>
        <v>443</v>
      </c>
      <c r="E3788" s="384">
        <f t="shared" ca="1" si="224"/>
        <v>5</v>
      </c>
      <c r="F3788" s="384">
        <f t="shared" ca="1" si="225"/>
        <v>82</v>
      </c>
      <c r="G3788" s="384"/>
      <c r="H3788" s="388" t="str">
        <f t="shared" ca="1" si="221"/>
        <v/>
      </c>
      <c r="I3788" s="388" t="str">
        <f t="shared" ca="1" si="222"/>
        <v/>
      </c>
    </row>
    <row r="3789" spans="1:9" x14ac:dyDescent="0.3">
      <c r="A3789" s="384" t="b">
        <f t="shared" ca="1" si="220"/>
        <v>0</v>
      </c>
      <c r="B3789" s="393" t="str">
        <f ca="1">IF(COUNTA(G$2863:G3788)=1,"",OFFSET(B3789,-COUNTA(G$2863:G3788)+1,0))</f>
        <v>a1bDm000000Y7woIAC</v>
      </c>
      <c r="C3789" s="389">
        <f ca="1">IF(COUNTA(G$2863:G3788)=1,"",OFFSET(C3789,-COUNTA(G$2863:G3788)+1,0))</f>
        <v>74</v>
      </c>
      <c r="D3789" s="384">
        <f t="shared" si="223"/>
        <v>444</v>
      </c>
      <c r="E3789" s="384">
        <f t="shared" ca="1" si="224"/>
        <v>6</v>
      </c>
      <c r="F3789" s="384">
        <f t="shared" ca="1" si="225"/>
        <v>82</v>
      </c>
      <c r="G3789" s="384"/>
      <c r="H3789" s="388" t="str">
        <f t="shared" ca="1" si="221"/>
        <v/>
      </c>
      <c r="I3789" s="388" t="str">
        <f t="shared" ca="1" si="222"/>
        <v/>
      </c>
    </row>
    <row r="3790" spans="1:9" x14ac:dyDescent="0.3">
      <c r="A3790" s="384" t="b">
        <f t="shared" ca="1" si="220"/>
        <v>0</v>
      </c>
      <c r="B3790" s="393" t="str">
        <f ca="1">IF(COUNTA(G$2863:G3789)=1,"",OFFSET(B3790,-COUNTA(G$2863:G3789)+1,0))</f>
        <v>a1bDm000000Y7qNIAS</v>
      </c>
      <c r="C3790" s="389">
        <f ca="1">IF(COUNTA(G$2863:G3789)=1,"",OFFSET(C3790,-COUNTA(G$2863:G3789)+1,0))</f>
        <v>75</v>
      </c>
      <c r="D3790" s="384">
        <f t="shared" si="223"/>
        <v>445</v>
      </c>
      <c r="E3790" s="384">
        <f t="shared" ca="1" si="224"/>
        <v>1</v>
      </c>
      <c r="F3790" s="384">
        <f t="shared" ca="1" si="225"/>
        <v>83</v>
      </c>
      <c r="G3790" s="384"/>
      <c r="H3790" s="388" t="str">
        <f t="shared" ca="1" si="221"/>
        <v/>
      </c>
      <c r="I3790" s="388" t="str">
        <f t="shared" ca="1" si="222"/>
        <v/>
      </c>
    </row>
    <row r="3791" spans="1:9" x14ac:dyDescent="0.3">
      <c r="A3791" s="384" t="b">
        <f t="shared" ca="1" si="220"/>
        <v>0</v>
      </c>
      <c r="B3791" s="393" t="str">
        <f ca="1">IF(COUNTA(G$2863:G3790)=1,"",OFFSET(B3791,-COUNTA(G$2863:G3790)+1,0))</f>
        <v>a1bDm000000Y7rfIAC</v>
      </c>
      <c r="C3791" s="389">
        <f ca="1">IF(COUNTA(G$2863:G3790)=1,"",OFFSET(C3791,-COUNTA(G$2863:G3790)+1,0))</f>
        <v>75</v>
      </c>
      <c r="D3791" s="384">
        <f t="shared" si="223"/>
        <v>446</v>
      </c>
      <c r="E3791" s="384">
        <f t="shared" ca="1" si="224"/>
        <v>2</v>
      </c>
      <c r="F3791" s="384">
        <f t="shared" ca="1" si="225"/>
        <v>83</v>
      </c>
      <c r="G3791" s="384"/>
      <c r="H3791" s="388" t="str">
        <f t="shared" ca="1" si="221"/>
        <v/>
      </c>
      <c r="I3791" s="388" t="str">
        <f t="shared" ca="1" si="222"/>
        <v/>
      </c>
    </row>
    <row r="3792" spans="1:9" x14ac:dyDescent="0.3">
      <c r="A3792" s="384" t="b">
        <f t="shared" ca="1" si="220"/>
        <v>0</v>
      </c>
      <c r="B3792" s="393" t="str">
        <f ca="1">IF(COUNTA(G$2863:G3791)=1,"",OFFSET(B3792,-COUNTA(G$2863:G3791)+1,0))</f>
        <v>a1bDm000000Y7sxIAC</v>
      </c>
      <c r="C3792" s="389">
        <f ca="1">IF(COUNTA(G$2863:G3791)=1,"",OFFSET(C3792,-COUNTA(G$2863:G3791)+1,0))</f>
        <v>75</v>
      </c>
      <c r="D3792" s="384">
        <f t="shared" si="223"/>
        <v>447</v>
      </c>
      <c r="E3792" s="384">
        <f t="shared" ca="1" si="224"/>
        <v>3</v>
      </c>
      <c r="F3792" s="384">
        <f t="shared" ca="1" si="225"/>
        <v>83</v>
      </c>
      <c r="G3792" s="384"/>
      <c r="H3792" s="388" t="str">
        <f t="shared" ca="1" si="221"/>
        <v/>
      </c>
      <c r="I3792" s="388" t="str">
        <f t="shared" ca="1" si="222"/>
        <v/>
      </c>
    </row>
    <row r="3793" spans="1:9" x14ac:dyDescent="0.3">
      <c r="A3793" s="384" t="b">
        <f t="shared" ca="1" si="220"/>
        <v>0</v>
      </c>
      <c r="B3793" s="393" t="str">
        <f ca="1">IF(COUNTA(G$2863:G3792)=1,"",OFFSET(B3793,-COUNTA(G$2863:G3792)+1,0))</f>
        <v>a1bDm000000Y7uFIAS</v>
      </c>
      <c r="C3793" s="389">
        <f ca="1">IF(COUNTA(G$2863:G3792)=1,"",OFFSET(C3793,-COUNTA(G$2863:G3792)+1,0))</f>
        <v>75</v>
      </c>
      <c r="D3793" s="384">
        <f t="shared" si="223"/>
        <v>448</v>
      </c>
      <c r="E3793" s="384">
        <f t="shared" ca="1" si="224"/>
        <v>4</v>
      </c>
      <c r="F3793" s="384">
        <f t="shared" ca="1" si="225"/>
        <v>83</v>
      </c>
      <c r="G3793" s="384"/>
      <c r="H3793" s="388" t="str">
        <f t="shared" ca="1" si="221"/>
        <v/>
      </c>
      <c r="I3793" s="388" t="str">
        <f t="shared" ca="1" si="222"/>
        <v/>
      </c>
    </row>
    <row r="3794" spans="1:9" x14ac:dyDescent="0.3">
      <c r="A3794" s="384" t="b">
        <f t="shared" ref="A3794:A3825" ca="1" si="226">IF(OR(AND(H3794&lt;&gt;"", H3794&lt;&gt;0), AND(I3794&lt;&gt;"",I3794&lt;&gt;0)),TRUE,FALSE)</f>
        <v>0</v>
      </c>
      <c r="B3794" s="393" t="str">
        <f ca="1">IF(COUNTA(G$2863:G3793)=1,"",OFFSET(B3794,-COUNTA(G$2863:G3793)+1,0))</f>
        <v>a1bDm000000Y7vXIAS</v>
      </c>
      <c r="C3794" s="389">
        <f ca="1">IF(COUNTA(G$2863:G3793)=1,"",OFFSET(C3794,-COUNTA(G$2863:G3793)+1,0))</f>
        <v>75</v>
      </c>
      <c r="D3794" s="384">
        <f t="shared" si="223"/>
        <v>449</v>
      </c>
      <c r="E3794" s="384">
        <f t="shared" ca="1" si="224"/>
        <v>5</v>
      </c>
      <c r="F3794" s="384">
        <f t="shared" ca="1" si="225"/>
        <v>83</v>
      </c>
      <c r="G3794" s="384"/>
      <c r="H3794" s="388" t="str">
        <f t="shared" ref="H3794:H3825" ca="1" si="227">CHOOSE(E3794,IFERROR(IF(INDIRECT("'WPTM - Section F'!H"&amp;F3794)=0,"",INDIRECT("'WPTM - Section F'!H"&amp;$F3794)),""),IFERROR(IF(INDIRECT("'WPTM - Section F'!J"&amp;F3794)=0,"",INDIRECT("'WPTM - Section F'!J"&amp;$F3794)),""),IFERROR(IF(INDIRECT("'WPTM - Section F'!L"&amp;F3794)=0,"",INDIRECT("'WPTM - Section F'!L"&amp;$F3794)),""),IFERROR(IF(INDIRECT("'WPTM - Section F'!N"&amp;F3794)=0,"",INDIRECT("'WPTM - Section F'!N"&amp;$F3794)),""),IFERROR(IF(INDIRECT("'WPTM - Section F'!P"&amp;F3794)=0,"",INDIRECT("'WPTM - Section F'!P"&amp;$F3794)),""),IFERROR(IF(INDIRECT("'WPTM - Section F'!R"&amp;F3794)=0,"",INDIRECT("'WPTM - Section F'!R"&amp;$F3794)),""),IFERROR(IF(INDIRECT("'WPTM - Section F'!T"&amp;F3794)=0,"",INDIRECT("'WPTM - Section F'!T"&amp;$F3794)),""),IFERROR(IF(INDIRECT("'WPTM - Section F'!V"&amp;F3794)=0,"",INDIRECT("'WPTM - Section F'!V"&amp;$F3794)),""),)</f>
        <v/>
      </c>
      <c r="I3794" s="388" t="str">
        <f t="shared" ref="I3794:I3825" ca="1" si="228">CHOOSE(E3794,IFERROR(IF(INDIRECT("'WPTM - Section F'!G"&amp;F3794)=0,"",INDIRECT("'WPTM - Section F'!G"&amp;$F3794)),""),IFERROR(IF(INDIRECT("'WPTM - Section F'!I"&amp;F3794)=0,"",INDIRECT("'WPTM - Section F'!I"&amp;$F3794)),""),IFERROR(IF(INDIRECT("'WPTM - Section F'!K"&amp;F3794)=0,"",INDIRECT("'WPTM - Section F'!K"&amp;$F3794)),""),IFERROR(IF(INDIRECT("'WPTM - Section F'!M"&amp;F3794)=0,"",INDIRECT("'WPTM - Section F'!M"&amp;$F3794)),""),IFERROR(IF(INDIRECT("'WPTM - Section F'!O"&amp;F3794)=0,"",INDIRECT("'WPTM - Section F'!O"&amp;$F3794)),""),IFERROR(IF(INDIRECT("'WPTM - Section F'!Q"&amp;F3794)=0,"",INDIRECT("'WPTM - Section F'!Q"&amp;$F3794)),""),IFERROR(IF(INDIRECT("'WPTM - Section F'!S"&amp;F3794)=0,"",INDIRECT("'WPTM - Section F'!S"&amp;$F3794)),""),IFERROR(IF(INDIRECT("'WPTM - Section F'!U"&amp;F3794)=0,"",INDIRECT("'WPTM - Section F'!U"&amp;$F3794)),""),)</f>
        <v/>
      </c>
    </row>
    <row r="3795" spans="1:9" x14ac:dyDescent="0.3">
      <c r="A3795" s="384" t="b">
        <f t="shared" ca="1" si="226"/>
        <v>0</v>
      </c>
      <c r="B3795" s="393" t="str">
        <f ca="1">IF(COUNTA(G$2863:G3794)=1,"",OFFSET(B3795,-COUNTA(G$2863:G3794)+1,0))</f>
        <v>a1bDm000000Y7wpIAC</v>
      </c>
      <c r="C3795" s="389">
        <f ca="1">IF(COUNTA(G$2863:G3794)=1,"",OFFSET(C3795,-COUNTA(G$2863:G3794)+1,0))</f>
        <v>75</v>
      </c>
      <c r="D3795" s="384">
        <f t="shared" si="223"/>
        <v>450</v>
      </c>
      <c r="E3795" s="384">
        <f t="shared" ca="1" si="224"/>
        <v>6</v>
      </c>
      <c r="F3795" s="384">
        <f t="shared" ca="1" si="225"/>
        <v>83</v>
      </c>
      <c r="G3795" s="384"/>
      <c r="H3795" s="388" t="str">
        <f t="shared" ca="1" si="227"/>
        <v/>
      </c>
      <c r="I3795" s="388" t="str">
        <f t="shared" ca="1" si="228"/>
        <v/>
      </c>
    </row>
    <row r="3796" spans="1:9" x14ac:dyDescent="0.3">
      <c r="A3796" s="384" t="b">
        <f t="shared" ca="1" si="226"/>
        <v>0</v>
      </c>
      <c r="B3796" s="393" t="str">
        <f ca="1">IF(COUNTA(G$2863:G3795)=1,"",OFFSET(B3796,-COUNTA(G$2863:G3795)+1,0))</f>
        <v>a1bDm000000Y7qOIAS</v>
      </c>
      <c r="C3796" s="389">
        <f ca="1">IF(COUNTA(G$2863:G3795)=1,"",OFFSET(C3796,-COUNTA(G$2863:G3795)+1,0))</f>
        <v>76</v>
      </c>
      <c r="D3796" s="384">
        <f t="shared" si="223"/>
        <v>451</v>
      </c>
      <c r="E3796" s="384">
        <f t="shared" ca="1" si="224"/>
        <v>1</v>
      </c>
      <c r="F3796" s="384">
        <f t="shared" ca="1" si="225"/>
        <v>84</v>
      </c>
      <c r="G3796" s="384"/>
      <c r="H3796" s="388" t="str">
        <f t="shared" ca="1" si="227"/>
        <v/>
      </c>
      <c r="I3796" s="388" t="str">
        <f t="shared" ca="1" si="228"/>
        <v/>
      </c>
    </row>
    <row r="3797" spans="1:9" x14ac:dyDescent="0.3">
      <c r="A3797" s="384" t="b">
        <f t="shared" ca="1" si="226"/>
        <v>0</v>
      </c>
      <c r="B3797" s="393" t="str">
        <f ca="1">IF(COUNTA(G$2863:G3796)=1,"",OFFSET(B3797,-COUNTA(G$2863:G3796)+1,0))</f>
        <v>a1bDm000000Y7rgIAC</v>
      </c>
      <c r="C3797" s="389">
        <f ca="1">IF(COUNTA(G$2863:G3796)=1,"",OFFSET(C3797,-COUNTA(G$2863:G3796)+1,0))</f>
        <v>76</v>
      </c>
      <c r="D3797" s="384">
        <f t="shared" si="223"/>
        <v>452</v>
      </c>
      <c r="E3797" s="384">
        <f t="shared" ca="1" si="224"/>
        <v>2</v>
      </c>
      <c r="F3797" s="384">
        <f t="shared" ca="1" si="225"/>
        <v>84</v>
      </c>
      <c r="G3797" s="384"/>
      <c r="H3797" s="388" t="str">
        <f t="shared" ca="1" si="227"/>
        <v/>
      </c>
      <c r="I3797" s="388" t="str">
        <f t="shared" ca="1" si="228"/>
        <v/>
      </c>
    </row>
    <row r="3798" spans="1:9" x14ac:dyDescent="0.3">
      <c r="A3798" s="384" t="b">
        <f t="shared" ca="1" si="226"/>
        <v>0</v>
      </c>
      <c r="B3798" s="393" t="str">
        <f ca="1">IF(COUNTA(G$2863:G3797)=1,"",OFFSET(B3798,-COUNTA(G$2863:G3797)+1,0))</f>
        <v>a1bDm000000Y7syIAC</v>
      </c>
      <c r="C3798" s="389">
        <f ca="1">IF(COUNTA(G$2863:G3797)=1,"",OFFSET(C3798,-COUNTA(G$2863:G3797)+1,0))</f>
        <v>76</v>
      </c>
      <c r="D3798" s="384">
        <f t="shared" si="223"/>
        <v>453</v>
      </c>
      <c r="E3798" s="384">
        <f t="shared" ca="1" si="224"/>
        <v>3</v>
      </c>
      <c r="F3798" s="384">
        <f t="shared" ca="1" si="225"/>
        <v>84</v>
      </c>
      <c r="G3798" s="384"/>
      <c r="H3798" s="388" t="str">
        <f t="shared" ca="1" si="227"/>
        <v/>
      </c>
      <c r="I3798" s="388" t="str">
        <f t="shared" ca="1" si="228"/>
        <v/>
      </c>
    </row>
    <row r="3799" spans="1:9" x14ac:dyDescent="0.3">
      <c r="A3799" s="384" t="b">
        <f t="shared" ca="1" si="226"/>
        <v>0</v>
      </c>
      <c r="B3799" s="393" t="str">
        <f ca="1">IF(COUNTA(G$2863:G3798)=1,"",OFFSET(B3799,-COUNTA(G$2863:G3798)+1,0))</f>
        <v>a1bDm000000Y7uGIAS</v>
      </c>
      <c r="C3799" s="389">
        <f ca="1">IF(COUNTA(G$2863:G3798)=1,"",OFFSET(C3799,-COUNTA(G$2863:G3798)+1,0))</f>
        <v>76</v>
      </c>
      <c r="D3799" s="384">
        <f t="shared" si="223"/>
        <v>454</v>
      </c>
      <c r="E3799" s="384">
        <f t="shared" ca="1" si="224"/>
        <v>4</v>
      </c>
      <c r="F3799" s="384">
        <f t="shared" ca="1" si="225"/>
        <v>84</v>
      </c>
      <c r="G3799" s="384"/>
      <c r="H3799" s="388" t="str">
        <f t="shared" ca="1" si="227"/>
        <v/>
      </c>
      <c r="I3799" s="388" t="str">
        <f t="shared" ca="1" si="228"/>
        <v/>
      </c>
    </row>
    <row r="3800" spans="1:9" x14ac:dyDescent="0.3">
      <c r="A3800" s="384" t="b">
        <f t="shared" ca="1" si="226"/>
        <v>0</v>
      </c>
      <c r="B3800" s="393" t="str">
        <f ca="1">IF(COUNTA(G$2863:G3799)=1,"",OFFSET(B3800,-COUNTA(G$2863:G3799)+1,0))</f>
        <v>a1bDm000000Y7vYIAS</v>
      </c>
      <c r="C3800" s="389">
        <f ca="1">IF(COUNTA(G$2863:G3799)=1,"",OFFSET(C3800,-COUNTA(G$2863:G3799)+1,0))</f>
        <v>76</v>
      </c>
      <c r="D3800" s="384">
        <f t="shared" si="223"/>
        <v>455</v>
      </c>
      <c r="E3800" s="384">
        <f t="shared" ca="1" si="224"/>
        <v>5</v>
      </c>
      <c r="F3800" s="384">
        <f t="shared" ca="1" si="225"/>
        <v>84</v>
      </c>
      <c r="G3800" s="384"/>
      <c r="H3800" s="388" t="str">
        <f t="shared" ca="1" si="227"/>
        <v/>
      </c>
      <c r="I3800" s="388" t="str">
        <f t="shared" ca="1" si="228"/>
        <v/>
      </c>
    </row>
    <row r="3801" spans="1:9" x14ac:dyDescent="0.3">
      <c r="A3801" s="384" t="b">
        <f t="shared" ca="1" si="226"/>
        <v>0</v>
      </c>
      <c r="B3801" s="393" t="str">
        <f ca="1">IF(COUNTA(G$2863:G3800)=1,"",OFFSET(B3801,-COUNTA(G$2863:G3800)+1,0))</f>
        <v>a1bDm000000Y7wqIAC</v>
      </c>
      <c r="C3801" s="389">
        <f ca="1">IF(COUNTA(G$2863:G3800)=1,"",OFFSET(C3801,-COUNTA(G$2863:G3800)+1,0))</f>
        <v>76</v>
      </c>
      <c r="D3801" s="384">
        <f t="shared" si="223"/>
        <v>456</v>
      </c>
      <c r="E3801" s="384">
        <f t="shared" ca="1" si="224"/>
        <v>6</v>
      </c>
      <c r="F3801" s="384">
        <f t="shared" ca="1" si="225"/>
        <v>84</v>
      </c>
      <c r="G3801" s="384"/>
      <c r="H3801" s="388" t="str">
        <f t="shared" ca="1" si="227"/>
        <v/>
      </c>
      <c r="I3801" s="388" t="str">
        <f t="shared" ca="1" si="228"/>
        <v/>
      </c>
    </row>
    <row r="3802" spans="1:9" x14ac:dyDescent="0.3">
      <c r="A3802" s="384" t="b">
        <f t="shared" ca="1" si="226"/>
        <v>0</v>
      </c>
      <c r="B3802" s="393" t="str">
        <f ca="1">IF(COUNTA(G$2863:G3801)=1,"",OFFSET(B3802,-COUNTA(G$2863:G3801)+1,0))</f>
        <v>a1bDm000000Y7qPIAS</v>
      </c>
      <c r="C3802" s="389">
        <f ca="1">IF(COUNTA(G$2863:G3801)=1,"",OFFSET(C3802,-COUNTA(G$2863:G3801)+1,0))</f>
        <v>77</v>
      </c>
      <c r="D3802" s="384">
        <f t="shared" si="223"/>
        <v>457</v>
      </c>
      <c r="E3802" s="384">
        <f t="shared" ca="1" si="224"/>
        <v>1</v>
      </c>
      <c r="F3802" s="384">
        <f t="shared" ca="1" si="225"/>
        <v>85</v>
      </c>
      <c r="G3802" s="384"/>
      <c r="H3802" s="388" t="str">
        <f t="shared" ca="1" si="227"/>
        <v/>
      </c>
      <c r="I3802" s="388" t="str">
        <f t="shared" ca="1" si="228"/>
        <v/>
      </c>
    </row>
    <row r="3803" spans="1:9" x14ac:dyDescent="0.3">
      <c r="A3803" s="384" t="b">
        <f t="shared" ca="1" si="226"/>
        <v>0</v>
      </c>
      <c r="B3803" s="393" t="str">
        <f ca="1">IF(COUNTA(G$2863:G3802)=1,"",OFFSET(B3803,-COUNTA(G$2863:G3802)+1,0))</f>
        <v>a1bDm000000Y7rhIAC</v>
      </c>
      <c r="C3803" s="389">
        <f ca="1">IF(COUNTA(G$2863:G3802)=1,"",OFFSET(C3803,-COUNTA(G$2863:G3802)+1,0))</f>
        <v>77</v>
      </c>
      <c r="D3803" s="384">
        <f t="shared" si="223"/>
        <v>458</v>
      </c>
      <c r="E3803" s="384">
        <f t="shared" ca="1" si="224"/>
        <v>2</v>
      </c>
      <c r="F3803" s="384">
        <f t="shared" ca="1" si="225"/>
        <v>85</v>
      </c>
      <c r="G3803" s="384"/>
      <c r="H3803" s="388" t="str">
        <f t="shared" ca="1" si="227"/>
        <v/>
      </c>
      <c r="I3803" s="388" t="str">
        <f t="shared" ca="1" si="228"/>
        <v/>
      </c>
    </row>
    <row r="3804" spans="1:9" x14ac:dyDescent="0.3">
      <c r="A3804" s="384" t="b">
        <f t="shared" ca="1" si="226"/>
        <v>0</v>
      </c>
      <c r="B3804" s="393" t="str">
        <f ca="1">IF(COUNTA(G$2863:G3803)=1,"",OFFSET(B3804,-COUNTA(G$2863:G3803)+1,0))</f>
        <v>a1bDm000000Y7szIAC</v>
      </c>
      <c r="C3804" s="389">
        <f ca="1">IF(COUNTA(G$2863:G3803)=1,"",OFFSET(C3804,-COUNTA(G$2863:G3803)+1,0))</f>
        <v>77</v>
      </c>
      <c r="D3804" s="384">
        <f t="shared" si="223"/>
        <v>459</v>
      </c>
      <c r="E3804" s="384">
        <f t="shared" ca="1" si="224"/>
        <v>3</v>
      </c>
      <c r="F3804" s="384">
        <f t="shared" ca="1" si="225"/>
        <v>85</v>
      </c>
      <c r="G3804" s="384"/>
      <c r="H3804" s="388" t="str">
        <f t="shared" ca="1" si="227"/>
        <v/>
      </c>
      <c r="I3804" s="388" t="str">
        <f t="shared" ca="1" si="228"/>
        <v/>
      </c>
    </row>
    <row r="3805" spans="1:9" x14ac:dyDescent="0.3">
      <c r="A3805" s="384" t="b">
        <f t="shared" ca="1" si="226"/>
        <v>0</v>
      </c>
      <c r="B3805" s="393" t="str">
        <f ca="1">IF(COUNTA(G$2863:G3804)=1,"",OFFSET(B3805,-COUNTA(G$2863:G3804)+1,0))</f>
        <v>a1bDm000000Y7uHIAS</v>
      </c>
      <c r="C3805" s="389">
        <f ca="1">IF(COUNTA(G$2863:G3804)=1,"",OFFSET(C3805,-COUNTA(G$2863:G3804)+1,0))</f>
        <v>77</v>
      </c>
      <c r="D3805" s="384">
        <f t="shared" si="223"/>
        <v>460</v>
      </c>
      <c r="E3805" s="384">
        <f t="shared" ca="1" si="224"/>
        <v>4</v>
      </c>
      <c r="F3805" s="384">
        <f t="shared" ca="1" si="225"/>
        <v>85</v>
      </c>
      <c r="G3805" s="384"/>
      <c r="H3805" s="388" t="str">
        <f t="shared" ca="1" si="227"/>
        <v/>
      </c>
      <c r="I3805" s="388" t="str">
        <f t="shared" ca="1" si="228"/>
        <v/>
      </c>
    </row>
    <row r="3806" spans="1:9" x14ac:dyDescent="0.3">
      <c r="A3806" s="384" t="b">
        <f t="shared" ca="1" si="226"/>
        <v>0</v>
      </c>
      <c r="B3806" s="393" t="str">
        <f ca="1">IF(COUNTA(G$2863:G3805)=1,"",OFFSET(B3806,-COUNTA(G$2863:G3805)+1,0))</f>
        <v>a1bDm000000Y7vZIAS</v>
      </c>
      <c r="C3806" s="389">
        <f ca="1">IF(COUNTA(G$2863:G3805)=1,"",OFFSET(C3806,-COUNTA(G$2863:G3805)+1,0))</f>
        <v>77</v>
      </c>
      <c r="D3806" s="384">
        <f t="shared" si="223"/>
        <v>461</v>
      </c>
      <c r="E3806" s="384">
        <f t="shared" ca="1" si="224"/>
        <v>5</v>
      </c>
      <c r="F3806" s="384">
        <f t="shared" ca="1" si="225"/>
        <v>85</v>
      </c>
      <c r="G3806" s="384"/>
      <c r="H3806" s="388" t="str">
        <f t="shared" ca="1" si="227"/>
        <v/>
      </c>
      <c r="I3806" s="388" t="str">
        <f t="shared" ca="1" si="228"/>
        <v/>
      </c>
    </row>
    <row r="3807" spans="1:9" x14ac:dyDescent="0.3">
      <c r="A3807" s="384" t="b">
        <f t="shared" ca="1" si="226"/>
        <v>0</v>
      </c>
      <c r="B3807" s="393" t="str">
        <f ca="1">IF(COUNTA(G$2863:G3806)=1,"",OFFSET(B3807,-COUNTA(G$2863:G3806)+1,0))</f>
        <v>a1bDm000000Y7wrIAC</v>
      </c>
      <c r="C3807" s="389">
        <f ca="1">IF(COUNTA(G$2863:G3806)=1,"",OFFSET(C3807,-COUNTA(G$2863:G3806)+1,0))</f>
        <v>77</v>
      </c>
      <c r="D3807" s="384">
        <f t="shared" si="223"/>
        <v>462</v>
      </c>
      <c r="E3807" s="384">
        <f t="shared" ca="1" si="224"/>
        <v>6</v>
      </c>
      <c r="F3807" s="384">
        <f t="shared" ca="1" si="225"/>
        <v>85</v>
      </c>
      <c r="G3807" s="384"/>
      <c r="H3807" s="388" t="str">
        <f t="shared" ca="1" si="227"/>
        <v/>
      </c>
      <c r="I3807" s="388" t="str">
        <f t="shared" ca="1" si="228"/>
        <v/>
      </c>
    </row>
    <row r="3808" spans="1:9" x14ac:dyDescent="0.3">
      <c r="A3808" s="384" t="b">
        <f t="shared" ca="1" si="226"/>
        <v>0</v>
      </c>
      <c r="B3808" s="393" t="str">
        <f ca="1">IF(COUNTA(G$2863:G3807)=1,"",OFFSET(B3808,-COUNTA(G$2863:G3807)+1,0))</f>
        <v>a1bDm000000Y7qQIAS</v>
      </c>
      <c r="C3808" s="389">
        <f ca="1">IF(COUNTA(G$2863:G3807)=1,"",OFFSET(C3808,-COUNTA(G$2863:G3807)+1,0))</f>
        <v>78</v>
      </c>
      <c r="D3808" s="384">
        <f t="shared" si="223"/>
        <v>463</v>
      </c>
      <c r="E3808" s="384">
        <f t="shared" ca="1" si="224"/>
        <v>1</v>
      </c>
      <c r="F3808" s="384">
        <f t="shared" ca="1" si="225"/>
        <v>86</v>
      </c>
      <c r="G3808" s="384"/>
      <c r="H3808" s="388" t="str">
        <f t="shared" ca="1" si="227"/>
        <v/>
      </c>
      <c r="I3808" s="388" t="str">
        <f t="shared" ca="1" si="228"/>
        <v/>
      </c>
    </row>
    <row r="3809" spans="1:9" x14ac:dyDescent="0.3">
      <c r="A3809" s="384" t="b">
        <f t="shared" ca="1" si="226"/>
        <v>0</v>
      </c>
      <c r="B3809" s="393" t="str">
        <f ca="1">IF(COUNTA(G$2863:G3808)=1,"",OFFSET(B3809,-COUNTA(G$2863:G3808)+1,0))</f>
        <v>a1bDm000000Y7riIAC</v>
      </c>
      <c r="C3809" s="389">
        <f ca="1">IF(COUNTA(G$2863:G3808)=1,"",OFFSET(C3809,-COUNTA(G$2863:G3808)+1,0))</f>
        <v>78</v>
      </c>
      <c r="D3809" s="384">
        <f t="shared" si="223"/>
        <v>464</v>
      </c>
      <c r="E3809" s="384">
        <f t="shared" ca="1" si="224"/>
        <v>2</v>
      </c>
      <c r="F3809" s="384">
        <f t="shared" ca="1" si="225"/>
        <v>86</v>
      </c>
      <c r="G3809" s="384"/>
      <c r="H3809" s="388" t="str">
        <f t="shared" ca="1" si="227"/>
        <v/>
      </c>
      <c r="I3809" s="388" t="str">
        <f t="shared" ca="1" si="228"/>
        <v/>
      </c>
    </row>
    <row r="3810" spans="1:9" x14ac:dyDescent="0.3">
      <c r="A3810" s="384" t="b">
        <f t="shared" ca="1" si="226"/>
        <v>0</v>
      </c>
      <c r="B3810" s="393" t="str">
        <f ca="1">IF(COUNTA(G$2863:G3809)=1,"",OFFSET(B3810,-COUNTA(G$2863:G3809)+1,0))</f>
        <v>a1bDm000000Y7t0IAC</v>
      </c>
      <c r="C3810" s="389">
        <f ca="1">IF(COUNTA(G$2863:G3809)=1,"",OFFSET(C3810,-COUNTA(G$2863:G3809)+1,0))</f>
        <v>78</v>
      </c>
      <c r="D3810" s="384">
        <f t="shared" si="223"/>
        <v>465</v>
      </c>
      <c r="E3810" s="384">
        <f t="shared" ca="1" si="224"/>
        <v>3</v>
      </c>
      <c r="F3810" s="384">
        <f t="shared" ca="1" si="225"/>
        <v>86</v>
      </c>
      <c r="G3810" s="384"/>
      <c r="H3810" s="388" t="str">
        <f t="shared" ca="1" si="227"/>
        <v/>
      </c>
      <c r="I3810" s="388" t="str">
        <f t="shared" ca="1" si="228"/>
        <v/>
      </c>
    </row>
    <row r="3811" spans="1:9" x14ac:dyDescent="0.3">
      <c r="A3811" s="384" t="b">
        <f t="shared" ca="1" si="226"/>
        <v>0</v>
      </c>
      <c r="B3811" s="393" t="str">
        <f ca="1">IF(COUNTA(G$2863:G3810)=1,"",OFFSET(B3811,-COUNTA(G$2863:G3810)+1,0))</f>
        <v>a1bDm000000Y7uIIAS</v>
      </c>
      <c r="C3811" s="389">
        <f ca="1">IF(COUNTA(G$2863:G3810)=1,"",OFFSET(C3811,-COUNTA(G$2863:G3810)+1,0))</f>
        <v>78</v>
      </c>
      <c r="D3811" s="384">
        <f t="shared" si="223"/>
        <v>466</v>
      </c>
      <c r="E3811" s="384">
        <f t="shared" ca="1" si="224"/>
        <v>4</v>
      </c>
      <c r="F3811" s="384">
        <f t="shared" ca="1" si="225"/>
        <v>86</v>
      </c>
      <c r="G3811" s="384"/>
      <c r="H3811" s="388" t="str">
        <f t="shared" ca="1" si="227"/>
        <v/>
      </c>
      <c r="I3811" s="388" t="str">
        <f t="shared" ca="1" si="228"/>
        <v/>
      </c>
    </row>
    <row r="3812" spans="1:9" x14ac:dyDescent="0.3">
      <c r="A3812" s="384" t="b">
        <f t="shared" ca="1" si="226"/>
        <v>0</v>
      </c>
      <c r="B3812" s="393" t="str">
        <f ca="1">IF(COUNTA(G$2863:G3811)=1,"",OFFSET(B3812,-COUNTA(G$2863:G3811)+1,0))</f>
        <v>a1bDm000000Y7vaIAC</v>
      </c>
      <c r="C3812" s="389">
        <f ca="1">IF(COUNTA(G$2863:G3811)=1,"",OFFSET(C3812,-COUNTA(G$2863:G3811)+1,0))</f>
        <v>78</v>
      </c>
      <c r="D3812" s="384">
        <f t="shared" si="223"/>
        <v>467</v>
      </c>
      <c r="E3812" s="384">
        <f t="shared" ca="1" si="224"/>
        <v>5</v>
      </c>
      <c r="F3812" s="384">
        <f t="shared" ca="1" si="225"/>
        <v>86</v>
      </c>
      <c r="G3812" s="384"/>
      <c r="H3812" s="388" t="str">
        <f t="shared" ca="1" si="227"/>
        <v/>
      </c>
      <c r="I3812" s="388" t="str">
        <f t="shared" ca="1" si="228"/>
        <v/>
      </c>
    </row>
    <row r="3813" spans="1:9" x14ac:dyDescent="0.3">
      <c r="A3813" s="384" t="b">
        <f t="shared" ca="1" si="226"/>
        <v>0</v>
      </c>
      <c r="B3813" s="393" t="str">
        <f ca="1">IF(COUNTA(G$2863:G3812)=1,"",OFFSET(B3813,-COUNTA(G$2863:G3812)+1,0))</f>
        <v>a1bDm000000Y7wsIAC</v>
      </c>
      <c r="C3813" s="389">
        <f ca="1">IF(COUNTA(G$2863:G3812)=1,"",OFFSET(C3813,-COUNTA(G$2863:G3812)+1,0))</f>
        <v>78</v>
      </c>
      <c r="D3813" s="384">
        <f t="shared" si="223"/>
        <v>468</v>
      </c>
      <c r="E3813" s="384">
        <f t="shared" ca="1" si="224"/>
        <v>6</v>
      </c>
      <c r="F3813" s="384">
        <f t="shared" ca="1" si="225"/>
        <v>86</v>
      </c>
      <c r="G3813" s="384"/>
      <c r="H3813" s="388" t="str">
        <f t="shared" ca="1" si="227"/>
        <v/>
      </c>
      <c r="I3813" s="388" t="str">
        <f t="shared" ca="1" si="228"/>
        <v/>
      </c>
    </row>
    <row r="3814" spans="1:9" x14ac:dyDescent="0.3">
      <c r="A3814" s="384" t="b">
        <f t="shared" ca="1" si="226"/>
        <v>0</v>
      </c>
      <c r="B3814" s="393" t="str">
        <f ca="1">IF(COUNTA(G$2863:G3813)=1,"",OFFSET(B3814,-COUNTA(G$2863:G3813)+1,0))</f>
        <v>a1bDm000000Y7qRIAS</v>
      </c>
      <c r="C3814" s="389">
        <f ca="1">IF(COUNTA(G$2863:G3813)=1,"",OFFSET(C3814,-COUNTA(G$2863:G3813)+1,0))</f>
        <v>79</v>
      </c>
      <c r="D3814" s="384">
        <f t="shared" si="223"/>
        <v>469</v>
      </c>
      <c r="E3814" s="384">
        <f t="shared" ca="1" si="224"/>
        <v>1</v>
      </c>
      <c r="F3814" s="384">
        <f t="shared" ca="1" si="225"/>
        <v>87</v>
      </c>
      <c r="G3814" s="384"/>
      <c r="H3814" s="388" t="str">
        <f t="shared" ca="1" si="227"/>
        <v/>
      </c>
      <c r="I3814" s="388" t="str">
        <f t="shared" ca="1" si="228"/>
        <v/>
      </c>
    </row>
    <row r="3815" spans="1:9" x14ac:dyDescent="0.3">
      <c r="A3815" s="384" t="b">
        <f t="shared" ca="1" si="226"/>
        <v>0</v>
      </c>
      <c r="B3815" s="393" t="str">
        <f ca="1">IF(COUNTA(G$2863:G3814)=1,"",OFFSET(B3815,-COUNTA(G$2863:G3814)+1,0))</f>
        <v>a1bDm000000Y7rjIAC</v>
      </c>
      <c r="C3815" s="389">
        <f ca="1">IF(COUNTA(G$2863:G3814)=1,"",OFFSET(C3815,-COUNTA(G$2863:G3814)+1,0))</f>
        <v>79</v>
      </c>
      <c r="D3815" s="384">
        <f t="shared" si="223"/>
        <v>470</v>
      </c>
      <c r="E3815" s="384">
        <f t="shared" ca="1" si="224"/>
        <v>2</v>
      </c>
      <c r="F3815" s="384">
        <f t="shared" ca="1" si="225"/>
        <v>87</v>
      </c>
      <c r="G3815" s="384"/>
      <c r="H3815" s="388" t="str">
        <f t="shared" ca="1" si="227"/>
        <v/>
      </c>
      <c r="I3815" s="388" t="str">
        <f t="shared" ca="1" si="228"/>
        <v/>
      </c>
    </row>
    <row r="3816" spans="1:9" x14ac:dyDescent="0.3">
      <c r="A3816" s="384" t="b">
        <f t="shared" ca="1" si="226"/>
        <v>0</v>
      </c>
      <c r="B3816" s="393" t="str">
        <f ca="1">IF(COUNTA(G$2863:G3815)=1,"",OFFSET(B3816,-COUNTA(G$2863:G3815)+1,0))</f>
        <v>a1bDm000000Y7t1IAC</v>
      </c>
      <c r="C3816" s="389">
        <f ca="1">IF(COUNTA(G$2863:G3815)=1,"",OFFSET(C3816,-COUNTA(G$2863:G3815)+1,0))</f>
        <v>79</v>
      </c>
      <c r="D3816" s="384">
        <f t="shared" si="223"/>
        <v>471</v>
      </c>
      <c r="E3816" s="384">
        <f t="shared" ca="1" si="224"/>
        <v>3</v>
      </c>
      <c r="F3816" s="384">
        <f t="shared" ca="1" si="225"/>
        <v>87</v>
      </c>
      <c r="G3816" s="384"/>
      <c r="H3816" s="388" t="str">
        <f t="shared" ca="1" si="227"/>
        <v/>
      </c>
      <c r="I3816" s="388" t="str">
        <f t="shared" ca="1" si="228"/>
        <v/>
      </c>
    </row>
    <row r="3817" spans="1:9" x14ac:dyDescent="0.3">
      <c r="A3817" s="384" t="b">
        <f t="shared" ca="1" si="226"/>
        <v>0</v>
      </c>
      <c r="B3817" s="393" t="str">
        <f ca="1">IF(COUNTA(G$2863:G3816)=1,"",OFFSET(B3817,-COUNTA(G$2863:G3816)+1,0))</f>
        <v>a1bDm000000Y7uJIAS</v>
      </c>
      <c r="C3817" s="389">
        <f ca="1">IF(COUNTA(G$2863:G3816)=1,"",OFFSET(C3817,-COUNTA(G$2863:G3816)+1,0))</f>
        <v>79</v>
      </c>
      <c r="D3817" s="384">
        <f t="shared" si="223"/>
        <v>472</v>
      </c>
      <c r="E3817" s="384">
        <f t="shared" ca="1" si="224"/>
        <v>4</v>
      </c>
      <c r="F3817" s="384">
        <f t="shared" ca="1" si="225"/>
        <v>87</v>
      </c>
      <c r="G3817" s="384"/>
      <c r="H3817" s="388" t="str">
        <f t="shared" ca="1" si="227"/>
        <v/>
      </c>
      <c r="I3817" s="388" t="str">
        <f t="shared" ca="1" si="228"/>
        <v/>
      </c>
    </row>
    <row r="3818" spans="1:9" x14ac:dyDescent="0.3">
      <c r="A3818" s="384" t="b">
        <f t="shared" ca="1" si="226"/>
        <v>0</v>
      </c>
      <c r="B3818" s="393" t="str">
        <f ca="1">IF(COUNTA(G$2863:G3817)=1,"",OFFSET(B3818,-COUNTA(G$2863:G3817)+1,0))</f>
        <v>a1bDm000000Y7vbIAC</v>
      </c>
      <c r="C3818" s="389">
        <f ca="1">IF(COUNTA(G$2863:G3817)=1,"",OFFSET(C3818,-COUNTA(G$2863:G3817)+1,0))</f>
        <v>79</v>
      </c>
      <c r="D3818" s="384">
        <f t="shared" si="223"/>
        <v>473</v>
      </c>
      <c r="E3818" s="384">
        <f t="shared" ca="1" si="224"/>
        <v>5</v>
      </c>
      <c r="F3818" s="384">
        <f t="shared" ca="1" si="225"/>
        <v>87</v>
      </c>
      <c r="G3818" s="384"/>
      <c r="H3818" s="388" t="str">
        <f t="shared" ca="1" si="227"/>
        <v/>
      </c>
      <c r="I3818" s="388" t="str">
        <f t="shared" ca="1" si="228"/>
        <v/>
      </c>
    </row>
    <row r="3819" spans="1:9" x14ac:dyDescent="0.3">
      <c r="A3819" s="384" t="b">
        <f t="shared" ca="1" si="226"/>
        <v>0</v>
      </c>
      <c r="B3819" s="393" t="str">
        <f ca="1">IF(COUNTA(G$2863:G3818)=1,"",OFFSET(B3819,-COUNTA(G$2863:G3818)+1,0))</f>
        <v>a1bDm000000Y7wtIAC</v>
      </c>
      <c r="C3819" s="389">
        <f ca="1">IF(COUNTA(G$2863:G3818)=1,"",OFFSET(C3819,-COUNTA(G$2863:G3818)+1,0))</f>
        <v>79</v>
      </c>
      <c r="D3819" s="384">
        <f t="shared" si="223"/>
        <v>474</v>
      </c>
      <c r="E3819" s="384">
        <f t="shared" ca="1" si="224"/>
        <v>6</v>
      </c>
      <c r="F3819" s="384">
        <f t="shared" ca="1" si="225"/>
        <v>87</v>
      </c>
      <c r="G3819" s="384"/>
      <c r="H3819" s="388" t="str">
        <f t="shared" ca="1" si="227"/>
        <v/>
      </c>
      <c r="I3819" s="388" t="str">
        <f t="shared" ca="1" si="228"/>
        <v/>
      </c>
    </row>
    <row r="3820" spans="1:9" x14ac:dyDescent="0.3">
      <c r="A3820" s="384" t="b">
        <f t="shared" ca="1" si="226"/>
        <v>0</v>
      </c>
      <c r="B3820" s="393" t="str">
        <f ca="1">IF(COUNTA(G$2863:G3819)=1,"",OFFSET(B3820,-COUNTA(G$2863:G3819)+1,0))</f>
        <v>a1bDm000000Y7qSIAS</v>
      </c>
      <c r="C3820" s="389">
        <f ca="1">IF(COUNTA(G$2863:G3819)=1,"",OFFSET(C3820,-COUNTA(G$2863:G3819)+1,0))</f>
        <v>80</v>
      </c>
      <c r="D3820" s="384">
        <f t="shared" si="223"/>
        <v>475</v>
      </c>
      <c r="E3820" s="384">
        <f t="shared" ca="1" si="224"/>
        <v>1</v>
      </c>
      <c r="F3820" s="384">
        <f t="shared" ca="1" si="225"/>
        <v>88</v>
      </c>
      <c r="G3820" s="384"/>
      <c r="H3820" s="388" t="str">
        <f t="shared" ca="1" si="227"/>
        <v/>
      </c>
      <c r="I3820" s="388" t="str">
        <f t="shared" ca="1" si="228"/>
        <v/>
      </c>
    </row>
    <row r="3821" spans="1:9" x14ac:dyDescent="0.3">
      <c r="A3821" s="384" t="b">
        <f t="shared" ca="1" si="226"/>
        <v>0</v>
      </c>
      <c r="B3821" s="393" t="str">
        <f ca="1">IF(COUNTA(G$2863:G3820)=1,"",OFFSET(B3821,-COUNTA(G$2863:G3820)+1,0))</f>
        <v>a1bDm000000Y7rkIAC</v>
      </c>
      <c r="C3821" s="389">
        <f ca="1">IF(COUNTA(G$2863:G3820)=1,"",OFFSET(C3821,-COUNTA(G$2863:G3820)+1,0))</f>
        <v>80</v>
      </c>
      <c r="D3821" s="384">
        <f t="shared" si="223"/>
        <v>476</v>
      </c>
      <c r="E3821" s="384">
        <f t="shared" ca="1" si="224"/>
        <v>2</v>
      </c>
      <c r="F3821" s="384">
        <f t="shared" ca="1" si="225"/>
        <v>88</v>
      </c>
      <c r="G3821" s="384"/>
      <c r="H3821" s="388" t="str">
        <f t="shared" ca="1" si="227"/>
        <v/>
      </c>
      <c r="I3821" s="388" t="str">
        <f t="shared" ca="1" si="228"/>
        <v/>
      </c>
    </row>
    <row r="3822" spans="1:9" x14ac:dyDescent="0.3">
      <c r="A3822" s="384" t="b">
        <f t="shared" ca="1" si="226"/>
        <v>0</v>
      </c>
      <c r="B3822" s="393" t="str">
        <f ca="1">IF(COUNTA(G$2863:G3821)=1,"",OFFSET(B3822,-COUNTA(G$2863:G3821)+1,0))</f>
        <v>a1bDm000000Y7t2IAC</v>
      </c>
      <c r="C3822" s="389">
        <f ca="1">IF(COUNTA(G$2863:G3821)=1,"",OFFSET(C3822,-COUNTA(G$2863:G3821)+1,0))</f>
        <v>80</v>
      </c>
      <c r="D3822" s="384">
        <f t="shared" si="223"/>
        <v>477</v>
      </c>
      <c r="E3822" s="384">
        <f t="shared" ca="1" si="224"/>
        <v>3</v>
      </c>
      <c r="F3822" s="384">
        <f t="shared" ca="1" si="225"/>
        <v>88</v>
      </c>
      <c r="G3822" s="384"/>
      <c r="H3822" s="388" t="str">
        <f t="shared" ca="1" si="227"/>
        <v/>
      </c>
      <c r="I3822" s="388" t="str">
        <f t="shared" ca="1" si="228"/>
        <v/>
      </c>
    </row>
    <row r="3823" spans="1:9" x14ac:dyDescent="0.3">
      <c r="A3823" s="384" t="b">
        <f t="shared" ca="1" si="226"/>
        <v>0</v>
      </c>
      <c r="B3823" s="393" t="str">
        <f ca="1">IF(COUNTA(G$2863:G3822)=1,"",OFFSET(B3823,-COUNTA(G$2863:G3822)+1,0))</f>
        <v>a1bDm000000Y7uKIAS</v>
      </c>
      <c r="C3823" s="389">
        <f ca="1">IF(COUNTA(G$2863:G3822)=1,"",OFFSET(C3823,-COUNTA(G$2863:G3822)+1,0))</f>
        <v>80</v>
      </c>
      <c r="D3823" s="384">
        <f t="shared" si="223"/>
        <v>478</v>
      </c>
      <c r="E3823" s="384">
        <f t="shared" ca="1" si="224"/>
        <v>4</v>
      </c>
      <c r="F3823" s="384">
        <f t="shared" ca="1" si="225"/>
        <v>88</v>
      </c>
      <c r="G3823" s="384"/>
      <c r="H3823" s="388" t="str">
        <f t="shared" ca="1" si="227"/>
        <v/>
      </c>
      <c r="I3823" s="388" t="str">
        <f t="shared" ca="1" si="228"/>
        <v/>
      </c>
    </row>
    <row r="3824" spans="1:9" x14ac:dyDescent="0.3">
      <c r="A3824" s="384" t="b">
        <f t="shared" ca="1" si="226"/>
        <v>0</v>
      </c>
      <c r="B3824" s="393" t="str">
        <f ca="1">IF(COUNTA(G$2863:G3823)=1,"",OFFSET(B3824,-COUNTA(G$2863:G3823)+1,0))</f>
        <v>a1bDm000000Y7vcIAC</v>
      </c>
      <c r="C3824" s="389">
        <f ca="1">IF(COUNTA(G$2863:G3823)=1,"",OFFSET(C3824,-COUNTA(G$2863:G3823)+1,0))</f>
        <v>80</v>
      </c>
      <c r="D3824" s="384">
        <f t="shared" si="223"/>
        <v>479</v>
      </c>
      <c r="E3824" s="384">
        <f t="shared" ca="1" si="224"/>
        <v>5</v>
      </c>
      <c r="F3824" s="384">
        <f t="shared" ca="1" si="225"/>
        <v>88</v>
      </c>
      <c r="G3824" s="384"/>
      <c r="H3824" s="388" t="str">
        <f t="shared" ca="1" si="227"/>
        <v/>
      </c>
      <c r="I3824" s="388" t="str">
        <f t="shared" ca="1" si="228"/>
        <v/>
      </c>
    </row>
    <row r="3825" spans="1:10" x14ac:dyDescent="0.3">
      <c r="A3825" s="384" t="b">
        <f t="shared" ca="1" si="226"/>
        <v>0</v>
      </c>
      <c r="B3825" s="393" t="str">
        <f ca="1">IF(COUNTA(G$2863:G3824)=1,"",OFFSET(B3825,-COUNTA(G$2863:G3824)+1,0))</f>
        <v>a1bDm000000Y7wuIAC</v>
      </c>
      <c r="C3825" s="389">
        <f ca="1">IF(COUNTA(G$2863:G3824)=1,"",OFFSET(C3825,-COUNTA(G$2863:G3824)+1,0))</f>
        <v>80</v>
      </c>
      <c r="D3825" s="384">
        <f t="shared" si="223"/>
        <v>480</v>
      </c>
      <c r="E3825" s="384">
        <f t="shared" ca="1" si="224"/>
        <v>6</v>
      </c>
      <c r="F3825" s="384">
        <f t="shared" ca="1" si="225"/>
        <v>88</v>
      </c>
      <c r="G3825" s="384"/>
      <c r="H3825" s="388" t="str">
        <f t="shared" ca="1" si="227"/>
        <v/>
      </c>
      <c r="I3825" s="388" t="str">
        <f t="shared" ca="1" si="228"/>
        <v/>
      </c>
    </row>
    <row r="3826" spans="1:10" x14ac:dyDescent="0.3">
      <c r="J3826" s="383" t="str">
        <f ca="1">IF(ROW()&gt;'Impact Indicator Target Update'!A30,"",INDIRECT("'Impact Indicators - Section B'!A"&amp;'Impact Indicator Target Update'!D30))</f>
        <v/>
      </c>
    </row>
    <row r="3827" spans="1:10" x14ac:dyDescent="0.3">
      <c r="J3827" s="383" t="str">
        <f ca="1">IF(ROW()&gt;'Impact Indicator Target Update'!A31,"",INDIRECT("'Impact Indicators - Section B'!A"&amp;'Impact Indicator Target Update'!D31))</f>
        <v/>
      </c>
    </row>
    <row r="3828" spans="1:10" x14ac:dyDescent="0.3">
      <c r="J3828" s="383" t="str">
        <f ca="1">IF(ROW()&gt;'Impact Indicator Target Update'!A32,"",INDIRECT("'Impact Indicators - Section B'!A"&amp;'Impact Indicator Target Update'!D32))</f>
        <v/>
      </c>
    </row>
    <row r="3829" spans="1:10" x14ac:dyDescent="0.3">
      <c r="J3829" s="383" t="str">
        <f ca="1">IF(ROW()&gt;'Impact Indicator Target Update'!A33,"",INDIRECT("'Impact Indicators - Section B'!A"&amp;'Impact Indicator Target Update'!D33))</f>
        <v/>
      </c>
    </row>
    <row r="3830" spans="1:10" x14ac:dyDescent="0.3">
      <c r="J3830" s="383" t="str">
        <f ca="1">IF(ROW()&gt;'Impact Indicator Target Update'!A34,"",INDIRECT("'Impact Indicators - Section B'!A"&amp;'Impact Indicator Target Update'!D34))</f>
        <v/>
      </c>
    </row>
    <row r="3831" spans="1:10" x14ac:dyDescent="0.3">
      <c r="J3831" s="383" t="str">
        <f ca="1">IF(ROW()&gt;'Impact Indicator Target Update'!A35,"",INDIRECT("'Impact Indicators - Section B'!A"&amp;'Impact Indicator Target Update'!D35))</f>
        <v/>
      </c>
    </row>
    <row r="3832" spans="1:10" x14ac:dyDescent="0.3">
      <c r="J3832" s="383" t="str">
        <f ca="1">IF(ROW()&gt;'Impact Indicator Target Update'!A36,"",INDIRECT("'Impact Indicators - Section B'!A"&amp;'Impact Indicator Target Update'!D36))</f>
        <v/>
      </c>
    </row>
    <row r="3833" spans="1:10" x14ac:dyDescent="0.3">
      <c r="J3833" s="383" t="str">
        <f ca="1">IF(ROW()&gt;'Impact Indicator Target Update'!A37,"",INDIRECT("'Impact Indicators - Section B'!A"&amp;'Impact Indicator Target Update'!D37))</f>
        <v/>
      </c>
    </row>
    <row r="3834" spans="1:10" x14ac:dyDescent="0.3">
      <c r="J3834" s="383" t="str">
        <f ca="1">IF(ROW()&gt;'Impact Indicator Target Update'!A38,"",INDIRECT("'Impact Indicators - Section B'!A"&amp;'Impact Indicator Target Update'!D38))</f>
        <v/>
      </c>
    </row>
    <row r="3835" spans="1:10" x14ac:dyDescent="0.3">
      <c r="J3835" s="383" t="str">
        <f ca="1">IF(ROW()&gt;'Impact Indicator Target Update'!A39,"",INDIRECT("'Impact Indicators - Section B'!A"&amp;'Impact Indicator Target Update'!D39))</f>
        <v/>
      </c>
    </row>
    <row r="3836" spans="1:10" x14ac:dyDescent="0.3">
      <c r="J3836" s="383" t="str">
        <f ca="1">IF(ROW()&gt;'Impact Indicator Target Update'!A40,"",INDIRECT("'Impact Indicators - Section B'!A"&amp;'Impact Indicator Target Update'!D40))</f>
        <v/>
      </c>
    </row>
    <row r="3837" spans="1:10" x14ac:dyDescent="0.3">
      <c r="J3837" s="383" t="str">
        <f ca="1">IF(ROW()&gt;'Impact Indicator Target Update'!A41,"",INDIRECT("'Impact Indicators - Section B'!A"&amp;'Impact Indicator Target Update'!D41))</f>
        <v/>
      </c>
    </row>
    <row r="3838" spans="1:10" x14ac:dyDescent="0.3">
      <c r="J3838" s="383" t="str">
        <f ca="1">IF(ROW()&gt;'Impact Indicator Target Update'!A42,"",INDIRECT("'Impact Indicators - Section B'!A"&amp;'Impact Indicator Target Update'!D42))</f>
        <v/>
      </c>
    </row>
    <row r="3839" spans="1:10" x14ac:dyDescent="0.3">
      <c r="J3839" s="383" t="str">
        <f ca="1">IF(ROW()&gt;'Impact Indicator Target Update'!A43,"",INDIRECT("'Impact Indicators - Section B'!A"&amp;'Impact Indicator Target Update'!D43))</f>
        <v/>
      </c>
    </row>
    <row r="3840" spans="1:10" x14ac:dyDescent="0.3">
      <c r="J3840" s="383" t="str">
        <f ca="1">IF(ROW()&gt;'Impact Indicator Target Update'!A44,"",INDIRECT("'Impact Indicators - Section B'!A"&amp;'Impact Indicator Target Update'!D44))</f>
        <v/>
      </c>
    </row>
    <row r="3841" spans="10:10" x14ac:dyDescent="0.3">
      <c r="J3841" s="383" t="str">
        <f ca="1">IF(ROW()&gt;'Impact Indicator Target Update'!A45,"",INDIRECT("'Impact Indicators - Section B'!A"&amp;'Impact Indicator Target Update'!D45))</f>
        <v/>
      </c>
    </row>
    <row r="3842" spans="10:10" x14ac:dyDescent="0.3">
      <c r="J3842" s="383" t="str">
        <f ca="1">IF(ROW()&gt;'Impact Indicator Target Update'!A46,"",INDIRECT("'Impact Indicators - Section B'!A"&amp;'Impact Indicator Target Update'!D46))</f>
        <v/>
      </c>
    </row>
    <row r="3843" spans="10:10" x14ac:dyDescent="0.3">
      <c r="J3843" s="383" t="str">
        <f ca="1">IF(ROW()&gt;'Impact Indicator Target Update'!A47,"",INDIRECT("'Impact Indicators - Section B'!A"&amp;'Impact Indicator Target Update'!D47))</f>
        <v/>
      </c>
    </row>
    <row r="3844" spans="10:10" x14ac:dyDescent="0.3">
      <c r="J3844" s="383" t="str">
        <f ca="1">IF(ROW()&gt;'Impact Indicator Target Update'!A48,"",INDIRECT("'Impact Indicators - Section B'!A"&amp;'Impact Indicator Target Update'!D48))</f>
        <v/>
      </c>
    </row>
    <row r="3845" spans="10:10" x14ac:dyDescent="0.3">
      <c r="J3845" s="383" t="str">
        <f ca="1">IF(ROW()&gt;'Impact Indicator Target Update'!A49,"",INDIRECT("'Impact Indicators - Section B'!A"&amp;'Impact Indicator Target Update'!D49))</f>
        <v/>
      </c>
    </row>
    <row r="3846" spans="10:10" x14ac:dyDescent="0.3">
      <c r="J3846" s="383" t="str">
        <f ca="1">IF(ROW()&gt;'Impact Indicator Target Update'!A50,"",INDIRECT("'Impact Indicators - Section B'!A"&amp;'Impact Indicator Target Update'!D50))</f>
        <v/>
      </c>
    </row>
    <row r="3847" spans="10:10" x14ac:dyDescent="0.3">
      <c r="J3847" s="383" t="str">
        <f ca="1">IF(ROW()&gt;'Impact Indicator Target Update'!A51,"",INDIRECT("'Impact Indicators - Section B'!A"&amp;'Impact Indicator Target Update'!D51))</f>
        <v/>
      </c>
    </row>
    <row r="3848" spans="10:10" x14ac:dyDescent="0.3">
      <c r="J3848" s="383" t="str">
        <f ca="1">IF(ROW()&gt;'Impact Indicator Target Update'!A52,"",INDIRECT("'Impact Indicators - Section B'!A"&amp;'Impact Indicator Target Update'!D52))</f>
        <v/>
      </c>
    </row>
    <row r="3849" spans="10:10" x14ac:dyDescent="0.3">
      <c r="J3849" s="383" t="str">
        <f ca="1">IF(ROW()&gt;'Impact Indicator Target Update'!A53,"",INDIRECT("'Impact Indicators - Section B'!A"&amp;'Impact Indicator Target Update'!D53))</f>
        <v/>
      </c>
    </row>
    <row r="3850" spans="10:10" x14ac:dyDescent="0.3">
      <c r="J3850" s="383" t="str">
        <f ca="1">IF(ROW()&gt;'Impact Indicator Target Update'!A54,"",INDIRECT("'Impact Indicators - Section B'!A"&amp;'Impact Indicator Target Update'!D54))</f>
        <v/>
      </c>
    </row>
    <row r="3851" spans="10:10" x14ac:dyDescent="0.3">
      <c r="J3851" s="383" t="str">
        <f ca="1">IF(ROW()&gt;'Impact Indicator Target Update'!A55,"",INDIRECT("'Impact Indicators - Section B'!A"&amp;'Impact Indicator Target Update'!D55))</f>
        <v/>
      </c>
    </row>
    <row r="3852" spans="10:10" x14ac:dyDescent="0.3">
      <c r="J3852" s="383" t="str">
        <f ca="1">IF(ROW()&gt;'Impact Indicator Target Update'!A56,"",INDIRECT("'Impact Indicators - Section B'!A"&amp;'Impact Indicator Target Update'!D56))</f>
        <v/>
      </c>
    </row>
    <row r="3853" spans="10:10" x14ac:dyDescent="0.3">
      <c r="J3853" s="383" t="str">
        <f ca="1">IF(ROW()&gt;'Impact Indicator Target Update'!A57,"",INDIRECT("'Impact Indicators - Section B'!A"&amp;'Impact Indicator Target Update'!D57))</f>
        <v/>
      </c>
    </row>
    <row r="3854" spans="10:10" x14ac:dyDescent="0.3">
      <c r="J3854" s="383" t="str">
        <f ca="1">IF(ROW()&gt;'Impact Indicator Target Update'!A58,"",INDIRECT("'Impact Indicators - Section B'!A"&amp;'Impact Indicator Target Update'!D58))</f>
        <v/>
      </c>
    </row>
    <row r="3855" spans="10:10" x14ac:dyDescent="0.3">
      <c r="J3855" s="383" t="str">
        <f ca="1">IF(ROW()&gt;'Impact Indicator Target Update'!A59,"",INDIRECT("'Impact Indicators - Section B'!A"&amp;'Impact Indicator Target Update'!D59))</f>
        <v/>
      </c>
    </row>
    <row r="3856" spans="10:10" x14ac:dyDescent="0.3">
      <c r="J3856" s="383" t="str">
        <f ca="1">IF(ROW()&gt;'Impact Indicator Target Update'!A60,"",INDIRECT("'Impact Indicators - Section B'!A"&amp;'Impact Indicator Target Update'!D60))</f>
        <v/>
      </c>
    </row>
    <row r="3857" spans="10:10" x14ac:dyDescent="0.3">
      <c r="J3857" s="383" t="str">
        <f ca="1">IF(ROW()&gt;'Impact Indicator Target Update'!A61,"",INDIRECT("'Impact Indicators - Section B'!A"&amp;'Impact Indicator Target Update'!D61))</f>
        <v/>
      </c>
    </row>
    <row r="3858" spans="10:10" x14ac:dyDescent="0.3">
      <c r="J3858" s="383" t="str">
        <f ca="1">IF(ROW()&gt;'Impact Indicator Target Update'!A62,"",INDIRECT("'Impact Indicators - Section B'!A"&amp;'Impact Indicator Target Update'!D62))</f>
        <v/>
      </c>
    </row>
    <row r="3859" spans="10:10" x14ac:dyDescent="0.3">
      <c r="J3859" s="383" t="str">
        <f ca="1">IF(ROW()&gt;'Impact Indicator Target Update'!A63,"",INDIRECT("'Impact Indicators - Section B'!A"&amp;'Impact Indicator Target Update'!D63))</f>
        <v/>
      </c>
    </row>
    <row r="3860" spans="10:10" x14ac:dyDescent="0.3">
      <c r="J3860" s="383" t="str">
        <f ca="1">IF(ROW()&gt;'Impact Indicator Target Update'!A64,"",INDIRECT("'Impact Indicators - Section B'!A"&amp;'Impact Indicator Target Update'!D64))</f>
        <v/>
      </c>
    </row>
    <row r="3861" spans="10:10" x14ac:dyDescent="0.3">
      <c r="J3861" s="383" t="str">
        <f ca="1">IF(ROW()&gt;'Impact Indicator Target Update'!A65,"",INDIRECT("'Impact Indicators - Section B'!A"&amp;'Impact Indicator Target Update'!D65))</f>
        <v/>
      </c>
    </row>
    <row r="3862" spans="10:10" x14ac:dyDescent="0.3">
      <c r="J3862" s="383" t="str">
        <f ca="1">IF(ROW()&gt;'Impact Indicator Target Update'!A66,"",INDIRECT("'Impact Indicators - Section B'!A"&amp;'Impact Indicator Target Update'!D66))</f>
        <v/>
      </c>
    </row>
    <row r="3863" spans="10:10" x14ac:dyDescent="0.3">
      <c r="J3863" s="383" t="str">
        <f ca="1">IF(ROW()&gt;'Impact Indicator Target Update'!A67,"",INDIRECT("'Impact Indicators - Section B'!A"&amp;'Impact Indicator Target Update'!D67))</f>
        <v/>
      </c>
    </row>
    <row r="3864" spans="10:10" x14ac:dyDescent="0.3">
      <c r="J3864" s="383" t="str">
        <f ca="1">IF(ROW()&gt;'Impact Indicator Target Update'!A68,"",INDIRECT("'Impact Indicators - Section B'!A"&amp;'Impact Indicator Target Update'!D68))</f>
        <v/>
      </c>
    </row>
    <row r="3865" spans="10:10" x14ac:dyDescent="0.3">
      <c r="J3865" s="383" t="str">
        <f ca="1">IF(ROW()&gt;'Impact Indicator Target Update'!A69,"",INDIRECT("'Impact Indicators - Section B'!A"&amp;'Impact Indicator Target Update'!D69))</f>
        <v/>
      </c>
    </row>
    <row r="3866" spans="10:10" x14ac:dyDescent="0.3">
      <c r="J3866" s="383" t="str">
        <f ca="1">IF(ROW()&gt;'Impact Indicator Target Update'!A70,"",INDIRECT("'Impact Indicators - Section B'!A"&amp;'Impact Indicator Target Update'!D70))</f>
        <v/>
      </c>
    </row>
    <row r="3867" spans="10:10" x14ac:dyDescent="0.3">
      <c r="J3867" s="383" t="str">
        <f ca="1">IF(ROW()&gt;'Impact Indicator Target Update'!A71,"",INDIRECT("'Impact Indicators - Section B'!A"&amp;'Impact Indicator Target Update'!D71))</f>
        <v/>
      </c>
    </row>
    <row r="3868" spans="10:10" x14ac:dyDescent="0.3">
      <c r="J3868" s="383" t="str">
        <f ca="1">IF(ROW()&gt;'Impact Indicator Target Update'!A72,"",INDIRECT("'Impact Indicators - Section B'!A"&amp;'Impact Indicator Target Update'!D72))</f>
        <v/>
      </c>
    </row>
    <row r="3869" spans="10:10" x14ac:dyDescent="0.3">
      <c r="J3869" s="383" t="str">
        <f ca="1">IF(ROW()&gt;'Impact Indicator Target Update'!A73,"",INDIRECT("'Impact Indicators - Section B'!A"&amp;'Impact Indicator Target Update'!D73))</f>
        <v/>
      </c>
    </row>
    <row r="3870" spans="10:10" x14ac:dyDescent="0.3">
      <c r="J3870" s="383" t="str">
        <f ca="1">IF(ROW()&gt;'Impact Indicator Target Update'!A74,"",INDIRECT("'Impact Indicators - Section B'!A"&amp;'Impact Indicator Target Update'!D74))</f>
        <v/>
      </c>
    </row>
    <row r="3871" spans="10:10" x14ac:dyDescent="0.3">
      <c r="J3871" s="383" t="str">
        <f ca="1">IF(ROW()&gt;'Impact Indicator Target Update'!A75,"",INDIRECT("'Impact Indicators - Section B'!A"&amp;'Impact Indicator Target Update'!D75))</f>
        <v/>
      </c>
    </row>
    <row r="3872" spans="10:10" x14ac:dyDescent="0.3">
      <c r="J3872" s="383" t="str">
        <f ca="1">IF(ROW()&gt;'Impact Indicator Target Update'!A76,"",INDIRECT("'Impact Indicators - Section B'!A"&amp;'Impact Indicator Target Update'!D76))</f>
        <v/>
      </c>
    </row>
    <row r="3873" spans="10:10" x14ac:dyDescent="0.3">
      <c r="J3873" s="383" t="str">
        <f ca="1">IF(ROW()&gt;'Impact Indicator Target Update'!A77,"",INDIRECT("'Impact Indicators - Section B'!A"&amp;'Impact Indicator Target Update'!D77))</f>
        <v/>
      </c>
    </row>
    <row r="3874" spans="10:10" x14ac:dyDescent="0.3">
      <c r="J3874" s="383" t="str">
        <f ca="1">IF(ROW()&gt;'Impact Indicator Target Update'!A78,"",INDIRECT("'Impact Indicators - Section B'!A"&amp;'Impact Indicator Target Update'!D78))</f>
        <v/>
      </c>
    </row>
    <row r="3875" spans="10:10" x14ac:dyDescent="0.3">
      <c r="J3875" s="383" t="str">
        <f ca="1">IF(ROW()&gt;'Impact Indicator Target Update'!A79,"",INDIRECT("'Impact Indicators - Section B'!A"&amp;'Impact Indicator Target Update'!D79))</f>
        <v/>
      </c>
    </row>
    <row r="3876" spans="10:10" x14ac:dyDescent="0.3">
      <c r="J3876" s="383" t="str">
        <f ca="1">IF(ROW()&gt;'Impact Indicator Target Update'!A80,"",INDIRECT("'Impact Indicators - Section B'!A"&amp;'Impact Indicator Target Update'!D80))</f>
        <v/>
      </c>
    </row>
    <row r="3877" spans="10:10" x14ac:dyDescent="0.3">
      <c r="J3877" s="383" t="str">
        <f ca="1">IF(ROW()&gt;'Impact Indicator Target Update'!A81,"",INDIRECT("'Impact Indicators - Section B'!A"&amp;'Impact Indicator Target Update'!D81))</f>
        <v/>
      </c>
    </row>
    <row r="3878" spans="10:10" x14ac:dyDescent="0.3">
      <c r="J3878" s="383" t="str">
        <f ca="1">IF(ROW()&gt;'Impact Indicator Target Update'!A82,"",INDIRECT("'Impact Indicators - Section B'!A"&amp;'Impact Indicator Target Update'!D82))</f>
        <v/>
      </c>
    </row>
    <row r="3879" spans="10:10" x14ac:dyDescent="0.3">
      <c r="J3879" s="383" t="str">
        <f ca="1">IF(ROW()&gt;'Impact Indicator Target Update'!A83,"",INDIRECT("'Impact Indicators - Section B'!A"&amp;'Impact Indicator Target Update'!D83))</f>
        <v/>
      </c>
    </row>
    <row r="3880" spans="10:10" x14ac:dyDescent="0.3">
      <c r="J3880" s="383" t="str">
        <f ca="1">IF(ROW()&gt;'Impact Indicator Target Update'!A84,"",INDIRECT("'Impact Indicators - Section B'!A"&amp;'Impact Indicator Target Update'!D84))</f>
        <v/>
      </c>
    </row>
    <row r="3881" spans="10:10" x14ac:dyDescent="0.3">
      <c r="J3881" s="383" t="str">
        <f ca="1">IF(ROW()&gt;'Impact Indicator Target Update'!A85,"",INDIRECT("'Impact Indicators - Section B'!A"&amp;'Impact Indicator Target Update'!D85))</f>
        <v/>
      </c>
    </row>
    <row r="3882" spans="10:10" x14ac:dyDescent="0.3">
      <c r="J3882" s="383" t="str">
        <f ca="1">IF(ROW()&gt;'Impact Indicator Target Update'!A86,"",INDIRECT("'Impact Indicators - Section B'!A"&amp;'Impact Indicator Target Update'!D86))</f>
        <v/>
      </c>
    </row>
    <row r="3883" spans="10:10" x14ac:dyDescent="0.3">
      <c r="J3883" s="383" t="str">
        <f ca="1">IF(ROW()&gt;'Impact Indicator Target Update'!A87,"",INDIRECT("'Impact Indicators - Section B'!A"&amp;'Impact Indicator Target Update'!D87))</f>
        <v/>
      </c>
    </row>
    <row r="3884" spans="10:10" x14ac:dyDescent="0.3">
      <c r="J3884" s="383" t="str">
        <f ca="1">IF(ROW()&gt;'Impact Indicator Target Update'!A88,"",INDIRECT("'Impact Indicators - Section B'!A"&amp;'Impact Indicator Target Update'!D88))</f>
        <v/>
      </c>
    </row>
    <row r="3885" spans="10:10" x14ac:dyDescent="0.3">
      <c r="J3885" s="383" t="str">
        <f ca="1">IF(ROW()&gt;'Impact Indicator Target Update'!A89,"",INDIRECT("'Impact Indicators - Section B'!A"&amp;'Impact Indicator Target Update'!D89))</f>
        <v/>
      </c>
    </row>
    <row r="3886" spans="10:10" x14ac:dyDescent="0.3">
      <c r="J3886" s="383" t="str">
        <f ca="1">IF(ROW()&gt;'Impact Indicator Target Update'!A90,"",INDIRECT("'Impact Indicators - Section B'!A"&amp;'Impact Indicator Target Update'!D90))</f>
        <v/>
      </c>
    </row>
    <row r="3887" spans="10:10" x14ac:dyDescent="0.3">
      <c r="J3887" s="383" t="str">
        <f ca="1">IF(ROW()&gt;'Impact Indicator Target Update'!A91,"",INDIRECT("'Impact Indicators - Section B'!A"&amp;'Impact Indicator Target Update'!D91))</f>
        <v/>
      </c>
    </row>
    <row r="3888" spans="10:10" x14ac:dyDescent="0.3">
      <c r="J3888" s="383" t="str">
        <f ca="1">IF(ROW()&gt;'Impact Indicator Target Update'!A92,"",INDIRECT("'Impact Indicators - Section B'!A"&amp;'Impact Indicator Target Update'!D92))</f>
        <v/>
      </c>
    </row>
    <row r="3889" spans="10:10" x14ac:dyDescent="0.3">
      <c r="J3889" s="383" t="str">
        <f ca="1">IF(ROW()&gt;'Impact Indicator Target Update'!A93,"",INDIRECT("'Impact Indicators - Section B'!A"&amp;'Impact Indicator Target Update'!D93))</f>
        <v/>
      </c>
    </row>
    <row r="3890" spans="10:10" x14ac:dyDescent="0.3">
      <c r="J3890" s="383" t="str">
        <f ca="1">IF(ROW()&gt;'Impact Indicator Target Update'!A94,"",INDIRECT("'Impact Indicators - Section B'!A"&amp;'Impact Indicator Target Update'!D94))</f>
        <v/>
      </c>
    </row>
    <row r="3891" spans="10:10" x14ac:dyDescent="0.3">
      <c r="J3891" s="383" t="str">
        <f ca="1">IF(ROW()&gt;'Impact Indicator Target Update'!A95,"",INDIRECT("'Impact Indicators - Section B'!A"&amp;'Impact Indicator Target Update'!D95))</f>
        <v/>
      </c>
    </row>
    <row r="3892" spans="10:10" x14ac:dyDescent="0.3">
      <c r="J3892" s="383" t="str">
        <f ca="1">IF(ROW()&gt;'Impact Indicator Target Update'!A96,"",INDIRECT("'Impact Indicators - Section B'!A"&amp;'Impact Indicator Target Update'!D96))</f>
        <v/>
      </c>
    </row>
    <row r="3893" spans="10:10" x14ac:dyDescent="0.3">
      <c r="J3893" s="383" t="str">
        <f ca="1">IF(ROW()&gt;'Impact Indicator Target Update'!A97,"",INDIRECT("'Impact Indicators - Section B'!A"&amp;'Impact Indicator Target Update'!D97))</f>
        <v/>
      </c>
    </row>
    <row r="3894" spans="10:10" x14ac:dyDescent="0.3">
      <c r="J3894" s="383" t="str">
        <f ca="1">IF(ROW()&gt;'Impact Indicator Target Update'!A98,"",INDIRECT("'Impact Indicators - Section B'!A"&amp;'Impact Indicator Target Update'!D98))</f>
        <v/>
      </c>
    </row>
    <row r="3895" spans="10:10" x14ac:dyDescent="0.3">
      <c r="J3895" s="383" t="str">
        <f ca="1">IF(ROW()&gt;'Impact Indicator Target Update'!A99,"",INDIRECT("'Impact Indicators - Section B'!A"&amp;'Impact Indicator Target Update'!D99))</f>
        <v/>
      </c>
    </row>
    <row r="3896" spans="10:10" x14ac:dyDescent="0.3">
      <c r="J3896" s="383" t="str">
        <f ca="1">IF(ROW()&gt;'Impact Indicator Target Update'!A100,"",INDIRECT("'Impact Indicators - Section B'!A"&amp;'Impact Indicator Target Update'!D100))</f>
        <v/>
      </c>
    </row>
    <row r="3897" spans="10:10" x14ac:dyDescent="0.3">
      <c r="J3897" s="383" t="str">
        <f ca="1">IF(ROW()&gt;'Impact Indicator Target Update'!A101,"",INDIRECT("'Impact Indicators - Section B'!A"&amp;'Impact Indicator Target Update'!D101))</f>
        <v/>
      </c>
    </row>
    <row r="3898" spans="10:10" x14ac:dyDescent="0.3">
      <c r="J3898" s="383" t="str">
        <f ca="1">IF(ROW()&gt;'Impact Indicator Target Update'!A102,"",INDIRECT("'Impact Indicators - Section B'!A"&amp;'Impact Indicator Target Update'!D102))</f>
        <v/>
      </c>
    </row>
    <row r="3899" spans="10:10" x14ac:dyDescent="0.3">
      <c r="J3899" s="383" t="str">
        <f ca="1">IF(ROW()&gt;'Impact Indicator Target Update'!A103,"",INDIRECT("'Impact Indicators - Section B'!A"&amp;'Impact Indicator Target Update'!D103))</f>
        <v/>
      </c>
    </row>
    <row r="3900" spans="10:10" x14ac:dyDescent="0.3">
      <c r="J3900" s="383" t="str">
        <f ca="1">IF(ROW()&gt;'Impact Indicator Target Update'!A104,"",INDIRECT("'Impact Indicators - Section B'!A"&amp;'Impact Indicator Target Update'!D104))</f>
        <v/>
      </c>
    </row>
    <row r="3901" spans="10:10" x14ac:dyDescent="0.3">
      <c r="J3901" s="383" t="str">
        <f ca="1">IF(ROW()&gt;'Impact Indicator Target Update'!A105,"",INDIRECT("'Impact Indicators - Section B'!A"&amp;'Impact Indicator Target Update'!D105))</f>
        <v/>
      </c>
    </row>
    <row r="3902" spans="10:10" x14ac:dyDescent="0.3">
      <c r="J3902" s="383" t="str">
        <f ca="1">IF(ROW()&gt;'Impact Indicator Target Update'!A106,"",INDIRECT("'Impact Indicators - Section B'!A"&amp;'Impact Indicator Target Update'!D106))</f>
        <v/>
      </c>
    </row>
    <row r="3903" spans="10:10" x14ac:dyDescent="0.3">
      <c r="J3903" s="383" t="str">
        <f ca="1">IF(ROW()&gt;'Impact Indicator Target Update'!A107,"",INDIRECT("'Impact Indicators - Section B'!A"&amp;'Impact Indicator Target Update'!D107))</f>
        <v/>
      </c>
    </row>
    <row r="3904" spans="10:10" x14ac:dyDescent="0.3">
      <c r="J3904" s="383" t="str">
        <f ca="1">IF(ROW()&gt;'Impact Indicator Target Update'!A108,"",INDIRECT("'Impact Indicators - Section B'!A"&amp;'Impact Indicator Target Update'!D108))</f>
        <v/>
      </c>
    </row>
    <row r="3905" spans="10:10" x14ac:dyDescent="0.3">
      <c r="J3905" s="383" t="str">
        <f ca="1">IF(ROW()&gt;'Impact Indicator Target Update'!A109,"",INDIRECT("'Impact Indicators - Section B'!A"&amp;'Impact Indicator Target Update'!D109))</f>
        <v/>
      </c>
    </row>
    <row r="3906" spans="10:10" x14ac:dyDescent="0.3">
      <c r="J3906" s="383" t="str">
        <f ca="1">IF(ROW()&gt;'Impact Indicator Target Update'!A110,"",INDIRECT("'Impact Indicators - Section B'!A"&amp;'Impact Indicator Target Update'!D110))</f>
        <v/>
      </c>
    </row>
    <row r="3907" spans="10:10" x14ac:dyDescent="0.3">
      <c r="J3907" s="383" t="str">
        <f ca="1">IF(ROW()&gt;'Impact Indicator Target Update'!A111,"",INDIRECT("'Impact Indicators - Section B'!A"&amp;'Impact Indicator Target Update'!D111))</f>
        <v/>
      </c>
    </row>
    <row r="3908" spans="10:10" x14ac:dyDescent="0.3">
      <c r="J3908" s="383" t="str">
        <f ca="1">IF(ROW()&gt;'Impact Indicator Target Update'!A112,"",INDIRECT("'Impact Indicators - Section B'!A"&amp;'Impact Indicator Target Update'!D112))</f>
        <v/>
      </c>
    </row>
    <row r="3909" spans="10:10" x14ac:dyDescent="0.3">
      <c r="J3909" s="383" t="str">
        <f ca="1">IF(ROW()&gt;'Impact Indicator Target Update'!A113,"",INDIRECT("'Impact Indicators - Section B'!A"&amp;'Impact Indicator Target Update'!D113))</f>
        <v/>
      </c>
    </row>
    <row r="3910" spans="10:10" x14ac:dyDescent="0.3">
      <c r="J3910" s="383" t="str">
        <f ca="1">IF(ROW()&gt;'Impact Indicator Target Update'!A114,"",INDIRECT("'Impact Indicators - Section B'!A"&amp;'Impact Indicator Target Update'!D114))</f>
        <v/>
      </c>
    </row>
    <row r="3911" spans="10:10" x14ac:dyDescent="0.3">
      <c r="J3911" s="383" t="str">
        <f ca="1">IF(ROW()&gt;'Impact Indicator Target Update'!A115,"",INDIRECT("'Impact Indicators - Section B'!A"&amp;'Impact Indicator Target Update'!D115))</f>
        <v/>
      </c>
    </row>
    <row r="3912" spans="10:10" x14ac:dyDescent="0.3">
      <c r="J3912" s="383" t="str">
        <f ca="1">IF(ROW()&gt;'Impact Indicator Target Update'!A116,"",INDIRECT("'Impact Indicators - Section B'!A"&amp;'Impact Indicator Target Update'!D116))</f>
        <v/>
      </c>
    </row>
    <row r="3913" spans="10:10" x14ac:dyDescent="0.3">
      <c r="J3913" s="383" t="str">
        <f ca="1">IF(ROW()&gt;'Impact Indicator Target Update'!A117,"",INDIRECT("'Impact Indicators - Section B'!A"&amp;'Impact Indicator Target Update'!D117))</f>
        <v/>
      </c>
    </row>
    <row r="3914" spans="10:10" x14ac:dyDescent="0.3">
      <c r="J3914" s="383" t="str">
        <f ca="1">IF(ROW()&gt;'Impact Indicator Target Update'!A118,"",INDIRECT("'Impact Indicators - Section B'!A"&amp;'Impact Indicator Target Update'!D118))</f>
        <v/>
      </c>
    </row>
    <row r="3915" spans="10:10" x14ac:dyDescent="0.3">
      <c r="J3915" s="383" t="str">
        <f ca="1">IF(ROW()&gt;'Impact Indicator Target Update'!A119,"",INDIRECT("'Impact Indicators - Section B'!A"&amp;'Impact Indicator Target Update'!D119))</f>
        <v/>
      </c>
    </row>
    <row r="3916" spans="10:10" x14ac:dyDescent="0.3">
      <c r="J3916" s="383" t="str">
        <f ca="1">IF(ROW()&gt;'Impact Indicator Target Update'!A120,"",INDIRECT("'Impact Indicators - Section B'!A"&amp;'Impact Indicator Target Update'!D120))</f>
        <v/>
      </c>
    </row>
    <row r="3917" spans="10:10" x14ac:dyDescent="0.3">
      <c r="J3917" s="383" t="str">
        <f ca="1">IF(ROW()&gt;'Impact Indicator Target Update'!A121,"",INDIRECT("'Impact Indicators - Section B'!A"&amp;'Impact Indicator Target Update'!D121))</f>
        <v/>
      </c>
    </row>
    <row r="3918" spans="10:10" x14ac:dyDescent="0.3">
      <c r="J3918" s="383" t="str">
        <f ca="1">IF(ROW()&gt;'Impact Indicator Target Update'!A122,"",INDIRECT("'Impact Indicators - Section B'!A"&amp;'Impact Indicator Target Update'!D122))</f>
        <v/>
      </c>
    </row>
    <row r="3919" spans="10:10" x14ac:dyDescent="0.3">
      <c r="J3919" s="383" t="str">
        <f ca="1">IF(ROW()&gt;'Impact Indicator Target Update'!A123,"",INDIRECT("'Impact Indicators - Section B'!A"&amp;'Impact Indicator Target Update'!D123))</f>
        <v/>
      </c>
    </row>
    <row r="3920" spans="10:10" x14ac:dyDescent="0.3">
      <c r="J3920" s="383" t="str">
        <f ca="1">IF(ROW()&gt;'Impact Indicator Target Update'!A124,"",INDIRECT("'Impact Indicators - Section B'!A"&amp;'Impact Indicator Target Update'!D124))</f>
        <v/>
      </c>
    </row>
    <row r="3921" spans="10:10" x14ac:dyDescent="0.3">
      <c r="J3921" s="383" t="str">
        <f ca="1">IF(ROW()&gt;'Impact Indicator Target Update'!A125,"",INDIRECT("'Impact Indicators - Section B'!A"&amp;'Impact Indicator Target Update'!D125))</f>
        <v/>
      </c>
    </row>
    <row r="3922" spans="10:10" x14ac:dyDescent="0.3">
      <c r="J3922" s="383" t="str">
        <f ca="1">IF(ROW()&gt;'Impact Indicator Target Update'!A126,"",INDIRECT("'Impact Indicators - Section B'!A"&amp;'Impact Indicator Target Update'!D126))</f>
        <v/>
      </c>
    </row>
    <row r="3923" spans="10:10" x14ac:dyDescent="0.3">
      <c r="J3923" s="383" t="str">
        <f ca="1">IF(ROW()&gt;'Impact Indicator Target Update'!A127,"",INDIRECT("'Impact Indicators - Section B'!A"&amp;'Impact Indicator Target Update'!D127))</f>
        <v/>
      </c>
    </row>
    <row r="3924" spans="10:10" x14ac:dyDescent="0.3">
      <c r="J3924" s="383" t="str">
        <f ca="1">IF(ROW()&gt;'Impact Indicator Target Update'!A128,"",INDIRECT("'Impact Indicators - Section B'!A"&amp;'Impact Indicator Target Update'!D128))</f>
        <v/>
      </c>
    </row>
    <row r="3925" spans="10:10" x14ac:dyDescent="0.3">
      <c r="J3925" s="383" t="str">
        <f ca="1">IF(ROW()&gt;'Impact Indicator Target Update'!A129,"",INDIRECT("'Impact Indicators - Section B'!A"&amp;'Impact Indicator Target Update'!D129))</f>
        <v/>
      </c>
    </row>
    <row r="3926" spans="10:10" x14ac:dyDescent="0.3">
      <c r="J3926" s="383" t="str">
        <f ca="1">IF(ROW()&gt;'Impact Indicator Target Update'!A130,"",INDIRECT("'Impact Indicators - Section B'!A"&amp;'Impact Indicator Target Update'!D130))</f>
        <v/>
      </c>
    </row>
    <row r="3927" spans="10:10" x14ac:dyDescent="0.3">
      <c r="J3927" s="383" t="str">
        <f ca="1">IF(ROW()&gt;'Impact Indicator Target Update'!A131,"",INDIRECT("'Impact Indicators - Section B'!A"&amp;'Impact Indicator Target Update'!D131))</f>
        <v/>
      </c>
    </row>
    <row r="3928" spans="10:10" x14ac:dyDescent="0.3">
      <c r="J3928" s="383" t="str">
        <f ca="1">IF(ROW()&gt;'Impact Indicator Target Update'!A132,"",INDIRECT("'Impact Indicators - Section B'!A"&amp;'Impact Indicator Target Update'!D132))</f>
        <v/>
      </c>
    </row>
    <row r="3929" spans="10:10" x14ac:dyDescent="0.3">
      <c r="J3929" s="383" t="str">
        <f ca="1">IF(ROW()&gt;'Impact Indicator Target Update'!A133,"",INDIRECT("'Impact Indicators - Section B'!A"&amp;'Impact Indicator Target Update'!D133))</f>
        <v/>
      </c>
    </row>
    <row r="3930" spans="10:10" x14ac:dyDescent="0.3">
      <c r="J3930" s="383" t="str">
        <f ca="1">IF(ROW()&gt;'Impact Indicator Target Update'!A134,"",INDIRECT("'Impact Indicators - Section B'!A"&amp;'Impact Indicator Target Update'!D134))</f>
        <v/>
      </c>
    </row>
    <row r="3931" spans="10:10" x14ac:dyDescent="0.3">
      <c r="J3931" s="383" t="str">
        <f ca="1">IF(ROW()&gt;'Impact Indicator Target Update'!A135,"",INDIRECT("'Impact Indicators - Section B'!A"&amp;'Impact Indicator Target Update'!D135))</f>
        <v/>
      </c>
    </row>
    <row r="3932" spans="10:10" x14ac:dyDescent="0.3">
      <c r="J3932" s="383" t="str">
        <f ca="1">IF(ROW()&gt;'Impact Indicator Target Update'!A136,"",INDIRECT("'Impact Indicators - Section B'!A"&amp;'Impact Indicator Target Update'!D136))</f>
        <v/>
      </c>
    </row>
    <row r="3933" spans="10:10" x14ac:dyDescent="0.3">
      <c r="J3933" s="383" t="str">
        <f ca="1">IF(ROW()&gt;'Impact Indicator Target Update'!A137,"",INDIRECT("'Impact Indicators - Section B'!A"&amp;'Impact Indicator Target Update'!D137))</f>
        <v/>
      </c>
    </row>
    <row r="3934" spans="10:10" x14ac:dyDescent="0.3">
      <c r="J3934" s="383" t="str">
        <f ca="1">IF(ROW()&gt;'Impact Indicator Target Update'!A138,"",INDIRECT("'Impact Indicators - Section B'!A"&amp;'Impact Indicator Target Update'!D138))</f>
        <v/>
      </c>
    </row>
    <row r="3935" spans="10:10" x14ac:dyDescent="0.3">
      <c r="J3935" s="383" t="str">
        <f ca="1">IF(ROW()&gt;'Impact Indicator Target Update'!A139,"",INDIRECT("'Impact Indicators - Section B'!A"&amp;'Impact Indicator Target Update'!D139))</f>
        <v/>
      </c>
    </row>
    <row r="3936" spans="10:10" x14ac:dyDescent="0.3">
      <c r="J3936" s="383" t="str">
        <f ca="1">IF(ROW()&gt;'Impact Indicator Target Update'!A140,"",INDIRECT("'Impact Indicators - Section B'!A"&amp;'Impact Indicator Target Update'!D140))</f>
        <v/>
      </c>
    </row>
    <row r="3937" spans="10:10" x14ac:dyDescent="0.3">
      <c r="J3937" s="383" t="str">
        <f ca="1">IF(ROW()&gt;'Impact Indicator Target Update'!A141,"",INDIRECT("'Impact Indicators - Section B'!A"&amp;'Impact Indicator Target Update'!D141))</f>
        <v/>
      </c>
    </row>
    <row r="3938" spans="10:10" x14ac:dyDescent="0.3">
      <c r="J3938" s="383" t="str">
        <f ca="1">IF(ROW()&gt;'Impact Indicator Target Update'!A142,"",INDIRECT("'Impact Indicators - Section B'!A"&amp;'Impact Indicator Target Update'!D142))</f>
        <v/>
      </c>
    </row>
    <row r="3939" spans="10:10" x14ac:dyDescent="0.3">
      <c r="J3939" s="383" t="str">
        <f ca="1">IF(ROW()&gt;'Impact Indicator Target Update'!A143,"",INDIRECT("'Impact Indicators - Section B'!A"&amp;'Impact Indicator Target Update'!D143))</f>
        <v/>
      </c>
    </row>
    <row r="3940" spans="10:10" x14ac:dyDescent="0.3">
      <c r="J3940" s="383" t="str">
        <f ca="1">IF(ROW()&gt;'Impact Indicator Target Update'!A144,"",INDIRECT("'Impact Indicators - Section B'!A"&amp;'Impact Indicator Target Update'!D144))</f>
        <v/>
      </c>
    </row>
    <row r="3941" spans="10:10" x14ac:dyDescent="0.3">
      <c r="J3941" s="383" t="str">
        <f ca="1">IF(ROW()&gt;'Impact Indicator Target Update'!A145,"",INDIRECT("'Impact Indicators - Section B'!A"&amp;'Impact Indicator Target Update'!D145))</f>
        <v/>
      </c>
    </row>
    <row r="3942" spans="10:10" x14ac:dyDescent="0.3">
      <c r="J3942" s="383" t="str">
        <f ca="1">IF(ROW()&gt;'Impact Indicator Target Update'!A146,"",INDIRECT("'Impact Indicators - Section B'!A"&amp;'Impact Indicator Target Update'!D146))</f>
        <v/>
      </c>
    </row>
    <row r="3943" spans="10:10" x14ac:dyDescent="0.3">
      <c r="J3943" s="383" t="str">
        <f ca="1">IF(ROW()&gt;'Impact Indicator Target Update'!A147,"",INDIRECT("'Impact Indicators - Section B'!A"&amp;'Impact Indicator Target Update'!D147))</f>
        <v/>
      </c>
    </row>
    <row r="3944" spans="10:10" x14ac:dyDescent="0.3">
      <c r="J3944" s="383" t="str">
        <f ca="1">IF(ROW()&gt;'Impact Indicator Target Update'!A148,"",INDIRECT("'Impact Indicators - Section B'!A"&amp;'Impact Indicator Target Update'!D148))</f>
        <v/>
      </c>
    </row>
    <row r="3945" spans="10:10" x14ac:dyDescent="0.3">
      <c r="J3945" s="383" t="str">
        <f ca="1">IF(ROW()&gt;'Impact Indicator Target Update'!A149,"",INDIRECT("'Impact Indicators - Section B'!A"&amp;'Impact Indicator Target Update'!D149))</f>
        <v/>
      </c>
    </row>
    <row r="3946" spans="10:10" x14ac:dyDescent="0.3">
      <c r="J3946" s="383" t="str">
        <f ca="1">IF(ROW()&gt;'Impact Indicator Target Update'!A150,"",INDIRECT("'Impact Indicators - Section B'!A"&amp;'Impact Indicator Target Update'!D150))</f>
        <v/>
      </c>
    </row>
    <row r="3947" spans="10:10" x14ac:dyDescent="0.3">
      <c r="J3947" s="383" t="str">
        <f ca="1">IF(ROW()&gt;'Impact Indicator Target Update'!A151,"",INDIRECT("'Impact Indicators - Section B'!A"&amp;'Impact Indicator Target Update'!D151))</f>
        <v/>
      </c>
    </row>
    <row r="3948" spans="10:10" x14ac:dyDescent="0.3">
      <c r="J3948" s="383" t="str">
        <f ca="1">IF(ROW()&gt;'Impact Indicator Target Update'!A152,"",INDIRECT("'Impact Indicators - Section B'!A"&amp;'Impact Indicator Target Update'!D152))</f>
        <v/>
      </c>
    </row>
    <row r="3949" spans="10:10" x14ac:dyDescent="0.3">
      <c r="J3949" s="383" t="str">
        <f ca="1">IF(ROW()&gt;'Impact Indicator Target Update'!A153,"",INDIRECT("'Impact Indicators - Section B'!A"&amp;'Impact Indicator Target Update'!D153))</f>
        <v/>
      </c>
    </row>
    <row r="3950" spans="10:10" x14ac:dyDescent="0.3">
      <c r="J3950" s="383" t="str">
        <f ca="1">IF(ROW()&gt;'Impact Indicator Target Update'!A154,"",INDIRECT("'Impact Indicators - Section B'!A"&amp;'Impact Indicator Target Update'!D154))</f>
        <v/>
      </c>
    </row>
    <row r="3951" spans="10:10" x14ac:dyDescent="0.3">
      <c r="J3951" s="383" t="str">
        <f ca="1">IF(ROW()&gt;'Impact Indicator Target Update'!A155,"",INDIRECT("'Impact Indicators - Section B'!A"&amp;'Impact Indicator Target Update'!D155))</f>
        <v/>
      </c>
    </row>
    <row r="3952" spans="10:10" x14ac:dyDescent="0.3">
      <c r="J3952" s="383" t="str">
        <f ca="1">IF(ROW()&gt;'Impact Indicator Target Update'!A156,"",INDIRECT("'Impact Indicators - Section B'!A"&amp;'Impact Indicator Target Update'!D156))</f>
        <v/>
      </c>
    </row>
    <row r="3953" spans="10:10" x14ac:dyDescent="0.3">
      <c r="J3953" s="383" t="str">
        <f ca="1">IF(ROW()&gt;'Impact Indicator Target Update'!A157,"",INDIRECT("'Impact Indicators - Section B'!A"&amp;'Impact Indicator Target Update'!D157))</f>
        <v/>
      </c>
    </row>
    <row r="3954" spans="10:10" x14ac:dyDescent="0.3">
      <c r="J3954" s="383" t="str">
        <f ca="1">IF(ROW()&gt;'Impact Indicator Target Update'!A158,"",INDIRECT("'Impact Indicators - Section B'!A"&amp;'Impact Indicator Target Update'!D158))</f>
        <v/>
      </c>
    </row>
    <row r="3955" spans="10:10" x14ac:dyDescent="0.3">
      <c r="J3955" s="383" t="str">
        <f ca="1">IF(ROW()&gt;'Impact Indicator Target Update'!A159,"",INDIRECT("'Impact Indicators - Section B'!A"&amp;'Impact Indicator Target Update'!D159))</f>
        <v/>
      </c>
    </row>
    <row r="3956" spans="10:10" x14ac:dyDescent="0.3">
      <c r="J3956" s="383" t="str">
        <f ca="1">IF(ROW()&gt;'Impact Indicator Target Update'!A160,"",INDIRECT("'Impact Indicators - Section B'!A"&amp;'Impact Indicator Target Update'!D160))</f>
        <v/>
      </c>
    </row>
    <row r="3957" spans="10:10" x14ac:dyDescent="0.3">
      <c r="J3957" s="383" t="str">
        <f ca="1">IF(ROW()&gt;'Impact Indicator Target Update'!A161,"",INDIRECT("'Impact Indicators - Section B'!A"&amp;'Impact Indicator Target Update'!D161))</f>
        <v/>
      </c>
    </row>
    <row r="3958" spans="10:10" x14ac:dyDescent="0.3">
      <c r="J3958" s="383" t="str">
        <f ca="1">IF(ROW()&gt;'Impact Indicator Target Update'!A162,"",INDIRECT("'Impact Indicators - Section B'!A"&amp;'Impact Indicator Target Update'!D162))</f>
        <v/>
      </c>
    </row>
    <row r="3959" spans="10:10" x14ac:dyDescent="0.3">
      <c r="J3959" s="383" t="str">
        <f ca="1">IF(ROW()&gt;'Impact Indicator Target Update'!A163,"",INDIRECT("'Impact Indicators - Section B'!A"&amp;'Impact Indicator Target Update'!D163))</f>
        <v/>
      </c>
    </row>
    <row r="3960" spans="10:10" x14ac:dyDescent="0.3">
      <c r="J3960" s="383" t="str">
        <f ca="1">IF(ROW()&gt;'Impact Indicator Target Update'!A164,"",INDIRECT("'Impact Indicators - Section B'!A"&amp;'Impact Indicator Target Update'!D164))</f>
        <v/>
      </c>
    </row>
    <row r="3961" spans="10:10" x14ac:dyDescent="0.3">
      <c r="J3961" s="383" t="str">
        <f ca="1">IF(ROW()&gt;'Impact Indicator Target Update'!A165,"",INDIRECT("'Impact Indicators - Section B'!A"&amp;'Impact Indicator Target Update'!D165))</f>
        <v/>
      </c>
    </row>
    <row r="3962" spans="10:10" x14ac:dyDescent="0.3">
      <c r="J3962" s="383" t="str">
        <f ca="1">IF(ROW()&gt;'Impact Indicator Target Update'!A166,"",INDIRECT("'Impact Indicators - Section B'!A"&amp;'Impact Indicator Target Update'!D166))</f>
        <v/>
      </c>
    </row>
    <row r="3963" spans="10:10" x14ac:dyDescent="0.3">
      <c r="J3963" s="383" t="str">
        <f ca="1">IF(ROW()&gt;'Impact Indicator Target Update'!A167,"",INDIRECT("'Impact Indicators - Section B'!A"&amp;'Impact Indicator Target Update'!D167))</f>
        <v/>
      </c>
    </row>
    <row r="3964" spans="10:10" x14ac:dyDescent="0.3">
      <c r="J3964" s="383" t="str">
        <f ca="1">IF(ROW()&gt;'Impact Indicator Target Update'!A168,"",INDIRECT("'Impact Indicators - Section B'!A"&amp;'Impact Indicator Target Update'!D168))</f>
        <v/>
      </c>
    </row>
    <row r="3965" spans="10:10" x14ac:dyDescent="0.3">
      <c r="J3965" s="383" t="str">
        <f ca="1">IF(ROW()&gt;'Impact Indicator Target Update'!A169,"",INDIRECT("'Impact Indicators - Section B'!A"&amp;'Impact Indicator Target Update'!D169))</f>
        <v/>
      </c>
    </row>
    <row r="3966" spans="10:10" x14ac:dyDescent="0.3">
      <c r="J3966" s="383" t="str">
        <f ca="1">IF(ROW()&gt;'Impact Indicator Target Update'!A170,"",INDIRECT("'Impact Indicators - Section B'!A"&amp;'Impact Indicator Target Update'!D170))</f>
        <v/>
      </c>
    </row>
    <row r="3967" spans="10:10" x14ac:dyDescent="0.3">
      <c r="J3967" s="383" t="str">
        <f ca="1">IF(ROW()&gt;'Impact Indicator Target Update'!A171,"",INDIRECT("'Impact Indicators - Section B'!A"&amp;'Impact Indicator Target Update'!D171))</f>
        <v/>
      </c>
    </row>
    <row r="3968" spans="10:10" x14ac:dyDescent="0.3">
      <c r="J3968" s="383" t="str">
        <f ca="1">IF(ROW()&gt;'Impact Indicator Target Update'!A172,"",INDIRECT("'Impact Indicators - Section B'!A"&amp;'Impact Indicator Target Update'!D172))</f>
        <v/>
      </c>
    </row>
    <row r="3969" spans="10:10" x14ac:dyDescent="0.3">
      <c r="J3969" s="383" t="str">
        <f ca="1">IF(ROW()&gt;'Impact Indicator Target Update'!A173,"",INDIRECT("'Impact Indicators - Section B'!A"&amp;'Impact Indicator Target Update'!D173))</f>
        <v/>
      </c>
    </row>
    <row r="3970" spans="10:10" x14ac:dyDescent="0.3">
      <c r="J3970" s="383" t="str">
        <f ca="1">IF(ROW()&gt;'Impact Indicator Target Update'!A174,"",INDIRECT("'Impact Indicators - Section B'!A"&amp;'Impact Indicator Target Update'!D174))</f>
        <v/>
      </c>
    </row>
    <row r="3971" spans="10:10" x14ac:dyDescent="0.3">
      <c r="J3971" s="383" t="str">
        <f ca="1">IF(ROW()&gt;'Impact Indicator Target Update'!A175,"",INDIRECT("'Impact Indicators - Section B'!A"&amp;'Impact Indicator Target Update'!D175))</f>
        <v/>
      </c>
    </row>
    <row r="3972" spans="10:10" x14ac:dyDescent="0.3">
      <c r="J3972" s="383" t="str">
        <f ca="1">IF(ROW()&gt;'Impact Indicator Target Update'!A176,"",INDIRECT("'Impact Indicators - Section B'!A"&amp;'Impact Indicator Target Update'!D176))</f>
        <v/>
      </c>
    </row>
    <row r="3973" spans="10:10" x14ac:dyDescent="0.3">
      <c r="J3973" s="383" t="str">
        <f ca="1">IF(ROW()&gt;'Impact Indicator Target Update'!A177,"",INDIRECT("'Impact Indicators - Section B'!A"&amp;'Impact Indicator Target Update'!D177))</f>
        <v/>
      </c>
    </row>
    <row r="3974" spans="10:10" x14ac:dyDescent="0.3">
      <c r="J3974" s="383" t="str">
        <f ca="1">IF(ROW()&gt;'Impact Indicator Target Update'!A178,"",INDIRECT("'Impact Indicators - Section B'!A"&amp;'Impact Indicator Target Update'!D178))</f>
        <v/>
      </c>
    </row>
    <row r="3975" spans="10:10" x14ac:dyDescent="0.3">
      <c r="J3975" s="383" t="str">
        <f ca="1">IF(ROW()&gt;'Impact Indicator Target Update'!A179,"",INDIRECT("'Impact Indicators - Section B'!A"&amp;'Impact Indicator Target Update'!D179))</f>
        <v/>
      </c>
    </row>
    <row r="3976" spans="10:10" x14ac:dyDescent="0.3">
      <c r="J3976" s="383" t="str">
        <f ca="1">IF(ROW()&gt;'Impact Indicator Target Update'!A180,"",INDIRECT("'Impact Indicators - Section B'!A"&amp;'Impact Indicator Target Update'!D180))</f>
        <v/>
      </c>
    </row>
    <row r="3977" spans="10:10" x14ac:dyDescent="0.3">
      <c r="J3977" s="383" t="str">
        <f ca="1">IF(ROW()&gt;'Impact Indicator Target Update'!A181,"",INDIRECT("'Impact Indicators - Section B'!A"&amp;'Impact Indicator Target Update'!D181))</f>
        <v/>
      </c>
    </row>
    <row r="3978" spans="10:10" x14ac:dyDescent="0.3">
      <c r="J3978" s="383" t="str">
        <f ca="1">IF(ROW()&gt;'Impact Indicator Target Update'!A182,"",INDIRECT("'Impact Indicators - Section B'!A"&amp;'Impact Indicator Target Update'!D182))</f>
        <v/>
      </c>
    </row>
    <row r="3979" spans="10:10" x14ac:dyDescent="0.3">
      <c r="J3979" s="383" t="str">
        <f ca="1">IF(ROW()&gt;'Impact Indicator Target Update'!A183,"",INDIRECT("'Impact Indicators - Section B'!A"&amp;'Impact Indicator Target Update'!D183))</f>
        <v/>
      </c>
    </row>
    <row r="3980" spans="10:10" x14ac:dyDescent="0.3">
      <c r="J3980" s="383" t="str">
        <f ca="1">IF(ROW()&gt;'Impact Indicator Target Update'!A184,"",INDIRECT("'Impact Indicators - Section B'!A"&amp;'Impact Indicator Target Update'!D184))</f>
        <v/>
      </c>
    </row>
    <row r="3981" spans="10:10" x14ac:dyDescent="0.3">
      <c r="J3981" s="383" t="str">
        <f ca="1">IF(ROW()&gt;'Impact Indicator Target Update'!A185,"",INDIRECT("'Impact Indicators - Section B'!A"&amp;'Impact Indicator Target Update'!D185))</f>
        <v/>
      </c>
    </row>
    <row r="3982" spans="10:10" x14ac:dyDescent="0.3">
      <c r="J3982" s="383" t="str">
        <f ca="1">IF(ROW()&gt;'Impact Indicator Target Update'!A186,"",INDIRECT("'Impact Indicators - Section B'!A"&amp;'Impact Indicator Target Update'!D186))</f>
        <v/>
      </c>
    </row>
    <row r="3983" spans="10:10" x14ac:dyDescent="0.3">
      <c r="J3983" s="383" t="str">
        <f ca="1">IF(ROW()&gt;'Impact Indicator Target Update'!A187,"",INDIRECT("'Impact Indicators - Section B'!A"&amp;'Impact Indicator Target Update'!D187))</f>
        <v/>
      </c>
    </row>
    <row r="3984" spans="10:10" x14ac:dyDescent="0.3">
      <c r="J3984" s="383" t="str">
        <f ca="1">IF(ROW()&gt;'Impact Indicator Target Update'!A188,"",INDIRECT("'Impact Indicators - Section B'!A"&amp;'Impact Indicator Target Update'!D188))</f>
        <v/>
      </c>
    </row>
    <row r="3985" spans="10:10" x14ac:dyDescent="0.3">
      <c r="J3985" s="383" t="str">
        <f ca="1">IF(ROW()&gt;'Impact Indicator Target Update'!A189,"",INDIRECT("'Impact Indicators - Section B'!A"&amp;'Impact Indicator Target Update'!D189))</f>
        <v/>
      </c>
    </row>
    <row r="3986" spans="10:10" x14ac:dyDescent="0.3">
      <c r="J3986" s="383" t="str">
        <f ca="1">IF(ROW()&gt;'Impact Indicator Target Update'!A190,"",INDIRECT("'Impact Indicators - Section B'!A"&amp;'Impact Indicator Target Update'!D190))</f>
        <v/>
      </c>
    </row>
    <row r="3987" spans="10:10" x14ac:dyDescent="0.3">
      <c r="J3987" s="383" t="str">
        <f ca="1">IF(ROW()&gt;'Impact Indicator Target Update'!A191,"",INDIRECT("'Impact Indicators - Section B'!A"&amp;'Impact Indicator Target Update'!D191))</f>
        <v/>
      </c>
    </row>
    <row r="3988" spans="10:10" x14ac:dyDescent="0.3">
      <c r="J3988" s="383" t="str">
        <f ca="1">IF(ROW()&gt;'Impact Indicator Target Update'!A192,"",INDIRECT("'Impact Indicators - Section B'!A"&amp;'Impact Indicator Target Update'!D192))</f>
        <v/>
      </c>
    </row>
    <row r="3989" spans="10:10" x14ac:dyDescent="0.3">
      <c r="J3989" s="383" t="str">
        <f ca="1">IF(ROW()&gt;'Impact Indicator Target Update'!A193,"",INDIRECT("'Impact Indicators - Section B'!A"&amp;'Impact Indicator Target Update'!D193))</f>
        <v/>
      </c>
    </row>
    <row r="3990" spans="10:10" x14ac:dyDescent="0.3">
      <c r="J3990" s="383" t="str">
        <f ca="1">IF(ROW()&gt;'Impact Indicator Target Update'!A194,"",INDIRECT("'Impact Indicators - Section B'!A"&amp;'Impact Indicator Target Update'!D194))</f>
        <v/>
      </c>
    </row>
    <row r="3991" spans="10:10" x14ac:dyDescent="0.3">
      <c r="J3991" s="383" t="str">
        <f ca="1">IF(ROW()&gt;'Impact Indicator Target Update'!A195,"",INDIRECT("'Impact Indicators - Section B'!A"&amp;'Impact Indicator Target Update'!D195))</f>
        <v/>
      </c>
    </row>
    <row r="3992" spans="10:10" x14ac:dyDescent="0.3">
      <c r="J3992" s="383" t="str">
        <f ca="1">IF(ROW()&gt;'Impact Indicator Target Update'!A196,"",INDIRECT("'Impact Indicators - Section B'!A"&amp;'Impact Indicator Target Update'!D196))</f>
        <v/>
      </c>
    </row>
    <row r="3993" spans="10:10" x14ac:dyDescent="0.3">
      <c r="J3993" s="383" t="str">
        <f ca="1">IF(ROW()&gt;'Impact Indicator Target Update'!A197,"",INDIRECT("'Impact Indicators - Section B'!A"&amp;'Impact Indicator Target Update'!D197))</f>
        <v/>
      </c>
    </row>
    <row r="3994" spans="10:10" x14ac:dyDescent="0.3">
      <c r="J3994" s="383" t="str">
        <f ca="1">IF(ROW()&gt;'Impact Indicator Target Update'!A198,"",INDIRECT("'Impact Indicators - Section B'!A"&amp;'Impact Indicator Target Update'!D198))</f>
        <v/>
      </c>
    </row>
    <row r="3995" spans="10:10" x14ac:dyDescent="0.3">
      <c r="J3995" s="383" t="str">
        <f ca="1">IF(ROW()&gt;'Impact Indicator Target Update'!A199,"",INDIRECT("'Impact Indicators - Section B'!A"&amp;'Impact Indicator Target Update'!D199))</f>
        <v/>
      </c>
    </row>
    <row r="3996" spans="10:10" x14ac:dyDescent="0.3">
      <c r="J3996" s="383" t="str">
        <f ca="1">IF(ROW()&gt;'Impact Indicator Target Update'!A200,"",INDIRECT("'Impact Indicators - Section B'!A"&amp;'Impact Indicator Target Update'!D200))</f>
        <v/>
      </c>
    </row>
    <row r="3997" spans="10:10" x14ac:dyDescent="0.3">
      <c r="J3997" s="383" t="str">
        <f ca="1">IF(ROW()&gt;'Impact Indicator Target Update'!A201,"",INDIRECT("'Impact Indicators - Section B'!A"&amp;'Impact Indicator Target Update'!D201))</f>
        <v/>
      </c>
    </row>
    <row r="3998" spans="10:10" x14ac:dyDescent="0.3">
      <c r="J3998" s="383" t="str">
        <f ca="1">IF(ROW()&gt;'Impact Indicator Target Update'!A202,"",INDIRECT("'Impact Indicators - Section B'!A"&amp;'Impact Indicator Target Update'!D202))</f>
        <v/>
      </c>
    </row>
    <row r="3999" spans="10:10" x14ac:dyDescent="0.3">
      <c r="J3999" s="383" t="str">
        <f ca="1">IF(ROW()&gt;'Impact Indicator Target Update'!A203,"",INDIRECT("'Impact Indicators - Section B'!A"&amp;'Impact Indicator Target Update'!D203))</f>
        <v/>
      </c>
    </row>
    <row r="4000" spans="10:10" x14ac:dyDescent="0.3">
      <c r="J4000" s="383" t="str">
        <f ca="1">IF(ROW()&gt;'Impact Indicator Target Update'!A204,"",INDIRECT("'Impact Indicators - Section B'!A"&amp;'Impact Indicator Target Update'!D204))</f>
        <v/>
      </c>
    </row>
    <row r="4001" spans="10:10" x14ac:dyDescent="0.3">
      <c r="J4001" s="383" t="str">
        <f ca="1">IF(ROW()&gt;'Impact Indicator Target Update'!A205,"",INDIRECT("'Impact Indicators - Section B'!A"&amp;'Impact Indicator Target Update'!D205))</f>
        <v/>
      </c>
    </row>
    <row r="4002" spans="10:10" x14ac:dyDescent="0.3">
      <c r="J4002" s="383" t="str">
        <f ca="1">IF(ROW()&gt;'Impact Indicator Target Update'!A206,"",INDIRECT("'Impact Indicators - Section B'!A"&amp;'Impact Indicator Target Update'!D206))</f>
        <v/>
      </c>
    </row>
    <row r="4003" spans="10:10" x14ac:dyDescent="0.3">
      <c r="J4003" s="383" t="str">
        <f ca="1">IF(ROW()&gt;'Impact Indicator Target Update'!A207,"",INDIRECT("'Impact Indicators - Section B'!A"&amp;'Impact Indicator Target Update'!D207))</f>
        <v/>
      </c>
    </row>
    <row r="4004" spans="10:10" x14ac:dyDescent="0.3">
      <c r="J4004" s="383" t="str">
        <f ca="1">IF(ROW()&gt;'Impact Indicator Target Update'!A208,"",INDIRECT("'Impact Indicators - Section B'!A"&amp;'Impact Indicator Target Update'!D208))</f>
        <v/>
      </c>
    </row>
    <row r="4005" spans="10:10" x14ac:dyDescent="0.3">
      <c r="J4005" s="383" t="str">
        <f ca="1">IF(ROW()&gt;'Impact Indicator Target Update'!A209,"",INDIRECT("'Impact Indicators - Section B'!A"&amp;'Impact Indicator Target Update'!D209))</f>
        <v/>
      </c>
    </row>
    <row r="4006" spans="10:10" x14ac:dyDescent="0.3">
      <c r="J4006" s="383" t="str">
        <f ca="1">IF(ROW()&gt;'Impact Indicator Target Update'!A210,"",INDIRECT("'Impact Indicators - Section B'!A"&amp;'Impact Indicator Target Update'!D210))</f>
        <v/>
      </c>
    </row>
    <row r="4007" spans="10:10" x14ac:dyDescent="0.3">
      <c r="J4007" s="383" t="str">
        <f ca="1">IF(ROW()&gt;'Impact Indicator Target Update'!A211,"",INDIRECT("'Impact Indicators - Section B'!A"&amp;'Impact Indicator Target Update'!D211))</f>
        <v/>
      </c>
    </row>
    <row r="4008" spans="10:10" x14ac:dyDescent="0.3">
      <c r="J4008" s="383" t="str">
        <f ca="1">IF(ROW()&gt;'Impact Indicator Target Update'!A212,"",INDIRECT("'Impact Indicators - Section B'!A"&amp;'Impact Indicator Target Update'!D212))</f>
        <v/>
      </c>
    </row>
    <row r="4009" spans="10:10" x14ac:dyDescent="0.3">
      <c r="J4009" s="383" t="str">
        <f ca="1">IF(ROW()&gt;'Impact Indicator Target Update'!A213,"",INDIRECT("'Impact Indicators - Section B'!A"&amp;'Impact Indicator Target Update'!D213))</f>
        <v/>
      </c>
    </row>
    <row r="4010" spans="10:10" x14ac:dyDescent="0.3">
      <c r="J4010" s="383" t="str">
        <f ca="1">IF(ROW()&gt;'Impact Indicator Target Update'!A214,"",INDIRECT("'Impact Indicators - Section B'!A"&amp;'Impact Indicator Target Update'!D214))</f>
        <v/>
      </c>
    </row>
    <row r="4011" spans="10:10" x14ac:dyDescent="0.3">
      <c r="J4011" s="383" t="str">
        <f ca="1">IF(ROW()&gt;'Impact Indicator Target Update'!A215,"",INDIRECT("'Impact Indicators - Section B'!A"&amp;'Impact Indicator Target Update'!D215))</f>
        <v/>
      </c>
    </row>
    <row r="4012" spans="10:10" x14ac:dyDescent="0.3">
      <c r="J4012" s="383" t="str">
        <f ca="1">IF(ROW()&gt;'Impact Indicator Target Update'!A216,"",INDIRECT("'Impact Indicators - Section B'!A"&amp;'Impact Indicator Target Update'!D216))</f>
        <v/>
      </c>
    </row>
    <row r="4013" spans="10:10" x14ac:dyDescent="0.3">
      <c r="J4013" s="383" t="str">
        <f ca="1">IF(ROW()&gt;'Impact Indicator Target Update'!A217,"",INDIRECT("'Impact Indicators - Section B'!A"&amp;'Impact Indicator Target Update'!D217))</f>
        <v/>
      </c>
    </row>
    <row r="4014" spans="10:10" x14ac:dyDescent="0.3">
      <c r="J4014" s="383" t="str">
        <f ca="1">IF(ROW()&gt;'Impact Indicator Target Update'!A218,"",INDIRECT("'Impact Indicators - Section B'!A"&amp;'Impact Indicator Target Update'!D218))</f>
        <v/>
      </c>
    </row>
    <row r="4015" spans="10:10" x14ac:dyDescent="0.3">
      <c r="J4015" s="383" t="str">
        <f ca="1">IF(ROW()&gt;'Impact Indicator Target Update'!A219,"",INDIRECT("'Impact Indicators - Section B'!A"&amp;'Impact Indicator Target Update'!D219))</f>
        <v/>
      </c>
    </row>
    <row r="4016" spans="10:10" x14ac:dyDescent="0.3">
      <c r="J4016" s="383" t="str">
        <f ca="1">IF(ROW()&gt;'Impact Indicator Target Update'!A220,"",INDIRECT("'Impact Indicators - Section B'!A"&amp;'Impact Indicator Target Update'!D220))</f>
        <v/>
      </c>
    </row>
    <row r="4017" spans="10:10" x14ac:dyDescent="0.3">
      <c r="J4017" s="383" t="str">
        <f ca="1">IF(ROW()&gt;'Impact Indicator Target Update'!A221,"",INDIRECT("'Impact Indicators - Section B'!A"&amp;'Impact Indicator Target Update'!D221))</f>
        <v/>
      </c>
    </row>
    <row r="4018" spans="10:10" x14ac:dyDescent="0.3">
      <c r="J4018" s="383" t="str">
        <f ca="1">IF(ROW()&gt;'Impact Indicator Target Update'!A222,"",INDIRECT("'Impact Indicators - Section B'!A"&amp;'Impact Indicator Target Update'!D222))</f>
        <v/>
      </c>
    </row>
    <row r="4019" spans="10:10" x14ac:dyDescent="0.3">
      <c r="J4019" s="383" t="str">
        <f ca="1">IF(ROW()&gt;'Impact Indicator Target Update'!A223,"",INDIRECT("'Impact Indicators - Section B'!A"&amp;'Impact Indicator Target Update'!D223))</f>
        <v/>
      </c>
    </row>
    <row r="4020" spans="10:10" x14ac:dyDescent="0.3">
      <c r="J4020" s="383" t="str">
        <f ca="1">IF(ROW()&gt;'Impact Indicator Target Update'!A224,"",INDIRECT("'Impact Indicators - Section B'!A"&amp;'Impact Indicator Target Update'!D224))</f>
        <v/>
      </c>
    </row>
    <row r="4021" spans="10:10" x14ac:dyDescent="0.3">
      <c r="J4021" s="383" t="str">
        <f ca="1">IF(ROW()&gt;'Impact Indicator Target Update'!A225,"",INDIRECT("'Impact Indicators - Section B'!A"&amp;'Impact Indicator Target Update'!D225))</f>
        <v/>
      </c>
    </row>
    <row r="4022" spans="10:10" x14ac:dyDescent="0.3">
      <c r="J4022" s="383" t="str">
        <f ca="1">IF(ROW()&gt;'Impact Indicator Target Update'!A226,"",INDIRECT("'Impact Indicators - Section B'!A"&amp;'Impact Indicator Target Update'!D226))</f>
        <v/>
      </c>
    </row>
    <row r="4023" spans="10:10" x14ac:dyDescent="0.3">
      <c r="J4023" s="383" t="str">
        <f ca="1">IF(ROW()&gt;'Impact Indicator Target Update'!A227,"",INDIRECT("'Impact Indicators - Section B'!A"&amp;'Impact Indicator Target Update'!D227))</f>
        <v/>
      </c>
    </row>
    <row r="4024" spans="10:10" x14ac:dyDescent="0.3">
      <c r="J4024" s="383" t="str">
        <f ca="1">IF(ROW()&gt;'Impact Indicator Target Update'!A228,"",INDIRECT("'Impact Indicators - Section B'!A"&amp;'Impact Indicator Target Update'!D228))</f>
        <v/>
      </c>
    </row>
    <row r="4025" spans="10:10" x14ac:dyDescent="0.3">
      <c r="J4025" s="383" t="str">
        <f ca="1">IF(ROW()&gt;'Impact Indicator Target Update'!A229,"",INDIRECT("'Impact Indicators - Section B'!A"&amp;'Impact Indicator Target Update'!D229))</f>
        <v/>
      </c>
    </row>
    <row r="4026" spans="10:10" x14ac:dyDescent="0.3">
      <c r="J4026" s="383" t="str">
        <f ca="1">IF(ROW()&gt;'Impact Indicator Target Update'!A230,"",INDIRECT("'Impact Indicators - Section B'!A"&amp;'Impact Indicator Target Update'!D230))</f>
        <v/>
      </c>
    </row>
    <row r="4027" spans="10:10" x14ac:dyDescent="0.3">
      <c r="J4027" s="383" t="str">
        <f ca="1">IF(ROW()&gt;'Impact Indicator Target Update'!A231,"",INDIRECT("'Impact Indicators - Section B'!A"&amp;'Impact Indicator Target Update'!D231))</f>
        <v/>
      </c>
    </row>
    <row r="4028" spans="10:10" x14ac:dyDescent="0.3">
      <c r="J4028" s="383" t="str">
        <f ca="1">IF(ROW()&gt;'Impact Indicator Target Update'!A232,"",INDIRECT("'Impact Indicators - Section B'!A"&amp;'Impact Indicator Target Update'!D232))</f>
        <v/>
      </c>
    </row>
    <row r="4029" spans="10:10" x14ac:dyDescent="0.3">
      <c r="J4029" s="383" t="str">
        <f ca="1">IF(ROW()&gt;'Impact Indicator Target Update'!A233,"",INDIRECT("'Impact Indicators - Section B'!A"&amp;'Impact Indicator Target Update'!D233))</f>
        <v/>
      </c>
    </row>
    <row r="4030" spans="10:10" x14ac:dyDescent="0.3">
      <c r="J4030" s="383" t="str">
        <f ca="1">IF(ROW()&gt;'Impact Indicator Target Update'!A234,"",INDIRECT("'Impact Indicators - Section B'!A"&amp;'Impact Indicator Target Update'!D234))</f>
        <v/>
      </c>
    </row>
    <row r="4031" spans="10:10" x14ac:dyDescent="0.3">
      <c r="J4031" s="383" t="str">
        <f ca="1">IF(ROW()&gt;'Impact Indicator Target Update'!A235,"",INDIRECT("'Impact Indicators - Section B'!A"&amp;'Impact Indicator Target Update'!D235))</f>
        <v/>
      </c>
    </row>
    <row r="4032" spans="10:10" x14ac:dyDescent="0.3">
      <c r="J4032" s="383" t="str">
        <f ca="1">IF(ROW()&gt;'Impact Indicator Target Update'!A236,"",INDIRECT("'Impact Indicators - Section B'!A"&amp;'Impact Indicator Target Update'!D236))</f>
        <v/>
      </c>
    </row>
    <row r="4033" spans="10:10" x14ac:dyDescent="0.3">
      <c r="J4033" s="383" t="str">
        <f ca="1">IF(ROW()&gt;'Impact Indicator Target Update'!A237,"",INDIRECT("'Impact Indicators - Section B'!A"&amp;'Impact Indicator Target Update'!D237))</f>
        <v/>
      </c>
    </row>
    <row r="4034" spans="10:10" x14ac:dyDescent="0.3">
      <c r="J4034" s="383" t="str">
        <f ca="1">IF(ROW()&gt;'Impact Indicator Target Update'!A238,"",INDIRECT("'Impact Indicators - Section B'!A"&amp;'Impact Indicator Target Update'!D238))</f>
        <v/>
      </c>
    </row>
    <row r="4035" spans="10:10" x14ac:dyDescent="0.3">
      <c r="J4035" s="383" t="str">
        <f ca="1">IF(ROW()&gt;'Impact Indicator Target Update'!A239,"",INDIRECT("'Impact Indicators - Section B'!A"&amp;'Impact Indicator Target Update'!D239))</f>
        <v/>
      </c>
    </row>
    <row r="4036" spans="10:10" x14ac:dyDescent="0.3">
      <c r="J4036" s="383" t="str">
        <f ca="1">IF(ROW()&gt;'Impact Indicator Target Update'!A240,"",INDIRECT("'Impact Indicators - Section B'!A"&amp;'Impact Indicator Target Update'!D240))</f>
        <v/>
      </c>
    </row>
    <row r="4037" spans="10:10" x14ac:dyDescent="0.3">
      <c r="J4037" s="383" t="str">
        <f ca="1">IF(ROW()&gt;'Impact Indicator Target Update'!A241,"",INDIRECT("'Impact Indicators - Section B'!A"&amp;'Impact Indicator Target Update'!D241))</f>
        <v/>
      </c>
    </row>
    <row r="4038" spans="10:10" x14ac:dyDescent="0.3">
      <c r="J4038" s="383" t="str">
        <f ca="1">IF(ROW()&gt;'Impact Indicator Target Update'!A242,"",INDIRECT("'Impact Indicators - Section B'!A"&amp;'Impact Indicator Target Update'!D242))</f>
        <v/>
      </c>
    </row>
    <row r="4039" spans="10:10" x14ac:dyDescent="0.3">
      <c r="J4039" s="383" t="str">
        <f ca="1">IF(ROW()&gt;'Impact Indicator Target Update'!A243,"",INDIRECT("'Impact Indicators - Section B'!A"&amp;'Impact Indicator Target Update'!D243))</f>
        <v/>
      </c>
    </row>
    <row r="4040" spans="10:10" x14ac:dyDescent="0.3">
      <c r="J4040" s="383" t="str">
        <f ca="1">IF(ROW()&gt;'Impact Indicator Target Update'!A244,"",INDIRECT("'Impact Indicators - Section B'!A"&amp;'Impact Indicator Target Update'!D244))</f>
        <v/>
      </c>
    </row>
    <row r="4041" spans="10:10" x14ac:dyDescent="0.3">
      <c r="J4041" s="383" t="str">
        <f ca="1">IF(ROW()&gt;'Impact Indicator Target Update'!A245,"",INDIRECT("'Impact Indicators - Section B'!A"&amp;'Impact Indicator Target Update'!D245))</f>
        <v/>
      </c>
    </row>
    <row r="4042" spans="10:10" x14ac:dyDescent="0.3">
      <c r="J4042" s="383" t="str">
        <f ca="1">IF(ROW()&gt;'Impact Indicator Target Update'!A246,"",INDIRECT("'Impact Indicators - Section B'!A"&amp;'Impact Indicator Target Update'!D246))</f>
        <v/>
      </c>
    </row>
    <row r="4043" spans="10:10" x14ac:dyDescent="0.3">
      <c r="J4043" s="383" t="str">
        <f ca="1">IF(ROW()&gt;'Impact Indicator Target Update'!A247,"",INDIRECT("'Impact Indicators - Section B'!A"&amp;'Impact Indicator Target Update'!D247))</f>
        <v/>
      </c>
    </row>
    <row r="4044" spans="10:10" x14ac:dyDescent="0.3">
      <c r="J4044" s="383" t="str">
        <f ca="1">IF(ROW()&gt;'Impact Indicator Target Update'!A248,"",INDIRECT("'Impact Indicators - Section B'!A"&amp;'Impact Indicator Target Update'!D248))</f>
        <v/>
      </c>
    </row>
    <row r="4045" spans="10:10" x14ac:dyDescent="0.3">
      <c r="J4045" s="383" t="str">
        <f ca="1">IF(ROW()&gt;'Impact Indicator Target Update'!A249,"",INDIRECT("'Impact Indicators - Section B'!A"&amp;'Impact Indicator Target Update'!D249))</f>
        <v/>
      </c>
    </row>
    <row r="4046" spans="10:10" x14ac:dyDescent="0.3">
      <c r="J4046" s="383" t="str">
        <f ca="1">IF(ROW()&gt;'Impact Indicator Target Update'!A250,"",INDIRECT("'Impact Indicators - Section B'!A"&amp;'Impact Indicator Target Update'!D250))</f>
        <v/>
      </c>
    </row>
    <row r="4047" spans="10:10" x14ac:dyDescent="0.3">
      <c r="J4047" s="383" t="str">
        <f ca="1">IF(ROW()&gt;'Impact Indicator Target Update'!A251,"",INDIRECT("'Impact Indicators - Section B'!A"&amp;'Impact Indicator Target Update'!D251))</f>
        <v/>
      </c>
    </row>
    <row r="4048" spans="10:10" x14ac:dyDescent="0.3">
      <c r="J4048" s="383" t="str">
        <f ca="1">IF(ROW()&gt;'Impact Indicator Target Update'!A252,"",INDIRECT("'Impact Indicators - Section B'!A"&amp;'Impact Indicator Target Update'!D252))</f>
        <v/>
      </c>
    </row>
    <row r="4049" spans="10:10" x14ac:dyDescent="0.3">
      <c r="J4049" s="383" t="str">
        <f ca="1">IF(ROW()&gt;'Impact Indicator Target Update'!A253,"",INDIRECT("'Impact Indicators - Section B'!A"&amp;'Impact Indicator Target Update'!D253))</f>
        <v/>
      </c>
    </row>
    <row r="4050" spans="10:10" x14ac:dyDescent="0.3">
      <c r="J4050" s="383" t="str">
        <f ca="1">IF(ROW()&gt;'Impact Indicator Target Update'!A254,"",INDIRECT("'Impact Indicators - Section B'!A"&amp;'Impact Indicator Target Update'!D254))</f>
        <v/>
      </c>
    </row>
    <row r="4051" spans="10:10" x14ac:dyDescent="0.3">
      <c r="J4051" s="383" t="str">
        <f ca="1">IF(ROW()&gt;'Impact Indicator Target Update'!A255,"",INDIRECT("'Impact Indicators - Section B'!A"&amp;'Impact Indicator Target Update'!D255))</f>
        <v/>
      </c>
    </row>
    <row r="4052" spans="10:10" x14ac:dyDescent="0.3">
      <c r="J4052" s="383" t="str">
        <f ca="1">IF(ROW()&gt;'Impact Indicator Target Update'!A256,"",INDIRECT("'Impact Indicators - Section B'!A"&amp;'Impact Indicator Target Update'!D256))</f>
        <v/>
      </c>
    </row>
    <row r="4053" spans="10:10" x14ac:dyDescent="0.3">
      <c r="J4053" s="383" t="str">
        <f ca="1">IF(ROW()&gt;'Impact Indicator Target Update'!A257,"",INDIRECT("'Impact Indicators - Section B'!A"&amp;'Impact Indicator Target Update'!D257))</f>
        <v/>
      </c>
    </row>
    <row r="4054" spans="10:10" x14ac:dyDescent="0.3">
      <c r="J4054" s="383" t="str">
        <f ca="1">IF(ROW()&gt;'Impact Indicator Target Update'!A258,"",INDIRECT("'Impact Indicators - Section B'!A"&amp;'Impact Indicator Target Update'!D258))</f>
        <v/>
      </c>
    </row>
    <row r="4055" spans="10:10" x14ac:dyDescent="0.3">
      <c r="J4055" s="383" t="str">
        <f ca="1">IF(ROW()&gt;'Impact Indicator Target Update'!A259,"",INDIRECT("'Impact Indicators - Section B'!A"&amp;'Impact Indicator Target Update'!D259))</f>
        <v/>
      </c>
    </row>
    <row r="4056" spans="10:10" x14ac:dyDescent="0.3">
      <c r="J4056" s="383" t="str">
        <f ca="1">IF(ROW()&gt;'Impact Indicator Target Update'!A260,"",INDIRECT("'Impact Indicators - Section B'!A"&amp;'Impact Indicator Target Update'!D260))</f>
        <v/>
      </c>
    </row>
    <row r="4057" spans="10:10" x14ac:dyDescent="0.3">
      <c r="J4057" s="383" t="str">
        <f ca="1">IF(ROW()&gt;'Impact Indicator Target Update'!A261,"",INDIRECT("'Impact Indicators - Section B'!A"&amp;'Impact Indicator Target Update'!D261))</f>
        <v/>
      </c>
    </row>
    <row r="4058" spans="10:10" x14ac:dyDescent="0.3">
      <c r="J4058" s="383" t="str">
        <f ca="1">IF(ROW()&gt;'Impact Indicator Target Update'!A262,"",INDIRECT("'Impact Indicators - Section B'!A"&amp;'Impact Indicator Target Update'!D262))</f>
        <v/>
      </c>
    </row>
    <row r="4059" spans="10:10" x14ac:dyDescent="0.3">
      <c r="J4059" s="383" t="str">
        <f ca="1">IF(ROW()&gt;'Impact Indicator Target Update'!A263,"",INDIRECT("'Impact Indicators - Section B'!A"&amp;'Impact Indicator Target Update'!D263))</f>
        <v/>
      </c>
    </row>
    <row r="4060" spans="10:10" x14ac:dyDescent="0.3">
      <c r="J4060" s="383" t="str">
        <f ca="1">IF(ROW()&gt;'Impact Indicator Target Update'!A264,"",INDIRECT("'Impact Indicators - Section B'!A"&amp;'Impact Indicator Target Update'!D264))</f>
        <v/>
      </c>
    </row>
    <row r="4061" spans="10:10" x14ac:dyDescent="0.3">
      <c r="J4061" s="383" t="str">
        <f ca="1">IF(ROW()&gt;'Impact Indicator Target Update'!A265,"",INDIRECT("'Impact Indicators - Section B'!A"&amp;'Impact Indicator Target Update'!D265))</f>
        <v/>
      </c>
    </row>
    <row r="4062" spans="10:10" x14ac:dyDescent="0.3">
      <c r="J4062" s="383" t="str">
        <f ca="1">IF(ROW()&gt;'Impact Indicator Target Update'!A266,"",INDIRECT("'Impact Indicators - Section B'!A"&amp;'Impact Indicator Target Update'!D266))</f>
        <v/>
      </c>
    </row>
    <row r="4063" spans="10:10" x14ac:dyDescent="0.3">
      <c r="J4063" s="383" t="str">
        <f ca="1">IF(ROW()&gt;'Impact Indicator Target Update'!A267,"",INDIRECT("'Impact Indicators - Section B'!A"&amp;'Impact Indicator Target Update'!D267))</f>
        <v/>
      </c>
    </row>
    <row r="4064" spans="10:10" x14ac:dyDescent="0.3">
      <c r="J4064" s="383" t="str">
        <f ca="1">IF(ROW()&gt;'Impact Indicator Target Update'!A268,"",INDIRECT("'Impact Indicators - Section B'!A"&amp;'Impact Indicator Target Update'!D268))</f>
        <v/>
      </c>
    </row>
    <row r="4065" spans="10:10" x14ac:dyDescent="0.3">
      <c r="J4065" s="383" t="str">
        <f ca="1">IF(ROW()&gt;'Impact Indicator Target Update'!A269,"",INDIRECT("'Impact Indicators - Section B'!A"&amp;'Impact Indicator Target Update'!D269))</f>
        <v/>
      </c>
    </row>
    <row r="4066" spans="10:10" x14ac:dyDescent="0.3">
      <c r="J4066" s="383" t="str">
        <f ca="1">IF(ROW()&gt;'Impact Indicator Target Update'!A270,"",INDIRECT("'Impact Indicators - Section B'!A"&amp;'Impact Indicator Target Update'!D270))</f>
        <v/>
      </c>
    </row>
    <row r="4067" spans="10:10" x14ac:dyDescent="0.3">
      <c r="J4067" s="383" t="str">
        <f ca="1">IF(ROW()&gt;'Impact Indicator Target Update'!A271,"",INDIRECT("'Impact Indicators - Section B'!A"&amp;'Impact Indicator Target Update'!D271))</f>
        <v/>
      </c>
    </row>
    <row r="4068" spans="10:10" x14ac:dyDescent="0.3">
      <c r="J4068" s="383" t="str">
        <f ca="1">IF(ROW()&gt;'Impact Indicator Target Update'!A272,"",INDIRECT("'Impact Indicators - Section B'!A"&amp;'Impact Indicator Target Update'!D272))</f>
        <v/>
      </c>
    </row>
    <row r="4069" spans="10:10" x14ac:dyDescent="0.3">
      <c r="J4069" s="383" t="str">
        <f ca="1">IF(ROW()&gt;'Impact Indicator Target Update'!A273,"",INDIRECT("'Impact Indicators - Section B'!A"&amp;'Impact Indicator Target Update'!D273))</f>
        <v/>
      </c>
    </row>
    <row r="4070" spans="10:10" x14ac:dyDescent="0.3">
      <c r="J4070" s="383" t="str">
        <f ca="1">IF(ROW()&gt;'Impact Indicator Target Update'!A274,"",INDIRECT("'Impact Indicators - Section B'!A"&amp;'Impact Indicator Target Update'!D274))</f>
        <v/>
      </c>
    </row>
    <row r="4071" spans="10:10" x14ac:dyDescent="0.3">
      <c r="J4071" s="383" t="str">
        <f ca="1">IF(ROW()&gt;'Impact Indicator Target Update'!A275,"",INDIRECT("'Impact Indicators - Section B'!A"&amp;'Impact Indicator Target Update'!D275))</f>
        <v/>
      </c>
    </row>
    <row r="4072" spans="10:10" x14ac:dyDescent="0.3">
      <c r="J4072" s="383" t="str">
        <f ca="1">IF(ROW()&gt;'Impact Indicator Target Update'!A276,"",INDIRECT("'Impact Indicators - Section B'!A"&amp;'Impact Indicator Target Update'!D276))</f>
        <v/>
      </c>
    </row>
    <row r="4073" spans="10:10" x14ac:dyDescent="0.3">
      <c r="J4073" s="383" t="str">
        <f ca="1">IF(ROW()&gt;'Impact Indicator Target Update'!A277,"",INDIRECT("'Impact Indicators - Section B'!A"&amp;'Impact Indicator Target Update'!D277))</f>
        <v/>
      </c>
    </row>
    <row r="4074" spans="10:10" x14ac:dyDescent="0.3">
      <c r="J4074" s="383" t="str">
        <f ca="1">IF(ROW()&gt;'Impact Indicator Target Update'!A278,"",INDIRECT("'Impact Indicators - Section B'!A"&amp;'Impact Indicator Target Update'!D278))</f>
        <v/>
      </c>
    </row>
    <row r="4075" spans="10:10" x14ac:dyDescent="0.3">
      <c r="J4075" s="383" t="str">
        <f ca="1">IF(ROW()&gt;'Impact Indicator Target Update'!A279,"",INDIRECT("'Impact Indicators - Section B'!A"&amp;'Impact Indicator Target Update'!D279))</f>
        <v/>
      </c>
    </row>
    <row r="4076" spans="10:10" x14ac:dyDescent="0.3">
      <c r="J4076" s="383" t="str">
        <f ca="1">IF(ROW()&gt;'Impact Indicator Target Update'!A280,"",INDIRECT("'Impact Indicators - Section B'!A"&amp;'Impact Indicator Target Update'!D280))</f>
        <v/>
      </c>
    </row>
    <row r="4077" spans="10:10" x14ac:dyDescent="0.3">
      <c r="J4077" s="383" t="str">
        <f ca="1">IF(ROW()&gt;'Impact Indicator Target Update'!A281,"",INDIRECT("'Impact Indicators - Section B'!A"&amp;'Impact Indicator Target Update'!D281))</f>
        <v/>
      </c>
    </row>
    <row r="4078" spans="10:10" x14ac:dyDescent="0.3">
      <c r="J4078" s="383" t="str">
        <f ca="1">IF(ROW()&gt;'Impact Indicator Target Update'!A282,"",INDIRECT("'Impact Indicators - Section B'!A"&amp;'Impact Indicator Target Update'!D282))</f>
        <v/>
      </c>
    </row>
    <row r="4079" spans="10:10" x14ac:dyDescent="0.3">
      <c r="J4079" s="383" t="str">
        <f ca="1">IF(ROW()&gt;'Impact Indicator Target Update'!A283,"",INDIRECT("'Impact Indicators - Section B'!A"&amp;'Impact Indicator Target Update'!D283))</f>
        <v/>
      </c>
    </row>
    <row r="4080" spans="10:10" x14ac:dyDescent="0.3">
      <c r="J4080" s="383" t="str">
        <f ca="1">IF(ROW()&gt;'Impact Indicator Target Update'!A284,"",INDIRECT("'Impact Indicators - Section B'!A"&amp;'Impact Indicator Target Update'!D284))</f>
        <v/>
      </c>
    </row>
    <row r="4081" spans="10:10" x14ac:dyDescent="0.3">
      <c r="J4081" s="383" t="str">
        <f ca="1">IF(ROW()&gt;'Impact Indicator Target Update'!A285,"",INDIRECT("'Impact Indicators - Section B'!A"&amp;'Impact Indicator Target Update'!D285))</f>
        <v/>
      </c>
    </row>
    <row r="4082" spans="10:10" x14ac:dyDescent="0.3">
      <c r="J4082" s="383" t="str">
        <f ca="1">IF(ROW()&gt;'Impact Indicator Target Update'!A286,"",INDIRECT("'Impact Indicators - Section B'!A"&amp;'Impact Indicator Target Update'!D286))</f>
        <v/>
      </c>
    </row>
    <row r="4083" spans="10:10" x14ac:dyDescent="0.3">
      <c r="J4083" s="383" t="str">
        <f ca="1">IF(ROW()&gt;'Impact Indicator Target Update'!A287,"",INDIRECT("'Impact Indicators - Section B'!A"&amp;'Impact Indicator Target Update'!D287))</f>
        <v/>
      </c>
    </row>
    <row r="4084" spans="10:10" x14ac:dyDescent="0.3">
      <c r="J4084" s="383" t="str">
        <f ca="1">IF(ROW()&gt;'Impact Indicator Target Update'!A288,"",INDIRECT("'Impact Indicators - Section B'!A"&amp;'Impact Indicator Target Update'!D288))</f>
        <v/>
      </c>
    </row>
    <row r="4085" spans="10:10" x14ac:dyDescent="0.3">
      <c r="J4085" s="383" t="str">
        <f ca="1">IF(ROW()&gt;'Impact Indicator Target Update'!A289,"",INDIRECT("'Impact Indicators - Section B'!A"&amp;'Impact Indicator Target Update'!D289))</f>
        <v/>
      </c>
    </row>
    <row r="4086" spans="10:10" x14ac:dyDescent="0.3">
      <c r="J4086" s="383" t="str">
        <f ca="1">IF(ROW()&gt;'Impact Indicator Target Update'!A290,"",INDIRECT("'Impact Indicators - Section B'!A"&amp;'Impact Indicator Target Update'!D290))</f>
        <v/>
      </c>
    </row>
    <row r="4087" spans="10:10" x14ac:dyDescent="0.3">
      <c r="J4087" s="383" t="str">
        <f ca="1">IF(ROW()&gt;'Impact Indicator Target Update'!A291,"",INDIRECT("'Impact Indicators - Section B'!A"&amp;'Impact Indicator Target Update'!D291))</f>
        <v/>
      </c>
    </row>
    <row r="4088" spans="10:10" x14ac:dyDescent="0.3">
      <c r="J4088" s="383" t="str">
        <f ca="1">IF(ROW()&gt;'Impact Indicator Target Update'!A292,"",INDIRECT("'Impact Indicators - Section B'!A"&amp;'Impact Indicator Target Update'!D292))</f>
        <v/>
      </c>
    </row>
    <row r="4089" spans="10:10" x14ac:dyDescent="0.3">
      <c r="J4089" s="383" t="str">
        <f ca="1">IF(ROW()&gt;'Impact Indicator Target Update'!A293,"",INDIRECT("'Impact Indicators - Section B'!A"&amp;'Impact Indicator Target Update'!D293))</f>
        <v/>
      </c>
    </row>
    <row r="4090" spans="10:10" x14ac:dyDescent="0.3">
      <c r="J4090" s="383" t="str">
        <f ca="1">IF(ROW()&gt;'Impact Indicator Target Update'!A294,"",INDIRECT("'Impact Indicators - Section B'!A"&amp;'Impact Indicator Target Update'!D294))</f>
        <v/>
      </c>
    </row>
    <row r="4091" spans="10:10" x14ac:dyDescent="0.3">
      <c r="J4091" s="383" t="str">
        <f ca="1">IF(ROW()&gt;'Impact Indicator Target Update'!A295,"",INDIRECT("'Impact Indicators - Section B'!A"&amp;'Impact Indicator Target Update'!D295))</f>
        <v/>
      </c>
    </row>
    <row r="4092" spans="10:10" x14ac:dyDescent="0.3">
      <c r="J4092" s="383" t="str">
        <f ca="1">IF(ROW()&gt;'Impact Indicator Target Update'!A296,"",INDIRECT("'Impact Indicators - Section B'!A"&amp;'Impact Indicator Target Update'!D296))</f>
        <v/>
      </c>
    </row>
    <row r="4093" spans="10:10" x14ac:dyDescent="0.3">
      <c r="J4093" s="383" t="str">
        <f ca="1">IF(ROW()&gt;'Impact Indicator Target Update'!A297,"",INDIRECT("'Impact Indicators - Section B'!A"&amp;'Impact Indicator Target Update'!D297))</f>
        <v/>
      </c>
    </row>
    <row r="4094" spans="10:10" x14ac:dyDescent="0.3">
      <c r="J4094" s="383" t="str">
        <f ca="1">IF(ROW()&gt;'Impact Indicator Target Update'!A298,"",INDIRECT("'Impact Indicators - Section B'!A"&amp;'Impact Indicator Target Update'!D298))</f>
        <v/>
      </c>
    </row>
    <row r="4095" spans="10:10" x14ac:dyDescent="0.3">
      <c r="J4095" s="383" t="str">
        <f ca="1">IF(ROW()&gt;'Impact Indicator Target Update'!A299,"",INDIRECT("'Impact Indicators - Section B'!A"&amp;'Impact Indicator Target Update'!D299))</f>
        <v/>
      </c>
    </row>
    <row r="4096" spans="10:10" x14ac:dyDescent="0.3">
      <c r="J4096" s="383" t="str">
        <f ca="1">IF(ROW()&gt;'Impact Indicator Target Update'!A300,"",INDIRECT("'Impact Indicators - Section B'!A"&amp;'Impact Indicator Target Update'!D300))</f>
        <v/>
      </c>
    </row>
    <row r="4097" spans="10:10" x14ac:dyDescent="0.3">
      <c r="J4097" s="383" t="str">
        <f ca="1">IF(ROW()&gt;'Impact Indicator Target Update'!A301,"",INDIRECT("'Impact Indicators - Section B'!A"&amp;'Impact Indicator Target Update'!D301))</f>
        <v/>
      </c>
    </row>
    <row r="4098" spans="10:10" x14ac:dyDescent="0.3">
      <c r="J4098" s="383" t="str">
        <f ca="1">IF(ROW()&gt;'Impact Indicator Target Update'!A302,"",INDIRECT("'Impact Indicators - Section B'!A"&amp;'Impact Indicator Target Update'!D302))</f>
        <v/>
      </c>
    </row>
    <row r="4099" spans="10:10" x14ac:dyDescent="0.3">
      <c r="J4099" s="383" t="str">
        <f ca="1">IF(ROW()&gt;'Impact Indicator Target Update'!A303,"",INDIRECT("'Impact Indicators - Section B'!A"&amp;'Impact Indicator Target Update'!D303))</f>
        <v/>
      </c>
    </row>
    <row r="4100" spans="10:10" x14ac:dyDescent="0.3">
      <c r="J4100" s="383" t="str">
        <f ca="1">IF(ROW()&gt;'Impact Indicator Target Update'!A304,"",INDIRECT("'Impact Indicators - Section B'!A"&amp;'Impact Indicator Target Update'!D304))</f>
        <v/>
      </c>
    </row>
    <row r="4101" spans="10:10" x14ac:dyDescent="0.3">
      <c r="J4101" s="383" t="str">
        <f ca="1">IF(ROW()&gt;'Impact Indicator Target Update'!A305,"",INDIRECT("'Impact Indicators - Section B'!A"&amp;'Impact Indicator Target Update'!D305))</f>
        <v/>
      </c>
    </row>
    <row r="4102" spans="10:10" x14ac:dyDescent="0.3">
      <c r="J4102" s="383" t="str">
        <f ca="1">IF(ROW()&gt;'Impact Indicator Target Update'!A306,"",INDIRECT("'Impact Indicators - Section B'!A"&amp;'Impact Indicator Target Update'!D306))</f>
        <v/>
      </c>
    </row>
    <row r="4103" spans="10:10" x14ac:dyDescent="0.3">
      <c r="J4103" s="383" t="str">
        <f ca="1">IF(ROW()&gt;'Impact Indicator Target Update'!A307,"",INDIRECT("'Impact Indicators - Section B'!A"&amp;'Impact Indicator Target Update'!D307))</f>
        <v/>
      </c>
    </row>
    <row r="4104" spans="10:10" x14ac:dyDescent="0.3">
      <c r="J4104" s="383" t="str">
        <f ca="1">IF(ROW()&gt;'Impact Indicator Target Update'!A308,"",INDIRECT("'Impact Indicators - Section B'!A"&amp;'Impact Indicator Target Update'!D308))</f>
        <v/>
      </c>
    </row>
    <row r="4105" spans="10:10" x14ac:dyDescent="0.3">
      <c r="J4105" s="383" t="str">
        <f ca="1">IF(ROW()&gt;'Impact Indicator Target Update'!A309,"",INDIRECT("'Impact Indicators - Section B'!A"&amp;'Impact Indicator Target Update'!D309))</f>
        <v/>
      </c>
    </row>
    <row r="4106" spans="10:10" x14ac:dyDescent="0.3">
      <c r="J4106" s="383" t="str">
        <f ca="1">IF(ROW()&gt;'Impact Indicator Target Update'!A310,"",INDIRECT("'Impact Indicators - Section B'!A"&amp;'Impact Indicator Target Update'!D310))</f>
        <v/>
      </c>
    </row>
    <row r="4107" spans="10:10" x14ac:dyDescent="0.3">
      <c r="J4107" s="383" t="str">
        <f ca="1">IF(ROW()&gt;'Impact Indicator Target Update'!A311,"",INDIRECT("'Impact Indicators - Section B'!A"&amp;'Impact Indicator Target Update'!D311))</f>
        <v/>
      </c>
    </row>
    <row r="4108" spans="10:10" x14ac:dyDescent="0.3">
      <c r="J4108" s="383" t="str">
        <f ca="1">IF(ROW()&gt;'Impact Indicator Target Update'!A312,"",INDIRECT("'Impact Indicators - Section B'!A"&amp;'Impact Indicator Target Update'!D312))</f>
        <v/>
      </c>
    </row>
    <row r="4109" spans="10:10" x14ac:dyDescent="0.3">
      <c r="J4109" s="383" t="str">
        <f ca="1">IF(ROW()&gt;'Impact Indicator Target Update'!A313,"",INDIRECT("'Impact Indicators - Section B'!A"&amp;'Impact Indicator Target Update'!D313))</f>
        <v/>
      </c>
    </row>
    <row r="4110" spans="10:10" x14ac:dyDescent="0.3">
      <c r="J4110" s="383" t="str">
        <f ca="1">IF(ROW()&gt;'Impact Indicator Target Update'!A314,"",INDIRECT("'Impact Indicators - Section B'!A"&amp;'Impact Indicator Target Update'!D314))</f>
        <v/>
      </c>
    </row>
    <row r="4111" spans="10:10" x14ac:dyDescent="0.3">
      <c r="J4111" s="383" t="str">
        <f ca="1">IF(ROW()&gt;'Impact Indicator Target Update'!A315,"",INDIRECT("'Impact Indicators - Section B'!A"&amp;'Impact Indicator Target Update'!D315))</f>
        <v/>
      </c>
    </row>
    <row r="4112" spans="10:10" x14ac:dyDescent="0.3">
      <c r="J4112" s="383" t="str">
        <f ca="1">IF(ROW()&gt;'Impact Indicator Target Update'!A316,"",INDIRECT("'Impact Indicators - Section B'!A"&amp;'Impact Indicator Target Update'!D316))</f>
        <v/>
      </c>
    </row>
    <row r="4113" spans="10:10" x14ac:dyDescent="0.3">
      <c r="J4113" s="383" t="str">
        <f ca="1">IF(ROW()&gt;'Impact Indicator Target Update'!A317,"",INDIRECT("'Impact Indicators - Section B'!A"&amp;'Impact Indicator Target Update'!D317))</f>
        <v/>
      </c>
    </row>
    <row r="4114" spans="10:10" x14ac:dyDescent="0.3">
      <c r="J4114" s="383" t="str">
        <f ca="1">IF(ROW()&gt;'Impact Indicator Target Update'!A318,"",INDIRECT("'Impact Indicators - Section B'!A"&amp;'Impact Indicator Target Update'!D318))</f>
        <v/>
      </c>
    </row>
    <row r="4115" spans="10:10" x14ac:dyDescent="0.3">
      <c r="J4115" s="383" t="str">
        <f ca="1">IF(ROW()&gt;'Impact Indicator Target Update'!A319,"",INDIRECT("'Impact Indicators - Section B'!A"&amp;'Impact Indicator Target Update'!D319))</f>
        <v/>
      </c>
    </row>
    <row r="4116" spans="10:10" x14ac:dyDescent="0.3">
      <c r="J4116" s="383" t="str">
        <f ca="1">IF(ROW()&gt;'Impact Indicator Target Update'!A320,"",INDIRECT("'Impact Indicators - Section B'!A"&amp;'Impact Indicator Target Update'!D320))</f>
        <v/>
      </c>
    </row>
    <row r="4117" spans="10:10" x14ac:dyDescent="0.3">
      <c r="J4117" s="383" t="str">
        <f ca="1">IF(ROW()&gt;'Impact Indicator Target Update'!A321,"",INDIRECT("'Impact Indicators - Section B'!A"&amp;'Impact Indicator Target Update'!D321))</f>
        <v/>
      </c>
    </row>
    <row r="4118" spans="10:10" x14ac:dyDescent="0.3">
      <c r="J4118" s="383" t="str">
        <f ca="1">IF(ROW()&gt;'Impact Indicator Target Update'!A322,"",INDIRECT("'Impact Indicators - Section B'!A"&amp;'Impact Indicator Target Update'!D322))</f>
        <v/>
      </c>
    </row>
    <row r="4119" spans="10:10" x14ac:dyDescent="0.3">
      <c r="J4119" s="383" t="str">
        <f ca="1">IF(ROW()&gt;'Impact Indicator Target Update'!A323,"",INDIRECT("'Impact Indicators - Section B'!A"&amp;'Impact Indicator Target Update'!D323))</f>
        <v/>
      </c>
    </row>
    <row r="4120" spans="10:10" x14ac:dyDescent="0.3">
      <c r="J4120" s="383" t="str">
        <f ca="1">IF(ROW()&gt;'Impact Indicator Target Update'!A324,"",INDIRECT("'Impact Indicators - Section B'!A"&amp;'Impact Indicator Target Update'!D324))</f>
        <v/>
      </c>
    </row>
    <row r="4121" spans="10:10" x14ac:dyDescent="0.3">
      <c r="J4121" s="383" t="str">
        <f ca="1">IF(ROW()&gt;'Impact Indicator Target Update'!A325,"",INDIRECT("'Impact Indicators - Section B'!A"&amp;'Impact Indicator Target Update'!D325))</f>
        <v/>
      </c>
    </row>
    <row r="4122" spans="10:10" x14ac:dyDescent="0.3">
      <c r="J4122" s="383" t="str">
        <f ca="1">IF(ROW()&gt;'Impact Indicator Target Update'!A326,"",INDIRECT("'Impact Indicators - Section B'!A"&amp;'Impact Indicator Target Update'!D326))</f>
        <v/>
      </c>
    </row>
    <row r="4123" spans="10:10" x14ac:dyDescent="0.3">
      <c r="J4123" s="383" t="str">
        <f ca="1">IF(ROW()&gt;'Impact Indicator Target Update'!A327,"",INDIRECT("'Impact Indicators - Section B'!A"&amp;'Impact Indicator Target Update'!D327))</f>
        <v/>
      </c>
    </row>
    <row r="4124" spans="10:10" x14ac:dyDescent="0.3">
      <c r="J4124" s="383" t="str">
        <f ca="1">IF(ROW()&gt;'Impact Indicator Target Update'!A328,"",INDIRECT("'Impact Indicators - Section B'!A"&amp;'Impact Indicator Target Update'!D328))</f>
        <v/>
      </c>
    </row>
    <row r="4125" spans="10:10" x14ac:dyDescent="0.3">
      <c r="J4125" s="383" t="str">
        <f ca="1">IF(ROW()&gt;'Impact Indicator Target Update'!A329,"",INDIRECT("'Impact Indicators - Section B'!A"&amp;'Impact Indicator Target Update'!D329))</f>
        <v/>
      </c>
    </row>
    <row r="4126" spans="10:10" x14ac:dyDescent="0.3">
      <c r="J4126" s="383" t="str">
        <f ca="1">IF(ROW()&gt;'Impact Indicator Target Update'!A330,"",INDIRECT("'Impact Indicators - Section B'!A"&amp;'Impact Indicator Target Update'!D330))</f>
        <v/>
      </c>
    </row>
    <row r="4127" spans="10:10" x14ac:dyDescent="0.3">
      <c r="J4127" s="383" t="str">
        <f ca="1">IF(ROW()&gt;'Impact Indicator Target Update'!A331,"",INDIRECT("'Impact Indicators - Section B'!A"&amp;'Impact Indicator Target Update'!D331))</f>
        <v/>
      </c>
    </row>
    <row r="4128" spans="10:10" x14ac:dyDescent="0.3">
      <c r="J4128" s="383" t="str">
        <f ca="1">IF(ROW()&gt;'Impact Indicator Target Update'!A332,"",INDIRECT("'Impact Indicators - Section B'!A"&amp;'Impact Indicator Target Update'!D332))</f>
        <v/>
      </c>
    </row>
    <row r="4129" spans="10:10" x14ac:dyDescent="0.3">
      <c r="J4129" s="383" t="str">
        <f ca="1">IF(ROW()&gt;'Impact Indicator Target Update'!A333,"",INDIRECT("'Impact Indicators - Section B'!A"&amp;'Impact Indicator Target Update'!D333))</f>
        <v/>
      </c>
    </row>
    <row r="4130" spans="10:10" x14ac:dyDescent="0.3">
      <c r="J4130" s="383" t="str">
        <f ca="1">IF(ROW()&gt;'Impact Indicator Target Update'!A334,"",INDIRECT("'Impact Indicators - Section B'!A"&amp;'Impact Indicator Target Update'!D334))</f>
        <v/>
      </c>
    </row>
    <row r="4131" spans="10:10" x14ac:dyDescent="0.3">
      <c r="J4131" s="383" t="str">
        <f ca="1">IF(ROW()&gt;'Impact Indicator Target Update'!A335,"",INDIRECT("'Impact Indicators - Section B'!A"&amp;'Impact Indicator Target Update'!D335))</f>
        <v/>
      </c>
    </row>
    <row r="4132" spans="10:10" x14ac:dyDescent="0.3">
      <c r="J4132" s="383" t="str">
        <f ca="1">IF(ROW()&gt;'Impact Indicator Target Update'!A336,"",INDIRECT("'Impact Indicators - Section B'!A"&amp;'Impact Indicator Target Update'!D336))</f>
        <v/>
      </c>
    </row>
    <row r="4133" spans="10:10" x14ac:dyDescent="0.3">
      <c r="J4133" s="383" t="str">
        <f ca="1">IF(ROW()&gt;'Impact Indicator Target Update'!A337,"",INDIRECT("'Impact Indicators - Section B'!A"&amp;'Impact Indicator Target Update'!D337))</f>
        <v/>
      </c>
    </row>
    <row r="4134" spans="10:10" x14ac:dyDescent="0.3">
      <c r="J4134" s="383" t="str">
        <f ca="1">IF(ROW()&gt;'Impact Indicator Target Update'!A338,"",INDIRECT("'Impact Indicators - Section B'!A"&amp;'Impact Indicator Target Update'!D338))</f>
        <v/>
      </c>
    </row>
    <row r="4135" spans="10:10" x14ac:dyDescent="0.3">
      <c r="J4135" s="383" t="str">
        <f ca="1">IF(ROW()&gt;'Impact Indicator Target Update'!A339,"",INDIRECT("'Impact Indicators - Section B'!A"&amp;'Impact Indicator Target Update'!D339))</f>
        <v/>
      </c>
    </row>
    <row r="4136" spans="10:10" x14ac:dyDescent="0.3">
      <c r="J4136" s="383" t="str">
        <f ca="1">IF(ROW()&gt;'Impact Indicator Target Update'!A340,"",INDIRECT("'Impact Indicators - Section B'!A"&amp;'Impact Indicator Target Update'!D340))</f>
        <v/>
      </c>
    </row>
    <row r="4137" spans="10:10" x14ac:dyDescent="0.3">
      <c r="J4137" s="383" t="str">
        <f ca="1">IF(ROW()&gt;'Impact Indicator Target Update'!A341,"",INDIRECT("'Impact Indicators - Section B'!A"&amp;'Impact Indicator Target Update'!D341))</f>
        <v/>
      </c>
    </row>
    <row r="4138" spans="10:10" x14ac:dyDescent="0.3">
      <c r="J4138" s="383" t="str">
        <f ca="1">IF(ROW()&gt;'Impact Indicator Target Update'!A342,"",INDIRECT("'Impact Indicators - Section B'!A"&amp;'Impact Indicator Target Update'!D342))</f>
        <v/>
      </c>
    </row>
    <row r="4139" spans="10:10" x14ac:dyDescent="0.3">
      <c r="J4139" s="383" t="str">
        <f ca="1">IF(ROW()&gt;'Impact Indicator Target Update'!A343,"",INDIRECT("'Impact Indicators - Section B'!A"&amp;'Impact Indicator Target Update'!D343))</f>
        <v/>
      </c>
    </row>
    <row r="4140" spans="10:10" x14ac:dyDescent="0.3">
      <c r="J4140" s="383" t="str">
        <f ca="1">IF(ROW()&gt;'Impact Indicator Target Update'!A344,"",INDIRECT("'Impact Indicators - Section B'!A"&amp;'Impact Indicator Target Update'!D344))</f>
        <v/>
      </c>
    </row>
    <row r="4141" spans="10:10" x14ac:dyDescent="0.3">
      <c r="J4141" s="383" t="str">
        <f ca="1">IF(ROW()&gt;'Impact Indicator Target Update'!A345,"",INDIRECT("'Impact Indicators - Section B'!A"&amp;'Impact Indicator Target Update'!D345))</f>
        <v/>
      </c>
    </row>
    <row r="4142" spans="10:10" x14ac:dyDescent="0.3">
      <c r="J4142" s="383" t="str">
        <f ca="1">IF(ROW()&gt;'Impact Indicator Target Update'!A346,"",INDIRECT("'Impact Indicators - Section B'!A"&amp;'Impact Indicator Target Update'!D346))</f>
        <v/>
      </c>
    </row>
    <row r="4143" spans="10:10" x14ac:dyDescent="0.3">
      <c r="J4143" s="383" t="str">
        <f ca="1">IF(ROW()&gt;'Impact Indicator Target Update'!A347,"",INDIRECT("'Impact Indicators - Section B'!A"&amp;'Impact Indicator Target Update'!D347))</f>
        <v/>
      </c>
    </row>
    <row r="4144" spans="10:10" x14ac:dyDescent="0.3">
      <c r="J4144" s="383" t="str">
        <f ca="1">IF(ROW()&gt;'Impact Indicator Target Update'!A348,"",INDIRECT("'Impact Indicators - Section B'!A"&amp;'Impact Indicator Target Update'!D348))</f>
        <v/>
      </c>
    </row>
    <row r="4145" spans="10:10" x14ac:dyDescent="0.3">
      <c r="J4145" s="383" t="str">
        <f ca="1">IF(ROW()&gt;'Impact Indicator Target Update'!A349,"",INDIRECT("'Impact Indicators - Section B'!A"&amp;'Impact Indicator Target Update'!D349))</f>
        <v/>
      </c>
    </row>
    <row r="4146" spans="10:10" x14ac:dyDescent="0.3">
      <c r="J4146" s="383" t="str">
        <f ca="1">IF(ROW()&gt;'Impact Indicator Target Update'!A350,"",INDIRECT("'Impact Indicators - Section B'!A"&amp;'Impact Indicator Target Update'!D350))</f>
        <v/>
      </c>
    </row>
    <row r="4147" spans="10:10" x14ac:dyDescent="0.3">
      <c r="J4147" s="383" t="str">
        <f ca="1">IF(ROW()&gt;'Impact Indicator Target Update'!A351,"",INDIRECT("'Impact Indicators - Section B'!A"&amp;'Impact Indicator Target Update'!D351))</f>
        <v/>
      </c>
    </row>
    <row r="4148" spans="10:10" x14ac:dyDescent="0.3">
      <c r="J4148" s="383" t="str">
        <f ca="1">IF(ROW()&gt;'Impact Indicator Target Update'!A352,"",INDIRECT("'Impact Indicators - Section B'!A"&amp;'Impact Indicator Target Update'!D352))</f>
        <v/>
      </c>
    </row>
    <row r="4149" spans="10:10" x14ac:dyDescent="0.3">
      <c r="J4149" s="383" t="str">
        <f ca="1">IF(ROW()&gt;'Impact Indicator Target Update'!A353,"",INDIRECT("'Impact Indicators - Section B'!A"&amp;'Impact Indicator Target Update'!D353))</f>
        <v/>
      </c>
    </row>
    <row r="4150" spans="10:10" x14ac:dyDescent="0.3">
      <c r="J4150" s="383" t="str">
        <f ca="1">IF(ROW()&gt;'Impact Indicator Target Update'!A354,"",INDIRECT("'Impact Indicators - Section B'!A"&amp;'Impact Indicator Target Update'!D354))</f>
        <v/>
      </c>
    </row>
    <row r="4151" spans="10:10" x14ac:dyDescent="0.3">
      <c r="J4151" s="383" t="str">
        <f ca="1">IF(ROW()&gt;'Impact Indicator Target Update'!A355,"",INDIRECT("'Impact Indicators - Section B'!A"&amp;'Impact Indicator Target Update'!D355))</f>
        <v/>
      </c>
    </row>
    <row r="4152" spans="10:10" x14ac:dyDescent="0.3">
      <c r="J4152" s="383" t="str">
        <f ca="1">IF(ROW()&gt;'Impact Indicator Target Update'!A356,"",INDIRECT("'Impact Indicators - Section B'!A"&amp;'Impact Indicator Target Update'!D356))</f>
        <v/>
      </c>
    </row>
    <row r="4153" spans="10:10" x14ac:dyDescent="0.3">
      <c r="J4153" s="383" t="str">
        <f ca="1">IF(ROW()&gt;'Impact Indicator Target Update'!A357,"",INDIRECT("'Impact Indicators - Section B'!A"&amp;'Impact Indicator Target Update'!D357))</f>
        <v/>
      </c>
    </row>
    <row r="4154" spans="10:10" x14ac:dyDescent="0.3">
      <c r="J4154" s="383" t="str">
        <f ca="1">IF(ROW()&gt;'Impact Indicator Target Update'!A358,"",INDIRECT("'Impact Indicators - Section B'!A"&amp;'Impact Indicator Target Update'!D358))</f>
        <v/>
      </c>
    </row>
    <row r="4155" spans="10:10" x14ac:dyDescent="0.3">
      <c r="J4155" s="383" t="str">
        <f ca="1">IF(ROW()&gt;'Impact Indicator Target Update'!A359,"",INDIRECT("'Impact Indicators - Section B'!A"&amp;'Impact Indicator Target Update'!D359))</f>
        <v/>
      </c>
    </row>
    <row r="4156" spans="10:10" x14ac:dyDescent="0.3">
      <c r="J4156" s="383" t="str">
        <f ca="1">IF(ROW()&gt;'Impact Indicator Target Update'!A360,"",INDIRECT("'Impact Indicators - Section B'!A"&amp;'Impact Indicator Target Update'!D360))</f>
        <v/>
      </c>
    </row>
    <row r="4157" spans="10:10" x14ac:dyDescent="0.3">
      <c r="J4157" s="383" t="str">
        <f ca="1">IF(ROW()&gt;'Impact Indicator Target Update'!A361,"",INDIRECT("'Impact Indicators - Section B'!A"&amp;'Impact Indicator Target Update'!D361))</f>
        <v/>
      </c>
    </row>
    <row r="4158" spans="10:10" x14ac:dyDescent="0.3">
      <c r="J4158" s="383" t="str">
        <f ca="1">IF(ROW()&gt;'Impact Indicator Target Update'!A362,"",INDIRECT("'Impact Indicators - Section B'!A"&amp;'Impact Indicator Target Update'!D362))</f>
        <v/>
      </c>
    </row>
    <row r="4159" spans="10:10" x14ac:dyDescent="0.3">
      <c r="J4159" s="383" t="str">
        <f ca="1">IF(ROW()&gt;'Impact Indicator Target Update'!A363,"",INDIRECT("'Impact Indicators - Section B'!A"&amp;'Impact Indicator Target Update'!D363))</f>
        <v/>
      </c>
    </row>
    <row r="4160" spans="10:10" x14ac:dyDescent="0.3">
      <c r="J4160" s="383" t="str">
        <f ca="1">IF(ROW()&gt;'Impact Indicator Target Update'!A364,"",INDIRECT("'Impact Indicators - Section B'!A"&amp;'Impact Indicator Target Update'!D364))</f>
        <v/>
      </c>
    </row>
    <row r="4161" spans="10:10" x14ac:dyDescent="0.3">
      <c r="J4161" s="383" t="str">
        <f ca="1">IF(ROW()&gt;'Impact Indicator Target Update'!A365,"",INDIRECT("'Impact Indicators - Section B'!A"&amp;'Impact Indicator Target Update'!D365))</f>
        <v/>
      </c>
    </row>
    <row r="4162" spans="10:10" x14ac:dyDescent="0.3">
      <c r="J4162" s="383" t="str">
        <f ca="1">IF(ROW()&gt;'Impact Indicator Target Update'!A366,"",INDIRECT("'Impact Indicators - Section B'!A"&amp;'Impact Indicator Target Update'!D366))</f>
        <v/>
      </c>
    </row>
    <row r="4163" spans="10:10" x14ac:dyDescent="0.3">
      <c r="J4163" s="383" t="str">
        <f ca="1">IF(ROW()&gt;'Impact Indicator Target Update'!A367,"",INDIRECT("'Impact Indicators - Section B'!A"&amp;'Impact Indicator Target Update'!D367))</f>
        <v/>
      </c>
    </row>
    <row r="4164" spans="10:10" x14ac:dyDescent="0.3">
      <c r="J4164" s="383" t="str">
        <f ca="1">IF(ROW()&gt;'Impact Indicator Target Update'!A368,"",INDIRECT("'Impact Indicators - Section B'!A"&amp;'Impact Indicator Target Update'!D368))</f>
        <v/>
      </c>
    </row>
    <row r="4165" spans="10:10" x14ac:dyDescent="0.3">
      <c r="J4165" s="383" t="str">
        <f ca="1">IF(ROW()&gt;'Impact Indicator Target Update'!A369,"",INDIRECT("'Impact Indicators - Section B'!A"&amp;'Impact Indicator Target Update'!D369))</f>
        <v/>
      </c>
    </row>
    <row r="4166" spans="10:10" x14ac:dyDescent="0.3">
      <c r="J4166" s="383" t="str">
        <f ca="1">IF(ROW()&gt;'Impact Indicator Target Update'!A370,"",INDIRECT("'Impact Indicators - Section B'!A"&amp;'Impact Indicator Target Update'!D370))</f>
        <v/>
      </c>
    </row>
    <row r="4167" spans="10:10" x14ac:dyDescent="0.3">
      <c r="J4167" s="383" t="str">
        <f ca="1">IF(ROW()&gt;'Impact Indicator Target Update'!A371,"",INDIRECT("'Impact Indicators - Section B'!A"&amp;'Impact Indicator Target Update'!D371))</f>
        <v/>
      </c>
    </row>
    <row r="4168" spans="10:10" x14ac:dyDescent="0.3">
      <c r="J4168" s="383" t="str">
        <f ca="1">IF(ROW()&gt;'Impact Indicator Target Update'!A372,"",INDIRECT("'Impact Indicators - Section B'!A"&amp;'Impact Indicator Target Update'!D372))</f>
        <v/>
      </c>
    </row>
    <row r="4169" spans="10:10" x14ac:dyDescent="0.3">
      <c r="J4169" s="383" t="str">
        <f ca="1">IF(ROW()&gt;'Impact Indicator Target Update'!A373,"",INDIRECT("'Impact Indicators - Section B'!A"&amp;'Impact Indicator Target Update'!D373))</f>
        <v/>
      </c>
    </row>
    <row r="4170" spans="10:10" x14ac:dyDescent="0.3">
      <c r="J4170" s="383" t="str">
        <f ca="1">IF(ROW()&gt;'Impact Indicator Target Update'!A374,"",INDIRECT("'Impact Indicators - Section B'!A"&amp;'Impact Indicator Target Update'!D374))</f>
        <v/>
      </c>
    </row>
    <row r="4171" spans="10:10" x14ac:dyDescent="0.3">
      <c r="J4171" s="383" t="str">
        <f ca="1">IF(ROW()&gt;'Impact Indicator Target Update'!A375,"",INDIRECT("'Impact Indicators - Section B'!A"&amp;'Impact Indicator Target Update'!D375))</f>
        <v/>
      </c>
    </row>
    <row r="4172" spans="10:10" x14ac:dyDescent="0.3">
      <c r="J4172" s="383" t="str">
        <f ca="1">IF(ROW()&gt;'Impact Indicator Target Update'!A376,"",INDIRECT("'Impact Indicators - Section B'!A"&amp;'Impact Indicator Target Update'!D376))</f>
        <v/>
      </c>
    </row>
    <row r="4173" spans="10:10" x14ac:dyDescent="0.3">
      <c r="J4173" s="383" t="str">
        <f ca="1">IF(ROW()&gt;'Impact Indicator Target Update'!A377,"",INDIRECT("'Impact Indicators - Section B'!A"&amp;'Impact Indicator Target Update'!D377))</f>
        <v/>
      </c>
    </row>
    <row r="4174" spans="10:10" x14ac:dyDescent="0.3">
      <c r="J4174" s="383" t="str">
        <f ca="1">IF(ROW()&gt;'Impact Indicator Target Update'!A378,"",INDIRECT("'Impact Indicators - Section B'!A"&amp;'Impact Indicator Target Update'!D378))</f>
        <v/>
      </c>
    </row>
    <row r="4175" spans="10:10" x14ac:dyDescent="0.3">
      <c r="J4175" s="383" t="str">
        <f ca="1">IF(ROW()&gt;'Impact Indicator Target Update'!A379,"",INDIRECT("'Impact Indicators - Section B'!A"&amp;'Impact Indicator Target Update'!D379))</f>
        <v/>
      </c>
    </row>
    <row r="4176" spans="10:10" x14ac:dyDescent="0.3">
      <c r="J4176" s="383" t="str">
        <f ca="1">IF(ROW()&gt;'Impact Indicator Target Update'!A380,"",INDIRECT("'Impact Indicators - Section B'!A"&amp;'Impact Indicator Target Update'!D380))</f>
        <v/>
      </c>
    </row>
    <row r="4177" spans="10:10" x14ac:dyDescent="0.3">
      <c r="J4177" s="383" t="str">
        <f ca="1">IF(ROW()&gt;'Impact Indicator Target Update'!A381,"",INDIRECT("'Impact Indicators - Section B'!A"&amp;'Impact Indicator Target Update'!D381))</f>
        <v/>
      </c>
    </row>
    <row r="4178" spans="10:10" x14ac:dyDescent="0.3">
      <c r="J4178" s="383" t="str">
        <f ca="1">IF(ROW()&gt;'Impact Indicator Target Update'!A382,"",INDIRECT("'Impact Indicators - Section B'!A"&amp;'Impact Indicator Target Update'!D382))</f>
        <v/>
      </c>
    </row>
    <row r="4179" spans="10:10" x14ac:dyDescent="0.3">
      <c r="J4179" s="383" t="str">
        <f ca="1">IF(ROW()&gt;'Impact Indicator Target Update'!A383,"",INDIRECT("'Impact Indicators - Section B'!A"&amp;'Impact Indicator Target Update'!D383))</f>
        <v/>
      </c>
    </row>
    <row r="4180" spans="10:10" x14ac:dyDescent="0.3">
      <c r="J4180" s="383" t="str">
        <f ca="1">IF(ROW()&gt;'Impact Indicator Target Update'!A384,"",INDIRECT("'Impact Indicators - Section B'!A"&amp;'Impact Indicator Target Update'!D384))</f>
        <v/>
      </c>
    </row>
    <row r="4181" spans="10:10" x14ac:dyDescent="0.3">
      <c r="J4181" s="383" t="str">
        <f ca="1">IF(ROW()&gt;'Impact Indicator Target Update'!A385,"",INDIRECT("'Impact Indicators - Section B'!A"&amp;'Impact Indicator Target Update'!D385))</f>
        <v/>
      </c>
    </row>
    <row r="4182" spans="10:10" x14ac:dyDescent="0.3">
      <c r="J4182" s="383" t="str">
        <f ca="1">IF(ROW()&gt;'Impact Indicator Target Update'!A386,"",INDIRECT("'Impact Indicators - Section B'!A"&amp;'Impact Indicator Target Update'!D386))</f>
        <v/>
      </c>
    </row>
    <row r="4183" spans="10:10" x14ac:dyDescent="0.3">
      <c r="J4183" s="383" t="str">
        <f ca="1">IF(ROW()&gt;'Impact Indicator Target Update'!A387,"",INDIRECT("'Impact Indicators - Section B'!A"&amp;'Impact Indicator Target Update'!D387))</f>
        <v/>
      </c>
    </row>
    <row r="4184" spans="10:10" x14ac:dyDescent="0.3">
      <c r="J4184" s="383" t="str">
        <f ca="1">IF(ROW()&gt;'Impact Indicator Target Update'!A388,"",INDIRECT("'Impact Indicators - Section B'!A"&amp;'Impact Indicator Target Update'!D388))</f>
        <v/>
      </c>
    </row>
    <row r="4185" spans="10:10" x14ac:dyDescent="0.3">
      <c r="J4185" s="383" t="str">
        <f ca="1">IF(ROW()&gt;'Impact Indicator Target Update'!A389,"",INDIRECT("'Impact Indicators - Section B'!A"&amp;'Impact Indicator Target Update'!D389))</f>
        <v/>
      </c>
    </row>
    <row r="4186" spans="10:10" x14ac:dyDescent="0.3">
      <c r="J4186" s="383" t="str">
        <f ca="1">IF(ROW()&gt;'Impact Indicator Target Update'!A390,"",INDIRECT("'Impact Indicators - Section B'!A"&amp;'Impact Indicator Target Update'!D390))</f>
        <v/>
      </c>
    </row>
    <row r="4187" spans="10:10" x14ac:dyDescent="0.3">
      <c r="J4187" s="383" t="str">
        <f ca="1">IF(ROW()&gt;'Impact Indicator Target Update'!A391,"",INDIRECT("'Impact Indicators - Section B'!A"&amp;'Impact Indicator Target Update'!D391))</f>
        <v/>
      </c>
    </row>
    <row r="4188" spans="10:10" x14ac:dyDescent="0.3">
      <c r="J4188" s="383" t="str">
        <f ca="1">IF(ROW()&gt;'Impact Indicator Target Update'!A392,"",INDIRECT("'Impact Indicators - Section B'!A"&amp;'Impact Indicator Target Update'!D392))</f>
        <v/>
      </c>
    </row>
    <row r="4189" spans="10:10" x14ac:dyDescent="0.3">
      <c r="J4189" s="383" t="str">
        <f ca="1">IF(ROW()&gt;'Impact Indicator Target Update'!A393,"",INDIRECT("'Impact Indicators - Section B'!A"&amp;'Impact Indicator Target Update'!D393))</f>
        <v/>
      </c>
    </row>
    <row r="4190" spans="10:10" x14ac:dyDescent="0.3">
      <c r="J4190" s="383" t="str">
        <f ca="1">IF(ROW()&gt;'Impact Indicator Target Update'!A394,"",INDIRECT("'Impact Indicators - Section B'!A"&amp;'Impact Indicator Target Update'!D394))</f>
        <v/>
      </c>
    </row>
    <row r="4191" spans="10:10" x14ac:dyDescent="0.3">
      <c r="J4191" s="383" t="str">
        <f ca="1">IF(ROW()&gt;'Impact Indicator Target Update'!A395,"",INDIRECT("'Impact Indicators - Section B'!A"&amp;'Impact Indicator Target Update'!D395))</f>
        <v/>
      </c>
    </row>
    <row r="4192" spans="10:10" x14ac:dyDescent="0.3">
      <c r="J4192" s="383" t="str">
        <f ca="1">IF(ROW()&gt;'Impact Indicator Target Update'!A396,"",INDIRECT("'Impact Indicators - Section B'!A"&amp;'Impact Indicator Target Update'!D396))</f>
        <v/>
      </c>
    </row>
    <row r="4193" spans="10:10" x14ac:dyDescent="0.3">
      <c r="J4193" s="383" t="str">
        <f ca="1">IF(ROW()&gt;'Impact Indicator Target Update'!A397,"",INDIRECT("'Impact Indicators - Section B'!A"&amp;'Impact Indicator Target Update'!D397))</f>
        <v/>
      </c>
    </row>
    <row r="4194" spans="10:10" x14ac:dyDescent="0.3">
      <c r="J4194" s="383" t="str">
        <f ca="1">IF(ROW()&gt;'Impact Indicator Target Update'!A398,"",INDIRECT("'Impact Indicators - Section B'!A"&amp;'Impact Indicator Target Update'!D398))</f>
        <v/>
      </c>
    </row>
    <row r="4195" spans="10:10" x14ac:dyDescent="0.3">
      <c r="J4195" s="383" t="str">
        <f ca="1">IF(ROW()&gt;'Impact Indicator Target Update'!A399,"",INDIRECT("'Impact Indicators - Section B'!A"&amp;'Impact Indicator Target Update'!D399))</f>
        <v/>
      </c>
    </row>
    <row r="4196" spans="10:10" x14ac:dyDescent="0.3">
      <c r="J4196" s="383" t="str">
        <f ca="1">IF(ROW()&gt;'Impact Indicator Target Update'!A400,"",INDIRECT("'Impact Indicators - Section B'!A"&amp;'Impact Indicator Target Update'!D400))</f>
        <v/>
      </c>
    </row>
    <row r="4197" spans="10:10" x14ac:dyDescent="0.3">
      <c r="J4197" s="383" t="str">
        <f ca="1">IF(ROW()&gt;'Impact Indicator Target Update'!A401,"",INDIRECT("'Impact Indicators - Section B'!A"&amp;'Impact Indicator Target Update'!D401))</f>
        <v/>
      </c>
    </row>
    <row r="4198" spans="10:10" x14ac:dyDescent="0.3">
      <c r="J4198" s="383" t="str">
        <f ca="1">IF(ROW()&gt;'Impact Indicator Target Update'!A402,"",INDIRECT("'Impact Indicators - Section B'!A"&amp;'Impact Indicator Target Update'!D402))</f>
        <v/>
      </c>
    </row>
    <row r="4199" spans="10:10" x14ac:dyDescent="0.3">
      <c r="J4199" s="383" t="str">
        <f ca="1">IF(ROW()&gt;'Impact Indicator Target Update'!A403,"",INDIRECT("'Impact Indicators - Section B'!A"&amp;'Impact Indicator Target Update'!D403))</f>
        <v/>
      </c>
    </row>
    <row r="4200" spans="10:10" x14ac:dyDescent="0.3">
      <c r="J4200" s="383" t="str">
        <f ca="1">IF(ROW()&gt;'Impact Indicator Target Update'!A404,"",INDIRECT("'Impact Indicators - Section B'!A"&amp;'Impact Indicator Target Update'!D404))</f>
        <v/>
      </c>
    </row>
    <row r="4201" spans="10:10" x14ac:dyDescent="0.3">
      <c r="J4201" s="383" t="str">
        <f ca="1">IF(ROW()&gt;'Impact Indicator Target Update'!A405,"",INDIRECT("'Impact Indicators - Section B'!A"&amp;'Impact Indicator Target Update'!D405))</f>
        <v/>
      </c>
    </row>
    <row r="4202" spans="10:10" x14ac:dyDescent="0.3">
      <c r="J4202" s="383" t="str">
        <f ca="1">IF(ROW()&gt;'Impact Indicator Target Update'!A406,"",INDIRECT("'Impact Indicators - Section B'!A"&amp;'Impact Indicator Target Update'!D406))</f>
        <v/>
      </c>
    </row>
    <row r="4203" spans="10:10" x14ac:dyDescent="0.3">
      <c r="J4203" s="383" t="str">
        <f ca="1">IF(ROW()&gt;'Impact Indicator Target Update'!A407,"",INDIRECT("'Impact Indicators - Section B'!A"&amp;'Impact Indicator Target Update'!D407))</f>
        <v/>
      </c>
    </row>
    <row r="4204" spans="10:10" x14ac:dyDescent="0.3">
      <c r="J4204" s="383" t="str">
        <f ca="1">IF(ROW()&gt;'Impact Indicator Target Update'!A408,"",INDIRECT("'Impact Indicators - Section B'!A"&amp;'Impact Indicator Target Update'!D408))</f>
        <v/>
      </c>
    </row>
    <row r="4205" spans="10:10" x14ac:dyDescent="0.3">
      <c r="J4205" s="383" t="str">
        <f ca="1">IF(ROW()&gt;'Impact Indicator Target Update'!A409,"",INDIRECT("'Impact Indicators - Section B'!A"&amp;'Impact Indicator Target Update'!D409))</f>
        <v/>
      </c>
    </row>
    <row r="4206" spans="10:10" x14ac:dyDescent="0.3">
      <c r="J4206" s="383" t="str">
        <f ca="1">IF(ROW()&gt;'Impact Indicator Target Update'!A410,"",INDIRECT("'Impact Indicators - Section B'!A"&amp;'Impact Indicator Target Update'!D410))</f>
        <v/>
      </c>
    </row>
    <row r="4207" spans="10:10" x14ac:dyDescent="0.3">
      <c r="J4207" s="383" t="str">
        <f ca="1">IF(ROW()&gt;'Impact Indicator Target Update'!A411,"",INDIRECT("'Impact Indicators - Section B'!A"&amp;'Impact Indicator Target Update'!D411))</f>
        <v/>
      </c>
    </row>
    <row r="4208" spans="10:10" x14ac:dyDescent="0.3">
      <c r="J4208" s="383" t="str">
        <f ca="1">IF(ROW()&gt;'Impact Indicator Target Update'!A412,"",INDIRECT("'Impact Indicators - Section B'!A"&amp;'Impact Indicator Target Update'!D412))</f>
        <v/>
      </c>
    </row>
    <row r="4209" spans="10:10" x14ac:dyDescent="0.3">
      <c r="J4209" s="383" t="str">
        <f ca="1">IF(ROW()&gt;'Impact Indicator Target Update'!A413,"",INDIRECT("'Impact Indicators - Section B'!A"&amp;'Impact Indicator Target Update'!D413))</f>
        <v/>
      </c>
    </row>
    <row r="4210" spans="10:10" x14ac:dyDescent="0.3">
      <c r="J4210" s="383" t="str">
        <f ca="1">IF(ROW()&gt;'Impact Indicator Target Update'!A414,"",INDIRECT("'Impact Indicators - Section B'!A"&amp;'Impact Indicator Target Update'!D414))</f>
        <v/>
      </c>
    </row>
    <row r="4211" spans="10:10" x14ac:dyDescent="0.3">
      <c r="J4211" s="383" t="str">
        <f ca="1">IF(ROW()&gt;'Impact Indicator Target Update'!A415,"",INDIRECT("'Impact Indicators - Section B'!A"&amp;'Impact Indicator Target Update'!D415))</f>
        <v/>
      </c>
    </row>
    <row r="4212" spans="10:10" x14ac:dyDescent="0.3">
      <c r="J4212" s="383" t="str">
        <f ca="1">IF(ROW()&gt;'Impact Indicator Target Update'!A416,"",INDIRECT("'Impact Indicators - Section B'!A"&amp;'Impact Indicator Target Update'!D416))</f>
        <v/>
      </c>
    </row>
    <row r="4213" spans="10:10" x14ac:dyDescent="0.3">
      <c r="J4213" s="383" t="str">
        <f ca="1">IF(ROW()&gt;'Impact Indicator Target Update'!A417,"",INDIRECT("'Impact Indicators - Section B'!A"&amp;'Impact Indicator Target Update'!D417))</f>
        <v/>
      </c>
    </row>
    <row r="4214" spans="10:10" x14ac:dyDescent="0.3">
      <c r="J4214" s="383" t="str">
        <f ca="1">IF(ROW()&gt;'Impact Indicator Target Update'!A418,"",INDIRECT("'Impact Indicators - Section B'!A"&amp;'Impact Indicator Target Update'!D418))</f>
        <v/>
      </c>
    </row>
    <row r="4215" spans="10:10" x14ac:dyDescent="0.3">
      <c r="J4215" s="383" t="str">
        <f ca="1">IF(ROW()&gt;'Impact Indicator Target Update'!A419,"",INDIRECT("'Impact Indicators - Section B'!A"&amp;'Impact Indicator Target Update'!D419))</f>
        <v/>
      </c>
    </row>
    <row r="4216" spans="10:10" x14ac:dyDescent="0.3">
      <c r="J4216" s="383" t="str">
        <f ca="1">IF(ROW()&gt;'Impact Indicator Target Update'!A420,"",INDIRECT("'Impact Indicators - Section B'!A"&amp;'Impact Indicator Target Update'!D420))</f>
        <v/>
      </c>
    </row>
    <row r="4217" spans="10:10" x14ac:dyDescent="0.3">
      <c r="J4217" s="383" t="str">
        <f ca="1">IF(ROW()&gt;'Impact Indicator Target Update'!A421,"",INDIRECT("'Impact Indicators - Section B'!A"&amp;'Impact Indicator Target Update'!D421))</f>
        <v/>
      </c>
    </row>
    <row r="4218" spans="10:10" x14ac:dyDescent="0.3">
      <c r="J4218" s="383" t="str">
        <f ca="1">IF(ROW()&gt;'Impact Indicator Target Update'!A422,"",INDIRECT("'Impact Indicators - Section B'!A"&amp;'Impact Indicator Target Update'!D422))</f>
        <v/>
      </c>
    </row>
    <row r="4219" spans="10:10" x14ac:dyDescent="0.3">
      <c r="J4219" s="383" t="str">
        <f ca="1">IF(ROW()&gt;'Impact Indicator Target Update'!A423,"",INDIRECT("'Impact Indicators - Section B'!A"&amp;'Impact Indicator Target Update'!D423))</f>
        <v/>
      </c>
    </row>
    <row r="4220" spans="10:10" x14ac:dyDescent="0.3">
      <c r="J4220" s="383" t="str">
        <f ca="1">IF(ROW()&gt;'Impact Indicator Target Update'!A424,"",INDIRECT("'Impact Indicators - Section B'!A"&amp;'Impact Indicator Target Update'!D424))</f>
        <v/>
      </c>
    </row>
    <row r="4221" spans="10:10" x14ac:dyDescent="0.3">
      <c r="J4221" s="383" t="str">
        <f ca="1">IF(ROW()&gt;'Impact Indicator Target Update'!A425,"",INDIRECT("'Impact Indicators - Section B'!A"&amp;'Impact Indicator Target Update'!D425))</f>
        <v/>
      </c>
    </row>
    <row r="4222" spans="10:10" x14ac:dyDescent="0.3">
      <c r="J4222" s="383" t="str">
        <f ca="1">IF(ROW()&gt;'Impact Indicator Target Update'!A426,"",INDIRECT("'Impact Indicators - Section B'!A"&amp;'Impact Indicator Target Update'!D426))</f>
        <v/>
      </c>
    </row>
    <row r="4223" spans="10:10" x14ac:dyDescent="0.3">
      <c r="J4223" s="383" t="str">
        <f ca="1">IF(ROW()&gt;'Impact Indicator Target Update'!A427,"",INDIRECT("'Impact Indicators - Section B'!A"&amp;'Impact Indicator Target Update'!D427))</f>
        <v/>
      </c>
    </row>
    <row r="4224" spans="10:10" x14ac:dyDescent="0.3">
      <c r="J4224" s="383" t="str">
        <f ca="1">IF(ROW()&gt;'Impact Indicator Target Update'!A428,"",INDIRECT("'Impact Indicators - Section B'!A"&amp;'Impact Indicator Target Update'!D428))</f>
        <v/>
      </c>
    </row>
    <row r="4225" spans="10:10" x14ac:dyDescent="0.3">
      <c r="J4225" s="383" t="str">
        <f ca="1">IF(ROW()&gt;'Impact Indicator Target Update'!A429,"",INDIRECT("'Impact Indicators - Section B'!A"&amp;'Impact Indicator Target Update'!D429))</f>
        <v/>
      </c>
    </row>
    <row r="4226" spans="10:10" x14ac:dyDescent="0.3">
      <c r="J4226" s="383" t="str">
        <f ca="1">IF(ROW()&gt;'Impact Indicator Target Update'!A430,"",INDIRECT("'Impact Indicators - Section B'!A"&amp;'Impact Indicator Target Update'!D430))</f>
        <v/>
      </c>
    </row>
    <row r="4227" spans="10:10" x14ac:dyDescent="0.3">
      <c r="J4227" s="383" t="str">
        <f ca="1">IF(ROW()&gt;'Impact Indicator Target Update'!A431,"",INDIRECT("'Impact Indicators - Section B'!A"&amp;'Impact Indicator Target Update'!D431))</f>
        <v/>
      </c>
    </row>
    <row r="4228" spans="10:10" x14ac:dyDescent="0.3">
      <c r="J4228" s="383" t="str">
        <f ca="1">IF(ROW()&gt;'Impact Indicator Target Update'!A432,"",INDIRECT("'Impact Indicators - Section B'!A"&amp;'Impact Indicator Target Update'!D432))</f>
        <v/>
      </c>
    </row>
    <row r="4229" spans="10:10" x14ac:dyDescent="0.3">
      <c r="J4229" s="383" t="str">
        <f ca="1">IF(ROW()&gt;'Impact Indicator Target Update'!A433,"",INDIRECT("'Impact Indicators - Section B'!A"&amp;'Impact Indicator Target Update'!D433))</f>
        <v/>
      </c>
    </row>
    <row r="4230" spans="10:10" x14ac:dyDescent="0.3">
      <c r="J4230" s="383" t="str">
        <f ca="1">IF(ROW()&gt;'Impact Indicator Target Update'!A434,"",INDIRECT("'Impact Indicators - Section B'!A"&amp;'Impact Indicator Target Update'!D434))</f>
        <v/>
      </c>
    </row>
    <row r="4231" spans="10:10" x14ac:dyDescent="0.3">
      <c r="J4231" s="383" t="str">
        <f ca="1">IF(ROW()&gt;'Impact Indicator Target Update'!A435,"",INDIRECT("'Impact Indicators - Section B'!A"&amp;'Impact Indicator Target Update'!D435))</f>
        <v/>
      </c>
    </row>
    <row r="4232" spans="10:10" x14ac:dyDescent="0.3">
      <c r="J4232" s="383" t="str">
        <f ca="1">IF(ROW()&gt;'Impact Indicator Target Update'!A436,"",INDIRECT("'Impact Indicators - Section B'!A"&amp;'Impact Indicator Target Update'!D436))</f>
        <v/>
      </c>
    </row>
    <row r="4233" spans="10:10" x14ac:dyDescent="0.3">
      <c r="J4233" s="383" t="str">
        <f ca="1">IF(ROW()&gt;'Impact Indicator Target Update'!A437,"",INDIRECT("'Impact Indicators - Section B'!A"&amp;'Impact Indicator Target Update'!D437))</f>
        <v/>
      </c>
    </row>
    <row r="4234" spans="10:10" x14ac:dyDescent="0.3">
      <c r="J4234" s="383" t="str">
        <f ca="1">IF(ROW()&gt;'Impact Indicator Target Update'!A438,"",INDIRECT("'Impact Indicators - Section B'!A"&amp;'Impact Indicator Target Update'!D438))</f>
        <v/>
      </c>
    </row>
    <row r="4235" spans="10:10" x14ac:dyDescent="0.3">
      <c r="J4235" s="383" t="str">
        <f ca="1">IF(ROW()&gt;'Impact Indicator Target Update'!A439,"",INDIRECT("'Impact Indicators - Section B'!A"&amp;'Impact Indicator Target Update'!D439))</f>
        <v/>
      </c>
    </row>
    <row r="4236" spans="10:10" x14ac:dyDescent="0.3">
      <c r="J4236" s="383" t="str">
        <f ca="1">IF(ROW()&gt;'Impact Indicator Target Update'!A440,"",INDIRECT("'Impact Indicators - Section B'!A"&amp;'Impact Indicator Target Update'!D440))</f>
        <v/>
      </c>
    </row>
    <row r="4237" spans="10:10" x14ac:dyDescent="0.3">
      <c r="J4237" s="383" t="str">
        <f ca="1">IF(ROW()&gt;'Impact Indicator Target Update'!A441,"",INDIRECT("'Impact Indicators - Section B'!A"&amp;'Impact Indicator Target Update'!D441))</f>
        <v/>
      </c>
    </row>
    <row r="4238" spans="10:10" x14ac:dyDescent="0.3">
      <c r="J4238" s="383" t="str">
        <f ca="1">IF(ROW()&gt;'Impact Indicator Target Update'!A442,"",INDIRECT("'Impact Indicators - Section B'!A"&amp;'Impact Indicator Target Update'!D442))</f>
        <v/>
      </c>
    </row>
    <row r="4239" spans="10:10" x14ac:dyDescent="0.3">
      <c r="J4239" s="383" t="str">
        <f ca="1">IF(ROW()&gt;'Impact Indicator Target Update'!A443,"",INDIRECT("'Impact Indicators - Section B'!A"&amp;'Impact Indicator Target Update'!D443))</f>
        <v/>
      </c>
    </row>
    <row r="4240" spans="10:10" x14ac:dyDescent="0.3">
      <c r="J4240" s="383" t="str">
        <f ca="1">IF(ROW()&gt;'Impact Indicator Target Update'!A444,"",INDIRECT("'Impact Indicators - Section B'!A"&amp;'Impact Indicator Target Update'!D444))</f>
        <v/>
      </c>
    </row>
    <row r="4241" spans="10:10" x14ac:dyDescent="0.3">
      <c r="J4241" s="383" t="str">
        <f ca="1">IF(ROW()&gt;'Impact Indicator Target Update'!A445,"",INDIRECT("'Impact Indicators - Section B'!A"&amp;'Impact Indicator Target Update'!D445))</f>
        <v/>
      </c>
    </row>
    <row r="4242" spans="10:10" x14ac:dyDescent="0.3">
      <c r="J4242" s="383" t="str">
        <f ca="1">IF(ROW()&gt;'Impact Indicator Target Update'!A446,"",INDIRECT("'Impact Indicators - Section B'!A"&amp;'Impact Indicator Target Update'!D446))</f>
        <v/>
      </c>
    </row>
    <row r="4243" spans="10:10" x14ac:dyDescent="0.3">
      <c r="J4243" s="383" t="str">
        <f ca="1">IF(ROW()&gt;'Impact Indicator Target Update'!A447,"",INDIRECT("'Impact Indicators - Section B'!A"&amp;'Impact Indicator Target Update'!D447))</f>
        <v/>
      </c>
    </row>
    <row r="4244" spans="10:10" x14ac:dyDescent="0.3">
      <c r="J4244" s="383" t="str">
        <f ca="1">IF(ROW()&gt;'Impact Indicator Target Update'!A448,"",INDIRECT("'Impact Indicators - Section B'!A"&amp;'Impact Indicator Target Update'!D448))</f>
        <v/>
      </c>
    </row>
    <row r="4245" spans="10:10" x14ac:dyDescent="0.3">
      <c r="J4245" s="383" t="str">
        <f ca="1">IF(ROW()&gt;'Impact Indicator Target Update'!A449,"",INDIRECT("'Impact Indicators - Section B'!A"&amp;'Impact Indicator Target Update'!D449))</f>
        <v/>
      </c>
    </row>
    <row r="4246" spans="10:10" x14ac:dyDescent="0.3">
      <c r="J4246" s="383" t="str">
        <f ca="1">IF(ROW()&gt;'Impact Indicator Target Update'!A450,"",INDIRECT("'Impact Indicators - Section B'!A"&amp;'Impact Indicator Target Update'!D450))</f>
        <v/>
      </c>
    </row>
    <row r="4247" spans="10:10" x14ac:dyDescent="0.3">
      <c r="J4247" s="383" t="str">
        <f ca="1">IF(ROW()&gt;'Impact Indicator Target Update'!A451,"",INDIRECT("'Impact Indicators - Section B'!A"&amp;'Impact Indicator Target Update'!D451))</f>
        <v/>
      </c>
    </row>
    <row r="4248" spans="10:10" x14ac:dyDescent="0.3">
      <c r="J4248" s="383" t="str">
        <f ca="1">IF(ROW()&gt;'Impact Indicator Target Update'!A452,"",INDIRECT("'Impact Indicators - Section B'!A"&amp;'Impact Indicator Target Update'!D452))</f>
        <v/>
      </c>
    </row>
    <row r="4249" spans="10:10" x14ac:dyDescent="0.3">
      <c r="J4249" s="383" t="str">
        <f ca="1">IF(ROW()&gt;'Impact Indicator Target Update'!A453,"",INDIRECT("'Impact Indicators - Section B'!A"&amp;'Impact Indicator Target Update'!D453))</f>
        <v/>
      </c>
    </row>
    <row r="4250" spans="10:10" x14ac:dyDescent="0.3">
      <c r="J4250" s="383" t="str">
        <f ca="1">IF(ROW()&gt;'Impact Indicator Target Update'!A454,"",INDIRECT("'Impact Indicators - Section B'!A"&amp;'Impact Indicator Target Update'!D454))</f>
        <v/>
      </c>
    </row>
    <row r="4251" spans="10:10" x14ac:dyDescent="0.3">
      <c r="J4251" s="383" t="str">
        <f ca="1">IF(ROW()&gt;'Impact Indicator Target Update'!A455,"",INDIRECT("'Impact Indicators - Section B'!A"&amp;'Impact Indicator Target Update'!D455))</f>
        <v/>
      </c>
    </row>
    <row r="4252" spans="10:10" x14ac:dyDescent="0.3">
      <c r="J4252" s="383" t="str">
        <f ca="1">IF(ROW()&gt;'Impact Indicator Target Update'!A456,"",INDIRECT("'Impact Indicators - Section B'!A"&amp;'Impact Indicator Target Update'!D456))</f>
        <v/>
      </c>
    </row>
    <row r="4253" spans="10:10" x14ac:dyDescent="0.3">
      <c r="J4253" s="383" t="str">
        <f ca="1">IF(ROW()&gt;'Impact Indicator Target Update'!A457,"",INDIRECT("'Impact Indicators - Section B'!A"&amp;'Impact Indicator Target Update'!D457))</f>
        <v/>
      </c>
    </row>
    <row r="4254" spans="10:10" x14ac:dyDescent="0.3">
      <c r="J4254" s="383" t="str">
        <f ca="1">IF(ROW()&gt;'Impact Indicator Target Update'!A458,"",INDIRECT("'Impact Indicators - Section B'!A"&amp;'Impact Indicator Target Update'!D458))</f>
        <v/>
      </c>
    </row>
    <row r="4255" spans="10:10" x14ac:dyDescent="0.3">
      <c r="J4255" s="383" t="str">
        <f ca="1">IF(ROW()&gt;'Impact Indicator Target Update'!A459,"",INDIRECT("'Impact Indicators - Section B'!A"&amp;'Impact Indicator Target Update'!D459))</f>
        <v/>
      </c>
    </row>
    <row r="4256" spans="10:10" x14ac:dyDescent="0.3">
      <c r="J4256" s="383" t="str">
        <f ca="1">IF(ROW()&gt;'Impact Indicator Target Update'!A460,"",INDIRECT("'Impact Indicators - Section B'!A"&amp;'Impact Indicator Target Update'!D460))</f>
        <v/>
      </c>
    </row>
    <row r="4257" spans="10:10" x14ac:dyDescent="0.3">
      <c r="J4257" s="383" t="str">
        <f ca="1">IF(ROW()&gt;'Impact Indicator Target Update'!A461,"",INDIRECT("'Impact Indicators - Section B'!A"&amp;'Impact Indicator Target Update'!D461))</f>
        <v/>
      </c>
    </row>
    <row r="4258" spans="10:10" x14ac:dyDescent="0.3">
      <c r="J4258" s="383" t="str">
        <f ca="1">IF(ROW()&gt;'Impact Indicator Target Update'!A462,"",INDIRECT("'Impact Indicators - Section B'!A"&amp;'Impact Indicator Target Update'!D462))</f>
        <v/>
      </c>
    </row>
    <row r="4259" spans="10:10" x14ac:dyDescent="0.3">
      <c r="J4259" s="383" t="str">
        <f ca="1">IF(ROW()&gt;'Impact Indicator Target Update'!A463,"",INDIRECT("'Impact Indicators - Section B'!A"&amp;'Impact Indicator Target Update'!D463))</f>
        <v/>
      </c>
    </row>
    <row r="4260" spans="10:10" x14ac:dyDescent="0.3">
      <c r="J4260" s="383" t="str">
        <f ca="1">IF(ROW()&gt;'Impact Indicator Target Update'!A464,"",INDIRECT("'Impact Indicators - Section B'!A"&amp;'Impact Indicator Target Update'!D464))</f>
        <v/>
      </c>
    </row>
    <row r="4261" spans="10:10" x14ac:dyDescent="0.3">
      <c r="J4261" s="383" t="str">
        <f ca="1">IF(ROW()&gt;'Impact Indicator Target Update'!A465,"",INDIRECT("'Impact Indicators - Section B'!A"&amp;'Impact Indicator Target Update'!D465))</f>
        <v/>
      </c>
    </row>
    <row r="4262" spans="10:10" x14ac:dyDescent="0.3">
      <c r="J4262" s="383" t="str">
        <f ca="1">IF(ROW()&gt;'Impact Indicator Target Update'!A466,"",INDIRECT("'Impact Indicators - Section B'!A"&amp;'Impact Indicator Target Update'!D466))</f>
        <v/>
      </c>
    </row>
    <row r="4263" spans="10:10" x14ac:dyDescent="0.3">
      <c r="J4263" s="383" t="str">
        <f ca="1">IF(ROW()&gt;'Impact Indicator Target Update'!A467,"",INDIRECT("'Impact Indicators - Section B'!A"&amp;'Impact Indicator Target Update'!D467))</f>
        <v/>
      </c>
    </row>
    <row r="4264" spans="10:10" x14ac:dyDescent="0.3">
      <c r="J4264" s="383" t="str">
        <f ca="1">IF(ROW()&gt;'Impact Indicator Target Update'!A468,"",INDIRECT("'Impact Indicators - Section B'!A"&amp;'Impact Indicator Target Update'!D468))</f>
        <v/>
      </c>
    </row>
    <row r="4265" spans="10:10" x14ac:dyDescent="0.3">
      <c r="J4265" s="383" t="str">
        <f ca="1">IF(ROW()&gt;'Impact Indicator Target Update'!A469,"",INDIRECT("'Impact Indicators - Section B'!A"&amp;'Impact Indicator Target Update'!D469))</f>
        <v/>
      </c>
    </row>
    <row r="4266" spans="10:10" x14ac:dyDescent="0.3">
      <c r="J4266" s="383" t="str">
        <f ca="1">IF(ROW()&gt;'Impact Indicator Target Update'!A470,"",INDIRECT("'Impact Indicators - Section B'!A"&amp;'Impact Indicator Target Update'!D470))</f>
        <v/>
      </c>
    </row>
    <row r="4267" spans="10:10" x14ac:dyDescent="0.3">
      <c r="J4267" s="383" t="str">
        <f ca="1">IF(ROW()&gt;'Impact Indicator Target Update'!A471,"",INDIRECT("'Impact Indicators - Section B'!A"&amp;'Impact Indicator Target Update'!D471))</f>
        <v/>
      </c>
    </row>
    <row r="4268" spans="10:10" x14ac:dyDescent="0.3">
      <c r="J4268" s="383" t="str">
        <f ca="1">IF(ROW()&gt;'Impact Indicator Target Update'!A472,"",INDIRECT("'Impact Indicators - Section B'!A"&amp;'Impact Indicator Target Update'!D472))</f>
        <v/>
      </c>
    </row>
    <row r="4269" spans="10:10" x14ac:dyDescent="0.3">
      <c r="J4269" s="383" t="str">
        <f ca="1">IF(ROW()&gt;'Impact Indicator Target Update'!A473,"",INDIRECT("'Impact Indicators - Section B'!A"&amp;'Impact Indicator Target Update'!D473))</f>
        <v/>
      </c>
    </row>
    <row r="4270" spans="10:10" x14ac:dyDescent="0.3">
      <c r="J4270" s="383" t="str">
        <f ca="1">IF(ROW()&gt;'Impact Indicator Target Update'!A474,"",INDIRECT("'Impact Indicators - Section B'!A"&amp;'Impact Indicator Target Update'!D474))</f>
        <v/>
      </c>
    </row>
    <row r="4271" spans="10:10" x14ac:dyDescent="0.3">
      <c r="J4271" s="383" t="str">
        <f ca="1">IF(ROW()&gt;'Impact Indicator Target Update'!A475,"",INDIRECT("'Impact Indicators - Section B'!A"&amp;'Impact Indicator Target Update'!D475))</f>
        <v/>
      </c>
    </row>
    <row r="4272" spans="10:10" x14ac:dyDescent="0.3">
      <c r="J4272" s="383" t="str">
        <f ca="1">IF(ROW()&gt;'Impact Indicator Target Update'!A476,"",INDIRECT("'Impact Indicators - Section B'!A"&amp;'Impact Indicator Target Update'!D476))</f>
        <v/>
      </c>
    </row>
    <row r="4273" spans="10:10" x14ac:dyDescent="0.3">
      <c r="J4273" s="383" t="str">
        <f ca="1">IF(ROW()&gt;'Impact Indicator Target Update'!A477,"",INDIRECT("'Impact Indicators - Section B'!A"&amp;'Impact Indicator Target Update'!D477))</f>
        <v/>
      </c>
    </row>
    <row r="4274" spans="10:10" x14ac:dyDescent="0.3">
      <c r="J4274" s="383" t="str">
        <f ca="1">IF(ROW()&gt;'Impact Indicator Target Update'!A478,"",INDIRECT("'Impact Indicators - Section B'!A"&amp;'Impact Indicator Target Update'!D478))</f>
        <v/>
      </c>
    </row>
    <row r="4275" spans="10:10" x14ac:dyDescent="0.3">
      <c r="J4275" s="383" t="str">
        <f ca="1">IF(ROW()&gt;'Impact Indicator Target Update'!A479,"",INDIRECT("'Impact Indicators - Section B'!A"&amp;'Impact Indicator Target Update'!D479))</f>
        <v/>
      </c>
    </row>
    <row r="4276" spans="10:10" x14ac:dyDescent="0.3">
      <c r="J4276" s="383" t="str">
        <f ca="1">IF(ROW()&gt;'Impact Indicator Target Update'!A480,"",INDIRECT("'Impact Indicators - Section B'!A"&amp;'Impact Indicator Target Update'!D480))</f>
        <v/>
      </c>
    </row>
    <row r="4277" spans="10:10" x14ac:dyDescent="0.3">
      <c r="J4277" s="383" t="str">
        <f ca="1">IF(ROW()&gt;'Impact Indicator Target Update'!A481,"",INDIRECT("'Impact Indicators - Section B'!A"&amp;'Impact Indicator Target Update'!D481))</f>
        <v/>
      </c>
    </row>
    <row r="4278" spans="10:10" x14ac:dyDescent="0.3">
      <c r="J4278" s="383" t="str">
        <f ca="1">IF(ROW()&gt;'Impact Indicator Target Update'!A482,"",INDIRECT("'Impact Indicators - Section B'!A"&amp;'Impact Indicator Target Update'!D482))</f>
        <v/>
      </c>
    </row>
    <row r="4279" spans="10:10" x14ac:dyDescent="0.3">
      <c r="J4279" s="383" t="str">
        <f ca="1">IF(ROW()&gt;'Impact Indicator Target Update'!A483,"",INDIRECT("'Impact Indicators - Section B'!A"&amp;'Impact Indicator Target Update'!D483))</f>
        <v/>
      </c>
    </row>
    <row r="4280" spans="10:10" x14ac:dyDescent="0.3">
      <c r="J4280" s="383" t="str">
        <f ca="1">IF(ROW()&gt;'Impact Indicator Target Update'!A484,"",INDIRECT("'Impact Indicators - Section B'!A"&amp;'Impact Indicator Target Update'!D484))</f>
        <v/>
      </c>
    </row>
    <row r="4281" spans="10:10" x14ac:dyDescent="0.3">
      <c r="J4281" s="383" t="str">
        <f ca="1">IF(ROW()&gt;'Impact Indicator Target Update'!A485,"",INDIRECT("'Impact Indicators - Section B'!A"&amp;'Impact Indicator Target Update'!D485))</f>
        <v/>
      </c>
    </row>
    <row r="4282" spans="10:10" x14ac:dyDescent="0.3">
      <c r="J4282" s="383" t="str">
        <f ca="1">IF(ROW()&gt;'Impact Indicator Target Update'!A486,"",INDIRECT("'Impact Indicators - Section B'!A"&amp;'Impact Indicator Target Update'!D486))</f>
        <v/>
      </c>
    </row>
    <row r="4283" spans="10:10" x14ac:dyDescent="0.3">
      <c r="J4283" s="383" t="str">
        <f ca="1">IF(ROW()&gt;'Impact Indicator Target Update'!A487,"",INDIRECT("'Impact Indicators - Section B'!A"&amp;'Impact Indicator Target Update'!D487))</f>
        <v/>
      </c>
    </row>
    <row r="4284" spans="10:10" x14ac:dyDescent="0.3">
      <c r="J4284" s="383" t="str">
        <f ca="1">IF(ROW()&gt;'Impact Indicator Target Update'!A488,"",INDIRECT("'Impact Indicators - Section B'!A"&amp;'Impact Indicator Target Update'!D488))</f>
        <v/>
      </c>
    </row>
    <row r="4285" spans="10:10" x14ac:dyDescent="0.3">
      <c r="J4285" s="383" t="str">
        <f ca="1">IF(ROW()&gt;'Impact Indicator Target Update'!A489,"",INDIRECT("'Impact Indicators - Section B'!A"&amp;'Impact Indicator Target Update'!D489))</f>
        <v/>
      </c>
    </row>
    <row r="4286" spans="10:10" x14ac:dyDescent="0.3">
      <c r="J4286" s="383" t="str">
        <f ca="1">IF(ROW()&gt;'Impact Indicator Target Update'!A490,"",INDIRECT("'Impact Indicators - Section B'!A"&amp;'Impact Indicator Target Update'!D490))</f>
        <v/>
      </c>
    </row>
    <row r="4287" spans="10:10" x14ac:dyDescent="0.3">
      <c r="J4287" s="383" t="str">
        <f ca="1">IF(ROW()&gt;'Impact Indicator Target Update'!A491,"",INDIRECT("'Impact Indicators - Section B'!A"&amp;'Impact Indicator Target Update'!D491))</f>
        <v/>
      </c>
    </row>
    <row r="4288" spans="10:10" x14ac:dyDescent="0.3">
      <c r="J4288" s="383" t="str">
        <f ca="1">IF(ROW()&gt;'Impact Indicator Target Update'!A492,"",INDIRECT("'Impact Indicators - Section B'!A"&amp;'Impact Indicator Target Update'!D492))</f>
        <v/>
      </c>
    </row>
    <row r="4289" spans="10:10" x14ac:dyDescent="0.3">
      <c r="J4289" s="383" t="str">
        <f ca="1">IF(ROW()&gt;'Impact Indicator Target Update'!A493,"",INDIRECT("'Impact Indicators - Section B'!A"&amp;'Impact Indicator Target Update'!D493))</f>
        <v/>
      </c>
    </row>
    <row r="4290" spans="10:10" x14ac:dyDescent="0.3">
      <c r="J4290" s="383" t="str">
        <f ca="1">IF(ROW()&gt;'Impact Indicator Target Update'!A494,"",INDIRECT("'Impact Indicators - Section B'!A"&amp;'Impact Indicator Target Update'!D494))</f>
        <v/>
      </c>
    </row>
    <row r="4291" spans="10:10" x14ac:dyDescent="0.3">
      <c r="J4291" s="383" t="str">
        <f ca="1">IF(ROW()&gt;'Impact Indicator Target Update'!A495,"",INDIRECT("'Impact Indicators - Section B'!A"&amp;'Impact Indicator Target Update'!D495))</f>
        <v/>
      </c>
    </row>
    <row r="4292" spans="10:10" x14ac:dyDescent="0.3">
      <c r="J4292" s="383" t="str">
        <f ca="1">IF(ROW()&gt;'Impact Indicator Target Update'!A496,"",INDIRECT("'Impact Indicators - Section B'!A"&amp;'Impact Indicator Target Update'!D496))</f>
        <v/>
      </c>
    </row>
    <row r="4293" spans="10:10" x14ac:dyDescent="0.3">
      <c r="J4293" s="383" t="str">
        <f ca="1">IF(ROW()&gt;'Impact Indicator Target Update'!A497,"",INDIRECT("'Impact Indicators - Section B'!A"&amp;'Impact Indicator Target Update'!D497))</f>
        <v/>
      </c>
    </row>
    <row r="4294" spans="10:10" x14ac:dyDescent="0.3">
      <c r="J4294" s="383" t="str">
        <f ca="1">IF(ROW()&gt;'Impact Indicator Target Update'!A498,"",INDIRECT("'Impact Indicators - Section B'!A"&amp;'Impact Indicator Target Update'!D498))</f>
        <v/>
      </c>
    </row>
    <row r="4295" spans="10:10" x14ac:dyDescent="0.3">
      <c r="J4295" s="383" t="str">
        <f ca="1">IF(ROW()&gt;'Impact Indicator Target Update'!A499,"",INDIRECT("'Impact Indicators - Section B'!A"&amp;'Impact Indicator Target Update'!D499))</f>
        <v/>
      </c>
    </row>
    <row r="4296" spans="10:10" x14ac:dyDescent="0.3">
      <c r="J4296" s="383" t="str">
        <f ca="1">IF(ROW()&gt;'Impact Indicator Target Update'!A500,"",INDIRECT("'Impact Indicators - Section B'!A"&amp;'Impact Indicator Target Update'!D500))</f>
        <v/>
      </c>
    </row>
    <row r="4297" spans="10:10" x14ac:dyDescent="0.3">
      <c r="J4297" s="383" t="str">
        <f ca="1">IF(ROW()&gt;'Impact Indicator Target Update'!A501,"",INDIRECT("'Impact Indicators - Section B'!A"&amp;'Impact Indicator Target Update'!D501))</f>
        <v/>
      </c>
    </row>
    <row r="4298" spans="10:10" x14ac:dyDescent="0.3">
      <c r="J4298" s="383" t="str">
        <f ca="1">IF(ROW()&gt;'Impact Indicator Target Update'!A502,"",INDIRECT("'Impact Indicators - Section B'!A"&amp;'Impact Indicator Target Update'!D502))</f>
        <v/>
      </c>
    </row>
    <row r="4299" spans="10:10" x14ac:dyDescent="0.3">
      <c r="J4299" s="383" t="str">
        <f ca="1">IF(ROW()&gt;'Impact Indicator Target Update'!A503,"",INDIRECT("'Impact Indicators - Section B'!A"&amp;'Impact Indicator Target Update'!D503))</f>
        <v/>
      </c>
    </row>
    <row r="4300" spans="10:10" x14ac:dyDescent="0.3">
      <c r="J4300" s="383" t="str">
        <f ca="1">IF(ROW()&gt;'Impact Indicator Target Update'!A504,"",INDIRECT("'Impact Indicators - Section B'!A"&amp;'Impact Indicator Target Update'!D504))</f>
        <v/>
      </c>
    </row>
    <row r="4301" spans="10:10" x14ac:dyDescent="0.3">
      <c r="J4301" s="383" t="str">
        <f ca="1">IF(ROW()&gt;'Impact Indicator Target Update'!A505,"",INDIRECT("'Impact Indicators - Section B'!A"&amp;'Impact Indicator Target Update'!D505))</f>
        <v/>
      </c>
    </row>
    <row r="4302" spans="10:10" x14ac:dyDescent="0.3">
      <c r="J4302" s="383" t="str">
        <f ca="1">IF(ROW()&gt;'Impact Indicator Target Update'!A506,"",INDIRECT("'Impact Indicators - Section B'!A"&amp;'Impact Indicator Target Update'!D506))</f>
        <v/>
      </c>
    </row>
    <row r="4303" spans="10:10" x14ac:dyDescent="0.3">
      <c r="J4303" s="383" t="str">
        <f ca="1">IF(ROW()&gt;'Impact Indicator Target Update'!A507,"",INDIRECT("'Impact Indicators - Section B'!A"&amp;'Impact Indicator Target Update'!D507))</f>
        <v/>
      </c>
    </row>
    <row r="4304" spans="10:10" x14ac:dyDescent="0.3">
      <c r="J4304" s="383" t="str">
        <f ca="1">IF(ROW()&gt;'Impact Indicator Target Update'!A508,"",INDIRECT("'Impact Indicators - Section B'!A"&amp;'Impact Indicator Target Update'!D508))</f>
        <v/>
      </c>
    </row>
    <row r="4305" spans="10:10" x14ac:dyDescent="0.3">
      <c r="J4305" s="383" t="str">
        <f ca="1">IF(ROW()&gt;'Impact Indicator Target Update'!A509,"",INDIRECT("'Impact Indicators - Section B'!A"&amp;'Impact Indicator Target Update'!D509))</f>
        <v/>
      </c>
    </row>
    <row r="4306" spans="10:10" x14ac:dyDescent="0.3">
      <c r="J4306" s="383" t="str">
        <f ca="1">IF(ROW()&gt;'Impact Indicator Target Update'!A510,"",INDIRECT("'Impact Indicators - Section B'!A"&amp;'Impact Indicator Target Update'!D510))</f>
        <v/>
      </c>
    </row>
    <row r="4307" spans="10:10" x14ac:dyDescent="0.3">
      <c r="J4307" s="383" t="str">
        <f ca="1">IF(ROW()&gt;'Impact Indicator Target Update'!A511,"",INDIRECT("'Impact Indicators - Section B'!A"&amp;'Impact Indicator Target Update'!D511))</f>
        <v/>
      </c>
    </row>
    <row r="4308" spans="10:10" x14ac:dyDescent="0.3">
      <c r="J4308" s="383" t="str">
        <f ca="1">IF(ROW()&gt;'Impact Indicator Target Update'!A512,"",INDIRECT("'Impact Indicators - Section B'!A"&amp;'Impact Indicator Target Update'!D512))</f>
        <v/>
      </c>
    </row>
    <row r="4309" spans="10:10" x14ac:dyDescent="0.3">
      <c r="J4309" s="383" t="str">
        <f ca="1">IF(ROW()&gt;'Impact Indicator Target Update'!A513,"",INDIRECT("'Impact Indicators - Section B'!A"&amp;'Impact Indicator Target Update'!D513))</f>
        <v/>
      </c>
    </row>
    <row r="4310" spans="10:10" x14ac:dyDescent="0.3">
      <c r="J4310" s="383" t="str">
        <f ca="1">IF(ROW()&gt;'Impact Indicator Target Update'!A514,"",INDIRECT("'Impact Indicators - Section B'!A"&amp;'Impact Indicator Target Update'!D514))</f>
        <v/>
      </c>
    </row>
    <row r="4311" spans="10:10" x14ac:dyDescent="0.3">
      <c r="J4311" s="383" t="str">
        <f ca="1">IF(ROW()&gt;'Impact Indicator Target Update'!A515,"",INDIRECT("'Impact Indicators - Section B'!A"&amp;'Impact Indicator Target Update'!D515))</f>
        <v/>
      </c>
    </row>
    <row r="4312" spans="10:10" x14ac:dyDescent="0.3">
      <c r="J4312" s="383" t="str">
        <f ca="1">IF(ROW()&gt;'Impact Indicator Target Update'!A516,"",INDIRECT("'Impact Indicators - Section B'!A"&amp;'Impact Indicator Target Update'!D516))</f>
        <v/>
      </c>
    </row>
    <row r="4313" spans="10:10" x14ac:dyDescent="0.3">
      <c r="J4313" s="383" t="str">
        <f ca="1">IF(ROW()&gt;'Impact Indicator Target Update'!A517,"",INDIRECT("'Impact Indicators - Section B'!A"&amp;'Impact Indicator Target Update'!D517))</f>
        <v/>
      </c>
    </row>
    <row r="4314" spans="10:10" x14ac:dyDescent="0.3">
      <c r="J4314" s="383" t="str">
        <f ca="1">IF(ROW()&gt;'Impact Indicator Target Update'!A518,"",INDIRECT("'Impact Indicators - Section B'!A"&amp;'Impact Indicator Target Update'!D518))</f>
        <v/>
      </c>
    </row>
    <row r="4315" spans="10:10" x14ac:dyDescent="0.3">
      <c r="J4315" s="383" t="str">
        <f ca="1">IF(ROW()&gt;'Impact Indicator Target Update'!A519,"",INDIRECT("'Impact Indicators - Section B'!A"&amp;'Impact Indicator Target Update'!D519))</f>
        <v/>
      </c>
    </row>
    <row r="4316" spans="10:10" x14ac:dyDescent="0.3">
      <c r="J4316" s="383" t="str">
        <f ca="1">IF(ROW()&gt;'Impact Indicator Target Update'!A520,"",INDIRECT("'Impact Indicators - Section B'!A"&amp;'Impact Indicator Target Update'!D520))</f>
        <v/>
      </c>
    </row>
    <row r="4317" spans="10:10" x14ac:dyDescent="0.3">
      <c r="J4317" s="383" t="str">
        <f ca="1">IF(ROW()&gt;'Impact Indicator Target Update'!A521,"",INDIRECT("'Impact Indicators - Section B'!A"&amp;'Impact Indicator Target Update'!D521))</f>
        <v/>
      </c>
    </row>
    <row r="4318" spans="10:10" x14ac:dyDescent="0.3">
      <c r="J4318" s="383" t="str">
        <f ca="1">IF(ROW()&gt;'Impact Indicator Target Update'!A522,"",INDIRECT("'Impact Indicators - Section B'!A"&amp;'Impact Indicator Target Update'!D522))</f>
        <v/>
      </c>
    </row>
    <row r="4319" spans="10:10" x14ac:dyDescent="0.3">
      <c r="J4319" s="383" t="str">
        <f ca="1">IF(ROW()&gt;'Impact Indicator Target Update'!A523,"",INDIRECT("'Impact Indicators - Section B'!A"&amp;'Impact Indicator Target Update'!D523))</f>
        <v/>
      </c>
    </row>
    <row r="4320" spans="10:10" x14ac:dyDescent="0.3">
      <c r="J4320" s="383" t="str">
        <f ca="1">IF(ROW()&gt;'Impact Indicator Target Update'!A524,"",INDIRECT("'Impact Indicators - Section B'!A"&amp;'Impact Indicator Target Update'!D524))</f>
        <v/>
      </c>
    </row>
    <row r="4321" spans="10:10" x14ac:dyDescent="0.3">
      <c r="J4321" s="383" t="str">
        <f ca="1">IF(ROW()&gt;'Impact Indicator Target Update'!A525,"",INDIRECT("'Impact Indicators - Section B'!A"&amp;'Impact Indicator Target Update'!D525))</f>
        <v/>
      </c>
    </row>
    <row r="4322" spans="10:10" x14ac:dyDescent="0.3">
      <c r="J4322" s="383" t="str">
        <f ca="1">IF(ROW()&gt;'Impact Indicator Target Update'!A526,"",INDIRECT("'Impact Indicators - Section B'!A"&amp;'Impact Indicator Target Update'!D526))</f>
        <v/>
      </c>
    </row>
    <row r="4323" spans="10:10" x14ac:dyDescent="0.3">
      <c r="J4323" s="383" t="str">
        <f ca="1">IF(ROW()&gt;'Impact Indicator Target Update'!A527,"",INDIRECT("'Impact Indicators - Section B'!A"&amp;'Impact Indicator Target Update'!D527))</f>
        <v/>
      </c>
    </row>
    <row r="4324" spans="10:10" x14ac:dyDescent="0.3">
      <c r="J4324" s="383" t="str">
        <f ca="1">IF(ROW()&gt;'Impact Indicator Target Update'!A528,"",INDIRECT("'Impact Indicators - Section B'!A"&amp;'Impact Indicator Target Update'!D528))</f>
        <v/>
      </c>
    </row>
    <row r="4325" spans="10:10" x14ac:dyDescent="0.3">
      <c r="J4325" s="383" t="str">
        <f ca="1">IF(ROW()&gt;'Impact Indicator Target Update'!A529,"",INDIRECT("'Impact Indicators - Section B'!A"&amp;'Impact Indicator Target Update'!D529))</f>
        <v/>
      </c>
    </row>
    <row r="4326" spans="10:10" x14ac:dyDescent="0.3">
      <c r="J4326" s="383" t="str">
        <f ca="1">IF(ROW()&gt;'Impact Indicator Target Update'!A530,"",INDIRECT("'Impact Indicators - Section B'!A"&amp;'Impact Indicator Target Update'!D530))</f>
        <v/>
      </c>
    </row>
    <row r="4327" spans="10:10" x14ac:dyDescent="0.3">
      <c r="J4327" s="383" t="str">
        <f ca="1">IF(ROW()&gt;'Impact Indicator Target Update'!A531,"",INDIRECT("'Impact Indicators - Section B'!A"&amp;'Impact Indicator Target Update'!D531))</f>
        <v/>
      </c>
    </row>
    <row r="4328" spans="10:10" x14ac:dyDescent="0.3">
      <c r="J4328" s="383" t="str">
        <f ca="1">IF(ROW()&gt;'Impact Indicator Target Update'!A532,"",INDIRECT("'Impact Indicators - Section B'!A"&amp;'Impact Indicator Target Update'!D532))</f>
        <v/>
      </c>
    </row>
    <row r="4329" spans="10:10" x14ac:dyDescent="0.3">
      <c r="J4329" s="383" t="str">
        <f ca="1">IF(ROW()&gt;'Impact Indicator Target Update'!A533,"",INDIRECT("'Impact Indicators - Section B'!A"&amp;'Impact Indicator Target Update'!D533))</f>
        <v/>
      </c>
    </row>
    <row r="4330" spans="10:10" x14ac:dyDescent="0.3">
      <c r="J4330" s="383" t="str">
        <f ca="1">IF(ROW()&gt;'Impact Indicator Target Update'!A534,"",INDIRECT("'Impact Indicators - Section B'!A"&amp;'Impact Indicator Target Update'!D534))</f>
        <v/>
      </c>
    </row>
    <row r="4331" spans="10:10" x14ac:dyDescent="0.3">
      <c r="J4331" s="383" t="str">
        <f ca="1">IF(ROW()&gt;'Impact Indicator Target Update'!A535,"",INDIRECT("'Impact Indicators - Section B'!A"&amp;'Impact Indicator Target Update'!D535))</f>
        <v/>
      </c>
    </row>
    <row r="4332" spans="10:10" x14ac:dyDescent="0.3">
      <c r="J4332" s="383" t="str">
        <f ca="1">IF(ROW()&gt;'Impact Indicator Target Update'!A536,"",INDIRECT("'Impact Indicators - Section B'!A"&amp;'Impact Indicator Target Update'!D536))</f>
        <v/>
      </c>
    </row>
    <row r="4333" spans="10:10" x14ac:dyDescent="0.3">
      <c r="J4333" s="383" t="str">
        <f ca="1">IF(ROW()&gt;'Impact Indicator Target Update'!A537,"",INDIRECT("'Impact Indicators - Section B'!A"&amp;'Impact Indicator Target Update'!D537))</f>
        <v/>
      </c>
    </row>
    <row r="4334" spans="10:10" x14ac:dyDescent="0.3">
      <c r="J4334" s="383" t="str">
        <f ca="1">IF(ROW()&gt;'Impact Indicator Target Update'!A538,"",INDIRECT("'Impact Indicators - Section B'!A"&amp;'Impact Indicator Target Update'!D538))</f>
        <v/>
      </c>
    </row>
    <row r="4335" spans="10:10" x14ac:dyDescent="0.3">
      <c r="J4335" s="383" t="str">
        <f ca="1">IF(ROW()&gt;'Impact Indicator Target Update'!A539,"",INDIRECT("'Impact Indicators - Section B'!A"&amp;'Impact Indicator Target Update'!D539))</f>
        <v/>
      </c>
    </row>
    <row r="4336" spans="10:10" x14ac:dyDescent="0.3">
      <c r="J4336" s="383" t="str">
        <f ca="1">IF(ROW()&gt;'Impact Indicator Target Update'!A540,"",INDIRECT("'Impact Indicators - Section B'!A"&amp;'Impact Indicator Target Update'!D540))</f>
        <v/>
      </c>
    </row>
    <row r="4337" spans="10:10" x14ac:dyDescent="0.3">
      <c r="J4337" s="383" t="str">
        <f ca="1">IF(ROW()&gt;'Impact Indicator Target Update'!A541,"",INDIRECT("'Impact Indicators - Section B'!A"&amp;'Impact Indicator Target Update'!D541))</f>
        <v/>
      </c>
    </row>
    <row r="4338" spans="10:10" x14ac:dyDescent="0.3">
      <c r="J4338" s="383" t="str">
        <f ca="1">IF(ROW()&gt;'Impact Indicator Target Update'!A542,"",INDIRECT("'Impact Indicators - Section B'!A"&amp;'Impact Indicator Target Update'!D542))</f>
        <v/>
      </c>
    </row>
    <row r="4339" spans="10:10" x14ac:dyDescent="0.3">
      <c r="J4339" s="383" t="str">
        <f ca="1">IF(ROW()&gt;'Impact Indicator Target Update'!A543,"",INDIRECT("'Impact Indicators - Section B'!A"&amp;'Impact Indicator Target Update'!D543))</f>
        <v/>
      </c>
    </row>
    <row r="4340" spans="10:10" x14ac:dyDescent="0.3">
      <c r="J4340" s="383" t="str">
        <f ca="1">IF(ROW()&gt;'Impact Indicator Target Update'!A544,"",INDIRECT("'Impact Indicators - Section B'!A"&amp;'Impact Indicator Target Update'!D544))</f>
        <v/>
      </c>
    </row>
    <row r="4341" spans="10:10" x14ac:dyDescent="0.3">
      <c r="J4341" s="383" t="str">
        <f ca="1">IF(ROW()&gt;'Impact Indicator Target Update'!A545,"",INDIRECT("'Impact Indicators - Section B'!A"&amp;'Impact Indicator Target Update'!D545))</f>
        <v/>
      </c>
    </row>
    <row r="4342" spans="10:10" x14ac:dyDescent="0.3">
      <c r="J4342" s="383" t="str">
        <f ca="1">IF(ROW()&gt;'Impact Indicator Target Update'!A546,"",INDIRECT("'Impact Indicators - Section B'!A"&amp;'Impact Indicator Target Update'!D546))</f>
        <v/>
      </c>
    </row>
    <row r="4343" spans="10:10" x14ac:dyDescent="0.3">
      <c r="J4343" s="383" t="str">
        <f ca="1">IF(ROW()&gt;'Impact Indicator Target Update'!A547,"",INDIRECT("'Impact Indicators - Section B'!A"&amp;'Impact Indicator Target Update'!D547))</f>
        <v/>
      </c>
    </row>
    <row r="4344" spans="10:10" x14ac:dyDescent="0.3">
      <c r="J4344" s="383" t="str">
        <f ca="1">IF(ROW()&gt;'Impact Indicator Target Update'!A548,"",INDIRECT("'Impact Indicators - Section B'!A"&amp;'Impact Indicator Target Update'!D548))</f>
        <v/>
      </c>
    </row>
    <row r="4345" spans="10:10" x14ac:dyDescent="0.3">
      <c r="J4345" s="383" t="str">
        <f ca="1">IF(ROW()&gt;'Impact Indicator Target Update'!A549,"",INDIRECT("'Impact Indicators - Section B'!A"&amp;'Impact Indicator Target Update'!D549))</f>
        <v/>
      </c>
    </row>
    <row r="4346" spans="10:10" x14ac:dyDescent="0.3">
      <c r="J4346" s="383" t="str">
        <f ca="1">IF(ROW()&gt;'Impact Indicator Target Update'!A550,"",INDIRECT("'Impact Indicators - Section B'!A"&amp;'Impact Indicator Target Update'!D550))</f>
        <v/>
      </c>
    </row>
    <row r="4347" spans="10:10" x14ac:dyDescent="0.3">
      <c r="J4347" s="383" t="str">
        <f ca="1">IF(ROW()&gt;'Impact Indicator Target Update'!A551,"",INDIRECT("'Impact Indicators - Section B'!A"&amp;'Impact Indicator Target Update'!D551))</f>
        <v/>
      </c>
    </row>
    <row r="4348" spans="10:10" x14ac:dyDescent="0.3">
      <c r="J4348" s="383" t="str">
        <f ca="1">IF(ROW()&gt;'Impact Indicator Target Update'!A552,"",INDIRECT("'Impact Indicators - Section B'!A"&amp;'Impact Indicator Target Update'!D552))</f>
        <v/>
      </c>
    </row>
    <row r="4349" spans="10:10" x14ac:dyDescent="0.3">
      <c r="J4349" s="383" t="str">
        <f ca="1">IF(ROW()&gt;'Impact Indicator Target Update'!A553,"",INDIRECT("'Impact Indicators - Section B'!A"&amp;'Impact Indicator Target Update'!D553))</f>
        <v/>
      </c>
    </row>
    <row r="4350" spans="10:10" x14ac:dyDescent="0.3">
      <c r="J4350" s="383" t="str">
        <f ca="1">IF(ROW()&gt;'Impact Indicator Target Update'!A554,"",INDIRECT("'Impact Indicators - Section B'!A"&amp;'Impact Indicator Target Update'!D554))</f>
        <v/>
      </c>
    </row>
    <row r="4351" spans="10:10" x14ac:dyDescent="0.3">
      <c r="J4351" s="383" t="str">
        <f ca="1">IF(ROW()&gt;'Impact Indicator Target Update'!A555,"",INDIRECT("'Impact Indicators - Section B'!A"&amp;'Impact Indicator Target Update'!D555))</f>
        <v/>
      </c>
    </row>
    <row r="4352" spans="10:10" x14ac:dyDescent="0.3">
      <c r="J4352" s="383" t="str">
        <f ca="1">IF(ROW()&gt;'Impact Indicator Target Update'!A556,"",INDIRECT("'Impact Indicators - Section B'!A"&amp;'Impact Indicator Target Update'!D556))</f>
        <v/>
      </c>
    </row>
    <row r="4353" spans="10:10" x14ac:dyDescent="0.3">
      <c r="J4353" s="383" t="str">
        <f ca="1">IF(ROW()&gt;'Impact Indicator Target Update'!A557,"",INDIRECT("'Impact Indicators - Section B'!A"&amp;'Impact Indicator Target Update'!D557))</f>
        <v/>
      </c>
    </row>
    <row r="4354" spans="10:10" x14ac:dyDescent="0.3">
      <c r="J4354" s="383" t="str">
        <f ca="1">IF(ROW()&gt;'Impact Indicator Target Update'!A558,"",INDIRECT("'Impact Indicators - Section B'!A"&amp;'Impact Indicator Target Update'!D558))</f>
        <v/>
      </c>
    </row>
    <row r="4355" spans="10:10" x14ac:dyDescent="0.3">
      <c r="J4355" s="383" t="str">
        <f ca="1">IF(ROW()&gt;'Impact Indicator Target Update'!A559,"",INDIRECT("'Impact Indicators - Section B'!A"&amp;'Impact Indicator Target Update'!D559))</f>
        <v/>
      </c>
    </row>
    <row r="4356" spans="10:10" x14ac:dyDescent="0.3">
      <c r="J4356" s="383" t="str">
        <f ca="1">IF(ROW()&gt;'Impact Indicator Target Update'!A560,"",INDIRECT("'Impact Indicators - Section B'!A"&amp;'Impact Indicator Target Update'!D560))</f>
        <v/>
      </c>
    </row>
    <row r="4357" spans="10:10" x14ac:dyDescent="0.3">
      <c r="J4357" s="383" t="str">
        <f ca="1">IF(ROW()&gt;'Impact Indicator Target Update'!A561,"",INDIRECT("'Impact Indicators - Section B'!A"&amp;'Impact Indicator Target Update'!D561))</f>
        <v/>
      </c>
    </row>
    <row r="4358" spans="10:10" x14ac:dyDescent="0.3">
      <c r="J4358" s="383" t="str">
        <f ca="1">IF(ROW()&gt;'Impact Indicator Target Update'!A562,"",INDIRECT("'Impact Indicators - Section B'!A"&amp;'Impact Indicator Target Update'!D562))</f>
        <v/>
      </c>
    </row>
    <row r="4359" spans="10:10" x14ac:dyDescent="0.3">
      <c r="J4359" s="383" t="str">
        <f ca="1">IF(ROW()&gt;'Impact Indicator Target Update'!A563,"",INDIRECT("'Impact Indicators - Section B'!A"&amp;'Impact Indicator Target Update'!D563))</f>
        <v/>
      </c>
    </row>
    <row r="4360" spans="10:10" x14ac:dyDescent="0.3">
      <c r="J4360" s="383" t="str">
        <f ca="1">IF(ROW()&gt;'Impact Indicator Target Update'!A564,"",INDIRECT("'Impact Indicators - Section B'!A"&amp;'Impact Indicator Target Update'!D564))</f>
        <v/>
      </c>
    </row>
    <row r="4361" spans="10:10" x14ac:dyDescent="0.3">
      <c r="J4361" s="383" t="str">
        <f ca="1">IF(ROW()&gt;'Impact Indicator Target Update'!A565,"",INDIRECT("'Impact Indicators - Section B'!A"&amp;'Impact Indicator Target Update'!D565))</f>
        <v/>
      </c>
    </row>
    <row r="4362" spans="10:10" x14ac:dyDescent="0.3">
      <c r="J4362" s="383" t="str">
        <f ca="1">IF(ROW()&gt;'Impact Indicator Target Update'!A566,"",INDIRECT("'Impact Indicators - Section B'!A"&amp;'Impact Indicator Target Update'!D566))</f>
        <v/>
      </c>
    </row>
    <row r="4363" spans="10:10" x14ac:dyDescent="0.3">
      <c r="J4363" s="383" t="str">
        <f ca="1">IF(ROW()&gt;'Impact Indicator Target Update'!A567,"",INDIRECT("'Impact Indicators - Section B'!A"&amp;'Impact Indicator Target Update'!D567))</f>
        <v/>
      </c>
    </row>
    <row r="4364" spans="10:10" x14ac:dyDescent="0.3">
      <c r="J4364" s="383" t="str">
        <f ca="1">IF(ROW()&gt;'Impact Indicator Target Update'!A568,"",INDIRECT("'Impact Indicators - Section B'!A"&amp;'Impact Indicator Target Update'!D568))</f>
        <v/>
      </c>
    </row>
    <row r="4365" spans="10:10" x14ac:dyDescent="0.3">
      <c r="J4365" s="383" t="str">
        <f ca="1">IF(ROW()&gt;'Impact Indicator Target Update'!A569,"",INDIRECT("'Impact Indicators - Section B'!A"&amp;'Impact Indicator Target Update'!D569))</f>
        <v/>
      </c>
    </row>
    <row r="4366" spans="10:10" x14ac:dyDescent="0.3">
      <c r="J4366" s="383" t="str">
        <f ca="1">IF(ROW()&gt;'Impact Indicator Target Update'!A570,"",INDIRECT("'Impact Indicators - Section B'!A"&amp;'Impact Indicator Target Update'!D570))</f>
        <v/>
      </c>
    </row>
    <row r="4367" spans="10:10" x14ac:dyDescent="0.3">
      <c r="J4367" s="383" t="str">
        <f ca="1">IF(ROW()&gt;'Impact Indicator Target Update'!A571,"",INDIRECT("'Impact Indicators - Section B'!A"&amp;'Impact Indicator Target Update'!D571))</f>
        <v/>
      </c>
    </row>
    <row r="4368" spans="10:10" x14ac:dyDescent="0.3">
      <c r="J4368" s="383" t="str">
        <f ca="1">IF(ROW()&gt;'Impact Indicator Target Update'!A572,"",INDIRECT("'Impact Indicators - Section B'!A"&amp;'Impact Indicator Target Update'!D572))</f>
        <v/>
      </c>
    </row>
    <row r="4369" spans="10:10" x14ac:dyDescent="0.3">
      <c r="J4369" s="383" t="str">
        <f ca="1">IF(ROW()&gt;'Impact Indicator Target Update'!A573,"",INDIRECT("'Impact Indicators - Section B'!A"&amp;'Impact Indicator Target Update'!D573))</f>
        <v/>
      </c>
    </row>
    <row r="4370" spans="10:10" x14ac:dyDescent="0.3">
      <c r="J4370" s="383" t="str">
        <f ca="1">IF(ROW()&gt;'Impact Indicator Target Update'!A574,"",INDIRECT("'Impact Indicators - Section B'!A"&amp;'Impact Indicator Target Update'!D574))</f>
        <v/>
      </c>
    </row>
    <row r="4371" spans="10:10" x14ac:dyDescent="0.3">
      <c r="J4371" s="383" t="str">
        <f ca="1">IF(ROW()&gt;'Impact Indicator Target Update'!A575,"",INDIRECT("'Impact Indicators - Section B'!A"&amp;'Impact Indicator Target Update'!D575))</f>
        <v/>
      </c>
    </row>
    <row r="4372" spans="10:10" x14ac:dyDescent="0.3">
      <c r="J4372" s="383" t="str">
        <f ca="1">IF(ROW()&gt;'Impact Indicator Target Update'!A576,"",INDIRECT("'Impact Indicators - Section B'!A"&amp;'Impact Indicator Target Update'!D576))</f>
        <v/>
      </c>
    </row>
    <row r="4373" spans="10:10" x14ac:dyDescent="0.3">
      <c r="J4373" s="383" t="str">
        <f ca="1">IF(ROW()&gt;'Impact Indicator Target Update'!A577,"",INDIRECT("'Impact Indicators - Section B'!A"&amp;'Impact Indicator Target Update'!D577))</f>
        <v/>
      </c>
    </row>
    <row r="4374" spans="10:10" x14ac:dyDescent="0.3">
      <c r="J4374" s="383" t="str">
        <f ca="1">IF(ROW()&gt;'Impact Indicator Target Update'!A578,"",INDIRECT("'Impact Indicators - Section B'!A"&amp;'Impact Indicator Target Update'!D578))</f>
        <v/>
      </c>
    </row>
    <row r="4375" spans="10:10" x14ac:dyDescent="0.3">
      <c r="J4375" s="383" t="str">
        <f ca="1">IF(ROW()&gt;'Impact Indicator Target Update'!A579,"",INDIRECT("'Impact Indicators - Section B'!A"&amp;'Impact Indicator Target Update'!D579))</f>
        <v/>
      </c>
    </row>
    <row r="4376" spans="10:10" x14ac:dyDescent="0.3">
      <c r="J4376" s="383" t="str">
        <f ca="1">IF(ROW()&gt;'Impact Indicator Target Update'!A580,"",INDIRECT("'Impact Indicators - Section B'!A"&amp;'Impact Indicator Target Update'!D580))</f>
        <v/>
      </c>
    </row>
    <row r="4377" spans="10:10" x14ac:dyDescent="0.3">
      <c r="J4377" s="383" t="str">
        <f ca="1">IF(ROW()&gt;'Impact Indicator Target Update'!A581,"",INDIRECT("'Impact Indicators - Section B'!A"&amp;'Impact Indicator Target Update'!D581))</f>
        <v/>
      </c>
    </row>
    <row r="4378" spans="10:10" x14ac:dyDescent="0.3">
      <c r="J4378" s="383" t="str">
        <f ca="1">IF(ROW()&gt;'Impact Indicator Target Update'!A582,"",INDIRECT("'Impact Indicators - Section B'!A"&amp;'Impact Indicator Target Update'!D582))</f>
        <v/>
      </c>
    </row>
    <row r="4379" spans="10:10" x14ac:dyDescent="0.3">
      <c r="J4379" s="383" t="str">
        <f ca="1">IF(ROW()&gt;'Impact Indicator Target Update'!A583,"",INDIRECT("'Impact Indicators - Section B'!A"&amp;'Impact Indicator Target Update'!D583))</f>
        <v/>
      </c>
    </row>
    <row r="4380" spans="10:10" x14ac:dyDescent="0.3">
      <c r="J4380" s="383" t="str">
        <f ca="1">IF(ROW()&gt;'Impact Indicator Target Update'!A584,"",INDIRECT("'Impact Indicators - Section B'!A"&amp;'Impact Indicator Target Update'!D584))</f>
        <v/>
      </c>
    </row>
    <row r="4381" spans="10:10" x14ac:dyDescent="0.3">
      <c r="J4381" s="383" t="str">
        <f ca="1">IF(ROW()&gt;'Impact Indicator Target Update'!A585,"",INDIRECT("'Impact Indicators - Section B'!A"&amp;'Impact Indicator Target Update'!D585))</f>
        <v/>
      </c>
    </row>
    <row r="4382" spans="10:10" x14ac:dyDescent="0.3">
      <c r="J4382" s="383" t="str">
        <f ca="1">IF(ROW()&gt;'Impact Indicator Target Update'!A586,"",INDIRECT("'Impact Indicators - Section B'!A"&amp;'Impact Indicator Target Update'!D586))</f>
        <v/>
      </c>
    </row>
    <row r="4383" spans="10:10" x14ac:dyDescent="0.3">
      <c r="J4383" s="383" t="str">
        <f ca="1">IF(ROW()&gt;'Impact Indicator Target Update'!A587,"",INDIRECT("'Impact Indicators - Section B'!A"&amp;'Impact Indicator Target Update'!D587))</f>
        <v/>
      </c>
    </row>
    <row r="4384" spans="10:10" x14ac:dyDescent="0.3">
      <c r="J4384" s="383" t="str">
        <f ca="1">IF(ROW()&gt;'Impact Indicator Target Update'!A588,"",INDIRECT("'Impact Indicators - Section B'!A"&amp;'Impact Indicator Target Update'!D588))</f>
        <v/>
      </c>
    </row>
    <row r="4385" spans="10:10" x14ac:dyDescent="0.3">
      <c r="J4385" s="383" t="str">
        <f ca="1">IF(ROW()&gt;'Impact Indicator Target Update'!A589,"",INDIRECT("'Impact Indicators - Section B'!A"&amp;'Impact Indicator Target Update'!D589))</f>
        <v/>
      </c>
    </row>
    <row r="4386" spans="10:10" x14ac:dyDescent="0.3">
      <c r="J4386" s="383" t="str">
        <f ca="1">IF(ROW()&gt;'Impact Indicator Target Update'!A590,"",INDIRECT("'Impact Indicators - Section B'!A"&amp;'Impact Indicator Target Update'!D590))</f>
        <v/>
      </c>
    </row>
    <row r="4387" spans="10:10" x14ac:dyDescent="0.3">
      <c r="J4387" s="383" t="str">
        <f ca="1">IF(ROW()&gt;'Impact Indicator Target Update'!A591,"",INDIRECT("'Impact Indicators - Section B'!A"&amp;'Impact Indicator Target Update'!D591))</f>
        <v/>
      </c>
    </row>
    <row r="4388" spans="10:10" x14ac:dyDescent="0.3">
      <c r="J4388" s="383" t="str">
        <f ca="1">IF(ROW()&gt;'Impact Indicator Target Update'!A592,"",INDIRECT("'Impact Indicators - Section B'!A"&amp;'Impact Indicator Target Update'!D592))</f>
        <v/>
      </c>
    </row>
    <row r="4389" spans="10:10" x14ac:dyDescent="0.3">
      <c r="J4389" s="383" t="str">
        <f ca="1">IF(ROW()&gt;'Impact Indicator Target Update'!A593,"",INDIRECT("'Impact Indicators - Section B'!A"&amp;'Impact Indicator Target Update'!D593))</f>
        <v/>
      </c>
    </row>
    <row r="4390" spans="10:10" x14ac:dyDescent="0.3">
      <c r="J4390" s="383" t="str">
        <f ca="1">IF(ROW()&gt;'Impact Indicator Target Update'!A594,"",INDIRECT("'Impact Indicators - Section B'!A"&amp;'Impact Indicator Target Update'!D594))</f>
        <v/>
      </c>
    </row>
    <row r="4391" spans="10:10" x14ac:dyDescent="0.3">
      <c r="J4391" s="383" t="str">
        <f ca="1">IF(ROW()&gt;'Impact Indicator Target Update'!A595,"",INDIRECT("'Impact Indicators - Section B'!A"&amp;'Impact Indicator Target Update'!D595))</f>
        <v/>
      </c>
    </row>
    <row r="4392" spans="10:10" x14ac:dyDescent="0.3">
      <c r="J4392" s="383" t="str">
        <f ca="1">IF(ROW()&gt;'Impact Indicator Target Update'!A596,"",INDIRECT("'Impact Indicators - Section B'!A"&amp;'Impact Indicator Target Update'!D596))</f>
        <v/>
      </c>
    </row>
    <row r="4393" spans="10:10" x14ac:dyDescent="0.3">
      <c r="J4393" s="383" t="str">
        <f ca="1">IF(ROW()&gt;'Impact Indicator Target Update'!A597,"",INDIRECT("'Impact Indicators - Section B'!A"&amp;'Impact Indicator Target Update'!D597))</f>
        <v/>
      </c>
    </row>
    <row r="4394" spans="10:10" x14ac:dyDescent="0.3">
      <c r="J4394" s="383" t="str">
        <f ca="1">IF(ROW()&gt;'Impact Indicator Target Update'!A598,"",INDIRECT("'Impact Indicators - Section B'!A"&amp;'Impact Indicator Target Update'!D598))</f>
        <v/>
      </c>
    </row>
    <row r="4395" spans="10:10" x14ac:dyDescent="0.3">
      <c r="J4395" s="383" t="str">
        <f ca="1">IF(ROW()&gt;'Impact Indicator Target Update'!A599,"",INDIRECT("'Impact Indicators - Section B'!A"&amp;'Impact Indicator Target Update'!D599))</f>
        <v/>
      </c>
    </row>
    <row r="4396" spans="10:10" x14ac:dyDescent="0.3">
      <c r="J4396" s="383" t="str">
        <f ca="1">IF(ROW()&gt;'Impact Indicator Target Update'!A600,"",INDIRECT("'Impact Indicators - Section B'!A"&amp;'Impact Indicator Target Update'!D600))</f>
        <v/>
      </c>
    </row>
    <row r="4397" spans="10:10" x14ac:dyDescent="0.3">
      <c r="J4397" s="383" t="str">
        <f ca="1">IF(ROW()&gt;'Impact Indicator Target Update'!A601,"",INDIRECT("'Impact Indicators - Section B'!A"&amp;'Impact Indicator Target Update'!D601))</f>
        <v/>
      </c>
    </row>
    <row r="4398" spans="10:10" x14ac:dyDescent="0.3">
      <c r="J4398" s="383" t="str">
        <f ca="1">IF(ROW()&gt;'Impact Indicator Target Update'!A602,"",INDIRECT("'Impact Indicators - Section B'!A"&amp;'Impact Indicator Target Update'!D602))</f>
        <v/>
      </c>
    </row>
    <row r="4399" spans="10:10" x14ac:dyDescent="0.3">
      <c r="J4399" s="383" t="str">
        <f ca="1">IF(ROW()&gt;'Impact Indicator Target Update'!A603,"",INDIRECT("'Impact Indicators - Section B'!A"&amp;'Impact Indicator Target Update'!D603))</f>
        <v/>
      </c>
    </row>
    <row r="4400" spans="10:10" x14ac:dyDescent="0.3">
      <c r="J4400" s="383" t="str">
        <f ca="1">IF(ROW()&gt;'Impact Indicator Target Update'!A604,"",INDIRECT("'Impact Indicators - Section B'!A"&amp;'Impact Indicator Target Update'!D604))</f>
        <v/>
      </c>
    </row>
    <row r="4401" spans="10:10" x14ac:dyDescent="0.3">
      <c r="J4401" s="383" t="str">
        <f ca="1">IF(ROW()&gt;'Impact Indicator Target Update'!A605,"",INDIRECT("'Impact Indicators - Section B'!A"&amp;'Impact Indicator Target Update'!D605))</f>
        <v/>
      </c>
    </row>
    <row r="4402" spans="10:10" x14ac:dyDescent="0.3">
      <c r="J4402" s="383" t="str">
        <f ca="1">IF(ROW()&gt;'Impact Indicator Target Update'!A606,"",INDIRECT("'Impact Indicators - Section B'!A"&amp;'Impact Indicator Target Update'!D606))</f>
        <v/>
      </c>
    </row>
    <row r="4403" spans="10:10" x14ac:dyDescent="0.3">
      <c r="J4403" s="383" t="str">
        <f ca="1">IF(ROW()&gt;'Impact Indicator Target Update'!A607,"",INDIRECT("'Impact Indicators - Section B'!A"&amp;'Impact Indicator Target Update'!D607))</f>
        <v/>
      </c>
    </row>
    <row r="4404" spans="10:10" x14ac:dyDescent="0.3">
      <c r="J4404" s="383" t="str">
        <f ca="1">IF(ROW()&gt;'Impact Indicator Target Update'!A608,"",INDIRECT("'Impact Indicators - Section B'!A"&amp;'Impact Indicator Target Update'!D608))</f>
        <v/>
      </c>
    </row>
    <row r="4405" spans="10:10" x14ac:dyDescent="0.3">
      <c r="J4405" s="383" t="str">
        <f ca="1">IF(ROW()&gt;'Impact Indicator Target Update'!A609,"",INDIRECT("'Impact Indicators - Section B'!A"&amp;'Impact Indicator Target Update'!D609))</f>
        <v/>
      </c>
    </row>
    <row r="4406" spans="10:10" x14ac:dyDescent="0.3">
      <c r="J4406" s="383" t="str">
        <f ca="1">IF(ROW()&gt;'Impact Indicator Target Update'!A610,"",INDIRECT("'Impact Indicators - Section B'!A"&amp;'Impact Indicator Target Update'!D610))</f>
        <v/>
      </c>
    </row>
    <row r="4407" spans="10:10" x14ac:dyDescent="0.3">
      <c r="J4407" s="383" t="str">
        <f ca="1">IF(ROW()&gt;'Impact Indicator Target Update'!A611,"",INDIRECT("'Impact Indicators - Section B'!A"&amp;'Impact Indicator Target Update'!D611))</f>
        <v/>
      </c>
    </row>
    <row r="4408" spans="10:10" x14ac:dyDescent="0.3">
      <c r="J4408" s="383" t="str">
        <f ca="1">IF(ROW()&gt;'Impact Indicator Target Update'!A612,"",INDIRECT("'Impact Indicators - Section B'!A"&amp;'Impact Indicator Target Update'!D612))</f>
        <v/>
      </c>
    </row>
    <row r="4409" spans="10:10" x14ac:dyDescent="0.3">
      <c r="J4409" s="383" t="str">
        <f ca="1">IF(ROW()&gt;'Impact Indicator Target Update'!A613,"",INDIRECT("'Impact Indicators - Section B'!A"&amp;'Impact Indicator Target Update'!D613))</f>
        <v/>
      </c>
    </row>
    <row r="4410" spans="10:10" x14ac:dyDescent="0.3">
      <c r="J4410" s="383" t="str">
        <f ca="1">IF(ROW()&gt;'Impact Indicator Target Update'!A614,"",INDIRECT("'Impact Indicators - Section B'!A"&amp;'Impact Indicator Target Update'!D614))</f>
        <v/>
      </c>
    </row>
    <row r="4411" spans="10:10" x14ac:dyDescent="0.3">
      <c r="J4411" s="383" t="str">
        <f ca="1">IF(ROW()&gt;'Impact Indicator Target Update'!A615,"",INDIRECT("'Impact Indicators - Section B'!A"&amp;'Impact Indicator Target Update'!D615))</f>
        <v/>
      </c>
    </row>
    <row r="4412" spans="10:10" x14ac:dyDescent="0.3">
      <c r="J4412" s="383" t="str">
        <f ca="1">IF(ROW()&gt;'Impact Indicator Target Update'!A616,"",INDIRECT("'Impact Indicators - Section B'!A"&amp;'Impact Indicator Target Update'!D616))</f>
        <v/>
      </c>
    </row>
    <row r="4413" spans="10:10" x14ac:dyDescent="0.3">
      <c r="J4413" s="383" t="str">
        <f ca="1">IF(ROW()&gt;'Impact Indicator Target Update'!A617,"",INDIRECT("'Impact Indicators - Section B'!A"&amp;'Impact Indicator Target Update'!D617))</f>
        <v/>
      </c>
    </row>
    <row r="4414" spans="10:10" x14ac:dyDescent="0.3">
      <c r="J4414" s="383" t="str">
        <f ca="1">IF(ROW()&gt;'Impact Indicator Target Update'!A618,"",INDIRECT("'Impact Indicators - Section B'!A"&amp;'Impact Indicator Target Update'!D618))</f>
        <v/>
      </c>
    </row>
    <row r="4415" spans="10:10" x14ac:dyDescent="0.3">
      <c r="J4415" s="383" t="str">
        <f ca="1">IF(ROW()&gt;'Impact Indicator Target Update'!A619,"",INDIRECT("'Impact Indicators - Section B'!A"&amp;'Impact Indicator Target Update'!D619))</f>
        <v/>
      </c>
    </row>
  </sheetData>
  <sheetProtection algorithmName="SHA-512" hashValue="E1LioWY8vVPhlx7RNl8y4931leFDopesPD5UkUFFydoPm4PmTNh8XuYNaqQsF9MKRK6WAaeuPUGEibJ/ABJyxg==" saltValue="FuW+3vwHcItfdOICSknRdA==" spinCount="100000" sheet="1" objects="1" scenarios="1"/>
  <dataValidations count="29">
    <dataValidation type="list" allowBlank="1" showInputMessage="1" showErrorMessage="1" errorTitle="X-Author for Excel" error="Please select either TRUE or FALSE from the dropdown." promptTitle="X-Author for Excel" sqref="A3:A33 A2865:A3825 A1494:A2694 A2699:A2859 A886:A1186 A1190:A1490 A519:A879 W453:W513 R453:R513 A453:A513 A267:A447 A227:A257 T43:T223 A43:A223">
      <formula1>"TRUE,FALSE"</formula1>
    </dataValidation>
    <dataValidation type="custom" allowBlank="1" showInputMessage="1" showErrorMessage="1" errorTitle="X-Author for Excel" error="Id and Lookup fields are not editable." promptTitle="X-Author for Excel" sqref="C3:C33 B2865:B3825 C1494:C2694 C2699:C2859 C886:C1186 C1190:C1490 C519:C879 S453:S513 C453:C513 C267:C447 O227:O257 C227:C257 C43:C223 N3:N33">
      <formula1>""</formula1>
    </dataValidation>
    <dataValidation type="decimal" allowBlank="1" showInputMessage="1" showErrorMessage="1" errorTitle="X-Author for Excel" error="Please enter a valid numeric value. Valid range for Baseline % is -999.99 to 999.99." promptTitle="X-Author for Excel" sqref="D3:D33 E1494:E2694 E886:E1186 E1190:E1490 D453:D513 D227:D257">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H1494:H2694 H886:H1186 H1190:H1490 E453:E513 E227:E257">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G1494:G2694 G886:G1186 G1190:G1490 F227:F257">
      <formula1>-100000000000000</formula1>
      <formula2>100000000000000</formula2>
    </dataValidation>
    <dataValidation type="list" allowBlank="1" showInputMessage="1" showErrorMessage="1" errorTitle="X-Author for Excel" error="Please select a value from the drop-down." promptTitle="X-Author for Excel" sqref="H3:H33">
      <formula1>IF(IFERROR(ROWS(INDIRECT(SUBSTITUTE("AIM_Impact_Indicator__c.AIM_Baseline_Year__c"," ","_"))),-1) &lt; 0, XAE_Invalid_PLData,INDIRECT(SUBSTITUTE("AIM_Impact_Indicator__c.AIM_Baseline_Year__c"," ","_")))</formula1>
    </dataValidation>
    <dataValidation type="decimal" allowBlank="1" showInputMessage="1" showErrorMessage="1" errorTitle="X-Author for Excel" error="Please enter a valid numeric value. Valid range for Impact Indicator Number is -1E+18 to 1E+18." promptTitle="X-Author for Excel" sqref="Q3:Q33 D1190:D1490 F43:F223">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43:I223 J519:J879 I267:I447">
      <formula1>-10000000000000000</formula1>
      <formula2>10000000000000000</formula2>
    </dataValidation>
    <dataValidation type="decimal" allowBlank="1" showInputMessage="1" showErrorMessage="1" errorTitle="X-Author for Excel" error="Please enter a valid numeric value. Valid range for Target N# is -100000000000000 to 100000000000000." promptTitle="X-Author for Excel" sqref="J43:J223 J267:J447">
      <formula1>-100000000000000</formula1>
      <formula2>100000000000000</formula2>
    </dataValidation>
    <dataValidation type="decimal" allowBlank="1" showInputMessage="1" showErrorMessage="1" errorTitle="X-Author for Excel" error="Please enter a valid numeric value. Valid range for Target % is -999.99 to 999.99." promptTitle="X-Author for Excel" sqref="K43:K223 I519:I879 K267:K447">
      <formula1>-999.99</formula1>
      <formula2>999.99</formula2>
    </dataValidation>
    <dataValidation type="list" allowBlank="1" showInputMessage="1" showErrorMessage="1" errorTitle="X-Author for Excel" error="Please select a value from the drop-down." promptTitle="X-Author for Excel" sqref="L43:L223">
      <formula1>IF(IFERROR(ROWS(INDIRECT(SUBSTITUTE("AIM_Impact_Indicator_Targets_Results__c.AIM_Year_of_Target__c"," ","_"))),-1) &lt; 0, XAE_Invalid_PLData,INDIRECT(SUBSTITUTE("AIM_Impact_Indicator_Targets_Results__c.AIM_Year_of_Target__c"," ","_")))</formula1>
    </dataValidation>
    <dataValidation type="date" allowBlank="1" showInputMessage="1" showErrorMessage="1" errorTitle="X-Author for Excel" error="Please enter a valid date." promptTitle="X-Author for Excel" sqref="M43:M223 M267:M447">
      <formula1>1</formula1>
      <formula2>767376</formula2>
    </dataValidation>
    <dataValidation type="list" allowBlank="1" showInputMessage="1" showErrorMessage="1" errorTitle="X-Author for Excel" error="Please select a value from the drop-down." promptTitle="X-Author for Excel" sqref="N43:N223">
      <formula1>IF(IFERROR(ROWS(INDIRECT(SUBSTITUTE("AIM_Impact_Indicator_Targets_Results__c.AIM_Mark_if_target_is_TBD__c"," ","_"))),-1) &lt; 0, XAE_Invalid_PLData,INDIRECT(SUBSTITUTE("AIM_Impact_Indicator_Targets_Results__c.AIM_Mark_if_target_is_TBD__c","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G227:G257">
      <formula1>IF(IFERROR(ROWS(INDIRECT(SUBSTITUTE("AIM_Outcome_Indicator__c.AIM_Baseline_Year__c"," ","_"))),-1) &lt; 0, XAE_Invalid_PLData,INDIRECT(SUBSTITUTE("AIM_Outcome_Indicator__c.AIM_Baseline_Year__c","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K227:K257 D886:D1186 F267:F447">
      <formula1>-1000000000000000000</formula1>
      <formula2>1000000000000000000</formula2>
    </dataValidation>
    <dataValidation type="list" allowBlank="1" showInputMessage="1" showErrorMessage="1" errorTitle="X-Author for Excel" error="Please select a value from the drop-down." promptTitle="X-Author for Excel" sqref="L267:L447">
      <formula1>IF(IFERROR(ROWS(INDIRECT(SUBSTITUTE("AIM_Outcome_Indicator_Targets_Result__c.AIM_Year_of_Target__c"," ","_"))),-1) &lt; 0, XAE_Invalid_PLData,INDIRECT(SUBSTITUTE("AIM_Outcome_Indicator_Targets_Result__c.AIM_Year_of_Target__c","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N267:N447">
      <formula1>IF(IFERROR(ROWS(INDIRECT(SUBSTITUTE("AIM_Outcome_Indicator_Targets_Result__c.AIM_Mark_if_target_is_TBD__c"," ","_"))),-1) &lt; 0, XAE_Invalid_PLData,INDIRECT(SUBSTITUTE("AIM_Outcome_Indicator_Targets_Result__c.AIM_Mark_if_target_is_TBD__c"," ","_")))</formula1>
    </dataValidation>
    <dataValidation type="decimal" allowBlank="1" showInputMessage="1" showErrorMessage="1" errorTitle="X-Author for Excel" error="Please enter a valid numeric value. Valid range for Baseline N# is -1E+16 to 1E+16." promptTitle="X-Author for Excel" sqref="F453:F513">
      <formula1>-10000000000000000</formula1>
      <formula2>10000000000000000</formula2>
    </dataValidation>
    <dataValidation type="list" allowBlank="1" showInputMessage="1" showErrorMessage="1" errorTitle="X-Author for Excel" error="Please select a value from the drop-down." promptTitle="X-Author for Excel" sqref="L453:L513">
      <formula1>IF(IFERROR(ROWS(INDIRECT(SUBSTITUTE("AIM_Coverage_Indicator__c.AIM_Year__c"," ","_"))),-1) &lt; 0, XAE_Invalid_PLData,INDIRECT(SUBSTITUTE("AIM_Coverage_Indicator__c.AIM_Year__c"," ","_")))</formula1>
    </dataValidation>
    <dataValidation type="list" allowBlank="1" showInputMessage="1" showErrorMessage="1" errorTitle="X-Author for Excel" error="Please select a value from the drop-down." promptTitle="X-Author for Excel" sqref="P453:P513">
      <formula1>IF(IFERROR(ROWS(INDIRECT(SUBSTITUTE("AIM_Coverage_Indicator__c.AIM_Geographic_Coverage__c"," ","_"))),-1) &lt; 0, XAE_Invalid_PLData,INDIRECT(SUBSTITUTE("AIM_Coverage_Indicator__c.AIM_Geographic_Coverage__c","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53:Q513">
      <formula1>IF(IFERROR(ROWS(INDIRECT(SUBSTITUTE("AIM_Coverage_Indicator__c.AIM_Rating_Cumulation_Type__c"," ","_"))),-1) &lt; 0, XAE_Invalid_PLData,INDIRECT(SUBSTITUTE("AIM_Coverage_Indicator__c.AIM_Rating_Cumulation_Type__c"," ","_")))</formula1>
    </dataValidation>
    <dataValidation type="decimal" allowBlank="1" showInputMessage="1" showErrorMessage="1" errorTitle="X-Author for Excel" error="Please enter a valid numeric value. Valid range for Coverage Indicator Number is -1E+18 to 1E+18." promptTitle="X-Author for Excel" sqref="T453:T513 D1494:D2694 F519:F879">
      <formula1>-1000000000000000000</formula1>
      <formula2>1000000000000000000</formula2>
    </dataValidation>
    <dataValidation type="decimal" allowBlank="1" showInputMessage="1" showErrorMessage="1" errorTitle="X-Author for Excel" error="Please enter a valid numeric value. Valid range for Target N# is -1E+16 to 1E+16." promptTitle="X-Author for Excel" sqref="K519:K879">
      <formula1>-10000000000000000</formula1>
      <formula2>10000000000000000</formula2>
    </dataValidation>
    <dataValidation type="list" allowBlank="1" showInputMessage="1" showErrorMessage="1" errorTitle="X-Author for Excel" error="Please select a value from the drop-down." promptTitle="X-Author for Excel" sqref="L519:L879">
      <formula1>IF(IFERROR(ROWS(INDIRECT(SUBSTITUTE("AIM_Coverage_Indicator_Targets_Results__c.AIM_Mark_if_target_is_TBD__c"," ","_"))),-1) &lt; 0, XAE_Invalid_PLData,INDIRECT(SUBSTITUTE("AIM_Coverage_Indicator_Targets_Results__c.AIM_Mark_if_target_is_TBD__c","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19:T879">
      <formula1>IF(IFERROR(ROWS(INDIRECT(SUBSTITUTE("AIM_Coverage_Indicator_Targets_Results__c.AIM_Due_for_Reporting__c"," ","_"))),-1) &lt; 0, XAE_Invalid_PLData,INDIRECT(SUBSTITUTE("AIM_Coverage_Indicator_Targets_Results__c.AIM_Due_for_Reporting__c"," ","_")))</formula1>
    </dataValidation>
    <dataValidation type="list" allowBlank="1" showInputMessage="1" showErrorMessage="1" errorTitle="X-Author for Excel" error="Please select a value from the drop-down." promptTitle="X-Author for Excel" sqref="I1190:I1490">
      <formula1>IF(IFERROR(ROWS(INDIRECT(SUBSTITUTE("AIM_Impact_Disaggregation__c.AIM_Baseline_Year__c"," ","_"))),-1) &lt; 0, XAE_Invalid_PLData,INDIRECT(SUBSTITUTE("AIM_Impact_Disaggregation__c.AIM_Baseline_Year__c"," ","_")))</formula1>
    </dataValidation>
    <dataValidation type="list" allowBlank="1" showInputMessage="1" showErrorMessage="1" errorTitle="X-Author for Excel" error="Please select a value from the drop-down." promptTitle="X-Author for Excel" sqref="I886:I1186">
      <formula1>IF(IFERROR(ROWS(INDIRECT(SUBSTITUTE("AIM_Outcome_Disaggregation__c.AIM_Baseline_Year__c"," ","_"))),-1) &lt; 0, XAE_Invalid_PLData,INDIRECT(SUBSTITUTE("AIM_Outcome_Disaggregation__c.AIM_Baseline_Year__c"," ","_")))</formula1>
    </dataValidation>
    <dataValidation type="decimal" allowBlank="1" showInputMessage="1" showErrorMessage="1" errorTitle="X-Author for Excel" error="Please enter a valid numeric value. Valid range for Key Activity Milestone Number is -1E+18 to 1E+18." promptTitle="X-Author for Excel" sqref="T2699:T2859 C2865:C3825">
      <formula1>-1000000000000000000</formula1>
      <formula2>1000000000000000000</formula2>
    </dataValidation>
    <dataValidation type="list" allowBlank="1" showInputMessage="1" showErrorMessage="1" errorTitle="X-Author for Excel" error="Please select a value from the drop-down." promptTitle="X-Author for Excel" sqref="I1494:I2694">
      <formula1>IF(IFERROR(ROWS(INDIRECT(SUBSTITUTE("AIM_Coverage_Disaggregation__c.AIM_Year__c"," ","_"))),-1) &lt; 0, XAE_Invalid_PLData,INDIRECT(SUBSTITUTE("AIM_Coverage_Disaggregation__c.AIM_Year__c"," ","_")))</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heetViews>
  <sheetFormatPr defaultColWidth="8.59765625" defaultRowHeight="13.8" x14ac:dyDescent="0.25"/>
  <cols>
    <col min="1" max="16384" width="8.59765625" style="52"/>
  </cols>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17"/>
  <sheetViews>
    <sheetView view="pageBreakPreview" zoomScale="70" zoomScaleNormal="100" zoomScaleSheetLayoutView="70" workbookViewId="0">
      <selection activeCell="E2" sqref="E2"/>
    </sheetView>
  </sheetViews>
  <sheetFormatPr defaultColWidth="21.796875" defaultRowHeight="18.75" customHeight="1" x14ac:dyDescent="0.25"/>
  <cols>
    <col min="1" max="1" width="3.09765625" style="52" customWidth="1"/>
    <col min="2" max="7" width="21.796875" style="52"/>
    <col min="8" max="8" width="10" style="52" hidden="1" customWidth="1"/>
    <col min="9" max="16384" width="21.796875" style="52"/>
  </cols>
  <sheetData>
    <row r="1" spans="1:8" ht="18.75" customHeight="1" x14ac:dyDescent="0.25">
      <c r="A1" s="623" t="s">
        <v>4371</v>
      </c>
      <c r="B1" s="624"/>
      <c r="C1" s="624"/>
      <c r="D1" s="624"/>
      <c r="E1" s="624"/>
      <c r="F1" s="624"/>
      <c r="G1" s="625"/>
    </row>
    <row r="2" spans="1:8" ht="18.75" customHeight="1" x14ac:dyDescent="0.25">
      <c r="A2" s="631"/>
      <c r="B2" s="631"/>
      <c r="C2" s="62"/>
      <c r="D2" s="62"/>
      <c r="E2" s="62"/>
      <c r="F2" s="62"/>
      <c r="G2" s="62"/>
    </row>
    <row r="3" spans="1:8" ht="18.75" customHeight="1" x14ac:dyDescent="0.25">
      <c r="A3" s="623" t="s">
        <v>89</v>
      </c>
      <c r="B3" s="625"/>
      <c r="C3" s="626" t="s">
        <v>4372</v>
      </c>
      <c r="D3" s="627"/>
      <c r="E3" s="62"/>
      <c r="F3" s="62"/>
      <c r="G3" s="62"/>
    </row>
    <row r="4" spans="1:8" ht="18.75" customHeight="1" x14ac:dyDescent="0.25">
      <c r="A4" s="632"/>
      <c r="B4" s="632"/>
      <c r="C4" s="62"/>
      <c r="D4" s="62"/>
      <c r="E4" s="62"/>
      <c r="F4" s="63" t="s">
        <v>4373</v>
      </c>
      <c r="G4" s="63" t="s">
        <v>4374</v>
      </c>
    </row>
    <row r="5" spans="1:8" ht="18.75" customHeight="1" x14ac:dyDescent="0.25">
      <c r="A5" s="62"/>
      <c r="B5" s="623" t="s">
        <v>4375</v>
      </c>
      <c r="C5" s="624"/>
      <c r="D5" s="625"/>
      <c r="E5" s="62"/>
      <c r="F5" s="63" t="s">
        <v>4376</v>
      </c>
      <c r="G5" s="63"/>
    </row>
    <row r="6" spans="1:8" ht="18.75" customHeight="1" x14ac:dyDescent="0.25">
      <c r="A6" s="62"/>
      <c r="B6" s="628" t="str">
        <f>IF('Overview - Section A'!E5 &lt;&gt; "", 'Overview - Section A'!E5, "")</f>
        <v>Kyrgyzstan</v>
      </c>
      <c r="C6" s="629"/>
      <c r="D6" s="630"/>
      <c r="E6" s="62"/>
      <c r="F6" s="64">
        <f>IF('Overview - Section A'!E7 &lt;&gt; "", 'Overview - Section A'!E7, "")</f>
        <v>45292</v>
      </c>
      <c r="G6" s="64">
        <f>IF('Overview - Section A'!E8 &lt;&gt; "", 'Overview - Section A'!E8, "")</f>
        <v>46387</v>
      </c>
    </row>
    <row r="7" spans="1:8" ht="18.75" customHeight="1" x14ac:dyDescent="0.25">
      <c r="A7" s="62"/>
      <c r="B7" s="623" t="s">
        <v>4377</v>
      </c>
      <c r="C7" s="624"/>
      <c r="D7" s="625"/>
      <c r="E7" s="62"/>
      <c r="F7" s="63" t="s">
        <v>4378</v>
      </c>
      <c r="G7" s="63"/>
    </row>
    <row r="8" spans="1:8" ht="18.75" customHeight="1" x14ac:dyDescent="0.25">
      <c r="A8" s="62"/>
      <c r="B8" s="628" t="str">
        <f>IF('Overview - Section A'!E6 &lt;&gt; "", 'Overview - Section A'!E6, "")</f>
        <v>FR1405-KGZ-C</v>
      </c>
      <c r="C8" s="629"/>
      <c r="D8" s="630"/>
      <c r="E8" s="62"/>
      <c r="F8" s="64">
        <f>IF('Overview - Section A'!E10&lt;&gt;"",'Overview - Section A'!E10,"")</f>
        <v>45292</v>
      </c>
      <c r="G8" s="64">
        <f>IF('Overview - Section A'!E11&lt;&gt;"",'Overview - Section A'!E11,"")</f>
        <v>46387</v>
      </c>
    </row>
    <row r="9" spans="1:8" ht="18.75" customHeight="1" x14ac:dyDescent="0.25">
      <c r="A9" s="62"/>
      <c r="B9" s="623" t="s">
        <v>43</v>
      </c>
      <c r="C9" s="624"/>
      <c r="D9" s="625"/>
      <c r="E9" s="62"/>
      <c r="F9" s="63" t="s">
        <v>4379</v>
      </c>
      <c r="G9" s="63"/>
    </row>
    <row r="10" spans="1:8" ht="18.75" customHeight="1" x14ac:dyDescent="0.25">
      <c r="A10" s="62"/>
      <c r="B10" s="628">
        <f>IF('Overview - Section A'!E9 &lt;&gt; "", 'Overview - Section A'!E9, "")</f>
        <v>12</v>
      </c>
      <c r="C10" s="629"/>
      <c r="D10" s="630"/>
      <c r="E10" s="62"/>
      <c r="F10" s="64">
        <f ca="1">IFERROR(IF(INDEX('Overview - Section A'!A$46:A$54,MATCH($H10,'Overview - Section A'!$B$46:$B$54,0))&lt;&gt;0,(INDEX('Overview - Section A'!A$46:A$54,MATCH($H10,'Overview - Section A'!$B$46:$B$54,0))),""),"")</f>
        <v>45292</v>
      </c>
      <c r="G10" s="64">
        <f ca="1">IFERROR(IF(INDEX('Overview - Section A'!E$46:E$54,MATCH($H10,'Overview - Section A'!$B$46:$B$54,0))&lt;&gt;0,(INDEX('Overview - Section A'!E$46:E$54,MATCH($H10,'Overview - Section A'!$B$46:$B$54,0))),""),"")</f>
        <v>45657</v>
      </c>
      <c r="H10" s="52">
        <v>2</v>
      </c>
    </row>
    <row r="11" spans="1:8" ht="18.75" customHeight="1" x14ac:dyDescent="0.25">
      <c r="A11" s="62"/>
      <c r="B11" s="623" t="s">
        <v>317</v>
      </c>
      <c r="C11" s="624"/>
      <c r="D11" s="625"/>
      <c r="E11" s="62"/>
      <c r="F11" s="64">
        <f ca="1">IFERROR(IF(INDEX('Overview - Section A'!A$46:A$54,MATCH($H11,'Overview - Section A'!$B$46:$B$54,0))&lt;&gt;0,(INDEX('Overview - Section A'!A$46:A$54,MATCH($H11,'Overview - Section A'!$B$46:$B$54,0))),""),"")</f>
        <v>45658</v>
      </c>
      <c r="G11" s="64">
        <f ca="1">IFERROR(IF(INDEX('Overview - Section A'!E$46:E$54,MATCH($H11,'Overview - Section A'!$B$46:$B$54,0))&lt;&gt;0,(INDEX('Overview - Section A'!E$46:E$54,MATCH($H11,'Overview - Section A'!$B$46:$B$54,0))),""),"")</f>
        <v>46022</v>
      </c>
      <c r="H11" s="52">
        <v>3</v>
      </c>
    </row>
    <row r="12" spans="1:8" ht="18.75" customHeight="1" x14ac:dyDescent="0.25">
      <c r="A12" s="62"/>
      <c r="B12" s="628" t="str">
        <f ca="1">Setup!I15</f>
        <v/>
      </c>
      <c r="C12" s="629"/>
      <c r="D12" s="630"/>
      <c r="E12" s="62"/>
      <c r="F12" s="64">
        <f ca="1">IFERROR(IF(INDEX('Overview - Section A'!A$46:A$54,MATCH($H12,'Overview - Section A'!$B$46:$B$54,0))&lt;&gt;0,(INDEX('Overview - Section A'!A$46:A$54,MATCH($H12,'Overview - Section A'!$B$46:$B$54,0))),""),"")</f>
        <v>46023</v>
      </c>
      <c r="G12" s="64">
        <f ca="1">IFERROR(IF(INDEX('Overview - Section A'!E$46:E$54,MATCH($H12,'Overview - Section A'!$B$46:$B$54,0))&lt;&gt;0,(INDEX('Overview - Section A'!E$46:E$54,MATCH($H12,'Overview - Section A'!$B$46:$B$54,0))),""),"")</f>
        <v>46387</v>
      </c>
      <c r="H12" s="52">
        <v>4</v>
      </c>
    </row>
    <row r="13" spans="1:8" ht="18.75" customHeight="1" x14ac:dyDescent="0.25">
      <c r="A13" s="62"/>
      <c r="B13" s="628" t="str">
        <f ca="1">Setup!I16</f>
        <v/>
      </c>
      <c r="C13" s="629"/>
      <c r="D13" s="630"/>
      <c r="E13" s="62"/>
      <c r="F13" s="64">
        <f ca="1">IFERROR(IF(INDEX('Overview - Section A'!A$46:A$54,MATCH($H13,'Overview - Section A'!$B$46:$B$54,0))&lt;&gt;0,(INDEX('Overview - Section A'!A$46:A$54,MATCH($H13,'Overview - Section A'!$B$46:$B$54,0))),""),"")</f>
        <v>46388</v>
      </c>
      <c r="G13" s="64">
        <f ca="1">IFERROR(IF(INDEX('Overview - Section A'!E$46:E$54,MATCH($H13,'Overview - Section A'!$B$46:$B$54,0))&lt;&gt;0,(INDEX('Overview - Section A'!E$46:E$54,MATCH($H13,'Overview - Section A'!$B$46:$B$54,0))),""),"")</f>
        <v>46752</v>
      </c>
      <c r="H13" s="52">
        <v>5</v>
      </c>
    </row>
    <row r="14" spans="1:8" ht="18.75" customHeight="1" x14ac:dyDescent="0.25">
      <c r="A14" s="62"/>
      <c r="B14" s="628" t="str">
        <f ca="1">Setup!I17</f>
        <v/>
      </c>
      <c r="C14" s="629"/>
      <c r="D14" s="630"/>
      <c r="E14" s="62"/>
      <c r="F14" s="64">
        <f ca="1">IFERROR(IF(INDEX('Overview - Section A'!A$46:A$54,MATCH($H14,'Overview - Section A'!$B$46:$B$54,0))&lt;&gt;0,(INDEX('Overview - Section A'!A$46:A$54,MATCH($H14,'Overview - Section A'!$B$46:$B$54,0))),""),"")</f>
        <v>46753</v>
      </c>
      <c r="G14" s="64">
        <f ca="1">IFERROR(IF(INDEX('Overview - Section A'!E$46:E$54,MATCH($H14,'Overview - Section A'!$B$46:$B$54,0))&lt;&gt;0,(INDEX('Overview - Section A'!E$46:E$54,MATCH($H14,'Overview - Section A'!$B$46:$B$54,0))),""),"")</f>
        <v>47118</v>
      </c>
      <c r="H14" s="52">
        <v>6</v>
      </c>
    </row>
    <row r="15" spans="1:8" ht="18.75" customHeight="1" x14ac:dyDescent="0.25">
      <c r="A15" s="62"/>
      <c r="B15" s="628" t="str">
        <f ca="1">Setup!I18</f>
        <v/>
      </c>
      <c r="C15" s="629"/>
      <c r="D15" s="630"/>
      <c r="E15" s="62"/>
      <c r="F15" s="64">
        <f ca="1">IFERROR(IF(INDEX('Overview - Section A'!A$46:A$54,MATCH($H15,'Overview - Section A'!$B$46:$B$54,0))&lt;&gt;0,(INDEX('Overview - Section A'!A$46:A$54,MATCH($H15,'Overview - Section A'!$B$46:$B$54,0))),""),"")</f>
        <v>47119</v>
      </c>
      <c r="G15" s="64">
        <f ca="1">IFERROR(IF(INDEX('Overview - Section A'!E$46:E$54,MATCH($H15,'Overview - Section A'!$B$46:$B$54,0))&lt;&gt;0,(INDEX('Overview - Section A'!E$46:E$54,MATCH($H15,'Overview - Section A'!$B$46:$B$54,0))),""),"")</f>
        <v>47483</v>
      </c>
      <c r="H15" s="52">
        <v>7</v>
      </c>
    </row>
    <row r="16" spans="1:8" ht="18.75" customHeight="1" x14ac:dyDescent="0.25">
      <c r="A16" s="62"/>
      <c r="B16" s="628" t="str">
        <f ca="1">Setup!I19</f>
        <v/>
      </c>
      <c r="C16" s="629"/>
      <c r="D16" s="630"/>
      <c r="E16" s="62"/>
      <c r="F16" s="64" t="str">
        <f>IFERROR(IF(INDEX('Overview - Section A'!A$46:A$54,MATCH($H16,'Overview - Section A'!$B$46:$B$54,0))&lt;&gt;0,(INDEX('Overview - Section A'!A$46:A$54,MATCH($H16,'Overview - Section A'!$B$46:$B$54,0))),""),"")</f>
        <v/>
      </c>
      <c r="G16" s="64" t="str">
        <f>IFERROR(IF(INDEX('Overview - Section A'!E$46:E$54,MATCH($H16,'Overview - Section A'!$B$46:$B$54,0))&lt;&gt;0,(INDEX('Overview - Section A'!E$46:E$54,MATCH($H16,'Overview - Section A'!$B$46:$B$54,0))),""),"")</f>
        <v/>
      </c>
      <c r="H16" s="52">
        <v>8</v>
      </c>
    </row>
    <row r="17" spans="1:8" ht="18.75" customHeight="1" x14ac:dyDescent="0.25">
      <c r="A17" s="62"/>
      <c r="B17" s="628" t="str">
        <f ca="1">Setup!I20</f>
        <v/>
      </c>
      <c r="C17" s="629"/>
      <c r="D17" s="630"/>
      <c r="E17" s="62"/>
      <c r="F17" s="64" t="str">
        <f>IFERROR(IF(INDEX('Overview - Section A'!A$46:A$54,MATCH($H17,'Overview - Section A'!$B$46:$B$54,0))&lt;&gt;0,(INDEX('Overview - Section A'!A$46:A$54,MATCH($H17,'Overview - Section A'!$B$46:$B$54,0))),""),"")</f>
        <v/>
      </c>
      <c r="G17" s="64" t="str">
        <f>IFERROR(IF(INDEX('Overview - Section A'!E$46:E$54,MATCH($H17,'Overview - Section A'!$B$46:$B$54,0))&lt;&gt;0,(INDEX('Overview - Section A'!E$46:E$54,MATCH($H17,'Overview - Section A'!$B$46:$B$54,0))),""),"")</f>
        <v/>
      </c>
      <c r="H17" s="52">
        <v>9</v>
      </c>
    </row>
  </sheetData>
  <sheetProtection algorithmName="SHA-512" hashValue="d/0KLQcxhsxQEv3paGfFO5l8lceL+DSMfDqyCy9XxX6pA2bT8GkbI9mRxAS38FeCeKIcbk9d5Io/waO0/e6spA==" saltValue="AcbujCBvp0Gfi0i8lLdiKA==" spinCount="100000" sheet="1" objects="1" scenarios="1"/>
  <mergeCells count="18">
    <mergeCell ref="B14:D14"/>
    <mergeCell ref="B15:D15"/>
    <mergeCell ref="A1:G1"/>
    <mergeCell ref="A3:B3"/>
    <mergeCell ref="C3:D3"/>
    <mergeCell ref="B17:D17"/>
    <mergeCell ref="A2:B2"/>
    <mergeCell ref="A4:B4"/>
    <mergeCell ref="B9:D9"/>
    <mergeCell ref="B10:D10"/>
    <mergeCell ref="B16:D16"/>
    <mergeCell ref="B5:D5"/>
    <mergeCell ref="B6:D6"/>
    <mergeCell ref="B7:D7"/>
    <mergeCell ref="B8:D8"/>
    <mergeCell ref="B11:D11"/>
    <mergeCell ref="B12:D12"/>
    <mergeCell ref="B13:D13"/>
  </mergeCells>
  <conditionalFormatting sqref="F10:G10">
    <cfRule type="expression" dxfId="14" priority="15">
      <formula>$F$10&gt;$G$6</formula>
    </cfRule>
  </conditionalFormatting>
  <conditionalFormatting sqref="G10">
    <cfRule type="expression" dxfId="13" priority="14">
      <formula>$G$10&gt;$G$6</formula>
    </cfRule>
  </conditionalFormatting>
  <conditionalFormatting sqref="F11:G11">
    <cfRule type="expression" dxfId="12" priority="13">
      <formula>$F$11&gt;$G$6</formula>
    </cfRule>
  </conditionalFormatting>
  <conditionalFormatting sqref="G11">
    <cfRule type="expression" dxfId="11" priority="12">
      <formula>$G$11&gt;$G$6</formula>
    </cfRule>
  </conditionalFormatting>
  <conditionalFormatting sqref="F12:G12">
    <cfRule type="expression" dxfId="10" priority="11">
      <formula>$F$12&gt;$G$6</formula>
    </cfRule>
  </conditionalFormatting>
  <conditionalFormatting sqref="G12">
    <cfRule type="expression" dxfId="9" priority="10">
      <formula>$G$12&gt;$G$6</formula>
    </cfRule>
  </conditionalFormatting>
  <conditionalFormatting sqref="F13:G13">
    <cfRule type="expression" dxfId="8" priority="9">
      <formula>$F$13&gt;$G$6</formula>
    </cfRule>
  </conditionalFormatting>
  <conditionalFormatting sqref="F14:G14">
    <cfRule type="expression" dxfId="7" priority="8">
      <formula>$F$14&gt;$G$6</formula>
    </cfRule>
  </conditionalFormatting>
  <conditionalFormatting sqref="G14">
    <cfRule type="expression" dxfId="6" priority="7">
      <formula>$G$14&gt;$G$6</formula>
    </cfRule>
  </conditionalFormatting>
  <conditionalFormatting sqref="F15:G15">
    <cfRule type="expression" dxfId="5" priority="6">
      <formula>$F$15&gt;$G$6</formula>
    </cfRule>
  </conditionalFormatting>
  <conditionalFormatting sqref="G15">
    <cfRule type="expression" dxfId="4" priority="5">
      <formula>$G$15&gt;$G$6</formula>
    </cfRule>
  </conditionalFormatting>
  <conditionalFormatting sqref="F16:G16">
    <cfRule type="expression" dxfId="3" priority="4">
      <formula>$F$16&gt;$G$6</formula>
    </cfRule>
  </conditionalFormatting>
  <conditionalFormatting sqref="G16">
    <cfRule type="expression" dxfId="2" priority="3">
      <formula>$G$16&gt;$G$6</formula>
    </cfRule>
  </conditionalFormatting>
  <conditionalFormatting sqref="F17:G17">
    <cfRule type="expression" dxfId="1" priority="2">
      <formula>$F$17&gt;$G$6</formula>
    </cfRule>
  </conditionalFormatting>
  <conditionalFormatting sqref="G17">
    <cfRule type="expression" dxfId="0" priority="1">
      <formula>$G$17&gt;$G$6</formula>
    </cfRule>
  </conditionalFormatting>
  <hyperlinks>
    <hyperlink ref="C3" r:id="rId1" display="http://example.com/"/>
    <hyperlink ref="C3:D3" location="SectionATab" display="Overview"/>
  </hyperlinks>
  <pageMargins left="0.7" right="0.7" top="0.75" bottom="0.75" header="0.3" footer="0.3"/>
  <pageSetup paperSize="9" scale="9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G424"/>
  <sheetViews>
    <sheetView view="pageBreakPreview" zoomScale="70" zoomScaleNormal="100" zoomScaleSheetLayoutView="70" workbookViewId="0">
      <selection activeCell="E2" sqref="E2"/>
    </sheetView>
  </sheetViews>
  <sheetFormatPr defaultColWidth="9" defaultRowHeight="18.75" customHeight="1" x14ac:dyDescent="0.25"/>
  <cols>
    <col min="1" max="1" width="3.09765625" style="52" customWidth="1"/>
    <col min="2" max="7" width="21.796875" style="52" customWidth="1"/>
    <col min="8" max="16384" width="9" style="52"/>
  </cols>
  <sheetData>
    <row r="1" spans="1:7" ht="18.75" customHeight="1" x14ac:dyDescent="0.25">
      <c r="A1" s="623" t="s">
        <v>305</v>
      </c>
      <c r="B1" s="624"/>
      <c r="C1" s="624"/>
      <c r="D1" s="624"/>
      <c r="E1" s="624"/>
      <c r="F1" s="624"/>
      <c r="G1" s="624"/>
    </row>
    <row r="2" spans="1:7" ht="18.75" customHeight="1" x14ac:dyDescent="0.25">
      <c r="A2" s="65"/>
      <c r="B2" s="66"/>
      <c r="C2" s="66"/>
      <c r="D2" s="66"/>
      <c r="E2" s="66"/>
      <c r="F2" s="66"/>
      <c r="G2" s="67"/>
    </row>
    <row r="3" spans="1:7" ht="18.75" customHeight="1" x14ac:dyDescent="0.25">
      <c r="A3" s="639" t="s">
        <v>89</v>
      </c>
      <c r="B3" s="641"/>
      <c r="C3" s="656" t="s">
        <v>4380</v>
      </c>
      <c r="D3" s="657"/>
      <c r="E3" s="68"/>
      <c r="F3" s="67"/>
      <c r="G3" s="69"/>
    </row>
    <row r="4" spans="1:7" ht="18.75" customHeight="1" x14ac:dyDescent="0.25">
      <c r="A4" s="70"/>
      <c r="B4" s="71"/>
      <c r="C4" s="66"/>
      <c r="D4" s="66"/>
      <c r="E4" s="66"/>
      <c r="F4" s="66"/>
      <c r="G4" s="72"/>
    </row>
    <row r="5" spans="1:7" ht="18.75" customHeight="1" x14ac:dyDescent="0.25">
      <c r="A5" s="63" t="s">
        <v>4381</v>
      </c>
      <c r="B5" s="623" t="s">
        <v>4382</v>
      </c>
      <c r="C5" s="624"/>
      <c r="D5" s="624"/>
      <c r="E5" s="624"/>
      <c r="F5" s="624"/>
      <c r="G5" s="625"/>
    </row>
    <row r="6" spans="1:7" ht="18.75" customHeight="1" x14ac:dyDescent="0.25">
      <c r="A6" s="63">
        <v>1</v>
      </c>
      <c r="B6" s="654" t="str">
        <f>IFERROR(IF(INDEX('Overview - Section A'!$E$59:$E$73,MATCH($A6,'Overview - Section A'!$A$59:$A$73,0))&lt;&gt;0,INDEX('Overview - Section A'!$E$59:$E$73,MATCH($A6,'Overview - Section A'!$A$59:$A$73,0)),""),"")</f>
        <v/>
      </c>
      <c r="C6" s="648"/>
      <c r="D6" s="648"/>
      <c r="E6" s="648"/>
      <c r="F6" s="648"/>
      <c r="G6" s="649"/>
    </row>
    <row r="7" spans="1:7" ht="18.75" customHeight="1" x14ac:dyDescent="0.25">
      <c r="A7" s="63">
        <v>2</v>
      </c>
      <c r="B7" s="654" t="str">
        <f>IFERROR(IF(INDEX('Overview - Section A'!$E$59:$E$73,MATCH($A7,'Overview - Section A'!$A$59:$A$73,0))&lt;&gt;0,INDEX('Overview - Section A'!$E$59:$E$73,MATCH($A7,'Overview - Section A'!$A$59:$A$73,0)),""),"")</f>
        <v/>
      </c>
      <c r="C7" s="648"/>
      <c r="D7" s="648"/>
      <c r="E7" s="648"/>
      <c r="F7" s="648"/>
      <c r="G7" s="649"/>
    </row>
    <row r="8" spans="1:7" ht="18.75" customHeight="1" x14ac:dyDescent="0.25">
      <c r="A8" s="63">
        <v>3</v>
      </c>
      <c r="B8" s="654" t="str">
        <f>IFERROR(IF(INDEX('Overview - Section A'!$E$59:$E$73,MATCH($A8,'Overview - Section A'!$A$59:$A$73,0))&lt;&gt;0,INDEX('Overview - Section A'!$E$59:$E$73,MATCH($A8,'Overview - Section A'!$A$59:$A$73,0)),""),"")</f>
        <v/>
      </c>
      <c r="C8" s="648"/>
      <c r="D8" s="648"/>
      <c r="E8" s="648"/>
      <c r="F8" s="648"/>
      <c r="G8" s="649"/>
    </row>
    <row r="9" spans="1:7" ht="18.75" customHeight="1" x14ac:dyDescent="0.25">
      <c r="A9" s="63">
        <v>4</v>
      </c>
      <c r="B9" s="654" t="str">
        <f>IFERROR(IF(INDEX('Overview - Section A'!$E$59:$E$73,MATCH($A9,'Overview - Section A'!$A$59:$A$73,0))&lt;&gt;0,INDEX('Overview - Section A'!$E$59:$E$73,MATCH($A9,'Overview - Section A'!$A$59:$A$73,0)),""),"")</f>
        <v/>
      </c>
      <c r="C9" s="648"/>
      <c r="D9" s="648"/>
      <c r="E9" s="648"/>
      <c r="F9" s="648"/>
      <c r="G9" s="649"/>
    </row>
    <row r="10" spans="1:7" ht="18.75" customHeight="1" x14ac:dyDescent="0.25">
      <c r="A10" s="63">
        <v>5</v>
      </c>
      <c r="B10" s="654" t="str">
        <f>IFERROR(IF(INDEX('Overview - Section A'!$E$59:$E$73,MATCH($A10,'Overview - Section A'!$A$59:$A$73,0))&lt;&gt;0,INDEX('Overview - Section A'!$E$59:$E$73,MATCH($A10,'Overview - Section A'!$A$59:$A$73,0)),""),"")</f>
        <v/>
      </c>
      <c r="C10" s="648"/>
      <c r="D10" s="648"/>
      <c r="E10" s="648"/>
      <c r="F10" s="648"/>
      <c r="G10" s="649"/>
    </row>
    <row r="11" spans="1:7" ht="18.75" customHeight="1" x14ac:dyDescent="0.25">
      <c r="A11" s="63">
        <v>6</v>
      </c>
      <c r="B11" s="654" t="str">
        <f>IFERROR(IF(INDEX('Overview - Section A'!$E$59:$E$73,MATCH($A11,'Overview - Section A'!$A$59:$A$73,0))&lt;&gt;0,INDEX('Overview - Section A'!$E$59:$E$73,MATCH($A11,'Overview - Section A'!$A$59:$A$73,0)),""),"")</f>
        <v/>
      </c>
      <c r="C11" s="648"/>
      <c r="D11" s="648"/>
      <c r="E11" s="648"/>
      <c r="F11" s="648"/>
      <c r="G11" s="649"/>
    </row>
    <row r="12" spans="1:7" ht="18.75" customHeight="1" x14ac:dyDescent="0.25">
      <c r="A12" s="63">
        <v>7</v>
      </c>
      <c r="B12" s="654" t="str">
        <f>IFERROR(IF(INDEX('Overview - Section A'!$E$59:$E$73,MATCH($A12,'Overview - Section A'!$A$59:$A$73,0))&lt;&gt;0,INDEX('Overview - Section A'!$E$59:$E$73,MATCH($A12,'Overview - Section A'!$A$59:$A$73,0)),""),"")</f>
        <v/>
      </c>
      <c r="C12" s="648"/>
      <c r="D12" s="648"/>
      <c r="E12" s="648"/>
      <c r="F12" s="648"/>
      <c r="G12" s="649"/>
    </row>
    <row r="13" spans="1:7" ht="18.75" customHeight="1" x14ac:dyDescent="0.25">
      <c r="A13" s="63">
        <v>8</v>
      </c>
      <c r="B13" s="654" t="str">
        <f>IFERROR(IF(INDEX('Overview - Section A'!$E$59:$E$73,MATCH($A13,'Overview - Section A'!$A$59:$A$73,0))&lt;&gt;0,INDEX('Overview - Section A'!$E$59:$E$73,MATCH($A13,'Overview - Section A'!$A$59:$A$73,0)),""),"")</f>
        <v/>
      </c>
      <c r="C13" s="648"/>
      <c r="D13" s="648"/>
      <c r="E13" s="648"/>
      <c r="F13" s="648"/>
      <c r="G13" s="649"/>
    </row>
    <row r="14" spans="1:7" ht="18.75" customHeight="1" x14ac:dyDescent="0.25">
      <c r="A14" s="63">
        <v>9</v>
      </c>
      <c r="B14" s="654" t="str">
        <f>IFERROR(IF(INDEX('Overview - Section A'!$E$59:$E$73,MATCH($A14,'Overview - Section A'!$A$59:$A$73,0))&lt;&gt;0,INDEX('Overview - Section A'!$E$59:$E$73,MATCH($A14,'Overview - Section A'!$A$59:$A$73,0)),""),"")</f>
        <v/>
      </c>
      <c r="C14" s="648"/>
      <c r="D14" s="648"/>
      <c r="E14" s="648"/>
      <c r="F14" s="648"/>
      <c r="G14" s="649"/>
    </row>
    <row r="15" spans="1:7" ht="18.75" customHeight="1" x14ac:dyDescent="0.25">
      <c r="A15" s="63">
        <v>10</v>
      </c>
      <c r="B15" s="654" t="str">
        <f>IFERROR(IF(INDEX('Overview - Section A'!$E$59:$E$73,MATCH($A15,'Overview - Section A'!$A$59:$A$73,0))&lt;&gt;0,INDEX('Overview - Section A'!$E$59:$E$73,MATCH($A15,'Overview - Section A'!$A$59:$A$73,0)),""),"")</f>
        <v/>
      </c>
      <c r="C15" s="648"/>
      <c r="D15" s="648"/>
      <c r="E15" s="648"/>
      <c r="F15" s="648"/>
      <c r="G15" s="649"/>
    </row>
    <row r="16" spans="1:7" ht="18.75" customHeight="1" x14ac:dyDescent="0.25">
      <c r="A16" s="63">
        <v>11</v>
      </c>
      <c r="B16" s="654" t="str">
        <f>IFERROR(IF(INDEX('Overview - Section A'!$E$59:$E$73,MATCH($A16,'Overview - Section A'!$A$59:$A$73,0))&lt;&gt;0,INDEX('Overview - Section A'!$E$59:$E$73,MATCH($A16,'Overview - Section A'!$A$59:$A$73,0)),""),"")</f>
        <v/>
      </c>
      <c r="C16" s="648"/>
      <c r="D16" s="648"/>
      <c r="E16" s="648"/>
      <c r="F16" s="648"/>
      <c r="G16" s="649"/>
    </row>
    <row r="17" spans="1:7" ht="18.75" customHeight="1" x14ac:dyDescent="0.25">
      <c r="A17" s="63">
        <v>12</v>
      </c>
      <c r="B17" s="654" t="str">
        <f>IFERROR(IF(INDEX('Overview - Section A'!$E$59:$E$73,MATCH($A17,'Overview - Section A'!$A$59:$A$73,0))&lt;&gt;0,INDEX('Overview - Section A'!$E$59:$E$73,MATCH($A17,'Overview - Section A'!$A$59:$A$73,0)),""),"")</f>
        <v/>
      </c>
      <c r="C17" s="648"/>
      <c r="D17" s="648"/>
      <c r="E17" s="648"/>
      <c r="F17" s="648"/>
      <c r="G17" s="649"/>
    </row>
    <row r="18" spans="1:7" ht="18.75" customHeight="1" x14ac:dyDescent="0.25">
      <c r="A18" s="73"/>
      <c r="B18" s="74"/>
      <c r="C18" s="74"/>
      <c r="D18" s="74"/>
      <c r="E18" s="74"/>
      <c r="F18" s="74"/>
      <c r="G18" s="75"/>
    </row>
    <row r="19" spans="1:7" ht="18.75" customHeight="1" x14ac:dyDescent="0.25">
      <c r="A19" s="623" t="s">
        <v>4380</v>
      </c>
      <c r="B19" s="624"/>
      <c r="C19" s="624"/>
      <c r="D19" s="624"/>
      <c r="E19" s="624"/>
      <c r="F19" s="624"/>
      <c r="G19" s="655"/>
    </row>
    <row r="20" spans="1:7" ht="18.75" customHeight="1" x14ac:dyDescent="0.25">
      <c r="A20" s="65"/>
      <c r="B20" s="66"/>
      <c r="C20" s="66"/>
      <c r="D20" s="66"/>
      <c r="E20" s="66"/>
      <c r="F20" s="66"/>
      <c r="G20" s="76"/>
    </row>
    <row r="21" spans="1:7" ht="18.75" customHeight="1" x14ac:dyDescent="0.25">
      <c r="A21" s="77" t="s">
        <v>4383</v>
      </c>
      <c r="B21" s="623" t="s">
        <v>738</v>
      </c>
      <c r="C21" s="624"/>
      <c r="D21" s="625"/>
      <c r="E21" s="623" t="s">
        <v>739</v>
      </c>
      <c r="F21" s="624"/>
      <c r="G21" s="625"/>
    </row>
    <row r="22" spans="1:7" ht="18.75" customHeight="1" x14ac:dyDescent="0.25">
      <c r="A22" s="642">
        <v>1</v>
      </c>
      <c r="B22" s="633" t="str">
        <f>IFERROR(IF(INDEX('Impact Indicators - Section B '!B$1:B$98,MATCH($A22,'Impact Indicators - Section B '!$A$1:$A$98,0))&lt;&gt;0,INDEX('Impact Indicators - Section B '!B$1:B$98,MATCH($A22,'Impact Indicators - Section B '!$A$1:$A$98,0)),""),"")</f>
        <v>HIV I-4 Number of AIDS-related deaths per 100,000 population</v>
      </c>
      <c r="C22" s="634"/>
      <c r="D22" s="635"/>
      <c r="E22" s="633" t="str">
        <f>IFERROR(IF(INDEX('Impact Indicators - Section B '!C$1:C$98,MATCH($A22,'Impact Indicators - Section B '!$A$1:$A$98,0))&lt;&gt;0,INDEX('Impact Indicators - Section B '!C$1:C$98,MATCH($A22,'Impact Indicators - Section B '!$A$1:$A$98,0)),""),"")</f>
        <v/>
      </c>
      <c r="F22" s="634"/>
      <c r="G22" s="635"/>
    </row>
    <row r="23" spans="1:7" ht="18.75" customHeight="1" x14ac:dyDescent="0.25">
      <c r="A23" s="643"/>
      <c r="B23" s="636"/>
      <c r="C23" s="637"/>
      <c r="D23" s="638"/>
      <c r="E23" s="636"/>
      <c r="F23" s="637"/>
      <c r="G23" s="638"/>
    </row>
    <row r="24" spans="1:7" ht="18.75" customHeight="1" x14ac:dyDescent="0.25">
      <c r="A24" s="643"/>
      <c r="B24" s="644"/>
      <c r="C24" s="645"/>
      <c r="D24" s="646"/>
      <c r="E24" s="644"/>
      <c r="F24" s="645"/>
      <c r="G24" s="646"/>
    </row>
    <row r="25" spans="1:7" ht="18.75" customHeight="1" x14ac:dyDescent="0.25">
      <c r="A25" s="643"/>
      <c r="B25" s="623" t="s">
        <v>742</v>
      </c>
      <c r="C25" s="624"/>
      <c r="D25" s="625"/>
      <c r="E25" s="623" t="s">
        <v>127</v>
      </c>
      <c r="F25" s="624"/>
      <c r="G25" s="625"/>
    </row>
    <row r="26" spans="1:7" ht="18.75" customHeight="1" x14ac:dyDescent="0.25">
      <c r="A26" s="643"/>
      <c r="B26" s="647" t="str">
        <f>IFERROR(IF(INDEX('Impact Indicators - Section B '!H$1:H$98,MATCH($A22,'Impact Indicators - Section B '!$A$1:$A$98,0))&lt;&gt;0,INDEX('Impact Indicators - Section B '!H$1:H$98,MATCH($A22,'Impact Indicators - Section B '!$A$1:$A$98,0)),""),"")</f>
        <v>Gender,Age,Gender | Age</v>
      </c>
      <c r="C26" s="648"/>
      <c r="D26" s="649"/>
      <c r="E26" s="647" t="str">
        <f>IFERROR(IF(INDEX('Impact Indicators - Section B '!J$1:J$98,MATCH($A22,'Impact Indicators - Section B '!$A$1:$A$98,0))&lt;&gt;0,INDEX('Impact Indicators - Section B '!J$1:J$98,MATCH($A22,'Impact Indicators - Section B '!$A$1:$A$98,0)),""),"")</f>
        <v>Kyrgyzstan</v>
      </c>
      <c r="F26" s="648"/>
      <c r="G26" s="649"/>
    </row>
    <row r="27" spans="1:7" ht="18.75" customHeight="1" x14ac:dyDescent="0.25">
      <c r="A27" s="643"/>
      <c r="B27" s="623" t="s">
        <v>199</v>
      </c>
      <c r="C27" s="624"/>
      <c r="D27" s="625"/>
      <c r="E27" s="623" t="s">
        <v>120</v>
      </c>
      <c r="F27" s="624"/>
      <c r="G27" s="625"/>
    </row>
    <row r="28" spans="1:7" ht="18.75" customHeight="1" x14ac:dyDescent="0.25">
      <c r="A28" s="643"/>
      <c r="B28" s="633" t="str">
        <f>IFERROR(IF(INDEX('Impact Indicators - Section B '!G$1:G$98,MATCH($A22,'Impact Indicators - Section B '!$A$1:$A$98,0))&lt;&gt;0,INDEX('Impact Indicators - Section B '!G$1:G$98,MATCH($A22,'Impact Indicators - Section B '!$A$1:$A$98,0)),""),"")</f>
        <v>RCHV&amp;HIV, RMIC, Electronic HIV Case Tracking System</v>
      </c>
      <c r="C28" s="634"/>
      <c r="D28" s="635"/>
      <c r="E28" s="633" t="str">
        <f>IFERROR(IF(AND('Overview - Section A'!AS$1="Grant Making",OR(B22&lt;&gt;"",E22&lt;&gt;"")),Setup!I15,IF(INDEX('Impact Indicators - Section B '!I$1:I$98,MATCH($A22,'Impact Indicators - Section B '!$A$1:$A$98,0))&lt;&gt;0,INDEX('Impact Indicators - Section B '!I$1:I$98,MATCH($A22,'Impact Indicators - Section B '!$A$1:$A$98,0)),"")),"")</f>
        <v>United Nations Development Programme</v>
      </c>
      <c r="F28" s="634"/>
      <c r="G28" s="635"/>
    </row>
    <row r="29" spans="1:7" ht="18.75" customHeight="1" x14ac:dyDescent="0.25">
      <c r="A29" s="643"/>
      <c r="B29" s="644"/>
      <c r="C29" s="645"/>
      <c r="D29" s="646"/>
      <c r="E29" s="644"/>
      <c r="F29" s="645"/>
      <c r="G29" s="646"/>
    </row>
    <row r="30" spans="1:7" ht="18.75" customHeight="1" x14ac:dyDescent="0.25">
      <c r="A30" s="643"/>
      <c r="B30" s="78"/>
      <c r="C30" s="63" t="s">
        <v>4384</v>
      </c>
      <c r="D30" s="623" t="s">
        <v>4385</v>
      </c>
      <c r="E30" s="624"/>
      <c r="F30" s="624"/>
      <c r="G30" s="625"/>
    </row>
    <row r="31" spans="1:7" ht="18.75" customHeight="1" x14ac:dyDescent="0.25">
      <c r="A31" s="643"/>
      <c r="B31" s="78" t="s">
        <v>2559</v>
      </c>
      <c r="C31" s="79" t="str">
        <f>IFERROR(IF(INDEX('Impact Indicators - Section B '!F$1:F$98,MATCH($A22,'Impact Indicators - Section B '!$A$1:$A$98,0))&lt;&gt;0,INDEX('Impact Indicators - Section B '!F$1:F$98,MATCH($A22,'Impact Indicators - Section B '!$A$1:$A$98,0)),""),"")&amp;CHAR(10)&amp;IFERROR(IF(INDEX('Impact Indicators - Section B '!G$1:G$98,MATCH($A22,'Impact Indicators - Section B '!$A$1:$A$98,0))&lt;&gt;0,INDEX('Impact Indicators - Section B '!G$1:G$98,MATCH($A22,'Impact Indicators - Section B '!$A$1:$A$98,0)),""),"")</f>
        <v>2021
RCHV&amp;HIV, RMIC, Electronic HIV Case Tracking System</v>
      </c>
      <c r="D31" s="63">
        <f ca="1">IFERROR(IF(YEAR(INDEX('Overview - Section A'!$A$47:$A$54,MATCH('Print - Summary'!$H$10,'Overview - Section A'!$B$47:$B$54,0)))&lt;=YEAR('Overview - Section A'!$E$8),YEAR(INDEX('Overview - Section A'!$A$47:$A$54,MATCH('Print - Summary'!$H$10,'Overview - Section A'!$B$47:$B$54,0))),""),"")</f>
        <v>2024</v>
      </c>
      <c r="E31" s="63">
        <f ca="1">IFERROR(IF(D31+1&lt;=YEAR('Overview - Section A'!$E$8),D31+1,""),"")</f>
        <v>2025</v>
      </c>
      <c r="F31" s="63">
        <f ca="1">IFERROR(IF(E31+1&lt;=YEAR('Overview - Section A'!$E$8),E31+1,""),"")</f>
        <v>2026</v>
      </c>
      <c r="G31" s="63" t="str">
        <f ca="1">IFERROR(IF(F31+1&lt;=YEAR('Overview - Section A'!$E$8),F31+1,""),"")</f>
        <v/>
      </c>
    </row>
    <row r="32" spans="1:7" s="81" customFormat="1" ht="18.75" customHeight="1" x14ac:dyDescent="0.25">
      <c r="A32" s="643"/>
      <c r="B32" s="78" t="s">
        <v>4386</v>
      </c>
      <c r="C32" s="80" t="str">
        <f>IFERROR(IF(INDEX('Impact Indicators - Section B '!D$1:D$98,MATCH($A22,'Impact Indicators - Section B '!$A$1:$A$98,0))&lt;&gt;"",FIXED(INDEX('Impact Indicators - Section B '!D$1:D$98,MATCH($A22,'Impact Indicators - Section B '!$A$1:$A$98,0)),4),""),"")</f>
        <v>40.0000</v>
      </c>
      <c r="D32" s="80" t="str">
        <f>IFERROR(IF(INDEX('Impact Indicators - Section B '!K$1:K$98,MATCH($A22,'Impact Indicators - Section B '!$A$1:$A$98,0))&lt;&gt;"",FIXED(INDEX('Impact Indicators - Section B '!K$1:K$98,MATCH($A22,'Impact Indicators - Section B '!$A$1:$A$98,0)),4),""),"")</f>
        <v>45,0000</v>
      </c>
      <c r="E32" s="80" t="str">
        <f>IFERROR(IF(INDEX('Impact Indicators - Section B '!O$1:O$98,MATCH($A22,'Impact Indicators - Section B '!$A$1:$A$98,0))&lt;&gt;"",FIXED(INDEX('Impact Indicators - Section B '!O$1:O$98,MATCH($A22,'Impact Indicators - Section B '!$A$1:$A$98,0)),4),""),"")</f>
        <v>45,0000</v>
      </c>
      <c r="F32" s="80" t="str">
        <f>IFERROR(IF(INDEX('Impact Indicators - Section B '!S$1:S$98,MATCH($A22,'Impact Indicators - Section B '!$A$1:$A$98,0))&lt;&gt;"",FIXED(INDEX('Impact Indicators - Section B '!S$1:S$98,MATCH($A22,'Impact Indicators - Section B '!$A$1:$A$98,0)),4),""),"")</f>
        <v>45,0000</v>
      </c>
      <c r="G32" s="80" t="str">
        <f>IFERROR(IF(INDEX('Impact Indicators - Section B '!W$1:W$98,MATCH($A22,'Impact Indicators - Section B '!$A$1:$A$98,0))&lt;&gt;"",FIXED(INDEX('Impact Indicators - Section B '!W$1:W$98,MATCH($A22,'Impact Indicators - Section B '!$A$1:$A$98,0)),4),""),"")</f>
        <v/>
      </c>
    </row>
    <row r="33" spans="1:7" s="83" customFormat="1" ht="18.75" customHeight="1" x14ac:dyDescent="0.25">
      <c r="A33" s="643"/>
      <c r="B33" s="78" t="s">
        <v>4387</v>
      </c>
      <c r="C33" s="82" t="str">
        <f>IFERROR(IF(INDEX('Impact Indicators - Section B '!D$1:D$98,MATCH($A22,'Impact Indicators - Section B '!$A$1:$A$98,0)+1)&lt;&gt;"",FIXED(INDEX('Impact Indicators - Section B '!D$1:D$98,MATCH($A22,'Impact Indicators - Section B '!$A$1:$A$98,0)+1),2),""),"")</f>
        <v/>
      </c>
      <c r="D33" s="82" t="str">
        <f>IFERROR(IF(INDEX('Impact Indicators - Section B '!K$1:K$98,MATCH($A22,'Impact Indicators - Section B '!$A$1:$A$98,0)+1)&lt;&gt;"",FIXED(INDEX('Impact Indicators - Section B '!K$1:K$98,MATCH($A22,'Impact Indicators - Section B '!$A$1:$A$98,0)+1),2),""),"")</f>
        <v/>
      </c>
      <c r="E33" s="82" t="str">
        <f>IFERROR(IF(INDEX('Impact Indicators - Section B '!O$1:O$98,MATCH($A22,'Impact Indicators - Section B '!$A$1:$A$98,0)+1)&lt;&gt;"",FIXED(INDEX('Impact Indicators - Section B '!O$1:O$98,MATCH($A22,'Impact Indicators - Section B '!$A$1:$A$98,0)+1),2),""),"")</f>
        <v/>
      </c>
      <c r="F33" s="82" t="str">
        <f>IFERROR(IF(INDEX('Impact Indicators - Section B '!S$1:S$98,MATCH($A22,'Impact Indicators - Section B '!$A$1:$A$98,0)+1)&lt;&gt;"",FIXED(INDEX('Impact Indicators - Section B '!S$1:S$98,MATCH($A22,'Impact Indicators - Section B '!$A$1:$A$98,0)+1),2),""),"")</f>
        <v/>
      </c>
      <c r="G33" s="82" t="str">
        <f>IFERROR(IF(INDEX('Impact Indicators - Section B '!W$1:W$98,MATCH($A22,'Impact Indicators - Section B '!$A$1:$A$98,0)+1)&lt;&gt;"",FIXED(INDEX('Impact Indicators - Section B '!W$1:W$98,MATCH($A22,'Impact Indicators - Section B '!$A$1:$A$98,0)+1),2),""),"")</f>
        <v/>
      </c>
    </row>
    <row r="34" spans="1:7" ht="18.75" customHeight="1" x14ac:dyDescent="0.25">
      <c r="A34" s="643"/>
      <c r="B34" s="78" t="s">
        <v>4388</v>
      </c>
      <c r="C34" s="79" t="str">
        <f>IFERROR(IF(INDEX('Impact Indicators - Section B '!E$1:E$98,MATCH($A22,'Impact Indicators - Section B '!$A$1:$A$98,0))&lt;&gt;"",FIXED(INDEX('Impact Indicators - Section B '!E$1:E$98,MATCH($A22,'Impact Indicators - Section B '!$A$1:$A$98,0))*100,2)&amp;"%",""),"")</f>
        <v/>
      </c>
      <c r="D34" s="79" t="str">
        <f>IFERROR(IF(INDEX('Impact Indicators - Section B '!L$1:L$98,MATCH($A22,'Impact Indicators - Section B '!$A$1:$A$98,0))&lt;&gt;"",FIXED(INDEX('Impact Indicators - Section B '!L$1:L$98,MATCH($A22,'Impact Indicators - Section B '!$A$1:$A$98,0))*100,2)&amp;"%",""),"")&amp;CHAR(10)&amp;IFERROR(IF(INDEX('Impact Indicators - Section B '!N$1:N$98,MATCH($A22,'Impact Indicators - Section B '!$A$1:$A$98,0))&lt;&gt;"",INDEX('Impact Indicators - Section B '!N$1:N$98,MATCH($A22,'Impact Indicators - Section B '!$A$1:$A$98,0)),""),"")&amp;CHAR(10)&amp;IFERROR(IF(INDEX('Impact Indicators - Section B '!M$1:M$98,MATCH($A22,'Impact Indicators - Section B '!$A$1:$A$98,0))&lt;&gt;"",TEXT(INDEX('Impact Indicators - Section B '!M$1:M$98,MATCH($A22,'Impact Indicators - Section B '!$A$1:$A$98,0)),Setup!$A$33),""),"")</f>
        <v xml:space="preserve">
</v>
      </c>
      <c r="E34" s="79" t="str">
        <f>IFERROR(IF(INDEX('Impact Indicators - Section B '!P$1:P$98,MATCH($A22,'Impact Indicators - Section B '!$A$1:$A$98,0))&lt;&gt;"",FIXED(INDEX('Impact Indicators - Section B '!P$1:P$98,MATCH($A22,'Impact Indicators - Section B '!$A$1:$A$98,0))*100,2)&amp;"%",""),"")&amp;CHAR(10)&amp;IFERROR(IF(INDEX('Impact Indicators - Section B '!R$1:R$98,MATCH($A22,'Impact Indicators - Section B '!$A$1:$A$98,0))&lt;&gt;"",INDEX('Impact Indicators - Section B '!R$1:R$98,MATCH($A22,'Impact Indicators - Section B '!$A$1:$A$98,0)),""),"")&amp;CHAR(10)&amp;IFERROR(IF(INDEX('Impact Indicators - Section B '!Q$1:Q$98,MATCH($A22,'Impact Indicators - Section B '!$A$1:$A$98,0))&lt;&gt;"",TEXT(INDEX('Impact Indicators - Section B '!Q$1:Q$98,MATCH($A22,'Impact Indicators - Section B '!$A$1:$A$98,0)),Setup!$A$33),""),"")</f>
        <v xml:space="preserve">
</v>
      </c>
      <c r="F34" s="79" t="str">
        <f>IFERROR(IF(INDEX('Impact Indicators - Section B '!T$1:T$98,MATCH($A22,'Impact Indicators - Section B '!$A$1:$A$98,0))&lt;&gt;"",FIXED(INDEX('Impact Indicators - Section B '!T$1:T$98,MATCH($A22,'Impact Indicators - Section B '!$A$1:$A$98,0))*100,2)&amp;"%",""),"")&amp;CHAR(10)&amp;IFERROR(IF(INDEX('Impact Indicators - Section B '!V$1:V$98,MATCH($A22,'Impact Indicators - Section B '!$A$1:$A$98,0))&lt;&gt;"",FIXED(INDEX('Impact Indicators - Section B '!V$1:V$98,MATCH($A22,'Impact Indicators - Section B '!$A$1:$A$98,0)),Setup!$A$33),""),"")&amp;CHAR(10)&amp;IFERROR(IF(INDEX('Impact Indicators - Section B '!U$1:U$98,MATCH($A22,'Impact Indicators - Section B '!$A$1:$A$98,0))&lt;&gt;"",TEXT(INDEX('Impact Indicators - Section B '!U$1:U$98,MATCH($A22,'Impact Indicators - Section B '!$A$1:$A$98,0)),Setup!$A$33),""),"")</f>
        <v xml:space="preserve">
</v>
      </c>
      <c r="G34" s="79" t="str">
        <f ca="1">IFERROR(IF(INDEX('Impact Indicators - Section B '!X$1:X$98,MATCH($A22,'Impact Indicators - Section B '!$A$1:$A$98,0))&lt;&gt;"",FIXED(INDEX('Impact Indicators - Section B '!X$1:X$98,MATCH($A22,'Impact Indicators - Section B '!$A$1:$A$98,0))*100,2)&amp;"%",""),"")&amp;CHAR(10)&amp;IFERROR(IF(INDEX('Impact Indicators - Section B '!Z$1:Z$98,MATCH($A22,'Impact Indicators - Section B '!$A$1:$A$98,0))&lt;&gt;"",INDEX('Impact Indicators - Section B '!Z$1:Z$98,MATCH($A22,'Impact Indicators - Section B '!$A$1:$A$98,0)),""),"")&amp;CHAR(10)&amp;IFERROR(IF(INDEX('Impact Indicators - Section B '!Y$1:Y$98,MATCH($A22,'Impact Indicators - Section B '!$A$1:$A$98,0))&lt;&gt;"",TEXT(INDEX('Impact Indicators - Section B '!Y$1:Y$98,MATCH($A22,'Impact Indicators - Section B '!$A$1:$A$98,0)),Setup!$A$33),""),"")</f>
        <v xml:space="preserve">
</v>
      </c>
    </row>
    <row r="35" spans="1:7" ht="18.75" customHeight="1" x14ac:dyDescent="0.25">
      <c r="A35" s="643"/>
      <c r="B35" s="623" t="s">
        <v>176</v>
      </c>
      <c r="C35" s="624"/>
      <c r="D35" s="624"/>
      <c r="E35" s="624"/>
      <c r="F35" s="624"/>
      <c r="G35" s="625"/>
    </row>
    <row r="36" spans="1:7" ht="18.75" customHeight="1" x14ac:dyDescent="0.25">
      <c r="A36" s="643"/>
      <c r="B36" s="633" t="str">
        <f>IFERROR(IF(INDEX('Impact Indicators - Section B '!AA$1:AA$98,MATCH($A22,'Impact Indicators - Section B '!$A$1:$A$98,0))&lt;&gt;0,INDEX('Impact Indicators - Section B '!AA$1:AA$98,MATCH($A22,'Impact Indicators - Section B '!$A$1:$A$98,0)),""),"")</f>
        <v xml:space="preserve">Number of deaths attributed to HIV/AIDS-related causes in a given time period. 
Numerator: Estimated number of deaths attributed to AIDS-related causes in a given time period, per 100,000 population. 
Denominator: Total population in country (resident population), as per the National Statistic Committee.                                                                                   The absolute number of deaths in 2021 was 40, for the predicted number of deaths, the average for 2021 and 2022 was taken, which amounted to 45. </v>
      </c>
      <c r="C36" s="634"/>
      <c r="D36" s="634"/>
      <c r="E36" s="634"/>
      <c r="F36" s="634"/>
      <c r="G36" s="635"/>
    </row>
    <row r="37" spans="1:7" ht="18.75" customHeight="1" x14ac:dyDescent="0.25">
      <c r="A37" s="643"/>
      <c r="B37" s="636"/>
      <c r="C37" s="637"/>
      <c r="D37" s="637"/>
      <c r="E37" s="637"/>
      <c r="F37" s="637"/>
      <c r="G37" s="638"/>
    </row>
    <row r="38" spans="1:7" ht="18.75" customHeight="1" x14ac:dyDescent="0.25">
      <c r="A38" s="643"/>
      <c r="B38" s="636"/>
      <c r="C38" s="637"/>
      <c r="D38" s="637"/>
      <c r="E38" s="637"/>
      <c r="F38" s="637"/>
      <c r="G38" s="638"/>
    </row>
    <row r="39" spans="1:7" ht="18.75" customHeight="1" x14ac:dyDescent="0.25">
      <c r="A39" s="643"/>
      <c r="B39" s="636"/>
      <c r="C39" s="637"/>
      <c r="D39" s="637"/>
      <c r="E39" s="637"/>
      <c r="F39" s="637"/>
      <c r="G39" s="638"/>
    </row>
    <row r="40" spans="1:7" ht="18.75" customHeight="1" x14ac:dyDescent="0.25">
      <c r="A40" s="643"/>
      <c r="B40" s="636"/>
      <c r="C40" s="637"/>
      <c r="D40" s="637"/>
      <c r="E40" s="637"/>
      <c r="F40" s="637"/>
      <c r="G40" s="638"/>
    </row>
    <row r="41" spans="1:7" ht="18.75" customHeight="1" x14ac:dyDescent="0.25">
      <c r="A41" s="643"/>
      <c r="B41" s="636"/>
      <c r="C41" s="637"/>
      <c r="D41" s="637"/>
      <c r="E41" s="637"/>
      <c r="F41" s="637"/>
      <c r="G41" s="638"/>
    </row>
    <row r="42" spans="1:7" ht="18.75" customHeight="1" x14ac:dyDescent="0.25">
      <c r="A42" s="643"/>
      <c r="B42" s="636"/>
      <c r="C42" s="637"/>
      <c r="D42" s="637"/>
      <c r="E42" s="637"/>
      <c r="F42" s="637"/>
      <c r="G42" s="638"/>
    </row>
    <row r="43" spans="1:7" ht="18.75" customHeight="1" x14ac:dyDescent="0.25">
      <c r="A43" s="643"/>
      <c r="B43" s="636"/>
      <c r="C43" s="637"/>
      <c r="D43" s="637"/>
      <c r="E43" s="637"/>
      <c r="F43" s="637"/>
      <c r="G43" s="638"/>
    </row>
    <row r="44" spans="1:7" ht="18.75" customHeight="1" x14ac:dyDescent="0.25">
      <c r="A44" s="643"/>
      <c r="B44" s="636"/>
      <c r="C44" s="637"/>
      <c r="D44" s="637"/>
      <c r="E44" s="637"/>
      <c r="F44" s="637"/>
      <c r="G44" s="638"/>
    </row>
    <row r="45" spans="1:7" ht="18.75" customHeight="1" x14ac:dyDescent="0.25">
      <c r="A45" s="643"/>
      <c r="B45" s="636"/>
      <c r="C45" s="637"/>
      <c r="D45" s="637"/>
      <c r="E45" s="637"/>
      <c r="F45" s="637"/>
      <c r="G45" s="638"/>
    </row>
    <row r="46" spans="1:7" ht="18.75" customHeight="1" x14ac:dyDescent="0.25">
      <c r="A46" s="639"/>
      <c r="B46" s="640"/>
      <c r="C46" s="640"/>
      <c r="D46" s="640"/>
      <c r="E46" s="640"/>
      <c r="F46" s="640"/>
      <c r="G46" s="641"/>
    </row>
    <row r="48" spans="1:7" ht="18.75" customHeight="1" x14ac:dyDescent="0.25">
      <c r="A48" s="77" t="s">
        <v>4383</v>
      </c>
      <c r="B48" s="623" t="s">
        <v>738</v>
      </c>
      <c r="C48" s="624"/>
      <c r="D48" s="625"/>
      <c r="E48" s="623" t="s">
        <v>739</v>
      </c>
      <c r="F48" s="624"/>
      <c r="G48" s="625"/>
    </row>
    <row r="49" spans="1:7" ht="18.75" customHeight="1" x14ac:dyDescent="0.25">
      <c r="A49" s="642">
        <v>2</v>
      </c>
      <c r="B49" s="633" t="str">
        <f>IFERROR(IF(INDEX('Impact Indicators - Section B '!B$1:B$98,MATCH($A49,'Impact Indicators - Section B '!$A$1:$A$98,0))&lt;&gt;0,INDEX('Impact Indicators - Section B '!B$1:B$98,MATCH($A49,'Impact Indicators - Section B '!$A$1:$A$98,0)),""),"")</f>
        <v>HIV I-9a⁽ᴹ⁾ Percentage of men who have sex with men who are living with HIV</v>
      </c>
      <c r="C49" s="634"/>
      <c r="D49" s="635"/>
      <c r="E49" s="633" t="str">
        <f>IFERROR(IF(INDEX('Impact Indicators - Section B '!C$1:C$98,MATCH($A49,'Impact Indicators - Section B '!$A$1:$A$98,0))&lt;&gt;0,INDEX('Impact Indicators - Section B '!C$1:C$98,MATCH($A49,'Impact Indicators - Section B '!$A$1:$A$98,0)),""),"")</f>
        <v/>
      </c>
      <c r="F49" s="634"/>
      <c r="G49" s="635"/>
    </row>
    <row r="50" spans="1:7" ht="18.75" customHeight="1" x14ac:dyDescent="0.25">
      <c r="A50" s="643"/>
      <c r="B50" s="636"/>
      <c r="C50" s="637"/>
      <c r="D50" s="638"/>
      <c r="E50" s="636"/>
      <c r="F50" s="637"/>
      <c r="G50" s="638"/>
    </row>
    <row r="51" spans="1:7" ht="18.75" customHeight="1" x14ac:dyDescent="0.25">
      <c r="A51" s="643"/>
      <c r="B51" s="644"/>
      <c r="C51" s="645"/>
      <c r="D51" s="646"/>
      <c r="E51" s="644"/>
      <c r="F51" s="645"/>
      <c r="G51" s="646"/>
    </row>
    <row r="52" spans="1:7" ht="18.75" customHeight="1" x14ac:dyDescent="0.25">
      <c r="A52" s="643"/>
      <c r="B52" s="623" t="s">
        <v>742</v>
      </c>
      <c r="C52" s="624"/>
      <c r="D52" s="625"/>
      <c r="E52" s="623" t="s">
        <v>127</v>
      </c>
      <c r="F52" s="624"/>
      <c r="G52" s="625"/>
    </row>
    <row r="53" spans="1:7" ht="18.75" customHeight="1" x14ac:dyDescent="0.25">
      <c r="A53" s="643"/>
      <c r="B53" s="647" t="str">
        <f>IFERROR(IF(INDEX('Impact Indicators - Section B '!H$1:H$98,MATCH($A49,'Impact Indicators - Section B '!$A$1:$A$98,0))&lt;&gt;0,INDEX('Impact Indicators - Section B '!H$1:H$98,MATCH($A49,'Impact Indicators - Section B '!$A$1:$A$98,0)),""),"")</f>
        <v>Age</v>
      </c>
      <c r="C53" s="648"/>
      <c r="D53" s="649"/>
      <c r="E53" s="647" t="str">
        <f>IFERROR(IF(INDEX('Impact Indicators - Section B '!J$1:J$98,MATCH($A49,'Impact Indicators - Section B '!$A$1:$A$98,0))&lt;&gt;0,INDEX('Impact Indicators - Section B '!J$1:J$98,MATCH($A49,'Impact Indicators - Section B '!$A$1:$A$98,0)),""),"")</f>
        <v>Kyrgyzstan</v>
      </c>
      <c r="F53" s="648"/>
      <c r="G53" s="649"/>
    </row>
    <row r="54" spans="1:7" ht="18.75" customHeight="1" x14ac:dyDescent="0.25">
      <c r="A54" s="643"/>
      <c r="B54" s="623" t="s">
        <v>199</v>
      </c>
      <c r="C54" s="624"/>
      <c r="D54" s="625"/>
      <c r="E54" s="623" t="s">
        <v>120</v>
      </c>
      <c r="F54" s="624"/>
      <c r="G54" s="625"/>
    </row>
    <row r="55" spans="1:7" ht="18.75" customHeight="1" x14ac:dyDescent="0.25">
      <c r="A55" s="643"/>
      <c r="B55" s="633" t="str">
        <f>IFERROR(IF(INDEX('Impact Indicators - Section B '!G$1:G$98,MATCH($A49,'Impact Indicators - Section B '!$A$1:$A$98,0))&lt;&gt;0,INDEX('Impact Indicators - Section B '!G$1:G$98,MATCH($A49,'Impact Indicators - Section B '!$A$1:$A$98,0)),""),"")</f>
        <v>IBBS 2021 Kyrgyz Republic</v>
      </c>
      <c r="C55" s="634"/>
      <c r="D55" s="635"/>
      <c r="E55" s="633" t="str">
        <f>IFERROR(IF(AND('Overview - Section A'!AS$1="Grant Making",OR(B49&lt;&gt;"",E49&lt;&gt;"")),Setup!I42,IF(INDEX('Impact Indicators - Section B '!I$1:I$98,MATCH($A49,'Impact Indicators - Section B '!$A$1:$A$98,0))&lt;&gt;0,INDEX('Impact Indicators - Section B '!I$1:I$98,MATCH($A49,'Impact Indicators - Section B '!$A$1:$A$98,0)),"")),"")</f>
        <v>United Nations Development Programme</v>
      </c>
      <c r="F55" s="634"/>
      <c r="G55" s="635"/>
    </row>
    <row r="56" spans="1:7" ht="18.75" customHeight="1" x14ac:dyDescent="0.25">
      <c r="A56" s="643"/>
      <c r="B56" s="644"/>
      <c r="C56" s="645"/>
      <c r="D56" s="646"/>
      <c r="E56" s="644"/>
      <c r="F56" s="645"/>
      <c r="G56" s="646"/>
    </row>
    <row r="57" spans="1:7" ht="18.75" customHeight="1" x14ac:dyDescent="0.25">
      <c r="A57" s="643"/>
      <c r="B57" s="78"/>
      <c r="C57" s="63" t="s">
        <v>4384</v>
      </c>
      <c r="D57" s="623" t="s">
        <v>4385</v>
      </c>
      <c r="E57" s="624"/>
      <c r="F57" s="624"/>
      <c r="G57" s="625"/>
    </row>
    <row r="58" spans="1:7" ht="18.75" customHeight="1" x14ac:dyDescent="0.25">
      <c r="A58" s="643"/>
      <c r="B58" s="78" t="s">
        <v>2559</v>
      </c>
      <c r="C58" s="79" t="str">
        <f>IFERROR(IF(INDEX('Impact Indicators - Section B '!F$1:F$98,MATCH($A49,'Impact Indicators - Section B '!$A$1:$A$98,0))&lt;&gt;0,INDEX('Impact Indicators - Section B '!F$1:F$98,MATCH($A49,'Impact Indicators - Section B '!$A$1:$A$98,0)),""),"")&amp;CHAR(10)&amp;IFERROR(IF(INDEX('Impact Indicators - Section B '!G$1:G$98,MATCH($A49,'Impact Indicators - Section B '!$A$1:$A$98,0))&lt;&gt;0,INDEX('Impact Indicators - Section B '!G$1:G$98,MATCH($A49,'Impact Indicators - Section B '!$A$1:$A$98,0)),""),"")</f>
        <v>2021
IBBS 2021 Kyrgyz Republic</v>
      </c>
      <c r="D58" s="63">
        <f ca="1">IFERROR(IF(YEAR(INDEX('Overview - Section A'!$A$47:$A$54,MATCH('Print - Summary'!$H$10,'Overview - Section A'!$B$47:$B$54,0)))&lt;=YEAR('Overview - Section A'!$E$8),YEAR(INDEX('Overview - Section A'!$A$47:$A$54,MATCH('Print - Summary'!$H$10,'Overview - Section A'!$B$47:$B$54,0))),""),"")</f>
        <v>2024</v>
      </c>
      <c r="E58" s="63">
        <f ca="1">IFERROR(IF(D58+1&lt;=YEAR('Overview - Section A'!$E$8),D58+1,""),"")</f>
        <v>2025</v>
      </c>
      <c r="F58" s="63">
        <f ca="1">IFERROR(IF(E58+1&lt;=YEAR('Overview - Section A'!$E$8),E58+1,""),"")</f>
        <v>2026</v>
      </c>
      <c r="G58" s="63" t="str">
        <f ca="1">IFERROR(IF(F58+1&lt;=YEAR('Overview - Section A'!$E$8),F58+1,""),"")</f>
        <v/>
      </c>
    </row>
    <row r="59" spans="1:7" s="81" customFormat="1" ht="18.75" customHeight="1" x14ac:dyDescent="0.25">
      <c r="A59" s="643"/>
      <c r="B59" s="78" t="s">
        <v>4386</v>
      </c>
      <c r="C59" s="80" t="str">
        <f>IFERROR(IF(INDEX('Impact Indicators - Section B '!D$1:D$98,MATCH($A49,'Impact Indicators - Section B '!$A$1:$A$98,0))&lt;&gt;"",FIXED(INDEX('Impact Indicators - Section B '!D$1:D$98,MATCH($A49,'Impact Indicators - Section B '!$A$1:$A$98,0)),4),""),"")</f>
        <v/>
      </c>
      <c r="D59" s="80" t="str">
        <f>IFERROR(IF(INDEX('Impact Indicators - Section B '!K$1:K$98,MATCH($A49,'Impact Indicators - Section B '!$A$1:$A$98,0))&lt;&gt;"",FIXED(INDEX('Impact Indicators - Section B '!K$1:K$98,MATCH($A49,'Impact Indicators - Section B '!$A$1:$A$98,0)),4),""),"")</f>
        <v/>
      </c>
      <c r="E59" s="80" t="str">
        <f>IFERROR(IF(INDEX('Impact Indicators - Section B '!O$1:O$98,MATCH($A49,'Impact Indicators - Section B '!$A$1:$A$98,0))&lt;&gt;"",FIXED(INDEX('Impact Indicators - Section B '!O$1:O$98,MATCH($A49,'Impact Indicators - Section B '!$A$1:$A$98,0)),4),""),"")</f>
        <v/>
      </c>
      <c r="F59" s="80" t="str">
        <f>IFERROR(IF(INDEX('Impact Indicators - Section B '!S$1:S$98,MATCH($A49,'Impact Indicators - Section B '!$A$1:$A$98,0))&lt;&gt;"",FIXED(INDEX('Impact Indicators - Section B '!S$1:S$98,MATCH($A49,'Impact Indicators - Section B '!$A$1:$A$98,0)),4),""),"")</f>
        <v/>
      </c>
      <c r="G59" s="80" t="str">
        <f>IFERROR(IF(INDEX('Impact Indicators - Section B '!W$1:W$98,MATCH($A49,'Impact Indicators - Section B '!$A$1:$A$98,0))&lt;&gt;"",FIXED(INDEX('Impact Indicators - Section B '!W$1:W$98,MATCH($A49,'Impact Indicators - Section B '!$A$1:$A$98,0)),4),""),"")</f>
        <v/>
      </c>
    </row>
    <row r="60" spans="1:7" s="83" customFormat="1" ht="18.75" customHeight="1" x14ac:dyDescent="0.25">
      <c r="A60" s="643"/>
      <c r="B60" s="78" t="s">
        <v>4387</v>
      </c>
      <c r="C60" s="82" t="str">
        <f>IFERROR(IF(INDEX('Impact Indicators - Section B '!D$1:D$98,MATCH($A49,'Impact Indicators - Section B '!$A$1:$A$98,0)+1)&lt;&gt;"",FIXED(INDEX('Impact Indicators - Section B '!D$1:D$98,MATCH($A49,'Impact Indicators - Section B '!$A$1:$A$98,0)+1),2),""),"")</f>
        <v/>
      </c>
      <c r="D60" s="82" t="str">
        <f>IFERROR(IF(INDEX('Impact Indicators - Section B '!K$1:K$98,MATCH($A49,'Impact Indicators - Section B '!$A$1:$A$98,0)+1)&lt;&gt;"",FIXED(INDEX('Impact Indicators - Section B '!K$1:K$98,MATCH($A49,'Impact Indicators - Section B '!$A$1:$A$98,0)+1),2),""),"")</f>
        <v/>
      </c>
      <c r="E60" s="82" t="str">
        <f>IFERROR(IF(INDEX('Impact Indicators - Section B '!O$1:O$98,MATCH($A49,'Impact Indicators - Section B '!$A$1:$A$98,0)+1)&lt;&gt;"",FIXED(INDEX('Impact Indicators - Section B '!O$1:O$98,MATCH($A49,'Impact Indicators - Section B '!$A$1:$A$98,0)+1),2),""),"")</f>
        <v/>
      </c>
      <c r="F60" s="82" t="str">
        <f>IFERROR(IF(INDEX('Impact Indicators - Section B '!S$1:S$98,MATCH($A49,'Impact Indicators - Section B '!$A$1:$A$98,0)+1)&lt;&gt;"",FIXED(INDEX('Impact Indicators - Section B '!S$1:S$98,MATCH($A49,'Impact Indicators - Section B '!$A$1:$A$98,0)+1),2),""),"")</f>
        <v/>
      </c>
      <c r="G60" s="82" t="str">
        <f>IFERROR(IF(INDEX('Impact Indicators - Section B '!W$1:W$98,MATCH($A49,'Impact Indicators - Section B '!$A$1:$A$98,0)+1)&lt;&gt;"",FIXED(INDEX('Impact Indicators - Section B '!W$1:W$98,MATCH($A49,'Impact Indicators - Section B '!$A$1:$A$98,0)+1),2),""),"")</f>
        <v/>
      </c>
    </row>
    <row r="61" spans="1:7" ht="18.75" customHeight="1" x14ac:dyDescent="0.25">
      <c r="A61" s="643"/>
      <c r="B61" s="78" t="s">
        <v>4388</v>
      </c>
      <c r="C61" s="79" t="str">
        <f>IFERROR(IF(INDEX('Impact Indicators - Section B '!E$1:E$98,MATCH($A49,'Impact Indicators - Section B '!$A$1:$A$98,0))&lt;&gt;"",FIXED(INDEX('Impact Indicators - Section B '!E$1:E$98,MATCH($A49,'Impact Indicators - Section B '!$A$1:$A$98,0))*100,2)&amp;"%",""),"")</f>
        <v>10,80%</v>
      </c>
      <c r="D61" s="79" t="str">
        <f>IFERROR(IF(INDEX('Impact Indicators - Section B '!L$1:L$98,MATCH($A49,'Impact Indicators - Section B '!$A$1:$A$98,0))&lt;&gt;"",FIXED(INDEX('Impact Indicators - Section B '!L$1:L$98,MATCH($A49,'Impact Indicators - Section B '!$A$1:$A$98,0))*100,2)&amp;"%",""),"")&amp;CHAR(10)&amp;IFERROR(IF(INDEX('Impact Indicators - Section B '!N$1:N$98,MATCH($A49,'Impact Indicators - Section B '!$A$1:$A$98,0))&lt;&gt;"",INDEX('Impact Indicators - Section B '!N$1:N$98,MATCH($A49,'Impact Indicators - Section B '!$A$1:$A$98,0)),""),"")&amp;CHAR(10)&amp;IFERROR(IF(INDEX('Impact Indicators - Section B '!M$1:M$98,MATCH($A49,'Impact Indicators - Section B '!$A$1:$A$98,0))&lt;&gt;"",TEXT(INDEX('Impact Indicators - Section B '!M$1:M$98,MATCH($A49,'Impact Indicators - Section B '!$A$1:$A$98,0)),Setup!$A$33),""),"")</f>
        <v xml:space="preserve">
</v>
      </c>
      <c r="E61" s="79" t="str">
        <f>IFERROR(IF(INDEX('Impact Indicators - Section B '!P$1:P$98,MATCH($A49,'Impact Indicators - Section B '!$A$1:$A$98,0))&lt;&gt;"",FIXED(INDEX('Impact Indicators - Section B '!P$1:P$98,MATCH($A49,'Impact Indicators - Section B '!$A$1:$A$98,0))*100,2)&amp;"%",""),"")&amp;CHAR(10)&amp;IFERROR(IF(INDEX('Impact Indicators - Section B '!R$1:R$98,MATCH($A49,'Impact Indicators - Section B '!$A$1:$A$98,0))&lt;&gt;"",INDEX('Impact Indicators - Section B '!R$1:R$98,MATCH($A49,'Impact Indicators - Section B '!$A$1:$A$98,0)),""),"")&amp;CHAR(10)&amp;IFERROR(IF(INDEX('Impact Indicators - Section B '!Q$1:Q$98,MATCH($A49,'Impact Indicators - Section B '!$A$1:$A$98,0))&lt;&gt;"",TEXT(INDEX('Impact Indicators - Section B '!Q$1:Q$98,MATCH($A49,'Impact Indicators - Section B '!$A$1:$A$98,0)),Setup!$A$33),""),"")</f>
        <v xml:space="preserve">10,00%
</v>
      </c>
      <c r="F61" s="79" t="str">
        <f ca="1">IFERROR(IF(INDEX('Impact Indicators - Section B '!T$1:T$98,MATCH($A49,'Impact Indicators - Section B '!$A$1:$A$98,0))&lt;&gt;"",FIXED(INDEX('Impact Indicators - Section B '!T$1:T$98,MATCH($A49,'Impact Indicators - Section B '!$A$1:$A$98,0))*100,2)&amp;"%",""),"")&amp;CHAR(10)&amp;IFERROR(IF(INDEX('Impact Indicators - Section B '!V$1:V$98,MATCH($A49,'Impact Indicators - Section B '!$A$1:$A$98,0))&lt;&gt;"",FIXED(INDEX('Impact Indicators - Section B '!V$1:V$98,MATCH($A49,'Impact Indicators - Section B '!$A$1:$A$98,0)),Setup!$A$33),""),"")&amp;CHAR(10)&amp;IFERROR(IF(INDEX('Impact Indicators - Section B '!U$1:U$98,MATCH($A49,'Impact Indicators - Section B '!$A$1:$A$98,0))&lt;&gt;"",TEXT(INDEX('Impact Indicators - Section B '!U$1:U$98,MATCH($A49,'Impact Indicators - Section B '!$A$1:$A$98,0)),Setup!$A$33),""),"")</f>
        <v xml:space="preserve">
</v>
      </c>
      <c r="G61" s="79" t="str">
        <f ca="1">IFERROR(IF(INDEX('Impact Indicators - Section B '!X$1:X$98,MATCH($A49,'Impact Indicators - Section B '!$A$1:$A$98,0))&lt;&gt;"",FIXED(INDEX('Impact Indicators - Section B '!X$1:X$98,MATCH($A49,'Impact Indicators - Section B '!$A$1:$A$98,0))*100,2)&amp;"%",""),"")&amp;CHAR(10)&amp;IFERROR(IF(INDEX('Impact Indicators - Section B '!Z$1:Z$98,MATCH($A49,'Impact Indicators - Section B '!$A$1:$A$98,0))&lt;&gt;"",INDEX('Impact Indicators - Section B '!Z$1:Z$98,MATCH($A49,'Impact Indicators - Section B '!$A$1:$A$98,0)),""),"")&amp;CHAR(10)&amp;IFERROR(IF(INDEX('Impact Indicators - Section B '!Y$1:Y$98,MATCH($A49,'Impact Indicators - Section B '!$A$1:$A$98,0))&lt;&gt;"",TEXT(INDEX('Impact Indicators - Section B '!Y$1:Y$98,MATCH($A49,'Impact Indicators - Section B '!$A$1:$A$98,0)),Setup!$A$33),""),"")</f>
        <v xml:space="preserve">
</v>
      </c>
    </row>
    <row r="62" spans="1:7" ht="18.75" customHeight="1" x14ac:dyDescent="0.25">
      <c r="A62" s="643"/>
      <c r="B62" s="623" t="s">
        <v>176</v>
      </c>
      <c r="C62" s="624"/>
      <c r="D62" s="624"/>
      <c r="E62" s="624"/>
      <c r="F62" s="624"/>
      <c r="G62" s="625"/>
    </row>
    <row r="63" spans="1:7" ht="18.75" customHeight="1" x14ac:dyDescent="0.25">
      <c r="A63" s="643"/>
      <c r="B63" s="633" t="str">
        <f>IFERROR(IF(INDEX('Impact Indicators - Section B '!AA$1:AA$98,MATCH($A49,'Impact Indicators - Section B '!$A$1:$A$98,0))&lt;&gt;0,INDEX('Impact Indicators - Section B '!AA$1:AA$98,MATCH($A49,'Impact Indicators - Section B '!$A$1:$A$98,0)),""),"")</f>
        <v>As a baseline, the results of the 2021 IBBS are presented, weighted data only for the site of Bishkek, taking into account the size of the social network of respondents. So HIV prevalence among Bishkek MSM was 10.3%. RCHV&amp;HIV report "Biobehavioral study on HIV among people who inject drugs and men who have sex with men in the Kyrgyz Republic, 2021". Numerator: Number of MSM who test positive for HIV Denominator: Number of MSM tested for HIV</v>
      </c>
      <c r="C63" s="634"/>
      <c r="D63" s="634"/>
      <c r="E63" s="634"/>
      <c r="F63" s="634"/>
      <c r="G63" s="635"/>
    </row>
    <row r="64" spans="1:7" ht="18.75" customHeight="1" x14ac:dyDescent="0.25">
      <c r="A64" s="643"/>
      <c r="B64" s="636"/>
      <c r="C64" s="637"/>
      <c r="D64" s="637"/>
      <c r="E64" s="637"/>
      <c r="F64" s="637"/>
      <c r="G64" s="638"/>
    </row>
    <row r="65" spans="1:7" ht="18.75" customHeight="1" x14ac:dyDescent="0.25">
      <c r="A65" s="643"/>
      <c r="B65" s="636"/>
      <c r="C65" s="637"/>
      <c r="D65" s="637"/>
      <c r="E65" s="637"/>
      <c r="F65" s="637"/>
      <c r="G65" s="638"/>
    </row>
    <row r="66" spans="1:7" ht="18.75" customHeight="1" x14ac:dyDescent="0.25">
      <c r="A66" s="643"/>
      <c r="B66" s="636"/>
      <c r="C66" s="637"/>
      <c r="D66" s="637"/>
      <c r="E66" s="637"/>
      <c r="F66" s="637"/>
      <c r="G66" s="638"/>
    </row>
    <row r="67" spans="1:7" ht="18.75" customHeight="1" x14ac:dyDescent="0.25">
      <c r="A67" s="643"/>
      <c r="B67" s="636"/>
      <c r="C67" s="637"/>
      <c r="D67" s="637"/>
      <c r="E67" s="637"/>
      <c r="F67" s="637"/>
      <c r="G67" s="638"/>
    </row>
    <row r="68" spans="1:7" ht="18.75" customHeight="1" x14ac:dyDescent="0.25">
      <c r="A68" s="643"/>
      <c r="B68" s="636"/>
      <c r="C68" s="637"/>
      <c r="D68" s="637"/>
      <c r="E68" s="637"/>
      <c r="F68" s="637"/>
      <c r="G68" s="638"/>
    </row>
    <row r="69" spans="1:7" ht="18.75" customHeight="1" x14ac:dyDescent="0.25">
      <c r="A69" s="643"/>
      <c r="B69" s="636"/>
      <c r="C69" s="637"/>
      <c r="D69" s="637"/>
      <c r="E69" s="637"/>
      <c r="F69" s="637"/>
      <c r="G69" s="638"/>
    </row>
    <row r="70" spans="1:7" ht="18.75" customHeight="1" x14ac:dyDescent="0.25">
      <c r="A70" s="643"/>
      <c r="B70" s="636"/>
      <c r="C70" s="637"/>
      <c r="D70" s="637"/>
      <c r="E70" s="637"/>
      <c r="F70" s="637"/>
      <c r="G70" s="638"/>
    </row>
    <row r="71" spans="1:7" ht="18.75" customHeight="1" x14ac:dyDescent="0.25">
      <c r="A71" s="643"/>
      <c r="B71" s="636"/>
      <c r="C71" s="637"/>
      <c r="D71" s="637"/>
      <c r="E71" s="637"/>
      <c r="F71" s="637"/>
      <c r="G71" s="638"/>
    </row>
    <row r="72" spans="1:7" ht="18.75" customHeight="1" x14ac:dyDescent="0.25">
      <c r="A72" s="643"/>
      <c r="B72" s="636"/>
      <c r="C72" s="637"/>
      <c r="D72" s="637"/>
      <c r="E72" s="637"/>
      <c r="F72" s="637"/>
      <c r="G72" s="638"/>
    </row>
    <row r="73" spans="1:7" ht="18.75" customHeight="1" x14ac:dyDescent="0.25">
      <c r="A73" s="639"/>
      <c r="B73" s="640"/>
      <c r="C73" s="640"/>
      <c r="D73" s="640"/>
      <c r="E73" s="640"/>
      <c r="F73" s="640"/>
      <c r="G73" s="641"/>
    </row>
    <row r="75" spans="1:7" ht="18.75" customHeight="1" x14ac:dyDescent="0.25">
      <c r="A75" s="77" t="s">
        <v>4383</v>
      </c>
      <c r="B75" s="623" t="s">
        <v>738</v>
      </c>
      <c r="C75" s="624"/>
      <c r="D75" s="625"/>
      <c r="E75" s="623" t="s">
        <v>739</v>
      </c>
      <c r="F75" s="624"/>
      <c r="G75" s="625"/>
    </row>
    <row r="76" spans="1:7" ht="18.75" customHeight="1" x14ac:dyDescent="0.25">
      <c r="A76" s="642">
        <v>3</v>
      </c>
      <c r="B76" s="633" t="str">
        <f>IFERROR(IF(INDEX('Impact Indicators - Section B '!B$1:B$98,MATCH($A76,'Impact Indicators - Section B '!$A$1:$A$98,0))&lt;&gt;0,INDEX('Impact Indicators - Section B '!B$1:B$98,MATCH($A76,'Impact Indicators - Section B '!$A$1:$A$98,0)),""),"")</f>
        <v>HIV I-10⁽ᴹ⁾ Percentage of sex workers who are living with HIV</v>
      </c>
      <c r="C76" s="634"/>
      <c r="D76" s="635"/>
      <c r="E76" s="633" t="str">
        <f>IFERROR(IF(INDEX('Impact Indicators - Section B '!C$1:C$98,MATCH($A76,'Impact Indicators - Section B '!$A$1:$A$98,0))&lt;&gt;0,INDEX('Impact Indicators - Section B '!C$1:C$98,MATCH($A76,'Impact Indicators - Section B '!$A$1:$A$98,0)),""),"")</f>
        <v/>
      </c>
      <c r="F76" s="634"/>
      <c r="G76" s="635"/>
    </row>
    <row r="77" spans="1:7" ht="18.75" customHeight="1" x14ac:dyDescent="0.25">
      <c r="A77" s="643"/>
      <c r="B77" s="636"/>
      <c r="C77" s="637"/>
      <c r="D77" s="638"/>
      <c r="E77" s="636"/>
      <c r="F77" s="637"/>
      <c r="G77" s="638"/>
    </row>
    <row r="78" spans="1:7" ht="18.75" customHeight="1" x14ac:dyDescent="0.25">
      <c r="A78" s="643"/>
      <c r="B78" s="644"/>
      <c r="C78" s="645"/>
      <c r="D78" s="646"/>
      <c r="E78" s="644"/>
      <c r="F78" s="645"/>
      <c r="G78" s="646"/>
    </row>
    <row r="79" spans="1:7" ht="18.75" customHeight="1" x14ac:dyDescent="0.25">
      <c r="A79" s="643"/>
      <c r="B79" s="623" t="s">
        <v>742</v>
      </c>
      <c r="C79" s="624"/>
      <c r="D79" s="625"/>
      <c r="E79" s="623" t="s">
        <v>127</v>
      </c>
      <c r="F79" s="624"/>
      <c r="G79" s="625"/>
    </row>
    <row r="80" spans="1:7" ht="18.75" customHeight="1" x14ac:dyDescent="0.25">
      <c r="A80" s="643"/>
      <c r="B80" s="647" t="str">
        <f>IFERROR(IF(INDEX('Impact Indicators - Section B '!H$1:H$98,MATCH($A76,'Impact Indicators - Section B '!$A$1:$A$98,0))&lt;&gt;0,INDEX('Impact Indicators - Section B '!H$1:H$98,MATCH($A76,'Impact Indicators - Section B '!$A$1:$A$98,0)),""),"")</f>
        <v>Gender,Age</v>
      </c>
      <c r="C80" s="648"/>
      <c r="D80" s="649"/>
      <c r="E80" s="647" t="str">
        <f>IFERROR(IF(INDEX('Impact Indicators - Section B '!J$1:J$98,MATCH($A76,'Impact Indicators - Section B '!$A$1:$A$98,0))&lt;&gt;0,INDEX('Impact Indicators - Section B '!J$1:J$98,MATCH($A76,'Impact Indicators - Section B '!$A$1:$A$98,0)),""),"")</f>
        <v>Kyrgyzstan</v>
      </c>
      <c r="F80" s="648"/>
      <c r="G80" s="649"/>
    </row>
    <row r="81" spans="1:7" ht="18.75" customHeight="1" x14ac:dyDescent="0.25">
      <c r="A81" s="643"/>
      <c r="B81" s="623" t="s">
        <v>199</v>
      </c>
      <c r="C81" s="624"/>
      <c r="D81" s="625"/>
      <c r="E81" s="623" t="s">
        <v>120</v>
      </c>
      <c r="F81" s="624"/>
      <c r="G81" s="625"/>
    </row>
    <row r="82" spans="1:7" ht="18.75" customHeight="1" x14ac:dyDescent="0.25">
      <c r="A82" s="643"/>
      <c r="B82" s="633" t="str">
        <f>IFERROR(IF(INDEX('Impact Indicators - Section B '!G$1:G$98,MATCH($A76,'Impact Indicators - Section B '!$A$1:$A$98,0))&lt;&gt;0,INDEX('Impact Indicators - Section B '!G$1:G$98,MATCH($A76,'Impact Indicators - Section B '!$A$1:$A$98,0)),""),"")</f>
        <v>IBBS 2022 Kyrgyz Republic</v>
      </c>
      <c r="C82" s="634"/>
      <c r="D82" s="635"/>
      <c r="E82" s="633" t="str">
        <f>IFERROR(IF(AND('Overview - Section A'!AS$1="Grant Making",OR(B76&lt;&gt;"",E76&lt;&gt;"")),Setup!I69,IF(INDEX('Impact Indicators - Section B '!I$1:I$98,MATCH($A76,'Impact Indicators - Section B '!$A$1:$A$98,0))&lt;&gt;0,INDEX('Impact Indicators - Section B '!I$1:I$98,MATCH($A76,'Impact Indicators - Section B '!$A$1:$A$98,0)),"")),"")</f>
        <v>United Nations Development Programme</v>
      </c>
      <c r="F82" s="634"/>
      <c r="G82" s="635"/>
    </row>
    <row r="83" spans="1:7" ht="18.75" customHeight="1" x14ac:dyDescent="0.25">
      <c r="A83" s="643"/>
      <c r="B83" s="644"/>
      <c r="C83" s="645"/>
      <c r="D83" s="646"/>
      <c r="E83" s="644"/>
      <c r="F83" s="645"/>
      <c r="G83" s="646"/>
    </row>
    <row r="84" spans="1:7" ht="18.75" customHeight="1" x14ac:dyDescent="0.25">
      <c r="A84" s="643"/>
      <c r="B84" s="78"/>
      <c r="C84" s="63" t="s">
        <v>4384</v>
      </c>
      <c r="D84" s="623" t="s">
        <v>4385</v>
      </c>
      <c r="E84" s="624"/>
      <c r="F84" s="624"/>
      <c r="G84" s="625"/>
    </row>
    <row r="85" spans="1:7" ht="18.75" customHeight="1" x14ac:dyDescent="0.25">
      <c r="A85" s="643"/>
      <c r="B85" s="78" t="s">
        <v>2559</v>
      </c>
      <c r="C85" s="79" t="str">
        <f>IFERROR(IF(INDEX('Impact Indicators - Section B '!F$1:F$98,MATCH($A76,'Impact Indicators - Section B '!$A$1:$A$98,0))&lt;&gt;0,INDEX('Impact Indicators - Section B '!F$1:F$98,MATCH($A76,'Impact Indicators - Section B '!$A$1:$A$98,0)),""),"")&amp;CHAR(10)&amp;IFERROR(IF(INDEX('Impact Indicators - Section B '!G$1:G$98,MATCH($A76,'Impact Indicators - Section B '!$A$1:$A$98,0))&lt;&gt;0,INDEX('Impact Indicators - Section B '!G$1:G$98,MATCH($A76,'Impact Indicators - Section B '!$A$1:$A$98,0)),""),"")</f>
        <v>2022
IBBS 2022 Kyrgyz Republic</v>
      </c>
      <c r="D85" s="63">
        <f ca="1">IFERROR(IF(YEAR(INDEX('Overview - Section A'!$A$47:$A$54,MATCH('Print - Summary'!$H$10,'Overview - Section A'!$B$47:$B$54,0)))&lt;=YEAR('Overview - Section A'!$E$8),YEAR(INDEX('Overview - Section A'!$A$47:$A$54,MATCH('Print - Summary'!$H$10,'Overview - Section A'!$B$47:$B$54,0))),""),"")</f>
        <v>2024</v>
      </c>
      <c r="E85" s="63">
        <f ca="1">IFERROR(IF(D85+1&lt;=YEAR('Overview - Section A'!$E$8),D85+1,""),"")</f>
        <v>2025</v>
      </c>
      <c r="F85" s="63">
        <f ca="1">IFERROR(IF(E85+1&lt;=YEAR('Overview - Section A'!$E$8),E85+1,""),"")</f>
        <v>2026</v>
      </c>
      <c r="G85" s="63" t="str">
        <f ca="1">IFERROR(IF(F85+1&lt;=YEAR('Overview - Section A'!$E$8),F85+1,""),"")</f>
        <v/>
      </c>
    </row>
    <row r="86" spans="1:7" s="81" customFormat="1" ht="18.75" customHeight="1" x14ac:dyDescent="0.25">
      <c r="A86" s="643"/>
      <c r="B86" s="78" t="s">
        <v>4386</v>
      </c>
      <c r="C86" s="80" t="str">
        <f>IFERROR(IF(INDEX('Impact Indicators - Section B '!D$1:D$98,MATCH($A76,'Impact Indicators - Section B '!$A$1:$A$98,0))&lt;&gt;"",FIXED(INDEX('Impact Indicators - Section B '!D$1:D$98,MATCH($A76,'Impact Indicators - Section B '!$A$1:$A$98,0)),4),""),"")</f>
        <v/>
      </c>
      <c r="D86" s="80" t="str">
        <f>IFERROR(IF(INDEX('Impact Indicators - Section B '!K$1:K$98,MATCH($A76,'Impact Indicators - Section B '!$A$1:$A$98,0))&lt;&gt;"",FIXED(INDEX('Impact Indicators - Section B '!K$1:K$98,MATCH($A76,'Impact Indicators - Section B '!$A$1:$A$98,0)),4),""),"")</f>
        <v/>
      </c>
      <c r="E86" s="80" t="str">
        <f>IFERROR(IF(INDEX('Impact Indicators - Section B '!O$1:O$98,MATCH($A76,'Impact Indicators - Section B '!$A$1:$A$98,0))&lt;&gt;"",FIXED(INDEX('Impact Indicators - Section B '!O$1:O$98,MATCH($A76,'Impact Indicators - Section B '!$A$1:$A$98,0)),4),""),"")</f>
        <v/>
      </c>
      <c r="F86" s="80" t="str">
        <f>IFERROR(IF(INDEX('Impact Indicators - Section B '!S$1:S$98,MATCH($A76,'Impact Indicators - Section B '!$A$1:$A$98,0))&lt;&gt;"",FIXED(INDEX('Impact Indicators - Section B '!S$1:S$98,MATCH($A76,'Impact Indicators - Section B '!$A$1:$A$98,0)),4),""),"")</f>
        <v/>
      </c>
      <c r="G86" s="80" t="str">
        <f>IFERROR(IF(INDEX('Impact Indicators - Section B '!W$1:W$98,MATCH($A76,'Impact Indicators - Section B '!$A$1:$A$98,0))&lt;&gt;"",FIXED(INDEX('Impact Indicators - Section B '!W$1:W$98,MATCH($A76,'Impact Indicators - Section B '!$A$1:$A$98,0)),4),""),"")</f>
        <v/>
      </c>
    </row>
    <row r="87" spans="1:7" s="83" customFormat="1" ht="18.75" customHeight="1" x14ac:dyDescent="0.25">
      <c r="A87" s="643"/>
      <c r="B87" s="78" t="s">
        <v>4387</v>
      </c>
      <c r="C87" s="82" t="str">
        <f>IFERROR(IF(INDEX('Impact Indicators - Section B '!D$1:D$98,MATCH($A76,'Impact Indicators - Section B '!$A$1:$A$98,0)+1)&lt;&gt;"",FIXED(INDEX('Impact Indicators - Section B '!D$1:D$98,MATCH($A76,'Impact Indicators - Section B '!$A$1:$A$98,0)+1),2),""),"")</f>
        <v/>
      </c>
      <c r="D87" s="82" t="str">
        <f>IFERROR(IF(INDEX('Impact Indicators - Section B '!K$1:K$98,MATCH($A76,'Impact Indicators - Section B '!$A$1:$A$98,0)+1)&lt;&gt;"",FIXED(INDEX('Impact Indicators - Section B '!K$1:K$98,MATCH($A76,'Impact Indicators - Section B '!$A$1:$A$98,0)+1),2),""),"")</f>
        <v/>
      </c>
      <c r="E87" s="82" t="str">
        <f>IFERROR(IF(INDEX('Impact Indicators - Section B '!O$1:O$98,MATCH($A76,'Impact Indicators - Section B '!$A$1:$A$98,0)+1)&lt;&gt;"",FIXED(INDEX('Impact Indicators - Section B '!O$1:O$98,MATCH($A76,'Impact Indicators - Section B '!$A$1:$A$98,0)+1),2),""),"")</f>
        <v/>
      </c>
      <c r="F87" s="82" t="str">
        <f>IFERROR(IF(INDEX('Impact Indicators - Section B '!S$1:S$98,MATCH($A76,'Impact Indicators - Section B '!$A$1:$A$98,0)+1)&lt;&gt;"",FIXED(INDEX('Impact Indicators - Section B '!S$1:S$98,MATCH($A76,'Impact Indicators - Section B '!$A$1:$A$98,0)+1),2),""),"")</f>
        <v/>
      </c>
      <c r="G87" s="82" t="str">
        <f>IFERROR(IF(INDEX('Impact Indicators - Section B '!W$1:W$98,MATCH($A76,'Impact Indicators - Section B '!$A$1:$A$98,0)+1)&lt;&gt;"",FIXED(INDEX('Impact Indicators - Section B '!W$1:W$98,MATCH($A76,'Impact Indicators - Section B '!$A$1:$A$98,0)+1),2),""),"")</f>
        <v/>
      </c>
    </row>
    <row r="88" spans="1:7" ht="18.75" customHeight="1" x14ac:dyDescent="0.25">
      <c r="A88" s="643"/>
      <c r="B88" s="78" t="s">
        <v>4388</v>
      </c>
      <c r="C88" s="79" t="str">
        <f>IFERROR(IF(INDEX('Impact Indicators - Section B '!E$1:E$98,MATCH($A76,'Impact Indicators - Section B '!$A$1:$A$98,0))&lt;&gt;"",FIXED(INDEX('Impact Indicators - Section B '!E$1:E$98,MATCH($A76,'Impact Indicators - Section B '!$A$1:$A$98,0))*100,2)&amp;"%",""),"")</f>
        <v>3,59%</v>
      </c>
      <c r="D88" s="79" t="str">
        <f ca="1">IFERROR(IF(INDEX('Impact Indicators - Section B '!L$1:L$98,MATCH($A76,'Impact Indicators - Section B '!$A$1:$A$98,0))&lt;&gt;"",FIXED(INDEX('Impact Indicators - Section B '!L$1:L$98,MATCH($A76,'Impact Indicators - Section B '!$A$1:$A$98,0))*100,2)&amp;"%",""),"")&amp;CHAR(10)&amp;IFERROR(IF(INDEX('Impact Indicators - Section B '!N$1:N$98,MATCH($A76,'Impact Indicators - Section B '!$A$1:$A$98,0))&lt;&gt;"",INDEX('Impact Indicators - Section B '!N$1:N$98,MATCH($A76,'Impact Indicators - Section B '!$A$1:$A$98,0)),""),"")&amp;CHAR(10)&amp;IFERROR(IF(INDEX('Impact Indicators - Section B '!M$1:M$98,MATCH($A76,'Impact Indicators - Section B '!$A$1:$A$98,0))&lt;&gt;"",TEXT(INDEX('Impact Indicators - Section B '!M$1:M$98,MATCH($A76,'Impact Indicators - Section B '!$A$1:$A$98,0)),Setup!$A$33),""),"")</f>
        <v xml:space="preserve">
</v>
      </c>
      <c r="E88" s="79" t="str">
        <f ca="1">IFERROR(IF(INDEX('Impact Indicators - Section B '!P$1:P$98,MATCH($A76,'Impact Indicators - Section B '!$A$1:$A$98,0))&lt;&gt;"",FIXED(INDEX('Impact Indicators - Section B '!P$1:P$98,MATCH($A76,'Impact Indicators - Section B '!$A$1:$A$98,0))*100,2)&amp;"%",""),"")&amp;CHAR(10)&amp;IFERROR(IF(INDEX('Impact Indicators - Section B '!R$1:R$98,MATCH($A76,'Impact Indicators - Section B '!$A$1:$A$98,0))&lt;&gt;"",INDEX('Impact Indicators - Section B '!R$1:R$98,MATCH($A76,'Impact Indicators - Section B '!$A$1:$A$98,0)),""),"")&amp;CHAR(10)&amp;IFERROR(IF(INDEX('Impact Indicators - Section B '!Q$1:Q$98,MATCH($A76,'Impact Indicators - Section B '!$A$1:$A$98,0))&lt;&gt;"",TEXT(INDEX('Impact Indicators - Section B '!Q$1:Q$98,MATCH($A76,'Impact Indicators - Section B '!$A$1:$A$98,0)),Setup!$A$33),""),"")</f>
        <v xml:space="preserve">
</v>
      </c>
      <c r="F88" s="79" t="str">
        <f>IFERROR(IF(INDEX('Impact Indicators - Section B '!T$1:T$98,MATCH($A76,'Impact Indicators - Section B '!$A$1:$A$98,0))&lt;&gt;"",FIXED(INDEX('Impact Indicators - Section B '!T$1:T$98,MATCH($A76,'Impact Indicators - Section B '!$A$1:$A$98,0))*100,2)&amp;"%",""),"")&amp;CHAR(10)&amp;IFERROR(IF(INDEX('Impact Indicators - Section B '!V$1:V$98,MATCH($A76,'Impact Indicators - Section B '!$A$1:$A$98,0))&lt;&gt;"",FIXED(INDEX('Impact Indicators - Section B '!V$1:V$98,MATCH($A76,'Impact Indicators - Section B '!$A$1:$A$98,0)),Setup!$A$33),""),"")&amp;CHAR(10)&amp;IFERROR(IF(INDEX('Impact Indicators - Section B '!U$1:U$98,MATCH($A76,'Impact Indicators - Section B '!$A$1:$A$98,0))&lt;&gt;"",TEXT(INDEX('Impact Indicators - Section B '!U$1:U$98,MATCH($A76,'Impact Indicators - Section B '!$A$1:$A$98,0)),Setup!$A$33),""),"")</f>
        <v xml:space="preserve">3,00%
</v>
      </c>
      <c r="G88" s="79" t="str">
        <f ca="1">IFERROR(IF(INDEX('Impact Indicators - Section B '!X$1:X$98,MATCH($A76,'Impact Indicators - Section B '!$A$1:$A$98,0))&lt;&gt;"",FIXED(INDEX('Impact Indicators - Section B '!X$1:X$98,MATCH($A76,'Impact Indicators - Section B '!$A$1:$A$98,0))*100,2)&amp;"%",""),"")&amp;CHAR(10)&amp;IFERROR(IF(INDEX('Impact Indicators - Section B '!Z$1:Z$98,MATCH($A76,'Impact Indicators - Section B '!$A$1:$A$98,0))&lt;&gt;"",INDEX('Impact Indicators - Section B '!Z$1:Z$98,MATCH($A76,'Impact Indicators - Section B '!$A$1:$A$98,0)),""),"")&amp;CHAR(10)&amp;IFERROR(IF(INDEX('Impact Indicators - Section B '!Y$1:Y$98,MATCH($A76,'Impact Indicators - Section B '!$A$1:$A$98,0))&lt;&gt;"",TEXT(INDEX('Impact Indicators - Section B '!Y$1:Y$98,MATCH($A76,'Impact Indicators - Section B '!$A$1:$A$98,0)),Setup!$A$33),""),"")</f>
        <v xml:space="preserve">
</v>
      </c>
    </row>
    <row r="89" spans="1:7" ht="18.75" customHeight="1" x14ac:dyDescent="0.25">
      <c r="A89" s="643"/>
      <c r="B89" s="623" t="s">
        <v>176</v>
      </c>
      <c r="C89" s="624"/>
      <c r="D89" s="624"/>
      <c r="E89" s="624"/>
      <c r="F89" s="624"/>
      <c r="G89" s="625"/>
    </row>
    <row r="90" spans="1:7" ht="18.75" customHeight="1" x14ac:dyDescent="0.25">
      <c r="A90" s="643"/>
      <c r="B90" s="633" t="str">
        <f>IFERROR(IF(INDEX('Impact Indicators - Section B '!AA$1:AA$98,MATCH($A76,'Impact Indicators - Section B '!$A$1:$A$98,0))&lt;&gt;0,INDEX('Impact Indicators - Section B '!AA$1:AA$98,MATCH($A76,'Impact Indicators - Section B '!$A$1:$A$98,0)),""),"")</f>
        <v>As a baseline, the results of the 2022 IBBS are presented; the next IBBS among SW is planned in 2026. The data are preliminary, no final report has been submitted. Numerator: Number of SW who test positive for HIV Denominator: Number of SW tested for HIV</v>
      </c>
      <c r="C90" s="634"/>
      <c r="D90" s="634"/>
      <c r="E90" s="634"/>
      <c r="F90" s="634"/>
      <c r="G90" s="635"/>
    </row>
    <row r="91" spans="1:7" ht="18.75" customHeight="1" x14ac:dyDescent="0.25">
      <c r="A91" s="643"/>
      <c r="B91" s="636"/>
      <c r="C91" s="637"/>
      <c r="D91" s="637"/>
      <c r="E91" s="637"/>
      <c r="F91" s="637"/>
      <c r="G91" s="638"/>
    </row>
    <row r="92" spans="1:7" ht="18.75" customHeight="1" x14ac:dyDescent="0.25">
      <c r="A92" s="643"/>
      <c r="B92" s="636"/>
      <c r="C92" s="637"/>
      <c r="D92" s="637"/>
      <c r="E92" s="637"/>
      <c r="F92" s="637"/>
      <c r="G92" s="638"/>
    </row>
    <row r="93" spans="1:7" ht="18.75" customHeight="1" x14ac:dyDescent="0.25">
      <c r="A93" s="643"/>
      <c r="B93" s="636"/>
      <c r="C93" s="637"/>
      <c r="D93" s="637"/>
      <c r="E93" s="637"/>
      <c r="F93" s="637"/>
      <c r="G93" s="638"/>
    </row>
    <row r="94" spans="1:7" ht="18.75" customHeight="1" x14ac:dyDescent="0.25">
      <c r="A94" s="643"/>
      <c r="B94" s="636"/>
      <c r="C94" s="637"/>
      <c r="D94" s="637"/>
      <c r="E94" s="637"/>
      <c r="F94" s="637"/>
      <c r="G94" s="638"/>
    </row>
    <row r="95" spans="1:7" ht="18.75" customHeight="1" x14ac:dyDescent="0.25">
      <c r="A95" s="643"/>
      <c r="B95" s="636"/>
      <c r="C95" s="637"/>
      <c r="D95" s="637"/>
      <c r="E95" s="637"/>
      <c r="F95" s="637"/>
      <c r="G95" s="638"/>
    </row>
    <row r="96" spans="1:7" ht="18.75" customHeight="1" x14ac:dyDescent="0.25">
      <c r="A96" s="643"/>
      <c r="B96" s="636"/>
      <c r="C96" s="637"/>
      <c r="D96" s="637"/>
      <c r="E96" s="637"/>
      <c r="F96" s="637"/>
      <c r="G96" s="638"/>
    </row>
    <row r="97" spans="1:7" ht="18.75" customHeight="1" x14ac:dyDescent="0.25">
      <c r="A97" s="643"/>
      <c r="B97" s="636"/>
      <c r="C97" s="637"/>
      <c r="D97" s="637"/>
      <c r="E97" s="637"/>
      <c r="F97" s="637"/>
      <c r="G97" s="638"/>
    </row>
    <row r="98" spans="1:7" ht="18.75" customHeight="1" x14ac:dyDescent="0.25">
      <c r="A98" s="643"/>
      <c r="B98" s="636"/>
      <c r="C98" s="637"/>
      <c r="D98" s="637"/>
      <c r="E98" s="637"/>
      <c r="F98" s="637"/>
      <c r="G98" s="638"/>
    </row>
    <row r="99" spans="1:7" ht="18.75" customHeight="1" x14ac:dyDescent="0.25">
      <c r="A99" s="643"/>
      <c r="B99" s="636"/>
      <c r="C99" s="637"/>
      <c r="D99" s="637"/>
      <c r="E99" s="637"/>
      <c r="F99" s="637"/>
      <c r="G99" s="638"/>
    </row>
    <row r="100" spans="1:7" ht="18.75" customHeight="1" x14ac:dyDescent="0.25">
      <c r="A100" s="639"/>
      <c r="B100" s="640"/>
      <c r="C100" s="640"/>
      <c r="D100" s="640"/>
      <c r="E100" s="640"/>
      <c r="F100" s="640"/>
      <c r="G100" s="641"/>
    </row>
    <row r="102" spans="1:7" ht="18.75" customHeight="1" x14ac:dyDescent="0.25">
      <c r="A102" s="77" t="s">
        <v>4383</v>
      </c>
      <c r="B102" s="623" t="s">
        <v>738</v>
      </c>
      <c r="C102" s="624"/>
      <c r="D102" s="625"/>
      <c r="E102" s="623" t="s">
        <v>739</v>
      </c>
      <c r="F102" s="624"/>
      <c r="G102" s="625"/>
    </row>
    <row r="103" spans="1:7" ht="18.75" customHeight="1" x14ac:dyDescent="0.25">
      <c r="A103" s="642">
        <v>4</v>
      </c>
      <c r="B103" s="633" t="str">
        <f>IFERROR(IF(INDEX('Impact Indicators - Section B '!B$1:B$98,MATCH($A103,'Impact Indicators - Section B '!$A$1:$A$98,0))&lt;&gt;0,INDEX('Impact Indicators - Section B '!B$1:B$98,MATCH($A103,'Impact Indicators - Section B '!$A$1:$A$98,0)),""),"")</f>
        <v>HIV I-9b⁽ᴹ⁾ Percentage of transgender people who are living with HIV</v>
      </c>
      <c r="C103" s="634"/>
      <c r="D103" s="635"/>
      <c r="E103" s="633" t="str">
        <f>IFERROR(IF(INDEX('Impact Indicators - Section B '!C$1:C$98,MATCH($A103,'Impact Indicators - Section B '!$A$1:$A$98,0))&lt;&gt;0,INDEX('Impact Indicators - Section B '!C$1:C$98,MATCH($A103,'Impact Indicators - Section B '!$A$1:$A$98,0)),""),"")</f>
        <v/>
      </c>
      <c r="F103" s="634"/>
      <c r="G103" s="635"/>
    </row>
    <row r="104" spans="1:7" ht="18.75" customHeight="1" x14ac:dyDescent="0.25">
      <c r="A104" s="643"/>
      <c r="B104" s="636"/>
      <c r="C104" s="637"/>
      <c r="D104" s="638"/>
      <c r="E104" s="636"/>
      <c r="F104" s="637"/>
      <c r="G104" s="638"/>
    </row>
    <row r="105" spans="1:7" ht="18.75" customHeight="1" x14ac:dyDescent="0.25">
      <c r="A105" s="643"/>
      <c r="B105" s="644"/>
      <c r="C105" s="645"/>
      <c r="D105" s="646"/>
      <c r="E105" s="644"/>
      <c r="F105" s="645"/>
      <c r="G105" s="646"/>
    </row>
    <row r="106" spans="1:7" ht="18.75" customHeight="1" x14ac:dyDescent="0.25">
      <c r="A106" s="643"/>
      <c r="B106" s="623" t="s">
        <v>742</v>
      </c>
      <c r="C106" s="624"/>
      <c r="D106" s="625"/>
      <c r="E106" s="623" t="s">
        <v>127</v>
      </c>
      <c r="F106" s="624"/>
      <c r="G106" s="625"/>
    </row>
    <row r="107" spans="1:7" ht="18.75" customHeight="1" x14ac:dyDescent="0.25">
      <c r="A107" s="643"/>
      <c r="B107" s="647" t="str">
        <f>IFERROR(IF(INDEX('Impact Indicators - Section B '!H$1:H$98,MATCH($A103,'Impact Indicators - Section B '!$A$1:$A$98,0))&lt;&gt;0,INDEX('Impact Indicators - Section B '!H$1:H$98,MATCH($A103,'Impact Indicators - Section B '!$A$1:$A$98,0)),""),"")</f>
        <v>Age</v>
      </c>
      <c r="C107" s="648"/>
      <c r="D107" s="649"/>
      <c r="E107" s="647" t="str">
        <f>IFERROR(IF(INDEX('Impact Indicators - Section B '!J$1:J$98,MATCH($A103,'Impact Indicators - Section B '!$A$1:$A$98,0))&lt;&gt;0,INDEX('Impact Indicators - Section B '!J$1:J$98,MATCH($A103,'Impact Indicators - Section B '!$A$1:$A$98,0)),""),"")</f>
        <v>Kyrgyzstan</v>
      </c>
      <c r="F107" s="648"/>
      <c r="G107" s="649"/>
    </row>
    <row r="108" spans="1:7" ht="18.75" customHeight="1" x14ac:dyDescent="0.25">
      <c r="A108" s="643"/>
      <c r="B108" s="623" t="s">
        <v>199</v>
      </c>
      <c r="C108" s="624"/>
      <c r="D108" s="625"/>
      <c r="E108" s="623" t="s">
        <v>120</v>
      </c>
      <c r="F108" s="624"/>
      <c r="G108" s="625"/>
    </row>
    <row r="109" spans="1:7" ht="18.75" customHeight="1" x14ac:dyDescent="0.25">
      <c r="A109" s="643"/>
      <c r="B109" s="633" t="str">
        <f>IFERROR(IF(INDEX('Impact Indicators - Section B '!G$1:G$98,MATCH($A103,'Impact Indicators - Section B '!$A$1:$A$98,0))&lt;&gt;0,INDEX('Impact Indicators - Section B '!G$1:G$98,MATCH($A103,'Impact Indicators - Section B '!$A$1:$A$98,0)),""),"")</f>
        <v>IBBS 2021 Kyrgyz Republic</v>
      </c>
      <c r="C109" s="634"/>
      <c r="D109" s="635"/>
      <c r="E109" s="633" t="str">
        <f>IFERROR(IF(AND('Overview - Section A'!AS$1="Grant Making",OR(B103&lt;&gt;"",E103&lt;&gt;"")),Setup!I96,IF(INDEX('Impact Indicators - Section B '!I$1:I$98,MATCH($A103,'Impact Indicators - Section B '!$A$1:$A$98,0))&lt;&gt;0,INDEX('Impact Indicators - Section B '!I$1:I$98,MATCH($A103,'Impact Indicators - Section B '!$A$1:$A$98,0)),"")),"")</f>
        <v>United Nations Development Programme</v>
      </c>
      <c r="F109" s="634"/>
      <c r="G109" s="635"/>
    </row>
    <row r="110" spans="1:7" ht="18.75" customHeight="1" x14ac:dyDescent="0.25">
      <c r="A110" s="643"/>
      <c r="B110" s="644"/>
      <c r="C110" s="645"/>
      <c r="D110" s="646"/>
      <c r="E110" s="644"/>
      <c r="F110" s="645"/>
      <c r="G110" s="646"/>
    </row>
    <row r="111" spans="1:7" ht="18.75" customHeight="1" x14ac:dyDescent="0.25">
      <c r="A111" s="643"/>
      <c r="B111" s="78"/>
      <c r="C111" s="63" t="s">
        <v>4384</v>
      </c>
      <c r="D111" s="623" t="s">
        <v>4385</v>
      </c>
      <c r="E111" s="624"/>
      <c r="F111" s="624"/>
      <c r="G111" s="625"/>
    </row>
    <row r="112" spans="1:7" ht="18.75" customHeight="1" x14ac:dyDescent="0.25">
      <c r="A112" s="643"/>
      <c r="B112" s="78" t="s">
        <v>2559</v>
      </c>
      <c r="C112" s="79" t="str">
        <f>IFERROR(IF(INDEX('Impact Indicators - Section B '!F$1:F$98,MATCH($A103,'Impact Indicators - Section B '!$A$1:$A$98,0))&lt;&gt;0,INDEX('Impact Indicators - Section B '!F$1:F$98,MATCH($A103,'Impact Indicators - Section B '!$A$1:$A$98,0)),""),"")&amp;CHAR(10)&amp;IFERROR(IF(INDEX('Impact Indicators - Section B '!G$1:G$98,MATCH($A103,'Impact Indicators - Section B '!$A$1:$A$98,0))&lt;&gt;0,INDEX('Impact Indicators - Section B '!G$1:G$98,MATCH($A103,'Impact Indicators - Section B '!$A$1:$A$98,0)),""),"")</f>
        <v>2021
IBBS 2021 Kyrgyz Republic</v>
      </c>
      <c r="D112" s="63">
        <f ca="1">IFERROR(IF(YEAR(INDEX('Overview - Section A'!$A$47:$A$54,MATCH('Print - Summary'!$H$10,'Overview - Section A'!$B$47:$B$54,0)))&lt;=YEAR('Overview - Section A'!$E$8),YEAR(INDEX('Overview - Section A'!$A$47:$A$54,MATCH('Print - Summary'!$H$10,'Overview - Section A'!$B$47:$B$54,0))),""),"")</f>
        <v>2024</v>
      </c>
      <c r="E112" s="63">
        <f ca="1">IFERROR(IF(D112+1&lt;=YEAR('Overview - Section A'!$E$8),D112+1,""),"")</f>
        <v>2025</v>
      </c>
      <c r="F112" s="63">
        <f ca="1">IFERROR(IF(E112+1&lt;=YEAR('Overview - Section A'!$E$8),E112+1,""),"")</f>
        <v>2026</v>
      </c>
      <c r="G112" s="63" t="str">
        <f ca="1">IFERROR(IF(F112+1&lt;=YEAR('Overview - Section A'!$E$8),F112+1,""),"")</f>
        <v/>
      </c>
    </row>
    <row r="113" spans="1:7" s="81" customFormat="1" ht="18.75" customHeight="1" x14ac:dyDescent="0.25">
      <c r="A113" s="643"/>
      <c r="B113" s="78" t="s">
        <v>4386</v>
      </c>
      <c r="C113" s="80" t="str">
        <f>IFERROR(IF(INDEX('Impact Indicators - Section B '!D$1:D$98,MATCH($A103,'Impact Indicators - Section B '!$A$1:$A$98,0))&lt;&gt;"",FIXED(INDEX('Impact Indicators - Section B '!D$1:D$98,MATCH($A103,'Impact Indicators - Section B '!$A$1:$A$98,0)),4),""),"")</f>
        <v/>
      </c>
      <c r="D113" s="80" t="str">
        <f>IFERROR(IF(INDEX('Impact Indicators - Section B '!K$1:K$98,MATCH($A103,'Impact Indicators - Section B '!$A$1:$A$98,0))&lt;&gt;"",FIXED(INDEX('Impact Indicators - Section B '!K$1:K$98,MATCH($A103,'Impact Indicators - Section B '!$A$1:$A$98,0)),4),""),"")</f>
        <v/>
      </c>
      <c r="E113" s="80" t="str">
        <f>IFERROR(IF(INDEX('Impact Indicators - Section B '!O$1:O$98,MATCH($A103,'Impact Indicators - Section B '!$A$1:$A$98,0))&lt;&gt;"",FIXED(INDEX('Impact Indicators - Section B '!O$1:O$98,MATCH($A103,'Impact Indicators - Section B '!$A$1:$A$98,0)),4),""),"")</f>
        <v/>
      </c>
      <c r="F113" s="80" t="str">
        <f>IFERROR(IF(INDEX('Impact Indicators - Section B '!S$1:S$98,MATCH($A103,'Impact Indicators - Section B '!$A$1:$A$98,0))&lt;&gt;"",FIXED(INDEX('Impact Indicators - Section B '!S$1:S$98,MATCH($A103,'Impact Indicators - Section B '!$A$1:$A$98,0)),4),""),"")</f>
        <v/>
      </c>
      <c r="G113" s="80" t="str">
        <f>IFERROR(IF(INDEX('Impact Indicators - Section B '!W$1:W$98,MATCH($A103,'Impact Indicators - Section B '!$A$1:$A$98,0))&lt;&gt;"",FIXED(INDEX('Impact Indicators - Section B '!W$1:W$98,MATCH($A103,'Impact Indicators - Section B '!$A$1:$A$98,0)),4),""),"")</f>
        <v/>
      </c>
    </row>
    <row r="114" spans="1:7" s="83" customFormat="1" ht="18.75" customHeight="1" x14ac:dyDescent="0.25">
      <c r="A114" s="643"/>
      <c r="B114" s="78" t="s">
        <v>4387</v>
      </c>
      <c r="C114" s="82" t="str">
        <f>IFERROR(IF(INDEX('Impact Indicators - Section B '!D$1:D$98,MATCH($A103,'Impact Indicators - Section B '!$A$1:$A$98,0)+1)&lt;&gt;"",FIXED(INDEX('Impact Indicators - Section B '!D$1:D$98,MATCH($A103,'Impact Indicators - Section B '!$A$1:$A$98,0)+1),2),""),"")</f>
        <v/>
      </c>
      <c r="D114" s="82" t="str">
        <f>IFERROR(IF(INDEX('Impact Indicators - Section B '!K$1:K$98,MATCH($A103,'Impact Indicators - Section B '!$A$1:$A$98,0)+1)&lt;&gt;"",FIXED(INDEX('Impact Indicators - Section B '!K$1:K$98,MATCH($A103,'Impact Indicators - Section B '!$A$1:$A$98,0)+1),2),""),"")</f>
        <v/>
      </c>
      <c r="E114" s="82" t="str">
        <f>IFERROR(IF(INDEX('Impact Indicators - Section B '!O$1:O$98,MATCH($A103,'Impact Indicators - Section B '!$A$1:$A$98,0)+1)&lt;&gt;"",FIXED(INDEX('Impact Indicators - Section B '!O$1:O$98,MATCH($A103,'Impact Indicators - Section B '!$A$1:$A$98,0)+1),2),""),"")</f>
        <v/>
      </c>
      <c r="F114" s="82" t="str">
        <f>IFERROR(IF(INDEX('Impact Indicators - Section B '!S$1:S$98,MATCH($A103,'Impact Indicators - Section B '!$A$1:$A$98,0)+1)&lt;&gt;"",FIXED(INDEX('Impact Indicators - Section B '!S$1:S$98,MATCH($A103,'Impact Indicators - Section B '!$A$1:$A$98,0)+1),2),""),"")</f>
        <v/>
      </c>
      <c r="G114" s="82" t="str">
        <f>IFERROR(IF(INDEX('Impact Indicators - Section B '!W$1:W$98,MATCH($A103,'Impact Indicators - Section B '!$A$1:$A$98,0)+1)&lt;&gt;"",FIXED(INDEX('Impact Indicators - Section B '!W$1:W$98,MATCH($A103,'Impact Indicators - Section B '!$A$1:$A$98,0)+1),2),""),"")</f>
        <v/>
      </c>
    </row>
    <row r="115" spans="1:7" ht="18.75" customHeight="1" x14ac:dyDescent="0.25">
      <c r="A115" s="643"/>
      <c r="B115" s="78" t="s">
        <v>4388</v>
      </c>
      <c r="C115" s="79" t="str">
        <f>IFERROR(IF(INDEX('Impact Indicators - Section B '!E$1:E$98,MATCH($A103,'Impact Indicators - Section B '!$A$1:$A$98,0))&lt;&gt;"",FIXED(INDEX('Impact Indicators - Section B '!E$1:E$98,MATCH($A103,'Impact Indicators - Section B '!$A$1:$A$98,0))*100,2)&amp;"%",""),"")</f>
        <v>19,64%</v>
      </c>
      <c r="D115" s="79" t="str">
        <f ca="1">IFERROR(IF(INDEX('Impact Indicators - Section B '!L$1:L$98,MATCH($A103,'Impact Indicators - Section B '!$A$1:$A$98,0))&lt;&gt;"",FIXED(INDEX('Impact Indicators - Section B '!L$1:L$98,MATCH($A103,'Impact Indicators - Section B '!$A$1:$A$98,0))*100,2)&amp;"%",""),"")&amp;CHAR(10)&amp;IFERROR(IF(INDEX('Impact Indicators - Section B '!N$1:N$98,MATCH($A103,'Impact Indicators - Section B '!$A$1:$A$98,0))&lt;&gt;"",INDEX('Impact Indicators - Section B '!N$1:N$98,MATCH($A103,'Impact Indicators - Section B '!$A$1:$A$98,0)),""),"")&amp;CHAR(10)&amp;IFERROR(IF(INDEX('Impact Indicators - Section B '!M$1:M$98,MATCH($A103,'Impact Indicators - Section B '!$A$1:$A$98,0))&lt;&gt;"",TEXT(INDEX('Impact Indicators - Section B '!M$1:M$98,MATCH($A103,'Impact Indicators - Section B '!$A$1:$A$98,0)),Setup!$A$33),""),"")</f>
        <v xml:space="preserve">
</v>
      </c>
      <c r="E115" s="79" t="str">
        <f ca="1">IFERROR(IF(INDEX('Impact Indicators - Section B '!P$1:P$98,MATCH($A103,'Impact Indicators - Section B '!$A$1:$A$98,0))&lt;&gt;"",FIXED(INDEX('Impact Indicators - Section B '!P$1:P$98,MATCH($A103,'Impact Indicators - Section B '!$A$1:$A$98,0))*100,2)&amp;"%",""),"")&amp;CHAR(10)&amp;IFERROR(IF(INDEX('Impact Indicators - Section B '!R$1:R$98,MATCH($A103,'Impact Indicators - Section B '!$A$1:$A$98,0))&lt;&gt;"",INDEX('Impact Indicators - Section B '!R$1:R$98,MATCH($A103,'Impact Indicators - Section B '!$A$1:$A$98,0)),""),"")&amp;CHAR(10)&amp;IFERROR(IF(INDEX('Impact Indicators - Section B '!Q$1:Q$98,MATCH($A103,'Impact Indicators - Section B '!$A$1:$A$98,0))&lt;&gt;"",TEXT(INDEX('Impact Indicators - Section B '!Q$1:Q$98,MATCH($A103,'Impact Indicators - Section B '!$A$1:$A$98,0)),Setup!$A$33),""),"")</f>
        <v xml:space="preserve">
</v>
      </c>
      <c r="F115" s="79" t="str">
        <f>IFERROR(IF(INDEX('Impact Indicators - Section B '!T$1:T$98,MATCH($A103,'Impact Indicators - Section B '!$A$1:$A$98,0))&lt;&gt;"",FIXED(INDEX('Impact Indicators - Section B '!T$1:T$98,MATCH($A103,'Impact Indicators - Section B '!$A$1:$A$98,0))*100,2)&amp;"%",""),"")&amp;CHAR(10)&amp;IFERROR(IF(INDEX('Impact Indicators - Section B '!V$1:V$98,MATCH($A103,'Impact Indicators - Section B '!$A$1:$A$98,0))&lt;&gt;"",FIXED(INDEX('Impact Indicators - Section B '!V$1:V$98,MATCH($A103,'Impact Indicators - Section B '!$A$1:$A$98,0)),Setup!$A$33),""),"")&amp;CHAR(10)&amp;IFERROR(IF(INDEX('Impact Indicators - Section B '!U$1:U$98,MATCH($A103,'Impact Indicators - Section B '!$A$1:$A$98,0))&lt;&gt;"",TEXT(INDEX('Impact Indicators - Section B '!U$1:U$98,MATCH($A103,'Impact Indicators - Section B '!$A$1:$A$98,0)),Setup!$A$33),""),"")</f>
        <v xml:space="preserve">19,00%
</v>
      </c>
      <c r="G115" s="79" t="str">
        <f ca="1">IFERROR(IF(INDEX('Impact Indicators - Section B '!X$1:X$98,MATCH($A103,'Impact Indicators - Section B '!$A$1:$A$98,0))&lt;&gt;"",FIXED(INDEX('Impact Indicators - Section B '!X$1:X$98,MATCH($A103,'Impact Indicators - Section B '!$A$1:$A$98,0))*100,2)&amp;"%",""),"")&amp;CHAR(10)&amp;IFERROR(IF(INDEX('Impact Indicators - Section B '!Z$1:Z$98,MATCH($A103,'Impact Indicators - Section B '!$A$1:$A$98,0))&lt;&gt;"",INDEX('Impact Indicators - Section B '!Z$1:Z$98,MATCH($A103,'Impact Indicators - Section B '!$A$1:$A$98,0)),""),"")&amp;CHAR(10)&amp;IFERROR(IF(INDEX('Impact Indicators - Section B '!Y$1:Y$98,MATCH($A103,'Impact Indicators - Section B '!$A$1:$A$98,0))&lt;&gt;"",TEXT(INDEX('Impact Indicators - Section B '!Y$1:Y$98,MATCH($A103,'Impact Indicators - Section B '!$A$1:$A$98,0)),Setup!$A$33),""),"")</f>
        <v xml:space="preserve">
</v>
      </c>
    </row>
    <row r="116" spans="1:7" ht="18.75" customHeight="1" x14ac:dyDescent="0.25">
      <c r="A116" s="643"/>
      <c r="B116" s="623" t="s">
        <v>176</v>
      </c>
      <c r="C116" s="624"/>
      <c r="D116" s="624"/>
      <c r="E116" s="624"/>
      <c r="F116" s="624"/>
      <c r="G116" s="625"/>
    </row>
    <row r="117" spans="1:7" ht="18.75" customHeight="1" x14ac:dyDescent="0.25">
      <c r="A117" s="643"/>
      <c r="B117" s="633" t="str">
        <f>IFERROR(IF(INDEX('Impact Indicators - Section B '!AA$1:AA$98,MATCH($A103,'Impact Indicators - Section B '!$A$1:$A$98,0))&lt;&gt;0,INDEX('Impact Indicators - Section B '!AA$1:AA$98,MATCH($A103,'Impact Indicators - Section B '!$A$1:$A$98,0)),""),"")</f>
        <v>As a baseline, the results of the 2021 IBBS are presented, weighted by the size of the social network of respondents. RCHV&amp;HIV report "Biobehavioral HIV Research among Transgender People, Bishkek, 2021. Numerator: Number of TG people who test positive for HIV Denominator: Number of TG people tested for HIV</v>
      </c>
      <c r="C117" s="634"/>
      <c r="D117" s="634"/>
      <c r="E117" s="634"/>
      <c r="F117" s="634"/>
      <c r="G117" s="635"/>
    </row>
    <row r="118" spans="1:7" ht="18.75" customHeight="1" x14ac:dyDescent="0.25">
      <c r="A118" s="643"/>
      <c r="B118" s="636"/>
      <c r="C118" s="637"/>
      <c r="D118" s="637"/>
      <c r="E118" s="637"/>
      <c r="F118" s="637"/>
      <c r="G118" s="638"/>
    </row>
    <row r="119" spans="1:7" ht="18.75" customHeight="1" x14ac:dyDescent="0.25">
      <c r="A119" s="643"/>
      <c r="B119" s="636"/>
      <c r="C119" s="637"/>
      <c r="D119" s="637"/>
      <c r="E119" s="637"/>
      <c r="F119" s="637"/>
      <c r="G119" s="638"/>
    </row>
    <row r="120" spans="1:7" ht="18.75" customHeight="1" x14ac:dyDescent="0.25">
      <c r="A120" s="643"/>
      <c r="B120" s="636"/>
      <c r="C120" s="637"/>
      <c r="D120" s="637"/>
      <c r="E120" s="637"/>
      <c r="F120" s="637"/>
      <c r="G120" s="638"/>
    </row>
    <row r="121" spans="1:7" ht="18.75" customHeight="1" x14ac:dyDescent="0.25">
      <c r="A121" s="643"/>
      <c r="B121" s="636"/>
      <c r="C121" s="637"/>
      <c r="D121" s="637"/>
      <c r="E121" s="637"/>
      <c r="F121" s="637"/>
      <c r="G121" s="638"/>
    </row>
    <row r="122" spans="1:7" ht="18.75" customHeight="1" x14ac:dyDescent="0.25">
      <c r="A122" s="643"/>
      <c r="B122" s="636"/>
      <c r="C122" s="637"/>
      <c r="D122" s="637"/>
      <c r="E122" s="637"/>
      <c r="F122" s="637"/>
      <c r="G122" s="638"/>
    </row>
    <row r="123" spans="1:7" ht="18.75" customHeight="1" x14ac:dyDescent="0.25">
      <c r="A123" s="643"/>
      <c r="B123" s="636"/>
      <c r="C123" s="637"/>
      <c r="D123" s="637"/>
      <c r="E123" s="637"/>
      <c r="F123" s="637"/>
      <c r="G123" s="638"/>
    </row>
    <row r="124" spans="1:7" ht="18.75" customHeight="1" x14ac:dyDescent="0.25">
      <c r="A124" s="643"/>
      <c r="B124" s="636"/>
      <c r="C124" s="637"/>
      <c r="D124" s="637"/>
      <c r="E124" s="637"/>
      <c r="F124" s="637"/>
      <c r="G124" s="638"/>
    </row>
    <row r="125" spans="1:7" ht="18.75" customHeight="1" x14ac:dyDescent="0.25">
      <c r="A125" s="643"/>
      <c r="B125" s="636"/>
      <c r="C125" s="637"/>
      <c r="D125" s="637"/>
      <c r="E125" s="637"/>
      <c r="F125" s="637"/>
      <c r="G125" s="638"/>
    </row>
    <row r="126" spans="1:7" ht="18.75" customHeight="1" x14ac:dyDescent="0.25">
      <c r="A126" s="643"/>
      <c r="B126" s="636"/>
      <c r="C126" s="637"/>
      <c r="D126" s="637"/>
      <c r="E126" s="637"/>
      <c r="F126" s="637"/>
      <c r="G126" s="638"/>
    </row>
    <row r="127" spans="1:7" ht="18.75" customHeight="1" x14ac:dyDescent="0.25">
      <c r="A127" s="639"/>
      <c r="B127" s="640"/>
      <c r="C127" s="640"/>
      <c r="D127" s="640"/>
      <c r="E127" s="640"/>
      <c r="F127" s="640"/>
      <c r="G127" s="641"/>
    </row>
    <row r="129" spans="1:7" ht="18.75" customHeight="1" x14ac:dyDescent="0.25">
      <c r="A129" s="77" t="s">
        <v>4383</v>
      </c>
      <c r="B129" s="623" t="s">
        <v>738</v>
      </c>
      <c r="C129" s="624"/>
      <c r="D129" s="625"/>
      <c r="E129" s="623" t="s">
        <v>739</v>
      </c>
      <c r="F129" s="624"/>
      <c r="G129" s="625"/>
    </row>
    <row r="130" spans="1:7" ht="18.75" customHeight="1" x14ac:dyDescent="0.25">
      <c r="A130" s="642">
        <v>5</v>
      </c>
      <c r="B130" s="633" t="str">
        <f>IFERROR(IF(INDEX('Impact Indicators - Section B '!B$1:B$98,MATCH($A130,'Impact Indicators - Section B '!$A$1:$A$98,0))&lt;&gt;0,INDEX('Impact Indicators - Section B '!B$1:B$98,MATCH($A130,'Impact Indicators - Section B '!$A$1:$A$98,0)),""),"")</f>
        <v>HIV I-11⁽ᴹ⁾ Percentage of people who inject drugs who are living with HIV</v>
      </c>
      <c r="C130" s="634"/>
      <c r="D130" s="635"/>
      <c r="E130" s="633" t="str">
        <f>IFERROR(IF(INDEX('Impact Indicators - Section B '!C$1:C$98,MATCH($A130,'Impact Indicators - Section B '!$A$1:$A$98,0))&lt;&gt;0,INDEX('Impact Indicators - Section B '!C$1:C$98,MATCH($A130,'Impact Indicators - Section B '!$A$1:$A$98,0)),""),"")</f>
        <v/>
      </c>
      <c r="F130" s="634"/>
      <c r="G130" s="635"/>
    </row>
    <row r="131" spans="1:7" ht="18.75" customHeight="1" x14ac:dyDescent="0.25">
      <c r="A131" s="643"/>
      <c r="B131" s="636"/>
      <c r="C131" s="637"/>
      <c r="D131" s="638"/>
      <c r="E131" s="636"/>
      <c r="F131" s="637"/>
      <c r="G131" s="638"/>
    </row>
    <row r="132" spans="1:7" ht="18.75" customHeight="1" x14ac:dyDescent="0.25">
      <c r="A132" s="643"/>
      <c r="B132" s="644"/>
      <c r="C132" s="645"/>
      <c r="D132" s="646"/>
      <c r="E132" s="644"/>
      <c r="F132" s="645"/>
      <c r="G132" s="646"/>
    </row>
    <row r="133" spans="1:7" ht="18.75" customHeight="1" x14ac:dyDescent="0.25">
      <c r="A133" s="643"/>
      <c r="B133" s="623" t="s">
        <v>742</v>
      </c>
      <c r="C133" s="624"/>
      <c r="D133" s="625"/>
      <c r="E133" s="623" t="s">
        <v>127</v>
      </c>
      <c r="F133" s="624"/>
      <c r="G133" s="625"/>
    </row>
    <row r="134" spans="1:7" ht="18.75" customHeight="1" x14ac:dyDescent="0.25">
      <c r="A134" s="643"/>
      <c r="B134" s="647" t="str">
        <f>IFERROR(IF(INDEX('Impact Indicators - Section B '!H$1:H$98,MATCH($A130,'Impact Indicators - Section B '!$A$1:$A$98,0))&lt;&gt;0,INDEX('Impact Indicators - Section B '!H$1:H$98,MATCH($A130,'Impact Indicators - Section B '!$A$1:$A$98,0)),""),"")</f>
        <v>Gender,Age</v>
      </c>
      <c r="C134" s="648"/>
      <c r="D134" s="649"/>
      <c r="E134" s="647" t="str">
        <f>IFERROR(IF(INDEX('Impact Indicators - Section B '!J$1:J$98,MATCH($A130,'Impact Indicators - Section B '!$A$1:$A$98,0))&lt;&gt;0,INDEX('Impact Indicators - Section B '!J$1:J$98,MATCH($A130,'Impact Indicators - Section B '!$A$1:$A$98,0)),""),"")</f>
        <v>Kyrgyzstan</v>
      </c>
      <c r="F134" s="648"/>
      <c r="G134" s="649"/>
    </row>
    <row r="135" spans="1:7" ht="18.75" customHeight="1" x14ac:dyDescent="0.25">
      <c r="A135" s="643"/>
      <c r="B135" s="623" t="s">
        <v>199</v>
      </c>
      <c r="C135" s="624"/>
      <c r="D135" s="625"/>
      <c r="E135" s="623" t="s">
        <v>120</v>
      </c>
      <c r="F135" s="624"/>
      <c r="G135" s="625"/>
    </row>
    <row r="136" spans="1:7" ht="18.75" customHeight="1" x14ac:dyDescent="0.25">
      <c r="A136" s="643"/>
      <c r="B136" s="633" t="str">
        <f>IFERROR(IF(INDEX('Impact Indicators - Section B '!G$1:G$98,MATCH($A130,'Impact Indicators - Section B '!$A$1:$A$98,0))&lt;&gt;0,INDEX('Impact Indicators - Section B '!G$1:G$98,MATCH($A130,'Impact Indicators - Section B '!$A$1:$A$98,0)),""),"")</f>
        <v>IBBS 2021 Kyrgyz Republic</v>
      </c>
      <c r="C136" s="634"/>
      <c r="D136" s="635"/>
      <c r="E136" s="633" t="str">
        <f>IFERROR(IF(AND('Overview - Section A'!AS$1="Grant Making",OR(B130&lt;&gt;"",E130&lt;&gt;"")),Setup!I123,IF(INDEX('Impact Indicators - Section B '!I$1:I$98,MATCH($A130,'Impact Indicators - Section B '!$A$1:$A$98,0))&lt;&gt;0,INDEX('Impact Indicators - Section B '!I$1:I$98,MATCH($A130,'Impact Indicators - Section B '!$A$1:$A$98,0)),"")),"")</f>
        <v>United Nations Development Programme</v>
      </c>
      <c r="F136" s="634"/>
      <c r="G136" s="635"/>
    </row>
    <row r="137" spans="1:7" ht="18.75" customHeight="1" x14ac:dyDescent="0.25">
      <c r="A137" s="643"/>
      <c r="B137" s="644"/>
      <c r="C137" s="645"/>
      <c r="D137" s="646"/>
      <c r="E137" s="644"/>
      <c r="F137" s="645"/>
      <c r="G137" s="646"/>
    </row>
    <row r="138" spans="1:7" ht="18.75" customHeight="1" x14ac:dyDescent="0.25">
      <c r="A138" s="643"/>
      <c r="B138" s="78"/>
      <c r="C138" s="63" t="s">
        <v>4384</v>
      </c>
      <c r="D138" s="623" t="s">
        <v>4385</v>
      </c>
      <c r="E138" s="624"/>
      <c r="F138" s="624"/>
      <c r="G138" s="625"/>
    </row>
    <row r="139" spans="1:7" ht="18.75" customHeight="1" x14ac:dyDescent="0.25">
      <c r="A139" s="643"/>
      <c r="B139" s="78" t="s">
        <v>2559</v>
      </c>
      <c r="C139" s="79" t="str">
        <f>IFERROR(IF(INDEX('Impact Indicators - Section B '!F$1:F$98,MATCH($A130,'Impact Indicators - Section B '!$A$1:$A$98,0))&lt;&gt;0,INDEX('Impact Indicators - Section B '!F$1:F$98,MATCH($A130,'Impact Indicators - Section B '!$A$1:$A$98,0)),""),"")&amp;CHAR(10)&amp;IFERROR(IF(INDEX('Impact Indicators - Section B '!G$1:G$98,MATCH($A130,'Impact Indicators - Section B '!$A$1:$A$98,0))&lt;&gt;0,INDEX('Impact Indicators - Section B '!G$1:G$98,MATCH($A130,'Impact Indicators - Section B '!$A$1:$A$98,0)),""),"")</f>
        <v>2021
IBBS 2021 Kyrgyz Republic</v>
      </c>
      <c r="D139" s="63">
        <f ca="1">IFERROR(IF(YEAR(INDEX('Overview - Section A'!$A$47:$A$54,MATCH('Print - Summary'!$H$10,'Overview - Section A'!$B$47:$B$54,0)))&lt;=YEAR('Overview - Section A'!$E$8),YEAR(INDEX('Overview - Section A'!$A$47:$A$54,MATCH('Print - Summary'!$H$10,'Overview - Section A'!$B$47:$B$54,0))),""),"")</f>
        <v>2024</v>
      </c>
      <c r="E139" s="63">
        <f ca="1">IFERROR(IF(D139+1&lt;=YEAR('Overview - Section A'!$E$8),D139+1,""),"")</f>
        <v>2025</v>
      </c>
      <c r="F139" s="63">
        <f ca="1">IFERROR(IF(E139+1&lt;=YEAR('Overview - Section A'!$E$8),E139+1,""),"")</f>
        <v>2026</v>
      </c>
      <c r="G139" s="63" t="str">
        <f ca="1">IFERROR(IF(F139+1&lt;=YEAR('Overview - Section A'!$E$8),F139+1,""),"")</f>
        <v/>
      </c>
    </row>
    <row r="140" spans="1:7" s="81" customFormat="1" ht="18.75" customHeight="1" x14ac:dyDescent="0.25">
      <c r="A140" s="643"/>
      <c r="B140" s="78" t="s">
        <v>4386</v>
      </c>
      <c r="C140" s="80" t="str">
        <f>IFERROR(IF(INDEX('Impact Indicators - Section B '!D$1:D$98,MATCH($A130,'Impact Indicators - Section B '!$A$1:$A$98,0))&lt;&gt;"",FIXED(INDEX('Impact Indicators - Section B '!D$1:D$98,MATCH($A130,'Impact Indicators - Section B '!$A$1:$A$98,0)),4),""),"")</f>
        <v/>
      </c>
      <c r="D140" s="80" t="str">
        <f>IFERROR(IF(INDEX('Impact Indicators - Section B '!K$1:K$98,MATCH($A130,'Impact Indicators - Section B '!$A$1:$A$98,0))&lt;&gt;"",FIXED(INDEX('Impact Indicators - Section B '!K$1:K$98,MATCH($A130,'Impact Indicators - Section B '!$A$1:$A$98,0)),4),""),"")</f>
        <v/>
      </c>
      <c r="E140" s="80" t="str">
        <f>IFERROR(IF(INDEX('Impact Indicators - Section B '!O$1:O$98,MATCH($A130,'Impact Indicators - Section B '!$A$1:$A$98,0))&lt;&gt;"",FIXED(INDEX('Impact Indicators - Section B '!O$1:O$98,MATCH($A130,'Impact Indicators - Section B '!$A$1:$A$98,0)),4),""),"")</f>
        <v/>
      </c>
      <c r="F140" s="80" t="str">
        <f>IFERROR(IF(INDEX('Impact Indicators - Section B '!S$1:S$98,MATCH($A130,'Impact Indicators - Section B '!$A$1:$A$98,0))&lt;&gt;"",FIXED(INDEX('Impact Indicators - Section B '!S$1:S$98,MATCH($A130,'Impact Indicators - Section B '!$A$1:$A$98,0)),4),""),"")</f>
        <v/>
      </c>
      <c r="G140" s="80" t="str">
        <f>IFERROR(IF(INDEX('Impact Indicators - Section B '!W$1:W$98,MATCH($A130,'Impact Indicators - Section B '!$A$1:$A$98,0))&lt;&gt;"",FIXED(INDEX('Impact Indicators - Section B '!W$1:W$98,MATCH($A130,'Impact Indicators - Section B '!$A$1:$A$98,0)),4),""),"")</f>
        <v/>
      </c>
    </row>
    <row r="141" spans="1:7" s="83" customFormat="1" ht="18.75" customHeight="1" x14ac:dyDescent="0.25">
      <c r="A141" s="643"/>
      <c r="B141" s="78" t="s">
        <v>4387</v>
      </c>
      <c r="C141" s="82" t="str">
        <f>IFERROR(IF(INDEX('Impact Indicators - Section B '!D$1:D$98,MATCH($A130,'Impact Indicators - Section B '!$A$1:$A$98,0)+1)&lt;&gt;"",FIXED(INDEX('Impact Indicators - Section B '!D$1:D$98,MATCH($A130,'Impact Indicators - Section B '!$A$1:$A$98,0)+1),2),""),"")</f>
        <v/>
      </c>
      <c r="D141" s="82" t="str">
        <f>IFERROR(IF(INDEX('Impact Indicators - Section B '!K$1:K$98,MATCH($A130,'Impact Indicators - Section B '!$A$1:$A$98,0)+1)&lt;&gt;"",FIXED(INDEX('Impact Indicators - Section B '!K$1:K$98,MATCH($A130,'Impact Indicators - Section B '!$A$1:$A$98,0)+1),2),""),"")</f>
        <v/>
      </c>
      <c r="E141" s="82" t="str">
        <f>IFERROR(IF(INDEX('Impact Indicators - Section B '!O$1:O$98,MATCH($A130,'Impact Indicators - Section B '!$A$1:$A$98,0)+1)&lt;&gt;"",FIXED(INDEX('Impact Indicators - Section B '!O$1:O$98,MATCH($A130,'Impact Indicators - Section B '!$A$1:$A$98,0)+1),2),""),"")</f>
        <v/>
      </c>
      <c r="F141" s="82" t="str">
        <f>IFERROR(IF(INDEX('Impact Indicators - Section B '!S$1:S$98,MATCH($A130,'Impact Indicators - Section B '!$A$1:$A$98,0)+1)&lt;&gt;"",FIXED(INDEX('Impact Indicators - Section B '!S$1:S$98,MATCH($A130,'Impact Indicators - Section B '!$A$1:$A$98,0)+1),2),""),"")</f>
        <v/>
      </c>
      <c r="G141" s="82" t="str">
        <f>IFERROR(IF(INDEX('Impact Indicators - Section B '!W$1:W$98,MATCH($A130,'Impact Indicators - Section B '!$A$1:$A$98,0)+1)&lt;&gt;"",FIXED(INDEX('Impact Indicators - Section B '!W$1:W$98,MATCH($A130,'Impact Indicators - Section B '!$A$1:$A$98,0)+1),2),""),"")</f>
        <v/>
      </c>
    </row>
    <row r="142" spans="1:7" ht="18.75" customHeight="1" x14ac:dyDescent="0.25">
      <c r="A142" s="643"/>
      <c r="B142" s="78" t="s">
        <v>4388</v>
      </c>
      <c r="C142" s="79" t="str">
        <f>IFERROR(IF(INDEX('Impact Indicators - Section B '!E$1:E$98,MATCH($A130,'Impact Indicators - Section B '!$A$1:$A$98,0))&lt;&gt;"",FIXED(INDEX('Impact Indicators - Section B '!E$1:E$98,MATCH($A130,'Impact Indicators - Section B '!$A$1:$A$98,0))*100,2)&amp;"%",""),"")</f>
        <v>16,20%</v>
      </c>
      <c r="D142" s="79" t="str">
        <f ca="1">IFERROR(IF(INDEX('Impact Indicators - Section B '!L$1:L$98,MATCH($A130,'Impact Indicators - Section B '!$A$1:$A$98,0))&lt;&gt;"",FIXED(INDEX('Impact Indicators - Section B '!L$1:L$98,MATCH($A130,'Impact Indicators - Section B '!$A$1:$A$98,0))*100,2)&amp;"%",""),"")&amp;CHAR(10)&amp;IFERROR(IF(INDEX('Impact Indicators - Section B '!N$1:N$98,MATCH($A130,'Impact Indicators - Section B '!$A$1:$A$98,0))&lt;&gt;"",INDEX('Impact Indicators - Section B '!N$1:N$98,MATCH($A130,'Impact Indicators - Section B '!$A$1:$A$98,0)),""),"")&amp;CHAR(10)&amp;IFERROR(IF(INDEX('Impact Indicators - Section B '!M$1:M$98,MATCH($A130,'Impact Indicators - Section B '!$A$1:$A$98,0))&lt;&gt;"",TEXT(INDEX('Impact Indicators - Section B '!M$1:M$98,MATCH($A130,'Impact Indicators - Section B '!$A$1:$A$98,0)),Setup!$A$33),""),"")</f>
        <v xml:space="preserve">
</v>
      </c>
      <c r="E142" s="79" t="str">
        <f>IFERROR(IF(INDEX('Impact Indicators - Section B '!P$1:P$98,MATCH($A130,'Impact Indicators - Section B '!$A$1:$A$98,0))&lt;&gt;"",FIXED(INDEX('Impact Indicators - Section B '!P$1:P$98,MATCH($A130,'Impact Indicators - Section B '!$A$1:$A$98,0))*100,2)&amp;"%",""),"")&amp;CHAR(10)&amp;IFERROR(IF(INDEX('Impact Indicators - Section B '!R$1:R$98,MATCH($A130,'Impact Indicators - Section B '!$A$1:$A$98,0))&lt;&gt;"",INDEX('Impact Indicators - Section B '!R$1:R$98,MATCH($A130,'Impact Indicators - Section B '!$A$1:$A$98,0)),""),"")&amp;CHAR(10)&amp;IFERROR(IF(INDEX('Impact Indicators - Section B '!Q$1:Q$98,MATCH($A130,'Impact Indicators - Section B '!$A$1:$A$98,0))&lt;&gt;"",TEXT(INDEX('Impact Indicators - Section B '!Q$1:Q$98,MATCH($A130,'Impact Indicators - Section B '!$A$1:$A$98,0)),Setup!$A$33),""),"")</f>
        <v xml:space="preserve">12,00%
</v>
      </c>
      <c r="F142" s="79" t="str">
        <f ca="1">IFERROR(IF(INDEX('Impact Indicators - Section B '!T$1:T$98,MATCH($A130,'Impact Indicators - Section B '!$A$1:$A$98,0))&lt;&gt;"",FIXED(INDEX('Impact Indicators - Section B '!T$1:T$98,MATCH($A130,'Impact Indicators - Section B '!$A$1:$A$98,0))*100,2)&amp;"%",""),"")&amp;CHAR(10)&amp;IFERROR(IF(INDEX('Impact Indicators - Section B '!V$1:V$98,MATCH($A130,'Impact Indicators - Section B '!$A$1:$A$98,0))&lt;&gt;"",FIXED(INDEX('Impact Indicators - Section B '!V$1:V$98,MATCH($A130,'Impact Indicators - Section B '!$A$1:$A$98,0)),Setup!$A$33),""),"")&amp;CHAR(10)&amp;IFERROR(IF(INDEX('Impact Indicators - Section B '!U$1:U$98,MATCH($A130,'Impact Indicators - Section B '!$A$1:$A$98,0))&lt;&gt;"",TEXT(INDEX('Impact Indicators - Section B '!U$1:U$98,MATCH($A130,'Impact Indicators - Section B '!$A$1:$A$98,0)),Setup!$A$33),""),"")</f>
        <v xml:space="preserve">
</v>
      </c>
      <c r="G142" s="79" t="str">
        <f ca="1">IFERROR(IF(INDEX('Impact Indicators - Section B '!X$1:X$98,MATCH($A130,'Impact Indicators - Section B '!$A$1:$A$98,0))&lt;&gt;"",FIXED(INDEX('Impact Indicators - Section B '!X$1:X$98,MATCH($A130,'Impact Indicators - Section B '!$A$1:$A$98,0))*100,2)&amp;"%",""),"")&amp;CHAR(10)&amp;IFERROR(IF(INDEX('Impact Indicators - Section B '!Z$1:Z$98,MATCH($A130,'Impact Indicators - Section B '!$A$1:$A$98,0))&lt;&gt;"",INDEX('Impact Indicators - Section B '!Z$1:Z$98,MATCH($A130,'Impact Indicators - Section B '!$A$1:$A$98,0)),""),"")&amp;CHAR(10)&amp;IFERROR(IF(INDEX('Impact Indicators - Section B '!Y$1:Y$98,MATCH($A130,'Impact Indicators - Section B '!$A$1:$A$98,0))&lt;&gt;"",TEXT(INDEX('Impact Indicators - Section B '!Y$1:Y$98,MATCH($A130,'Impact Indicators - Section B '!$A$1:$A$98,0)),Setup!$A$33),""),"")</f>
        <v xml:space="preserve">
</v>
      </c>
    </row>
    <row r="143" spans="1:7" ht="18.75" customHeight="1" x14ac:dyDescent="0.25">
      <c r="A143" s="643"/>
      <c r="B143" s="623" t="s">
        <v>176</v>
      </c>
      <c r="C143" s="624"/>
      <c r="D143" s="624"/>
      <c r="E143" s="624"/>
      <c r="F143" s="624"/>
      <c r="G143" s="625"/>
    </row>
    <row r="144" spans="1:7" ht="18.75" customHeight="1" x14ac:dyDescent="0.25">
      <c r="A144" s="643"/>
      <c r="B144" s="633" t="str">
        <f>IFERROR(IF(INDEX('Impact Indicators - Section B '!AA$1:AA$98,MATCH($A130,'Impact Indicators - Section B '!$A$1:$A$98,0))&lt;&gt;0,INDEX('Impact Indicators - Section B '!AA$1:AA$98,MATCH($A130,'Impact Indicators - Section B '!$A$1:$A$98,0)),""),"")</f>
        <v>As a baseline, the results of the 2021 IBBS are presented, weighted by the size of the social network of respondents. RCHV&amp;HIV report "Biobehavioral HIV Research among Transgender People, Bishkek, 2021. Numerator: Number of PWID people who test positive for HIV Denominator: Number of PWID tested for HIV</v>
      </c>
      <c r="C144" s="634"/>
      <c r="D144" s="634"/>
      <c r="E144" s="634"/>
      <c r="F144" s="634"/>
      <c r="G144" s="635"/>
    </row>
    <row r="145" spans="1:7" ht="18.75" customHeight="1" x14ac:dyDescent="0.25">
      <c r="A145" s="643"/>
      <c r="B145" s="636"/>
      <c r="C145" s="637"/>
      <c r="D145" s="637"/>
      <c r="E145" s="637"/>
      <c r="F145" s="637"/>
      <c r="G145" s="638"/>
    </row>
    <row r="146" spans="1:7" ht="18.75" customHeight="1" x14ac:dyDescent="0.25">
      <c r="A146" s="643"/>
      <c r="B146" s="636"/>
      <c r="C146" s="637"/>
      <c r="D146" s="637"/>
      <c r="E146" s="637"/>
      <c r="F146" s="637"/>
      <c r="G146" s="638"/>
    </row>
    <row r="147" spans="1:7" ht="18.75" customHeight="1" x14ac:dyDescent="0.25">
      <c r="A147" s="643"/>
      <c r="B147" s="636"/>
      <c r="C147" s="637"/>
      <c r="D147" s="637"/>
      <c r="E147" s="637"/>
      <c r="F147" s="637"/>
      <c r="G147" s="638"/>
    </row>
    <row r="148" spans="1:7" ht="18.75" customHeight="1" x14ac:dyDescent="0.25">
      <c r="A148" s="643"/>
      <c r="B148" s="636"/>
      <c r="C148" s="637"/>
      <c r="D148" s="637"/>
      <c r="E148" s="637"/>
      <c r="F148" s="637"/>
      <c r="G148" s="638"/>
    </row>
    <row r="149" spans="1:7" ht="18.75" customHeight="1" x14ac:dyDescent="0.25">
      <c r="A149" s="643"/>
      <c r="B149" s="636"/>
      <c r="C149" s="637"/>
      <c r="D149" s="637"/>
      <c r="E149" s="637"/>
      <c r="F149" s="637"/>
      <c r="G149" s="638"/>
    </row>
    <row r="150" spans="1:7" ht="18.75" customHeight="1" x14ac:dyDescent="0.25">
      <c r="A150" s="643"/>
      <c r="B150" s="636"/>
      <c r="C150" s="637"/>
      <c r="D150" s="637"/>
      <c r="E150" s="637"/>
      <c r="F150" s="637"/>
      <c r="G150" s="638"/>
    </row>
    <row r="151" spans="1:7" ht="18.75" customHeight="1" x14ac:dyDescent="0.25">
      <c r="A151" s="643"/>
      <c r="B151" s="636"/>
      <c r="C151" s="637"/>
      <c r="D151" s="637"/>
      <c r="E151" s="637"/>
      <c r="F151" s="637"/>
      <c r="G151" s="638"/>
    </row>
    <row r="152" spans="1:7" ht="18.75" customHeight="1" x14ac:dyDescent="0.25">
      <c r="A152" s="643"/>
      <c r="B152" s="636"/>
      <c r="C152" s="637"/>
      <c r="D152" s="637"/>
      <c r="E152" s="637"/>
      <c r="F152" s="637"/>
      <c r="G152" s="638"/>
    </row>
    <row r="153" spans="1:7" ht="18.75" customHeight="1" x14ac:dyDescent="0.25">
      <c r="A153" s="643"/>
      <c r="B153" s="636"/>
      <c r="C153" s="637"/>
      <c r="D153" s="637"/>
      <c r="E153" s="637"/>
      <c r="F153" s="637"/>
      <c r="G153" s="638"/>
    </row>
    <row r="154" spans="1:7" ht="18.75" customHeight="1" x14ac:dyDescent="0.25">
      <c r="A154" s="639"/>
      <c r="B154" s="640"/>
      <c r="C154" s="640"/>
      <c r="D154" s="640"/>
      <c r="E154" s="640"/>
      <c r="F154" s="640"/>
      <c r="G154" s="641"/>
    </row>
    <row r="156" spans="1:7" ht="18.75" customHeight="1" x14ac:dyDescent="0.25">
      <c r="A156" s="77" t="s">
        <v>4383</v>
      </c>
      <c r="B156" s="623" t="s">
        <v>738</v>
      </c>
      <c r="C156" s="624"/>
      <c r="D156" s="625"/>
      <c r="E156" s="623" t="s">
        <v>739</v>
      </c>
      <c r="F156" s="624"/>
      <c r="G156" s="625"/>
    </row>
    <row r="157" spans="1:7" ht="18.75" customHeight="1" x14ac:dyDescent="0.25">
      <c r="A157" s="642">
        <v>6</v>
      </c>
      <c r="B157" s="633" t="str">
        <f>IFERROR(IF(INDEX('Impact Indicators - Section B '!B$1:B$98,MATCH($A157,'Impact Indicators - Section B '!$A$1:$A$98,0))&lt;&gt;0,INDEX('Impact Indicators - Section B '!B$1:B$98,MATCH($A157,'Impact Indicators - Section B '!$A$1:$A$98,0)),""),"")</f>
        <v>TB I-3⁽ᴹ⁾ TB mortality rate per 100,000 population</v>
      </c>
      <c r="C157" s="634"/>
      <c r="D157" s="635"/>
      <c r="E157" s="633" t="str">
        <f>IFERROR(IF(INDEX('Impact Indicators - Section B '!C$1:C$98,MATCH($A157,'Impact Indicators - Section B '!$A$1:$A$98,0))&lt;&gt;0,INDEX('Impact Indicators - Section B '!C$1:C$98,MATCH($A157,'Impact Indicators - Section B '!$A$1:$A$98,0)),""),"")</f>
        <v/>
      </c>
      <c r="F157" s="634"/>
      <c r="G157" s="635"/>
    </row>
    <row r="158" spans="1:7" ht="18.75" customHeight="1" x14ac:dyDescent="0.25">
      <c r="A158" s="643"/>
      <c r="B158" s="636"/>
      <c r="C158" s="637"/>
      <c r="D158" s="638"/>
      <c r="E158" s="636"/>
      <c r="F158" s="637"/>
      <c r="G158" s="638"/>
    </row>
    <row r="159" spans="1:7" ht="18.75" customHeight="1" x14ac:dyDescent="0.25">
      <c r="A159" s="643"/>
      <c r="B159" s="644"/>
      <c r="C159" s="645"/>
      <c r="D159" s="646"/>
      <c r="E159" s="644"/>
      <c r="F159" s="645"/>
      <c r="G159" s="646"/>
    </row>
    <row r="160" spans="1:7" ht="18.75" customHeight="1" x14ac:dyDescent="0.25">
      <c r="A160" s="643"/>
      <c r="B160" s="623" t="s">
        <v>742</v>
      </c>
      <c r="C160" s="624"/>
      <c r="D160" s="625"/>
      <c r="E160" s="623" t="s">
        <v>127</v>
      </c>
      <c r="F160" s="624"/>
      <c r="G160" s="625"/>
    </row>
    <row r="161" spans="1:7" ht="18.75" customHeight="1" x14ac:dyDescent="0.25">
      <c r="A161" s="643"/>
      <c r="B161" s="647" t="str">
        <f>IFERROR(IF(INDEX('Impact Indicators - Section B '!H$1:H$98,MATCH($A157,'Impact Indicators - Section B '!$A$1:$A$98,0))&lt;&gt;0,INDEX('Impact Indicators - Section B '!H$1:H$98,MATCH($A157,'Impact Indicators - Section B '!$A$1:$A$98,0)),""),"")</f>
        <v/>
      </c>
      <c r="C161" s="648"/>
      <c r="D161" s="649"/>
      <c r="E161" s="647" t="str">
        <f>IFERROR(IF(INDEX('Impact Indicators - Section B '!J$1:J$98,MATCH($A157,'Impact Indicators - Section B '!$A$1:$A$98,0))&lt;&gt;0,INDEX('Impact Indicators - Section B '!J$1:J$98,MATCH($A157,'Impact Indicators - Section B '!$A$1:$A$98,0)),""),"")</f>
        <v>Kyrgyzstan</v>
      </c>
      <c r="F161" s="648"/>
      <c r="G161" s="649"/>
    </row>
    <row r="162" spans="1:7" ht="18.75" customHeight="1" x14ac:dyDescent="0.25">
      <c r="A162" s="643"/>
      <c r="B162" s="623" t="s">
        <v>199</v>
      </c>
      <c r="C162" s="624"/>
      <c r="D162" s="625"/>
      <c r="E162" s="623" t="s">
        <v>120</v>
      </c>
      <c r="F162" s="624"/>
      <c r="G162" s="625"/>
    </row>
    <row r="163" spans="1:7" ht="18.75" customHeight="1" x14ac:dyDescent="0.25">
      <c r="A163" s="643"/>
      <c r="B163" s="633" t="str">
        <f>IFERROR(IF(INDEX('Impact Indicators - Section B '!G$1:G$98,MATCH($A157,'Impact Indicators - Section B '!$A$1:$A$98,0))&lt;&gt;0,INDEX('Impact Indicators - Section B '!G$1:G$98,MATCH($A157,'Impact Indicators - Section B '!$A$1:$A$98,0)),""),"")</f>
        <v>The report of the National TB Center</v>
      </c>
      <c r="C163" s="650"/>
      <c r="D163" s="651"/>
      <c r="E163" s="633" t="str">
        <f>IFERROR(IF(AND('Overview - Section A'!AS$1="Grant Making",OR(B157&lt;&gt;"",E157&lt;&gt;"")),Setup!I150,IF(INDEX('Impact Indicators - Section B '!I$1:I$98,MATCH($A157,'Impact Indicators - Section B '!$A$1:$A$98,0))&lt;&gt;0,INDEX('Impact Indicators - Section B '!I$1:I$98,MATCH($A157,'Impact Indicators - Section B '!$A$1:$A$98,0)),"")),"")</f>
        <v>United Nations Development Programme</v>
      </c>
      <c r="F163" s="634"/>
      <c r="G163" s="635"/>
    </row>
    <row r="164" spans="1:7" ht="18.75" customHeight="1" x14ac:dyDescent="0.25">
      <c r="A164" s="643"/>
      <c r="B164" s="644"/>
      <c r="C164" s="652"/>
      <c r="D164" s="653"/>
      <c r="E164" s="644"/>
      <c r="F164" s="645"/>
      <c r="G164" s="646"/>
    </row>
    <row r="165" spans="1:7" ht="18.75" customHeight="1" x14ac:dyDescent="0.25">
      <c r="A165" s="643"/>
      <c r="B165" s="78"/>
      <c r="C165" s="63" t="s">
        <v>4384</v>
      </c>
      <c r="D165" s="623" t="s">
        <v>4385</v>
      </c>
      <c r="E165" s="624"/>
      <c r="F165" s="624"/>
      <c r="G165" s="625"/>
    </row>
    <row r="166" spans="1:7" ht="18.75" customHeight="1" x14ac:dyDescent="0.25">
      <c r="A166" s="643"/>
      <c r="B166" s="78" t="s">
        <v>2559</v>
      </c>
      <c r="C166" s="79" t="str">
        <f>IFERROR(IF(INDEX('Impact Indicators - Section B '!F$1:F$98,MATCH($A157,'Impact Indicators - Section B '!$A$1:$A$98,0))&lt;&gt;0,INDEX('Impact Indicators - Section B '!F$1:F$98,MATCH($A157,'Impact Indicators - Section B '!$A$1:$A$98,0)),""),"")&amp;CHAR(10)&amp;IFERROR(IF(INDEX('Impact Indicators - Section B '!G$1:G$98,MATCH($A157,'Impact Indicators - Section B '!$A$1:$A$98,0))&lt;&gt;0,INDEX('Impact Indicators - Section B '!G$1:G$98,MATCH($A157,'Impact Indicators - Section B '!$A$1:$A$98,0)),""),"")</f>
        <v>2021
The report of the National TB Center</v>
      </c>
      <c r="D166" s="63">
        <f ca="1">IFERROR(IF(YEAR(INDEX('Overview - Section A'!$A$47:$A$54,MATCH('Print - Summary'!$H$10,'Overview - Section A'!$B$47:$B$54,0)))&lt;=YEAR('Overview - Section A'!$E$8),YEAR(INDEX('Overview - Section A'!$A$47:$A$54,MATCH('Print - Summary'!$H$10,'Overview - Section A'!$B$47:$B$54,0))),""),"")</f>
        <v>2024</v>
      </c>
      <c r="E166" s="63">
        <f ca="1">IFERROR(IF(D166+1&lt;=YEAR('Overview - Section A'!$E$8),D166+1,""),"")</f>
        <v>2025</v>
      </c>
      <c r="F166" s="63">
        <f ca="1">IFERROR(IF(E166+1&lt;=YEAR('Overview - Section A'!$E$8),E166+1,""),"")</f>
        <v>2026</v>
      </c>
      <c r="G166" s="63" t="str">
        <f ca="1">IFERROR(IF(F166+1&lt;=YEAR('Overview - Section A'!$E$8),F166+1,""),"")</f>
        <v/>
      </c>
    </row>
    <row r="167" spans="1:7" s="81" customFormat="1" ht="18.75" customHeight="1" x14ac:dyDescent="0.25">
      <c r="A167" s="643"/>
      <c r="B167" s="78" t="s">
        <v>4386</v>
      </c>
      <c r="C167" s="80" t="str">
        <f>IFERROR(IF(INDEX('Impact Indicators - Section B '!D$1:D$98,MATCH($A157,'Impact Indicators - Section B '!$A$1:$A$98,0))&lt;&gt;"",FIXED(INDEX('Impact Indicators - Section B '!D$1:D$98,MATCH($A157,'Impact Indicators - Section B '!$A$1:$A$98,0)),4),""),"")</f>
        <v>3.7000</v>
      </c>
      <c r="D167" s="80" t="str">
        <f>IFERROR(IF(INDEX('Impact Indicators - Section B '!K$1:K$98,MATCH($A157,'Impact Indicators - Section B '!$A$1:$A$98,0))&lt;&gt;"",FIXED(INDEX('Impact Indicators - Section B '!K$1:K$98,MATCH($A157,'Impact Indicators - Section B '!$A$1:$A$98,0)),4),""),"")</f>
        <v>2,7000</v>
      </c>
      <c r="E167" s="80" t="str">
        <f>IFERROR(IF(INDEX('Impact Indicators - Section B '!O$1:O$98,MATCH($A157,'Impact Indicators - Section B '!$A$1:$A$98,0))&lt;&gt;"",FIXED(INDEX('Impact Indicators - Section B '!O$1:O$98,MATCH($A157,'Impact Indicators - Section B '!$A$1:$A$98,0)),4),""),"")</f>
        <v/>
      </c>
      <c r="F167" s="80" t="str">
        <f>IFERROR(IF(INDEX('Impact Indicators - Section B '!S$1:S$98,MATCH($A157,'Impact Indicators - Section B '!$A$1:$A$98,0))&lt;&gt;"",FIXED(INDEX('Impact Indicators - Section B '!S$1:S$98,MATCH($A157,'Impact Indicators - Section B '!$A$1:$A$98,0)),4),""),"")</f>
        <v>2,5000</v>
      </c>
      <c r="G167" s="80" t="str">
        <f>IFERROR(IF(INDEX('Impact Indicators - Section B '!W$1:W$98,MATCH($A157,'Impact Indicators - Section B '!$A$1:$A$98,0))&lt;&gt;"",FIXED(INDEX('Impact Indicators - Section B '!W$1:W$98,MATCH($A157,'Impact Indicators - Section B '!$A$1:$A$98,0)),4),""),"")</f>
        <v>2,3000</v>
      </c>
    </row>
    <row r="168" spans="1:7" s="83" customFormat="1" ht="18.75" customHeight="1" x14ac:dyDescent="0.25">
      <c r="A168" s="643"/>
      <c r="B168" s="78" t="s">
        <v>4387</v>
      </c>
      <c r="C168" s="82" t="str">
        <f>IFERROR(IF(INDEX('Impact Indicators - Section B '!D$1:D$98,MATCH($A157,'Impact Indicators - Section B '!$A$1:$A$98,0)+1)&lt;&gt;"",FIXED(INDEX('Impact Indicators - Section B '!D$1:D$98,MATCH($A157,'Impact Indicators - Section B '!$A$1:$A$98,0)+1),2),""),"")</f>
        <v/>
      </c>
      <c r="D168" s="82" t="str">
        <f>IFERROR(IF(INDEX('Impact Indicators - Section B '!K$1:K$98,MATCH($A157,'Impact Indicators - Section B '!$A$1:$A$98,0)+1)&lt;&gt;"",FIXED(INDEX('Impact Indicators - Section B '!K$1:K$98,MATCH($A157,'Impact Indicators - Section B '!$A$1:$A$98,0)+1),2),""),"")</f>
        <v/>
      </c>
      <c r="E168" s="82" t="str">
        <f>IFERROR(IF(INDEX('Impact Indicators - Section B '!O$1:O$98,MATCH($A157,'Impact Indicators - Section B '!$A$1:$A$98,0)+1)&lt;&gt;"",FIXED(INDEX('Impact Indicators - Section B '!O$1:O$98,MATCH($A157,'Impact Indicators - Section B '!$A$1:$A$98,0)+1),2),""),"")</f>
        <v/>
      </c>
      <c r="F168" s="82" t="str">
        <f>IFERROR(IF(INDEX('Impact Indicators - Section B '!S$1:S$98,MATCH($A157,'Impact Indicators - Section B '!$A$1:$A$98,0)+1)&lt;&gt;"",FIXED(INDEX('Impact Indicators - Section B '!S$1:S$98,MATCH($A157,'Impact Indicators - Section B '!$A$1:$A$98,0)+1),2),""),"")</f>
        <v/>
      </c>
      <c r="G168" s="82" t="str">
        <f>IFERROR(IF(INDEX('Impact Indicators - Section B '!W$1:W$98,MATCH($A157,'Impact Indicators - Section B '!$A$1:$A$98,0)+1)&lt;&gt;"",FIXED(INDEX('Impact Indicators - Section B '!W$1:W$98,MATCH($A157,'Impact Indicators - Section B '!$A$1:$A$98,0)+1),2),""),"")</f>
        <v/>
      </c>
    </row>
    <row r="169" spans="1:7" ht="18.75" customHeight="1" x14ac:dyDescent="0.25">
      <c r="A169" s="643"/>
      <c r="B169" s="78" t="s">
        <v>4388</v>
      </c>
      <c r="C169" s="79" t="str">
        <f>IFERROR(IF(INDEX('Impact Indicators - Section B '!E$1:E$98,MATCH($A157,'Impact Indicators - Section B '!$A$1:$A$98,0))&lt;&gt;"",FIXED(INDEX('Impact Indicators - Section B '!E$1:E$98,MATCH($A157,'Impact Indicators - Section B '!$A$1:$A$98,0))*100,2)&amp;"%",""),"")</f>
        <v/>
      </c>
      <c r="D169" s="79" t="str">
        <f ca="1">IFERROR(IF(INDEX('Impact Indicators - Section B '!L$1:L$98,MATCH($A157,'Impact Indicators - Section B '!$A$1:$A$98,0))&lt;&gt;"",FIXED(INDEX('Impact Indicators - Section B '!L$1:L$98,MATCH($A157,'Impact Indicators - Section B '!$A$1:$A$98,0))*100,2)&amp;"%",""),"")&amp;CHAR(10)&amp;IFERROR(IF(INDEX('Impact Indicators - Section B '!N$1:N$98,MATCH($A157,'Impact Indicators - Section B '!$A$1:$A$98,0))&lt;&gt;"",INDEX('Impact Indicators - Section B '!N$1:N$98,MATCH($A157,'Impact Indicators - Section B '!$A$1:$A$98,0)),""),"")&amp;CHAR(10)&amp;IFERROR(IF(INDEX('Impact Indicators - Section B '!M$1:M$98,MATCH($A157,'Impact Indicators - Section B '!$A$1:$A$98,0))&lt;&gt;"",TEXT(INDEX('Impact Indicators - Section B '!M$1:M$98,MATCH($A157,'Impact Indicators - Section B '!$A$1:$A$98,0)),Setup!$A$33),""),"")</f>
        <v xml:space="preserve">
d-mmm-yy</v>
      </c>
      <c r="E169" s="79" t="str">
        <f ca="1">IFERROR(IF(INDEX('Impact Indicators - Section B '!P$1:P$98,MATCH($A157,'Impact Indicators - Section B '!$A$1:$A$98,0))&lt;&gt;"",FIXED(INDEX('Impact Indicators - Section B '!P$1:P$98,MATCH($A157,'Impact Indicators - Section B '!$A$1:$A$98,0))*100,2)&amp;"%",""),"")&amp;CHAR(10)&amp;IFERROR(IF(INDEX('Impact Indicators - Section B '!R$1:R$98,MATCH($A157,'Impact Indicators - Section B '!$A$1:$A$98,0))&lt;&gt;"",INDEX('Impact Indicators - Section B '!R$1:R$98,MATCH($A157,'Impact Indicators - Section B '!$A$1:$A$98,0)),""),"")&amp;CHAR(10)&amp;IFERROR(IF(INDEX('Impact Indicators - Section B '!Q$1:Q$98,MATCH($A157,'Impact Indicators - Section B '!$A$1:$A$98,0))&lt;&gt;"",TEXT(INDEX('Impact Indicators - Section B '!Q$1:Q$98,MATCH($A157,'Impact Indicators - Section B '!$A$1:$A$98,0)),Setup!$A$33),""),"")</f>
        <v xml:space="preserve">
</v>
      </c>
      <c r="F169" s="79" t="str">
        <f ca="1">IFERROR(IF(INDEX('Impact Indicators - Section B '!T$1:T$98,MATCH($A157,'Impact Indicators - Section B '!$A$1:$A$98,0))&lt;&gt;"",FIXED(INDEX('Impact Indicators - Section B '!T$1:T$98,MATCH($A157,'Impact Indicators - Section B '!$A$1:$A$98,0))*100,2)&amp;"%",""),"")&amp;CHAR(10)&amp;IFERROR(IF(INDEX('Impact Indicators - Section B '!V$1:V$98,MATCH($A157,'Impact Indicators - Section B '!$A$1:$A$98,0))&lt;&gt;"",FIXED(INDEX('Impact Indicators - Section B '!V$1:V$98,MATCH($A157,'Impact Indicators - Section B '!$A$1:$A$98,0)),Setup!$A$33),""),"")&amp;CHAR(10)&amp;IFERROR(IF(INDEX('Impact Indicators - Section B '!U$1:U$98,MATCH($A157,'Impact Indicators - Section B '!$A$1:$A$98,0))&lt;&gt;"",TEXT(INDEX('Impact Indicators - Section B '!U$1:U$98,MATCH($A157,'Impact Indicators - Section B '!$A$1:$A$98,0)),Setup!$A$33),""),"")</f>
        <v xml:space="preserve">
d-mmm-yy</v>
      </c>
      <c r="G169" s="79" t="str">
        <f ca="1">IFERROR(IF(INDEX('Impact Indicators - Section B '!X$1:X$98,MATCH($A157,'Impact Indicators - Section B '!$A$1:$A$98,0))&lt;&gt;"",FIXED(INDEX('Impact Indicators - Section B '!X$1:X$98,MATCH($A157,'Impact Indicators - Section B '!$A$1:$A$98,0))*100,2)&amp;"%",""),"")&amp;CHAR(10)&amp;IFERROR(IF(INDEX('Impact Indicators - Section B '!Z$1:Z$98,MATCH($A157,'Impact Indicators - Section B '!$A$1:$A$98,0))&lt;&gt;"",INDEX('Impact Indicators - Section B '!Z$1:Z$98,MATCH($A157,'Impact Indicators - Section B '!$A$1:$A$98,0)),""),"")&amp;CHAR(10)&amp;IFERROR(IF(INDEX('Impact Indicators - Section B '!Y$1:Y$98,MATCH($A157,'Impact Indicators - Section B '!$A$1:$A$98,0))&lt;&gt;"",TEXT(INDEX('Impact Indicators - Section B '!Y$1:Y$98,MATCH($A157,'Impact Indicators - Section B '!$A$1:$A$98,0)),Setup!$A$33),""),"")</f>
        <v xml:space="preserve">
d-mmm-yy</v>
      </c>
    </row>
    <row r="170" spans="1:7" ht="18.75" customHeight="1" x14ac:dyDescent="0.25">
      <c r="A170" s="643"/>
      <c r="B170" s="623" t="s">
        <v>176</v>
      </c>
      <c r="C170" s="624"/>
      <c r="D170" s="624"/>
      <c r="E170" s="624"/>
      <c r="F170" s="624"/>
      <c r="G170" s="625"/>
    </row>
    <row r="171" spans="1:7" ht="18.75" customHeight="1" x14ac:dyDescent="0.25">
      <c r="A171" s="643"/>
      <c r="B171" s="633" t="str">
        <f>IFERROR(IF(INDEX('Impact Indicators - Section B '!AA$1:AA$98,MATCH($A157,'Impact Indicators - Section B '!$A$1:$A$98,0))&lt;&gt;0,INDEX('Impact Indicators - Section B '!AA$1:AA$98,MATCH($A157,'Impact Indicators - Section B '!$A$1:$A$98,0)),""),"")</f>
        <v xml:space="preserve">TB Mortality rate in Kyrgyzstan had stably decreased by 8-10% annually from 2001 till 2019. However, in 2020-2021 due to COVID-19 related impact it increased: 3.9 in 2020 and 3.8 in 2021. Striving to reach the 2025 End TB global milestone (75% reduction comparing to 2015), it is expected that the country will restore the gains of NTP and achieve declining the mortality  rate about 0.2-0.3 per 100 000 annually. Thus, the TB mortality rate will be about 2.7 in 2024, 2.5 in 2025, and 2.3 in 2026. </v>
      </c>
      <c r="C171" s="634"/>
      <c r="D171" s="634"/>
      <c r="E171" s="634"/>
      <c r="F171" s="634"/>
      <c r="G171" s="635"/>
    </row>
    <row r="172" spans="1:7" ht="18.75" customHeight="1" x14ac:dyDescent="0.25">
      <c r="A172" s="643"/>
      <c r="B172" s="636"/>
      <c r="C172" s="637"/>
      <c r="D172" s="637"/>
      <c r="E172" s="637"/>
      <c r="F172" s="637"/>
      <c r="G172" s="638"/>
    </row>
    <row r="173" spans="1:7" ht="18.75" customHeight="1" x14ac:dyDescent="0.25">
      <c r="A173" s="643"/>
      <c r="B173" s="636"/>
      <c r="C173" s="637"/>
      <c r="D173" s="637"/>
      <c r="E173" s="637"/>
      <c r="F173" s="637"/>
      <c r="G173" s="638"/>
    </row>
    <row r="174" spans="1:7" ht="18.75" customHeight="1" x14ac:dyDescent="0.25">
      <c r="A174" s="643"/>
      <c r="B174" s="636"/>
      <c r="C174" s="637"/>
      <c r="D174" s="637"/>
      <c r="E174" s="637"/>
      <c r="F174" s="637"/>
      <c r="G174" s="638"/>
    </row>
    <row r="175" spans="1:7" ht="18.75" customHeight="1" x14ac:dyDescent="0.25">
      <c r="A175" s="643"/>
      <c r="B175" s="636"/>
      <c r="C175" s="637"/>
      <c r="D175" s="637"/>
      <c r="E175" s="637"/>
      <c r="F175" s="637"/>
      <c r="G175" s="638"/>
    </row>
    <row r="176" spans="1:7" ht="18.75" customHeight="1" x14ac:dyDescent="0.25">
      <c r="A176" s="643"/>
      <c r="B176" s="636"/>
      <c r="C176" s="637"/>
      <c r="D176" s="637"/>
      <c r="E176" s="637"/>
      <c r="F176" s="637"/>
      <c r="G176" s="638"/>
    </row>
    <row r="177" spans="1:7" ht="18.75" customHeight="1" x14ac:dyDescent="0.25">
      <c r="A177" s="643"/>
      <c r="B177" s="636"/>
      <c r="C177" s="637"/>
      <c r="D177" s="637"/>
      <c r="E177" s="637"/>
      <c r="F177" s="637"/>
      <c r="G177" s="638"/>
    </row>
    <row r="178" spans="1:7" ht="18.75" customHeight="1" x14ac:dyDescent="0.25">
      <c r="A178" s="643"/>
      <c r="B178" s="636"/>
      <c r="C178" s="637"/>
      <c r="D178" s="637"/>
      <c r="E178" s="637"/>
      <c r="F178" s="637"/>
      <c r="G178" s="638"/>
    </row>
    <row r="179" spans="1:7" ht="18.75" customHeight="1" x14ac:dyDescent="0.25">
      <c r="A179" s="643"/>
      <c r="B179" s="636"/>
      <c r="C179" s="637"/>
      <c r="D179" s="637"/>
      <c r="E179" s="637"/>
      <c r="F179" s="637"/>
      <c r="G179" s="638"/>
    </row>
    <row r="180" spans="1:7" ht="18.75" customHeight="1" x14ac:dyDescent="0.25">
      <c r="A180" s="643"/>
      <c r="B180" s="636"/>
      <c r="C180" s="637"/>
      <c r="D180" s="637"/>
      <c r="E180" s="637"/>
      <c r="F180" s="637"/>
      <c r="G180" s="638"/>
    </row>
    <row r="181" spans="1:7" ht="18.75" customHeight="1" x14ac:dyDescent="0.25">
      <c r="A181" s="639"/>
      <c r="B181" s="640"/>
      <c r="C181" s="640"/>
      <c r="D181" s="640"/>
      <c r="E181" s="640"/>
      <c r="F181" s="640"/>
      <c r="G181" s="641"/>
    </row>
    <row r="183" spans="1:7" ht="18.75" customHeight="1" x14ac:dyDescent="0.25">
      <c r="A183" s="77" t="s">
        <v>4383</v>
      </c>
      <c r="B183" s="623" t="s">
        <v>738</v>
      </c>
      <c r="C183" s="624"/>
      <c r="D183" s="625"/>
      <c r="E183" s="623" t="s">
        <v>739</v>
      </c>
      <c r="F183" s="624"/>
      <c r="G183" s="625"/>
    </row>
    <row r="184" spans="1:7" ht="18.75" customHeight="1" x14ac:dyDescent="0.25">
      <c r="A184" s="642">
        <v>7</v>
      </c>
      <c r="B184" s="633" t="str">
        <f>IFERROR(IF(INDEX('Impact Indicators - Section B '!B$1:B$98,MATCH($A184,'Impact Indicators - Section B '!$A$1:$A$98,0))&lt;&gt;0,INDEX('Impact Indicators - Section B '!B$1:B$98,MATCH($A184,'Impact Indicators - Section B '!$A$1:$A$98,0)),""),"")</f>
        <v>TB I-4⁽ᴹ⁾ RR-TB and/or MDR-TB prevalence among new TB patients: Proportion of new TB patients with RR-TB and/or MDR-TB</v>
      </c>
      <c r="C184" s="634"/>
      <c r="D184" s="635"/>
      <c r="E184" s="633" t="str">
        <f>IFERROR(IF(INDEX('Impact Indicators - Section B '!C$1:C$98,MATCH($A184,'Impact Indicators - Section B '!$A$1:$A$98,0))&lt;&gt;0,INDEX('Impact Indicators - Section B '!C$1:C$98,MATCH($A184,'Impact Indicators - Section B '!$A$1:$A$98,0)),""),"")</f>
        <v/>
      </c>
      <c r="F184" s="634"/>
      <c r="G184" s="635"/>
    </row>
    <row r="185" spans="1:7" ht="18.75" customHeight="1" x14ac:dyDescent="0.25">
      <c r="A185" s="643"/>
      <c r="B185" s="636"/>
      <c r="C185" s="637"/>
      <c r="D185" s="638"/>
      <c r="E185" s="636"/>
      <c r="F185" s="637"/>
      <c r="G185" s="638"/>
    </row>
    <row r="186" spans="1:7" ht="18.75" customHeight="1" x14ac:dyDescent="0.25">
      <c r="A186" s="643"/>
      <c r="B186" s="644"/>
      <c r="C186" s="645"/>
      <c r="D186" s="646"/>
      <c r="E186" s="644"/>
      <c r="F186" s="645"/>
      <c r="G186" s="646"/>
    </row>
    <row r="187" spans="1:7" ht="18.75" customHeight="1" x14ac:dyDescent="0.25">
      <c r="A187" s="643"/>
      <c r="B187" s="623" t="s">
        <v>742</v>
      </c>
      <c r="C187" s="624"/>
      <c r="D187" s="625"/>
      <c r="E187" s="623" t="s">
        <v>127</v>
      </c>
      <c r="F187" s="624"/>
      <c r="G187" s="625"/>
    </row>
    <row r="188" spans="1:7" ht="18.75" customHeight="1" x14ac:dyDescent="0.25">
      <c r="A188" s="643"/>
      <c r="B188" s="647" t="str">
        <f>IFERROR(IF(INDEX('Impact Indicators - Section B '!H$1:H$98,MATCH($A184,'Impact Indicators - Section B '!$A$1:$A$98,0))&lt;&gt;0,INDEX('Impact Indicators - Section B '!H$1:H$98,MATCH($A184,'Impact Indicators - Section B '!$A$1:$A$98,0)),""),"")</f>
        <v/>
      </c>
      <c r="C188" s="648"/>
      <c r="D188" s="649"/>
      <c r="E188" s="647" t="str">
        <f>IFERROR(IF(INDEX('Impact Indicators - Section B '!J$1:J$98,MATCH($A184,'Impact Indicators - Section B '!$A$1:$A$98,0))&lt;&gt;0,INDEX('Impact Indicators - Section B '!J$1:J$98,MATCH($A184,'Impact Indicators - Section B '!$A$1:$A$98,0)),""),"")</f>
        <v>Kyrgyzstan</v>
      </c>
      <c r="F188" s="648"/>
      <c r="G188" s="649"/>
    </row>
    <row r="189" spans="1:7" ht="18.75" customHeight="1" x14ac:dyDescent="0.25">
      <c r="A189" s="643"/>
      <c r="B189" s="623" t="s">
        <v>199</v>
      </c>
      <c r="C189" s="624"/>
      <c r="D189" s="625"/>
      <c r="E189" s="623" t="s">
        <v>120</v>
      </c>
      <c r="F189" s="624"/>
      <c r="G189" s="625"/>
    </row>
    <row r="190" spans="1:7" ht="18.75" customHeight="1" x14ac:dyDescent="0.25">
      <c r="A190" s="643"/>
      <c r="B190" s="633" t="str">
        <f>IFERROR(IF(INDEX('Impact Indicators - Section B '!G$1:G$98,MATCH($A184,'Impact Indicators - Section B '!$A$1:$A$98,0))&lt;&gt;0,INDEX('Impact Indicators - Section B '!G$1:G$98,MATCH($A184,'Impact Indicators - Section B '!$A$1:$A$98,0)),""),"")</f>
        <v>The report of the National TB Center</v>
      </c>
      <c r="C190" s="634"/>
      <c r="D190" s="635"/>
      <c r="E190" s="633" t="str">
        <f>IFERROR(IF(AND('Overview - Section A'!AS$1="Grant Making",OR(B184&lt;&gt;"",E184&lt;&gt;"")),Setup!I177,IF(INDEX('Impact Indicators - Section B '!I$1:I$98,MATCH($A184,'Impact Indicators - Section B '!$A$1:$A$98,0))&lt;&gt;0,INDEX('Impact Indicators - Section B '!I$1:I$98,MATCH($A184,'Impact Indicators - Section B '!$A$1:$A$98,0)),"")),"")</f>
        <v>United Nations Development Programme</v>
      </c>
      <c r="F190" s="634"/>
      <c r="G190" s="635"/>
    </row>
    <row r="191" spans="1:7" ht="18.75" customHeight="1" x14ac:dyDescent="0.25">
      <c r="A191" s="643"/>
      <c r="B191" s="644"/>
      <c r="C191" s="645"/>
      <c r="D191" s="646"/>
      <c r="E191" s="644"/>
      <c r="F191" s="645"/>
      <c r="G191" s="646"/>
    </row>
    <row r="192" spans="1:7" ht="18.75" customHeight="1" x14ac:dyDescent="0.25">
      <c r="A192" s="643"/>
      <c r="B192" s="78"/>
      <c r="C192" s="63" t="s">
        <v>4384</v>
      </c>
      <c r="D192" s="623" t="s">
        <v>4385</v>
      </c>
      <c r="E192" s="624"/>
      <c r="F192" s="624"/>
      <c r="G192" s="625"/>
    </row>
    <row r="193" spans="1:7" ht="18.75" customHeight="1" x14ac:dyDescent="0.25">
      <c r="A193" s="643"/>
      <c r="B193" s="78" t="s">
        <v>2559</v>
      </c>
      <c r="C193" s="79" t="str">
        <f>IFERROR(IF(INDEX('Impact Indicators - Section B '!F$1:F$98,MATCH($A184,'Impact Indicators - Section B '!$A$1:$A$98,0))&lt;&gt;0,INDEX('Impact Indicators - Section B '!F$1:F$98,MATCH($A184,'Impact Indicators - Section B '!$A$1:$A$98,0)),""),"")&amp;CHAR(10)&amp;IFERROR(IF(INDEX('Impact Indicators - Section B '!G$1:G$98,MATCH($A184,'Impact Indicators - Section B '!$A$1:$A$98,0))&lt;&gt;0,INDEX('Impact Indicators - Section B '!G$1:G$98,MATCH($A184,'Impact Indicators - Section B '!$A$1:$A$98,0)),""),"")</f>
        <v>2021
The report of the National TB Center</v>
      </c>
      <c r="D193" s="63">
        <f ca="1">IFERROR(IF(YEAR(INDEX('Overview - Section A'!$A$47:$A$54,MATCH('Print - Summary'!$H$10,'Overview - Section A'!$B$47:$B$54,0)))&lt;=YEAR('Overview - Section A'!$E$8),YEAR(INDEX('Overview - Section A'!$A$47:$A$54,MATCH('Print - Summary'!$H$10,'Overview - Section A'!$B$47:$B$54,0))),""),"")</f>
        <v>2024</v>
      </c>
      <c r="E193" s="63">
        <f ca="1">IFERROR(IF(D193+1&lt;=YEAR('Overview - Section A'!$E$8),D193+1,""),"")</f>
        <v>2025</v>
      </c>
      <c r="F193" s="63">
        <f ca="1">IFERROR(IF(E193+1&lt;=YEAR('Overview - Section A'!$E$8),E193+1,""),"")</f>
        <v>2026</v>
      </c>
      <c r="G193" s="63" t="str">
        <f ca="1">IFERROR(IF(F193+1&lt;=YEAR('Overview - Section A'!$E$8),F193+1,""),"")</f>
        <v/>
      </c>
    </row>
    <row r="194" spans="1:7" s="81" customFormat="1" ht="18.75" customHeight="1" x14ac:dyDescent="0.25">
      <c r="A194" s="643"/>
      <c r="B194" s="78" t="s">
        <v>4386</v>
      </c>
      <c r="C194" s="80" t="str">
        <f>IFERROR(IF(INDEX('Impact Indicators - Section B '!D$1:D$98,MATCH($A184,'Impact Indicators - Section B '!$A$1:$A$98,0))&lt;&gt;"",FIXED(INDEX('Impact Indicators - Section B '!D$1:D$98,MATCH($A184,'Impact Indicators - Section B '!$A$1:$A$98,0)),4),""),"")</f>
        <v>500.0000</v>
      </c>
      <c r="D194" s="80" t="str">
        <f>IFERROR(IF(INDEX('Impact Indicators - Section B '!K$1:K$98,MATCH($A184,'Impact Indicators - Section B '!$A$1:$A$98,0))&lt;&gt;"",FIXED(INDEX('Impact Indicators - Section B '!K$1:K$98,MATCH($A184,'Impact Indicators - Section B '!$A$1:$A$98,0)),4),""),"")</f>
        <v/>
      </c>
      <c r="E194" s="80" t="str">
        <f>IFERROR(IF(INDEX('Impact Indicators - Section B '!O$1:O$98,MATCH($A184,'Impact Indicators - Section B '!$A$1:$A$98,0))&lt;&gt;"",FIXED(INDEX('Impact Indicators - Section B '!O$1:O$98,MATCH($A184,'Impact Indicators - Section B '!$A$1:$A$98,0)),4),""),"")</f>
        <v/>
      </c>
      <c r="F194" s="80" t="str">
        <f>IFERROR(IF(INDEX('Impact Indicators - Section B '!S$1:S$98,MATCH($A184,'Impact Indicators - Section B '!$A$1:$A$98,0))&lt;&gt;"",FIXED(INDEX('Impact Indicators - Section B '!S$1:S$98,MATCH($A184,'Impact Indicators - Section B '!$A$1:$A$98,0)),4),""),"")</f>
        <v/>
      </c>
      <c r="G194" s="80" t="str">
        <f>IFERROR(IF(INDEX('Impact Indicators - Section B '!W$1:W$98,MATCH($A184,'Impact Indicators - Section B '!$A$1:$A$98,0))&lt;&gt;"",FIXED(INDEX('Impact Indicators - Section B '!W$1:W$98,MATCH($A184,'Impact Indicators - Section B '!$A$1:$A$98,0)),4),""),"")</f>
        <v/>
      </c>
    </row>
    <row r="195" spans="1:7" s="83" customFormat="1" ht="18.75" customHeight="1" x14ac:dyDescent="0.25">
      <c r="A195" s="643"/>
      <c r="B195" s="78" t="s">
        <v>4387</v>
      </c>
      <c r="C195" s="82" t="str">
        <f>IFERROR(IF(INDEX('Impact Indicators - Section B '!D$1:D$98,MATCH($A184,'Impact Indicators - Section B '!$A$1:$A$98,0)+1)&lt;&gt;"",FIXED(INDEX('Impact Indicators - Section B '!D$1:D$98,MATCH($A184,'Impact Indicators - Section B '!$A$1:$A$98,0)+1),2),""),"")</f>
        <v>1,932.00</v>
      </c>
      <c r="D195" s="82" t="str">
        <f>IFERROR(IF(INDEX('Impact Indicators - Section B '!K$1:K$98,MATCH($A184,'Impact Indicators - Section B '!$A$1:$A$98,0)+1)&lt;&gt;"",FIXED(INDEX('Impact Indicators - Section B '!K$1:K$98,MATCH($A184,'Impact Indicators - Section B '!$A$1:$A$98,0)+1),2),""),"")</f>
        <v/>
      </c>
      <c r="E195" s="82" t="str">
        <f>IFERROR(IF(INDEX('Impact Indicators - Section B '!O$1:O$98,MATCH($A184,'Impact Indicators - Section B '!$A$1:$A$98,0)+1)&lt;&gt;"",FIXED(INDEX('Impact Indicators - Section B '!O$1:O$98,MATCH($A184,'Impact Indicators - Section B '!$A$1:$A$98,0)+1),2),""),"")</f>
        <v/>
      </c>
      <c r="F195" s="82" t="str">
        <f>IFERROR(IF(INDEX('Impact Indicators - Section B '!S$1:S$98,MATCH($A184,'Impact Indicators - Section B '!$A$1:$A$98,0)+1)&lt;&gt;"",FIXED(INDEX('Impact Indicators - Section B '!S$1:S$98,MATCH($A184,'Impact Indicators - Section B '!$A$1:$A$98,0)+1),2),""),"")</f>
        <v/>
      </c>
      <c r="G195" s="82" t="str">
        <f>IFERROR(IF(INDEX('Impact Indicators - Section B '!W$1:W$98,MATCH($A184,'Impact Indicators - Section B '!$A$1:$A$98,0)+1)&lt;&gt;"",FIXED(INDEX('Impact Indicators - Section B '!W$1:W$98,MATCH($A184,'Impact Indicators - Section B '!$A$1:$A$98,0)+1),2),""),"")</f>
        <v/>
      </c>
    </row>
    <row r="196" spans="1:7" ht="18.75" customHeight="1" x14ac:dyDescent="0.25">
      <c r="A196" s="643"/>
      <c r="B196" s="78" t="s">
        <v>4388</v>
      </c>
      <c r="C196" s="79" t="str">
        <f ca="1">IFERROR(IF(INDEX('Impact Indicators - Section B '!E$1:E$98,MATCH($A184,'Impact Indicators - Section B '!$A$1:$A$98,0))&lt;&gt;"",FIXED(INDEX('Impact Indicators - Section B '!E$1:E$98,MATCH($A184,'Impact Indicators - Section B '!$A$1:$A$98,0))*100,2)&amp;"%",""),"")</f>
        <v>25,88%</v>
      </c>
      <c r="D196" s="79" t="str">
        <f ca="1">IFERROR(IF(INDEX('Impact Indicators - Section B '!L$1:L$98,MATCH($A184,'Impact Indicators - Section B '!$A$1:$A$98,0))&lt;&gt;"",FIXED(INDEX('Impact Indicators - Section B '!L$1:L$98,MATCH($A184,'Impact Indicators - Section B '!$A$1:$A$98,0))*100,2)&amp;"%",""),"")&amp;CHAR(10)&amp;IFERROR(IF(INDEX('Impact Indicators - Section B '!N$1:N$98,MATCH($A184,'Impact Indicators - Section B '!$A$1:$A$98,0))&lt;&gt;"",INDEX('Impact Indicators - Section B '!N$1:N$98,MATCH($A184,'Impact Indicators - Section B '!$A$1:$A$98,0)),""),"")&amp;CHAR(10)&amp;IFERROR(IF(INDEX('Impact Indicators - Section B '!M$1:M$98,MATCH($A184,'Impact Indicators - Section B '!$A$1:$A$98,0))&lt;&gt;"",TEXT(INDEX('Impact Indicators - Section B '!M$1:M$98,MATCH($A184,'Impact Indicators - Section B '!$A$1:$A$98,0)),Setup!$A$33),""),"")</f>
        <v>24,50%
d-mmm-yy</v>
      </c>
      <c r="E196" s="79" t="str">
        <f ca="1">IFERROR(IF(INDEX('Impact Indicators - Section B '!P$1:P$98,MATCH($A184,'Impact Indicators - Section B '!$A$1:$A$98,0))&lt;&gt;"",FIXED(INDEX('Impact Indicators - Section B '!P$1:P$98,MATCH($A184,'Impact Indicators - Section B '!$A$1:$A$98,0))*100,2)&amp;"%",""),"")&amp;CHAR(10)&amp;IFERROR(IF(INDEX('Impact Indicators - Section B '!R$1:R$98,MATCH($A184,'Impact Indicators - Section B '!$A$1:$A$98,0))&lt;&gt;"",INDEX('Impact Indicators - Section B '!R$1:R$98,MATCH($A184,'Impact Indicators - Section B '!$A$1:$A$98,0)),""),"")&amp;CHAR(10)&amp;IFERROR(IF(INDEX('Impact Indicators - Section B '!Q$1:Q$98,MATCH($A184,'Impact Indicators - Section B '!$A$1:$A$98,0))&lt;&gt;"",TEXT(INDEX('Impact Indicators - Section B '!Q$1:Q$98,MATCH($A184,'Impact Indicators - Section B '!$A$1:$A$98,0)),Setup!$A$33),""),"")</f>
        <v>24,00%
d-mmm-yy</v>
      </c>
      <c r="F196" s="79" t="str">
        <f ca="1">IFERROR(IF(INDEX('Impact Indicators - Section B '!T$1:T$98,MATCH($A184,'Impact Indicators - Section B '!$A$1:$A$98,0))&lt;&gt;"",FIXED(INDEX('Impact Indicators - Section B '!T$1:T$98,MATCH($A184,'Impact Indicators - Section B '!$A$1:$A$98,0))*100,2)&amp;"%",""),"")&amp;CHAR(10)&amp;IFERROR(IF(INDEX('Impact Indicators - Section B '!V$1:V$98,MATCH($A184,'Impact Indicators - Section B '!$A$1:$A$98,0))&lt;&gt;"",FIXED(INDEX('Impact Indicators - Section B '!V$1:V$98,MATCH($A184,'Impact Indicators - Section B '!$A$1:$A$98,0)),Setup!$A$33),""),"")&amp;CHAR(10)&amp;IFERROR(IF(INDEX('Impact Indicators - Section B '!U$1:U$98,MATCH($A184,'Impact Indicators - Section B '!$A$1:$A$98,0))&lt;&gt;"",TEXT(INDEX('Impact Indicators - Section B '!U$1:U$98,MATCH($A184,'Impact Indicators - Section B '!$A$1:$A$98,0)),Setup!$A$33),""),"")</f>
        <v>23,50%
d-mmm-yy</v>
      </c>
      <c r="G196" s="79" t="str">
        <f ca="1">IFERROR(IF(INDEX('Impact Indicators - Section B '!X$1:X$98,MATCH($A184,'Impact Indicators - Section B '!$A$1:$A$98,0))&lt;&gt;"",FIXED(INDEX('Impact Indicators - Section B '!X$1:X$98,MATCH($A184,'Impact Indicators - Section B '!$A$1:$A$98,0))*100,2)&amp;"%",""),"")&amp;CHAR(10)&amp;IFERROR(IF(INDEX('Impact Indicators - Section B '!Z$1:Z$98,MATCH($A184,'Impact Indicators - Section B '!$A$1:$A$98,0))&lt;&gt;"",INDEX('Impact Indicators - Section B '!Z$1:Z$98,MATCH($A184,'Impact Indicators - Section B '!$A$1:$A$98,0)),""),"")&amp;CHAR(10)&amp;IFERROR(IF(INDEX('Impact Indicators - Section B '!Y$1:Y$98,MATCH($A184,'Impact Indicators - Section B '!$A$1:$A$98,0))&lt;&gt;"",TEXT(INDEX('Impact Indicators - Section B '!Y$1:Y$98,MATCH($A184,'Impact Indicators - Section B '!$A$1:$A$98,0)),Setup!$A$33),""),"")</f>
        <v xml:space="preserve">
</v>
      </c>
    </row>
    <row r="197" spans="1:7" ht="18.75" customHeight="1" x14ac:dyDescent="0.25">
      <c r="A197" s="643"/>
      <c r="B197" s="623" t="s">
        <v>176</v>
      </c>
      <c r="C197" s="624"/>
      <c r="D197" s="624"/>
      <c r="E197" s="624"/>
      <c r="F197" s="624"/>
      <c r="G197" s="625"/>
    </row>
    <row r="198" spans="1:7" ht="18.75" customHeight="1" x14ac:dyDescent="0.25">
      <c r="A198" s="643"/>
      <c r="B198" s="633" t="str">
        <f>IFERROR(IF(INDEX('Impact Indicators - Section B '!AA$1:AA$98,MATCH($A184,'Impact Indicators - Section B '!$A$1:$A$98,0))&lt;&gt;0,INDEX('Impact Indicators - Section B '!AA$1:AA$98,MATCH($A184,'Impact Indicators - Section B '!$A$1:$A$98,0)),""),"")</f>
        <v xml:space="preserve">The proportion of RR/MDR TB cases among new TB Patients were about 26-27% in 2014-2018 and increased in 2019 - 29% because of the measures on improving the implementation of the diagnostic algorithm including using the GeneXpert as the test of the first choice. With the high FL DST coverage (94% new bacteriologically confirmed cases were tested for RR in 2021), proportion of RR/MDR TB among new TB cases consisted of 25,9%. It is expected that the proportion of RR/MDR TB cases among new cases will decline insignificantly: 24,5% in 2024, 24% - in 2025, 23.5% in 2026. 
The methodology of the data collection is based on the routine DST of the TB patients. The data reporting tool for this indicator relates to the quarterly TB 06 form, (Table 3). Numerator: Number of new TB cases with  RR-TB and or MDR-TBx100. Denominator: Total number of new TB cases with DST results\Xpert result.  Extrapulmonary resistant TB cases should be excluded. </v>
      </c>
      <c r="C198" s="634"/>
      <c r="D198" s="634"/>
      <c r="E198" s="634"/>
      <c r="F198" s="634"/>
      <c r="G198" s="635"/>
    </row>
    <row r="199" spans="1:7" ht="18.75" customHeight="1" x14ac:dyDescent="0.25">
      <c r="A199" s="643"/>
      <c r="B199" s="636"/>
      <c r="C199" s="637"/>
      <c r="D199" s="637"/>
      <c r="E199" s="637"/>
      <c r="F199" s="637"/>
      <c r="G199" s="638"/>
    </row>
    <row r="200" spans="1:7" ht="18.75" customHeight="1" x14ac:dyDescent="0.25">
      <c r="A200" s="643"/>
      <c r="B200" s="636"/>
      <c r="C200" s="637"/>
      <c r="D200" s="637"/>
      <c r="E200" s="637"/>
      <c r="F200" s="637"/>
      <c r="G200" s="638"/>
    </row>
    <row r="201" spans="1:7" ht="18.75" customHeight="1" x14ac:dyDescent="0.25">
      <c r="A201" s="643"/>
      <c r="B201" s="636"/>
      <c r="C201" s="637"/>
      <c r="D201" s="637"/>
      <c r="E201" s="637"/>
      <c r="F201" s="637"/>
      <c r="G201" s="638"/>
    </row>
    <row r="202" spans="1:7" ht="18.75" customHeight="1" x14ac:dyDescent="0.25">
      <c r="A202" s="643"/>
      <c r="B202" s="636"/>
      <c r="C202" s="637"/>
      <c r="D202" s="637"/>
      <c r="E202" s="637"/>
      <c r="F202" s="637"/>
      <c r="G202" s="638"/>
    </row>
    <row r="203" spans="1:7" ht="18.75" customHeight="1" x14ac:dyDescent="0.25">
      <c r="A203" s="643"/>
      <c r="B203" s="636"/>
      <c r="C203" s="637"/>
      <c r="D203" s="637"/>
      <c r="E203" s="637"/>
      <c r="F203" s="637"/>
      <c r="G203" s="638"/>
    </row>
    <row r="204" spans="1:7" ht="18.75" customHeight="1" x14ac:dyDescent="0.25">
      <c r="A204" s="643"/>
      <c r="B204" s="636"/>
      <c r="C204" s="637"/>
      <c r="D204" s="637"/>
      <c r="E204" s="637"/>
      <c r="F204" s="637"/>
      <c r="G204" s="638"/>
    </row>
    <row r="205" spans="1:7" ht="18.75" customHeight="1" x14ac:dyDescent="0.25">
      <c r="A205" s="643"/>
      <c r="B205" s="636"/>
      <c r="C205" s="637"/>
      <c r="D205" s="637"/>
      <c r="E205" s="637"/>
      <c r="F205" s="637"/>
      <c r="G205" s="638"/>
    </row>
    <row r="206" spans="1:7" ht="18.75" customHeight="1" x14ac:dyDescent="0.25">
      <c r="A206" s="643"/>
      <c r="B206" s="636"/>
      <c r="C206" s="637"/>
      <c r="D206" s="637"/>
      <c r="E206" s="637"/>
      <c r="F206" s="637"/>
      <c r="G206" s="638"/>
    </row>
    <row r="207" spans="1:7" ht="18.75" customHeight="1" x14ac:dyDescent="0.25">
      <c r="A207" s="643"/>
      <c r="B207" s="636"/>
      <c r="C207" s="637"/>
      <c r="D207" s="637"/>
      <c r="E207" s="637"/>
      <c r="F207" s="637"/>
      <c r="G207" s="638"/>
    </row>
    <row r="208" spans="1:7" ht="18.75" customHeight="1" x14ac:dyDescent="0.25">
      <c r="A208" s="639"/>
      <c r="B208" s="640"/>
      <c r="C208" s="640"/>
      <c r="D208" s="640"/>
      <c r="E208" s="640"/>
      <c r="F208" s="640"/>
      <c r="G208" s="641"/>
    </row>
    <row r="210" spans="1:7" ht="18.75" customHeight="1" x14ac:dyDescent="0.25">
      <c r="A210" s="77" t="s">
        <v>4383</v>
      </c>
      <c r="B210" s="623" t="s">
        <v>738</v>
      </c>
      <c r="C210" s="624"/>
      <c r="D210" s="625"/>
      <c r="E210" s="623" t="s">
        <v>739</v>
      </c>
      <c r="F210" s="624"/>
      <c r="G210" s="625"/>
    </row>
    <row r="211" spans="1:7" ht="18.75" customHeight="1" x14ac:dyDescent="0.25">
      <c r="A211" s="642">
        <v>8</v>
      </c>
      <c r="B211" s="633" t="str">
        <f>IFERROR(IF(INDEX('Impact Indicators - Section B '!B$1:B$98,MATCH($A211,'Impact Indicators - Section B '!$A$1:$A$98,0))&lt;&gt;0,INDEX('Impact Indicators - Section B '!B$1:B$98,MATCH($A211,'Impact Indicators - Section B '!$A$1:$A$98,0)),""),"")</f>
        <v/>
      </c>
      <c r="C211" s="634"/>
      <c r="D211" s="635"/>
      <c r="E211" s="633" t="str">
        <f>IFERROR(IF(INDEX('Impact Indicators - Section B '!C$1:C$98,MATCH($A211,'Impact Indicators - Section B '!$A$1:$A$98,0))&lt;&gt;0,INDEX('Impact Indicators - Section B '!C$1:C$98,MATCH($A211,'Impact Indicators - Section B '!$A$1:$A$98,0)),""),"")</f>
        <v/>
      </c>
      <c r="F211" s="634"/>
      <c r="G211" s="635"/>
    </row>
    <row r="212" spans="1:7" ht="18.75" customHeight="1" x14ac:dyDescent="0.25">
      <c r="A212" s="643"/>
      <c r="B212" s="636"/>
      <c r="C212" s="637"/>
      <c r="D212" s="638"/>
      <c r="E212" s="636"/>
      <c r="F212" s="637"/>
      <c r="G212" s="638"/>
    </row>
    <row r="213" spans="1:7" ht="18.75" customHeight="1" x14ac:dyDescent="0.25">
      <c r="A213" s="643"/>
      <c r="B213" s="644"/>
      <c r="C213" s="645"/>
      <c r="D213" s="646"/>
      <c r="E213" s="644"/>
      <c r="F213" s="645"/>
      <c r="G213" s="646"/>
    </row>
    <row r="214" spans="1:7" ht="18.75" customHeight="1" x14ac:dyDescent="0.25">
      <c r="A214" s="643"/>
      <c r="B214" s="623" t="s">
        <v>742</v>
      </c>
      <c r="C214" s="624"/>
      <c r="D214" s="625"/>
      <c r="E214" s="623" t="s">
        <v>127</v>
      </c>
      <c r="F214" s="624"/>
      <c r="G214" s="625"/>
    </row>
    <row r="215" spans="1:7" ht="18.75" customHeight="1" x14ac:dyDescent="0.25">
      <c r="A215" s="643"/>
      <c r="B215" s="647" t="str">
        <f>IFERROR(IF(INDEX('Impact Indicators - Section B '!H$1:H$98,MATCH($A211,'Impact Indicators - Section B '!$A$1:$A$98,0))&lt;&gt;0,INDEX('Impact Indicators - Section B '!H$1:H$98,MATCH($A211,'Impact Indicators - Section B '!$A$1:$A$98,0)),""),"")</f>
        <v/>
      </c>
      <c r="C215" s="648"/>
      <c r="D215" s="649"/>
      <c r="E215" s="647" t="str">
        <f>IFERROR(IF(INDEX('Impact Indicators - Section B '!J$1:J$98,MATCH($A211,'Impact Indicators - Section B '!$A$1:$A$98,0))&lt;&gt;0,INDEX('Impact Indicators - Section B '!J$1:J$98,MATCH($A211,'Impact Indicators - Section B '!$A$1:$A$98,0)),""),"")</f>
        <v/>
      </c>
      <c r="F215" s="648"/>
      <c r="G215" s="649"/>
    </row>
    <row r="216" spans="1:7" ht="18.75" customHeight="1" x14ac:dyDescent="0.25">
      <c r="A216" s="643"/>
      <c r="B216" s="623" t="s">
        <v>199</v>
      </c>
      <c r="C216" s="624"/>
      <c r="D216" s="625"/>
      <c r="E216" s="623" t="s">
        <v>120</v>
      </c>
      <c r="F216" s="624"/>
      <c r="G216" s="625"/>
    </row>
    <row r="217" spans="1:7" ht="18.75" customHeight="1" x14ac:dyDescent="0.25">
      <c r="A217" s="643"/>
      <c r="B217" s="633" t="str">
        <f>IFERROR(IF(INDEX('Impact Indicators - Section B '!G$1:G$98,MATCH($A211,'Impact Indicators - Section B '!$A$1:$A$98,0))&lt;&gt;0,INDEX('Impact Indicators - Section B '!G$1:G$98,MATCH($A211,'Impact Indicators - Section B '!$A$1:$A$98,0)),""),"")</f>
        <v/>
      </c>
      <c r="C217" s="634"/>
      <c r="D217" s="635"/>
      <c r="E217" s="633" t="str">
        <f>IFERROR(IF(AND('Overview - Section A'!AS$1="Grant Making",OR(B211&lt;&gt;"",E211&lt;&gt;"")),Setup!I204,IF(INDEX('Impact Indicators - Section B '!I$1:I$98,MATCH($A211,'Impact Indicators - Section B '!$A$1:$A$98,0))&lt;&gt;0,INDEX('Impact Indicators - Section B '!I$1:I$98,MATCH($A211,'Impact Indicators - Section B '!$A$1:$A$98,0)),"")),"")</f>
        <v/>
      </c>
      <c r="F217" s="634"/>
      <c r="G217" s="635"/>
    </row>
    <row r="218" spans="1:7" ht="18.75" customHeight="1" x14ac:dyDescent="0.25">
      <c r="A218" s="643"/>
      <c r="B218" s="644"/>
      <c r="C218" s="645"/>
      <c r="D218" s="646"/>
      <c r="E218" s="644"/>
      <c r="F218" s="645"/>
      <c r="G218" s="646"/>
    </row>
    <row r="219" spans="1:7" ht="18.75" customHeight="1" x14ac:dyDescent="0.25">
      <c r="A219" s="643"/>
      <c r="B219" s="78"/>
      <c r="C219" s="63" t="s">
        <v>4384</v>
      </c>
      <c r="D219" s="623" t="s">
        <v>4385</v>
      </c>
      <c r="E219" s="624"/>
      <c r="F219" s="624"/>
      <c r="G219" s="625"/>
    </row>
    <row r="220" spans="1:7" ht="18.75" customHeight="1" x14ac:dyDescent="0.25">
      <c r="A220" s="643"/>
      <c r="B220" s="78" t="s">
        <v>2559</v>
      </c>
      <c r="C220" s="79" t="str">
        <f>IFERROR(IF(INDEX('Impact Indicators - Section B '!F$1:F$98,MATCH($A211,'Impact Indicators - Section B '!$A$1:$A$98,0))&lt;&gt;0,INDEX('Impact Indicators - Section B '!F$1:F$98,MATCH($A211,'Impact Indicators - Section B '!$A$1:$A$98,0)),""),"")&amp;CHAR(10)&amp;IFERROR(IF(INDEX('Impact Indicators - Section B '!G$1:G$98,MATCH($A211,'Impact Indicators - Section B '!$A$1:$A$98,0))&lt;&gt;0,INDEX('Impact Indicators - Section B '!G$1:G$98,MATCH($A211,'Impact Indicators - Section B '!$A$1:$A$98,0)),""),"")</f>
        <v xml:space="preserve">
</v>
      </c>
      <c r="D220" s="63">
        <f ca="1">IFERROR(IF(YEAR(INDEX('Overview - Section A'!$A$47:$A$54,MATCH('Print - Summary'!$H$10,'Overview - Section A'!$B$47:$B$54,0)))&lt;=YEAR('Overview - Section A'!$E$8),YEAR(INDEX('Overview - Section A'!$A$47:$A$54,MATCH('Print - Summary'!$H$10,'Overview - Section A'!$B$47:$B$54,0))),""),"")</f>
        <v>2024</v>
      </c>
      <c r="E220" s="63">
        <f ca="1">IFERROR(IF(D220+1&lt;=YEAR('Overview - Section A'!$E$8),D220+1,""),"")</f>
        <v>2025</v>
      </c>
      <c r="F220" s="63">
        <f ca="1">IFERROR(IF(E220+1&lt;=YEAR('Overview - Section A'!$E$8),E220+1,""),"")</f>
        <v>2026</v>
      </c>
      <c r="G220" s="63" t="str">
        <f ca="1">IFERROR(IF(F220+1&lt;=YEAR('Overview - Section A'!$E$8),F220+1,""),"")</f>
        <v/>
      </c>
    </row>
    <row r="221" spans="1:7" s="81" customFormat="1" ht="18.75" customHeight="1" x14ac:dyDescent="0.25">
      <c r="A221" s="643"/>
      <c r="B221" s="78" t="s">
        <v>4386</v>
      </c>
      <c r="C221" s="80" t="str">
        <f>IFERROR(IF(INDEX('Impact Indicators - Section B '!D$1:D$98,MATCH($A211,'Impact Indicators - Section B '!$A$1:$A$98,0))&lt;&gt;"",FIXED(INDEX('Impact Indicators - Section B '!D$1:D$98,MATCH($A211,'Impact Indicators - Section B '!$A$1:$A$98,0)),4),""),"")</f>
        <v/>
      </c>
      <c r="D221" s="80" t="str">
        <f>IFERROR(IF(INDEX('Impact Indicators - Section B '!K$1:K$98,MATCH($A211,'Impact Indicators - Section B '!$A$1:$A$98,0))&lt;&gt;"",FIXED(INDEX('Impact Indicators - Section B '!K$1:K$98,MATCH($A211,'Impact Indicators - Section B '!$A$1:$A$98,0)),4),""),"")</f>
        <v/>
      </c>
      <c r="E221" s="80" t="str">
        <f>IFERROR(IF(INDEX('Impact Indicators - Section B '!O$1:O$98,MATCH($A211,'Impact Indicators - Section B '!$A$1:$A$98,0))&lt;&gt;"",FIXED(INDEX('Impact Indicators - Section B '!O$1:O$98,MATCH($A211,'Impact Indicators - Section B '!$A$1:$A$98,0)),4),""),"")</f>
        <v/>
      </c>
      <c r="F221" s="80" t="str">
        <f>IFERROR(IF(INDEX('Impact Indicators - Section B '!S$1:S$98,MATCH($A211,'Impact Indicators - Section B '!$A$1:$A$98,0))&lt;&gt;"",FIXED(INDEX('Impact Indicators - Section B '!S$1:S$98,MATCH($A211,'Impact Indicators - Section B '!$A$1:$A$98,0)),4),""),"")</f>
        <v/>
      </c>
      <c r="G221" s="80" t="str">
        <f>IFERROR(IF(INDEX('Impact Indicators - Section B '!W$1:W$98,MATCH($A211,'Impact Indicators - Section B '!$A$1:$A$98,0))&lt;&gt;"",FIXED(INDEX('Impact Indicators - Section B '!W$1:W$98,MATCH($A211,'Impact Indicators - Section B '!$A$1:$A$98,0)),4),""),"")</f>
        <v/>
      </c>
    </row>
    <row r="222" spans="1:7" s="83" customFormat="1" ht="18.75" customHeight="1" x14ac:dyDescent="0.25">
      <c r="A222" s="643"/>
      <c r="B222" s="78" t="s">
        <v>4387</v>
      </c>
      <c r="C222" s="82" t="str">
        <f>IFERROR(IF(INDEX('Impact Indicators - Section B '!D$1:D$98,MATCH($A211,'Impact Indicators - Section B '!$A$1:$A$98,0)+1)&lt;&gt;"",FIXED(INDEX('Impact Indicators - Section B '!D$1:D$98,MATCH($A211,'Impact Indicators - Section B '!$A$1:$A$98,0)+1),2),""),"")</f>
        <v/>
      </c>
      <c r="D222" s="82" t="str">
        <f>IFERROR(IF(INDEX('Impact Indicators - Section B '!K$1:K$98,MATCH($A211,'Impact Indicators - Section B '!$A$1:$A$98,0)+1)&lt;&gt;"",FIXED(INDEX('Impact Indicators - Section B '!K$1:K$98,MATCH($A211,'Impact Indicators - Section B '!$A$1:$A$98,0)+1),2),""),"")</f>
        <v/>
      </c>
      <c r="E222" s="82" t="str">
        <f>IFERROR(IF(INDEX('Impact Indicators - Section B '!O$1:O$98,MATCH($A211,'Impact Indicators - Section B '!$A$1:$A$98,0)+1)&lt;&gt;"",FIXED(INDEX('Impact Indicators - Section B '!O$1:O$98,MATCH($A211,'Impact Indicators - Section B '!$A$1:$A$98,0)+1),2),""),"")</f>
        <v/>
      </c>
      <c r="F222" s="82" t="str">
        <f>IFERROR(IF(INDEX('Impact Indicators - Section B '!S$1:S$98,MATCH($A211,'Impact Indicators - Section B '!$A$1:$A$98,0)+1)&lt;&gt;"",FIXED(INDEX('Impact Indicators - Section B '!S$1:S$98,MATCH($A211,'Impact Indicators - Section B '!$A$1:$A$98,0)+1),2),""),"")</f>
        <v/>
      </c>
      <c r="G222" s="82" t="str">
        <f>IFERROR(IF(INDEX('Impact Indicators - Section B '!W$1:W$98,MATCH($A211,'Impact Indicators - Section B '!$A$1:$A$98,0)+1)&lt;&gt;"",FIXED(INDEX('Impact Indicators - Section B '!W$1:W$98,MATCH($A211,'Impact Indicators - Section B '!$A$1:$A$98,0)+1),2),""),"")</f>
        <v/>
      </c>
    </row>
    <row r="223" spans="1:7" ht="18.75" customHeight="1" x14ac:dyDescent="0.25">
      <c r="A223" s="643"/>
      <c r="B223" s="78" t="s">
        <v>4388</v>
      </c>
      <c r="C223" s="79" t="str">
        <f ca="1">IFERROR(IF(INDEX('Impact Indicators - Section B '!E$1:E$98,MATCH($A211,'Impact Indicators - Section B '!$A$1:$A$98,0))&lt;&gt;"",FIXED(INDEX('Impact Indicators - Section B '!E$1:E$98,MATCH($A211,'Impact Indicators - Section B '!$A$1:$A$98,0))*100,2)&amp;"%",""),"")</f>
        <v/>
      </c>
      <c r="D223" s="79" t="str">
        <f ca="1">IFERROR(IF(INDEX('Impact Indicators - Section B '!L$1:L$98,MATCH($A211,'Impact Indicators - Section B '!$A$1:$A$98,0))&lt;&gt;"",FIXED(INDEX('Impact Indicators - Section B '!L$1:L$98,MATCH($A211,'Impact Indicators - Section B '!$A$1:$A$98,0))*100,2)&amp;"%",""),"")&amp;CHAR(10)&amp;IFERROR(IF(INDEX('Impact Indicators - Section B '!N$1:N$98,MATCH($A211,'Impact Indicators - Section B '!$A$1:$A$98,0))&lt;&gt;"",INDEX('Impact Indicators - Section B '!N$1:N$98,MATCH($A211,'Impact Indicators - Section B '!$A$1:$A$98,0)),""),"")&amp;CHAR(10)&amp;IFERROR(IF(INDEX('Impact Indicators - Section B '!M$1:M$98,MATCH($A211,'Impact Indicators - Section B '!$A$1:$A$98,0))&lt;&gt;"",TEXT(INDEX('Impact Indicators - Section B '!M$1:M$98,MATCH($A211,'Impact Indicators - Section B '!$A$1:$A$98,0)),Setup!$A$33),""),"")</f>
        <v xml:space="preserve">
</v>
      </c>
      <c r="E223" s="79" t="str">
        <f ca="1">IFERROR(IF(INDEX('Impact Indicators - Section B '!P$1:P$98,MATCH($A211,'Impact Indicators - Section B '!$A$1:$A$98,0))&lt;&gt;"",FIXED(INDEX('Impact Indicators - Section B '!P$1:P$98,MATCH($A211,'Impact Indicators - Section B '!$A$1:$A$98,0))*100,2)&amp;"%",""),"")&amp;CHAR(10)&amp;IFERROR(IF(INDEX('Impact Indicators - Section B '!R$1:R$98,MATCH($A211,'Impact Indicators - Section B '!$A$1:$A$98,0))&lt;&gt;"",INDEX('Impact Indicators - Section B '!R$1:R$98,MATCH($A211,'Impact Indicators - Section B '!$A$1:$A$98,0)),""),"")&amp;CHAR(10)&amp;IFERROR(IF(INDEX('Impact Indicators - Section B '!Q$1:Q$98,MATCH($A211,'Impact Indicators - Section B '!$A$1:$A$98,0))&lt;&gt;"",TEXT(INDEX('Impact Indicators - Section B '!Q$1:Q$98,MATCH($A211,'Impact Indicators - Section B '!$A$1:$A$98,0)),Setup!$A$33),""),"")</f>
        <v xml:space="preserve">
</v>
      </c>
      <c r="F223" s="79" t="str">
        <f ca="1">IFERROR(IF(INDEX('Impact Indicators - Section B '!T$1:T$98,MATCH($A211,'Impact Indicators - Section B '!$A$1:$A$98,0))&lt;&gt;"",FIXED(INDEX('Impact Indicators - Section B '!T$1:T$98,MATCH($A211,'Impact Indicators - Section B '!$A$1:$A$98,0))*100,2)&amp;"%",""),"")&amp;CHAR(10)&amp;IFERROR(IF(INDEX('Impact Indicators - Section B '!V$1:V$98,MATCH($A211,'Impact Indicators - Section B '!$A$1:$A$98,0))&lt;&gt;"",FIXED(INDEX('Impact Indicators - Section B '!V$1:V$98,MATCH($A211,'Impact Indicators - Section B '!$A$1:$A$98,0)),Setup!$A$33),""),"")&amp;CHAR(10)&amp;IFERROR(IF(INDEX('Impact Indicators - Section B '!U$1:U$98,MATCH($A211,'Impact Indicators - Section B '!$A$1:$A$98,0))&lt;&gt;"",TEXT(INDEX('Impact Indicators - Section B '!U$1:U$98,MATCH($A211,'Impact Indicators - Section B '!$A$1:$A$98,0)),Setup!$A$33),""),"")</f>
        <v xml:space="preserve">
</v>
      </c>
      <c r="G223" s="79" t="str">
        <f ca="1">IFERROR(IF(INDEX('Impact Indicators - Section B '!X$1:X$98,MATCH($A211,'Impact Indicators - Section B '!$A$1:$A$98,0))&lt;&gt;"",FIXED(INDEX('Impact Indicators - Section B '!X$1:X$98,MATCH($A211,'Impact Indicators - Section B '!$A$1:$A$98,0))*100,2)&amp;"%",""),"")&amp;CHAR(10)&amp;IFERROR(IF(INDEX('Impact Indicators - Section B '!Z$1:Z$98,MATCH($A211,'Impact Indicators - Section B '!$A$1:$A$98,0))&lt;&gt;"",INDEX('Impact Indicators - Section B '!Z$1:Z$98,MATCH($A211,'Impact Indicators - Section B '!$A$1:$A$98,0)),""),"")&amp;CHAR(10)&amp;IFERROR(IF(INDEX('Impact Indicators - Section B '!Y$1:Y$98,MATCH($A211,'Impact Indicators - Section B '!$A$1:$A$98,0))&lt;&gt;"",TEXT(INDEX('Impact Indicators - Section B '!Y$1:Y$98,MATCH($A211,'Impact Indicators - Section B '!$A$1:$A$98,0)),Setup!$A$33),""),"")</f>
        <v xml:space="preserve">
</v>
      </c>
    </row>
    <row r="224" spans="1:7" ht="18.75" customHeight="1" x14ac:dyDescent="0.25">
      <c r="A224" s="643"/>
      <c r="B224" s="623" t="s">
        <v>176</v>
      </c>
      <c r="C224" s="624"/>
      <c r="D224" s="624"/>
      <c r="E224" s="624"/>
      <c r="F224" s="624"/>
      <c r="G224" s="625"/>
    </row>
    <row r="225" spans="1:7" ht="18.75" customHeight="1" x14ac:dyDescent="0.25">
      <c r="A225" s="643"/>
      <c r="B225" s="633" t="str">
        <f>IFERROR(IF(INDEX('Impact Indicators - Section B '!AA$1:AA$98,MATCH($A211,'Impact Indicators - Section B '!$A$1:$A$98,0))&lt;&gt;0,INDEX('Impact Indicators - Section B '!AA$1:AA$98,MATCH($A211,'Impact Indicators - Section B '!$A$1:$A$98,0)),""),"")</f>
        <v/>
      </c>
      <c r="C225" s="634"/>
      <c r="D225" s="634"/>
      <c r="E225" s="634"/>
      <c r="F225" s="634"/>
      <c r="G225" s="635"/>
    </row>
    <row r="226" spans="1:7" ht="18.75" customHeight="1" x14ac:dyDescent="0.25">
      <c r="A226" s="643"/>
      <c r="B226" s="636"/>
      <c r="C226" s="637"/>
      <c r="D226" s="637"/>
      <c r="E226" s="637"/>
      <c r="F226" s="637"/>
      <c r="G226" s="638"/>
    </row>
    <row r="227" spans="1:7" ht="18.75" customHeight="1" x14ac:dyDescent="0.25">
      <c r="A227" s="643"/>
      <c r="B227" s="636"/>
      <c r="C227" s="637"/>
      <c r="D227" s="637"/>
      <c r="E227" s="637"/>
      <c r="F227" s="637"/>
      <c r="G227" s="638"/>
    </row>
    <row r="228" spans="1:7" ht="18.75" customHeight="1" x14ac:dyDescent="0.25">
      <c r="A228" s="643"/>
      <c r="B228" s="636"/>
      <c r="C228" s="637"/>
      <c r="D228" s="637"/>
      <c r="E228" s="637"/>
      <c r="F228" s="637"/>
      <c r="G228" s="638"/>
    </row>
    <row r="229" spans="1:7" ht="18.75" customHeight="1" x14ac:dyDescent="0.25">
      <c r="A229" s="643"/>
      <c r="B229" s="636"/>
      <c r="C229" s="637"/>
      <c r="D229" s="637"/>
      <c r="E229" s="637"/>
      <c r="F229" s="637"/>
      <c r="G229" s="638"/>
    </row>
    <row r="230" spans="1:7" ht="18.75" customHeight="1" x14ac:dyDescent="0.25">
      <c r="A230" s="643"/>
      <c r="B230" s="636"/>
      <c r="C230" s="637"/>
      <c r="D230" s="637"/>
      <c r="E230" s="637"/>
      <c r="F230" s="637"/>
      <c r="G230" s="638"/>
    </row>
    <row r="231" spans="1:7" ht="18.75" customHeight="1" x14ac:dyDescent="0.25">
      <c r="A231" s="643"/>
      <c r="B231" s="636"/>
      <c r="C231" s="637"/>
      <c r="D231" s="637"/>
      <c r="E231" s="637"/>
      <c r="F231" s="637"/>
      <c r="G231" s="638"/>
    </row>
    <row r="232" spans="1:7" ht="18.75" customHeight="1" x14ac:dyDescent="0.25">
      <c r="A232" s="643"/>
      <c r="B232" s="636"/>
      <c r="C232" s="637"/>
      <c r="D232" s="637"/>
      <c r="E232" s="637"/>
      <c r="F232" s="637"/>
      <c r="G232" s="638"/>
    </row>
    <row r="233" spans="1:7" ht="18.75" customHeight="1" x14ac:dyDescent="0.25">
      <c r="A233" s="643"/>
      <c r="B233" s="636"/>
      <c r="C233" s="637"/>
      <c r="D233" s="637"/>
      <c r="E233" s="637"/>
      <c r="F233" s="637"/>
      <c r="G233" s="638"/>
    </row>
    <row r="234" spans="1:7" ht="18.75" customHeight="1" x14ac:dyDescent="0.25">
      <c r="A234" s="643"/>
      <c r="B234" s="636"/>
      <c r="C234" s="637"/>
      <c r="D234" s="637"/>
      <c r="E234" s="637"/>
      <c r="F234" s="637"/>
      <c r="G234" s="638"/>
    </row>
    <row r="235" spans="1:7" ht="18.75" customHeight="1" x14ac:dyDescent="0.25">
      <c r="A235" s="639"/>
      <c r="B235" s="640"/>
      <c r="C235" s="640"/>
      <c r="D235" s="640"/>
      <c r="E235" s="640"/>
      <c r="F235" s="640"/>
      <c r="G235" s="641"/>
    </row>
    <row r="237" spans="1:7" ht="18.75" customHeight="1" x14ac:dyDescent="0.25">
      <c r="A237" s="77" t="s">
        <v>4383</v>
      </c>
      <c r="B237" s="623" t="s">
        <v>738</v>
      </c>
      <c r="C237" s="624"/>
      <c r="D237" s="625"/>
      <c r="E237" s="623" t="s">
        <v>739</v>
      </c>
      <c r="F237" s="624"/>
      <c r="G237" s="625"/>
    </row>
    <row r="238" spans="1:7" ht="18.75" customHeight="1" x14ac:dyDescent="0.25">
      <c r="A238" s="642">
        <v>9</v>
      </c>
      <c r="B238" s="633" t="str">
        <f>IFERROR(IF(INDEX('Impact Indicators - Section B '!B$1:B$98,MATCH($A238,'Impact Indicators - Section B '!$A$1:$A$98,0))&lt;&gt;0,INDEX('Impact Indicators - Section B '!B$1:B$98,MATCH($A238,'Impact Indicators - Section B '!$A$1:$A$98,0)),""),"")</f>
        <v/>
      </c>
      <c r="C238" s="634"/>
      <c r="D238" s="635"/>
      <c r="E238" s="633" t="str">
        <f>IFERROR(IF(INDEX('Impact Indicators - Section B '!C$1:C$98,MATCH($A238,'Impact Indicators - Section B '!$A$1:$A$98,0))&lt;&gt;0,INDEX('Impact Indicators - Section B '!C$1:C$98,MATCH($A238,'Impact Indicators - Section B '!$A$1:$A$98,0)),""),"")</f>
        <v/>
      </c>
      <c r="F238" s="634"/>
      <c r="G238" s="635"/>
    </row>
    <row r="239" spans="1:7" ht="18.75" customHeight="1" x14ac:dyDescent="0.25">
      <c r="A239" s="643"/>
      <c r="B239" s="636"/>
      <c r="C239" s="637"/>
      <c r="D239" s="638"/>
      <c r="E239" s="636"/>
      <c r="F239" s="637"/>
      <c r="G239" s="638"/>
    </row>
    <row r="240" spans="1:7" ht="18.75" customHeight="1" x14ac:dyDescent="0.25">
      <c r="A240" s="643"/>
      <c r="B240" s="644"/>
      <c r="C240" s="645"/>
      <c r="D240" s="646"/>
      <c r="E240" s="644"/>
      <c r="F240" s="645"/>
      <c r="G240" s="646"/>
    </row>
    <row r="241" spans="1:7" ht="18.75" customHeight="1" x14ac:dyDescent="0.25">
      <c r="A241" s="643"/>
      <c r="B241" s="623" t="s">
        <v>742</v>
      </c>
      <c r="C241" s="624"/>
      <c r="D241" s="625"/>
      <c r="E241" s="623" t="s">
        <v>127</v>
      </c>
      <c r="F241" s="624"/>
      <c r="G241" s="625"/>
    </row>
    <row r="242" spans="1:7" ht="18.75" customHeight="1" x14ac:dyDescent="0.25">
      <c r="A242" s="643"/>
      <c r="B242" s="647" t="str">
        <f>IFERROR(IF(INDEX('Impact Indicators - Section B '!H$1:H$98,MATCH($A238,'Impact Indicators - Section B '!$A$1:$A$98,0))&lt;&gt;0,INDEX('Impact Indicators - Section B '!H$1:H$98,MATCH($A238,'Impact Indicators - Section B '!$A$1:$A$98,0)),""),"")</f>
        <v/>
      </c>
      <c r="C242" s="648"/>
      <c r="D242" s="649"/>
      <c r="E242" s="647" t="str">
        <f>IFERROR(IF(INDEX('Impact Indicators - Section B '!J$1:J$98,MATCH($A238,'Impact Indicators - Section B '!$A$1:$A$98,0))&lt;&gt;0,INDEX('Impact Indicators - Section B '!J$1:J$98,MATCH($A238,'Impact Indicators - Section B '!$A$1:$A$98,0)),""),"")</f>
        <v/>
      </c>
      <c r="F242" s="648"/>
      <c r="G242" s="649"/>
    </row>
    <row r="243" spans="1:7" ht="18.75" customHeight="1" x14ac:dyDescent="0.25">
      <c r="A243" s="643"/>
      <c r="B243" s="623" t="s">
        <v>199</v>
      </c>
      <c r="C243" s="624"/>
      <c r="D243" s="625"/>
      <c r="E243" s="623" t="s">
        <v>120</v>
      </c>
      <c r="F243" s="624"/>
      <c r="G243" s="625"/>
    </row>
    <row r="244" spans="1:7" ht="18.75" customHeight="1" x14ac:dyDescent="0.25">
      <c r="A244" s="643"/>
      <c r="B244" s="633" t="str">
        <f>IFERROR(IF(INDEX('Impact Indicators - Section B '!G$1:G$98,MATCH($A238,'Impact Indicators - Section B '!$A$1:$A$98,0))&lt;&gt;0,INDEX('Impact Indicators - Section B '!G$1:G$98,MATCH($A238,'Impact Indicators - Section B '!$A$1:$A$98,0)),""),"")</f>
        <v/>
      </c>
      <c r="C244" s="634"/>
      <c r="D244" s="635"/>
      <c r="E244" s="633" t="str">
        <f>IFERROR(IF(AND('Overview - Section A'!AS$1="Grant Making",OR(B238&lt;&gt;"",E238&lt;&gt;"")),Setup!I231,IF(INDEX('Impact Indicators - Section B '!I$1:I$98,MATCH($A238,'Impact Indicators - Section B '!$A$1:$A$98,0))&lt;&gt;0,INDEX('Impact Indicators - Section B '!I$1:I$98,MATCH($A238,'Impact Indicators - Section B '!$A$1:$A$98,0)),"")),"")</f>
        <v/>
      </c>
      <c r="F244" s="634"/>
      <c r="G244" s="635"/>
    </row>
    <row r="245" spans="1:7" ht="18.75" customHeight="1" x14ac:dyDescent="0.25">
      <c r="A245" s="643"/>
      <c r="B245" s="644"/>
      <c r="C245" s="645"/>
      <c r="D245" s="646"/>
      <c r="E245" s="644"/>
      <c r="F245" s="645"/>
      <c r="G245" s="646"/>
    </row>
    <row r="246" spans="1:7" ht="18.75" customHeight="1" x14ac:dyDescent="0.25">
      <c r="A246" s="643"/>
      <c r="B246" s="78"/>
      <c r="C246" s="63" t="s">
        <v>4384</v>
      </c>
      <c r="D246" s="623" t="s">
        <v>4385</v>
      </c>
      <c r="E246" s="624"/>
      <c r="F246" s="624"/>
      <c r="G246" s="625"/>
    </row>
    <row r="247" spans="1:7" ht="18.75" customHeight="1" x14ac:dyDescent="0.25">
      <c r="A247" s="643"/>
      <c r="B247" s="78" t="s">
        <v>2559</v>
      </c>
      <c r="C247" s="79" t="str">
        <f>IFERROR(IF(INDEX('Impact Indicators - Section B '!F$1:F$98,MATCH($A238,'Impact Indicators - Section B '!$A$1:$A$98,0))&lt;&gt;0,INDEX('Impact Indicators - Section B '!F$1:F$98,MATCH($A238,'Impact Indicators - Section B '!$A$1:$A$98,0)),""),"")&amp;CHAR(10)&amp;IFERROR(IF(INDEX('Impact Indicators - Section B '!G$1:G$98,MATCH($A238,'Impact Indicators - Section B '!$A$1:$A$98,0))&lt;&gt;0,INDEX('Impact Indicators - Section B '!G$1:G$98,MATCH($A238,'Impact Indicators - Section B '!$A$1:$A$98,0)),""),"")</f>
        <v xml:space="preserve">
</v>
      </c>
      <c r="D247" s="63">
        <f ca="1">IFERROR(IF(YEAR(INDEX('Overview - Section A'!$A$47:$A$54,MATCH('Print - Summary'!$H$10,'Overview - Section A'!$B$47:$B$54,0)))&lt;=YEAR('Overview - Section A'!$E$8),YEAR(INDEX('Overview - Section A'!$A$47:$A$54,MATCH('Print - Summary'!$H$10,'Overview - Section A'!$B$47:$B$54,0))),""),"")</f>
        <v>2024</v>
      </c>
      <c r="E247" s="63">
        <f ca="1">IFERROR(IF(D247+1&lt;=YEAR('Overview - Section A'!$E$8),D247+1,""),"")</f>
        <v>2025</v>
      </c>
      <c r="F247" s="63">
        <f ca="1">IFERROR(IF(E247+1&lt;=YEAR('Overview - Section A'!$E$8),E247+1,""),"")</f>
        <v>2026</v>
      </c>
      <c r="G247" s="63" t="str">
        <f ca="1">IFERROR(IF(F247+1&lt;=YEAR('Overview - Section A'!$E$8),F247+1,""),"")</f>
        <v/>
      </c>
    </row>
    <row r="248" spans="1:7" s="81" customFormat="1" ht="18.75" customHeight="1" x14ac:dyDescent="0.25">
      <c r="A248" s="643"/>
      <c r="B248" s="78" t="s">
        <v>4386</v>
      </c>
      <c r="C248" s="80" t="str">
        <f>IFERROR(IF(INDEX('Impact Indicators - Section B '!D$1:D$98,MATCH($A238,'Impact Indicators - Section B '!$A$1:$A$98,0))&lt;&gt;"",FIXED(INDEX('Impact Indicators - Section B '!D$1:D$98,MATCH($A238,'Impact Indicators - Section B '!$A$1:$A$98,0)),4),""),"")</f>
        <v/>
      </c>
      <c r="D248" s="80" t="str">
        <f>IFERROR(IF(INDEX('Impact Indicators - Section B '!K$1:K$98,MATCH($A238,'Impact Indicators - Section B '!$A$1:$A$98,0))&lt;&gt;"",FIXED(INDEX('Impact Indicators - Section B '!K$1:K$98,MATCH($A238,'Impact Indicators - Section B '!$A$1:$A$98,0)),4),""),"")</f>
        <v/>
      </c>
      <c r="E248" s="80" t="str">
        <f>IFERROR(IF(INDEX('Impact Indicators - Section B '!O$1:O$98,MATCH($A238,'Impact Indicators - Section B '!$A$1:$A$98,0))&lt;&gt;"",FIXED(INDEX('Impact Indicators - Section B '!O$1:O$98,MATCH($A238,'Impact Indicators - Section B '!$A$1:$A$98,0)),4),""),"")</f>
        <v/>
      </c>
      <c r="F248" s="80" t="str">
        <f>IFERROR(IF(INDEX('Impact Indicators - Section B '!S$1:S$98,MATCH($A238,'Impact Indicators - Section B '!$A$1:$A$98,0))&lt;&gt;"",FIXED(INDEX('Impact Indicators - Section B '!S$1:S$98,MATCH($A238,'Impact Indicators - Section B '!$A$1:$A$98,0)),4),""),"")</f>
        <v/>
      </c>
      <c r="G248" s="80" t="str">
        <f>IFERROR(IF(INDEX('Impact Indicators - Section B '!W$1:W$98,MATCH($A238,'Impact Indicators - Section B '!$A$1:$A$98,0))&lt;&gt;"",FIXED(INDEX('Impact Indicators - Section B '!W$1:W$98,MATCH($A238,'Impact Indicators - Section B '!$A$1:$A$98,0)),4),""),"")</f>
        <v/>
      </c>
    </row>
    <row r="249" spans="1:7" s="83" customFormat="1" ht="18.75" customHeight="1" x14ac:dyDescent="0.25">
      <c r="A249" s="643"/>
      <c r="B249" s="78" t="s">
        <v>4387</v>
      </c>
      <c r="C249" s="82" t="str">
        <f>IFERROR(IF(INDEX('Impact Indicators - Section B '!D$1:D$98,MATCH($A238,'Impact Indicators - Section B '!$A$1:$A$98,0)+1)&lt;&gt;"",FIXED(INDEX('Impact Indicators - Section B '!D$1:D$98,MATCH($A238,'Impact Indicators - Section B '!$A$1:$A$98,0)+1),2),""),"")</f>
        <v/>
      </c>
      <c r="D249" s="82" t="str">
        <f>IFERROR(IF(INDEX('Impact Indicators - Section B '!K$1:K$98,MATCH($A238,'Impact Indicators - Section B '!$A$1:$A$98,0)+1)&lt;&gt;"",FIXED(INDEX('Impact Indicators - Section B '!K$1:K$98,MATCH($A238,'Impact Indicators - Section B '!$A$1:$A$98,0)+1),2),""),"")</f>
        <v/>
      </c>
      <c r="E249" s="82" t="str">
        <f>IFERROR(IF(INDEX('Impact Indicators - Section B '!O$1:O$98,MATCH($A238,'Impact Indicators - Section B '!$A$1:$A$98,0)+1)&lt;&gt;"",FIXED(INDEX('Impact Indicators - Section B '!O$1:O$98,MATCH($A238,'Impact Indicators - Section B '!$A$1:$A$98,0)+1),2),""),"")</f>
        <v/>
      </c>
      <c r="F249" s="82" t="str">
        <f>IFERROR(IF(INDEX('Impact Indicators - Section B '!S$1:S$98,MATCH($A238,'Impact Indicators - Section B '!$A$1:$A$98,0)+1)&lt;&gt;"",FIXED(INDEX('Impact Indicators - Section B '!S$1:S$98,MATCH($A238,'Impact Indicators - Section B '!$A$1:$A$98,0)+1),2),""),"")</f>
        <v/>
      </c>
      <c r="G249" s="82" t="str">
        <f>IFERROR(IF(INDEX('Impact Indicators - Section B '!W$1:W$98,MATCH($A238,'Impact Indicators - Section B '!$A$1:$A$98,0)+1)&lt;&gt;"",FIXED(INDEX('Impact Indicators - Section B '!W$1:W$98,MATCH($A238,'Impact Indicators - Section B '!$A$1:$A$98,0)+1),2),""),"")</f>
        <v/>
      </c>
    </row>
    <row r="250" spans="1:7" ht="18.75" customHeight="1" x14ac:dyDescent="0.25">
      <c r="A250" s="643"/>
      <c r="B250" s="78" t="s">
        <v>4388</v>
      </c>
      <c r="C250" s="79" t="str">
        <f ca="1">IFERROR(IF(INDEX('Impact Indicators - Section B '!E$1:E$98,MATCH($A238,'Impact Indicators - Section B '!$A$1:$A$98,0))&lt;&gt;"",FIXED(INDEX('Impact Indicators - Section B '!E$1:E$98,MATCH($A238,'Impact Indicators - Section B '!$A$1:$A$98,0))*100,2)&amp;"%",""),"")</f>
        <v/>
      </c>
      <c r="D250" s="79" t="str">
        <f ca="1">IFERROR(IF(INDEX('Impact Indicators - Section B '!L$1:L$98,MATCH($A238,'Impact Indicators - Section B '!$A$1:$A$98,0))&lt;&gt;"",FIXED(INDEX('Impact Indicators - Section B '!L$1:L$98,MATCH($A238,'Impact Indicators - Section B '!$A$1:$A$98,0))*100,2)&amp;"%",""),"")&amp;CHAR(10)&amp;IFERROR(IF(INDEX('Impact Indicators - Section B '!N$1:N$98,MATCH($A238,'Impact Indicators - Section B '!$A$1:$A$98,0))&lt;&gt;"",INDEX('Impact Indicators - Section B '!N$1:N$98,MATCH($A238,'Impact Indicators - Section B '!$A$1:$A$98,0)),""),"")&amp;CHAR(10)&amp;IFERROR(IF(INDEX('Impact Indicators - Section B '!M$1:M$98,MATCH($A238,'Impact Indicators - Section B '!$A$1:$A$98,0))&lt;&gt;"",TEXT(INDEX('Impact Indicators - Section B '!M$1:M$98,MATCH($A238,'Impact Indicators - Section B '!$A$1:$A$98,0)),Setup!$A$33),""),"")</f>
        <v xml:space="preserve">
</v>
      </c>
      <c r="E250" s="79" t="str">
        <f ca="1">IFERROR(IF(INDEX('Impact Indicators - Section B '!P$1:P$98,MATCH($A238,'Impact Indicators - Section B '!$A$1:$A$98,0))&lt;&gt;"",FIXED(INDEX('Impact Indicators - Section B '!P$1:P$98,MATCH($A238,'Impact Indicators - Section B '!$A$1:$A$98,0))*100,2)&amp;"%",""),"")&amp;CHAR(10)&amp;IFERROR(IF(INDEX('Impact Indicators - Section B '!R$1:R$98,MATCH($A238,'Impact Indicators - Section B '!$A$1:$A$98,0))&lt;&gt;"",INDEX('Impact Indicators - Section B '!R$1:R$98,MATCH($A238,'Impact Indicators - Section B '!$A$1:$A$98,0)),""),"")&amp;CHAR(10)&amp;IFERROR(IF(INDEX('Impact Indicators - Section B '!Q$1:Q$98,MATCH($A238,'Impact Indicators - Section B '!$A$1:$A$98,0))&lt;&gt;"",TEXT(INDEX('Impact Indicators - Section B '!Q$1:Q$98,MATCH($A238,'Impact Indicators - Section B '!$A$1:$A$98,0)),Setup!$A$33),""),"")</f>
        <v xml:space="preserve">
</v>
      </c>
      <c r="F250" s="79" t="str">
        <f ca="1">IFERROR(IF(INDEX('Impact Indicators - Section B '!T$1:T$98,MATCH($A238,'Impact Indicators - Section B '!$A$1:$A$98,0))&lt;&gt;"",FIXED(INDEX('Impact Indicators - Section B '!T$1:T$98,MATCH($A238,'Impact Indicators - Section B '!$A$1:$A$98,0))*100,2)&amp;"%",""),"")&amp;CHAR(10)&amp;IFERROR(IF(INDEX('Impact Indicators - Section B '!V$1:V$98,MATCH($A238,'Impact Indicators - Section B '!$A$1:$A$98,0))&lt;&gt;"",FIXED(INDEX('Impact Indicators - Section B '!V$1:V$98,MATCH($A238,'Impact Indicators - Section B '!$A$1:$A$98,0)),Setup!$A$33),""),"")&amp;CHAR(10)&amp;IFERROR(IF(INDEX('Impact Indicators - Section B '!U$1:U$98,MATCH($A238,'Impact Indicators - Section B '!$A$1:$A$98,0))&lt;&gt;"",TEXT(INDEX('Impact Indicators - Section B '!U$1:U$98,MATCH($A238,'Impact Indicators - Section B '!$A$1:$A$98,0)),Setup!$A$33),""),"")</f>
        <v xml:space="preserve">
</v>
      </c>
      <c r="G250" s="79" t="str">
        <f ca="1">IFERROR(IF(INDEX('Impact Indicators - Section B '!X$1:X$98,MATCH($A238,'Impact Indicators - Section B '!$A$1:$A$98,0))&lt;&gt;"",FIXED(INDEX('Impact Indicators - Section B '!X$1:X$98,MATCH($A238,'Impact Indicators - Section B '!$A$1:$A$98,0))*100,2)&amp;"%",""),"")&amp;CHAR(10)&amp;IFERROR(IF(INDEX('Impact Indicators - Section B '!Z$1:Z$98,MATCH($A238,'Impact Indicators - Section B '!$A$1:$A$98,0))&lt;&gt;"",INDEX('Impact Indicators - Section B '!Z$1:Z$98,MATCH($A238,'Impact Indicators - Section B '!$A$1:$A$98,0)),""),"")&amp;CHAR(10)&amp;IFERROR(IF(INDEX('Impact Indicators - Section B '!Y$1:Y$98,MATCH($A238,'Impact Indicators - Section B '!$A$1:$A$98,0))&lt;&gt;"",TEXT(INDEX('Impact Indicators - Section B '!Y$1:Y$98,MATCH($A238,'Impact Indicators - Section B '!$A$1:$A$98,0)),Setup!$A$33),""),"")</f>
        <v xml:space="preserve">
</v>
      </c>
    </row>
    <row r="251" spans="1:7" ht="18.75" customHeight="1" x14ac:dyDescent="0.25">
      <c r="A251" s="643"/>
      <c r="B251" s="623" t="s">
        <v>176</v>
      </c>
      <c r="C251" s="624"/>
      <c r="D251" s="624"/>
      <c r="E251" s="624"/>
      <c r="F251" s="624"/>
      <c r="G251" s="625"/>
    </row>
    <row r="252" spans="1:7" ht="18.75" customHeight="1" x14ac:dyDescent="0.25">
      <c r="A252" s="643"/>
      <c r="B252" s="633" t="str">
        <f>IFERROR(IF(INDEX('Impact Indicators - Section B '!AA$1:AA$98,MATCH($A238,'Impact Indicators - Section B '!$A$1:$A$98,0))&lt;&gt;0,INDEX('Impact Indicators - Section B '!AA$1:AA$98,MATCH($A238,'Impact Indicators - Section B '!$A$1:$A$98,0)),""),"")</f>
        <v/>
      </c>
      <c r="C252" s="634"/>
      <c r="D252" s="634"/>
      <c r="E252" s="634"/>
      <c r="F252" s="634"/>
      <c r="G252" s="635"/>
    </row>
    <row r="253" spans="1:7" ht="18.75" customHeight="1" x14ac:dyDescent="0.25">
      <c r="A253" s="643"/>
      <c r="B253" s="636"/>
      <c r="C253" s="637"/>
      <c r="D253" s="637"/>
      <c r="E253" s="637"/>
      <c r="F253" s="637"/>
      <c r="G253" s="638"/>
    </row>
    <row r="254" spans="1:7" ht="18.75" customHeight="1" x14ac:dyDescent="0.25">
      <c r="A254" s="643"/>
      <c r="B254" s="636"/>
      <c r="C254" s="637"/>
      <c r="D254" s="637"/>
      <c r="E254" s="637"/>
      <c r="F254" s="637"/>
      <c r="G254" s="638"/>
    </row>
    <row r="255" spans="1:7" ht="18.75" customHeight="1" x14ac:dyDescent="0.25">
      <c r="A255" s="643"/>
      <c r="B255" s="636"/>
      <c r="C255" s="637"/>
      <c r="D255" s="637"/>
      <c r="E255" s="637"/>
      <c r="F255" s="637"/>
      <c r="G255" s="638"/>
    </row>
    <row r="256" spans="1:7" ht="18.75" customHeight="1" x14ac:dyDescent="0.25">
      <c r="A256" s="643"/>
      <c r="B256" s="636"/>
      <c r="C256" s="637"/>
      <c r="D256" s="637"/>
      <c r="E256" s="637"/>
      <c r="F256" s="637"/>
      <c r="G256" s="638"/>
    </row>
    <row r="257" spans="1:7" ht="18.75" customHeight="1" x14ac:dyDescent="0.25">
      <c r="A257" s="643"/>
      <c r="B257" s="636"/>
      <c r="C257" s="637"/>
      <c r="D257" s="637"/>
      <c r="E257" s="637"/>
      <c r="F257" s="637"/>
      <c r="G257" s="638"/>
    </row>
    <row r="258" spans="1:7" ht="18.75" customHeight="1" x14ac:dyDescent="0.25">
      <c r="A258" s="643"/>
      <c r="B258" s="636"/>
      <c r="C258" s="637"/>
      <c r="D258" s="637"/>
      <c r="E258" s="637"/>
      <c r="F258" s="637"/>
      <c r="G258" s="638"/>
    </row>
    <row r="259" spans="1:7" ht="18.75" customHeight="1" x14ac:dyDescent="0.25">
      <c r="A259" s="643"/>
      <c r="B259" s="636"/>
      <c r="C259" s="637"/>
      <c r="D259" s="637"/>
      <c r="E259" s="637"/>
      <c r="F259" s="637"/>
      <c r="G259" s="638"/>
    </row>
    <row r="260" spans="1:7" ht="18.75" customHeight="1" x14ac:dyDescent="0.25">
      <c r="A260" s="643"/>
      <c r="B260" s="636"/>
      <c r="C260" s="637"/>
      <c r="D260" s="637"/>
      <c r="E260" s="637"/>
      <c r="F260" s="637"/>
      <c r="G260" s="638"/>
    </row>
    <row r="261" spans="1:7" ht="18.75" customHeight="1" x14ac:dyDescent="0.25">
      <c r="A261" s="643"/>
      <c r="B261" s="636"/>
      <c r="C261" s="637"/>
      <c r="D261" s="637"/>
      <c r="E261" s="637"/>
      <c r="F261" s="637"/>
      <c r="G261" s="638"/>
    </row>
    <row r="262" spans="1:7" ht="18.75" customHeight="1" x14ac:dyDescent="0.25">
      <c r="A262" s="639"/>
      <c r="B262" s="640"/>
      <c r="C262" s="640"/>
      <c r="D262" s="640"/>
      <c r="E262" s="640"/>
      <c r="F262" s="640"/>
      <c r="G262" s="641"/>
    </row>
    <row r="264" spans="1:7" ht="18.75" customHeight="1" x14ac:dyDescent="0.25">
      <c r="A264" s="77" t="s">
        <v>4383</v>
      </c>
      <c r="B264" s="623" t="s">
        <v>738</v>
      </c>
      <c r="C264" s="624"/>
      <c r="D264" s="625"/>
      <c r="E264" s="623" t="s">
        <v>739</v>
      </c>
      <c r="F264" s="624"/>
      <c r="G264" s="625"/>
    </row>
    <row r="265" spans="1:7" ht="18.75" customHeight="1" x14ac:dyDescent="0.25">
      <c r="A265" s="642">
        <v>10</v>
      </c>
      <c r="B265" s="633" t="str">
        <f>IFERROR(IF(INDEX('Impact Indicators - Section B '!B$1:B$98,MATCH($A265,'Impact Indicators - Section B '!$A$1:$A$98,0))&lt;&gt;0,INDEX('Impact Indicators - Section B '!B$1:B$98,MATCH($A265,'Impact Indicators - Section B '!$A$1:$A$98,0)),""),"")</f>
        <v/>
      </c>
      <c r="C265" s="634"/>
      <c r="D265" s="635"/>
      <c r="E265" s="633" t="str">
        <f>IFERROR(IF(INDEX('Impact Indicators - Section B '!C$1:C$98,MATCH($A265,'Impact Indicators - Section B '!$A$1:$A$98,0))&lt;&gt;0,INDEX('Impact Indicators - Section B '!C$1:C$98,MATCH($A265,'Impact Indicators - Section B '!$A$1:$A$98,0)),""),"")</f>
        <v/>
      </c>
      <c r="F265" s="634"/>
      <c r="G265" s="635"/>
    </row>
    <row r="266" spans="1:7" ht="18.75" customHeight="1" x14ac:dyDescent="0.25">
      <c r="A266" s="643"/>
      <c r="B266" s="636"/>
      <c r="C266" s="637"/>
      <c r="D266" s="638"/>
      <c r="E266" s="636"/>
      <c r="F266" s="637"/>
      <c r="G266" s="638"/>
    </row>
    <row r="267" spans="1:7" ht="18.75" customHeight="1" x14ac:dyDescent="0.25">
      <c r="A267" s="643"/>
      <c r="B267" s="644"/>
      <c r="C267" s="645"/>
      <c r="D267" s="646"/>
      <c r="E267" s="644"/>
      <c r="F267" s="645"/>
      <c r="G267" s="646"/>
    </row>
    <row r="268" spans="1:7" ht="18.75" customHeight="1" x14ac:dyDescent="0.25">
      <c r="A268" s="643"/>
      <c r="B268" s="623" t="s">
        <v>742</v>
      </c>
      <c r="C268" s="624"/>
      <c r="D268" s="625"/>
      <c r="E268" s="623" t="s">
        <v>127</v>
      </c>
      <c r="F268" s="624"/>
      <c r="G268" s="625"/>
    </row>
    <row r="269" spans="1:7" ht="18.75" customHeight="1" x14ac:dyDescent="0.25">
      <c r="A269" s="643"/>
      <c r="B269" s="647" t="str">
        <f>IFERROR(IF(INDEX('Impact Indicators - Section B '!H$1:H$98,MATCH($A265,'Impact Indicators - Section B '!$A$1:$A$98,0))&lt;&gt;0,INDEX('Impact Indicators - Section B '!H$1:H$98,MATCH($A265,'Impact Indicators - Section B '!$A$1:$A$98,0)),""),"")</f>
        <v/>
      </c>
      <c r="C269" s="648"/>
      <c r="D269" s="649"/>
      <c r="E269" s="647" t="str">
        <f>IFERROR(IF(INDEX('Impact Indicators - Section B '!J$1:J$98,MATCH($A265,'Impact Indicators - Section B '!$A$1:$A$98,0))&lt;&gt;0,INDEX('Impact Indicators - Section B '!J$1:J$98,MATCH($A265,'Impact Indicators - Section B '!$A$1:$A$98,0)),""),"")</f>
        <v/>
      </c>
      <c r="F269" s="648"/>
      <c r="G269" s="649"/>
    </row>
    <row r="270" spans="1:7" ht="18.75" customHeight="1" x14ac:dyDescent="0.25">
      <c r="A270" s="643"/>
      <c r="B270" s="623" t="s">
        <v>199</v>
      </c>
      <c r="C270" s="624"/>
      <c r="D270" s="625"/>
      <c r="E270" s="623" t="s">
        <v>120</v>
      </c>
      <c r="F270" s="624"/>
      <c r="G270" s="625"/>
    </row>
    <row r="271" spans="1:7" ht="18.75" customHeight="1" x14ac:dyDescent="0.25">
      <c r="A271" s="643"/>
      <c r="B271" s="633" t="str">
        <f>IFERROR(IF(INDEX('Impact Indicators - Section B '!G$1:G$98,MATCH($A265,'Impact Indicators - Section B '!$A$1:$A$98,0))&lt;&gt;0,INDEX('Impact Indicators - Section B '!G$1:G$98,MATCH($A265,'Impact Indicators - Section B '!$A$1:$A$98,0)),""),"")</f>
        <v/>
      </c>
      <c r="C271" s="634"/>
      <c r="D271" s="635"/>
      <c r="E271" s="633" t="str">
        <f>IFERROR(IF(AND('Overview - Section A'!AS$1="Grant Making",OR(B265&lt;&gt;"",E265&lt;&gt;"")),Setup!I258,IF(INDEX('Impact Indicators - Section B '!I$1:I$98,MATCH($A265,'Impact Indicators - Section B '!$A$1:$A$98,0))&lt;&gt;0,INDEX('Impact Indicators - Section B '!I$1:I$98,MATCH($A265,'Impact Indicators - Section B '!$A$1:$A$98,0)),"")),"")</f>
        <v/>
      </c>
      <c r="F271" s="634"/>
      <c r="G271" s="635"/>
    </row>
    <row r="272" spans="1:7" ht="18.75" customHeight="1" x14ac:dyDescent="0.25">
      <c r="A272" s="643"/>
      <c r="B272" s="644"/>
      <c r="C272" s="645"/>
      <c r="D272" s="646"/>
      <c r="E272" s="644"/>
      <c r="F272" s="645"/>
      <c r="G272" s="646"/>
    </row>
    <row r="273" spans="1:7" ht="18.75" customHeight="1" x14ac:dyDescent="0.25">
      <c r="A273" s="643"/>
      <c r="B273" s="78"/>
      <c r="C273" s="63" t="s">
        <v>4384</v>
      </c>
      <c r="D273" s="623" t="s">
        <v>4385</v>
      </c>
      <c r="E273" s="624"/>
      <c r="F273" s="624"/>
      <c r="G273" s="625"/>
    </row>
    <row r="274" spans="1:7" ht="18.75" customHeight="1" x14ac:dyDescent="0.25">
      <c r="A274" s="643"/>
      <c r="B274" s="78" t="s">
        <v>2559</v>
      </c>
      <c r="C274" s="79" t="str">
        <f>IFERROR(IF(INDEX('Impact Indicators - Section B '!F$1:F$98,MATCH($A265,'Impact Indicators - Section B '!$A$1:$A$98,0))&lt;&gt;0,INDEX('Impact Indicators - Section B '!F$1:F$98,MATCH($A265,'Impact Indicators - Section B '!$A$1:$A$98,0)),""),"")&amp;CHAR(10)&amp;IFERROR(IF(INDEX('Impact Indicators - Section B '!G$1:G$98,MATCH($A265,'Impact Indicators - Section B '!$A$1:$A$98,0))&lt;&gt;0,INDEX('Impact Indicators - Section B '!G$1:G$98,MATCH($A265,'Impact Indicators - Section B '!$A$1:$A$98,0)),""),"")</f>
        <v xml:space="preserve">
</v>
      </c>
      <c r="D274" s="63">
        <f ca="1">IFERROR(IF(YEAR(INDEX('Overview - Section A'!$A$47:$A$54,MATCH('Print - Summary'!$H$10,'Overview - Section A'!$B$47:$B$54,0)))&lt;=YEAR('Overview - Section A'!$E$8),YEAR(INDEX('Overview - Section A'!$A$47:$A$54,MATCH('Print - Summary'!$H$10,'Overview - Section A'!$B$47:$B$54,0))),""),"")</f>
        <v>2024</v>
      </c>
      <c r="E274" s="63">
        <f ca="1">IFERROR(IF(D274+1&lt;=YEAR('Overview - Section A'!$E$8),D274+1,""),"")</f>
        <v>2025</v>
      </c>
      <c r="F274" s="63">
        <f ca="1">IFERROR(IF(E274+1&lt;=YEAR('Overview - Section A'!$E$8),E274+1,""),"")</f>
        <v>2026</v>
      </c>
      <c r="G274" s="63" t="str">
        <f ca="1">IFERROR(IF(F274+1&lt;=YEAR('Overview - Section A'!$E$8),F274+1,""),"")</f>
        <v/>
      </c>
    </row>
    <row r="275" spans="1:7" s="81" customFormat="1" ht="18.75" customHeight="1" x14ac:dyDescent="0.25">
      <c r="A275" s="643"/>
      <c r="B275" s="78" t="s">
        <v>4386</v>
      </c>
      <c r="C275" s="80" t="str">
        <f>IFERROR(IF(INDEX('Impact Indicators - Section B '!D$1:D$98,MATCH($A265,'Impact Indicators - Section B '!$A$1:$A$98,0))&lt;&gt;"",FIXED(INDEX('Impact Indicators - Section B '!D$1:D$98,MATCH($A265,'Impact Indicators - Section B '!$A$1:$A$98,0)),4),""),"")</f>
        <v/>
      </c>
      <c r="D275" s="80" t="str">
        <f>IFERROR(IF(INDEX('Impact Indicators - Section B '!K$1:K$98,MATCH($A265,'Impact Indicators - Section B '!$A$1:$A$98,0))&lt;&gt;"",FIXED(INDEX('Impact Indicators - Section B '!K$1:K$98,MATCH($A265,'Impact Indicators - Section B '!$A$1:$A$98,0)),4),""),"")</f>
        <v/>
      </c>
      <c r="E275" s="80" t="str">
        <f>IFERROR(IF(INDEX('Impact Indicators - Section B '!O$1:O$98,MATCH($A265,'Impact Indicators - Section B '!$A$1:$A$98,0))&lt;&gt;"",FIXED(INDEX('Impact Indicators - Section B '!O$1:O$98,MATCH($A265,'Impact Indicators - Section B '!$A$1:$A$98,0)),4),""),"")</f>
        <v/>
      </c>
      <c r="F275" s="80" t="str">
        <f>IFERROR(IF(INDEX('Impact Indicators - Section B '!S$1:S$98,MATCH($A265,'Impact Indicators - Section B '!$A$1:$A$98,0))&lt;&gt;"",FIXED(INDEX('Impact Indicators - Section B '!S$1:S$98,MATCH($A265,'Impact Indicators - Section B '!$A$1:$A$98,0)),4),""),"")</f>
        <v/>
      </c>
      <c r="G275" s="80" t="str">
        <f>IFERROR(IF(INDEX('Impact Indicators - Section B '!W$1:W$98,MATCH($A265,'Impact Indicators - Section B '!$A$1:$A$98,0))&lt;&gt;"",FIXED(INDEX('Impact Indicators - Section B '!W$1:W$98,MATCH($A265,'Impact Indicators - Section B '!$A$1:$A$98,0)),4),""),"")</f>
        <v/>
      </c>
    </row>
    <row r="276" spans="1:7" s="83" customFormat="1" ht="18.75" customHeight="1" x14ac:dyDescent="0.25">
      <c r="A276" s="643"/>
      <c r="B276" s="78" t="s">
        <v>4387</v>
      </c>
      <c r="C276" s="82" t="str">
        <f>IFERROR(IF(INDEX('Impact Indicators - Section B '!D$1:D$98,MATCH($A265,'Impact Indicators - Section B '!$A$1:$A$98,0)+1)&lt;&gt;"",FIXED(INDEX('Impact Indicators - Section B '!D$1:D$98,MATCH($A265,'Impact Indicators - Section B '!$A$1:$A$98,0)+1),2),""),"")</f>
        <v/>
      </c>
      <c r="D276" s="82" t="str">
        <f>IFERROR(IF(INDEX('Impact Indicators - Section B '!K$1:K$98,MATCH($A265,'Impact Indicators - Section B '!$A$1:$A$98,0)+1)&lt;&gt;"",FIXED(INDEX('Impact Indicators - Section B '!K$1:K$98,MATCH($A265,'Impact Indicators - Section B '!$A$1:$A$98,0)+1),2),""),"")</f>
        <v/>
      </c>
      <c r="E276" s="82" t="str">
        <f>IFERROR(IF(INDEX('Impact Indicators - Section B '!O$1:O$98,MATCH($A265,'Impact Indicators - Section B '!$A$1:$A$98,0)+1)&lt;&gt;"",FIXED(INDEX('Impact Indicators - Section B '!O$1:O$98,MATCH($A265,'Impact Indicators - Section B '!$A$1:$A$98,0)+1),2),""),"")</f>
        <v/>
      </c>
      <c r="F276" s="82" t="str">
        <f>IFERROR(IF(INDEX('Impact Indicators - Section B '!S$1:S$98,MATCH($A265,'Impact Indicators - Section B '!$A$1:$A$98,0)+1)&lt;&gt;"",FIXED(INDEX('Impact Indicators - Section B '!S$1:S$98,MATCH($A265,'Impact Indicators - Section B '!$A$1:$A$98,0)+1),2),""),"")</f>
        <v/>
      </c>
      <c r="G276" s="82" t="str">
        <f>IFERROR(IF(INDEX('Impact Indicators - Section B '!W$1:W$98,MATCH($A265,'Impact Indicators - Section B '!$A$1:$A$98,0)+1)&lt;&gt;"",FIXED(INDEX('Impact Indicators - Section B '!W$1:W$98,MATCH($A265,'Impact Indicators - Section B '!$A$1:$A$98,0)+1),2),""),"")</f>
        <v/>
      </c>
    </row>
    <row r="277" spans="1:7" ht="18.75" customHeight="1" x14ac:dyDescent="0.25">
      <c r="A277" s="643"/>
      <c r="B277" s="78" t="s">
        <v>4388</v>
      </c>
      <c r="C277" s="79" t="str">
        <f ca="1">IFERROR(IF(INDEX('Impact Indicators - Section B '!E$1:E$98,MATCH($A265,'Impact Indicators - Section B '!$A$1:$A$98,0))&lt;&gt;"",FIXED(INDEX('Impact Indicators - Section B '!E$1:E$98,MATCH($A265,'Impact Indicators - Section B '!$A$1:$A$98,0))*100,2)&amp;"%",""),"")</f>
        <v/>
      </c>
      <c r="D277" s="79" t="str">
        <f ca="1">IFERROR(IF(INDEX('Impact Indicators - Section B '!L$1:L$98,MATCH($A265,'Impact Indicators - Section B '!$A$1:$A$98,0))&lt;&gt;"",FIXED(INDEX('Impact Indicators - Section B '!L$1:L$98,MATCH($A265,'Impact Indicators - Section B '!$A$1:$A$98,0))*100,2)&amp;"%",""),"")&amp;CHAR(10)&amp;IFERROR(IF(INDEX('Impact Indicators - Section B '!N$1:N$98,MATCH($A265,'Impact Indicators - Section B '!$A$1:$A$98,0))&lt;&gt;"",INDEX('Impact Indicators - Section B '!N$1:N$98,MATCH($A265,'Impact Indicators - Section B '!$A$1:$A$98,0)),""),"")&amp;CHAR(10)&amp;IFERROR(IF(INDEX('Impact Indicators - Section B '!M$1:M$98,MATCH($A265,'Impact Indicators - Section B '!$A$1:$A$98,0))&lt;&gt;"",TEXT(INDEX('Impact Indicators - Section B '!M$1:M$98,MATCH($A265,'Impact Indicators - Section B '!$A$1:$A$98,0)),Setup!$A$33),""),"")</f>
        <v xml:space="preserve">
</v>
      </c>
      <c r="E277" s="79" t="str">
        <f ca="1">IFERROR(IF(INDEX('Impact Indicators - Section B '!P$1:P$98,MATCH($A265,'Impact Indicators - Section B '!$A$1:$A$98,0))&lt;&gt;"",FIXED(INDEX('Impact Indicators - Section B '!P$1:P$98,MATCH($A265,'Impact Indicators - Section B '!$A$1:$A$98,0))*100,2)&amp;"%",""),"")&amp;CHAR(10)&amp;IFERROR(IF(INDEX('Impact Indicators - Section B '!R$1:R$98,MATCH($A265,'Impact Indicators - Section B '!$A$1:$A$98,0))&lt;&gt;"",INDEX('Impact Indicators - Section B '!R$1:R$98,MATCH($A265,'Impact Indicators - Section B '!$A$1:$A$98,0)),""),"")&amp;CHAR(10)&amp;IFERROR(IF(INDEX('Impact Indicators - Section B '!Q$1:Q$98,MATCH($A265,'Impact Indicators - Section B '!$A$1:$A$98,0))&lt;&gt;"",TEXT(INDEX('Impact Indicators - Section B '!Q$1:Q$98,MATCH($A265,'Impact Indicators - Section B '!$A$1:$A$98,0)),Setup!$A$33),""),"")</f>
        <v xml:space="preserve">
</v>
      </c>
      <c r="F277" s="79" t="str">
        <f ca="1">IFERROR(IF(INDEX('Impact Indicators - Section B '!T$1:T$98,MATCH($A265,'Impact Indicators - Section B '!$A$1:$A$98,0))&lt;&gt;"",FIXED(INDEX('Impact Indicators - Section B '!T$1:T$98,MATCH($A265,'Impact Indicators - Section B '!$A$1:$A$98,0))*100,2)&amp;"%",""),"")&amp;CHAR(10)&amp;IFERROR(IF(INDEX('Impact Indicators - Section B '!V$1:V$98,MATCH($A265,'Impact Indicators - Section B '!$A$1:$A$98,0))&lt;&gt;"",FIXED(INDEX('Impact Indicators - Section B '!V$1:V$98,MATCH($A265,'Impact Indicators - Section B '!$A$1:$A$98,0)),Setup!$A$33),""),"")&amp;CHAR(10)&amp;IFERROR(IF(INDEX('Impact Indicators - Section B '!U$1:U$98,MATCH($A265,'Impact Indicators - Section B '!$A$1:$A$98,0))&lt;&gt;"",TEXT(INDEX('Impact Indicators - Section B '!U$1:U$98,MATCH($A265,'Impact Indicators - Section B '!$A$1:$A$98,0)),Setup!$A$33),""),"")</f>
        <v xml:space="preserve">
</v>
      </c>
      <c r="G277" s="79" t="str">
        <f ca="1">IFERROR(IF(INDEX('Impact Indicators - Section B '!X$1:X$98,MATCH($A265,'Impact Indicators - Section B '!$A$1:$A$98,0))&lt;&gt;"",FIXED(INDEX('Impact Indicators - Section B '!X$1:X$98,MATCH($A265,'Impact Indicators - Section B '!$A$1:$A$98,0))*100,2)&amp;"%",""),"")&amp;CHAR(10)&amp;IFERROR(IF(INDEX('Impact Indicators - Section B '!Z$1:Z$98,MATCH($A265,'Impact Indicators - Section B '!$A$1:$A$98,0))&lt;&gt;"",INDEX('Impact Indicators - Section B '!Z$1:Z$98,MATCH($A265,'Impact Indicators - Section B '!$A$1:$A$98,0)),""),"")&amp;CHAR(10)&amp;IFERROR(IF(INDEX('Impact Indicators - Section B '!Y$1:Y$98,MATCH($A265,'Impact Indicators - Section B '!$A$1:$A$98,0))&lt;&gt;"",TEXT(INDEX('Impact Indicators - Section B '!Y$1:Y$98,MATCH($A265,'Impact Indicators - Section B '!$A$1:$A$98,0)),Setup!$A$33),""),"")</f>
        <v xml:space="preserve">
</v>
      </c>
    </row>
    <row r="278" spans="1:7" ht="18.75" customHeight="1" x14ac:dyDescent="0.25">
      <c r="A278" s="643"/>
      <c r="B278" s="623" t="s">
        <v>176</v>
      </c>
      <c r="C278" s="624"/>
      <c r="D278" s="624"/>
      <c r="E278" s="624"/>
      <c r="F278" s="624"/>
      <c r="G278" s="625"/>
    </row>
    <row r="279" spans="1:7" ht="18.75" customHeight="1" x14ac:dyDescent="0.25">
      <c r="A279" s="643"/>
      <c r="B279" s="633" t="str">
        <f>IFERROR(IF(INDEX('Impact Indicators - Section B '!AA$1:AA$98,MATCH($A265,'Impact Indicators - Section B '!$A$1:$A$98,0))&lt;&gt;0,INDEX('Impact Indicators - Section B '!AA$1:AA$98,MATCH($A265,'Impact Indicators - Section B '!$A$1:$A$98,0)),""),"")</f>
        <v/>
      </c>
      <c r="C279" s="634"/>
      <c r="D279" s="634"/>
      <c r="E279" s="634"/>
      <c r="F279" s="634"/>
      <c r="G279" s="635"/>
    </row>
    <row r="280" spans="1:7" ht="18.75" customHeight="1" x14ac:dyDescent="0.25">
      <c r="A280" s="643"/>
      <c r="B280" s="636"/>
      <c r="C280" s="637"/>
      <c r="D280" s="637"/>
      <c r="E280" s="637"/>
      <c r="F280" s="637"/>
      <c r="G280" s="638"/>
    </row>
    <row r="281" spans="1:7" ht="18.75" customHeight="1" x14ac:dyDescent="0.25">
      <c r="A281" s="643"/>
      <c r="B281" s="636"/>
      <c r="C281" s="637"/>
      <c r="D281" s="637"/>
      <c r="E281" s="637"/>
      <c r="F281" s="637"/>
      <c r="G281" s="638"/>
    </row>
    <row r="282" spans="1:7" ht="18.75" customHeight="1" x14ac:dyDescent="0.25">
      <c r="A282" s="643"/>
      <c r="B282" s="636"/>
      <c r="C282" s="637"/>
      <c r="D282" s="637"/>
      <c r="E282" s="637"/>
      <c r="F282" s="637"/>
      <c r="G282" s="638"/>
    </row>
    <row r="283" spans="1:7" ht="18.75" customHeight="1" x14ac:dyDescent="0.25">
      <c r="A283" s="643"/>
      <c r="B283" s="636"/>
      <c r="C283" s="637"/>
      <c r="D283" s="637"/>
      <c r="E283" s="637"/>
      <c r="F283" s="637"/>
      <c r="G283" s="638"/>
    </row>
    <row r="284" spans="1:7" ht="18.75" customHeight="1" x14ac:dyDescent="0.25">
      <c r="A284" s="643"/>
      <c r="B284" s="636"/>
      <c r="C284" s="637"/>
      <c r="D284" s="637"/>
      <c r="E284" s="637"/>
      <c r="F284" s="637"/>
      <c r="G284" s="638"/>
    </row>
    <row r="285" spans="1:7" ht="18.75" customHeight="1" x14ac:dyDescent="0.25">
      <c r="A285" s="643"/>
      <c r="B285" s="636"/>
      <c r="C285" s="637"/>
      <c r="D285" s="637"/>
      <c r="E285" s="637"/>
      <c r="F285" s="637"/>
      <c r="G285" s="638"/>
    </row>
    <row r="286" spans="1:7" ht="18.75" customHeight="1" x14ac:dyDescent="0.25">
      <c r="A286" s="643"/>
      <c r="B286" s="636"/>
      <c r="C286" s="637"/>
      <c r="D286" s="637"/>
      <c r="E286" s="637"/>
      <c r="F286" s="637"/>
      <c r="G286" s="638"/>
    </row>
    <row r="287" spans="1:7" ht="18.75" customHeight="1" x14ac:dyDescent="0.25">
      <c r="A287" s="643"/>
      <c r="B287" s="636"/>
      <c r="C287" s="637"/>
      <c r="D287" s="637"/>
      <c r="E287" s="637"/>
      <c r="F287" s="637"/>
      <c r="G287" s="638"/>
    </row>
    <row r="288" spans="1:7" ht="18.75" customHeight="1" x14ac:dyDescent="0.25">
      <c r="A288" s="643"/>
      <c r="B288" s="636"/>
      <c r="C288" s="637"/>
      <c r="D288" s="637"/>
      <c r="E288" s="637"/>
      <c r="F288" s="637"/>
      <c r="G288" s="638"/>
    </row>
    <row r="289" spans="1:7" ht="18.75" customHeight="1" x14ac:dyDescent="0.25">
      <c r="A289" s="639"/>
      <c r="B289" s="640"/>
      <c r="C289" s="640"/>
      <c r="D289" s="640"/>
      <c r="E289" s="640"/>
      <c r="F289" s="640"/>
      <c r="G289" s="641"/>
    </row>
    <row r="291" spans="1:7" ht="18.75" customHeight="1" x14ac:dyDescent="0.25">
      <c r="A291" s="77" t="s">
        <v>4383</v>
      </c>
      <c r="B291" s="623" t="s">
        <v>738</v>
      </c>
      <c r="C291" s="624"/>
      <c r="D291" s="625"/>
      <c r="E291" s="623" t="s">
        <v>739</v>
      </c>
      <c r="F291" s="624"/>
      <c r="G291" s="625"/>
    </row>
    <row r="292" spans="1:7" ht="18.75" customHeight="1" x14ac:dyDescent="0.25">
      <c r="A292" s="642">
        <v>11</v>
      </c>
      <c r="B292" s="633" t="str">
        <f>IFERROR(IF(INDEX('Impact Indicators - Section B '!B$1:B$98,MATCH($A292,'Impact Indicators - Section B '!$A$1:$A$98,0))&lt;&gt;0,INDEX('Impact Indicators - Section B '!B$1:B$98,MATCH($A292,'Impact Indicators - Section B '!$A$1:$A$98,0)),""),"")</f>
        <v/>
      </c>
      <c r="C292" s="634"/>
      <c r="D292" s="635"/>
      <c r="E292" s="633" t="str">
        <f>IFERROR(IF(INDEX('Impact Indicators - Section B '!C$1:C$98,MATCH($A292,'Impact Indicators - Section B '!$A$1:$A$98,0))&lt;&gt;0,INDEX('Impact Indicators - Section B '!C$1:C$98,MATCH($A292,'Impact Indicators - Section B '!$A$1:$A$98,0)),""),"")</f>
        <v/>
      </c>
      <c r="F292" s="634"/>
      <c r="G292" s="635"/>
    </row>
    <row r="293" spans="1:7" ht="18.75" customHeight="1" x14ac:dyDescent="0.25">
      <c r="A293" s="643"/>
      <c r="B293" s="636"/>
      <c r="C293" s="637"/>
      <c r="D293" s="638"/>
      <c r="E293" s="636"/>
      <c r="F293" s="637"/>
      <c r="G293" s="638"/>
    </row>
    <row r="294" spans="1:7" ht="18.75" customHeight="1" x14ac:dyDescent="0.25">
      <c r="A294" s="643"/>
      <c r="B294" s="644"/>
      <c r="C294" s="645"/>
      <c r="D294" s="646"/>
      <c r="E294" s="644"/>
      <c r="F294" s="645"/>
      <c r="G294" s="646"/>
    </row>
    <row r="295" spans="1:7" ht="18.75" customHeight="1" x14ac:dyDescent="0.25">
      <c r="A295" s="643"/>
      <c r="B295" s="623" t="s">
        <v>742</v>
      </c>
      <c r="C295" s="624"/>
      <c r="D295" s="625"/>
      <c r="E295" s="623" t="s">
        <v>127</v>
      </c>
      <c r="F295" s="624"/>
      <c r="G295" s="625"/>
    </row>
    <row r="296" spans="1:7" ht="18.75" customHeight="1" x14ac:dyDescent="0.25">
      <c r="A296" s="643"/>
      <c r="B296" s="647" t="str">
        <f>IFERROR(IF(INDEX('Impact Indicators - Section B '!H$1:H$98,MATCH($A292,'Impact Indicators - Section B '!$A$1:$A$98,0))&lt;&gt;0,INDEX('Impact Indicators - Section B '!H$1:H$98,MATCH($A292,'Impact Indicators - Section B '!$A$1:$A$98,0)),""),"")</f>
        <v/>
      </c>
      <c r="C296" s="648"/>
      <c r="D296" s="649"/>
      <c r="E296" s="647" t="str">
        <f>IFERROR(IF(INDEX('Impact Indicators - Section B '!J$1:J$98,MATCH($A292,'Impact Indicators - Section B '!$A$1:$A$98,0))&lt;&gt;0,INDEX('Impact Indicators - Section B '!J$1:J$98,MATCH($A292,'Impact Indicators - Section B '!$A$1:$A$98,0)),""),"")</f>
        <v/>
      </c>
      <c r="F296" s="648"/>
      <c r="G296" s="649"/>
    </row>
    <row r="297" spans="1:7" ht="18.75" customHeight="1" x14ac:dyDescent="0.25">
      <c r="A297" s="643"/>
      <c r="B297" s="623" t="s">
        <v>199</v>
      </c>
      <c r="C297" s="624"/>
      <c r="D297" s="625"/>
      <c r="E297" s="623" t="s">
        <v>120</v>
      </c>
      <c r="F297" s="624"/>
      <c r="G297" s="625"/>
    </row>
    <row r="298" spans="1:7" ht="18.75" customHeight="1" x14ac:dyDescent="0.25">
      <c r="A298" s="643"/>
      <c r="B298" s="633" t="str">
        <f>IFERROR(IF(INDEX('Impact Indicators - Section B '!G$1:G$98,MATCH($A292,'Impact Indicators - Section B '!$A$1:$A$98,0))&lt;&gt;0,INDEX('Impact Indicators - Section B '!G$1:G$98,MATCH($A292,'Impact Indicators - Section B '!$A$1:$A$98,0)),""),"")</f>
        <v/>
      </c>
      <c r="C298" s="634"/>
      <c r="D298" s="635"/>
      <c r="E298" s="633" t="str">
        <f>IFERROR(IF(AND('Overview - Section A'!AS$1="Grant Making",OR(B292&lt;&gt;"",E292&lt;&gt;"")),Setup!I285,IF(INDEX('Impact Indicators - Section B '!I$1:I$98,MATCH($A292,'Impact Indicators - Section B '!$A$1:$A$98,0))&lt;&gt;0,INDEX('Impact Indicators - Section B '!I$1:I$98,MATCH($A292,'Impact Indicators - Section B '!$A$1:$A$98,0)),"")),"")</f>
        <v/>
      </c>
      <c r="F298" s="634"/>
      <c r="G298" s="635"/>
    </row>
    <row r="299" spans="1:7" ht="18.75" customHeight="1" x14ac:dyDescent="0.25">
      <c r="A299" s="643"/>
      <c r="B299" s="644"/>
      <c r="C299" s="645"/>
      <c r="D299" s="646"/>
      <c r="E299" s="644"/>
      <c r="F299" s="645"/>
      <c r="G299" s="646"/>
    </row>
    <row r="300" spans="1:7" ht="18.75" customHeight="1" x14ac:dyDescent="0.25">
      <c r="A300" s="643"/>
      <c r="B300" s="78"/>
      <c r="C300" s="63" t="s">
        <v>4384</v>
      </c>
      <c r="D300" s="623" t="s">
        <v>4385</v>
      </c>
      <c r="E300" s="624"/>
      <c r="F300" s="624"/>
      <c r="G300" s="625"/>
    </row>
    <row r="301" spans="1:7" ht="18.75" customHeight="1" x14ac:dyDescent="0.25">
      <c r="A301" s="643"/>
      <c r="B301" s="78" t="s">
        <v>2559</v>
      </c>
      <c r="C301" s="79" t="str">
        <f>IFERROR(IF(INDEX('Impact Indicators - Section B '!F$1:F$98,MATCH($A292,'Impact Indicators - Section B '!$A$1:$A$98,0))&lt;&gt;0,INDEX('Impact Indicators - Section B '!F$1:F$98,MATCH($A292,'Impact Indicators - Section B '!$A$1:$A$98,0)),""),"")&amp;CHAR(10)&amp;IFERROR(IF(INDEX('Impact Indicators - Section B '!G$1:G$98,MATCH($A292,'Impact Indicators - Section B '!$A$1:$A$98,0))&lt;&gt;0,INDEX('Impact Indicators - Section B '!G$1:G$98,MATCH($A292,'Impact Indicators - Section B '!$A$1:$A$98,0)),""),"")</f>
        <v xml:space="preserve">
</v>
      </c>
      <c r="D301" s="63">
        <f ca="1">IFERROR(IF(YEAR(INDEX('Overview - Section A'!$A$47:$A$54,MATCH('Print - Summary'!$H$10,'Overview - Section A'!$B$47:$B$54,0)))&lt;=YEAR('Overview - Section A'!$E$8),YEAR(INDEX('Overview - Section A'!$A$47:$A$54,MATCH('Print - Summary'!$H$10,'Overview - Section A'!$B$47:$B$54,0))),""),"")</f>
        <v>2024</v>
      </c>
      <c r="E301" s="63">
        <f ca="1">IFERROR(IF(D301+1&lt;=YEAR('Overview - Section A'!$E$8),D301+1,""),"")</f>
        <v>2025</v>
      </c>
      <c r="F301" s="63">
        <f ca="1">IFERROR(IF(E301+1&lt;=YEAR('Overview - Section A'!$E$8),E301+1,""),"")</f>
        <v>2026</v>
      </c>
      <c r="G301" s="63" t="str">
        <f ca="1">IFERROR(IF(F301+1&lt;=YEAR('Overview - Section A'!$E$8),F301+1,""),"")</f>
        <v/>
      </c>
    </row>
    <row r="302" spans="1:7" s="81" customFormat="1" ht="18.75" customHeight="1" x14ac:dyDescent="0.25">
      <c r="A302" s="643"/>
      <c r="B302" s="78" t="s">
        <v>4386</v>
      </c>
      <c r="C302" s="80" t="str">
        <f>IFERROR(IF(INDEX('Impact Indicators - Section B '!D$1:D$98,MATCH($A292,'Impact Indicators - Section B '!$A$1:$A$98,0))&lt;&gt;"",FIXED(INDEX('Impact Indicators - Section B '!D$1:D$98,MATCH($A292,'Impact Indicators - Section B '!$A$1:$A$98,0)),4),""),"")</f>
        <v/>
      </c>
      <c r="D302" s="80" t="str">
        <f>IFERROR(IF(INDEX('Impact Indicators - Section B '!K$1:K$98,MATCH($A292,'Impact Indicators - Section B '!$A$1:$A$98,0))&lt;&gt;"",FIXED(INDEX('Impact Indicators - Section B '!K$1:K$98,MATCH($A292,'Impact Indicators - Section B '!$A$1:$A$98,0)),4),""),"")</f>
        <v/>
      </c>
      <c r="E302" s="80" t="str">
        <f>IFERROR(IF(INDEX('Impact Indicators - Section B '!O$1:O$98,MATCH($A292,'Impact Indicators - Section B '!$A$1:$A$98,0))&lt;&gt;"",FIXED(INDEX('Impact Indicators - Section B '!O$1:O$98,MATCH($A292,'Impact Indicators - Section B '!$A$1:$A$98,0)),4),""),"")</f>
        <v/>
      </c>
      <c r="F302" s="80" t="str">
        <f>IFERROR(IF(INDEX('Impact Indicators - Section B '!S$1:S$98,MATCH($A292,'Impact Indicators - Section B '!$A$1:$A$98,0))&lt;&gt;"",FIXED(INDEX('Impact Indicators - Section B '!S$1:S$98,MATCH($A292,'Impact Indicators - Section B '!$A$1:$A$98,0)),4),""),"")</f>
        <v/>
      </c>
      <c r="G302" s="80" t="str">
        <f>IFERROR(IF(INDEX('Impact Indicators - Section B '!W$1:W$98,MATCH($A292,'Impact Indicators - Section B '!$A$1:$A$98,0))&lt;&gt;"",FIXED(INDEX('Impact Indicators - Section B '!W$1:W$98,MATCH($A292,'Impact Indicators - Section B '!$A$1:$A$98,0)),4),""),"")</f>
        <v/>
      </c>
    </row>
    <row r="303" spans="1:7" s="83" customFormat="1" ht="18.75" customHeight="1" x14ac:dyDescent="0.25">
      <c r="A303" s="643"/>
      <c r="B303" s="78" t="s">
        <v>4387</v>
      </c>
      <c r="C303" s="82" t="str">
        <f>IFERROR(IF(INDEX('Impact Indicators - Section B '!D$1:D$98,MATCH($A292,'Impact Indicators - Section B '!$A$1:$A$98,0)+1)&lt;&gt;"",FIXED(INDEX('Impact Indicators - Section B '!D$1:D$98,MATCH($A292,'Impact Indicators - Section B '!$A$1:$A$98,0)+1),2),""),"")</f>
        <v/>
      </c>
      <c r="D303" s="82" t="str">
        <f>IFERROR(IF(INDEX('Impact Indicators - Section B '!K$1:K$98,MATCH($A292,'Impact Indicators - Section B '!$A$1:$A$98,0)+1)&lt;&gt;"",FIXED(INDEX('Impact Indicators - Section B '!K$1:K$98,MATCH($A292,'Impact Indicators - Section B '!$A$1:$A$98,0)+1),2),""),"")</f>
        <v/>
      </c>
      <c r="E303" s="82" t="str">
        <f>IFERROR(IF(INDEX('Impact Indicators - Section B '!O$1:O$98,MATCH($A292,'Impact Indicators - Section B '!$A$1:$A$98,0)+1)&lt;&gt;"",FIXED(INDEX('Impact Indicators - Section B '!O$1:O$98,MATCH($A292,'Impact Indicators - Section B '!$A$1:$A$98,0)+1),2),""),"")</f>
        <v/>
      </c>
      <c r="F303" s="82" t="str">
        <f>IFERROR(IF(INDEX('Impact Indicators - Section B '!S$1:S$98,MATCH($A292,'Impact Indicators - Section B '!$A$1:$A$98,0)+1)&lt;&gt;"",FIXED(INDEX('Impact Indicators - Section B '!S$1:S$98,MATCH($A292,'Impact Indicators - Section B '!$A$1:$A$98,0)+1),2),""),"")</f>
        <v/>
      </c>
      <c r="G303" s="82" t="str">
        <f>IFERROR(IF(INDEX('Impact Indicators - Section B '!W$1:W$98,MATCH($A292,'Impact Indicators - Section B '!$A$1:$A$98,0)+1)&lt;&gt;"",FIXED(INDEX('Impact Indicators - Section B '!W$1:W$98,MATCH($A292,'Impact Indicators - Section B '!$A$1:$A$98,0)+1),2),""),"")</f>
        <v/>
      </c>
    </row>
    <row r="304" spans="1:7" ht="18.75" customHeight="1" x14ac:dyDescent="0.25">
      <c r="A304" s="643"/>
      <c r="B304" s="78" t="s">
        <v>4388</v>
      </c>
      <c r="C304" s="79" t="str">
        <f ca="1">IFERROR(IF(INDEX('Impact Indicators - Section B '!E$1:E$98,MATCH($A292,'Impact Indicators - Section B '!$A$1:$A$98,0))&lt;&gt;"",FIXED(INDEX('Impact Indicators - Section B '!E$1:E$98,MATCH($A292,'Impact Indicators - Section B '!$A$1:$A$98,0))*100,2)&amp;"%",""),"")</f>
        <v/>
      </c>
      <c r="D304" s="79" t="str">
        <f ca="1">IFERROR(IF(INDEX('Impact Indicators - Section B '!L$1:L$98,MATCH($A292,'Impact Indicators - Section B '!$A$1:$A$98,0))&lt;&gt;"",FIXED(INDEX('Impact Indicators - Section B '!L$1:L$98,MATCH($A292,'Impact Indicators - Section B '!$A$1:$A$98,0))*100,2)&amp;"%",""),"")&amp;CHAR(10)&amp;IFERROR(IF(INDEX('Impact Indicators - Section B '!N$1:N$98,MATCH($A292,'Impact Indicators - Section B '!$A$1:$A$98,0))&lt;&gt;"",INDEX('Impact Indicators - Section B '!N$1:N$98,MATCH($A292,'Impact Indicators - Section B '!$A$1:$A$98,0)),""),"")&amp;CHAR(10)&amp;IFERROR(IF(INDEX('Impact Indicators - Section B '!M$1:M$98,MATCH($A292,'Impact Indicators - Section B '!$A$1:$A$98,0))&lt;&gt;"",TEXT(INDEX('Impact Indicators - Section B '!M$1:M$98,MATCH($A292,'Impact Indicators - Section B '!$A$1:$A$98,0)),Setup!$A$33),""),"")</f>
        <v xml:space="preserve">
</v>
      </c>
      <c r="E304" s="79" t="str">
        <f ca="1">IFERROR(IF(INDEX('Impact Indicators - Section B '!P$1:P$98,MATCH($A292,'Impact Indicators - Section B '!$A$1:$A$98,0))&lt;&gt;"",FIXED(INDEX('Impact Indicators - Section B '!P$1:P$98,MATCH($A292,'Impact Indicators - Section B '!$A$1:$A$98,0))*100,2)&amp;"%",""),"")&amp;CHAR(10)&amp;IFERROR(IF(INDEX('Impact Indicators - Section B '!R$1:R$98,MATCH($A292,'Impact Indicators - Section B '!$A$1:$A$98,0))&lt;&gt;"",INDEX('Impact Indicators - Section B '!R$1:R$98,MATCH($A292,'Impact Indicators - Section B '!$A$1:$A$98,0)),""),"")&amp;CHAR(10)&amp;IFERROR(IF(INDEX('Impact Indicators - Section B '!Q$1:Q$98,MATCH($A292,'Impact Indicators - Section B '!$A$1:$A$98,0))&lt;&gt;"",TEXT(INDEX('Impact Indicators - Section B '!Q$1:Q$98,MATCH($A292,'Impact Indicators - Section B '!$A$1:$A$98,0)),Setup!$A$33),""),"")</f>
        <v xml:space="preserve">
</v>
      </c>
      <c r="F304" s="79" t="str">
        <f ca="1">IFERROR(IF(INDEX('Impact Indicators - Section B '!T$1:T$98,MATCH($A292,'Impact Indicators - Section B '!$A$1:$A$98,0))&lt;&gt;"",FIXED(INDEX('Impact Indicators - Section B '!T$1:T$98,MATCH($A292,'Impact Indicators - Section B '!$A$1:$A$98,0))*100,2)&amp;"%",""),"")&amp;CHAR(10)&amp;IFERROR(IF(INDEX('Impact Indicators - Section B '!V$1:V$98,MATCH($A292,'Impact Indicators - Section B '!$A$1:$A$98,0))&lt;&gt;"",FIXED(INDEX('Impact Indicators - Section B '!V$1:V$98,MATCH($A292,'Impact Indicators - Section B '!$A$1:$A$98,0)),Setup!$A$33),""),"")&amp;CHAR(10)&amp;IFERROR(IF(INDEX('Impact Indicators - Section B '!U$1:U$98,MATCH($A292,'Impact Indicators - Section B '!$A$1:$A$98,0))&lt;&gt;"",TEXT(INDEX('Impact Indicators - Section B '!U$1:U$98,MATCH($A292,'Impact Indicators - Section B '!$A$1:$A$98,0)),Setup!$A$33),""),"")</f>
        <v xml:space="preserve">
</v>
      </c>
      <c r="G304" s="79" t="str">
        <f ca="1">IFERROR(IF(INDEX('Impact Indicators - Section B '!X$1:X$98,MATCH($A292,'Impact Indicators - Section B '!$A$1:$A$98,0))&lt;&gt;"",FIXED(INDEX('Impact Indicators - Section B '!X$1:X$98,MATCH($A292,'Impact Indicators - Section B '!$A$1:$A$98,0))*100,2)&amp;"%",""),"")&amp;CHAR(10)&amp;IFERROR(IF(INDEX('Impact Indicators - Section B '!Z$1:Z$98,MATCH($A292,'Impact Indicators - Section B '!$A$1:$A$98,0))&lt;&gt;"",INDEX('Impact Indicators - Section B '!Z$1:Z$98,MATCH($A292,'Impact Indicators - Section B '!$A$1:$A$98,0)),""),"")&amp;CHAR(10)&amp;IFERROR(IF(INDEX('Impact Indicators - Section B '!Y$1:Y$98,MATCH($A292,'Impact Indicators - Section B '!$A$1:$A$98,0))&lt;&gt;"",TEXT(INDEX('Impact Indicators - Section B '!Y$1:Y$98,MATCH($A292,'Impact Indicators - Section B '!$A$1:$A$98,0)),Setup!$A$33),""),"")</f>
        <v xml:space="preserve">
</v>
      </c>
    </row>
    <row r="305" spans="1:7" ht="18.75" customHeight="1" x14ac:dyDescent="0.25">
      <c r="A305" s="643"/>
      <c r="B305" s="623" t="s">
        <v>176</v>
      </c>
      <c r="C305" s="624"/>
      <c r="D305" s="624"/>
      <c r="E305" s="624"/>
      <c r="F305" s="624"/>
      <c r="G305" s="625"/>
    </row>
    <row r="306" spans="1:7" ht="18.75" customHeight="1" x14ac:dyDescent="0.25">
      <c r="A306" s="643"/>
      <c r="B306" s="633" t="str">
        <f>IFERROR(IF(INDEX('Impact Indicators - Section B '!AA$1:AA$98,MATCH($A292,'Impact Indicators - Section B '!$A$1:$A$98,0))&lt;&gt;0,INDEX('Impact Indicators - Section B '!AA$1:AA$98,MATCH($A292,'Impact Indicators - Section B '!$A$1:$A$98,0)),""),"")</f>
        <v/>
      </c>
      <c r="C306" s="634"/>
      <c r="D306" s="634"/>
      <c r="E306" s="634"/>
      <c r="F306" s="634"/>
      <c r="G306" s="635"/>
    </row>
    <row r="307" spans="1:7" ht="18.75" customHeight="1" x14ac:dyDescent="0.25">
      <c r="A307" s="643"/>
      <c r="B307" s="636"/>
      <c r="C307" s="637"/>
      <c r="D307" s="637"/>
      <c r="E307" s="637"/>
      <c r="F307" s="637"/>
      <c r="G307" s="638"/>
    </row>
    <row r="308" spans="1:7" ht="18.75" customHeight="1" x14ac:dyDescent="0.25">
      <c r="A308" s="643"/>
      <c r="B308" s="636"/>
      <c r="C308" s="637"/>
      <c r="D308" s="637"/>
      <c r="E308" s="637"/>
      <c r="F308" s="637"/>
      <c r="G308" s="638"/>
    </row>
    <row r="309" spans="1:7" ht="18.75" customHeight="1" x14ac:dyDescent="0.25">
      <c r="A309" s="643"/>
      <c r="B309" s="636"/>
      <c r="C309" s="637"/>
      <c r="D309" s="637"/>
      <c r="E309" s="637"/>
      <c r="F309" s="637"/>
      <c r="G309" s="638"/>
    </row>
    <row r="310" spans="1:7" ht="18.75" customHeight="1" x14ac:dyDescent="0.25">
      <c r="A310" s="643"/>
      <c r="B310" s="636"/>
      <c r="C310" s="637"/>
      <c r="D310" s="637"/>
      <c r="E310" s="637"/>
      <c r="F310" s="637"/>
      <c r="G310" s="638"/>
    </row>
    <row r="311" spans="1:7" ht="18.75" customHeight="1" x14ac:dyDescent="0.25">
      <c r="A311" s="643"/>
      <c r="B311" s="636"/>
      <c r="C311" s="637"/>
      <c r="D311" s="637"/>
      <c r="E311" s="637"/>
      <c r="F311" s="637"/>
      <c r="G311" s="638"/>
    </row>
    <row r="312" spans="1:7" ht="18.75" customHeight="1" x14ac:dyDescent="0.25">
      <c r="A312" s="643"/>
      <c r="B312" s="636"/>
      <c r="C312" s="637"/>
      <c r="D312" s="637"/>
      <c r="E312" s="637"/>
      <c r="F312" s="637"/>
      <c r="G312" s="638"/>
    </row>
    <row r="313" spans="1:7" ht="18.75" customHeight="1" x14ac:dyDescent="0.25">
      <c r="A313" s="643"/>
      <c r="B313" s="636"/>
      <c r="C313" s="637"/>
      <c r="D313" s="637"/>
      <c r="E313" s="637"/>
      <c r="F313" s="637"/>
      <c r="G313" s="638"/>
    </row>
    <row r="314" spans="1:7" ht="18.75" customHeight="1" x14ac:dyDescent="0.25">
      <c r="A314" s="643"/>
      <c r="B314" s="636"/>
      <c r="C314" s="637"/>
      <c r="D314" s="637"/>
      <c r="E314" s="637"/>
      <c r="F314" s="637"/>
      <c r="G314" s="638"/>
    </row>
    <row r="315" spans="1:7" ht="18.75" customHeight="1" x14ac:dyDescent="0.25">
      <c r="A315" s="643"/>
      <c r="B315" s="636"/>
      <c r="C315" s="637"/>
      <c r="D315" s="637"/>
      <c r="E315" s="637"/>
      <c r="F315" s="637"/>
      <c r="G315" s="638"/>
    </row>
    <row r="316" spans="1:7" ht="18.75" customHeight="1" x14ac:dyDescent="0.25">
      <c r="A316" s="639"/>
      <c r="B316" s="640"/>
      <c r="C316" s="640"/>
      <c r="D316" s="640"/>
      <c r="E316" s="640"/>
      <c r="F316" s="640"/>
      <c r="G316" s="641"/>
    </row>
    <row r="318" spans="1:7" ht="18.75" customHeight="1" x14ac:dyDescent="0.25">
      <c r="A318" s="77" t="s">
        <v>4383</v>
      </c>
      <c r="B318" s="623" t="s">
        <v>738</v>
      </c>
      <c r="C318" s="624"/>
      <c r="D318" s="625"/>
      <c r="E318" s="623" t="s">
        <v>739</v>
      </c>
      <c r="F318" s="624"/>
      <c r="G318" s="625"/>
    </row>
    <row r="319" spans="1:7" ht="18.75" customHeight="1" x14ac:dyDescent="0.25">
      <c r="A319" s="642">
        <v>12</v>
      </c>
      <c r="B319" s="633" t="str">
        <f>IFERROR(IF(INDEX('Impact Indicators - Section B '!B$1:B$98,MATCH($A319,'Impact Indicators - Section B '!$A$1:$A$98,0))&lt;&gt;0,INDEX('Impact Indicators - Section B '!B$1:B$98,MATCH($A319,'Impact Indicators - Section B '!$A$1:$A$98,0)),""),"")</f>
        <v/>
      </c>
      <c r="C319" s="634"/>
      <c r="D319" s="635"/>
      <c r="E319" s="633" t="str">
        <f>IFERROR(IF(INDEX('Impact Indicators - Section B '!C$1:C$98,MATCH($A319,'Impact Indicators - Section B '!$A$1:$A$98,0))&lt;&gt;0,INDEX('Impact Indicators - Section B '!C$1:C$98,MATCH($A319,'Impact Indicators - Section B '!$A$1:$A$98,0)),""),"")</f>
        <v/>
      </c>
      <c r="F319" s="634"/>
      <c r="G319" s="635"/>
    </row>
    <row r="320" spans="1:7" ht="18.75" customHeight="1" x14ac:dyDescent="0.25">
      <c r="A320" s="643"/>
      <c r="B320" s="636"/>
      <c r="C320" s="637"/>
      <c r="D320" s="638"/>
      <c r="E320" s="636"/>
      <c r="F320" s="637"/>
      <c r="G320" s="638"/>
    </row>
    <row r="321" spans="1:7" ht="18.75" customHeight="1" x14ac:dyDescent="0.25">
      <c r="A321" s="643"/>
      <c r="B321" s="644"/>
      <c r="C321" s="645"/>
      <c r="D321" s="646"/>
      <c r="E321" s="644"/>
      <c r="F321" s="645"/>
      <c r="G321" s="646"/>
    </row>
    <row r="322" spans="1:7" ht="18.75" customHeight="1" x14ac:dyDescent="0.25">
      <c r="A322" s="643"/>
      <c r="B322" s="623" t="s">
        <v>742</v>
      </c>
      <c r="C322" s="624"/>
      <c r="D322" s="625"/>
      <c r="E322" s="623" t="s">
        <v>127</v>
      </c>
      <c r="F322" s="624"/>
      <c r="G322" s="625"/>
    </row>
    <row r="323" spans="1:7" ht="18.75" customHeight="1" x14ac:dyDescent="0.25">
      <c r="A323" s="643"/>
      <c r="B323" s="647" t="str">
        <f>IFERROR(IF(INDEX('Impact Indicators - Section B '!H$1:H$98,MATCH($A319,'Impact Indicators - Section B '!$A$1:$A$98,0))&lt;&gt;0,INDEX('Impact Indicators - Section B '!H$1:H$98,MATCH($A319,'Impact Indicators - Section B '!$A$1:$A$98,0)),""),"")</f>
        <v/>
      </c>
      <c r="C323" s="648"/>
      <c r="D323" s="649"/>
      <c r="E323" s="647" t="str">
        <f>IFERROR(IF(INDEX('Impact Indicators - Section B '!J$1:J$98,MATCH($A319,'Impact Indicators - Section B '!$A$1:$A$98,0))&lt;&gt;0,INDEX('Impact Indicators - Section B '!J$1:J$98,MATCH($A319,'Impact Indicators - Section B '!$A$1:$A$98,0)),""),"")</f>
        <v/>
      </c>
      <c r="F323" s="648"/>
      <c r="G323" s="649"/>
    </row>
    <row r="324" spans="1:7" ht="18.75" customHeight="1" x14ac:dyDescent="0.25">
      <c r="A324" s="643"/>
      <c r="B324" s="623" t="s">
        <v>199</v>
      </c>
      <c r="C324" s="624"/>
      <c r="D324" s="625"/>
      <c r="E324" s="623" t="s">
        <v>120</v>
      </c>
      <c r="F324" s="624"/>
      <c r="G324" s="625"/>
    </row>
    <row r="325" spans="1:7" ht="18.75" customHeight="1" x14ac:dyDescent="0.25">
      <c r="A325" s="643"/>
      <c r="B325" s="633" t="str">
        <f>IFERROR(IF(INDEX('Impact Indicators - Section B '!G$1:G$98,MATCH($A319,'Impact Indicators - Section B '!$A$1:$A$98,0))&lt;&gt;0,INDEX('Impact Indicators - Section B '!G$1:G$98,MATCH($A319,'Impact Indicators - Section B '!$A$1:$A$98,0)),""),"")</f>
        <v/>
      </c>
      <c r="C325" s="634"/>
      <c r="D325" s="635"/>
      <c r="E325" s="633" t="str">
        <f>IFERROR(IF(AND('Overview - Section A'!AS$1="Grant Making",OR(B319&lt;&gt;"",E319&lt;&gt;"")),Setup!I312,IF(INDEX('Impact Indicators - Section B '!I$1:I$98,MATCH($A319,'Impact Indicators - Section B '!$A$1:$A$98,0))&lt;&gt;0,INDEX('Impact Indicators - Section B '!I$1:I$98,MATCH($A319,'Impact Indicators - Section B '!$A$1:$A$98,0)),"")),"")</f>
        <v/>
      </c>
      <c r="F325" s="634"/>
      <c r="G325" s="635"/>
    </row>
    <row r="326" spans="1:7" ht="18.75" customHeight="1" x14ac:dyDescent="0.25">
      <c r="A326" s="643"/>
      <c r="B326" s="644"/>
      <c r="C326" s="645"/>
      <c r="D326" s="646"/>
      <c r="E326" s="644"/>
      <c r="F326" s="645"/>
      <c r="G326" s="646"/>
    </row>
    <row r="327" spans="1:7" ht="18.75" customHeight="1" x14ac:dyDescent="0.25">
      <c r="A327" s="643"/>
      <c r="B327" s="78"/>
      <c r="C327" s="63" t="s">
        <v>4384</v>
      </c>
      <c r="D327" s="623" t="s">
        <v>4385</v>
      </c>
      <c r="E327" s="624"/>
      <c r="F327" s="624"/>
      <c r="G327" s="625"/>
    </row>
    <row r="328" spans="1:7" ht="18.75" customHeight="1" x14ac:dyDescent="0.25">
      <c r="A328" s="643"/>
      <c r="B328" s="78" t="s">
        <v>2559</v>
      </c>
      <c r="C328" s="79" t="str">
        <f>IFERROR(IF(INDEX('Impact Indicators - Section B '!F$1:F$98,MATCH($A319,'Impact Indicators - Section B '!$A$1:$A$98,0))&lt;&gt;0,INDEX('Impact Indicators - Section B '!F$1:F$98,MATCH($A319,'Impact Indicators - Section B '!$A$1:$A$98,0)),""),"")&amp;CHAR(10)&amp;IFERROR(IF(INDEX('Impact Indicators - Section B '!G$1:G$98,MATCH($A319,'Impact Indicators - Section B '!$A$1:$A$98,0))&lt;&gt;0,INDEX('Impact Indicators - Section B '!G$1:G$98,MATCH($A319,'Impact Indicators - Section B '!$A$1:$A$98,0)),""),"")</f>
        <v xml:space="preserve">
</v>
      </c>
      <c r="D328" s="63">
        <f ca="1">IFERROR(IF(YEAR(INDEX('Overview - Section A'!$A$47:$A$54,MATCH('Print - Summary'!$H$10,'Overview - Section A'!$B$47:$B$54,0)))&lt;=YEAR('Overview - Section A'!$E$8),YEAR(INDEX('Overview - Section A'!$A$47:$A$54,MATCH('Print - Summary'!$H$10,'Overview - Section A'!$B$47:$B$54,0))),""),"")</f>
        <v>2024</v>
      </c>
      <c r="E328" s="63">
        <f ca="1">IFERROR(IF(D328+1&lt;=YEAR('Overview - Section A'!$E$8),D328+1,""),"")</f>
        <v>2025</v>
      </c>
      <c r="F328" s="63">
        <f ca="1">IFERROR(IF(E328+1&lt;=YEAR('Overview - Section A'!$E$8),E328+1,""),"")</f>
        <v>2026</v>
      </c>
      <c r="G328" s="63" t="str">
        <f ca="1">IFERROR(IF(F328+1&lt;=YEAR('Overview - Section A'!$E$8),F328+1,""),"")</f>
        <v/>
      </c>
    </row>
    <row r="329" spans="1:7" s="81" customFormat="1" ht="18.75" customHeight="1" x14ac:dyDescent="0.25">
      <c r="A329" s="643"/>
      <c r="B329" s="78" t="s">
        <v>4386</v>
      </c>
      <c r="C329" s="80" t="str">
        <f>IFERROR(IF(INDEX('Impact Indicators - Section B '!D$1:D$98,MATCH($A319,'Impact Indicators - Section B '!$A$1:$A$98,0))&lt;&gt;"",FIXED(INDEX('Impact Indicators - Section B '!D$1:D$98,MATCH($A319,'Impact Indicators - Section B '!$A$1:$A$98,0)),4),""),"")</f>
        <v/>
      </c>
      <c r="D329" s="80" t="str">
        <f>IFERROR(IF(INDEX('Impact Indicators - Section B '!K$1:K$98,MATCH($A319,'Impact Indicators - Section B '!$A$1:$A$98,0))&lt;&gt;"",FIXED(INDEX('Impact Indicators - Section B '!K$1:K$98,MATCH($A319,'Impact Indicators - Section B '!$A$1:$A$98,0)),4),""),"")</f>
        <v/>
      </c>
      <c r="E329" s="80" t="str">
        <f>IFERROR(IF(INDEX('Impact Indicators - Section B '!O$1:O$98,MATCH($A319,'Impact Indicators - Section B '!$A$1:$A$98,0))&lt;&gt;"",FIXED(INDEX('Impact Indicators - Section B '!O$1:O$98,MATCH($A319,'Impact Indicators - Section B '!$A$1:$A$98,0)),4),""),"")</f>
        <v/>
      </c>
      <c r="F329" s="80" t="str">
        <f>IFERROR(IF(INDEX('Impact Indicators - Section B '!S$1:S$98,MATCH($A319,'Impact Indicators - Section B '!$A$1:$A$98,0))&lt;&gt;"",FIXED(INDEX('Impact Indicators - Section B '!S$1:S$98,MATCH($A319,'Impact Indicators - Section B '!$A$1:$A$98,0)),4),""),"")</f>
        <v/>
      </c>
      <c r="G329" s="80" t="str">
        <f>IFERROR(IF(INDEX('Impact Indicators - Section B '!W$1:W$98,MATCH($A319,'Impact Indicators - Section B '!$A$1:$A$98,0))&lt;&gt;"",FIXED(INDEX('Impact Indicators - Section B '!W$1:W$98,MATCH($A319,'Impact Indicators - Section B '!$A$1:$A$98,0)),4),""),"")</f>
        <v/>
      </c>
    </row>
    <row r="330" spans="1:7" s="83" customFormat="1" ht="18.75" customHeight="1" x14ac:dyDescent="0.25">
      <c r="A330" s="643"/>
      <c r="B330" s="78" t="s">
        <v>4387</v>
      </c>
      <c r="C330" s="82" t="str">
        <f>IFERROR(IF(INDEX('Impact Indicators - Section B '!D$1:D$98,MATCH($A319,'Impact Indicators - Section B '!$A$1:$A$98,0)+1)&lt;&gt;"",FIXED(INDEX('Impact Indicators - Section B '!D$1:D$98,MATCH($A319,'Impact Indicators - Section B '!$A$1:$A$98,0)+1),2),""),"")</f>
        <v/>
      </c>
      <c r="D330" s="82" t="str">
        <f>IFERROR(IF(INDEX('Impact Indicators - Section B '!K$1:K$98,MATCH($A319,'Impact Indicators - Section B '!$A$1:$A$98,0)+1)&lt;&gt;"",FIXED(INDEX('Impact Indicators - Section B '!K$1:K$98,MATCH($A319,'Impact Indicators - Section B '!$A$1:$A$98,0)+1),2),""),"")</f>
        <v/>
      </c>
      <c r="E330" s="82" t="str">
        <f>IFERROR(IF(INDEX('Impact Indicators - Section B '!O$1:O$98,MATCH($A319,'Impact Indicators - Section B '!$A$1:$A$98,0)+1)&lt;&gt;"",FIXED(INDEX('Impact Indicators - Section B '!O$1:O$98,MATCH($A319,'Impact Indicators - Section B '!$A$1:$A$98,0)+1),2),""),"")</f>
        <v/>
      </c>
      <c r="F330" s="82" t="str">
        <f>IFERROR(IF(INDEX('Impact Indicators - Section B '!S$1:S$98,MATCH($A319,'Impact Indicators - Section B '!$A$1:$A$98,0)+1)&lt;&gt;"",FIXED(INDEX('Impact Indicators - Section B '!S$1:S$98,MATCH($A319,'Impact Indicators - Section B '!$A$1:$A$98,0)+1),2),""),"")</f>
        <v/>
      </c>
      <c r="G330" s="82" t="str">
        <f>IFERROR(IF(INDEX('Impact Indicators - Section B '!W$1:W$98,MATCH($A319,'Impact Indicators - Section B '!$A$1:$A$98,0)+1)&lt;&gt;"",FIXED(INDEX('Impact Indicators - Section B '!W$1:W$98,MATCH($A319,'Impact Indicators - Section B '!$A$1:$A$98,0)+1),2),""),"")</f>
        <v/>
      </c>
    </row>
    <row r="331" spans="1:7" ht="18.75" customHeight="1" x14ac:dyDescent="0.25">
      <c r="A331" s="643"/>
      <c r="B331" s="78" t="s">
        <v>4388</v>
      </c>
      <c r="C331" s="79" t="str">
        <f ca="1">IFERROR(IF(INDEX('Impact Indicators - Section B '!E$1:E$98,MATCH($A319,'Impact Indicators - Section B '!$A$1:$A$98,0))&lt;&gt;"",FIXED(INDEX('Impact Indicators - Section B '!E$1:E$98,MATCH($A319,'Impact Indicators - Section B '!$A$1:$A$98,0))*100,2)&amp;"%",""),"")</f>
        <v/>
      </c>
      <c r="D331" s="79" t="str">
        <f ca="1">IFERROR(IF(INDEX('Impact Indicators - Section B '!L$1:L$98,MATCH($A319,'Impact Indicators - Section B '!$A$1:$A$98,0))&lt;&gt;"",FIXED(INDEX('Impact Indicators - Section B '!L$1:L$98,MATCH($A319,'Impact Indicators - Section B '!$A$1:$A$98,0))*100,2)&amp;"%",""),"")&amp;CHAR(10)&amp;IFERROR(IF(INDEX('Impact Indicators - Section B '!N$1:N$98,MATCH($A319,'Impact Indicators - Section B '!$A$1:$A$98,0))&lt;&gt;"",INDEX('Impact Indicators - Section B '!N$1:N$98,MATCH($A319,'Impact Indicators - Section B '!$A$1:$A$98,0)),""),"")&amp;CHAR(10)&amp;IFERROR(IF(INDEX('Impact Indicators - Section B '!M$1:M$98,MATCH($A319,'Impact Indicators - Section B '!$A$1:$A$98,0))&lt;&gt;"",TEXT(INDEX('Impact Indicators - Section B '!M$1:M$98,MATCH($A319,'Impact Indicators - Section B '!$A$1:$A$98,0)),Setup!$A$33),""),"")</f>
        <v xml:space="preserve">
</v>
      </c>
      <c r="E331" s="79" t="str">
        <f ca="1">IFERROR(IF(INDEX('Impact Indicators - Section B '!P$1:P$98,MATCH($A319,'Impact Indicators - Section B '!$A$1:$A$98,0))&lt;&gt;"",FIXED(INDEX('Impact Indicators - Section B '!P$1:P$98,MATCH($A319,'Impact Indicators - Section B '!$A$1:$A$98,0))*100,2)&amp;"%",""),"")&amp;CHAR(10)&amp;IFERROR(IF(INDEX('Impact Indicators - Section B '!R$1:R$98,MATCH($A319,'Impact Indicators - Section B '!$A$1:$A$98,0))&lt;&gt;"",INDEX('Impact Indicators - Section B '!R$1:R$98,MATCH($A319,'Impact Indicators - Section B '!$A$1:$A$98,0)),""),"")&amp;CHAR(10)&amp;IFERROR(IF(INDEX('Impact Indicators - Section B '!Q$1:Q$98,MATCH($A319,'Impact Indicators - Section B '!$A$1:$A$98,0))&lt;&gt;"",TEXT(INDEX('Impact Indicators - Section B '!Q$1:Q$98,MATCH($A319,'Impact Indicators - Section B '!$A$1:$A$98,0)),Setup!$A$33),""),"")</f>
        <v xml:space="preserve">
</v>
      </c>
      <c r="F331" s="79" t="str">
        <f ca="1">IFERROR(IF(INDEX('Impact Indicators - Section B '!T$1:T$98,MATCH($A319,'Impact Indicators - Section B '!$A$1:$A$98,0))&lt;&gt;"",FIXED(INDEX('Impact Indicators - Section B '!T$1:T$98,MATCH($A319,'Impact Indicators - Section B '!$A$1:$A$98,0))*100,2)&amp;"%",""),"")&amp;CHAR(10)&amp;IFERROR(IF(INDEX('Impact Indicators - Section B '!V$1:V$98,MATCH($A319,'Impact Indicators - Section B '!$A$1:$A$98,0))&lt;&gt;"",FIXED(INDEX('Impact Indicators - Section B '!V$1:V$98,MATCH($A319,'Impact Indicators - Section B '!$A$1:$A$98,0)),Setup!$A$33),""),"")&amp;CHAR(10)&amp;IFERROR(IF(INDEX('Impact Indicators - Section B '!U$1:U$98,MATCH($A319,'Impact Indicators - Section B '!$A$1:$A$98,0))&lt;&gt;"",TEXT(INDEX('Impact Indicators - Section B '!U$1:U$98,MATCH($A319,'Impact Indicators - Section B '!$A$1:$A$98,0)),Setup!$A$33),""),"")</f>
        <v xml:space="preserve">
</v>
      </c>
      <c r="G331" s="79" t="str">
        <f ca="1">IFERROR(IF(INDEX('Impact Indicators - Section B '!X$1:X$98,MATCH($A319,'Impact Indicators - Section B '!$A$1:$A$98,0))&lt;&gt;"",FIXED(INDEX('Impact Indicators - Section B '!X$1:X$98,MATCH($A319,'Impact Indicators - Section B '!$A$1:$A$98,0))*100,2)&amp;"%",""),"")&amp;CHAR(10)&amp;IFERROR(IF(INDEX('Impact Indicators - Section B '!Z$1:Z$98,MATCH($A319,'Impact Indicators - Section B '!$A$1:$A$98,0))&lt;&gt;"",INDEX('Impact Indicators - Section B '!Z$1:Z$98,MATCH($A319,'Impact Indicators - Section B '!$A$1:$A$98,0)),""),"")&amp;CHAR(10)&amp;IFERROR(IF(INDEX('Impact Indicators - Section B '!Y$1:Y$98,MATCH($A319,'Impact Indicators - Section B '!$A$1:$A$98,0))&lt;&gt;"",TEXT(INDEX('Impact Indicators - Section B '!Y$1:Y$98,MATCH($A319,'Impact Indicators - Section B '!$A$1:$A$98,0)),Setup!$A$33),""),"")</f>
        <v xml:space="preserve">
</v>
      </c>
    </row>
    <row r="332" spans="1:7" ht="18.75" customHeight="1" x14ac:dyDescent="0.25">
      <c r="A332" s="643"/>
      <c r="B332" s="623" t="s">
        <v>176</v>
      </c>
      <c r="C332" s="624"/>
      <c r="D332" s="624"/>
      <c r="E332" s="624"/>
      <c r="F332" s="624"/>
      <c r="G332" s="625"/>
    </row>
    <row r="333" spans="1:7" ht="18.75" customHeight="1" x14ac:dyDescent="0.25">
      <c r="A333" s="643"/>
      <c r="B333" s="633" t="str">
        <f>IFERROR(IF(INDEX('Impact Indicators - Section B '!AA$1:AA$98,MATCH($A319,'Impact Indicators - Section B '!$A$1:$A$98,0))&lt;&gt;0,INDEX('Impact Indicators - Section B '!AA$1:AA$98,MATCH($A319,'Impact Indicators - Section B '!$A$1:$A$98,0)),""),"")</f>
        <v/>
      </c>
      <c r="C333" s="634"/>
      <c r="D333" s="634"/>
      <c r="E333" s="634"/>
      <c r="F333" s="634"/>
      <c r="G333" s="635"/>
    </row>
    <row r="334" spans="1:7" ht="18.75" customHeight="1" x14ac:dyDescent="0.25">
      <c r="A334" s="643"/>
      <c r="B334" s="636"/>
      <c r="C334" s="637"/>
      <c r="D334" s="637"/>
      <c r="E334" s="637"/>
      <c r="F334" s="637"/>
      <c r="G334" s="638"/>
    </row>
    <row r="335" spans="1:7" ht="18.75" customHeight="1" x14ac:dyDescent="0.25">
      <c r="A335" s="643"/>
      <c r="B335" s="636"/>
      <c r="C335" s="637"/>
      <c r="D335" s="637"/>
      <c r="E335" s="637"/>
      <c r="F335" s="637"/>
      <c r="G335" s="638"/>
    </row>
    <row r="336" spans="1:7" ht="18.75" customHeight="1" x14ac:dyDescent="0.25">
      <c r="A336" s="643"/>
      <c r="B336" s="636"/>
      <c r="C336" s="637"/>
      <c r="D336" s="637"/>
      <c r="E336" s="637"/>
      <c r="F336" s="637"/>
      <c r="G336" s="638"/>
    </row>
    <row r="337" spans="1:7" ht="18.75" customHeight="1" x14ac:dyDescent="0.25">
      <c r="A337" s="643"/>
      <c r="B337" s="636"/>
      <c r="C337" s="637"/>
      <c r="D337" s="637"/>
      <c r="E337" s="637"/>
      <c r="F337" s="637"/>
      <c r="G337" s="638"/>
    </row>
    <row r="338" spans="1:7" ht="18.75" customHeight="1" x14ac:dyDescent="0.25">
      <c r="A338" s="643"/>
      <c r="B338" s="636"/>
      <c r="C338" s="637"/>
      <c r="D338" s="637"/>
      <c r="E338" s="637"/>
      <c r="F338" s="637"/>
      <c r="G338" s="638"/>
    </row>
    <row r="339" spans="1:7" ht="18.75" customHeight="1" x14ac:dyDescent="0.25">
      <c r="A339" s="643"/>
      <c r="B339" s="636"/>
      <c r="C339" s="637"/>
      <c r="D339" s="637"/>
      <c r="E339" s="637"/>
      <c r="F339" s="637"/>
      <c r="G339" s="638"/>
    </row>
    <row r="340" spans="1:7" ht="18.75" customHeight="1" x14ac:dyDescent="0.25">
      <c r="A340" s="643"/>
      <c r="B340" s="636"/>
      <c r="C340" s="637"/>
      <c r="D340" s="637"/>
      <c r="E340" s="637"/>
      <c r="F340" s="637"/>
      <c r="G340" s="638"/>
    </row>
    <row r="341" spans="1:7" ht="18.75" customHeight="1" x14ac:dyDescent="0.25">
      <c r="A341" s="643"/>
      <c r="B341" s="636"/>
      <c r="C341" s="637"/>
      <c r="D341" s="637"/>
      <c r="E341" s="637"/>
      <c r="F341" s="637"/>
      <c r="G341" s="638"/>
    </row>
    <row r="342" spans="1:7" ht="18.75" customHeight="1" x14ac:dyDescent="0.25">
      <c r="A342" s="643"/>
      <c r="B342" s="636"/>
      <c r="C342" s="637"/>
      <c r="D342" s="637"/>
      <c r="E342" s="637"/>
      <c r="F342" s="637"/>
      <c r="G342" s="638"/>
    </row>
    <row r="343" spans="1:7" ht="18.75" customHeight="1" x14ac:dyDescent="0.25">
      <c r="A343" s="639"/>
      <c r="B343" s="640"/>
      <c r="C343" s="640"/>
      <c r="D343" s="640"/>
      <c r="E343" s="640"/>
      <c r="F343" s="640"/>
      <c r="G343" s="641"/>
    </row>
    <row r="345" spans="1:7" ht="18.75" customHeight="1" x14ac:dyDescent="0.25">
      <c r="A345" s="77" t="s">
        <v>4383</v>
      </c>
      <c r="B345" s="623" t="s">
        <v>738</v>
      </c>
      <c r="C345" s="624"/>
      <c r="D345" s="625"/>
      <c r="E345" s="623" t="s">
        <v>739</v>
      </c>
      <c r="F345" s="624"/>
      <c r="G345" s="625"/>
    </row>
    <row r="346" spans="1:7" ht="18.75" customHeight="1" x14ac:dyDescent="0.25">
      <c r="A346" s="642">
        <v>13</v>
      </c>
      <c r="B346" s="633" t="str">
        <f>IFERROR(IF(INDEX('Impact Indicators - Section B '!B$1:B$98,MATCH($A346,'Impact Indicators - Section B '!$A$1:$A$98,0))&lt;&gt;0,INDEX('Impact Indicators - Section B '!B$1:B$98,MATCH($A346,'Impact Indicators - Section B '!$A$1:$A$98,0)),""),"")</f>
        <v/>
      </c>
      <c r="C346" s="634"/>
      <c r="D346" s="635"/>
      <c r="E346" s="633" t="str">
        <f>IFERROR(IF(INDEX('Impact Indicators - Section B '!C$1:C$98,MATCH($A346,'Impact Indicators - Section B '!$A$1:$A$98,0))&lt;&gt;0,INDEX('Impact Indicators - Section B '!C$1:C$98,MATCH($A346,'Impact Indicators - Section B '!$A$1:$A$98,0)),""),"")</f>
        <v/>
      </c>
      <c r="F346" s="634"/>
      <c r="G346" s="635"/>
    </row>
    <row r="347" spans="1:7" ht="18.75" customHeight="1" x14ac:dyDescent="0.25">
      <c r="A347" s="643"/>
      <c r="B347" s="636"/>
      <c r="C347" s="637"/>
      <c r="D347" s="638"/>
      <c r="E347" s="636"/>
      <c r="F347" s="637"/>
      <c r="G347" s="638"/>
    </row>
    <row r="348" spans="1:7" ht="18.75" customHeight="1" x14ac:dyDescent="0.25">
      <c r="A348" s="643"/>
      <c r="B348" s="644"/>
      <c r="C348" s="645"/>
      <c r="D348" s="646"/>
      <c r="E348" s="644"/>
      <c r="F348" s="645"/>
      <c r="G348" s="646"/>
    </row>
    <row r="349" spans="1:7" ht="18.75" customHeight="1" x14ac:dyDescent="0.25">
      <c r="A349" s="643"/>
      <c r="B349" s="623" t="s">
        <v>742</v>
      </c>
      <c r="C349" s="624"/>
      <c r="D349" s="625"/>
      <c r="E349" s="623" t="s">
        <v>127</v>
      </c>
      <c r="F349" s="624"/>
      <c r="G349" s="625"/>
    </row>
    <row r="350" spans="1:7" ht="18.75" customHeight="1" x14ac:dyDescent="0.25">
      <c r="A350" s="643"/>
      <c r="B350" s="647" t="str">
        <f>IFERROR(IF(INDEX('Impact Indicators - Section B '!H$1:H$98,MATCH($A346,'Impact Indicators - Section B '!$A$1:$A$98,0))&lt;&gt;0,INDEX('Impact Indicators - Section B '!H$1:H$98,MATCH($A346,'Impact Indicators - Section B '!$A$1:$A$98,0)),""),"")</f>
        <v/>
      </c>
      <c r="C350" s="648"/>
      <c r="D350" s="649"/>
      <c r="E350" s="647" t="str">
        <f>IFERROR(IF(INDEX('Impact Indicators - Section B '!J$1:J$98,MATCH($A346,'Impact Indicators - Section B '!$A$1:$A$98,0))&lt;&gt;0,INDEX('Impact Indicators - Section B '!J$1:J$98,MATCH($A346,'Impact Indicators - Section B '!$A$1:$A$98,0)),""),"")</f>
        <v/>
      </c>
      <c r="F350" s="648"/>
      <c r="G350" s="649"/>
    </row>
    <row r="351" spans="1:7" ht="18.75" customHeight="1" x14ac:dyDescent="0.25">
      <c r="A351" s="643"/>
      <c r="B351" s="623" t="s">
        <v>199</v>
      </c>
      <c r="C351" s="624"/>
      <c r="D351" s="625"/>
      <c r="E351" s="623" t="s">
        <v>120</v>
      </c>
      <c r="F351" s="624"/>
      <c r="G351" s="625"/>
    </row>
    <row r="352" spans="1:7" ht="18.75" customHeight="1" x14ac:dyDescent="0.25">
      <c r="A352" s="643"/>
      <c r="B352" s="633" t="str">
        <f>IFERROR(IF(INDEX('Impact Indicators - Section B '!G$1:G$98,MATCH($A346,'Impact Indicators - Section B '!$A$1:$A$98,0))&lt;&gt;0,INDEX('Impact Indicators - Section B '!G$1:G$98,MATCH($A346,'Impact Indicators - Section B '!$A$1:$A$98,0)),""),"")</f>
        <v/>
      </c>
      <c r="C352" s="634"/>
      <c r="D352" s="635"/>
      <c r="E352" s="633" t="str">
        <f>IFERROR(IF(AND('Overview - Section A'!AS$1="Grant Making",OR(B346&lt;&gt;"",E346&lt;&gt;"")),Setup!I339,IF(INDEX('Impact Indicators - Section B '!I$1:I$98,MATCH($A346,'Impact Indicators - Section B '!$A$1:$A$98,0))&lt;&gt;0,INDEX('Impact Indicators - Section B '!I$1:I$98,MATCH($A346,'Impact Indicators - Section B '!$A$1:$A$98,0)),"")),"")</f>
        <v/>
      </c>
      <c r="F352" s="634"/>
      <c r="G352" s="635"/>
    </row>
    <row r="353" spans="1:7" ht="18.75" customHeight="1" x14ac:dyDescent="0.25">
      <c r="A353" s="643"/>
      <c r="B353" s="644"/>
      <c r="C353" s="645"/>
      <c r="D353" s="646"/>
      <c r="E353" s="644"/>
      <c r="F353" s="645"/>
      <c r="G353" s="646"/>
    </row>
    <row r="354" spans="1:7" ht="18.75" customHeight="1" x14ac:dyDescent="0.25">
      <c r="A354" s="643"/>
      <c r="B354" s="78"/>
      <c r="C354" s="63" t="s">
        <v>4384</v>
      </c>
      <c r="D354" s="623" t="s">
        <v>4385</v>
      </c>
      <c r="E354" s="624"/>
      <c r="F354" s="624"/>
      <c r="G354" s="625"/>
    </row>
    <row r="355" spans="1:7" ht="18.75" customHeight="1" x14ac:dyDescent="0.25">
      <c r="A355" s="643"/>
      <c r="B355" s="78" t="s">
        <v>2559</v>
      </c>
      <c r="C355" s="79" t="str">
        <f>IFERROR(IF(INDEX('Impact Indicators - Section B '!F$1:F$98,MATCH($A346,'Impact Indicators - Section B '!$A$1:$A$98,0))&lt;&gt;0,INDEX('Impact Indicators - Section B '!F$1:F$98,MATCH($A346,'Impact Indicators - Section B '!$A$1:$A$98,0)),""),"")&amp;CHAR(10)&amp;IFERROR(IF(INDEX('Impact Indicators - Section B '!G$1:G$98,MATCH($A346,'Impact Indicators - Section B '!$A$1:$A$98,0))&lt;&gt;0,INDEX('Impact Indicators - Section B '!G$1:G$98,MATCH($A346,'Impact Indicators - Section B '!$A$1:$A$98,0)),""),"")</f>
        <v xml:space="preserve">
</v>
      </c>
      <c r="D355" s="63">
        <f ca="1">IFERROR(IF(YEAR(INDEX('Overview - Section A'!$A$47:$A$54,MATCH('Print - Summary'!$H$10,'Overview - Section A'!$B$47:$B$54,0)))&lt;=YEAR('Overview - Section A'!$E$8),YEAR(INDEX('Overview - Section A'!$A$47:$A$54,MATCH('Print - Summary'!$H$10,'Overview - Section A'!$B$47:$B$54,0))),""),"")</f>
        <v>2024</v>
      </c>
      <c r="E355" s="63">
        <f ca="1">IFERROR(IF(D355+1&lt;=YEAR('Overview - Section A'!$E$8),D355+1,""),"")</f>
        <v>2025</v>
      </c>
      <c r="F355" s="63">
        <f ca="1">IFERROR(IF(E355+1&lt;=YEAR('Overview - Section A'!$E$8),E355+1,""),"")</f>
        <v>2026</v>
      </c>
      <c r="G355" s="63" t="str">
        <f ca="1">IFERROR(IF(F355+1&lt;=YEAR('Overview - Section A'!$E$8),F355+1,""),"")</f>
        <v/>
      </c>
    </row>
    <row r="356" spans="1:7" s="81" customFormat="1" ht="18.75" customHeight="1" x14ac:dyDescent="0.25">
      <c r="A356" s="643"/>
      <c r="B356" s="78" t="s">
        <v>4386</v>
      </c>
      <c r="C356" s="80" t="str">
        <f>IFERROR(IF(INDEX('Impact Indicators - Section B '!D$1:D$98,MATCH($A346,'Impact Indicators - Section B '!$A$1:$A$98,0))&lt;&gt;"",FIXED(INDEX('Impact Indicators - Section B '!D$1:D$98,MATCH($A346,'Impact Indicators - Section B '!$A$1:$A$98,0)),4),""),"")</f>
        <v/>
      </c>
      <c r="D356" s="80" t="str">
        <f>IFERROR(IF(INDEX('Impact Indicators - Section B '!K$1:K$98,MATCH($A346,'Impact Indicators - Section B '!$A$1:$A$98,0))&lt;&gt;"",FIXED(INDEX('Impact Indicators - Section B '!K$1:K$98,MATCH($A346,'Impact Indicators - Section B '!$A$1:$A$98,0)),4),""),"")</f>
        <v/>
      </c>
      <c r="E356" s="80" t="str">
        <f>IFERROR(IF(INDEX('Impact Indicators - Section B '!O$1:O$98,MATCH($A346,'Impact Indicators - Section B '!$A$1:$A$98,0))&lt;&gt;"",FIXED(INDEX('Impact Indicators - Section B '!O$1:O$98,MATCH($A346,'Impact Indicators - Section B '!$A$1:$A$98,0)),4),""),"")</f>
        <v/>
      </c>
      <c r="F356" s="80" t="str">
        <f>IFERROR(IF(INDEX('Impact Indicators - Section B '!S$1:S$98,MATCH($A346,'Impact Indicators - Section B '!$A$1:$A$98,0))&lt;&gt;"",FIXED(INDEX('Impact Indicators - Section B '!S$1:S$98,MATCH($A346,'Impact Indicators - Section B '!$A$1:$A$98,0)),4),""),"")</f>
        <v/>
      </c>
      <c r="G356" s="80" t="str">
        <f>IFERROR(IF(INDEX('Impact Indicators - Section B '!W$1:W$98,MATCH($A346,'Impact Indicators - Section B '!$A$1:$A$98,0))&lt;&gt;"",FIXED(INDEX('Impact Indicators - Section B '!W$1:W$98,MATCH($A346,'Impact Indicators - Section B '!$A$1:$A$98,0)),4),""),"")</f>
        <v/>
      </c>
    </row>
    <row r="357" spans="1:7" s="83" customFormat="1" ht="18.75" customHeight="1" x14ac:dyDescent="0.25">
      <c r="A357" s="643"/>
      <c r="B357" s="78" t="s">
        <v>4387</v>
      </c>
      <c r="C357" s="82" t="str">
        <f>IFERROR(IF(INDEX('Impact Indicators - Section B '!D$1:D$98,MATCH($A346,'Impact Indicators - Section B '!$A$1:$A$98,0)+1)&lt;&gt;"",FIXED(INDEX('Impact Indicators - Section B '!D$1:D$98,MATCH($A346,'Impact Indicators - Section B '!$A$1:$A$98,0)+1),2),""),"")</f>
        <v/>
      </c>
      <c r="D357" s="82" t="str">
        <f>IFERROR(IF(INDEX('Impact Indicators - Section B '!K$1:K$98,MATCH($A346,'Impact Indicators - Section B '!$A$1:$A$98,0)+1)&lt;&gt;"",FIXED(INDEX('Impact Indicators - Section B '!K$1:K$98,MATCH($A346,'Impact Indicators - Section B '!$A$1:$A$98,0)+1),2),""),"")</f>
        <v/>
      </c>
      <c r="E357" s="82" t="str">
        <f>IFERROR(IF(INDEX('Impact Indicators - Section B '!O$1:O$98,MATCH($A346,'Impact Indicators - Section B '!$A$1:$A$98,0)+1)&lt;&gt;"",FIXED(INDEX('Impact Indicators - Section B '!O$1:O$98,MATCH($A346,'Impact Indicators - Section B '!$A$1:$A$98,0)+1),2),""),"")</f>
        <v/>
      </c>
      <c r="F357" s="82" t="str">
        <f>IFERROR(IF(INDEX('Impact Indicators - Section B '!S$1:S$98,MATCH($A346,'Impact Indicators - Section B '!$A$1:$A$98,0)+1)&lt;&gt;"",FIXED(INDEX('Impact Indicators - Section B '!S$1:S$98,MATCH($A346,'Impact Indicators - Section B '!$A$1:$A$98,0)+1),2),""),"")</f>
        <v/>
      </c>
      <c r="G357" s="82" t="str">
        <f>IFERROR(IF(INDEX('Impact Indicators - Section B '!W$1:W$98,MATCH($A346,'Impact Indicators - Section B '!$A$1:$A$98,0)+1)&lt;&gt;"",FIXED(INDEX('Impact Indicators - Section B '!W$1:W$98,MATCH($A346,'Impact Indicators - Section B '!$A$1:$A$98,0)+1),2),""),"")</f>
        <v/>
      </c>
    </row>
    <row r="358" spans="1:7" ht="18.75" customHeight="1" x14ac:dyDescent="0.25">
      <c r="A358" s="643"/>
      <c r="B358" s="78" t="s">
        <v>4388</v>
      </c>
      <c r="C358" s="79" t="str">
        <f ca="1">IFERROR(IF(INDEX('Impact Indicators - Section B '!E$1:E$98,MATCH($A346,'Impact Indicators - Section B '!$A$1:$A$98,0))&lt;&gt;"",FIXED(INDEX('Impact Indicators - Section B '!E$1:E$98,MATCH($A346,'Impact Indicators - Section B '!$A$1:$A$98,0))*100,2)&amp;"%",""),"")</f>
        <v/>
      </c>
      <c r="D358" s="79" t="str">
        <f ca="1">IFERROR(IF(INDEX('Impact Indicators - Section B '!L$1:L$98,MATCH($A346,'Impact Indicators - Section B '!$A$1:$A$98,0))&lt;&gt;"",FIXED(INDEX('Impact Indicators - Section B '!L$1:L$98,MATCH($A346,'Impact Indicators - Section B '!$A$1:$A$98,0))*100,2)&amp;"%",""),"")&amp;CHAR(10)&amp;IFERROR(IF(INDEX('Impact Indicators - Section B '!N$1:N$98,MATCH($A346,'Impact Indicators - Section B '!$A$1:$A$98,0))&lt;&gt;"",INDEX('Impact Indicators - Section B '!N$1:N$98,MATCH($A346,'Impact Indicators - Section B '!$A$1:$A$98,0)),""),"")&amp;CHAR(10)&amp;IFERROR(IF(INDEX('Impact Indicators - Section B '!M$1:M$98,MATCH($A346,'Impact Indicators - Section B '!$A$1:$A$98,0))&lt;&gt;"",TEXT(INDEX('Impact Indicators - Section B '!M$1:M$98,MATCH($A346,'Impact Indicators - Section B '!$A$1:$A$98,0)),Setup!$A$33),""),"")</f>
        <v xml:space="preserve">
</v>
      </c>
      <c r="E358" s="79" t="str">
        <f ca="1">IFERROR(IF(INDEX('Impact Indicators - Section B '!P$1:P$98,MATCH($A346,'Impact Indicators - Section B '!$A$1:$A$98,0))&lt;&gt;"",FIXED(INDEX('Impact Indicators - Section B '!P$1:P$98,MATCH($A346,'Impact Indicators - Section B '!$A$1:$A$98,0))*100,2)&amp;"%",""),"")&amp;CHAR(10)&amp;IFERROR(IF(INDEX('Impact Indicators - Section B '!R$1:R$98,MATCH($A346,'Impact Indicators - Section B '!$A$1:$A$98,0))&lt;&gt;"",INDEX('Impact Indicators - Section B '!R$1:R$98,MATCH($A346,'Impact Indicators - Section B '!$A$1:$A$98,0)),""),"")&amp;CHAR(10)&amp;IFERROR(IF(INDEX('Impact Indicators - Section B '!Q$1:Q$98,MATCH($A346,'Impact Indicators - Section B '!$A$1:$A$98,0))&lt;&gt;"",TEXT(INDEX('Impact Indicators - Section B '!Q$1:Q$98,MATCH($A346,'Impact Indicators - Section B '!$A$1:$A$98,0)),Setup!$A$33),""),"")</f>
        <v xml:space="preserve">
</v>
      </c>
      <c r="F358" s="79" t="str">
        <f ca="1">IFERROR(IF(INDEX('Impact Indicators - Section B '!T$1:T$98,MATCH($A346,'Impact Indicators - Section B '!$A$1:$A$98,0))&lt;&gt;"",FIXED(INDEX('Impact Indicators - Section B '!T$1:T$98,MATCH($A346,'Impact Indicators - Section B '!$A$1:$A$98,0))*100,2)&amp;"%",""),"")&amp;CHAR(10)&amp;IFERROR(IF(INDEX('Impact Indicators - Section B '!V$1:V$98,MATCH($A346,'Impact Indicators - Section B '!$A$1:$A$98,0))&lt;&gt;"",FIXED(INDEX('Impact Indicators - Section B '!V$1:V$98,MATCH($A346,'Impact Indicators - Section B '!$A$1:$A$98,0)),Setup!$A$33),""),"")&amp;CHAR(10)&amp;IFERROR(IF(INDEX('Impact Indicators - Section B '!U$1:U$98,MATCH($A346,'Impact Indicators - Section B '!$A$1:$A$98,0))&lt;&gt;"",TEXT(INDEX('Impact Indicators - Section B '!U$1:U$98,MATCH($A346,'Impact Indicators - Section B '!$A$1:$A$98,0)),Setup!$A$33),""),"")</f>
        <v xml:space="preserve">
</v>
      </c>
      <c r="G358" s="79" t="str">
        <f ca="1">IFERROR(IF(INDEX('Impact Indicators - Section B '!X$1:X$98,MATCH($A346,'Impact Indicators - Section B '!$A$1:$A$98,0))&lt;&gt;"",FIXED(INDEX('Impact Indicators - Section B '!X$1:X$98,MATCH($A346,'Impact Indicators - Section B '!$A$1:$A$98,0))*100,2)&amp;"%",""),"")&amp;CHAR(10)&amp;IFERROR(IF(INDEX('Impact Indicators - Section B '!Z$1:Z$98,MATCH($A346,'Impact Indicators - Section B '!$A$1:$A$98,0))&lt;&gt;"",INDEX('Impact Indicators - Section B '!Z$1:Z$98,MATCH($A346,'Impact Indicators - Section B '!$A$1:$A$98,0)),""),"")&amp;CHAR(10)&amp;IFERROR(IF(INDEX('Impact Indicators - Section B '!Y$1:Y$98,MATCH($A346,'Impact Indicators - Section B '!$A$1:$A$98,0))&lt;&gt;"",TEXT(INDEX('Impact Indicators - Section B '!Y$1:Y$98,MATCH($A346,'Impact Indicators - Section B '!$A$1:$A$98,0)),Setup!$A$33),""),"")</f>
        <v xml:space="preserve">
</v>
      </c>
    </row>
    <row r="359" spans="1:7" ht="18.75" customHeight="1" x14ac:dyDescent="0.25">
      <c r="A359" s="643"/>
      <c r="B359" s="623" t="s">
        <v>176</v>
      </c>
      <c r="C359" s="624"/>
      <c r="D359" s="624"/>
      <c r="E359" s="624"/>
      <c r="F359" s="624"/>
      <c r="G359" s="625"/>
    </row>
    <row r="360" spans="1:7" ht="18.75" customHeight="1" x14ac:dyDescent="0.25">
      <c r="A360" s="643"/>
      <c r="B360" s="633" t="str">
        <f>IFERROR(IF(INDEX('Impact Indicators - Section B '!AA$1:AA$98,MATCH($A346,'Impact Indicators - Section B '!$A$1:$A$98,0))&lt;&gt;0,INDEX('Impact Indicators - Section B '!AA$1:AA$98,MATCH($A346,'Impact Indicators - Section B '!$A$1:$A$98,0)),""),"")</f>
        <v/>
      </c>
      <c r="C360" s="634"/>
      <c r="D360" s="634"/>
      <c r="E360" s="634"/>
      <c r="F360" s="634"/>
      <c r="G360" s="635"/>
    </row>
    <row r="361" spans="1:7" ht="18.75" customHeight="1" x14ac:dyDescent="0.25">
      <c r="A361" s="643"/>
      <c r="B361" s="636"/>
      <c r="C361" s="637"/>
      <c r="D361" s="637"/>
      <c r="E361" s="637"/>
      <c r="F361" s="637"/>
      <c r="G361" s="638"/>
    </row>
    <row r="362" spans="1:7" ht="18.75" customHeight="1" x14ac:dyDescent="0.25">
      <c r="A362" s="643"/>
      <c r="B362" s="636"/>
      <c r="C362" s="637"/>
      <c r="D362" s="637"/>
      <c r="E362" s="637"/>
      <c r="F362" s="637"/>
      <c r="G362" s="638"/>
    </row>
    <row r="363" spans="1:7" ht="18.75" customHeight="1" x14ac:dyDescent="0.25">
      <c r="A363" s="643"/>
      <c r="B363" s="636"/>
      <c r="C363" s="637"/>
      <c r="D363" s="637"/>
      <c r="E363" s="637"/>
      <c r="F363" s="637"/>
      <c r="G363" s="638"/>
    </row>
    <row r="364" spans="1:7" ht="18.75" customHeight="1" x14ac:dyDescent="0.25">
      <c r="A364" s="643"/>
      <c r="B364" s="636"/>
      <c r="C364" s="637"/>
      <c r="D364" s="637"/>
      <c r="E364" s="637"/>
      <c r="F364" s="637"/>
      <c r="G364" s="638"/>
    </row>
    <row r="365" spans="1:7" ht="18.75" customHeight="1" x14ac:dyDescent="0.25">
      <c r="A365" s="643"/>
      <c r="B365" s="636"/>
      <c r="C365" s="637"/>
      <c r="D365" s="637"/>
      <c r="E365" s="637"/>
      <c r="F365" s="637"/>
      <c r="G365" s="638"/>
    </row>
    <row r="366" spans="1:7" ht="18.75" customHeight="1" x14ac:dyDescent="0.25">
      <c r="A366" s="643"/>
      <c r="B366" s="636"/>
      <c r="C366" s="637"/>
      <c r="D366" s="637"/>
      <c r="E366" s="637"/>
      <c r="F366" s="637"/>
      <c r="G366" s="638"/>
    </row>
    <row r="367" spans="1:7" ht="18.75" customHeight="1" x14ac:dyDescent="0.25">
      <c r="A367" s="643"/>
      <c r="B367" s="636"/>
      <c r="C367" s="637"/>
      <c r="D367" s="637"/>
      <c r="E367" s="637"/>
      <c r="F367" s="637"/>
      <c r="G367" s="638"/>
    </row>
    <row r="368" spans="1:7" ht="18.75" customHeight="1" x14ac:dyDescent="0.25">
      <c r="A368" s="643"/>
      <c r="B368" s="636"/>
      <c r="C368" s="637"/>
      <c r="D368" s="637"/>
      <c r="E368" s="637"/>
      <c r="F368" s="637"/>
      <c r="G368" s="638"/>
    </row>
    <row r="369" spans="1:7" ht="18.75" customHeight="1" x14ac:dyDescent="0.25">
      <c r="A369" s="643"/>
      <c r="B369" s="636"/>
      <c r="C369" s="637"/>
      <c r="D369" s="637"/>
      <c r="E369" s="637"/>
      <c r="F369" s="637"/>
      <c r="G369" s="638"/>
    </row>
    <row r="370" spans="1:7" ht="18.75" customHeight="1" x14ac:dyDescent="0.25">
      <c r="A370" s="639"/>
      <c r="B370" s="640"/>
      <c r="C370" s="640"/>
      <c r="D370" s="640"/>
      <c r="E370" s="640"/>
      <c r="F370" s="640"/>
      <c r="G370" s="641"/>
    </row>
    <row r="372" spans="1:7" ht="18.75" customHeight="1" x14ac:dyDescent="0.25">
      <c r="A372" s="77" t="s">
        <v>4383</v>
      </c>
      <c r="B372" s="623" t="s">
        <v>738</v>
      </c>
      <c r="C372" s="624"/>
      <c r="D372" s="625"/>
      <c r="E372" s="623" t="s">
        <v>739</v>
      </c>
      <c r="F372" s="624"/>
      <c r="G372" s="625"/>
    </row>
    <row r="373" spans="1:7" ht="18.75" customHeight="1" x14ac:dyDescent="0.25">
      <c r="A373" s="642">
        <v>14</v>
      </c>
      <c r="B373" s="633" t="str">
        <f>IFERROR(IF(INDEX('Impact Indicators - Section B '!B$1:B$98,MATCH($A373,'Impact Indicators - Section B '!$A$1:$A$98,0))&lt;&gt;0,INDEX('Impact Indicators - Section B '!B$1:B$98,MATCH($A373,'Impact Indicators - Section B '!$A$1:$A$98,0)),""),"")</f>
        <v/>
      </c>
      <c r="C373" s="634"/>
      <c r="D373" s="635"/>
      <c r="E373" s="633" t="str">
        <f>IFERROR(IF(INDEX('Impact Indicators - Section B '!C$1:C$98,MATCH($A373,'Impact Indicators - Section B '!$A$1:$A$98,0))&lt;&gt;0,INDEX('Impact Indicators - Section B '!C$1:C$98,MATCH($A373,'Impact Indicators - Section B '!$A$1:$A$98,0)),""),"")</f>
        <v/>
      </c>
      <c r="F373" s="634"/>
      <c r="G373" s="635"/>
    </row>
    <row r="374" spans="1:7" ht="18.75" customHeight="1" x14ac:dyDescent="0.25">
      <c r="A374" s="643"/>
      <c r="B374" s="636"/>
      <c r="C374" s="637"/>
      <c r="D374" s="638"/>
      <c r="E374" s="636"/>
      <c r="F374" s="637"/>
      <c r="G374" s="638"/>
    </row>
    <row r="375" spans="1:7" ht="18.75" customHeight="1" x14ac:dyDescent="0.25">
      <c r="A375" s="643"/>
      <c r="B375" s="644"/>
      <c r="C375" s="645"/>
      <c r="D375" s="646"/>
      <c r="E375" s="644"/>
      <c r="F375" s="645"/>
      <c r="G375" s="646"/>
    </row>
    <row r="376" spans="1:7" ht="18.75" customHeight="1" x14ac:dyDescent="0.25">
      <c r="A376" s="643"/>
      <c r="B376" s="623" t="s">
        <v>742</v>
      </c>
      <c r="C376" s="624"/>
      <c r="D376" s="625"/>
      <c r="E376" s="623" t="s">
        <v>127</v>
      </c>
      <c r="F376" s="624"/>
      <c r="G376" s="625"/>
    </row>
    <row r="377" spans="1:7" ht="18.75" customHeight="1" x14ac:dyDescent="0.25">
      <c r="A377" s="643"/>
      <c r="B377" s="647" t="str">
        <f>IFERROR(IF(INDEX('Impact Indicators - Section B '!H$1:H$98,MATCH($A373,'Impact Indicators - Section B '!$A$1:$A$98,0))&lt;&gt;0,INDEX('Impact Indicators - Section B '!H$1:H$98,MATCH($A373,'Impact Indicators - Section B '!$A$1:$A$98,0)),""),"")</f>
        <v/>
      </c>
      <c r="C377" s="648"/>
      <c r="D377" s="649"/>
      <c r="E377" s="647" t="str">
        <f>IFERROR(IF(INDEX('Impact Indicators - Section B '!J$1:J$98,MATCH($A373,'Impact Indicators - Section B '!$A$1:$A$98,0))&lt;&gt;0,INDEX('Impact Indicators - Section B '!J$1:J$98,MATCH($A373,'Impact Indicators - Section B '!$A$1:$A$98,0)),""),"")</f>
        <v/>
      </c>
      <c r="F377" s="648"/>
      <c r="G377" s="649"/>
    </row>
    <row r="378" spans="1:7" ht="18.75" customHeight="1" x14ac:dyDescent="0.25">
      <c r="A378" s="643"/>
      <c r="B378" s="623" t="s">
        <v>199</v>
      </c>
      <c r="C378" s="624"/>
      <c r="D378" s="625"/>
      <c r="E378" s="623" t="s">
        <v>120</v>
      </c>
      <c r="F378" s="624"/>
      <c r="G378" s="625"/>
    </row>
    <row r="379" spans="1:7" ht="18.75" customHeight="1" x14ac:dyDescent="0.25">
      <c r="A379" s="643"/>
      <c r="B379" s="633" t="str">
        <f>IFERROR(IF(INDEX('Impact Indicators - Section B '!G$1:G$98,MATCH($A373,'Impact Indicators - Section B '!$A$1:$A$98,0))&lt;&gt;0,INDEX('Impact Indicators - Section B '!G$1:G$98,MATCH($A373,'Impact Indicators - Section B '!$A$1:$A$98,0)),""),"")</f>
        <v/>
      </c>
      <c r="C379" s="634"/>
      <c r="D379" s="635"/>
      <c r="E379" s="633" t="str">
        <f>IFERROR(IF(AND('Overview - Section A'!AS$1="Grant Making",OR(B373&lt;&gt;"",E373&lt;&gt;"")),Setup!I366,IF(INDEX('Impact Indicators - Section B '!I$1:I$98,MATCH($A373,'Impact Indicators - Section B '!$A$1:$A$98,0))&lt;&gt;0,INDEX('Impact Indicators - Section B '!I$1:I$98,MATCH($A373,'Impact Indicators - Section B '!$A$1:$A$98,0)),"")),"")</f>
        <v/>
      </c>
      <c r="F379" s="634"/>
      <c r="G379" s="635"/>
    </row>
    <row r="380" spans="1:7" ht="18.75" customHeight="1" x14ac:dyDescent="0.25">
      <c r="A380" s="643"/>
      <c r="B380" s="644"/>
      <c r="C380" s="645"/>
      <c r="D380" s="646"/>
      <c r="E380" s="644"/>
      <c r="F380" s="645"/>
      <c r="G380" s="646"/>
    </row>
    <row r="381" spans="1:7" ht="18.75" customHeight="1" x14ac:dyDescent="0.25">
      <c r="A381" s="643"/>
      <c r="B381" s="78"/>
      <c r="C381" s="63" t="s">
        <v>4384</v>
      </c>
      <c r="D381" s="623" t="s">
        <v>4385</v>
      </c>
      <c r="E381" s="624"/>
      <c r="F381" s="624"/>
      <c r="G381" s="625"/>
    </row>
    <row r="382" spans="1:7" ht="18.75" customHeight="1" x14ac:dyDescent="0.25">
      <c r="A382" s="643"/>
      <c r="B382" s="78" t="s">
        <v>2559</v>
      </c>
      <c r="C382" s="79" t="str">
        <f>IFERROR(IF(INDEX('Impact Indicators - Section B '!F$1:F$98,MATCH($A373,'Impact Indicators - Section B '!$A$1:$A$98,0))&lt;&gt;0,INDEX('Impact Indicators - Section B '!F$1:F$98,MATCH($A373,'Impact Indicators - Section B '!$A$1:$A$98,0)),""),"")&amp;CHAR(10)&amp;IFERROR(IF(INDEX('Impact Indicators - Section B '!G$1:G$98,MATCH($A373,'Impact Indicators - Section B '!$A$1:$A$98,0))&lt;&gt;0,INDEX('Impact Indicators - Section B '!G$1:G$98,MATCH($A373,'Impact Indicators - Section B '!$A$1:$A$98,0)),""),"")</f>
        <v xml:space="preserve">
</v>
      </c>
      <c r="D382" s="63">
        <f ca="1">IFERROR(IF(YEAR(INDEX('Overview - Section A'!$A$47:$A$54,MATCH('Print - Summary'!$H$10,'Overview - Section A'!$B$47:$B$54,0)))&lt;=YEAR('Overview - Section A'!$E$8),YEAR(INDEX('Overview - Section A'!$A$47:$A$54,MATCH('Print - Summary'!$H$10,'Overview - Section A'!$B$47:$B$54,0))),""),"")</f>
        <v>2024</v>
      </c>
      <c r="E382" s="63">
        <f ca="1">IFERROR(IF(D382+1&lt;=YEAR('Overview - Section A'!$E$8),D382+1,""),"")</f>
        <v>2025</v>
      </c>
      <c r="F382" s="63">
        <f ca="1">IFERROR(IF(E382+1&lt;=YEAR('Overview - Section A'!$E$8),E382+1,""),"")</f>
        <v>2026</v>
      </c>
      <c r="G382" s="63" t="str">
        <f ca="1">IFERROR(IF(F382+1&lt;=YEAR('Overview - Section A'!$E$8),F382+1,""),"")</f>
        <v/>
      </c>
    </row>
    <row r="383" spans="1:7" s="81" customFormat="1" ht="18.75" customHeight="1" x14ac:dyDescent="0.25">
      <c r="A383" s="643"/>
      <c r="B383" s="78" t="s">
        <v>4386</v>
      </c>
      <c r="C383" s="80" t="str">
        <f>IFERROR(IF(INDEX('Impact Indicators - Section B '!D$1:D$98,MATCH($A373,'Impact Indicators - Section B '!$A$1:$A$98,0))&lt;&gt;"",FIXED(INDEX('Impact Indicators - Section B '!D$1:D$98,MATCH($A373,'Impact Indicators - Section B '!$A$1:$A$98,0)),4),""),"")</f>
        <v/>
      </c>
      <c r="D383" s="80" t="str">
        <f>IFERROR(IF(INDEX('Impact Indicators - Section B '!K$1:K$98,MATCH($A373,'Impact Indicators - Section B '!$A$1:$A$98,0))&lt;&gt;"",FIXED(INDEX('Impact Indicators - Section B '!K$1:K$98,MATCH($A373,'Impact Indicators - Section B '!$A$1:$A$98,0)),4),""),"")</f>
        <v/>
      </c>
      <c r="E383" s="80" t="str">
        <f>IFERROR(IF(INDEX('Impact Indicators - Section B '!O$1:O$98,MATCH($A373,'Impact Indicators - Section B '!$A$1:$A$98,0))&lt;&gt;"",FIXED(INDEX('Impact Indicators - Section B '!O$1:O$98,MATCH($A373,'Impact Indicators - Section B '!$A$1:$A$98,0)),4),""),"")</f>
        <v/>
      </c>
      <c r="F383" s="80" t="str">
        <f>IFERROR(IF(INDEX('Impact Indicators - Section B '!S$1:S$98,MATCH($A373,'Impact Indicators - Section B '!$A$1:$A$98,0))&lt;&gt;"",FIXED(INDEX('Impact Indicators - Section B '!S$1:S$98,MATCH($A373,'Impact Indicators - Section B '!$A$1:$A$98,0)),4),""),"")</f>
        <v/>
      </c>
      <c r="G383" s="80" t="str">
        <f>IFERROR(IF(INDEX('Impact Indicators - Section B '!W$1:W$98,MATCH($A373,'Impact Indicators - Section B '!$A$1:$A$98,0))&lt;&gt;"",FIXED(INDEX('Impact Indicators - Section B '!W$1:W$98,MATCH($A373,'Impact Indicators - Section B '!$A$1:$A$98,0)),4),""),"")</f>
        <v/>
      </c>
    </row>
    <row r="384" spans="1:7" s="83" customFormat="1" ht="18.75" customHeight="1" x14ac:dyDescent="0.25">
      <c r="A384" s="643"/>
      <c r="B384" s="78" t="s">
        <v>4387</v>
      </c>
      <c r="C384" s="82" t="str">
        <f>IFERROR(IF(INDEX('Impact Indicators - Section B '!D$1:D$98,MATCH($A373,'Impact Indicators - Section B '!$A$1:$A$98,0)+1)&lt;&gt;"",FIXED(INDEX('Impact Indicators - Section B '!D$1:D$98,MATCH($A373,'Impact Indicators - Section B '!$A$1:$A$98,0)+1),2),""),"")</f>
        <v/>
      </c>
      <c r="D384" s="82" t="str">
        <f>IFERROR(IF(INDEX('Impact Indicators - Section B '!K$1:K$98,MATCH($A373,'Impact Indicators - Section B '!$A$1:$A$98,0)+1)&lt;&gt;"",FIXED(INDEX('Impact Indicators - Section B '!K$1:K$98,MATCH($A373,'Impact Indicators - Section B '!$A$1:$A$98,0)+1),2),""),"")</f>
        <v/>
      </c>
      <c r="E384" s="82" t="str">
        <f>IFERROR(IF(INDEX('Impact Indicators - Section B '!O$1:O$98,MATCH($A373,'Impact Indicators - Section B '!$A$1:$A$98,0)+1)&lt;&gt;"",FIXED(INDEX('Impact Indicators - Section B '!O$1:O$98,MATCH($A373,'Impact Indicators - Section B '!$A$1:$A$98,0)+1),2),""),"")</f>
        <v/>
      </c>
      <c r="F384" s="82" t="str">
        <f>IFERROR(IF(INDEX('Impact Indicators - Section B '!S$1:S$98,MATCH($A373,'Impact Indicators - Section B '!$A$1:$A$98,0)+1)&lt;&gt;"",FIXED(INDEX('Impact Indicators - Section B '!S$1:S$98,MATCH($A373,'Impact Indicators - Section B '!$A$1:$A$98,0)+1),2),""),"")</f>
        <v/>
      </c>
      <c r="G384" s="82" t="str">
        <f>IFERROR(IF(INDEX('Impact Indicators - Section B '!W$1:W$98,MATCH($A373,'Impact Indicators - Section B '!$A$1:$A$98,0)+1)&lt;&gt;"",FIXED(INDEX('Impact Indicators - Section B '!W$1:W$98,MATCH($A373,'Impact Indicators - Section B '!$A$1:$A$98,0)+1),2),""),"")</f>
        <v/>
      </c>
    </row>
    <row r="385" spans="1:7" ht="18.75" customHeight="1" x14ac:dyDescent="0.25">
      <c r="A385" s="643"/>
      <c r="B385" s="78" t="s">
        <v>4388</v>
      </c>
      <c r="C385" s="79" t="str">
        <f ca="1">IFERROR(IF(INDEX('Impact Indicators - Section B '!E$1:E$98,MATCH($A373,'Impact Indicators - Section B '!$A$1:$A$98,0))&lt;&gt;"",FIXED(INDEX('Impact Indicators - Section B '!E$1:E$98,MATCH($A373,'Impact Indicators - Section B '!$A$1:$A$98,0))*100,2)&amp;"%",""),"")</f>
        <v/>
      </c>
      <c r="D385" s="79" t="str">
        <f ca="1">IFERROR(IF(INDEX('Impact Indicators - Section B '!L$1:L$98,MATCH($A373,'Impact Indicators - Section B '!$A$1:$A$98,0))&lt;&gt;"",FIXED(INDEX('Impact Indicators - Section B '!L$1:L$98,MATCH($A373,'Impact Indicators - Section B '!$A$1:$A$98,0))*100,2)&amp;"%",""),"")&amp;CHAR(10)&amp;IFERROR(IF(INDEX('Impact Indicators - Section B '!N$1:N$98,MATCH($A373,'Impact Indicators - Section B '!$A$1:$A$98,0))&lt;&gt;"",INDEX('Impact Indicators - Section B '!N$1:N$98,MATCH($A373,'Impact Indicators - Section B '!$A$1:$A$98,0)),""),"")&amp;CHAR(10)&amp;IFERROR(IF(INDEX('Impact Indicators - Section B '!M$1:M$98,MATCH($A373,'Impact Indicators - Section B '!$A$1:$A$98,0))&lt;&gt;"",TEXT(INDEX('Impact Indicators - Section B '!M$1:M$98,MATCH($A373,'Impact Indicators - Section B '!$A$1:$A$98,0)),Setup!$A$33),""),"")</f>
        <v xml:space="preserve">
</v>
      </c>
      <c r="E385" s="79" t="str">
        <f ca="1">IFERROR(IF(INDEX('Impact Indicators - Section B '!P$1:P$98,MATCH($A373,'Impact Indicators - Section B '!$A$1:$A$98,0))&lt;&gt;"",FIXED(INDEX('Impact Indicators - Section B '!P$1:P$98,MATCH($A373,'Impact Indicators - Section B '!$A$1:$A$98,0))*100,2)&amp;"%",""),"")&amp;CHAR(10)&amp;IFERROR(IF(INDEX('Impact Indicators - Section B '!R$1:R$98,MATCH($A373,'Impact Indicators - Section B '!$A$1:$A$98,0))&lt;&gt;"",INDEX('Impact Indicators - Section B '!R$1:R$98,MATCH($A373,'Impact Indicators - Section B '!$A$1:$A$98,0)),""),"")&amp;CHAR(10)&amp;IFERROR(IF(INDEX('Impact Indicators - Section B '!Q$1:Q$98,MATCH($A373,'Impact Indicators - Section B '!$A$1:$A$98,0))&lt;&gt;"",TEXT(INDEX('Impact Indicators - Section B '!Q$1:Q$98,MATCH($A373,'Impact Indicators - Section B '!$A$1:$A$98,0)),Setup!$A$33),""),"")</f>
        <v xml:space="preserve">
</v>
      </c>
      <c r="F385" s="79" t="str">
        <f ca="1">IFERROR(IF(INDEX('Impact Indicators - Section B '!T$1:T$98,MATCH($A373,'Impact Indicators - Section B '!$A$1:$A$98,0))&lt;&gt;"",FIXED(INDEX('Impact Indicators - Section B '!T$1:T$98,MATCH($A373,'Impact Indicators - Section B '!$A$1:$A$98,0))*100,2)&amp;"%",""),"")&amp;CHAR(10)&amp;IFERROR(IF(INDEX('Impact Indicators - Section B '!V$1:V$98,MATCH($A373,'Impact Indicators - Section B '!$A$1:$A$98,0))&lt;&gt;"",FIXED(INDEX('Impact Indicators - Section B '!V$1:V$98,MATCH($A373,'Impact Indicators - Section B '!$A$1:$A$98,0)),Setup!$A$33),""),"")&amp;CHAR(10)&amp;IFERROR(IF(INDEX('Impact Indicators - Section B '!U$1:U$98,MATCH($A373,'Impact Indicators - Section B '!$A$1:$A$98,0))&lt;&gt;"",TEXT(INDEX('Impact Indicators - Section B '!U$1:U$98,MATCH($A373,'Impact Indicators - Section B '!$A$1:$A$98,0)),Setup!$A$33),""),"")</f>
        <v xml:space="preserve">
</v>
      </c>
      <c r="G385" s="79" t="str">
        <f ca="1">IFERROR(IF(INDEX('Impact Indicators - Section B '!X$1:X$98,MATCH($A373,'Impact Indicators - Section B '!$A$1:$A$98,0))&lt;&gt;"",FIXED(INDEX('Impact Indicators - Section B '!X$1:X$98,MATCH($A373,'Impact Indicators - Section B '!$A$1:$A$98,0))*100,2)&amp;"%",""),"")&amp;CHAR(10)&amp;IFERROR(IF(INDEX('Impact Indicators - Section B '!Z$1:Z$98,MATCH($A373,'Impact Indicators - Section B '!$A$1:$A$98,0))&lt;&gt;"",INDEX('Impact Indicators - Section B '!Z$1:Z$98,MATCH($A373,'Impact Indicators - Section B '!$A$1:$A$98,0)),""),"")&amp;CHAR(10)&amp;IFERROR(IF(INDEX('Impact Indicators - Section B '!Y$1:Y$98,MATCH($A373,'Impact Indicators - Section B '!$A$1:$A$98,0))&lt;&gt;"",TEXT(INDEX('Impact Indicators - Section B '!Y$1:Y$98,MATCH($A373,'Impact Indicators - Section B '!$A$1:$A$98,0)),Setup!$A$33),""),"")</f>
        <v xml:space="preserve">
</v>
      </c>
    </row>
    <row r="386" spans="1:7" ht="18.75" customHeight="1" x14ac:dyDescent="0.25">
      <c r="A386" s="643"/>
      <c r="B386" s="623" t="s">
        <v>176</v>
      </c>
      <c r="C386" s="624"/>
      <c r="D386" s="624"/>
      <c r="E386" s="624"/>
      <c r="F386" s="624"/>
      <c r="G386" s="625"/>
    </row>
    <row r="387" spans="1:7" ht="18.75" customHeight="1" x14ac:dyDescent="0.25">
      <c r="A387" s="643"/>
      <c r="B387" s="633" t="str">
        <f>IFERROR(IF(INDEX('Impact Indicators - Section B '!AA$1:AA$98,MATCH($A373,'Impact Indicators - Section B '!$A$1:$A$98,0))&lt;&gt;0,INDEX('Impact Indicators - Section B '!AA$1:AA$98,MATCH($A373,'Impact Indicators - Section B '!$A$1:$A$98,0)),""),"")</f>
        <v/>
      </c>
      <c r="C387" s="634"/>
      <c r="D387" s="634"/>
      <c r="E387" s="634"/>
      <c r="F387" s="634"/>
      <c r="G387" s="635"/>
    </row>
    <row r="388" spans="1:7" ht="18.75" customHeight="1" x14ac:dyDescent="0.25">
      <c r="A388" s="643"/>
      <c r="B388" s="636"/>
      <c r="C388" s="637"/>
      <c r="D388" s="637"/>
      <c r="E388" s="637"/>
      <c r="F388" s="637"/>
      <c r="G388" s="638"/>
    </row>
    <row r="389" spans="1:7" ht="18.75" customHeight="1" x14ac:dyDescent="0.25">
      <c r="A389" s="643"/>
      <c r="B389" s="636"/>
      <c r="C389" s="637"/>
      <c r="D389" s="637"/>
      <c r="E389" s="637"/>
      <c r="F389" s="637"/>
      <c r="G389" s="638"/>
    </row>
    <row r="390" spans="1:7" ht="18.75" customHeight="1" x14ac:dyDescent="0.25">
      <c r="A390" s="643"/>
      <c r="B390" s="636"/>
      <c r="C390" s="637"/>
      <c r="D390" s="637"/>
      <c r="E390" s="637"/>
      <c r="F390" s="637"/>
      <c r="G390" s="638"/>
    </row>
    <row r="391" spans="1:7" ht="18.75" customHeight="1" x14ac:dyDescent="0.25">
      <c r="A391" s="643"/>
      <c r="B391" s="636"/>
      <c r="C391" s="637"/>
      <c r="D391" s="637"/>
      <c r="E391" s="637"/>
      <c r="F391" s="637"/>
      <c r="G391" s="638"/>
    </row>
    <row r="392" spans="1:7" ht="18.75" customHeight="1" x14ac:dyDescent="0.25">
      <c r="A392" s="643"/>
      <c r="B392" s="636"/>
      <c r="C392" s="637"/>
      <c r="D392" s="637"/>
      <c r="E392" s="637"/>
      <c r="F392" s="637"/>
      <c r="G392" s="638"/>
    </row>
    <row r="393" spans="1:7" ht="18.75" customHeight="1" x14ac:dyDescent="0.25">
      <c r="A393" s="643"/>
      <c r="B393" s="636"/>
      <c r="C393" s="637"/>
      <c r="D393" s="637"/>
      <c r="E393" s="637"/>
      <c r="F393" s="637"/>
      <c r="G393" s="638"/>
    </row>
    <row r="394" spans="1:7" ht="18.75" customHeight="1" x14ac:dyDescent="0.25">
      <c r="A394" s="643"/>
      <c r="B394" s="636"/>
      <c r="C394" s="637"/>
      <c r="D394" s="637"/>
      <c r="E394" s="637"/>
      <c r="F394" s="637"/>
      <c r="G394" s="638"/>
    </row>
    <row r="395" spans="1:7" ht="18.75" customHeight="1" x14ac:dyDescent="0.25">
      <c r="A395" s="643"/>
      <c r="B395" s="636"/>
      <c r="C395" s="637"/>
      <c r="D395" s="637"/>
      <c r="E395" s="637"/>
      <c r="F395" s="637"/>
      <c r="G395" s="638"/>
    </row>
    <row r="396" spans="1:7" ht="18.75" customHeight="1" x14ac:dyDescent="0.25">
      <c r="A396" s="643"/>
      <c r="B396" s="636"/>
      <c r="C396" s="637"/>
      <c r="D396" s="637"/>
      <c r="E396" s="637"/>
      <c r="F396" s="637"/>
      <c r="G396" s="638"/>
    </row>
    <row r="397" spans="1:7" ht="18.75" customHeight="1" x14ac:dyDescent="0.25">
      <c r="A397" s="639"/>
      <c r="B397" s="640"/>
      <c r="C397" s="640"/>
      <c r="D397" s="640"/>
      <c r="E397" s="640"/>
      <c r="F397" s="640"/>
      <c r="G397" s="641"/>
    </row>
    <row r="399" spans="1:7" ht="18.75" customHeight="1" x14ac:dyDescent="0.25">
      <c r="A399" s="77" t="s">
        <v>4383</v>
      </c>
      <c r="B399" s="623" t="s">
        <v>738</v>
      </c>
      <c r="C399" s="624"/>
      <c r="D399" s="625"/>
      <c r="E399" s="623" t="s">
        <v>739</v>
      </c>
      <c r="F399" s="624"/>
      <c r="G399" s="625"/>
    </row>
    <row r="400" spans="1:7" ht="18.75" customHeight="1" x14ac:dyDescent="0.25">
      <c r="A400" s="642">
        <v>15</v>
      </c>
      <c r="B400" s="633" t="str">
        <f>IFERROR(IF(INDEX('Impact Indicators - Section B '!B$1:B$98,MATCH($A400,'Impact Indicators - Section B '!$A$1:$A$98,0))&lt;&gt;0,INDEX('Impact Indicators - Section B '!B$1:B$98,MATCH($A400,'Impact Indicators - Section B '!$A$1:$A$98,0)),""),"")</f>
        <v/>
      </c>
      <c r="C400" s="634"/>
      <c r="D400" s="635"/>
      <c r="E400" s="633" t="str">
        <f>IFERROR(IF(INDEX('Impact Indicators - Section B '!C$1:C$98,MATCH($A400,'Impact Indicators - Section B '!$A$1:$A$98,0))&lt;&gt;0,INDEX('Impact Indicators - Section B '!C$1:C$98,MATCH($A400,'Impact Indicators - Section B '!$A$1:$A$98,0)),""),"")</f>
        <v/>
      </c>
      <c r="F400" s="634"/>
      <c r="G400" s="635"/>
    </row>
    <row r="401" spans="1:7" ht="18.75" customHeight="1" x14ac:dyDescent="0.25">
      <c r="A401" s="643"/>
      <c r="B401" s="636"/>
      <c r="C401" s="637"/>
      <c r="D401" s="638"/>
      <c r="E401" s="636"/>
      <c r="F401" s="637"/>
      <c r="G401" s="638"/>
    </row>
    <row r="402" spans="1:7" ht="18.75" customHeight="1" x14ac:dyDescent="0.25">
      <c r="A402" s="643"/>
      <c r="B402" s="644"/>
      <c r="C402" s="645"/>
      <c r="D402" s="646"/>
      <c r="E402" s="644"/>
      <c r="F402" s="645"/>
      <c r="G402" s="646"/>
    </row>
    <row r="403" spans="1:7" ht="18.75" customHeight="1" x14ac:dyDescent="0.25">
      <c r="A403" s="643"/>
      <c r="B403" s="623" t="s">
        <v>742</v>
      </c>
      <c r="C403" s="624"/>
      <c r="D403" s="625"/>
      <c r="E403" s="623" t="s">
        <v>127</v>
      </c>
      <c r="F403" s="624"/>
      <c r="G403" s="625"/>
    </row>
    <row r="404" spans="1:7" ht="18.75" customHeight="1" x14ac:dyDescent="0.25">
      <c r="A404" s="643"/>
      <c r="B404" s="647" t="str">
        <f>IFERROR(IF(INDEX('Impact Indicators - Section B '!H$1:H$98,MATCH($A400,'Impact Indicators - Section B '!$A$1:$A$98,0))&lt;&gt;0,INDEX('Impact Indicators - Section B '!H$1:H$98,MATCH($A400,'Impact Indicators - Section B '!$A$1:$A$98,0)),""),"")</f>
        <v/>
      </c>
      <c r="C404" s="648"/>
      <c r="D404" s="649"/>
      <c r="E404" s="647" t="str">
        <f>IFERROR(IF(INDEX('Impact Indicators - Section B '!J$1:J$98,MATCH($A400,'Impact Indicators - Section B '!$A$1:$A$98,0))&lt;&gt;0,INDEX('Impact Indicators - Section B '!J$1:J$98,MATCH($A400,'Impact Indicators - Section B '!$A$1:$A$98,0)),""),"")</f>
        <v/>
      </c>
      <c r="F404" s="648"/>
      <c r="G404" s="649"/>
    </row>
    <row r="405" spans="1:7" ht="18.75" customHeight="1" x14ac:dyDescent="0.25">
      <c r="A405" s="643"/>
      <c r="B405" s="623" t="s">
        <v>199</v>
      </c>
      <c r="C405" s="624"/>
      <c r="D405" s="625"/>
      <c r="E405" s="623" t="s">
        <v>120</v>
      </c>
      <c r="F405" s="624"/>
      <c r="G405" s="625"/>
    </row>
    <row r="406" spans="1:7" ht="18.75" customHeight="1" x14ac:dyDescent="0.25">
      <c r="A406" s="643"/>
      <c r="B406" s="633" t="str">
        <f>IFERROR(IF(INDEX('Impact Indicators - Section B '!G$1:G$98,MATCH($A400,'Impact Indicators - Section B '!$A$1:$A$98,0))&lt;&gt;0,INDEX('Impact Indicators - Section B '!G$1:G$98,MATCH($A400,'Impact Indicators - Section B '!$A$1:$A$98,0)),""),"")</f>
        <v/>
      </c>
      <c r="C406" s="634"/>
      <c r="D406" s="635"/>
      <c r="E406" s="633" t="str">
        <f>IFERROR(IF(AND('Overview - Section A'!AS$1="Grant Making",OR(B400&lt;&gt;"",E400&lt;&gt;"")),Setup!I393,IF(INDEX('Impact Indicators - Section B '!I$1:I$98,MATCH($A400,'Impact Indicators - Section B '!$A$1:$A$98,0))&lt;&gt;0,INDEX('Impact Indicators - Section B '!I$1:I$98,MATCH($A400,'Impact Indicators - Section B '!$A$1:$A$98,0)),"")),"")</f>
        <v/>
      </c>
      <c r="F406" s="634"/>
      <c r="G406" s="635"/>
    </row>
    <row r="407" spans="1:7" ht="18.75" customHeight="1" x14ac:dyDescent="0.25">
      <c r="A407" s="643"/>
      <c r="B407" s="644"/>
      <c r="C407" s="645"/>
      <c r="D407" s="646"/>
      <c r="E407" s="644"/>
      <c r="F407" s="645"/>
      <c r="G407" s="646"/>
    </row>
    <row r="408" spans="1:7" ht="18.75" customHeight="1" x14ac:dyDescent="0.25">
      <c r="A408" s="643"/>
      <c r="B408" s="78"/>
      <c r="C408" s="63" t="s">
        <v>4384</v>
      </c>
      <c r="D408" s="623" t="s">
        <v>4385</v>
      </c>
      <c r="E408" s="624"/>
      <c r="F408" s="624"/>
      <c r="G408" s="625"/>
    </row>
    <row r="409" spans="1:7" ht="18.75" customHeight="1" x14ac:dyDescent="0.25">
      <c r="A409" s="643"/>
      <c r="B409" s="78" t="s">
        <v>2559</v>
      </c>
      <c r="C409" s="79" t="str">
        <f>IFERROR(IF(INDEX('Impact Indicators - Section B '!F$1:F$98,MATCH($A400,'Impact Indicators - Section B '!$A$1:$A$98,0))&lt;&gt;0,INDEX('Impact Indicators - Section B '!F$1:F$98,MATCH($A400,'Impact Indicators - Section B '!$A$1:$A$98,0)),""),"")&amp;CHAR(10)&amp;IFERROR(IF(INDEX('Impact Indicators - Section B '!G$1:G$98,MATCH($A400,'Impact Indicators - Section B '!$A$1:$A$98,0))&lt;&gt;0,INDEX('Impact Indicators - Section B '!G$1:G$98,MATCH($A400,'Impact Indicators - Section B '!$A$1:$A$98,0)),""),"")</f>
        <v xml:space="preserve">
</v>
      </c>
      <c r="D409" s="63">
        <f ca="1">IFERROR(IF(YEAR(INDEX('Overview - Section A'!$A$47:$A$54,MATCH('Print - Summary'!$H$10,'Overview - Section A'!$B$47:$B$54,0)))&lt;=YEAR('Overview - Section A'!$E$8),YEAR(INDEX('Overview - Section A'!$A$47:$A$54,MATCH('Print - Summary'!$H$10,'Overview - Section A'!$B$47:$B$54,0))),""),"")</f>
        <v>2024</v>
      </c>
      <c r="E409" s="63">
        <f ca="1">IFERROR(IF(D409+1&lt;=YEAR('Overview - Section A'!$E$8),D409+1,""),"")</f>
        <v>2025</v>
      </c>
      <c r="F409" s="63">
        <f ca="1">IFERROR(IF(E409+1&lt;=YEAR('Overview - Section A'!$E$8),E409+1,""),"")</f>
        <v>2026</v>
      </c>
      <c r="G409" s="63" t="str">
        <f ca="1">IFERROR(IF(F409+1&lt;=YEAR('Overview - Section A'!$E$8),F409+1,""),"")</f>
        <v/>
      </c>
    </row>
    <row r="410" spans="1:7" s="81" customFormat="1" ht="18.75" customHeight="1" x14ac:dyDescent="0.25">
      <c r="A410" s="643"/>
      <c r="B410" s="78" t="s">
        <v>4386</v>
      </c>
      <c r="C410" s="80" t="str">
        <f>IFERROR(IF(INDEX('Impact Indicators - Section B '!D$1:D$98,MATCH($A400,'Impact Indicators - Section B '!$A$1:$A$98,0))&lt;&gt;"",FIXED(INDEX('Impact Indicators - Section B '!D$1:D$98,MATCH($A400,'Impact Indicators - Section B '!$A$1:$A$98,0)),4),""),"")</f>
        <v/>
      </c>
      <c r="D410" s="80" t="str">
        <f>IFERROR(IF(INDEX('Impact Indicators - Section B '!K$1:K$98,MATCH($A400,'Impact Indicators - Section B '!$A$1:$A$98,0))&lt;&gt;"",FIXED(INDEX('Impact Indicators - Section B '!K$1:K$98,MATCH($A400,'Impact Indicators - Section B '!$A$1:$A$98,0)),4),""),"")</f>
        <v/>
      </c>
      <c r="E410" s="80" t="str">
        <f>IFERROR(IF(INDEX('Impact Indicators - Section B '!O$1:O$98,MATCH($A400,'Impact Indicators - Section B '!$A$1:$A$98,0))&lt;&gt;"",FIXED(INDEX('Impact Indicators - Section B '!O$1:O$98,MATCH($A400,'Impact Indicators - Section B '!$A$1:$A$98,0)),4),""),"")</f>
        <v/>
      </c>
      <c r="F410" s="80" t="str">
        <f>IFERROR(IF(INDEX('Impact Indicators - Section B '!S$1:S$98,MATCH($A400,'Impact Indicators - Section B '!$A$1:$A$98,0))&lt;&gt;"",FIXED(INDEX('Impact Indicators - Section B '!S$1:S$98,MATCH($A400,'Impact Indicators - Section B '!$A$1:$A$98,0)),4),""),"")</f>
        <v/>
      </c>
      <c r="G410" s="80" t="str">
        <f>IFERROR(IF(INDEX('Impact Indicators - Section B '!W$1:W$98,MATCH($A400,'Impact Indicators - Section B '!$A$1:$A$98,0))&lt;&gt;"",FIXED(INDEX('Impact Indicators - Section B '!W$1:W$98,MATCH($A400,'Impact Indicators - Section B '!$A$1:$A$98,0)),4),""),"")</f>
        <v/>
      </c>
    </row>
    <row r="411" spans="1:7" s="83" customFormat="1" ht="18.75" customHeight="1" x14ac:dyDescent="0.25">
      <c r="A411" s="643"/>
      <c r="B411" s="78" t="s">
        <v>4387</v>
      </c>
      <c r="C411" s="82" t="str">
        <f>IFERROR(IF(INDEX('Impact Indicators - Section B '!D$1:D$98,MATCH($A400,'Impact Indicators - Section B '!$A$1:$A$98,0)+1)&lt;&gt;"",FIXED(INDEX('Impact Indicators - Section B '!D$1:D$98,MATCH($A400,'Impact Indicators - Section B '!$A$1:$A$98,0)+1),2),""),"")</f>
        <v/>
      </c>
      <c r="D411" s="82" t="str">
        <f>IFERROR(IF(INDEX('Impact Indicators - Section B '!K$1:K$98,MATCH($A400,'Impact Indicators - Section B '!$A$1:$A$98,0)+1)&lt;&gt;"",FIXED(INDEX('Impact Indicators - Section B '!K$1:K$98,MATCH($A400,'Impact Indicators - Section B '!$A$1:$A$98,0)+1),2),""),"")</f>
        <v/>
      </c>
      <c r="E411" s="82" t="str">
        <f>IFERROR(IF(INDEX('Impact Indicators - Section B '!O$1:O$98,MATCH($A400,'Impact Indicators - Section B '!$A$1:$A$98,0)+1)&lt;&gt;"",FIXED(INDEX('Impact Indicators - Section B '!O$1:O$98,MATCH($A400,'Impact Indicators - Section B '!$A$1:$A$98,0)+1),2),""),"")</f>
        <v/>
      </c>
      <c r="F411" s="82" t="str">
        <f>IFERROR(IF(INDEX('Impact Indicators - Section B '!S$1:S$98,MATCH($A400,'Impact Indicators - Section B '!$A$1:$A$98,0)+1)&lt;&gt;"",FIXED(INDEX('Impact Indicators - Section B '!S$1:S$98,MATCH($A400,'Impact Indicators - Section B '!$A$1:$A$98,0)+1),2),""),"")</f>
        <v/>
      </c>
      <c r="G411" s="82" t="str">
        <f>IFERROR(IF(INDEX('Impact Indicators - Section B '!W$1:W$98,MATCH($A400,'Impact Indicators - Section B '!$A$1:$A$98,0)+1)&lt;&gt;"",FIXED(INDEX('Impact Indicators - Section B '!W$1:W$98,MATCH($A400,'Impact Indicators - Section B '!$A$1:$A$98,0)+1),2),""),"")</f>
        <v/>
      </c>
    </row>
    <row r="412" spans="1:7" ht="18.75" customHeight="1" x14ac:dyDescent="0.25">
      <c r="A412" s="643"/>
      <c r="B412" s="78" t="s">
        <v>4388</v>
      </c>
      <c r="C412" s="79" t="str">
        <f ca="1">IFERROR(IF(INDEX('Impact Indicators - Section B '!E$1:E$98,MATCH($A400,'Impact Indicators - Section B '!$A$1:$A$98,0))&lt;&gt;"",FIXED(INDEX('Impact Indicators - Section B '!E$1:E$98,MATCH($A400,'Impact Indicators - Section B '!$A$1:$A$98,0))*100,2)&amp;"%",""),"")</f>
        <v/>
      </c>
      <c r="D412" s="79" t="str">
        <f ca="1">IFERROR(IF(INDEX('Impact Indicators - Section B '!L$1:L$98,MATCH($A400,'Impact Indicators - Section B '!$A$1:$A$98,0))&lt;&gt;"",FIXED(INDEX('Impact Indicators - Section B '!L$1:L$98,MATCH($A400,'Impact Indicators - Section B '!$A$1:$A$98,0))*100,2)&amp;"%",""),"")&amp;CHAR(10)&amp;IFERROR(IF(INDEX('Impact Indicators - Section B '!N$1:N$98,MATCH($A400,'Impact Indicators - Section B '!$A$1:$A$98,0))&lt;&gt;"",INDEX('Impact Indicators - Section B '!N$1:N$98,MATCH($A400,'Impact Indicators - Section B '!$A$1:$A$98,0)),""),"")&amp;CHAR(10)&amp;IFERROR(IF(INDEX('Impact Indicators - Section B '!M$1:M$98,MATCH($A400,'Impact Indicators - Section B '!$A$1:$A$98,0))&lt;&gt;"",TEXT(INDEX('Impact Indicators - Section B '!M$1:M$98,MATCH($A400,'Impact Indicators - Section B '!$A$1:$A$98,0)),Setup!$A$33),""),"")</f>
        <v xml:space="preserve">
</v>
      </c>
      <c r="E412" s="79" t="str">
        <f ca="1">IFERROR(IF(INDEX('Impact Indicators - Section B '!P$1:P$98,MATCH($A400,'Impact Indicators - Section B '!$A$1:$A$98,0))&lt;&gt;"",FIXED(INDEX('Impact Indicators - Section B '!P$1:P$98,MATCH($A400,'Impact Indicators - Section B '!$A$1:$A$98,0))*100,2)&amp;"%",""),"")&amp;CHAR(10)&amp;IFERROR(IF(INDEX('Impact Indicators - Section B '!R$1:R$98,MATCH($A400,'Impact Indicators - Section B '!$A$1:$A$98,0))&lt;&gt;"",INDEX('Impact Indicators - Section B '!R$1:R$98,MATCH($A400,'Impact Indicators - Section B '!$A$1:$A$98,0)),""),"")&amp;CHAR(10)&amp;IFERROR(IF(INDEX('Impact Indicators - Section B '!Q$1:Q$98,MATCH($A400,'Impact Indicators - Section B '!$A$1:$A$98,0))&lt;&gt;"",TEXT(INDEX('Impact Indicators - Section B '!Q$1:Q$98,MATCH($A400,'Impact Indicators - Section B '!$A$1:$A$98,0)),Setup!$A$33),""),"")</f>
        <v xml:space="preserve">
</v>
      </c>
      <c r="F412" s="79" t="str">
        <f ca="1">IFERROR(IF(INDEX('Impact Indicators - Section B '!T$1:T$98,MATCH($A400,'Impact Indicators - Section B '!$A$1:$A$98,0))&lt;&gt;"",FIXED(INDEX('Impact Indicators - Section B '!T$1:T$98,MATCH($A400,'Impact Indicators - Section B '!$A$1:$A$98,0))*100,2)&amp;"%",""),"")&amp;CHAR(10)&amp;IFERROR(IF(INDEX('Impact Indicators - Section B '!V$1:V$98,MATCH($A400,'Impact Indicators - Section B '!$A$1:$A$98,0))&lt;&gt;"",FIXED(INDEX('Impact Indicators - Section B '!V$1:V$98,MATCH($A400,'Impact Indicators - Section B '!$A$1:$A$98,0)),Setup!$A$33),""),"")&amp;CHAR(10)&amp;IFERROR(IF(INDEX('Impact Indicators - Section B '!U$1:U$98,MATCH($A400,'Impact Indicators - Section B '!$A$1:$A$98,0))&lt;&gt;"",TEXT(INDEX('Impact Indicators - Section B '!U$1:U$98,MATCH($A400,'Impact Indicators - Section B '!$A$1:$A$98,0)),Setup!$A$33),""),"")</f>
        <v xml:space="preserve">
</v>
      </c>
      <c r="G412" s="79" t="str">
        <f ca="1">IFERROR(IF(INDEX('Impact Indicators - Section B '!X$1:X$98,MATCH($A400,'Impact Indicators - Section B '!$A$1:$A$98,0))&lt;&gt;"",FIXED(INDEX('Impact Indicators - Section B '!X$1:X$98,MATCH($A400,'Impact Indicators - Section B '!$A$1:$A$98,0))*100,2)&amp;"%",""),"")&amp;CHAR(10)&amp;IFERROR(IF(INDEX('Impact Indicators - Section B '!Z$1:Z$98,MATCH($A400,'Impact Indicators - Section B '!$A$1:$A$98,0))&lt;&gt;"",INDEX('Impact Indicators - Section B '!Z$1:Z$98,MATCH($A400,'Impact Indicators - Section B '!$A$1:$A$98,0)),""),"")&amp;CHAR(10)&amp;IFERROR(IF(INDEX('Impact Indicators - Section B '!Y$1:Y$98,MATCH($A400,'Impact Indicators - Section B '!$A$1:$A$98,0))&lt;&gt;"",TEXT(INDEX('Impact Indicators - Section B '!Y$1:Y$98,MATCH($A400,'Impact Indicators - Section B '!$A$1:$A$98,0)),Setup!$A$33),""),"")</f>
        <v xml:space="preserve">
</v>
      </c>
    </row>
    <row r="413" spans="1:7" ht="18.75" customHeight="1" x14ac:dyDescent="0.25">
      <c r="A413" s="643"/>
      <c r="B413" s="623" t="s">
        <v>176</v>
      </c>
      <c r="C413" s="624"/>
      <c r="D413" s="624"/>
      <c r="E413" s="624"/>
      <c r="F413" s="624"/>
      <c r="G413" s="625"/>
    </row>
    <row r="414" spans="1:7" ht="18.75" customHeight="1" x14ac:dyDescent="0.25">
      <c r="A414" s="643"/>
      <c r="B414" s="633" t="str">
        <f>IFERROR(IF(INDEX('Impact Indicators - Section B '!AA$1:AA$98,MATCH($A400,'Impact Indicators - Section B '!$A$1:$A$98,0))&lt;&gt;0,INDEX('Impact Indicators - Section B '!AA$1:AA$98,MATCH($A400,'Impact Indicators - Section B '!$A$1:$A$98,0)),""),"")</f>
        <v/>
      </c>
      <c r="C414" s="634"/>
      <c r="D414" s="634"/>
      <c r="E414" s="634"/>
      <c r="F414" s="634"/>
      <c r="G414" s="635"/>
    </row>
    <row r="415" spans="1:7" ht="18.75" customHeight="1" x14ac:dyDescent="0.25">
      <c r="A415" s="643"/>
      <c r="B415" s="636"/>
      <c r="C415" s="637"/>
      <c r="D415" s="637"/>
      <c r="E415" s="637"/>
      <c r="F415" s="637"/>
      <c r="G415" s="638"/>
    </row>
    <row r="416" spans="1:7" ht="18.75" customHeight="1" x14ac:dyDescent="0.25">
      <c r="A416" s="643"/>
      <c r="B416" s="636"/>
      <c r="C416" s="637"/>
      <c r="D416" s="637"/>
      <c r="E416" s="637"/>
      <c r="F416" s="637"/>
      <c r="G416" s="638"/>
    </row>
    <row r="417" spans="1:7" ht="18.75" customHeight="1" x14ac:dyDescent="0.25">
      <c r="A417" s="643"/>
      <c r="B417" s="636"/>
      <c r="C417" s="637"/>
      <c r="D417" s="637"/>
      <c r="E417" s="637"/>
      <c r="F417" s="637"/>
      <c r="G417" s="638"/>
    </row>
    <row r="418" spans="1:7" ht="18.75" customHeight="1" x14ac:dyDescent="0.25">
      <c r="A418" s="643"/>
      <c r="B418" s="636"/>
      <c r="C418" s="637"/>
      <c r="D418" s="637"/>
      <c r="E418" s="637"/>
      <c r="F418" s="637"/>
      <c r="G418" s="638"/>
    </row>
    <row r="419" spans="1:7" ht="18.75" customHeight="1" x14ac:dyDescent="0.25">
      <c r="A419" s="643"/>
      <c r="B419" s="636"/>
      <c r="C419" s="637"/>
      <c r="D419" s="637"/>
      <c r="E419" s="637"/>
      <c r="F419" s="637"/>
      <c r="G419" s="638"/>
    </row>
    <row r="420" spans="1:7" ht="18.75" customHeight="1" x14ac:dyDescent="0.25">
      <c r="A420" s="643"/>
      <c r="B420" s="636"/>
      <c r="C420" s="637"/>
      <c r="D420" s="637"/>
      <c r="E420" s="637"/>
      <c r="F420" s="637"/>
      <c r="G420" s="638"/>
    </row>
    <row r="421" spans="1:7" ht="18.75" customHeight="1" x14ac:dyDescent="0.25">
      <c r="A421" s="643"/>
      <c r="B421" s="636"/>
      <c r="C421" s="637"/>
      <c r="D421" s="637"/>
      <c r="E421" s="637"/>
      <c r="F421" s="637"/>
      <c r="G421" s="638"/>
    </row>
    <row r="422" spans="1:7" ht="18.75" customHeight="1" x14ac:dyDescent="0.25">
      <c r="A422" s="643"/>
      <c r="B422" s="636"/>
      <c r="C422" s="637"/>
      <c r="D422" s="637"/>
      <c r="E422" s="637"/>
      <c r="F422" s="637"/>
      <c r="G422" s="638"/>
    </row>
    <row r="423" spans="1:7" ht="18.75" customHeight="1" x14ac:dyDescent="0.25">
      <c r="A423" s="643"/>
      <c r="B423" s="636"/>
      <c r="C423" s="637"/>
      <c r="D423" s="637"/>
      <c r="E423" s="637"/>
      <c r="F423" s="637"/>
      <c r="G423" s="638"/>
    </row>
    <row r="424" spans="1:7" ht="18.75" customHeight="1" x14ac:dyDescent="0.25">
      <c r="A424" s="639"/>
      <c r="B424" s="640"/>
      <c r="C424" s="640"/>
      <c r="D424" s="640"/>
      <c r="E424" s="640"/>
      <c r="F424" s="640"/>
      <c r="G424" s="641"/>
    </row>
  </sheetData>
  <sheetProtection algorithmName="SHA-512" hashValue="zDc7nthSsm+y0k52MeW/iZJNGfo+mDeRII4OhcoNinN/kQL5NR2B+k4+K1p4jk9RezxGzfLhRwD7q2vW6sRp6w==" saltValue="yIV1n1UHk3Z4lmfH2DdOhg==" spinCount="100000" sheet="1" objects="1" scenarios="1"/>
  <mergeCells count="272">
    <mergeCell ref="A1:G1"/>
    <mergeCell ref="A3:B3"/>
    <mergeCell ref="C3:D3"/>
    <mergeCell ref="B5:G5"/>
    <mergeCell ref="B6:G6"/>
    <mergeCell ref="B12:G12"/>
    <mergeCell ref="B13:G13"/>
    <mergeCell ref="B14:G14"/>
    <mergeCell ref="B7:G7"/>
    <mergeCell ref="B8:G8"/>
    <mergeCell ref="B9:G9"/>
    <mergeCell ref="B10:G10"/>
    <mergeCell ref="B11:G11"/>
    <mergeCell ref="B15:G15"/>
    <mergeCell ref="B17:G17"/>
    <mergeCell ref="A19:G19"/>
    <mergeCell ref="B21:D21"/>
    <mergeCell ref="E21:G21"/>
    <mergeCell ref="A22:A45"/>
    <mergeCell ref="B22:D24"/>
    <mergeCell ref="E22:G24"/>
    <mergeCell ref="B25:D25"/>
    <mergeCell ref="E25:G25"/>
    <mergeCell ref="B26:D26"/>
    <mergeCell ref="E26:G26"/>
    <mergeCell ref="B27:D27"/>
    <mergeCell ref="E27:G27"/>
    <mergeCell ref="B28:D29"/>
    <mergeCell ref="E28:G29"/>
    <mergeCell ref="D30:G30"/>
    <mergeCell ref="B35:G35"/>
    <mergeCell ref="B36:G45"/>
    <mergeCell ref="A46:G46"/>
    <mergeCell ref="B16:G16"/>
    <mergeCell ref="B48:D48"/>
    <mergeCell ref="E48:G48"/>
    <mergeCell ref="A49:A72"/>
    <mergeCell ref="B49:D51"/>
    <mergeCell ref="E49:G51"/>
    <mergeCell ref="B52:D52"/>
    <mergeCell ref="E52:G52"/>
    <mergeCell ref="B53:D53"/>
    <mergeCell ref="E53:G53"/>
    <mergeCell ref="B54:D54"/>
    <mergeCell ref="E54:G54"/>
    <mergeCell ref="B55:D56"/>
    <mergeCell ref="E55:G56"/>
    <mergeCell ref="D57:G57"/>
    <mergeCell ref="B62:G62"/>
    <mergeCell ref="B63:G72"/>
    <mergeCell ref="A73:G73"/>
    <mergeCell ref="B75:D75"/>
    <mergeCell ref="E75:G75"/>
    <mergeCell ref="A76:A99"/>
    <mergeCell ref="B76:D78"/>
    <mergeCell ref="E76:G78"/>
    <mergeCell ref="B79:D79"/>
    <mergeCell ref="E79:G79"/>
    <mergeCell ref="B80:D80"/>
    <mergeCell ref="E80:G80"/>
    <mergeCell ref="B81:D81"/>
    <mergeCell ref="E81:G81"/>
    <mergeCell ref="B82:D83"/>
    <mergeCell ref="E82:G83"/>
    <mergeCell ref="D84:G84"/>
    <mergeCell ref="B89:G89"/>
    <mergeCell ref="B116:G116"/>
    <mergeCell ref="B117:G126"/>
    <mergeCell ref="A127:G127"/>
    <mergeCell ref="B129:D129"/>
    <mergeCell ref="E129:G129"/>
    <mergeCell ref="B90:G99"/>
    <mergeCell ref="A100:G100"/>
    <mergeCell ref="B102:D102"/>
    <mergeCell ref="E102:G102"/>
    <mergeCell ref="A103:A126"/>
    <mergeCell ref="B103:D105"/>
    <mergeCell ref="E103:G105"/>
    <mergeCell ref="B106:D106"/>
    <mergeCell ref="E106:G106"/>
    <mergeCell ref="B107:D107"/>
    <mergeCell ref="E107:G107"/>
    <mergeCell ref="B108:D108"/>
    <mergeCell ref="E108:G108"/>
    <mergeCell ref="B109:D110"/>
    <mergeCell ref="E109:G110"/>
    <mergeCell ref="D111:G111"/>
    <mergeCell ref="A130:A153"/>
    <mergeCell ref="B130:D132"/>
    <mergeCell ref="E130:G132"/>
    <mergeCell ref="B133:D133"/>
    <mergeCell ref="E133:G133"/>
    <mergeCell ref="B134:D134"/>
    <mergeCell ref="E134:G134"/>
    <mergeCell ref="B135:D135"/>
    <mergeCell ref="E135:G135"/>
    <mergeCell ref="B136:D137"/>
    <mergeCell ref="E136:G137"/>
    <mergeCell ref="D138:G138"/>
    <mergeCell ref="B143:G143"/>
    <mergeCell ref="B144:G153"/>
    <mergeCell ref="A154:G154"/>
    <mergeCell ref="B156:D156"/>
    <mergeCell ref="E156:G156"/>
    <mergeCell ref="A157:A180"/>
    <mergeCell ref="B157:D159"/>
    <mergeCell ref="E157:G159"/>
    <mergeCell ref="B160:D160"/>
    <mergeCell ref="E160:G160"/>
    <mergeCell ref="B161:D161"/>
    <mergeCell ref="E161:G161"/>
    <mergeCell ref="B162:D162"/>
    <mergeCell ref="E162:G162"/>
    <mergeCell ref="B163:D164"/>
    <mergeCell ref="E163:G164"/>
    <mergeCell ref="D165:G165"/>
    <mergeCell ref="B170:G170"/>
    <mergeCell ref="B197:G197"/>
    <mergeCell ref="B198:G207"/>
    <mergeCell ref="A208:G208"/>
    <mergeCell ref="B210:D210"/>
    <mergeCell ref="E210:G210"/>
    <mergeCell ref="B171:G180"/>
    <mergeCell ref="A181:G181"/>
    <mergeCell ref="B183:D183"/>
    <mergeCell ref="E183:G183"/>
    <mergeCell ref="A184:A207"/>
    <mergeCell ref="B184:D186"/>
    <mergeCell ref="E184:G186"/>
    <mergeCell ref="B187:D187"/>
    <mergeCell ref="E187:G187"/>
    <mergeCell ref="B188:D188"/>
    <mergeCell ref="E188:G188"/>
    <mergeCell ref="B189:D189"/>
    <mergeCell ref="E189:G189"/>
    <mergeCell ref="B190:D191"/>
    <mergeCell ref="E190:G191"/>
    <mergeCell ref="D192:G192"/>
    <mergeCell ref="A211:A234"/>
    <mergeCell ref="B211:D213"/>
    <mergeCell ref="E211:G213"/>
    <mergeCell ref="B214:D214"/>
    <mergeCell ref="E214:G214"/>
    <mergeCell ref="B215:D215"/>
    <mergeCell ref="E215:G215"/>
    <mergeCell ref="B216:D216"/>
    <mergeCell ref="E216:G216"/>
    <mergeCell ref="B217:D218"/>
    <mergeCell ref="E217:G218"/>
    <mergeCell ref="D219:G219"/>
    <mergeCell ref="B224:G224"/>
    <mergeCell ref="B225:G234"/>
    <mergeCell ref="A235:G235"/>
    <mergeCell ref="B237:D237"/>
    <mergeCell ref="E237:G237"/>
    <mergeCell ref="A238:A261"/>
    <mergeCell ref="B238:D240"/>
    <mergeCell ref="E238:G240"/>
    <mergeCell ref="B241:D241"/>
    <mergeCell ref="E241:G241"/>
    <mergeCell ref="B242:D242"/>
    <mergeCell ref="E242:G242"/>
    <mergeCell ref="B243:D243"/>
    <mergeCell ref="E243:G243"/>
    <mergeCell ref="B244:D245"/>
    <mergeCell ref="E244:G245"/>
    <mergeCell ref="D246:G246"/>
    <mergeCell ref="B251:G251"/>
    <mergeCell ref="B278:G278"/>
    <mergeCell ref="B279:G288"/>
    <mergeCell ref="A289:G289"/>
    <mergeCell ref="B291:D291"/>
    <mergeCell ref="E291:G291"/>
    <mergeCell ref="B252:G261"/>
    <mergeCell ref="A262:G262"/>
    <mergeCell ref="B264:D264"/>
    <mergeCell ref="E264:G264"/>
    <mergeCell ref="A265:A288"/>
    <mergeCell ref="B265:D267"/>
    <mergeCell ref="E265:G267"/>
    <mergeCell ref="B268:D268"/>
    <mergeCell ref="E268:G268"/>
    <mergeCell ref="B269:D269"/>
    <mergeCell ref="E269:G269"/>
    <mergeCell ref="B270:D270"/>
    <mergeCell ref="E270:G270"/>
    <mergeCell ref="B271:D272"/>
    <mergeCell ref="E271:G272"/>
    <mergeCell ref="D273:G273"/>
    <mergeCell ref="A292:A315"/>
    <mergeCell ref="B292:D294"/>
    <mergeCell ref="E292:G294"/>
    <mergeCell ref="B295:D295"/>
    <mergeCell ref="E295:G295"/>
    <mergeCell ref="B296:D296"/>
    <mergeCell ref="E296:G296"/>
    <mergeCell ref="B297:D297"/>
    <mergeCell ref="E297:G297"/>
    <mergeCell ref="B298:D299"/>
    <mergeCell ref="E298:G299"/>
    <mergeCell ref="D300:G300"/>
    <mergeCell ref="B305:G305"/>
    <mergeCell ref="B306:G315"/>
    <mergeCell ref="A316:G316"/>
    <mergeCell ref="B318:D318"/>
    <mergeCell ref="E318:G318"/>
    <mergeCell ref="A319:A342"/>
    <mergeCell ref="B319:D321"/>
    <mergeCell ref="E319:G321"/>
    <mergeCell ref="B322:D322"/>
    <mergeCell ref="E322:G322"/>
    <mergeCell ref="B323:D323"/>
    <mergeCell ref="E323:G323"/>
    <mergeCell ref="B324:D324"/>
    <mergeCell ref="E324:G324"/>
    <mergeCell ref="B325:D326"/>
    <mergeCell ref="E325:G326"/>
    <mergeCell ref="D327:G327"/>
    <mergeCell ref="B332:G332"/>
    <mergeCell ref="B359:G359"/>
    <mergeCell ref="B360:G369"/>
    <mergeCell ref="A370:G370"/>
    <mergeCell ref="B372:D372"/>
    <mergeCell ref="E372:G372"/>
    <mergeCell ref="B333:G342"/>
    <mergeCell ref="A343:G343"/>
    <mergeCell ref="B345:D345"/>
    <mergeCell ref="E345:G345"/>
    <mergeCell ref="A346:A369"/>
    <mergeCell ref="B346:D348"/>
    <mergeCell ref="E346:G348"/>
    <mergeCell ref="B349:D349"/>
    <mergeCell ref="E349:G349"/>
    <mergeCell ref="B350:D350"/>
    <mergeCell ref="E350:G350"/>
    <mergeCell ref="B351:D351"/>
    <mergeCell ref="E351:G351"/>
    <mergeCell ref="B352:D353"/>
    <mergeCell ref="E352:G353"/>
    <mergeCell ref="D354:G354"/>
    <mergeCell ref="A373:A396"/>
    <mergeCell ref="B373:D375"/>
    <mergeCell ref="E373:G375"/>
    <mergeCell ref="B376:D376"/>
    <mergeCell ref="E376:G376"/>
    <mergeCell ref="B377:D377"/>
    <mergeCell ref="E377:G377"/>
    <mergeCell ref="B378:D378"/>
    <mergeCell ref="E378:G378"/>
    <mergeCell ref="B379:D380"/>
    <mergeCell ref="E379:G380"/>
    <mergeCell ref="D381:G381"/>
    <mergeCell ref="B386:G386"/>
    <mergeCell ref="B387:G396"/>
    <mergeCell ref="B414:G423"/>
    <mergeCell ref="A424:G424"/>
    <mergeCell ref="A397:G397"/>
    <mergeCell ref="B399:D399"/>
    <mergeCell ref="E399:G399"/>
    <mergeCell ref="A400:A423"/>
    <mergeCell ref="B400:D402"/>
    <mergeCell ref="E400:G402"/>
    <mergeCell ref="B403:D403"/>
    <mergeCell ref="E403:G403"/>
    <mergeCell ref="B404:D404"/>
    <mergeCell ref="E404:G404"/>
    <mergeCell ref="B405:D405"/>
    <mergeCell ref="E405:G405"/>
    <mergeCell ref="B406:D407"/>
    <mergeCell ref="E406:G407"/>
    <mergeCell ref="D408:G408"/>
    <mergeCell ref="B413:G413"/>
  </mergeCells>
  <hyperlinks>
    <hyperlink ref="C3" r:id="rId1" display="http://example.com/"/>
    <hyperlink ref="C3:D3" location="'Impact Indicators - Section B '!A1" display="Impact Indicators"/>
  </hyperlinks>
  <pageMargins left="0.7" right="0.7" top="0.75" bottom="0.75" header="0.3" footer="0.3"/>
  <pageSetup paperSize="9" scale="90"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G424"/>
  <sheetViews>
    <sheetView view="pageBreakPreview" zoomScale="70" zoomScaleNormal="100" zoomScaleSheetLayoutView="70" workbookViewId="0">
      <selection activeCell="E2" sqref="E2"/>
    </sheetView>
  </sheetViews>
  <sheetFormatPr defaultColWidth="9" defaultRowHeight="18.75" customHeight="1" x14ac:dyDescent="0.25"/>
  <cols>
    <col min="1" max="1" width="3.09765625" style="52" customWidth="1"/>
    <col min="2" max="7" width="21.796875" style="52" customWidth="1"/>
    <col min="8" max="16384" width="9" style="52"/>
  </cols>
  <sheetData>
    <row r="1" spans="1:7" ht="18.75" customHeight="1" x14ac:dyDescent="0.25">
      <c r="A1" s="623" t="s">
        <v>307</v>
      </c>
      <c r="B1" s="624"/>
      <c r="C1" s="624"/>
      <c r="D1" s="624"/>
      <c r="E1" s="624"/>
      <c r="F1" s="624"/>
      <c r="G1" s="624"/>
    </row>
    <row r="2" spans="1:7" ht="18.75" customHeight="1" x14ac:dyDescent="0.25">
      <c r="A2" s="65"/>
      <c r="B2" s="66"/>
      <c r="C2" s="66"/>
      <c r="D2" s="66"/>
      <c r="E2" s="66"/>
      <c r="F2" s="66"/>
      <c r="G2" s="67"/>
    </row>
    <row r="3" spans="1:7" ht="18.75" customHeight="1" x14ac:dyDescent="0.25">
      <c r="A3" s="639" t="s">
        <v>89</v>
      </c>
      <c r="B3" s="641"/>
      <c r="C3" s="659" t="s">
        <v>4389</v>
      </c>
      <c r="D3" s="627"/>
      <c r="E3" s="68"/>
      <c r="F3" s="67"/>
      <c r="G3" s="69"/>
    </row>
    <row r="4" spans="1:7" ht="18.75" customHeight="1" x14ac:dyDescent="0.25">
      <c r="A4" s="70"/>
      <c r="B4" s="71"/>
      <c r="C4" s="66"/>
      <c r="D4" s="66"/>
      <c r="E4" s="66"/>
      <c r="F4" s="66"/>
      <c r="G4" s="72"/>
    </row>
    <row r="5" spans="1:7" ht="18.75" customHeight="1" x14ac:dyDescent="0.25">
      <c r="A5" s="63" t="s">
        <v>4383</v>
      </c>
      <c r="B5" s="623" t="s">
        <v>4390</v>
      </c>
      <c r="C5" s="624"/>
      <c r="D5" s="624"/>
      <c r="E5" s="624"/>
      <c r="F5" s="624"/>
      <c r="G5" s="625"/>
    </row>
    <row r="6" spans="1:7" ht="18.75" customHeight="1" x14ac:dyDescent="0.25">
      <c r="A6" s="63">
        <v>1</v>
      </c>
      <c r="B6" s="647" t="str">
        <f>IFERROR(IF(INDEX('Overview - Section A'!$E$77:$E$91,MATCH($A6,'Overview - Section A'!$A$77:$A$91,0))&lt;&gt;0,INDEX('Overview - Section A'!$E$77:$E$91,MATCH($A6,'Overview - Section A'!$A$77:$A$91,0)),""),"")</f>
        <v/>
      </c>
      <c r="C6" s="648"/>
      <c r="D6" s="648"/>
      <c r="E6" s="648"/>
      <c r="F6" s="648"/>
      <c r="G6" s="649"/>
    </row>
    <row r="7" spans="1:7" ht="18.75" customHeight="1" x14ac:dyDescent="0.25">
      <c r="A7" s="63">
        <v>2</v>
      </c>
      <c r="B7" s="647" t="str">
        <f>IFERROR(IF(INDEX('Overview - Section A'!$E$77:$E$91,MATCH($A7,'Overview - Section A'!$A$77:$A$91,0))&lt;&gt;0,INDEX('Overview - Section A'!$E$77:$E$91,MATCH($A7,'Overview - Section A'!$A$77:$A$91,0)),""),"")</f>
        <v/>
      </c>
      <c r="C7" s="648"/>
      <c r="D7" s="648"/>
      <c r="E7" s="648"/>
      <c r="F7" s="648"/>
      <c r="G7" s="649"/>
    </row>
    <row r="8" spans="1:7" ht="18.75" customHeight="1" x14ac:dyDescent="0.25">
      <c r="A8" s="63">
        <v>3</v>
      </c>
      <c r="B8" s="647" t="str">
        <f>IFERROR(IF(INDEX('Overview - Section A'!$E$77:$E$91,MATCH($A8,'Overview - Section A'!$A$77:$A$91,0))&lt;&gt;0,INDEX('Overview - Section A'!$E$77:$E$91,MATCH($A8,'Overview - Section A'!$A$77:$A$91,0)),""),"")</f>
        <v/>
      </c>
      <c r="C8" s="648"/>
      <c r="D8" s="648"/>
      <c r="E8" s="648"/>
      <c r="F8" s="648"/>
      <c r="G8" s="649"/>
    </row>
    <row r="9" spans="1:7" ht="18.75" customHeight="1" x14ac:dyDescent="0.25">
      <c r="A9" s="63">
        <v>4</v>
      </c>
      <c r="B9" s="647" t="str">
        <f>IFERROR(IF(INDEX('Overview - Section A'!$E$77:$E$91,MATCH($A9,'Overview - Section A'!$A$77:$A$91,0))&lt;&gt;0,INDEX('Overview - Section A'!$E$77:$E$91,MATCH($A9,'Overview - Section A'!$A$77:$A$91,0)),""),"")</f>
        <v/>
      </c>
      <c r="C9" s="648"/>
      <c r="D9" s="648"/>
      <c r="E9" s="648"/>
      <c r="F9" s="648"/>
      <c r="G9" s="649"/>
    </row>
    <row r="10" spans="1:7" ht="18.75" customHeight="1" x14ac:dyDescent="0.25">
      <c r="A10" s="63">
        <v>5</v>
      </c>
      <c r="B10" s="647" t="str">
        <f>IFERROR(IF(INDEX('Overview - Section A'!$E$77:$E$91,MATCH($A10,'Overview - Section A'!$A$77:$A$91,0))&lt;&gt;0,INDEX('Overview - Section A'!$E$77:$E$91,MATCH($A10,'Overview - Section A'!$A$77:$A$91,0)),""),"")</f>
        <v/>
      </c>
      <c r="C10" s="648"/>
      <c r="D10" s="648"/>
      <c r="E10" s="648"/>
      <c r="F10" s="648"/>
      <c r="G10" s="649"/>
    </row>
    <row r="11" spans="1:7" ht="18.75" customHeight="1" x14ac:dyDescent="0.25">
      <c r="A11" s="63">
        <v>6</v>
      </c>
      <c r="B11" s="647" t="str">
        <f>IFERROR(IF(INDEX('Overview - Section A'!$E$77:$E$91,MATCH($A11,'Overview - Section A'!$A$77:$A$91,0))&lt;&gt;0,INDEX('Overview - Section A'!$E$77:$E$91,MATCH($A11,'Overview - Section A'!$A$77:$A$91,0)),""),"")</f>
        <v/>
      </c>
      <c r="C11" s="648"/>
      <c r="D11" s="648"/>
      <c r="E11" s="648"/>
      <c r="F11" s="648"/>
      <c r="G11" s="649"/>
    </row>
    <row r="12" spans="1:7" ht="18.75" customHeight="1" x14ac:dyDescent="0.25">
      <c r="A12" s="63">
        <v>7</v>
      </c>
      <c r="B12" s="647" t="str">
        <f>IFERROR(IF(INDEX('Overview - Section A'!$E$77:$E$91,MATCH($A12,'Overview - Section A'!$A$77:$A$91,0))&lt;&gt;0,INDEX('Overview - Section A'!$E$77:$E$91,MATCH($A12,'Overview - Section A'!$A$77:$A$91,0)),""),"")</f>
        <v/>
      </c>
      <c r="C12" s="648"/>
      <c r="D12" s="648"/>
      <c r="E12" s="648"/>
      <c r="F12" s="648"/>
      <c r="G12" s="649"/>
    </row>
    <row r="13" spans="1:7" ht="18.75" customHeight="1" x14ac:dyDescent="0.25">
      <c r="A13" s="63">
        <v>8</v>
      </c>
      <c r="B13" s="647" t="str">
        <f>IFERROR(IF(INDEX('Overview - Section A'!$E$77:$E$91,MATCH($A13,'Overview - Section A'!$A$77:$A$91,0))&lt;&gt;0,INDEX('Overview - Section A'!$E$77:$E$91,MATCH($A13,'Overview - Section A'!$A$77:$A$91,0)),""),"")</f>
        <v/>
      </c>
      <c r="C13" s="648"/>
      <c r="D13" s="648"/>
      <c r="E13" s="648"/>
      <c r="F13" s="648"/>
      <c r="G13" s="649"/>
    </row>
    <row r="14" spans="1:7" ht="18.75" customHeight="1" x14ac:dyDescent="0.25">
      <c r="A14" s="63">
        <v>9</v>
      </c>
      <c r="B14" s="647" t="str">
        <f>IFERROR(IF(INDEX('Overview - Section A'!$E$77:$E$91,MATCH($A14,'Overview - Section A'!$A$77:$A$91,0))&lt;&gt;0,INDEX('Overview - Section A'!$E$77:$E$91,MATCH($A14,'Overview - Section A'!$A$77:$A$91,0)),""),"")</f>
        <v/>
      </c>
      <c r="C14" s="648"/>
      <c r="D14" s="648"/>
      <c r="E14" s="648"/>
      <c r="F14" s="648"/>
      <c r="G14" s="649"/>
    </row>
    <row r="15" spans="1:7" ht="18.75" customHeight="1" x14ac:dyDescent="0.25">
      <c r="A15" s="63">
        <v>10</v>
      </c>
      <c r="B15" s="647" t="str">
        <f>IFERROR(IF(INDEX('Overview - Section A'!$E$77:$E$91,MATCH($A15,'Overview - Section A'!$A$77:$A$91,0))&lt;&gt;0,INDEX('Overview - Section A'!$E$77:$E$91,MATCH($A15,'Overview - Section A'!$A$77:$A$91,0)),""),"")</f>
        <v/>
      </c>
      <c r="C15" s="648"/>
      <c r="D15" s="648"/>
      <c r="E15" s="648"/>
      <c r="F15" s="648"/>
      <c r="G15" s="649"/>
    </row>
    <row r="16" spans="1:7" ht="18.75" customHeight="1" x14ac:dyDescent="0.25">
      <c r="A16" s="63">
        <v>11</v>
      </c>
      <c r="B16" s="647" t="str">
        <f>IFERROR(IF(INDEX('Overview - Section A'!$E$77:$E$91,MATCH($A16,'Overview - Section A'!$A$77:$A$91,0))&lt;&gt;0,INDEX('Overview - Section A'!$E$77:$E$91,MATCH($A16,'Overview - Section A'!$A$77:$A$91,0)),""),"")</f>
        <v/>
      </c>
      <c r="C16" s="648"/>
      <c r="D16" s="648"/>
      <c r="E16" s="648"/>
      <c r="F16" s="648"/>
      <c r="G16" s="649"/>
    </row>
    <row r="17" spans="1:7" ht="18.75" customHeight="1" x14ac:dyDescent="0.25">
      <c r="A17" s="63">
        <v>12</v>
      </c>
      <c r="B17" s="647" t="str">
        <f>IFERROR(IF(INDEX('Overview - Section A'!$E$77:$E$91,MATCH($A17,'Overview - Section A'!$A$77:$A$91,0))&lt;&gt;0,INDEX('Overview - Section A'!$E$77:$E$91,MATCH($A17,'Overview - Section A'!$A$77:$A$91,0)),""),"")</f>
        <v/>
      </c>
      <c r="C17" s="648"/>
      <c r="D17" s="648"/>
      <c r="E17" s="648"/>
      <c r="F17" s="648"/>
      <c r="G17" s="649"/>
    </row>
    <row r="18" spans="1:7" ht="18.75" customHeight="1" x14ac:dyDescent="0.25">
      <c r="A18" s="73"/>
      <c r="B18" s="74"/>
      <c r="C18" s="74"/>
      <c r="D18" s="74"/>
      <c r="E18" s="74"/>
      <c r="F18" s="74"/>
      <c r="G18" s="75"/>
    </row>
    <row r="19" spans="1:7" ht="18.75" customHeight="1" x14ac:dyDescent="0.25">
      <c r="A19" s="623" t="s">
        <v>4389</v>
      </c>
      <c r="B19" s="624"/>
      <c r="C19" s="624"/>
      <c r="D19" s="624"/>
      <c r="E19" s="624"/>
      <c r="F19" s="624"/>
      <c r="G19" s="655"/>
    </row>
    <row r="20" spans="1:7" ht="18.75" customHeight="1" x14ac:dyDescent="0.25">
      <c r="A20" s="65"/>
      <c r="B20" s="66"/>
      <c r="C20" s="66"/>
      <c r="D20" s="66"/>
      <c r="E20" s="66"/>
      <c r="F20" s="66"/>
      <c r="G20" s="76"/>
    </row>
    <row r="21" spans="1:7" ht="18.75" customHeight="1" x14ac:dyDescent="0.25">
      <c r="A21" s="77" t="s">
        <v>4383</v>
      </c>
      <c r="B21" s="623" t="s">
        <v>738</v>
      </c>
      <c r="C21" s="624"/>
      <c r="D21" s="625"/>
      <c r="E21" s="623" t="s">
        <v>739</v>
      </c>
      <c r="F21" s="624"/>
      <c r="G21" s="625"/>
    </row>
    <row r="22" spans="1:7" ht="18.75" customHeight="1" x14ac:dyDescent="0.25">
      <c r="A22" s="642">
        <v>1</v>
      </c>
      <c r="B22" s="633" t="str">
        <f>IFERROR(IF(INDEX('Outcome Indicators - Section C '!B$1:B$100,MATCH($A22,'Outcome Indicators - Section C '!$A$1:$A$100,0))&lt;&gt;0,INDEX('Outcome Indicators - Section C '!B$1:B$100,MATCH($A22,'Outcome Indicators - Section C '!$A$1:$A$100,0)),""),"")</f>
        <v>HIV O-4a⁽ᴹ⁾ Percentage of men reporting using a condom the last time they had anal sex with a male partner</v>
      </c>
      <c r="C22" s="634"/>
      <c r="D22" s="635"/>
      <c r="E22" s="633" t="str">
        <f>IFERROR(IF(INDEX('Outcome Indicators - Section C '!C$1:C$100,MATCH($A22,'Outcome Indicators - Section C '!$A$1:$A$100,0))&lt;&gt;0,INDEX('Outcome Indicators - Section C '!C$1:C$100,MATCH($A22,'Outcome Indicators - Section C '!$A$1:$A$100,0)),""),"")</f>
        <v/>
      </c>
      <c r="F22" s="634"/>
      <c r="G22" s="635"/>
    </row>
    <row r="23" spans="1:7" ht="18.75" customHeight="1" x14ac:dyDescent="0.25">
      <c r="A23" s="643"/>
      <c r="B23" s="636"/>
      <c r="C23" s="637"/>
      <c r="D23" s="638"/>
      <c r="E23" s="636"/>
      <c r="F23" s="637"/>
      <c r="G23" s="638"/>
    </row>
    <row r="24" spans="1:7" ht="18.75" customHeight="1" x14ac:dyDescent="0.25">
      <c r="A24" s="643"/>
      <c r="B24" s="644"/>
      <c r="C24" s="645"/>
      <c r="D24" s="646"/>
      <c r="E24" s="644"/>
      <c r="F24" s="645"/>
      <c r="G24" s="646"/>
    </row>
    <row r="25" spans="1:7" ht="18.75" customHeight="1" x14ac:dyDescent="0.25">
      <c r="A25" s="643"/>
      <c r="B25" s="623" t="s">
        <v>742</v>
      </c>
      <c r="C25" s="624"/>
      <c r="D25" s="625"/>
      <c r="E25" s="623" t="s">
        <v>127</v>
      </c>
      <c r="F25" s="624"/>
      <c r="G25" s="625"/>
    </row>
    <row r="26" spans="1:7" ht="18.75" customHeight="1" x14ac:dyDescent="0.25">
      <c r="A26" s="643"/>
      <c r="B26" s="647" t="str">
        <f>IFERROR(IF(INDEX('Outcome Indicators - Section C '!H$1:H$100,MATCH($A22,'Outcome Indicators - Section C '!$A$1:$A$100,0))&lt;&gt;0,INDEX('Outcome Indicators - Section C '!H$1:H$100,MATCH($A22,'Outcome Indicators - Section C '!$A$1:$A$100,0)),""),"")</f>
        <v/>
      </c>
      <c r="C26" s="648"/>
      <c r="D26" s="649"/>
      <c r="E26" s="647" t="str">
        <f>IFERROR(IF(INDEX('Outcome Indicators - Section C '!J$9:J$38,MATCH($A22,'Outcome Indicators - Section C '!$A$9:$A$100,0))&lt;&gt;0,INDEX('Outcome Indicators - Section C '!J$9:J$38,MATCH($A22,'Outcome Indicators - Section C '!$A$9:$A$100,0)),""),"")</f>
        <v/>
      </c>
      <c r="F26" s="648"/>
      <c r="G26" s="649"/>
    </row>
    <row r="27" spans="1:7" ht="18.75" customHeight="1" x14ac:dyDescent="0.25">
      <c r="A27" s="643"/>
      <c r="B27" s="623" t="s">
        <v>199</v>
      </c>
      <c r="C27" s="624"/>
      <c r="D27" s="625"/>
      <c r="E27" s="623" t="s">
        <v>120</v>
      </c>
      <c r="F27" s="624"/>
      <c r="G27" s="625"/>
    </row>
    <row r="28" spans="1:7" ht="18.75" customHeight="1" x14ac:dyDescent="0.25">
      <c r="A28" s="643"/>
      <c r="B28" s="633" t="str">
        <f>IFERROR(IF(INDEX('Outcome Indicators - Section C '!G$1:G$100,MATCH($A22,'Outcome Indicators - Section C '!$A$1:$A$100,0))&lt;&gt;0,INDEX('Outcome Indicators - Section C '!G$1:G$100,MATCH($A22,'Outcome Indicators - Section C '!$A$1:$A$100,0)),""),"")</f>
        <v>IBBS 2021 Kyrgyz Republic</v>
      </c>
      <c r="C28" s="634"/>
      <c r="D28" s="635"/>
      <c r="E28" s="633" t="str">
        <f>IFERROR(IF(AND('Overview - Section A'!AS$1="Grant Making",OR(B22&lt;&gt;"",E22&lt;&gt;"")),Setup!I15,IF(INDEX('Outcome Indicators - Section C '!I$1:I$100,MATCH($A22,'Outcome Indicators - Section C '!$A$1:$A$100,0))&lt;&gt;0,INDEX('Outcome Indicators - Section C '!I$1:I$100,MATCH($A22,'Outcome Indicators - Section C '!$A$1:$A$100,0)),"")),"")</f>
        <v>United Nations Development Programme</v>
      </c>
      <c r="F28" s="634"/>
      <c r="G28" s="635"/>
    </row>
    <row r="29" spans="1:7" ht="18.75" customHeight="1" x14ac:dyDescent="0.25">
      <c r="A29" s="643"/>
      <c r="B29" s="644"/>
      <c r="C29" s="645"/>
      <c r="D29" s="646"/>
      <c r="E29" s="644"/>
      <c r="F29" s="645"/>
      <c r="G29" s="646"/>
    </row>
    <row r="30" spans="1:7" ht="18.75" customHeight="1" x14ac:dyDescent="0.25">
      <c r="A30" s="643"/>
      <c r="B30" s="78"/>
      <c r="C30" s="63" t="s">
        <v>4384</v>
      </c>
      <c r="D30" s="623" t="s">
        <v>4385</v>
      </c>
      <c r="E30" s="624"/>
      <c r="F30" s="624"/>
      <c r="G30" s="625"/>
    </row>
    <row r="31" spans="1:7" ht="18.75" customHeight="1" x14ac:dyDescent="0.25">
      <c r="A31" s="643"/>
      <c r="B31" s="78" t="s">
        <v>2559</v>
      </c>
      <c r="C31" s="79">
        <f>IFERROR(IF(INDEX('Outcome Indicators - Section C '!F$1:F$100,MATCH($A22,'Outcome Indicators - Section C '!$A$1:$A$100,0))&lt;&gt;0,INDEX('Outcome Indicators - Section C '!F$1:F$100,MATCH($A22,'Outcome Indicators - Section C '!$A$1:$A$100,0)),""),"")</f>
        <v>2021</v>
      </c>
      <c r="D31" s="63">
        <f ca="1">IFERROR(IF(YEAR(INDEX('Overview - Section A'!$A$47:$A$54,MATCH('Print - Summary'!$H$10,'Overview - Section A'!$B$47:$B$54,0)))&lt;=YEAR('Overview - Section A'!$E$8),YEAR(INDEX('Overview - Section A'!$A$47:$A$54,MATCH('Print - Summary'!$H$10,'Overview - Section A'!$B$47:$B$54,0))),""),"")</f>
        <v>2024</v>
      </c>
      <c r="E31" s="63">
        <f ca="1">IFERROR(IF(D31+1&lt;=YEAR('Overview - Section A'!$E$8),D31+1,""),"")</f>
        <v>2025</v>
      </c>
      <c r="F31" s="63">
        <f ca="1">IFERROR(IF(E31+1&lt;=YEAR('Overview - Section A'!$E$8),E31+1,""),"")</f>
        <v>2026</v>
      </c>
      <c r="G31" s="63" t="str">
        <f ca="1">IFERROR(IF(F31+1&lt;=YEAR('Overview - Section A'!$E$8),F31+1,""),"")</f>
        <v/>
      </c>
    </row>
    <row r="32" spans="1:7" s="85" customFormat="1" ht="18.75" customHeight="1" x14ac:dyDescent="0.25">
      <c r="A32" s="643"/>
      <c r="B32" s="78" t="s">
        <v>4386</v>
      </c>
      <c r="C32" s="84" t="str">
        <f>IFERROR(IF(INDEX('Outcome Indicators - Section C '!D$1:D$100,MATCH($A22,'Outcome Indicators - Section C '!$A$1:$A$100,0))&lt;&gt;"",FIXED(INDEX('Outcome Indicators - Section C '!D$1:D$100,MATCH($A22,'Outcome Indicators - Section C '!$A$1:$A$100,0)),4),""),"")</f>
        <v/>
      </c>
      <c r="D32" s="84" t="str">
        <f>IFERROR(IF(INDEX('Outcome Indicators - Section C '!K$1:K$100,MATCH($A22,'Outcome Indicators - Section C '!$A$1:$A$100,0))&lt;&gt;"",FIXED(INDEX('Outcome Indicators - Section C '!K$1:K$100,MATCH($A22,'Outcome Indicators - Section C '!$A$1:$A$100,0)),4),""),"")</f>
        <v/>
      </c>
      <c r="E32" s="84" t="str">
        <f>IFERROR(IF(INDEX('Outcome Indicators - Section C '!O$1:O$100,MATCH($A22,'Outcome Indicators - Section C '!$A$1:$A$100,0))&lt;&gt;"",FIXED(INDEX('Outcome Indicators - Section C '!O$1:O$100,MATCH($A22,'Outcome Indicators - Section C '!$A$1:$A$100,0)),4),""),"")</f>
        <v/>
      </c>
      <c r="F32" s="84" t="str">
        <f>IFERROR(IF(INDEX('Outcome Indicators - Section C '!S$1:S$100,MATCH($A22,'Outcome Indicators - Section C '!$A$1:$A$100,0))&lt;&gt;"",FIXED(INDEX('Outcome Indicators - Section C '!S$1:S$100,MATCH($A22,'Outcome Indicators - Section C '!$A$1:$A$100,0)),4),""),"")</f>
        <v/>
      </c>
      <c r="G32" s="84" t="str">
        <f>IFERROR(IF(INDEX('Outcome Indicators - Section C '!W$1:W$100,MATCH($A22,'Outcome Indicators - Section C '!$A$1:$A$100,0))&lt;&gt;"",FIXED(INDEX('Outcome Indicators - Section C '!W$1:W$100,MATCH($A22,'Outcome Indicators - Section C '!$A$1:$A$100,0)),4),""),"")</f>
        <v/>
      </c>
    </row>
    <row r="33" spans="1:7" s="83" customFormat="1" ht="18.75" customHeight="1" x14ac:dyDescent="0.25">
      <c r="A33" s="643"/>
      <c r="B33" s="78" t="s">
        <v>4387</v>
      </c>
      <c r="C33" s="82" t="str">
        <f>IFERROR(IF(INDEX('Outcome Indicators - Section C '!D$1:D$100,MATCH($A22,'Outcome Indicators - Section C '!$A$1:$A$100,0)+1)&lt;&gt;"",FIXED(INDEX('Outcome Indicators - Section C '!D$1:D$100,MATCH($A22,'Outcome Indicators - Section C '!$A$1:$A$100,0)+1),2),""),"")</f>
        <v/>
      </c>
      <c r="D33" s="82" t="str">
        <f>IFERROR(IF(INDEX('Outcome Indicators - Section C '!K$1:K$100,MATCH($A22,'Outcome Indicators - Section C '!$A$1:$A$100,0)+1)&lt;&gt;"",FIXED(INDEX('Outcome Indicators - Section C '!K$1:K$100,MATCH($A22,'Outcome Indicators - Section C '!$A$1:$A$100,0)+1),2),""),"")</f>
        <v/>
      </c>
      <c r="E33" s="82" t="str">
        <f>IFERROR(IF(INDEX('Outcome Indicators - Section C '!O$1:O$100,MATCH($A22,'Outcome Indicators - Section C '!$A$1:$A$100,0)+1)&lt;&gt;"",FIXED(INDEX('Outcome Indicators - Section C '!O$1:O$100,MATCH($A22,'Outcome Indicators - Section C '!$A$1:$A$100,0)+1),2),""),"")</f>
        <v/>
      </c>
      <c r="F33" s="82" t="str">
        <f>IFERROR(IF(INDEX('Outcome Indicators - Section C '!S$1:S$100,MATCH($A22,'Outcome Indicators - Section C '!$A$1:$A$100,0)+1)&lt;&gt;"",FIXED(INDEX('Outcome Indicators - Section C '!S$1:S$100,MATCH($A22,'Outcome Indicators - Section C '!$A$1:$A$100,0)+1),2),""),"")</f>
        <v/>
      </c>
      <c r="G33" s="82" t="str">
        <f>IFERROR(IF(INDEX('Outcome Indicators - Section C '!W$1:W$100,MATCH($A22,'Outcome Indicators - Section C '!$A$1:$A$100,0)+1)&lt;&gt;"",FIXED(INDEX('Outcome Indicators - Section C '!W$1:W$100,MATCH($A22,'Outcome Indicators - Section C '!$A$1:$A$100,0)+1),2),""),"")</f>
        <v/>
      </c>
    </row>
    <row r="34" spans="1:7" ht="18.75" customHeight="1" x14ac:dyDescent="0.25">
      <c r="A34" s="643"/>
      <c r="B34" s="78" t="s">
        <v>4388</v>
      </c>
      <c r="C34" s="79" t="str">
        <f>IFERROR(IF(INDEX('Outcome Indicators - Section C '!E$1:E$100,MATCH($A22,'Outcome Indicators - Section C '!$A$1:$A$100,0))&lt;&gt;"",FIXED(INDEX('Outcome Indicators - Section C '!E$1:E$100,MATCH($A22,'Outcome Indicators - Section C '!$A$1:$A$100,0))*100,2)&amp;"%",""),"")</f>
        <v>53,00%</v>
      </c>
      <c r="D34" s="79" t="str">
        <f>IFERROR(IF(INDEX('Outcome Indicators - Section C '!L$1:L$100,MATCH($A22,'Outcome Indicators - Section C '!$A$1:$A$100,0))&lt;&gt;"",FIXED(INDEX('Outcome Indicators - Section C '!L$1:L$100,MATCH($A22,'Outcome Indicators - Section C '!$A$1:$A$100,0))*100,2)&amp;"%",""),"")&amp;CHAR(10)&amp;IFERROR(IF(INDEX('Outcome Indicators - Section C '!N$1:N$100,MATCH($A22,'Outcome Indicators - Section C '!$A$1:$A$100,0))&lt;&gt;"",INDEX('Outcome Indicators - Section C '!N$1:N$100,MATCH($A22,'Outcome Indicators - Section C '!$A$1:$A$100,0)),""),"")&amp;CHAR(10)&amp;IFERROR(IF(INDEX('Outcome Indicators - Section C '!M$1:M$100,MATCH($A22,'Outcome Indicators - Section C '!$A$1:$A$100,0))&lt;&gt;"",TEXT(INDEX('Outcome Indicators - Section C '!M$1:M$100,MATCH($A22,'Outcome Indicators - Section C '!$A$1:$A$100,0)),Setup!$A$33),""),"")</f>
        <v xml:space="preserve">
</v>
      </c>
      <c r="E34" s="79" t="str">
        <f>IFERROR(IF(INDEX('Outcome Indicators - Section C '!P$1:P$100,MATCH($A22,'Outcome Indicators - Section C '!$A$1:$A$100,0))&lt;&gt;"",FIXED(INDEX('Outcome Indicators - Section C '!P$1:P$100,MATCH($A22,'Outcome Indicators - Section C '!$A$1:$A$100,0))*100,2)&amp;"%",""),)&amp;CHAR(10)&amp;IFERROR(IF(INDEX('Outcome Indicators - Section C '!R$1:R$100,MATCH($A22,'Outcome Indicators - Section C '!$A$1:$A$100,0))&lt;&gt;"",INDEX('Outcome Indicators - Section C '!R$1:R$100,MATCH($A22,'Outcome Indicators - Section C '!$A$1:$A$100,0)),""),"")&amp;CHAR(10)&amp;IFERROR(IF(INDEX('Outcome Indicators - Section C '!Q$1:Q$100,MATCH($A22,'Outcome Indicators - Section C '!$A$1:$A$100,0))&lt;&gt;"",TEXT(INDEX('Outcome Indicators - Section C '!Q$1:Q$100,MATCH($A22,'Outcome Indicators - Section C '!$A$1:$A$100,0)),Setup!$A$33),""),"")</f>
        <v xml:space="preserve">60,00%
</v>
      </c>
      <c r="F34" s="79" t="str">
        <f ca="1">IFERROR(IF(INDEX('Outcome Indicators - Section C '!T$1:T$100,MATCH($A22,'Outcome Indicators - Section C '!$A$1:$A$100,0))&lt;&gt;"",FIXED(INDEX('Outcome Indicators - Section C '!T$1:T$100,MATCH($A22,'Outcome Indicators - Section C '!$A$1:$A$100,0))*100,2)&amp;"%",""),)&amp;CHAR(10)&amp;IFERROR(IF(INDEX('Outcome Indicators - Section C '!V$1:V$100,MATCH($A22,'Outcome Indicators - Section C '!$A$1:$A$100,0))&lt;&gt;"",INDEX('Outcome Indicators - Section C '!V$1:V$100,MATCH($A22,'Outcome Indicators - Section C '!$A$1:$A$100,0)),""),"")&amp;CHAR(10)&amp;IFERROR(IF(INDEX('Outcome Indicators - Section C '!U$1:U$100,MATCH($A22,'Outcome Indicators - Section C '!$A$1:$A$100,0))&lt;&gt;"",TEXT(INDEX('Outcome Indicators - Section C '!U$1:U$100,MATCH($A22,'Outcome Indicators - Section C '!$A$1:$A$100,0)),Setup!$A$33),""),"")</f>
        <v xml:space="preserve">
</v>
      </c>
      <c r="G34" s="79" t="str">
        <f ca="1">IFERROR(IF(INDEX('Outcome Indicators - Section C '!X$1:X$100,MATCH($A22,'Outcome Indicators - Section C '!$A$1:$A$100,0))&lt;&gt;"",FIXED(INDEX('Outcome Indicators - Section C '!X$1:X$100,MATCH($A22,'Outcome Indicators - Section C '!$A$1:$A$100,0))*100,2)&amp;"%",""),"")&amp;CHAR(10)&amp;IFERROR(IF(INDEX('Outcome Indicators - Section C '!Z$1:Z$100,MATCH($A22,'Outcome Indicators - Section C '!$A$1:$A$100,0))&lt;&gt;"",INDEX('Outcome Indicators - Section C '!Z$1:Z$100,MATCH($A22,'Outcome Indicators - Section C '!$A$1:$A$100,0)),""),"")&amp;CHAR(10)&amp;IFERROR(IF(INDEX('Outcome Indicators - Section C '!Y$1:Y$100,MATCH($A22,'Outcome Indicators - Section C '!$A$1:$A$100,0))&lt;&gt;"",TEXT(INDEX('Outcome Indicators - Section C '!Y$1:Y$100,MATCH($A22,'Outcome Indicators - Section C '!$A$1:$A$100,0)),Setup!$A$33),""),"")</f>
        <v xml:space="preserve">
</v>
      </c>
    </row>
    <row r="35" spans="1:7" ht="18.75" customHeight="1" x14ac:dyDescent="0.25">
      <c r="A35" s="643"/>
      <c r="B35" s="623" t="s">
        <v>176</v>
      </c>
      <c r="C35" s="624"/>
      <c r="D35" s="624"/>
      <c r="E35" s="624"/>
      <c r="F35" s="624"/>
      <c r="G35" s="625"/>
    </row>
    <row r="36" spans="1:7" ht="18.75" customHeight="1" x14ac:dyDescent="0.25">
      <c r="A36" s="643"/>
      <c r="B36" s="633" t="str">
        <f>IFERROR(IF(INDEX('Outcome Indicators - Section C '!AA$1:AA$100,MATCH($A22,'Outcome Indicators - Section C '!$A$1:$A$100,0))&lt;&gt;0,INDEX('Outcome Indicators - Section C '!AA$1:AA$100,MATCH($A22,'Outcome Indicators - Section C '!$A$1:$A$100,0)),""),"")</f>
        <v>As a baseline, the results of the 2021 IBBS are presented, weighted by the Bishkek site only, taking into account the size of the social network of respondents. RCHV&amp;HIV report "Biobehavioral HIV survey among people who inject drugs and men who have sex with men in the Kyrgyz Republic, 2021.  Numerator: Number of men who have sex with men who reported using a condom the last time they had anal sex Denominator: Number of men who have sex with men who reported having had anal sex with a male partner in the past six months</v>
      </c>
      <c r="C36" s="634"/>
      <c r="D36" s="634"/>
      <c r="E36" s="634"/>
      <c r="F36" s="634"/>
      <c r="G36" s="635"/>
    </row>
    <row r="37" spans="1:7" ht="18.75" customHeight="1" x14ac:dyDescent="0.25">
      <c r="A37" s="643"/>
      <c r="B37" s="636"/>
      <c r="C37" s="637"/>
      <c r="D37" s="637"/>
      <c r="E37" s="637"/>
      <c r="F37" s="637"/>
      <c r="G37" s="638"/>
    </row>
    <row r="38" spans="1:7" ht="18.75" customHeight="1" x14ac:dyDescent="0.25">
      <c r="A38" s="643"/>
      <c r="B38" s="636"/>
      <c r="C38" s="637"/>
      <c r="D38" s="637"/>
      <c r="E38" s="637"/>
      <c r="F38" s="637"/>
      <c r="G38" s="638"/>
    </row>
    <row r="39" spans="1:7" ht="18.75" customHeight="1" x14ac:dyDescent="0.25">
      <c r="A39" s="643"/>
      <c r="B39" s="636"/>
      <c r="C39" s="637"/>
      <c r="D39" s="637"/>
      <c r="E39" s="637"/>
      <c r="F39" s="637"/>
      <c r="G39" s="638"/>
    </row>
    <row r="40" spans="1:7" ht="18.75" customHeight="1" x14ac:dyDescent="0.25">
      <c r="A40" s="643"/>
      <c r="B40" s="636"/>
      <c r="C40" s="637"/>
      <c r="D40" s="637"/>
      <c r="E40" s="637"/>
      <c r="F40" s="637"/>
      <c r="G40" s="638"/>
    </row>
    <row r="41" spans="1:7" ht="18.75" customHeight="1" x14ac:dyDescent="0.25">
      <c r="A41" s="643"/>
      <c r="B41" s="636"/>
      <c r="C41" s="637"/>
      <c r="D41" s="637"/>
      <c r="E41" s="637"/>
      <c r="F41" s="637"/>
      <c r="G41" s="638"/>
    </row>
    <row r="42" spans="1:7" ht="18.75" customHeight="1" x14ac:dyDescent="0.25">
      <c r="A42" s="643"/>
      <c r="B42" s="636"/>
      <c r="C42" s="637"/>
      <c r="D42" s="637"/>
      <c r="E42" s="637"/>
      <c r="F42" s="637"/>
      <c r="G42" s="638"/>
    </row>
    <row r="43" spans="1:7" ht="18.75" customHeight="1" x14ac:dyDescent="0.25">
      <c r="A43" s="643"/>
      <c r="B43" s="636"/>
      <c r="C43" s="637"/>
      <c r="D43" s="637"/>
      <c r="E43" s="637"/>
      <c r="F43" s="637"/>
      <c r="G43" s="638"/>
    </row>
    <row r="44" spans="1:7" ht="18.75" customHeight="1" x14ac:dyDescent="0.25">
      <c r="A44" s="643"/>
      <c r="B44" s="636"/>
      <c r="C44" s="637"/>
      <c r="D44" s="637"/>
      <c r="E44" s="637"/>
      <c r="F44" s="637"/>
      <c r="G44" s="638"/>
    </row>
    <row r="45" spans="1:7" ht="18.75" customHeight="1" x14ac:dyDescent="0.25">
      <c r="A45" s="658"/>
      <c r="B45" s="644"/>
      <c r="C45" s="645"/>
      <c r="D45" s="645"/>
      <c r="E45" s="645"/>
      <c r="F45" s="645"/>
      <c r="G45" s="646"/>
    </row>
    <row r="46" spans="1:7" ht="18.75" customHeight="1" x14ac:dyDescent="0.25">
      <c r="A46" s="623"/>
      <c r="B46" s="624"/>
      <c r="C46" s="624"/>
      <c r="D46" s="624"/>
      <c r="E46" s="624"/>
      <c r="F46" s="624"/>
      <c r="G46" s="625"/>
    </row>
    <row r="48" spans="1:7" ht="18.75" customHeight="1" x14ac:dyDescent="0.25">
      <c r="A48" s="77" t="s">
        <v>4383</v>
      </c>
      <c r="B48" s="623" t="s">
        <v>738</v>
      </c>
      <c r="C48" s="624"/>
      <c r="D48" s="625"/>
      <c r="E48" s="623" t="s">
        <v>739</v>
      </c>
      <c r="F48" s="624"/>
      <c r="G48" s="625"/>
    </row>
    <row r="49" spans="1:7" ht="18.75" customHeight="1" x14ac:dyDescent="0.25">
      <c r="A49" s="642">
        <v>2</v>
      </c>
      <c r="B49" s="633" t="str">
        <f>IFERROR(IF(INDEX('Outcome Indicators - Section C '!B$1:B$100,MATCH($A49,'Outcome Indicators - Section C '!$A$1:$A$100,0))&lt;&gt;0,INDEX('Outcome Indicators - Section C '!B$1:B$100,MATCH($A49,'Outcome Indicators - Section C '!$A$1:$A$100,0)),""),"")</f>
        <v>HIV O-5⁽ᴹ⁾ Percentage of sex workers reporting using a condom with their most recent client</v>
      </c>
      <c r="C49" s="634"/>
      <c r="D49" s="635"/>
      <c r="E49" s="633" t="str">
        <f>IFERROR(IF(INDEX('Outcome Indicators - Section C '!C$1:C$100,MATCH($A49,'Outcome Indicators - Section C '!$A$1:$A$100,0))&lt;&gt;0,INDEX('Outcome Indicators - Section C '!C$1:C$100,MATCH($A49,'Outcome Indicators - Section C '!$A$1:$A$100,0)),""),"")</f>
        <v/>
      </c>
      <c r="F49" s="634"/>
      <c r="G49" s="635"/>
    </row>
    <row r="50" spans="1:7" ht="18.75" customHeight="1" x14ac:dyDescent="0.25">
      <c r="A50" s="643"/>
      <c r="B50" s="636"/>
      <c r="C50" s="637"/>
      <c r="D50" s="638"/>
      <c r="E50" s="636"/>
      <c r="F50" s="637"/>
      <c r="G50" s="638"/>
    </row>
    <row r="51" spans="1:7" ht="18.75" customHeight="1" x14ac:dyDescent="0.25">
      <c r="A51" s="643"/>
      <c r="B51" s="644"/>
      <c r="C51" s="645"/>
      <c r="D51" s="646"/>
      <c r="E51" s="644"/>
      <c r="F51" s="645"/>
      <c r="G51" s="646"/>
    </row>
    <row r="52" spans="1:7" ht="18.75" customHeight="1" x14ac:dyDescent="0.25">
      <c r="A52" s="643"/>
      <c r="B52" s="623" t="s">
        <v>742</v>
      </c>
      <c r="C52" s="624"/>
      <c r="D52" s="625"/>
      <c r="E52" s="623" t="s">
        <v>127</v>
      </c>
      <c r="F52" s="624"/>
      <c r="G52" s="625"/>
    </row>
    <row r="53" spans="1:7" ht="18.75" customHeight="1" x14ac:dyDescent="0.25">
      <c r="A53" s="643"/>
      <c r="B53" s="647" t="str">
        <f>IFERROR(IF(INDEX('Outcome Indicators - Section C '!H$1:H$100,MATCH($A49,'Outcome Indicators - Section C '!$A$1:$A$100,0))&lt;&gt;0,INDEX('Outcome Indicators - Section C '!H$1:H$100,MATCH($A49,'Outcome Indicators - Section C '!$A$1:$A$100,0)),""),"")</f>
        <v/>
      </c>
      <c r="C53" s="648"/>
      <c r="D53" s="649"/>
      <c r="E53" s="647" t="str">
        <f>IFERROR(IF(INDEX('Outcome Indicators - Section C '!J$9:J$38,MATCH($A49,'Outcome Indicators - Section C '!$A$9:$A$100,0))&lt;&gt;0,INDEX('Outcome Indicators - Section C '!J$9:J$38,MATCH($A49,'Outcome Indicators - Section C '!$A$9:$A$100,0)),""),"")</f>
        <v/>
      </c>
      <c r="F53" s="648"/>
      <c r="G53" s="649"/>
    </row>
    <row r="54" spans="1:7" ht="18.75" customHeight="1" x14ac:dyDescent="0.25">
      <c r="A54" s="643"/>
      <c r="B54" s="623" t="s">
        <v>199</v>
      </c>
      <c r="C54" s="624"/>
      <c r="D54" s="625"/>
      <c r="E54" s="623" t="s">
        <v>120</v>
      </c>
      <c r="F54" s="624"/>
      <c r="G54" s="625"/>
    </row>
    <row r="55" spans="1:7" ht="18.75" customHeight="1" x14ac:dyDescent="0.25">
      <c r="A55" s="643"/>
      <c r="B55" s="633" t="str">
        <f>IFERROR(IF(INDEX('Outcome Indicators - Section C '!G$1:G$100,MATCH($A49,'Outcome Indicators - Section C '!$A$1:$A$100,0))&lt;&gt;0,INDEX('Outcome Indicators - Section C '!G$1:G$100,MATCH($A49,'Outcome Indicators - Section C '!$A$1:$A$100,0)),""),"")</f>
        <v>IBBS 2022 Kyrgyz Republic</v>
      </c>
      <c r="C55" s="634"/>
      <c r="D55" s="635"/>
      <c r="E55" s="633" t="str">
        <f>IFERROR(IF(AND('Overview - Section A'!AS$1="Grant Making",OR(B49&lt;&gt;"",E49&lt;&gt;"")),Setup!I42,IF(INDEX('Outcome Indicators - Section C '!I$1:I$100,MATCH($A49,'Outcome Indicators - Section C '!$A$1:$A$100,0))&lt;&gt;0,INDEX('Outcome Indicators - Section C '!I$1:I$100,MATCH($A49,'Outcome Indicators - Section C '!$A$1:$A$100,0)),"")),"")</f>
        <v>United Nations Development Programme</v>
      </c>
      <c r="F55" s="634"/>
      <c r="G55" s="635"/>
    </row>
    <row r="56" spans="1:7" ht="18.75" customHeight="1" x14ac:dyDescent="0.25">
      <c r="A56" s="643"/>
      <c r="B56" s="644"/>
      <c r="C56" s="645"/>
      <c r="D56" s="646"/>
      <c r="E56" s="644"/>
      <c r="F56" s="645"/>
      <c r="G56" s="646"/>
    </row>
    <row r="57" spans="1:7" ht="18.75" customHeight="1" x14ac:dyDescent="0.25">
      <c r="A57" s="643"/>
      <c r="B57" s="78"/>
      <c r="C57" s="63" t="s">
        <v>4384</v>
      </c>
      <c r="D57" s="623" t="s">
        <v>4385</v>
      </c>
      <c r="E57" s="624"/>
      <c r="F57" s="624"/>
      <c r="G57" s="625"/>
    </row>
    <row r="58" spans="1:7" ht="18.75" customHeight="1" x14ac:dyDescent="0.25">
      <c r="A58" s="643"/>
      <c r="B58" s="78" t="s">
        <v>2559</v>
      </c>
      <c r="C58" s="79">
        <f>IFERROR(IF(INDEX('Outcome Indicators - Section C '!F$1:F$100,MATCH($A49,'Outcome Indicators - Section C '!$A$1:$A$100,0))&lt;&gt;0,INDEX('Outcome Indicators - Section C '!F$1:F$100,MATCH($A49,'Outcome Indicators - Section C '!$A$1:$A$100,0)),""),"")</f>
        <v>2022</v>
      </c>
      <c r="D58" s="63">
        <f ca="1">IFERROR(IF(YEAR(INDEX('Overview - Section A'!$A$47:$A$54,MATCH('Print - Summary'!$H$10,'Overview - Section A'!$B$47:$B$54,0)))&lt;=YEAR('Overview - Section A'!$E$8),YEAR(INDEX('Overview - Section A'!$A$47:$A$54,MATCH('Print - Summary'!$H$10,'Overview - Section A'!$B$47:$B$54,0))),""),"")</f>
        <v>2024</v>
      </c>
      <c r="E58" s="63">
        <f ca="1">IFERROR(IF(D58+1&lt;=YEAR('Overview - Section A'!$E$8),D58+1,""),"")</f>
        <v>2025</v>
      </c>
      <c r="F58" s="63">
        <f ca="1">IFERROR(IF(E58+1&lt;=YEAR('Overview - Section A'!$E$8),E58+1,""),"")</f>
        <v>2026</v>
      </c>
      <c r="G58" s="63" t="str">
        <f ca="1">IFERROR(IF(F58+1&lt;=YEAR('Overview - Section A'!$E$8),F58+1,""),"")</f>
        <v/>
      </c>
    </row>
    <row r="59" spans="1:7" s="85" customFormat="1" ht="18.75" customHeight="1" x14ac:dyDescent="0.25">
      <c r="A59" s="643"/>
      <c r="B59" s="78" t="s">
        <v>4386</v>
      </c>
      <c r="C59" s="84" t="str">
        <f>IFERROR(IF(INDEX('Outcome Indicators - Section C '!D$1:D$100,MATCH($A49,'Outcome Indicators - Section C '!$A$1:$A$100,0))&lt;&gt;"",FIXED(INDEX('Outcome Indicators - Section C '!D$1:D$100,MATCH($A49,'Outcome Indicators - Section C '!$A$1:$A$100,0)),4),""),"")</f>
        <v>441.0000</v>
      </c>
      <c r="D59" s="84" t="str">
        <f>IFERROR(IF(INDEX('Outcome Indicators - Section C '!K$1:K$100,MATCH($A49,'Outcome Indicators - Section C '!$A$1:$A$100,0))&lt;&gt;"",FIXED(INDEX('Outcome Indicators - Section C '!K$1:K$100,MATCH($A49,'Outcome Indicators - Section C '!$A$1:$A$100,0)),4),""),"")</f>
        <v/>
      </c>
      <c r="E59" s="84" t="str">
        <f>IFERROR(IF(INDEX('Outcome Indicators - Section C '!O$1:O$100,MATCH($A49,'Outcome Indicators - Section C '!$A$1:$A$100,0))&lt;&gt;"",FIXED(INDEX('Outcome Indicators - Section C '!O$1:O$100,MATCH($A49,'Outcome Indicators - Section C '!$A$1:$A$100,0)),4),""),"")</f>
        <v/>
      </c>
      <c r="F59" s="84" t="str">
        <f>IFERROR(IF(INDEX('Outcome Indicators - Section C '!S$1:S$100,MATCH($A49,'Outcome Indicators - Section C '!$A$1:$A$100,0))&lt;&gt;"",FIXED(INDEX('Outcome Indicators - Section C '!S$1:S$100,MATCH($A49,'Outcome Indicators - Section C '!$A$1:$A$100,0)),4),""),"")</f>
        <v/>
      </c>
      <c r="G59" s="84" t="str">
        <f>IFERROR(IF(INDEX('Outcome Indicators - Section C '!W$1:W$100,MATCH($A49,'Outcome Indicators - Section C '!$A$1:$A$100,0))&lt;&gt;"",FIXED(INDEX('Outcome Indicators - Section C '!W$1:W$100,MATCH($A49,'Outcome Indicators - Section C '!$A$1:$A$100,0)),4),""),"")</f>
        <v/>
      </c>
    </row>
    <row r="60" spans="1:7" s="83" customFormat="1" ht="18.75" customHeight="1" x14ac:dyDescent="0.25">
      <c r="A60" s="643"/>
      <c r="B60" s="78" t="s">
        <v>4387</v>
      </c>
      <c r="C60" s="82" t="str">
        <f>IFERROR(IF(INDEX('Outcome Indicators - Section C '!D$1:D$100,MATCH($A49,'Outcome Indicators - Section C '!$A$1:$A$100,0)+1)&lt;&gt;"",FIXED(INDEX('Outcome Indicators - Section C '!D$1:D$100,MATCH($A49,'Outcome Indicators - Section C '!$A$1:$A$100,0)+1),2),""),"")</f>
        <v>474.00</v>
      </c>
      <c r="D60" s="82" t="str">
        <f>IFERROR(IF(INDEX('Outcome Indicators - Section C '!K$1:K$100,MATCH($A49,'Outcome Indicators - Section C '!$A$1:$A$100,0)+1)&lt;&gt;"",FIXED(INDEX('Outcome Indicators - Section C '!K$1:K$100,MATCH($A49,'Outcome Indicators - Section C '!$A$1:$A$100,0)+1),2),""),"")</f>
        <v/>
      </c>
      <c r="E60" s="82" t="str">
        <f>IFERROR(IF(INDEX('Outcome Indicators - Section C '!O$1:O$100,MATCH($A49,'Outcome Indicators - Section C '!$A$1:$A$100,0)+1)&lt;&gt;"",FIXED(INDEX('Outcome Indicators - Section C '!O$1:O$100,MATCH($A49,'Outcome Indicators - Section C '!$A$1:$A$100,0)+1),2),""),"")</f>
        <v/>
      </c>
      <c r="F60" s="82" t="str">
        <f>IFERROR(IF(INDEX('Outcome Indicators - Section C '!S$1:S$100,MATCH($A49,'Outcome Indicators - Section C '!$A$1:$A$100,0)+1)&lt;&gt;"",FIXED(INDEX('Outcome Indicators - Section C '!S$1:S$100,MATCH($A49,'Outcome Indicators - Section C '!$A$1:$A$100,0)+1),2),""),"")</f>
        <v/>
      </c>
      <c r="G60" s="82" t="str">
        <f>IFERROR(IF(INDEX('Outcome Indicators - Section C '!W$1:W$100,MATCH($A49,'Outcome Indicators - Section C '!$A$1:$A$100,0)+1)&lt;&gt;"",FIXED(INDEX('Outcome Indicators - Section C '!W$1:W$100,MATCH($A49,'Outcome Indicators - Section C '!$A$1:$A$100,0)+1),2),""),"")</f>
        <v/>
      </c>
    </row>
    <row r="61" spans="1:7" ht="18.75" customHeight="1" x14ac:dyDescent="0.25">
      <c r="A61" s="643"/>
      <c r="B61" s="78" t="s">
        <v>4388</v>
      </c>
      <c r="C61" s="79" t="str">
        <f ca="1">IFERROR(IF(INDEX('Outcome Indicators - Section C '!E$1:E$100,MATCH($A49,'Outcome Indicators - Section C '!$A$1:$A$100,0))&lt;&gt;"",FIXED(INDEX('Outcome Indicators - Section C '!E$1:E$100,MATCH($A49,'Outcome Indicators - Section C '!$A$1:$A$100,0))*100,2)&amp;"%",""),"")</f>
        <v>93,04%</v>
      </c>
      <c r="D61" s="79" t="str">
        <f>IFERROR(IF(INDEX('Outcome Indicators - Section C '!L$1:L$100,MATCH($A49,'Outcome Indicators - Section C '!$A$1:$A$100,0))&lt;&gt;"",FIXED(INDEX('Outcome Indicators - Section C '!L$1:L$100,MATCH($A49,'Outcome Indicators - Section C '!$A$1:$A$100,0))*100,2)&amp;"%",""),"")&amp;CHAR(10)&amp;IFERROR(IF(INDEX('Outcome Indicators - Section C '!N$1:N$100,MATCH($A49,'Outcome Indicators - Section C '!$A$1:$A$100,0))&lt;&gt;"",INDEX('Outcome Indicators - Section C '!N$1:N$100,MATCH($A49,'Outcome Indicators - Section C '!$A$1:$A$100,0)),""),"")&amp;CHAR(10)&amp;IFERROR(IF(INDEX('Outcome Indicators - Section C '!M$1:M$100,MATCH($A49,'Outcome Indicators - Section C '!$A$1:$A$100,0))&lt;&gt;"",TEXT(INDEX('Outcome Indicators - Section C '!M$1:M$100,MATCH($A49,'Outcome Indicators - Section C '!$A$1:$A$100,0)),Setup!$A$33),""),"")</f>
        <v xml:space="preserve">
</v>
      </c>
      <c r="E61" s="79" t="str">
        <f ca="1">IFERROR(IF(INDEX('Outcome Indicators - Section C '!P$1:P$100,MATCH($A49,'Outcome Indicators - Section C '!$A$1:$A$100,0))&lt;&gt;"",FIXED(INDEX('Outcome Indicators - Section C '!P$1:P$100,MATCH($A49,'Outcome Indicators - Section C '!$A$1:$A$100,0))*100,2)&amp;"%",""),)&amp;CHAR(10)&amp;IFERROR(IF(INDEX('Outcome Indicators - Section C '!R$1:R$100,MATCH($A49,'Outcome Indicators - Section C '!$A$1:$A$100,0))&lt;&gt;"",INDEX('Outcome Indicators - Section C '!R$1:R$100,MATCH($A49,'Outcome Indicators - Section C '!$A$1:$A$100,0)),""),"")&amp;CHAR(10)&amp;IFERROR(IF(INDEX('Outcome Indicators - Section C '!Q$1:Q$100,MATCH($A49,'Outcome Indicators - Section C '!$A$1:$A$100,0))&lt;&gt;"",TEXT(INDEX('Outcome Indicators - Section C '!Q$1:Q$100,MATCH($A49,'Outcome Indicators - Section C '!$A$1:$A$100,0)),Setup!$A$33),""),"")</f>
        <v xml:space="preserve">
</v>
      </c>
      <c r="F61" s="79" t="str">
        <f>IFERROR(IF(INDEX('Outcome Indicators - Section C '!T$1:T$100,MATCH($A49,'Outcome Indicators - Section C '!$A$1:$A$100,0))&lt;&gt;"",FIXED(INDEX('Outcome Indicators - Section C '!T$1:T$100,MATCH($A49,'Outcome Indicators - Section C '!$A$1:$A$100,0))*100,2)&amp;"%",""),)&amp;CHAR(10)&amp;IFERROR(IF(INDEX('Outcome Indicators - Section C '!V$1:V$100,MATCH($A49,'Outcome Indicators - Section C '!$A$1:$A$100,0))&lt;&gt;"",INDEX('Outcome Indicators - Section C '!V$1:V$100,MATCH($A49,'Outcome Indicators - Section C '!$A$1:$A$100,0)),""),"")&amp;CHAR(10)&amp;IFERROR(IF(INDEX('Outcome Indicators - Section C '!U$1:U$100,MATCH($A49,'Outcome Indicators - Section C '!$A$1:$A$100,0))&lt;&gt;"",TEXT(INDEX('Outcome Indicators - Section C '!U$1:U$100,MATCH($A49,'Outcome Indicators - Section C '!$A$1:$A$100,0)),Setup!$A$33),""),"")</f>
        <v xml:space="preserve">95,00%
</v>
      </c>
      <c r="G61" s="79" t="str">
        <f ca="1">IFERROR(IF(INDEX('Outcome Indicators - Section C '!X$1:X$100,MATCH($A49,'Outcome Indicators - Section C '!$A$1:$A$100,0))&lt;&gt;"",FIXED(INDEX('Outcome Indicators - Section C '!X$1:X$100,MATCH($A49,'Outcome Indicators - Section C '!$A$1:$A$100,0))*100,2)&amp;"%",""),"")&amp;CHAR(10)&amp;IFERROR(IF(INDEX('Outcome Indicators - Section C '!Z$1:Z$100,MATCH($A49,'Outcome Indicators - Section C '!$A$1:$A$100,0))&lt;&gt;"",INDEX('Outcome Indicators - Section C '!Z$1:Z$100,MATCH($A49,'Outcome Indicators - Section C '!$A$1:$A$100,0)),""),"")&amp;CHAR(10)&amp;IFERROR(IF(INDEX('Outcome Indicators - Section C '!Y$1:Y$100,MATCH($A49,'Outcome Indicators - Section C '!$A$1:$A$100,0))&lt;&gt;"",TEXT(INDEX('Outcome Indicators - Section C '!Y$1:Y$100,MATCH($A49,'Outcome Indicators - Section C '!$A$1:$A$100,0)),Setup!$A$33),""),"")</f>
        <v xml:space="preserve">
</v>
      </c>
    </row>
    <row r="62" spans="1:7" ht="18.75" customHeight="1" x14ac:dyDescent="0.25">
      <c r="A62" s="643"/>
      <c r="B62" s="623" t="s">
        <v>176</v>
      </c>
      <c r="C62" s="624"/>
      <c r="D62" s="624"/>
      <c r="E62" s="624"/>
      <c r="F62" s="624"/>
      <c r="G62" s="625"/>
    </row>
    <row r="63" spans="1:7" ht="18.75" customHeight="1" x14ac:dyDescent="0.25">
      <c r="A63" s="643"/>
      <c r="B63" s="633" t="str">
        <f>IFERROR(IF(INDEX('Outcome Indicators - Section C '!AA$1:AA$100,MATCH($A49,'Outcome Indicators - Section C '!$A$1:$A$100,0))&lt;&gt;0,INDEX('Outcome Indicators - Section C '!AA$1:AA$100,MATCH($A49,'Outcome Indicators - Section C '!$A$1:$A$100,0)),""),"")</f>
        <v>As a baseline, preliminary 2022 IBBS results are presented, no final report has been submitted at the time of application. Numerator: Number of sex workers who reported using a condom with their last client Denominator: Number of sex workers who reported having commercial sex in the past 12 months</v>
      </c>
      <c r="C63" s="634"/>
      <c r="D63" s="634"/>
      <c r="E63" s="634"/>
      <c r="F63" s="634"/>
      <c r="G63" s="635"/>
    </row>
    <row r="64" spans="1:7" ht="18.75" customHeight="1" x14ac:dyDescent="0.25">
      <c r="A64" s="643"/>
      <c r="B64" s="636"/>
      <c r="C64" s="637"/>
      <c r="D64" s="637"/>
      <c r="E64" s="637"/>
      <c r="F64" s="637"/>
      <c r="G64" s="638"/>
    </row>
    <row r="65" spans="1:7" ht="18.75" customHeight="1" x14ac:dyDescent="0.25">
      <c r="A65" s="643"/>
      <c r="B65" s="636"/>
      <c r="C65" s="637"/>
      <c r="D65" s="637"/>
      <c r="E65" s="637"/>
      <c r="F65" s="637"/>
      <c r="G65" s="638"/>
    </row>
    <row r="66" spans="1:7" ht="18.75" customHeight="1" x14ac:dyDescent="0.25">
      <c r="A66" s="643"/>
      <c r="B66" s="636"/>
      <c r="C66" s="637"/>
      <c r="D66" s="637"/>
      <c r="E66" s="637"/>
      <c r="F66" s="637"/>
      <c r="G66" s="638"/>
    </row>
    <row r="67" spans="1:7" ht="18.75" customHeight="1" x14ac:dyDescent="0.25">
      <c r="A67" s="643"/>
      <c r="B67" s="636"/>
      <c r="C67" s="637"/>
      <c r="D67" s="637"/>
      <c r="E67" s="637"/>
      <c r="F67" s="637"/>
      <c r="G67" s="638"/>
    </row>
    <row r="68" spans="1:7" ht="18.75" customHeight="1" x14ac:dyDescent="0.25">
      <c r="A68" s="643"/>
      <c r="B68" s="636"/>
      <c r="C68" s="637"/>
      <c r="D68" s="637"/>
      <c r="E68" s="637"/>
      <c r="F68" s="637"/>
      <c r="G68" s="638"/>
    </row>
    <row r="69" spans="1:7" ht="18.75" customHeight="1" x14ac:dyDescent="0.25">
      <c r="A69" s="643"/>
      <c r="B69" s="636"/>
      <c r="C69" s="637"/>
      <c r="D69" s="637"/>
      <c r="E69" s="637"/>
      <c r="F69" s="637"/>
      <c r="G69" s="638"/>
    </row>
    <row r="70" spans="1:7" ht="18.75" customHeight="1" x14ac:dyDescent="0.25">
      <c r="A70" s="643"/>
      <c r="B70" s="636"/>
      <c r="C70" s="637"/>
      <c r="D70" s="637"/>
      <c r="E70" s="637"/>
      <c r="F70" s="637"/>
      <c r="G70" s="638"/>
    </row>
    <row r="71" spans="1:7" ht="18.75" customHeight="1" x14ac:dyDescent="0.25">
      <c r="A71" s="643"/>
      <c r="B71" s="636"/>
      <c r="C71" s="637"/>
      <c r="D71" s="637"/>
      <c r="E71" s="637"/>
      <c r="F71" s="637"/>
      <c r="G71" s="638"/>
    </row>
    <row r="72" spans="1:7" ht="18.75" customHeight="1" x14ac:dyDescent="0.25">
      <c r="A72" s="658"/>
      <c r="B72" s="644"/>
      <c r="C72" s="645"/>
      <c r="D72" s="645"/>
      <c r="E72" s="645"/>
      <c r="F72" s="645"/>
      <c r="G72" s="646"/>
    </row>
    <row r="73" spans="1:7" ht="18.75" customHeight="1" x14ac:dyDescent="0.25">
      <c r="A73" s="623"/>
      <c r="B73" s="624"/>
      <c r="C73" s="624"/>
      <c r="D73" s="624"/>
      <c r="E73" s="624"/>
      <c r="F73" s="624"/>
      <c r="G73" s="625"/>
    </row>
    <row r="75" spans="1:7" ht="18.75" customHeight="1" x14ac:dyDescent="0.25">
      <c r="A75" s="77" t="s">
        <v>4383</v>
      </c>
      <c r="B75" s="623" t="s">
        <v>738</v>
      </c>
      <c r="C75" s="624"/>
      <c r="D75" s="625"/>
      <c r="E75" s="623" t="s">
        <v>739</v>
      </c>
      <c r="F75" s="624"/>
      <c r="G75" s="625"/>
    </row>
    <row r="76" spans="1:7" ht="18.75" customHeight="1" x14ac:dyDescent="0.25">
      <c r="A76" s="642">
        <v>3</v>
      </c>
      <c r="B76" s="633" t="str">
        <f>IFERROR(IF(INDEX('Outcome Indicators - Section C '!B$1:B$100,MATCH($A76,'Outcome Indicators - Section C '!$A$1:$A$100,0))&lt;&gt;0,INDEX('Outcome Indicators - Section C '!B$1:B$100,MATCH($A76,'Outcome Indicators - Section C '!$A$1:$A$100,0)),""),"")</f>
        <v>HIV O-4.1b⁽ᴹ⁾ Percentage of transgender people reporting using a condom during their most recent sexual intercourse or anal sex</v>
      </c>
      <c r="C76" s="634"/>
      <c r="D76" s="635"/>
      <c r="E76" s="633" t="str">
        <f>IFERROR(IF(INDEX('Outcome Indicators - Section C '!C$1:C$100,MATCH($A76,'Outcome Indicators - Section C '!$A$1:$A$100,0))&lt;&gt;0,INDEX('Outcome Indicators - Section C '!C$1:C$100,MATCH($A76,'Outcome Indicators - Section C '!$A$1:$A$100,0)),""),"")</f>
        <v/>
      </c>
      <c r="F76" s="634"/>
      <c r="G76" s="635"/>
    </row>
    <row r="77" spans="1:7" ht="18.75" customHeight="1" x14ac:dyDescent="0.25">
      <c r="A77" s="643"/>
      <c r="B77" s="636"/>
      <c r="C77" s="637"/>
      <c r="D77" s="638"/>
      <c r="E77" s="636"/>
      <c r="F77" s="637"/>
      <c r="G77" s="638"/>
    </row>
    <row r="78" spans="1:7" ht="18.75" customHeight="1" x14ac:dyDescent="0.25">
      <c r="A78" s="643"/>
      <c r="B78" s="644"/>
      <c r="C78" s="645"/>
      <c r="D78" s="646"/>
      <c r="E78" s="644"/>
      <c r="F78" s="645"/>
      <c r="G78" s="646"/>
    </row>
    <row r="79" spans="1:7" ht="18.75" customHeight="1" x14ac:dyDescent="0.25">
      <c r="A79" s="643"/>
      <c r="B79" s="623" t="s">
        <v>742</v>
      </c>
      <c r="C79" s="624"/>
      <c r="D79" s="625"/>
      <c r="E79" s="623" t="s">
        <v>127</v>
      </c>
      <c r="F79" s="624"/>
      <c r="G79" s="625"/>
    </row>
    <row r="80" spans="1:7" ht="18.75" customHeight="1" x14ac:dyDescent="0.25">
      <c r="A80" s="643"/>
      <c r="B80" s="647" t="str">
        <f>IFERROR(IF(INDEX('Outcome Indicators - Section C '!H$1:H$100,MATCH($A76,'Outcome Indicators - Section C '!$A$1:$A$100,0))&lt;&gt;0,INDEX('Outcome Indicators - Section C '!H$1:H$100,MATCH($A76,'Outcome Indicators - Section C '!$A$1:$A$100,0)),""),"")</f>
        <v/>
      </c>
      <c r="C80" s="648"/>
      <c r="D80" s="649"/>
      <c r="E80" s="647" t="str">
        <f>IFERROR(IF(INDEX('Outcome Indicators - Section C '!J$9:J$38,MATCH($A76,'Outcome Indicators - Section C '!$A$9:$A$100,0))&lt;&gt;0,INDEX('Outcome Indicators - Section C '!J$9:J$38,MATCH($A76,'Outcome Indicators - Section C '!$A$9:$A$100,0)),""),"")</f>
        <v/>
      </c>
      <c r="F80" s="648"/>
      <c r="G80" s="649"/>
    </row>
    <row r="81" spans="1:7" ht="18.75" customHeight="1" x14ac:dyDescent="0.25">
      <c r="A81" s="643"/>
      <c r="B81" s="623" t="s">
        <v>199</v>
      </c>
      <c r="C81" s="624"/>
      <c r="D81" s="625"/>
      <c r="E81" s="623" t="s">
        <v>120</v>
      </c>
      <c r="F81" s="624"/>
      <c r="G81" s="625"/>
    </row>
    <row r="82" spans="1:7" ht="18.75" customHeight="1" x14ac:dyDescent="0.25">
      <c r="A82" s="643"/>
      <c r="B82" s="633" t="str">
        <f>IFERROR(IF(INDEX('Outcome Indicators - Section C '!G$1:G$100,MATCH($A76,'Outcome Indicators - Section C '!$A$1:$A$100,0))&lt;&gt;0,INDEX('Outcome Indicators - Section C '!G$1:G$100,MATCH($A76,'Outcome Indicators - Section C '!$A$1:$A$100,0)),""),"")</f>
        <v>IBBS 2021 Kyrgyz Republic</v>
      </c>
      <c r="C82" s="634"/>
      <c r="D82" s="635"/>
      <c r="E82" s="633" t="str">
        <f>IFERROR(IF(AND('Overview - Section A'!AS$1="Grant Making",OR(B76&lt;&gt;"",E76&lt;&gt;"")),Setup!I69,IF(INDEX('Outcome Indicators - Section C '!I$1:I$100,MATCH($A76,'Outcome Indicators - Section C '!$A$1:$A$100,0))&lt;&gt;0,INDEX('Outcome Indicators - Section C '!I$1:I$100,MATCH($A76,'Outcome Indicators - Section C '!$A$1:$A$100,0)),"")),"")</f>
        <v>United Nations Development Programme</v>
      </c>
      <c r="F82" s="634"/>
      <c r="G82" s="635"/>
    </row>
    <row r="83" spans="1:7" ht="18.75" customHeight="1" x14ac:dyDescent="0.25">
      <c r="A83" s="643"/>
      <c r="B83" s="644"/>
      <c r="C83" s="645"/>
      <c r="D83" s="646"/>
      <c r="E83" s="644"/>
      <c r="F83" s="645"/>
      <c r="G83" s="646"/>
    </row>
    <row r="84" spans="1:7" ht="18.75" customHeight="1" x14ac:dyDescent="0.25">
      <c r="A84" s="643"/>
      <c r="B84" s="78"/>
      <c r="C84" s="63" t="s">
        <v>4384</v>
      </c>
      <c r="D84" s="623" t="s">
        <v>4385</v>
      </c>
      <c r="E84" s="624"/>
      <c r="F84" s="624"/>
      <c r="G84" s="625"/>
    </row>
    <row r="85" spans="1:7" ht="18.75" customHeight="1" x14ac:dyDescent="0.25">
      <c r="A85" s="643"/>
      <c r="B85" s="78" t="s">
        <v>2559</v>
      </c>
      <c r="C85" s="79">
        <f>IFERROR(IF(INDEX('Outcome Indicators - Section C '!F$1:F$100,MATCH($A76,'Outcome Indicators - Section C '!$A$1:$A$100,0))&lt;&gt;0,INDEX('Outcome Indicators - Section C '!F$1:F$100,MATCH($A76,'Outcome Indicators - Section C '!$A$1:$A$100,0)),""),"")</f>
        <v>2021</v>
      </c>
      <c r="D85" s="63">
        <f ca="1">IFERROR(IF(YEAR(INDEX('Overview - Section A'!$A$47:$A$54,MATCH('Print - Summary'!$H$10,'Overview - Section A'!$B$47:$B$54,0)))&lt;=YEAR('Overview - Section A'!$E$8),YEAR(INDEX('Overview - Section A'!$A$47:$A$54,MATCH('Print - Summary'!$H$10,'Overview - Section A'!$B$47:$B$54,0))),""),"")</f>
        <v>2024</v>
      </c>
      <c r="E85" s="63">
        <f ca="1">IFERROR(IF(D85+1&lt;=YEAR('Overview - Section A'!$E$8),D85+1,""),"")</f>
        <v>2025</v>
      </c>
      <c r="F85" s="63">
        <f ca="1">IFERROR(IF(E85+1&lt;=YEAR('Overview - Section A'!$E$8),E85+1,""),"")</f>
        <v>2026</v>
      </c>
      <c r="G85" s="63" t="str">
        <f ca="1">IFERROR(IF(F85+1&lt;=YEAR('Overview - Section A'!$E$8),F85+1,""),"")</f>
        <v/>
      </c>
    </row>
    <row r="86" spans="1:7" s="85" customFormat="1" ht="18.75" customHeight="1" x14ac:dyDescent="0.25">
      <c r="A86" s="643"/>
      <c r="B86" s="78" t="s">
        <v>4386</v>
      </c>
      <c r="C86" s="84" t="str">
        <f>IFERROR(IF(INDEX('Outcome Indicators - Section C '!D$1:D$100,MATCH($A76,'Outcome Indicators - Section C '!$A$1:$A$100,0))&lt;&gt;"",FIXED(INDEX('Outcome Indicators - Section C '!D$1:D$100,MATCH($A76,'Outcome Indicators - Section C '!$A$1:$A$100,0)),4),""),"")</f>
        <v/>
      </c>
      <c r="D86" s="84" t="str">
        <f>IFERROR(IF(INDEX('Outcome Indicators - Section C '!K$1:K$100,MATCH($A76,'Outcome Indicators - Section C '!$A$1:$A$100,0))&lt;&gt;"",FIXED(INDEX('Outcome Indicators - Section C '!K$1:K$100,MATCH($A76,'Outcome Indicators - Section C '!$A$1:$A$100,0)),4),""),"")</f>
        <v/>
      </c>
      <c r="E86" s="84" t="str">
        <f>IFERROR(IF(INDEX('Outcome Indicators - Section C '!O$1:O$100,MATCH($A76,'Outcome Indicators - Section C '!$A$1:$A$100,0))&lt;&gt;"",FIXED(INDEX('Outcome Indicators - Section C '!O$1:O$100,MATCH($A76,'Outcome Indicators - Section C '!$A$1:$A$100,0)),4),""),"")</f>
        <v/>
      </c>
      <c r="F86" s="84" t="str">
        <f>IFERROR(IF(INDEX('Outcome Indicators - Section C '!S$1:S$100,MATCH($A76,'Outcome Indicators - Section C '!$A$1:$A$100,0))&lt;&gt;"",FIXED(INDEX('Outcome Indicators - Section C '!S$1:S$100,MATCH($A76,'Outcome Indicators - Section C '!$A$1:$A$100,0)),4),""),"")</f>
        <v/>
      </c>
      <c r="G86" s="84" t="str">
        <f>IFERROR(IF(INDEX('Outcome Indicators - Section C '!W$1:W$100,MATCH($A76,'Outcome Indicators - Section C '!$A$1:$A$100,0))&lt;&gt;"",FIXED(INDEX('Outcome Indicators - Section C '!W$1:W$100,MATCH($A76,'Outcome Indicators - Section C '!$A$1:$A$100,0)),4),""),"")</f>
        <v/>
      </c>
    </row>
    <row r="87" spans="1:7" s="83" customFormat="1" ht="18.75" customHeight="1" x14ac:dyDescent="0.25">
      <c r="A87" s="643"/>
      <c r="B87" s="78" t="s">
        <v>4387</v>
      </c>
      <c r="C87" s="82" t="str">
        <f>IFERROR(IF(INDEX('Outcome Indicators - Section C '!D$1:D$100,MATCH($A76,'Outcome Indicators - Section C '!$A$1:$A$100,0)+1)&lt;&gt;"",FIXED(INDEX('Outcome Indicators - Section C '!D$1:D$100,MATCH($A76,'Outcome Indicators - Section C '!$A$1:$A$100,0)+1),2),""),"")</f>
        <v/>
      </c>
      <c r="D87" s="82" t="str">
        <f>IFERROR(IF(INDEX('Outcome Indicators - Section C '!K$1:K$100,MATCH($A76,'Outcome Indicators - Section C '!$A$1:$A$100,0)+1)&lt;&gt;"",FIXED(INDEX('Outcome Indicators - Section C '!K$1:K$100,MATCH($A76,'Outcome Indicators - Section C '!$A$1:$A$100,0)+1),2),""),"")</f>
        <v/>
      </c>
      <c r="E87" s="82" t="str">
        <f>IFERROR(IF(INDEX('Outcome Indicators - Section C '!O$1:O$100,MATCH($A76,'Outcome Indicators - Section C '!$A$1:$A$100,0)+1)&lt;&gt;"",FIXED(INDEX('Outcome Indicators - Section C '!O$1:O$100,MATCH($A76,'Outcome Indicators - Section C '!$A$1:$A$100,0)+1),2),""),"")</f>
        <v/>
      </c>
      <c r="F87" s="82" t="str">
        <f>IFERROR(IF(INDEX('Outcome Indicators - Section C '!S$1:S$100,MATCH($A76,'Outcome Indicators - Section C '!$A$1:$A$100,0)+1)&lt;&gt;"",FIXED(INDEX('Outcome Indicators - Section C '!S$1:S$100,MATCH($A76,'Outcome Indicators - Section C '!$A$1:$A$100,0)+1),2),""),"")</f>
        <v/>
      </c>
      <c r="G87" s="82" t="str">
        <f>IFERROR(IF(INDEX('Outcome Indicators - Section C '!W$1:W$100,MATCH($A76,'Outcome Indicators - Section C '!$A$1:$A$100,0)+1)&lt;&gt;"",FIXED(INDEX('Outcome Indicators - Section C '!W$1:W$100,MATCH($A76,'Outcome Indicators - Section C '!$A$1:$A$100,0)+1),2),""),"")</f>
        <v/>
      </c>
    </row>
    <row r="88" spans="1:7" ht="18.75" customHeight="1" x14ac:dyDescent="0.25">
      <c r="A88" s="643"/>
      <c r="B88" s="78" t="s">
        <v>4388</v>
      </c>
      <c r="C88" s="79" t="str">
        <f>IFERROR(IF(INDEX('Outcome Indicators - Section C '!E$1:E$100,MATCH($A76,'Outcome Indicators - Section C '!$A$1:$A$100,0))&lt;&gt;"",FIXED(INDEX('Outcome Indicators - Section C '!E$1:E$100,MATCH($A76,'Outcome Indicators - Section C '!$A$1:$A$100,0))*100,2)&amp;"%",""),"")</f>
        <v>75,00%</v>
      </c>
      <c r="D88" s="79" t="str">
        <f ca="1">IFERROR(IF(INDEX('Outcome Indicators - Section C '!L$1:L$100,MATCH($A76,'Outcome Indicators - Section C '!$A$1:$A$100,0))&lt;&gt;"",FIXED(INDEX('Outcome Indicators - Section C '!L$1:L$100,MATCH($A76,'Outcome Indicators - Section C '!$A$1:$A$100,0))*100,2)&amp;"%",""),"")&amp;CHAR(10)&amp;IFERROR(IF(INDEX('Outcome Indicators - Section C '!N$1:N$100,MATCH($A76,'Outcome Indicators - Section C '!$A$1:$A$100,0))&lt;&gt;"",INDEX('Outcome Indicators - Section C '!N$1:N$100,MATCH($A76,'Outcome Indicators - Section C '!$A$1:$A$100,0)),""),"")&amp;CHAR(10)&amp;IFERROR(IF(INDEX('Outcome Indicators - Section C '!M$1:M$100,MATCH($A76,'Outcome Indicators - Section C '!$A$1:$A$100,0))&lt;&gt;"",TEXT(INDEX('Outcome Indicators - Section C '!M$1:M$100,MATCH($A76,'Outcome Indicators - Section C '!$A$1:$A$100,0)),Setup!$A$33),""),"")</f>
        <v xml:space="preserve">
</v>
      </c>
      <c r="E88" s="79" t="str">
        <f>IFERROR(IF(INDEX('Outcome Indicators - Section C '!P$1:P$100,MATCH($A76,'Outcome Indicators - Section C '!$A$1:$A$100,0))&lt;&gt;"",FIXED(INDEX('Outcome Indicators - Section C '!P$1:P$100,MATCH($A76,'Outcome Indicators - Section C '!$A$1:$A$100,0))*100,2)&amp;"%",""),)&amp;CHAR(10)&amp;IFERROR(IF(INDEX('Outcome Indicators - Section C '!R$1:R$100,MATCH($A76,'Outcome Indicators - Section C '!$A$1:$A$100,0))&lt;&gt;"",INDEX('Outcome Indicators - Section C '!R$1:R$100,MATCH($A76,'Outcome Indicators - Section C '!$A$1:$A$100,0)),""),"")&amp;CHAR(10)&amp;IFERROR(IF(INDEX('Outcome Indicators - Section C '!Q$1:Q$100,MATCH($A76,'Outcome Indicators - Section C '!$A$1:$A$100,0))&lt;&gt;"",TEXT(INDEX('Outcome Indicators - Section C '!Q$1:Q$100,MATCH($A76,'Outcome Indicators - Section C '!$A$1:$A$100,0)),Setup!$A$33),""),"")</f>
        <v xml:space="preserve">80,00%
</v>
      </c>
      <c r="F88" s="79" t="str">
        <f ca="1">IFERROR(IF(INDEX('Outcome Indicators - Section C '!T$1:T$100,MATCH($A76,'Outcome Indicators - Section C '!$A$1:$A$100,0))&lt;&gt;"",FIXED(INDEX('Outcome Indicators - Section C '!T$1:T$100,MATCH($A76,'Outcome Indicators - Section C '!$A$1:$A$100,0))*100,2)&amp;"%",""),)&amp;CHAR(10)&amp;IFERROR(IF(INDEX('Outcome Indicators - Section C '!V$1:V$100,MATCH($A76,'Outcome Indicators - Section C '!$A$1:$A$100,0))&lt;&gt;"",INDEX('Outcome Indicators - Section C '!V$1:V$100,MATCH($A76,'Outcome Indicators - Section C '!$A$1:$A$100,0)),""),"")&amp;CHAR(10)&amp;IFERROR(IF(INDEX('Outcome Indicators - Section C '!U$1:U$100,MATCH($A76,'Outcome Indicators - Section C '!$A$1:$A$100,0))&lt;&gt;"",TEXT(INDEX('Outcome Indicators - Section C '!U$1:U$100,MATCH($A76,'Outcome Indicators - Section C '!$A$1:$A$100,0)),Setup!$A$33),""),"")</f>
        <v xml:space="preserve">
</v>
      </c>
      <c r="G88" s="79" t="str">
        <f ca="1">IFERROR(IF(INDEX('Outcome Indicators - Section C '!X$1:X$100,MATCH($A76,'Outcome Indicators - Section C '!$A$1:$A$100,0))&lt;&gt;"",FIXED(INDEX('Outcome Indicators - Section C '!X$1:X$100,MATCH($A76,'Outcome Indicators - Section C '!$A$1:$A$100,0))*100,2)&amp;"%",""),"")&amp;CHAR(10)&amp;IFERROR(IF(INDEX('Outcome Indicators - Section C '!Z$1:Z$100,MATCH($A76,'Outcome Indicators - Section C '!$A$1:$A$100,0))&lt;&gt;"",INDEX('Outcome Indicators - Section C '!Z$1:Z$100,MATCH($A76,'Outcome Indicators - Section C '!$A$1:$A$100,0)),""),"")&amp;CHAR(10)&amp;IFERROR(IF(INDEX('Outcome Indicators - Section C '!Y$1:Y$100,MATCH($A76,'Outcome Indicators - Section C '!$A$1:$A$100,0))&lt;&gt;"",TEXT(INDEX('Outcome Indicators - Section C '!Y$1:Y$100,MATCH($A76,'Outcome Indicators - Section C '!$A$1:$A$100,0)),Setup!$A$33),""),"")</f>
        <v xml:space="preserve">
</v>
      </c>
    </row>
    <row r="89" spans="1:7" ht="18.75" customHeight="1" x14ac:dyDescent="0.25">
      <c r="A89" s="643"/>
      <c r="B89" s="623" t="s">
        <v>176</v>
      </c>
      <c r="C89" s="624"/>
      <c r="D89" s="624"/>
      <c r="E89" s="624"/>
      <c r="F89" s="624"/>
      <c r="G89" s="625"/>
    </row>
    <row r="90" spans="1:7" ht="18.75" customHeight="1" x14ac:dyDescent="0.25">
      <c r="A90" s="643"/>
      <c r="B90" s="633" t="str">
        <f>IFERROR(IF(INDEX('Outcome Indicators - Section C '!AA$1:AA$100,MATCH($A76,'Outcome Indicators - Section C '!$A$1:$A$100,0))&lt;&gt;0,INDEX('Outcome Indicators - Section C '!AA$1:AA$100,MATCH($A76,'Outcome Indicators - Section C '!$A$1:$A$100,0)),""),"")</f>
        <v>As a baseline, the results of the 2021 IBBS are presented, weighted by the size of the social network of respondents. RCHV&amp;HIV report "Biobehavioral HIV Research among Transgender People, Bishkek, 2021. Numerator: Number of transgender people who reported using a condom at last sexual intercourse or anal sex Denominator:Number of transgender people surveyed who reported having sexual intercourse or anal sex in the past six months</v>
      </c>
      <c r="C90" s="634"/>
      <c r="D90" s="634"/>
      <c r="E90" s="634"/>
      <c r="F90" s="634"/>
      <c r="G90" s="635"/>
    </row>
    <row r="91" spans="1:7" ht="18.75" customHeight="1" x14ac:dyDescent="0.25">
      <c r="A91" s="643"/>
      <c r="B91" s="636"/>
      <c r="C91" s="637"/>
      <c r="D91" s="637"/>
      <c r="E91" s="637"/>
      <c r="F91" s="637"/>
      <c r="G91" s="638"/>
    </row>
    <row r="92" spans="1:7" ht="18.75" customHeight="1" x14ac:dyDescent="0.25">
      <c r="A92" s="643"/>
      <c r="B92" s="636"/>
      <c r="C92" s="637"/>
      <c r="D92" s="637"/>
      <c r="E92" s="637"/>
      <c r="F92" s="637"/>
      <c r="G92" s="638"/>
    </row>
    <row r="93" spans="1:7" ht="18.75" customHeight="1" x14ac:dyDescent="0.25">
      <c r="A93" s="643"/>
      <c r="B93" s="636"/>
      <c r="C93" s="637"/>
      <c r="D93" s="637"/>
      <c r="E93" s="637"/>
      <c r="F93" s="637"/>
      <c r="G93" s="638"/>
    </row>
    <row r="94" spans="1:7" ht="18.75" customHeight="1" x14ac:dyDescent="0.25">
      <c r="A94" s="643"/>
      <c r="B94" s="636"/>
      <c r="C94" s="637"/>
      <c r="D94" s="637"/>
      <c r="E94" s="637"/>
      <c r="F94" s="637"/>
      <c r="G94" s="638"/>
    </row>
    <row r="95" spans="1:7" ht="18.75" customHeight="1" x14ac:dyDescent="0.25">
      <c r="A95" s="643"/>
      <c r="B95" s="636"/>
      <c r="C95" s="637"/>
      <c r="D95" s="637"/>
      <c r="E95" s="637"/>
      <c r="F95" s="637"/>
      <c r="G95" s="638"/>
    </row>
    <row r="96" spans="1:7" ht="18.75" customHeight="1" x14ac:dyDescent="0.25">
      <c r="A96" s="643"/>
      <c r="B96" s="636"/>
      <c r="C96" s="637"/>
      <c r="D96" s="637"/>
      <c r="E96" s="637"/>
      <c r="F96" s="637"/>
      <c r="G96" s="638"/>
    </row>
    <row r="97" spans="1:7" ht="18.75" customHeight="1" x14ac:dyDescent="0.25">
      <c r="A97" s="643"/>
      <c r="B97" s="636"/>
      <c r="C97" s="637"/>
      <c r="D97" s="637"/>
      <c r="E97" s="637"/>
      <c r="F97" s="637"/>
      <c r="G97" s="638"/>
    </row>
    <row r="98" spans="1:7" ht="18.75" customHeight="1" x14ac:dyDescent="0.25">
      <c r="A98" s="643"/>
      <c r="B98" s="636"/>
      <c r="C98" s="637"/>
      <c r="D98" s="637"/>
      <c r="E98" s="637"/>
      <c r="F98" s="637"/>
      <c r="G98" s="638"/>
    </row>
    <row r="99" spans="1:7" ht="18.75" customHeight="1" x14ac:dyDescent="0.25">
      <c r="A99" s="658"/>
      <c r="B99" s="644"/>
      <c r="C99" s="645"/>
      <c r="D99" s="645"/>
      <c r="E99" s="645"/>
      <c r="F99" s="645"/>
      <c r="G99" s="646"/>
    </row>
    <row r="100" spans="1:7" ht="18.75" customHeight="1" x14ac:dyDescent="0.25">
      <c r="A100" s="623"/>
      <c r="B100" s="624"/>
      <c r="C100" s="624"/>
      <c r="D100" s="624"/>
      <c r="E100" s="624"/>
      <c r="F100" s="624"/>
      <c r="G100" s="625"/>
    </row>
    <row r="102" spans="1:7" ht="18.75" customHeight="1" x14ac:dyDescent="0.25">
      <c r="A102" s="77" t="s">
        <v>4383</v>
      </c>
      <c r="B102" s="623" t="s">
        <v>738</v>
      </c>
      <c r="C102" s="624"/>
      <c r="D102" s="625"/>
      <c r="E102" s="623" t="s">
        <v>739</v>
      </c>
      <c r="F102" s="624"/>
      <c r="G102" s="625"/>
    </row>
    <row r="103" spans="1:7" ht="18.75" customHeight="1" x14ac:dyDescent="0.25">
      <c r="A103" s="642">
        <v>4</v>
      </c>
      <c r="B103" s="633" t="str">
        <f>IFERROR(IF(INDEX('Outcome Indicators - Section C '!B$1:B$100,MATCH($A103,'Outcome Indicators - Section C '!$A$1:$A$100,0))&lt;&gt;0,INDEX('Outcome Indicators - Section C '!B$1:B$100,MATCH($A103,'Outcome Indicators - Section C '!$A$1:$A$100,0)),""),"")</f>
        <v>HIV O-6⁽ᴹ⁾ Percentage of people who inject drugs reporting using sterile injecting equipment the last time they injected</v>
      </c>
      <c r="C103" s="634"/>
      <c r="D103" s="635"/>
      <c r="E103" s="633" t="str">
        <f>IFERROR(IF(INDEX('Outcome Indicators - Section C '!C$1:C$100,MATCH($A103,'Outcome Indicators - Section C '!$A$1:$A$100,0))&lt;&gt;0,INDEX('Outcome Indicators - Section C '!C$1:C$100,MATCH($A103,'Outcome Indicators - Section C '!$A$1:$A$100,0)),""),"")</f>
        <v/>
      </c>
      <c r="F103" s="634"/>
      <c r="G103" s="635"/>
    </row>
    <row r="104" spans="1:7" ht="18.75" customHeight="1" x14ac:dyDescent="0.25">
      <c r="A104" s="643"/>
      <c r="B104" s="636"/>
      <c r="C104" s="637"/>
      <c r="D104" s="638"/>
      <c r="E104" s="636"/>
      <c r="F104" s="637"/>
      <c r="G104" s="638"/>
    </row>
    <row r="105" spans="1:7" ht="18.75" customHeight="1" x14ac:dyDescent="0.25">
      <c r="A105" s="643"/>
      <c r="B105" s="644"/>
      <c r="C105" s="645"/>
      <c r="D105" s="646"/>
      <c r="E105" s="644"/>
      <c r="F105" s="645"/>
      <c r="G105" s="646"/>
    </row>
    <row r="106" spans="1:7" ht="18.75" customHeight="1" x14ac:dyDescent="0.25">
      <c r="A106" s="643"/>
      <c r="B106" s="623" t="s">
        <v>742</v>
      </c>
      <c r="C106" s="624"/>
      <c r="D106" s="625"/>
      <c r="E106" s="623" t="s">
        <v>127</v>
      </c>
      <c r="F106" s="624"/>
      <c r="G106" s="625"/>
    </row>
    <row r="107" spans="1:7" ht="18.75" customHeight="1" x14ac:dyDescent="0.25">
      <c r="A107" s="643"/>
      <c r="B107" s="647" t="str">
        <f>IFERROR(IF(INDEX('Outcome Indicators - Section C '!H$1:H$100,MATCH($A103,'Outcome Indicators - Section C '!$A$1:$A$100,0))&lt;&gt;0,INDEX('Outcome Indicators - Section C '!H$1:H$100,MATCH($A103,'Outcome Indicators - Section C '!$A$1:$A$100,0)),""),"")</f>
        <v/>
      </c>
      <c r="C107" s="648"/>
      <c r="D107" s="649"/>
      <c r="E107" s="647" t="str">
        <f>IFERROR(IF(INDEX('Outcome Indicators - Section C '!J$9:J$38,MATCH($A103,'Outcome Indicators - Section C '!$A$9:$A$100,0))&lt;&gt;0,INDEX('Outcome Indicators - Section C '!J$9:J$38,MATCH($A103,'Outcome Indicators - Section C '!$A$9:$A$100,0)),""),"")</f>
        <v/>
      </c>
      <c r="F107" s="648"/>
      <c r="G107" s="649"/>
    </row>
    <row r="108" spans="1:7" ht="18.75" customHeight="1" x14ac:dyDescent="0.25">
      <c r="A108" s="643"/>
      <c r="B108" s="623" t="s">
        <v>199</v>
      </c>
      <c r="C108" s="624"/>
      <c r="D108" s="625"/>
      <c r="E108" s="623" t="s">
        <v>120</v>
      </c>
      <c r="F108" s="624"/>
      <c r="G108" s="625"/>
    </row>
    <row r="109" spans="1:7" ht="18.75" customHeight="1" x14ac:dyDescent="0.25">
      <c r="A109" s="643"/>
      <c r="B109" s="633" t="str">
        <f>IFERROR(IF(INDEX('Outcome Indicators - Section C '!G$1:G$100,MATCH($A103,'Outcome Indicators - Section C '!$A$1:$A$100,0))&lt;&gt;0,INDEX('Outcome Indicators - Section C '!G$1:G$100,MATCH($A103,'Outcome Indicators - Section C '!$A$1:$A$100,0)),""),"")</f>
        <v>IBBS 2021 Kyrgyz Republic</v>
      </c>
      <c r="C109" s="634"/>
      <c r="D109" s="635"/>
      <c r="E109" s="633" t="str">
        <f>IFERROR(IF(AND('Overview - Section A'!AS$1="Grant Making",OR(B103&lt;&gt;"",E103&lt;&gt;"")),Setup!I96,IF(INDEX('Outcome Indicators - Section C '!I$1:I$100,MATCH($A103,'Outcome Indicators - Section C '!$A$1:$A$100,0))&lt;&gt;0,INDEX('Outcome Indicators - Section C '!I$1:I$100,MATCH($A103,'Outcome Indicators - Section C '!$A$1:$A$100,0)),"")),"")</f>
        <v>United Nations Development Programme</v>
      </c>
      <c r="F109" s="634"/>
      <c r="G109" s="635"/>
    </row>
    <row r="110" spans="1:7" ht="18.75" customHeight="1" x14ac:dyDescent="0.25">
      <c r="A110" s="643"/>
      <c r="B110" s="644"/>
      <c r="C110" s="645"/>
      <c r="D110" s="646"/>
      <c r="E110" s="644"/>
      <c r="F110" s="645"/>
      <c r="G110" s="646"/>
    </row>
    <row r="111" spans="1:7" ht="18.75" customHeight="1" x14ac:dyDescent="0.25">
      <c r="A111" s="643"/>
      <c r="B111" s="78"/>
      <c r="C111" s="63" t="s">
        <v>4384</v>
      </c>
      <c r="D111" s="623" t="s">
        <v>4385</v>
      </c>
      <c r="E111" s="624"/>
      <c r="F111" s="624"/>
      <c r="G111" s="625"/>
    </row>
    <row r="112" spans="1:7" ht="18.75" customHeight="1" x14ac:dyDescent="0.25">
      <c r="A112" s="643"/>
      <c r="B112" s="78" t="s">
        <v>2559</v>
      </c>
      <c r="C112" s="79">
        <f>IFERROR(IF(INDEX('Outcome Indicators - Section C '!F$1:F$100,MATCH($A103,'Outcome Indicators - Section C '!$A$1:$A$100,0))&lt;&gt;0,INDEX('Outcome Indicators - Section C '!F$1:F$100,MATCH($A103,'Outcome Indicators - Section C '!$A$1:$A$100,0)),""),"")</f>
        <v>2021</v>
      </c>
      <c r="D112" s="63">
        <f ca="1">IFERROR(IF(YEAR(INDEX('Overview - Section A'!$A$47:$A$54,MATCH('Print - Summary'!$H$10,'Overview - Section A'!$B$47:$B$54,0)))&lt;=YEAR('Overview - Section A'!$E$8),YEAR(INDEX('Overview - Section A'!$A$47:$A$54,MATCH('Print - Summary'!$H$10,'Overview - Section A'!$B$47:$B$54,0))),""),"")</f>
        <v>2024</v>
      </c>
      <c r="E112" s="63">
        <f ca="1">IFERROR(IF(D112+1&lt;=YEAR('Overview - Section A'!$E$8),D112+1,""),"")</f>
        <v>2025</v>
      </c>
      <c r="F112" s="63">
        <f ca="1">IFERROR(IF(E112+1&lt;=YEAR('Overview - Section A'!$E$8),E112+1,""),"")</f>
        <v>2026</v>
      </c>
      <c r="G112" s="63" t="str">
        <f ca="1">IFERROR(IF(F112+1&lt;=YEAR('Overview - Section A'!$E$8),F112+1,""),"")</f>
        <v/>
      </c>
    </row>
    <row r="113" spans="1:7" s="85" customFormat="1" ht="18.75" customHeight="1" x14ac:dyDescent="0.25">
      <c r="A113" s="643"/>
      <c r="B113" s="78" t="s">
        <v>4386</v>
      </c>
      <c r="C113" s="84" t="str">
        <f>IFERROR(IF(INDEX('Outcome Indicators - Section C '!D$1:D$100,MATCH($A103,'Outcome Indicators - Section C '!$A$1:$A$100,0))&lt;&gt;"",FIXED(INDEX('Outcome Indicators - Section C '!D$1:D$100,MATCH($A103,'Outcome Indicators - Section C '!$A$1:$A$100,0)),4),""),"")</f>
        <v/>
      </c>
      <c r="D113" s="84" t="str">
        <f>IFERROR(IF(INDEX('Outcome Indicators - Section C '!K$1:K$100,MATCH($A103,'Outcome Indicators - Section C '!$A$1:$A$100,0))&lt;&gt;"",FIXED(INDEX('Outcome Indicators - Section C '!K$1:K$100,MATCH($A103,'Outcome Indicators - Section C '!$A$1:$A$100,0)),4),""),"")</f>
        <v/>
      </c>
      <c r="E113" s="84" t="str">
        <f>IFERROR(IF(INDEX('Outcome Indicators - Section C '!O$1:O$100,MATCH($A103,'Outcome Indicators - Section C '!$A$1:$A$100,0))&lt;&gt;"",FIXED(INDEX('Outcome Indicators - Section C '!O$1:O$100,MATCH($A103,'Outcome Indicators - Section C '!$A$1:$A$100,0)),4),""),"")</f>
        <v/>
      </c>
      <c r="F113" s="84" t="str">
        <f>IFERROR(IF(INDEX('Outcome Indicators - Section C '!S$1:S$100,MATCH($A103,'Outcome Indicators - Section C '!$A$1:$A$100,0))&lt;&gt;"",FIXED(INDEX('Outcome Indicators - Section C '!S$1:S$100,MATCH($A103,'Outcome Indicators - Section C '!$A$1:$A$100,0)),4),""),"")</f>
        <v/>
      </c>
      <c r="G113" s="84" t="str">
        <f>IFERROR(IF(INDEX('Outcome Indicators - Section C '!W$1:W$100,MATCH($A103,'Outcome Indicators - Section C '!$A$1:$A$100,0))&lt;&gt;"",FIXED(INDEX('Outcome Indicators - Section C '!W$1:W$100,MATCH($A103,'Outcome Indicators - Section C '!$A$1:$A$100,0)),4),""),"")</f>
        <v/>
      </c>
    </row>
    <row r="114" spans="1:7" s="83" customFormat="1" ht="18.75" customHeight="1" x14ac:dyDescent="0.25">
      <c r="A114" s="643"/>
      <c r="B114" s="78" t="s">
        <v>4387</v>
      </c>
      <c r="C114" s="82" t="str">
        <f>IFERROR(IF(INDEX('Outcome Indicators - Section C '!D$1:D$100,MATCH($A103,'Outcome Indicators - Section C '!$A$1:$A$100,0)+1)&lt;&gt;"",FIXED(INDEX('Outcome Indicators - Section C '!D$1:D$100,MATCH($A103,'Outcome Indicators - Section C '!$A$1:$A$100,0)+1),2),""),"")</f>
        <v/>
      </c>
      <c r="D114" s="82" t="str">
        <f>IFERROR(IF(INDEX('Outcome Indicators - Section C '!K$1:K$100,MATCH($A103,'Outcome Indicators - Section C '!$A$1:$A$100,0)+1)&lt;&gt;"",FIXED(INDEX('Outcome Indicators - Section C '!K$1:K$100,MATCH($A103,'Outcome Indicators - Section C '!$A$1:$A$100,0)+1),2),""),"")</f>
        <v/>
      </c>
      <c r="E114" s="82" t="str">
        <f>IFERROR(IF(INDEX('Outcome Indicators - Section C '!O$1:O$100,MATCH($A103,'Outcome Indicators - Section C '!$A$1:$A$100,0)+1)&lt;&gt;"",FIXED(INDEX('Outcome Indicators - Section C '!O$1:O$100,MATCH($A103,'Outcome Indicators - Section C '!$A$1:$A$100,0)+1),2),""),"")</f>
        <v/>
      </c>
      <c r="F114" s="82" t="str">
        <f>IFERROR(IF(INDEX('Outcome Indicators - Section C '!S$1:S$100,MATCH($A103,'Outcome Indicators - Section C '!$A$1:$A$100,0)+1)&lt;&gt;"",FIXED(INDEX('Outcome Indicators - Section C '!S$1:S$100,MATCH($A103,'Outcome Indicators - Section C '!$A$1:$A$100,0)+1),2),""),"")</f>
        <v/>
      </c>
      <c r="G114" s="82" t="str">
        <f>IFERROR(IF(INDEX('Outcome Indicators - Section C '!W$1:W$100,MATCH($A103,'Outcome Indicators - Section C '!$A$1:$A$100,0)+1)&lt;&gt;"",FIXED(INDEX('Outcome Indicators - Section C '!W$1:W$100,MATCH($A103,'Outcome Indicators - Section C '!$A$1:$A$100,0)+1),2),""),"")</f>
        <v/>
      </c>
    </row>
    <row r="115" spans="1:7" ht="18.75" customHeight="1" x14ac:dyDescent="0.25">
      <c r="A115" s="643"/>
      <c r="B115" s="78" t="s">
        <v>4388</v>
      </c>
      <c r="C115" s="79" t="str">
        <f>IFERROR(IF(INDEX('Outcome Indicators - Section C '!E$1:E$100,MATCH($A103,'Outcome Indicators - Section C '!$A$1:$A$100,0))&lt;&gt;"",FIXED(INDEX('Outcome Indicators - Section C '!E$1:E$100,MATCH($A103,'Outcome Indicators - Section C '!$A$1:$A$100,0))*100,2)&amp;"%",""),"")</f>
        <v>95,90%</v>
      </c>
      <c r="D115" s="79" t="str">
        <f>IFERROR(IF(INDEX('Outcome Indicators - Section C '!L$1:L$100,MATCH($A103,'Outcome Indicators - Section C '!$A$1:$A$100,0))&lt;&gt;"",FIXED(INDEX('Outcome Indicators - Section C '!L$1:L$100,MATCH($A103,'Outcome Indicators - Section C '!$A$1:$A$100,0))*100,2)&amp;"%",""),"")&amp;CHAR(10)&amp;IFERROR(IF(INDEX('Outcome Indicators - Section C '!N$1:N$100,MATCH($A103,'Outcome Indicators - Section C '!$A$1:$A$100,0))&lt;&gt;"",INDEX('Outcome Indicators - Section C '!N$1:N$100,MATCH($A103,'Outcome Indicators - Section C '!$A$1:$A$100,0)),""),"")&amp;CHAR(10)&amp;IFERROR(IF(INDEX('Outcome Indicators - Section C '!M$1:M$100,MATCH($A103,'Outcome Indicators - Section C '!$A$1:$A$100,0))&lt;&gt;"",TEXT(INDEX('Outcome Indicators - Section C '!M$1:M$100,MATCH($A103,'Outcome Indicators - Section C '!$A$1:$A$100,0)),Setup!$A$33),""),"")</f>
        <v xml:space="preserve">
</v>
      </c>
      <c r="E115" s="79" t="str">
        <f>IFERROR(IF(INDEX('Outcome Indicators - Section C '!P$1:P$100,MATCH($A103,'Outcome Indicators - Section C '!$A$1:$A$100,0))&lt;&gt;"",FIXED(INDEX('Outcome Indicators - Section C '!P$1:P$100,MATCH($A103,'Outcome Indicators - Section C '!$A$1:$A$100,0))*100,2)&amp;"%",""),)&amp;CHAR(10)&amp;IFERROR(IF(INDEX('Outcome Indicators - Section C '!R$1:R$100,MATCH($A103,'Outcome Indicators - Section C '!$A$1:$A$100,0))&lt;&gt;"",INDEX('Outcome Indicators - Section C '!R$1:R$100,MATCH($A103,'Outcome Indicators - Section C '!$A$1:$A$100,0)),""),"")&amp;CHAR(10)&amp;IFERROR(IF(INDEX('Outcome Indicators - Section C '!Q$1:Q$100,MATCH($A103,'Outcome Indicators - Section C '!$A$1:$A$100,0))&lt;&gt;"",TEXT(INDEX('Outcome Indicators - Section C '!Q$1:Q$100,MATCH($A103,'Outcome Indicators - Section C '!$A$1:$A$100,0)),Setup!$A$33),""),"")</f>
        <v xml:space="preserve">97,00%
</v>
      </c>
      <c r="F115" s="79" t="str">
        <f ca="1">IFERROR(IF(INDEX('Outcome Indicators - Section C '!T$1:T$100,MATCH($A103,'Outcome Indicators - Section C '!$A$1:$A$100,0))&lt;&gt;"",FIXED(INDEX('Outcome Indicators - Section C '!T$1:T$100,MATCH($A103,'Outcome Indicators - Section C '!$A$1:$A$100,0))*100,2)&amp;"%",""),)&amp;CHAR(10)&amp;IFERROR(IF(INDEX('Outcome Indicators - Section C '!V$1:V$100,MATCH($A103,'Outcome Indicators - Section C '!$A$1:$A$100,0))&lt;&gt;"",INDEX('Outcome Indicators - Section C '!V$1:V$100,MATCH($A103,'Outcome Indicators - Section C '!$A$1:$A$100,0)),""),"")&amp;CHAR(10)&amp;IFERROR(IF(INDEX('Outcome Indicators - Section C '!U$1:U$100,MATCH($A103,'Outcome Indicators - Section C '!$A$1:$A$100,0))&lt;&gt;"",TEXT(INDEX('Outcome Indicators - Section C '!U$1:U$100,MATCH($A103,'Outcome Indicators - Section C '!$A$1:$A$100,0)),Setup!$A$33),""),"")</f>
        <v xml:space="preserve">
</v>
      </c>
      <c r="G115" s="79" t="str">
        <f ca="1">IFERROR(IF(INDEX('Outcome Indicators - Section C '!X$1:X$100,MATCH($A103,'Outcome Indicators - Section C '!$A$1:$A$100,0))&lt;&gt;"",FIXED(INDEX('Outcome Indicators - Section C '!X$1:X$100,MATCH($A103,'Outcome Indicators - Section C '!$A$1:$A$100,0))*100,2)&amp;"%",""),"")&amp;CHAR(10)&amp;IFERROR(IF(INDEX('Outcome Indicators - Section C '!Z$1:Z$100,MATCH($A103,'Outcome Indicators - Section C '!$A$1:$A$100,0))&lt;&gt;"",INDEX('Outcome Indicators - Section C '!Z$1:Z$100,MATCH($A103,'Outcome Indicators - Section C '!$A$1:$A$100,0)),""),"")&amp;CHAR(10)&amp;IFERROR(IF(INDEX('Outcome Indicators - Section C '!Y$1:Y$100,MATCH($A103,'Outcome Indicators - Section C '!$A$1:$A$100,0))&lt;&gt;"",TEXT(INDEX('Outcome Indicators - Section C '!Y$1:Y$100,MATCH($A103,'Outcome Indicators - Section C '!$A$1:$A$100,0)),Setup!$A$33),""),"")</f>
        <v xml:space="preserve">
</v>
      </c>
    </row>
    <row r="116" spans="1:7" ht="18.75" customHeight="1" x14ac:dyDescent="0.25">
      <c r="A116" s="643"/>
      <c r="B116" s="623" t="s">
        <v>176</v>
      </c>
      <c r="C116" s="624"/>
      <c r="D116" s="624"/>
      <c r="E116" s="624"/>
      <c r="F116" s="624"/>
      <c r="G116" s="625"/>
    </row>
    <row r="117" spans="1:7" ht="18.75" customHeight="1" x14ac:dyDescent="0.25">
      <c r="A117" s="643"/>
      <c r="B117" s="633" t="str">
        <f>IFERROR(IF(INDEX('Outcome Indicators - Section C '!AA$1:AA$100,MATCH($A103,'Outcome Indicators - Section C '!$A$1:$A$100,0))&lt;&gt;0,INDEX('Outcome Indicators - Section C '!AA$1:AA$100,MATCH($A103,'Outcome Indicators - Section C '!$A$1:$A$100,0)),""),"")</f>
        <v>As a baseline, the results of the 2021 IBBS are presented, weighted by the size of the social network of respondents. RCHV&amp;HIV report "Biobehavioral HIV Research among Transgender People, Bishkek, 2021. Numerator: Number of people who inject drugs who report using sterile injecting equipment the last time they injected drugs Denominator: Number of people who inject drugs who report injecting drugs in the past month</v>
      </c>
      <c r="C117" s="634"/>
      <c r="D117" s="634"/>
      <c r="E117" s="634"/>
      <c r="F117" s="634"/>
      <c r="G117" s="635"/>
    </row>
    <row r="118" spans="1:7" ht="18.75" customHeight="1" x14ac:dyDescent="0.25">
      <c r="A118" s="643"/>
      <c r="B118" s="636"/>
      <c r="C118" s="637"/>
      <c r="D118" s="637"/>
      <c r="E118" s="637"/>
      <c r="F118" s="637"/>
      <c r="G118" s="638"/>
    </row>
    <row r="119" spans="1:7" ht="18.75" customHeight="1" x14ac:dyDescent="0.25">
      <c r="A119" s="643"/>
      <c r="B119" s="636"/>
      <c r="C119" s="637"/>
      <c r="D119" s="637"/>
      <c r="E119" s="637"/>
      <c r="F119" s="637"/>
      <c r="G119" s="638"/>
    </row>
    <row r="120" spans="1:7" ht="18.75" customHeight="1" x14ac:dyDescent="0.25">
      <c r="A120" s="643"/>
      <c r="B120" s="636"/>
      <c r="C120" s="637"/>
      <c r="D120" s="637"/>
      <c r="E120" s="637"/>
      <c r="F120" s="637"/>
      <c r="G120" s="638"/>
    </row>
    <row r="121" spans="1:7" ht="18.75" customHeight="1" x14ac:dyDescent="0.25">
      <c r="A121" s="643"/>
      <c r="B121" s="636"/>
      <c r="C121" s="637"/>
      <c r="D121" s="637"/>
      <c r="E121" s="637"/>
      <c r="F121" s="637"/>
      <c r="G121" s="638"/>
    </row>
    <row r="122" spans="1:7" ht="18.75" customHeight="1" x14ac:dyDescent="0.25">
      <c r="A122" s="643"/>
      <c r="B122" s="636"/>
      <c r="C122" s="637"/>
      <c r="D122" s="637"/>
      <c r="E122" s="637"/>
      <c r="F122" s="637"/>
      <c r="G122" s="638"/>
    </row>
    <row r="123" spans="1:7" ht="18.75" customHeight="1" x14ac:dyDescent="0.25">
      <c r="A123" s="643"/>
      <c r="B123" s="636"/>
      <c r="C123" s="637"/>
      <c r="D123" s="637"/>
      <c r="E123" s="637"/>
      <c r="F123" s="637"/>
      <c r="G123" s="638"/>
    </row>
    <row r="124" spans="1:7" ht="18.75" customHeight="1" x14ac:dyDescent="0.25">
      <c r="A124" s="643"/>
      <c r="B124" s="636"/>
      <c r="C124" s="637"/>
      <c r="D124" s="637"/>
      <c r="E124" s="637"/>
      <c r="F124" s="637"/>
      <c r="G124" s="638"/>
    </row>
    <row r="125" spans="1:7" ht="18.75" customHeight="1" x14ac:dyDescent="0.25">
      <c r="A125" s="643"/>
      <c r="B125" s="636"/>
      <c r="C125" s="637"/>
      <c r="D125" s="637"/>
      <c r="E125" s="637"/>
      <c r="F125" s="637"/>
      <c r="G125" s="638"/>
    </row>
    <row r="126" spans="1:7" ht="18.75" customHeight="1" x14ac:dyDescent="0.25">
      <c r="A126" s="658"/>
      <c r="B126" s="644"/>
      <c r="C126" s="645"/>
      <c r="D126" s="645"/>
      <c r="E126" s="645"/>
      <c r="F126" s="645"/>
      <c r="G126" s="646"/>
    </row>
    <row r="127" spans="1:7" ht="18.75" customHeight="1" x14ac:dyDescent="0.25">
      <c r="A127" s="623"/>
      <c r="B127" s="624"/>
      <c r="C127" s="624"/>
      <c r="D127" s="624"/>
      <c r="E127" s="624"/>
      <c r="F127" s="624"/>
      <c r="G127" s="625"/>
    </row>
    <row r="129" spans="1:7" ht="18.75" customHeight="1" x14ac:dyDescent="0.25">
      <c r="A129" s="77" t="s">
        <v>4383</v>
      </c>
      <c r="B129" s="623" t="s">
        <v>738</v>
      </c>
      <c r="C129" s="624"/>
      <c r="D129" s="625"/>
      <c r="E129" s="623" t="s">
        <v>739</v>
      </c>
      <c r="F129" s="624"/>
      <c r="G129" s="625"/>
    </row>
    <row r="130" spans="1:7" ht="18.75" customHeight="1" x14ac:dyDescent="0.25">
      <c r="A130" s="642">
        <v>5</v>
      </c>
      <c r="B130" s="633" t="str">
        <f>IFERROR(IF(INDEX('Outcome Indicators - Section C '!B$1:B$100,MATCH($A130,'Outcome Indicators - Section C '!$A$1:$A$100,0))&lt;&gt;0,INDEX('Outcome Indicators - Section C '!B$1:B$100,MATCH($A130,'Outcome Indicators - Section C '!$A$1:$A$100,0)),""),"")</f>
        <v>HIV O-11⁽ᴹ⁾ Percentage of people living with HIV who know their HIV status at the end of the reporting period</v>
      </c>
      <c r="C130" s="634"/>
      <c r="D130" s="635"/>
      <c r="E130" s="633" t="str">
        <f>IFERROR(IF(INDEX('Outcome Indicators - Section C '!C$1:C$100,MATCH($A130,'Outcome Indicators - Section C '!$A$1:$A$100,0))&lt;&gt;0,INDEX('Outcome Indicators - Section C '!C$1:C$100,MATCH($A130,'Outcome Indicators - Section C '!$A$1:$A$100,0)),""),"")</f>
        <v/>
      </c>
      <c r="F130" s="634"/>
      <c r="G130" s="635"/>
    </row>
    <row r="131" spans="1:7" ht="18.75" customHeight="1" x14ac:dyDescent="0.25">
      <c r="A131" s="643"/>
      <c r="B131" s="636"/>
      <c r="C131" s="637"/>
      <c r="D131" s="638"/>
      <c r="E131" s="636"/>
      <c r="F131" s="637"/>
      <c r="G131" s="638"/>
    </row>
    <row r="132" spans="1:7" ht="18.75" customHeight="1" x14ac:dyDescent="0.25">
      <c r="A132" s="643"/>
      <c r="B132" s="644"/>
      <c r="C132" s="645"/>
      <c r="D132" s="646"/>
      <c r="E132" s="644"/>
      <c r="F132" s="645"/>
      <c r="G132" s="646"/>
    </row>
    <row r="133" spans="1:7" ht="18.75" customHeight="1" x14ac:dyDescent="0.25">
      <c r="A133" s="643"/>
      <c r="B133" s="623" t="s">
        <v>742</v>
      </c>
      <c r="C133" s="624"/>
      <c r="D133" s="625"/>
      <c r="E133" s="623" t="s">
        <v>127</v>
      </c>
      <c r="F133" s="624"/>
      <c r="G133" s="625"/>
    </row>
    <row r="134" spans="1:7" ht="18.75" customHeight="1" x14ac:dyDescent="0.25">
      <c r="A134" s="643"/>
      <c r="B134" s="647" t="str">
        <f>IFERROR(IF(INDEX('Outcome Indicators - Section C '!H$1:H$100,MATCH($A130,'Outcome Indicators - Section C '!$A$1:$A$100,0))&lt;&gt;0,INDEX('Outcome Indicators - Section C '!H$1:H$100,MATCH($A130,'Outcome Indicators - Section C '!$A$1:$A$100,0)),""),"")</f>
        <v>Gender | Age,Age</v>
      </c>
      <c r="C134" s="648"/>
      <c r="D134" s="649"/>
      <c r="E134" s="647" t="str">
        <f>IFERROR(IF(INDEX('Outcome Indicators - Section C '!J$9:J$38,MATCH($A130,'Outcome Indicators - Section C '!$A$9:$A$100,0))&lt;&gt;0,INDEX('Outcome Indicators - Section C '!J$9:J$38,MATCH($A130,'Outcome Indicators - Section C '!$A$9:$A$100,0)),""),"")</f>
        <v/>
      </c>
      <c r="F134" s="648"/>
      <c r="G134" s="649"/>
    </row>
    <row r="135" spans="1:7" ht="18.75" customHeight="1" x14ac:dyDescent="0.25">
      <c r="A135" s="643"/>
      <c r="B135" s="623" t="s">
        <v>199</v>
      </c>
      <c r="C135" s="624"/>
      <c r="D135" s="625"/>
      <c r="E135" s="623" t="s">
        <v>120</v>
      </c>
      <c r="F135" s="624"/>
      <c r="G135" s="625"/>
    </row>
    <row r="136" spans="1:7" ht="18.75" customHeight="1" x14ac:dyDescent="0.25">
      <c r="A136" s="643"/>
      <c r="B136" s="633" t="str">
        <f>IFERROR(IF(INDEX('Outcome Indicators - Section C '!G$1:G$100,MATCH($A130,'Outcome Indicators - Section C '!$A$1:$A$100,0))&lt;&gt;0,INDEX('Outcome Indicators - Section C '!G$1:G$100,MATCH($A130,'Outcome Indicators - Section C '!$A$1:$A$100,0)),""),"")</f>
        <v>RCHV&amp;HIV, Electronic HIV Case Tracking System</v>
      </c>
      <c r="C136" s="634"/>
      <c r="D136" s="635"/>
      <c r="E136" s="633" t="str">
        <f>IFERROR(IF(AND('Overview - Section A'!AS$1="Grant Making",OR(B130&lt;&gt;"",E130&lt;&gt;"")),Setup!I123,IF(INDEX('Outcome Indicators - Section C '!I$1:I$100,MATCH($A130,'Outcome Indicators - Section C '!$A$1:$A$100,0))&lt;&gt;0,INDEX('Outcome Indicators - Section C '!I$1:I$100,MATCH($A130,'Outcome Indicators - Section C '!$A$1:$A$100,0)),"")),"")</f>
        <v>United Nations Development Programme</v>
      </c>
      <c r="F136" s="634"/>
      <c r="G136" s="635"/>
    </row>
    <row r="137" spans="1:7" ht="18.75" customHeight="1" x14ac:dyDescent="0.25">
      <c r="A137" s="643"/>
      <c r="B137" s="644"/>
      <c r="C137" s="645"/>
      <c r="D137" s="646"/>
      <c r="E137" s="644"/>
      <c r="F137" s="645"/>
      <c r="G137" s="646"/>
    </row>
    <row r="138" spans="1:7" ht="18.75" customHeight="1" x14ac:dyDescent="0.25">
      <c r="A138" s="643"/>
      <c r="B138" s="78"/>
      <c r="C138" s="63" t="s">
        <v>4384</v>
      </c>
      <c r="D138" s="623" t="s">
        <v>4385</v>
      </c>
      <c r="E138" s="624"/>
      <c r="F138" s="624"/>
      <c r="G138" s="625"/>
    </row>
    <row r="139" spans="1:7" ht="18.75" customHeight="1" x14ac:dyDescent="0.25">
      <c r="A139" s="643"/>
      <c r="B139" s="78" t="s">
        <v>2559</v>
      </c>
      <c r="C139" s="79">
        <f>IFERROR(IF(INDEX('Outcome Indicators - Section C '!F$1:F$100,MATCH($A130,'Outcome Indicators - Section C '!$A$1:$A$100,0))&lt;&gt;0,INDEX('Outcome Indicators - Section C '!F$1:F$100,MATCH($A130,'Outcome Indicators - Section C '!$A$1:$A$100,0)),""),"")</f>
        <v>2022</v>
      </c>
      <c r="D139" s="63">
        <f ca="1">IFERROR(IF(YEAR(INDEX('Overview - Section A'!$A$47:$A$54,MATCH('Print - Summary'!$H$10,'Overview - Section A'!$B$47:$B$54,0)))&lt;=YEAR('Overview - Section A'!$E$8),YEAR(INDEX('Overview - Section A'!$A$47:$A$54,MATCH('Print - Summary'!$H$10,'Overview - Section A'!$B$47:$B$54,0))),""),"")</f>
        <v>2024</v>
      </c>
      <c r="E139" s="63">
        <f ca="1">IFERROR(IF(D139+1&lt;=YEAR('Overview - Section A'!$E$8),D139+1,""),"")</f>
        <v>2025</v>
      </c>
      <c r="F139" s="63">
        <f ca="1">IFERROR(IF(E139+1&lt;=YEAR('Overview - Section A'!$E$8),E139+1,""),"")</f>
        <v>2026</v>
      </c>
      <c r="G139" s="63" t="str">
        <f ca="1">IFERROR(IF(F139+1&lt;=YEAR('Overview - Section A'!$E$8),F139+1,""),"")</f>
        <v/>
      </c>
    </row>
    <row r="140" spans="1:7" s="85" customFormat="1" ht="18.75" customHeight="1" x14ac:dyDescent="0.25">
      <c r="A140" s="643"/>
      <c r="B140" s="78" t="s">
        <v>4386</v>
      </c>
      <c r="C140" s="84" t="str">
        <f>IFERROR(IF(INDEX('Outcome Indicators - Section C '!D$1:D$100,MATCH($A130,'Outcome Indicators - Section C '!$A$1:$A$100,0))&lt;&gt;"",FIXED(INDEX('Outcome Indicators - Section C '!D$1:D$100,MATCH($A130,'Outcome Indicators - Section C '!$A$1:$A$100,0)),4),""),"")</f>
        <v>8,307.0000</v>
      </c>
      <c r="D140" s="84" t="str">
        <f>IFERROR(IF(INDEX('Outcome Indicators - Section C '!K$1:K$100,MATCH($A130,'Outcome Indicators - Section C '!$A$1:$A$100,0))&lt;&gt;"",FIXED(INDEX('Outcome Indicators - Section C '!K$1:K$100,MATCH($A130,'Outcome Indicators - Section C '!$A$1:$A$100,0)),4),""),"")</f>
        <v/>
      </c>
      <c r="E140" s="84" t="str">
        <f>IFERROR(IF(INDEX('Outcome Indicators - Section C '!O$1:O$100,MATCH($A130,'Outcome Indicators - Section C '!$A$1:$A$100,0))&lt;&gt;"",FIXED(INDEX('Outcome Indicators - Section C '!O$1:O$100,MATCH($A130,'Outcome Indicators - Section C '!$A$1:$A$100,0)),4),""),"")</f>
        <v/>
      </c>
      <c r="F140" s="84" t="str">
        <f>IFERROR(IF(INDEX('Outcome Indicators - Section C '!S$1:S$100,MATCH($A130,'Outcome Indicators - Section C '!$A$1:$A$100,0))&lt;&gt;"",FIXED(INDEX('Outcome Indicators - Section C '!S$1:S$100,MATCH($A130,'Outcome Indicators - Section C '!$A$1:$A$100,0)),4),""),"")</f>
        <v/>
      </c>
      <c r="G140" s="84" t="str">
        <f>IFERROR(IF(INDEX('Outcome Indicators - Section C '!W$1:W$100,MATCH($A130,'Outcome Indicators - Section C '!$A$1:$A$100,0))&lt;&gt;"",FIXED(INDEX('Outcome Indicators - Section C '!W$1:W$100,MATCH($A130,'Outcome Indicators - Section C '!$A$1:$A$100,0)),4),""),"")</f>
        <v/>
      </c>
    </row>
    <row r="141" spans="1:7" s="83" customFormat="1" ht="18.75" customHeight="1" x14ac:dyDescent="0.25">
      <c r="A141" s="643"/>
      <c r="B141" s="78" t="s">
        <v>4387</v>
      </c>
      <c r="C141" s="82" t="str">
        <f>IFERROR(IF(INDEX('Outcome Indicators - Section C '!D$1:D$100,MATCH($A130,'Outcome Indicators - Section C '!$A$1:$A$100,0)+1)&lt;&gt;"",FIXED(INDEX('Outcome Indicators - Section C '!D$1:D$100,MATCH($A130,'Outcome Indicators - Section C '!$A$1:$A$100,0)+1),2),""),"")</f>
        <v>10,000.00</v>
      </c>
      <c r="D141" s="82" t="str">
        <f>IFERROR(IF(INDEX('Outcome Indicators - Section C '!K$1:K$100,MATCH($A130,'Outcome Indicators - Section C '!$A$1:$A$100,0)+1)&lt;&gt;"",FIXED(INDEX('Outcome Indicators - Section C '!K$1:K$100,MATCH($A130,'Outcome Indicators - Section C '!$A$1:$A$100,0)+1),2),""),"")</f>
        <v/>
      </c>
      <c r="E141" s="82" t="str">
        <f>IFERROR(IF(INDEX('Outcome Indicators - Section C '!O$1:O$100,MATCH($A130,'Outcome Indicators - Section C '!$A$1:$A$100,0)+1)&lt;&gt;"",FIXED(INDEX('Outcome Indicators - Section C '!O$1:O$100,MATCH($A130,'Outcome Indicators - Section C '!$A$1:$A$100,0)+1),2),""),"")</f>
        <v/>
      </c>
      <c r="F141" s="82" t="str">
        <f>IFERROR(IF(INDEX('Outcome Indicators - Section C '!S$1:S$100,MATCH($A130,'Outcome Indicators - Section C '!$A$1:$A$100,0)+1)&lt;&gt;"",FIXED(INDEX('Outcome Indicators - Section C '!S$1:S$100,MATCH($A130,'Outcome Indicators - Section C '!$A$1:$A$100,0)+1),2),""),"")</f>
        <v/>
      </c>
      <c r="G141" s="82" t="str">
        <f>IFERROR(IF(INDEX('Outcome Indicators - Section C '!W$1:W$100,MATCH($A130,'Outcome Indicators - Section C '!$A$1:$A$100,0)+1)&lt;&gt;"",FIXED(INDEX('Outcome Indicators - Section C '!W$1:W$100,MATCH($A130,'Outcome Indicators - Section C '!$A$1:$A$100,0)+1),2),""),"")</f>
        <v/>
      </c>
    </row>
    <row r="142" spans="1:7" ht="18.75" customHeight="1" x14ac:dyDescent="0.25">
      <c r="A142" s="643"/>
      <c r="B142" s="78" t="s">
        <v>4388</v>
      </c>
      <c r="C142" s="79" t="str">
        <f ca="1">IFERROR(IF(INDEX('Outcome Indicators - Section C '!E$1:E$100,MATCH($A130,'Outcome Indicators - Section C '!$A$1:$A$100,0))&lt;&gt;"",FIXED(INDEX('Outcome Indicators - Section C '!E$1:E$100,MATCH($A130,'Outcome Indicators - Section C '!$A$1:$A$100,0))*100,2)&amp;"%",""),"")</f>
        <v>83,07%</v>
      </c>
      <c r="D142" s="79" t="str">
        <f>IFERROR(IF(INDEX('Outcome Indicators - Section C '!L$1:L$100,MATCH($A130,'Outcome Indicators - Section C '!$A$1:$A$100,0))&lt;&gt;"",FIXED(INDEX('Outcome Indicators - Section C '!L$1:L$100,MATCH($A130,'Outcome Indicators - Section C '!$A$1:$A$100,0))*100,2)&amp;"%",""),"")&amp;CHAR(10)&amp;IFERROR(IF(INDEX('Outcome Indicators - Section C '!N$1:N$100,MATCH($A130,'Outcome Indicators - Section C '!$A$1:$A$100,0))&lt;&gt;"",INDEX('Outcome Indicators - Section C '!N$1:N$100,MATCH($A130,'Outcome Indicators - Section C '!$A$1:$A$100,0)),""),"")&amp;CHAR(10)&amp;IFERROR(IF(INDEX('Outcome Indicators - Section C '!M$1:M$100,MATCH($A130,'Outcome Indicators - Section C '!$A$1:$A$100,0))&lt;&gt;"",TEXT(INDEX('Outcome Indicators - Section C '!M$1:M$100,MATCH($A130,'Outcome Indicators - Section C '!$A$1:$A$100,0)),Setup!$A$33),""),"")</f>
        <v xml:space="preserve">95,00%
</v>
      </c>
      <c r="E142" s="79" t="str">
        <f>IFERROR(IF(INDEX('Outcome Indicators - Section C '!P$1:P$100,MATCH($A130,'Outcome Indicators - Section C '!$A$1:$A$100,0))&lt;&gt;"",FIXED(INDEX('Outcome Indicators - Section C '!P$1:P$100,MATCH($A130,'Outcome Indicators - Section C '!$A$1:$A$100,0))*100,2)&amp;"%",""),)&amp;CHAR(10)&amp;IFERROR(IF(INDEX('Outcome Indicators - Section C '!R$1:R$100,MATCH($A130,'Outcome Indicators - Section C '!$A$1:$A$100,0))&lt;&gt;"",INDEX('Outcome Indicators - Section C '!R$1:R$100,MATCH($A130,'Outcome Indicators - Section C '!$A$1:$A$100,0)),""),"")&amp;CHAR(10)&amp;IFERROR(IF(INDEX('Outcome Indicators - Section C '!Q$1:Q$100,MATCH($A130,'Outcome Indicators - Section C '!$A$1:$A$100,0))&lt;&gt;"",TEXT(INDEX('Outcome Indicators - Section C '!Q$1:Q$100,MATCH($A130,'Outcome Indicators - Section C '!$A$1:$A$100,0)),Setup!$A$33),""),"")</f>
        <v xml:space="preserve">95,00%
</v>
      </c>
      <c r="F142" s="79" t="str">
        <f>IFERROR(IF(INDEX('Outcome Indicators - Section C '!T$1:T$100,MATCH($A130,'Outcome Indicators - Section C '!$A$1:$A$100,0))&lt;&gt;"",FIXED(INDEX('Outcome Indicators - Section C '!T$1:T$100,MATCH($A130,'Outcome Indicators - Section C '!$A$1:$A$100,0))*100,2)&amp;"%",""),)&amp;CHAR(10)&amp;IFERROR(IF(INDEX('Outcome Indicators - Section C '!V$1:V$100,MATCH($A130,'Outcome Indicators - Section C '!$A$1:$A$100,0))&lt;&gt;"",INDEX('Outcome Indicators - Section C '!V$1:V$100,MATCH($A130,'Outcome Indicators - Section C '!$A$1:$A$100,0)),""),"")&amp;CHAR(10)&amp;IFERROR(IF(INDEX('Outcome Indicators - Section C '!U$1:U$100,MATCH($A130,'Outcome Indicators - Section C '!$A$1:$A$100,0))&lt;&gt;"",TEXT(INDEX('Outcome Indicators - Section C '!U$1:U$100,MATCH($A130,'Outcome Indicators - Section C '!$A$1:$A$100,0)),Setup!$A$33),""),"")</f>
        <v xml:space="preserve">95,00%
</v>
      </c>
      <c r="G142" s="79" t="str">
        <f ca="1">IFERROR(IF(INDEX('Outcome Indicators - Section C '!X$1:X$100,MATCH($A130,'Outcome Indicators - Section C '!$A$1:$A$100,0))&lt;&gt;"",FIXED(INDEX('Outcome Indicators - Section C '!X$1:X$100,MATCH($A130,'Outcome Indicators - Section C '!$A$1:$A$100,0))*100,2)&amp;"%",""),"")&amp;CHAR(10)&amp;IFERROR(IF(INDEX('Outcome Indicators - Section C '!Z$1:Z$100,MATCH($A130,'Outcome Indicators - Section C '!$A$1:$A$100,0))&lt;&gt;"",INDEX('Outcome Indicators - Section C '!Z$1:Z$100,MATCH($A130,'Outcome Indicators - Section C '!$A$1:$A$100,0)),""),"")&amp;CHAR(10)&amp;IFERROR(IF(INDEX('Outcome Indicators - Section C '!Y$1:Y$100,MATCH($A130,'Outcome Indicators - Section C '!$A$1:$A$100,0))&lt;&gt;"",TEXT(INDEX('Outcome Indicators - Section C '!Y$1:Y$100,MATCH($A130,'Outcome Indicators - Section C '!$A$1:$A$100,0)),Setup!$A$33),""),"")</f>
        <v xml:space="preserve">
</v>
      </c>
    </row>
    <row r="143" spans="1:7" ht="18.75" customHeight="1" x14ac:dyDescent="0.25">
      <c r="A143" s="643"/>
      <c r="B143" s="623" t="s">
        <v>176</v>
      </c>
      <c r="C143" s="624"/>
      <c r="D143" s="624"/>
      <c r="E143" s="624"/>
      <c r="F143" s="624"/>
      <c r="G143" s="625"/>
    </row>
    <row r="144" spans="1:7" ht="18.75" customHeight="1" x14ac:dyDescent="0.25">
      <c r="A144" s="643"/>
      <c r="B144" s="633" t="str">
        <f>IFERROR(IF(INDEX('Outcome Indicators - Section C '!AA$1:AA$100,MATCH($A130,'Outcome Indicators - Section C '!$A$1:$A$100,0))&lt;&gt;0,INDEX('Outcome Indicators - Section C '!AA$1:AA$100,MATCH($A130,'Outcome Indicators - Section C '!$A$1:$A$100,0)),""),"")</f>
        <v xml:space="preserve">Numerator: Number of people living with HIV who know their HIV status. 
Denominator: Number of people living with HIV (estimated numbers according to the SPECTRUM data. 
 </v>
      </c>
      <c r="C144" s="634"/>
      <c r="D144" s="634"/>
      <c r="E144" s="634"/>
      <c r="F144" s="634"/>
      <c r="G144" s="635"/>
    </row>
    <row r="145" spans="1:7" ht="18.75" customHeight="1" x14ac:dyDescent="0.25">
      <c r="A145" s="643"/>
      <c r="B145" s="636"/>
      <c r="C145" s="637"/>
      <c r="D145" s="637"/>
      <c r="E145" s="637"/>
      <c r="F145" s="637"/>
      <c r="G145" s="638"/>
    </row>
    <row r="146" spans="1:7" ht="18.75" customHeight="1" x14ac:dyDescent="0.25">
      <c r="A146" s="643"/>
      <c r="B146" s="636"/>
      <c r="C146" s="637"/>
      <c r="D146" s="637"/>
      <c r="E146" s="637"/>
      <c r="F146" s="637"/>
      <c r="G146" s="638"/>
    </row>
    <row r="147" spans="1:7" ht="18.75" customHeight="1" x14ac:dyDescent="0.25">
      <c r="A147" s="643"/>
      <c r="B147" s="636"/>
      <c r="C147" s="637"/>
      <c r="D147" s="637"/>
      <c r="E147" s="637"/>
      <c r="F147" s="637"/>
      <c r="G147" s="638"/>
    </row>
    <row r="148" spans="1:7" ht="18.75" customHeight="1" x14ac:dyDescent="0.25">
      <c r="A148" s="643"/>
      <c r="B148" s="636"/>
      <c r="C148" s="637"/>
      <c r="D148" s="637"/>
      <c r="E148" s="637"/>
      <c r="F148" s="637"/>
      <c r="G148" s="638"/>
    </row>
    <row r="149" spans="1:7" ht="18.75" customHeight="1" x14ac:dyDescent="0.25">
      <c r="A149" s="643"/>
      <c r="B149" s="636"/>
      <c r="C149" s="637"/>
      <c r="D149" s="637"/>
      <c r="E149" s="637"/>
      <c r="F149" s="637"/>
      <c r="G149" s="638"/>
    </row>
    <row r="150" spans="1:7" ht="18.75" customHeight="1" x14ac:dyDescent="0.25">
      <c r="A150" s="643"/>
      <c r="B150" s="636"/>
      <c r="C150" s="637"/>
      <c r="D150" s="637"/>
      <c r="E150" s="637"/>
      <c r="F150" s="637"/>
      <c r="G150" s="638"/>
    </row>
    <row r="151" spans="1:7" ht="18.75" customHeight="1" x14ac:dyDescent="0.25">
      <c r="A151" s="643"/>
      <c r="B151" s="636"/>
      <c r="C151" s="637"/>
      <c r="D151" s="637"/>
      <c r="E151" s="637"/>
      <c r="F151" s="637"/>
      <c r="G151" s="638"/>
    </row>
    <row r="152" spans="1:7" ht="18.75" customHeight="1" x14ac:dyDescent="0.25">
      <c r="A152" s="643"/>
      <c r="B152" s="636"/>
      <c r="C152" s="637"/>
      <c r="D152" s="637"/>
      <c r="E152" s="637"/>
      <c r="F152" s="637"/>
      <c r="G152" s="638"/>
    </row>
    <row r="153" spans="1:7" ht="18.75" customHeight="1" x14ac:dyDescent="0.25">
      <c r="A153" s="658"/>
      <c r="B153" s="644"/>
      <c r="C153" s="645"/>
      <c r="D153" s="645"/>
      <c r="E153" s="645"/>
      <c r="F153" s="645"/>
      <c r="G153" s="646"/>
    </row>
    <row r="154" spans="1:7" ht="18.75" customHeight="1" x14ac:dyDescent="0.25">
      <c r="A154" s="623"/>
      <c r="B154" s="624"/>
      <c r="C154" s="624"/>
      <c r="D154" s="624"/>
      <c r="E154" s="624"/>
      <c r="F154" s="624"/>
      <c r="G154" s="625"/>
    </row>
    <row r="156" spans="1:7" ht="18.75" customHeight="1" x14ac:dyDescent="0.25">
      <c r="A156" s="77" t="s">
        <v>4383</v>
      </c>
      <c r="B156" s="623" t="s">
        <v>738</v>
      </c>
      <c r="C156" s="624"/>
      <c r="D156" s="625"/>
      <c r="E156" s="623" t="s">
        <v>739</v>
      </c>
      <c r="F156" s="624"/>
      <c r="G156" s="625"/>
    </row>
    <row r="157" spans="1:7" ht="18.75" customHeight="1" x14ac:dyDescent="0.25">
      <c r="A157" s="642">
        <v>6</v>
      </c>
      <c r="B157" s="633" t="str">
        <f>IFERROR(IF(INDEX('Outcome Indicators - Section C '!B$1:B$100,MATCH($A157,'Outcome Indicators - Section C '!$A$1:$A$100,0))&lt;&gt;0,INDEX('Outcome Indicators - Section C '!B$1:B$100,MATCH($A157,'Outcome Indicators - Section C '!$A$1:$A$100,0)),""),"")</f>
        <v>HIV O-12 Percentage of people living with HIV and on ART who are virologically suppressed</v>
      </c>
      <c r="C157" s="634"/>
      <c r="D157" s="635"/>
      <c r="E157" s="633" t="str">
        <f>IFERROR(IF(INDEX('Outcome Indicators - Section C '!C$1:C$100,MATCH($A157,'Outcome Indicators - Section C '!$A$1:$A$100,0))&lt;&gt;0,INDEX('Outcome Indicators - Section C '!C$1:C$100,MATCH($A157,'Outcome Indicators - Section C '!$A$1:$A$100,0)),""),"")</f>
        <v/>
      </c>
      <c r="F157" s="634"/>
      <c r="G157" s="635"/>
    </row>
    <row r="158" spans="1:7" ht="18.75" customHeight="1" x14ac:dyDescent="0.25">
      <c r="A158" s="643"/>
      <c r="B158" s="636"/>
      <c r="C158" s="637"/>
      <c r="D158" s="638"/>
      <c r="E158" s="636"/>
      <c r="F158" s="637"/>
      <c r="G158" s="638"/>
    </row>
    <row r="159" spans="1:7" ht="18.75" customHeight="1" x14ac:dyDescent="0.25">
      <c r="A159" s="643"/>
      <c r="B159" s="644"/>
      <c r="C159" s="645"/>
      <c r="D159" s="646"/>
      <c r="E159" s="644"/>
      <c r="F159" s="645"/>
      <c r="G159" s="646"/>
    </row>
    <row r="160" spans="1:7" ht="18.75" customHeight="1" x14ac:dyDescent="0.25">
      <c r="A160" s="643"/>
      <c r="B160" s="623" t="s">
        <v>742</v>
      </c>
      <c r="C160" s="624"/>
      <c r="D160" s="625"/>
      <c r="E160" s="623" t="s">
        <v>127</v>
      </c>
      <c r="F160" s="624"/>
      <c r="G160" s="625"/>
    </row>
    <row r="161" spans="1:7" ht="18.75" customHeight="1" x14ac:dyDescent="0.25">
      <c r="A161" s="643"/>
      <c r="B161" s="647" t="str">
        <f>IFERROR(IF(INDEX('Outcome Indicators - Section C '!H$1:H$100,MATCH($A157,'Outcome Indicators - Section C '!$A$1:$A$100,0))&lt;&gt;0,INDEX('Outcome Indicators - Section C '!H$1:H$100,MATCH($A157,'Outcome Indicators - Section C '!$A$1:$A$100,0)),""),"")</f>
        <v>Gender | Age,Age</v>
      </c>
      <c r="C161" s="648"/>
      <c r="D161" s="649"/>
      <c r="E161" s="647" t="str">
        <f>IFERROR(IF(INDEX('Outcome Indicators - Section C '!J$9:J$38,MATCH($A157,'Outcome Indicators - Section C '!$A$9:$A$100,0))&lt;&gt;0,INDEX('Outcome Indicators - Section C '!J$9:J$38,MATCH($A157,'Outcome Indicators - Section C '!$A$9:$A$100,0)),""),"")</f>
        <v/>
      </c>
      <c r="F161" s="648"/>
      <c r="G161" s="649"/>
    </row>
    <row r="162" spans="1:7" ht="18.75" customHeight="1" x14ac:dyDescent="0.25">
      <c r="A162" s="643"/>
      <c r="B162" s="623" t="s">
        <v>199</v>
      </c>
      <c r="C162" s="624"/>
      <c r="D162" s="625"/>
      <c r="E162" s="623" t="s">
        <v>120</v>
      </c>
      <c r="F162" s="624"/>
      <c r="G162" s="625"/>
    </row>
    <row r="163" spans="1:7" ht="18.75" customHeight="1" x14ac:dyDescent="0.25">
      <c r="A163" s="643"/>
      <c r="B163" s="633" t="str">
        <f>IFERROR(IF(INDEX('Outcome Indicators - Section C '!G$1:G$100,MATCH($A157,'Outcome Indicators - Section C '!$A$1:$A$100,0))&lt;&gt;0,INDEX('Outcome Indicators - Section C '!G$1:G$100,MATCH($A157,'Outcome Indicators - Section C '!$A$1:$A$100,0)),""),"")</f>
        <v>RCHV&amp;HIV, Electronic HIV Case Tracking System</v>
      </c>
      <c r="C163" s="634"/>
      <c r="D163" s="635"/>
      <c r="E163" s="633" t="str">
        <f>IFERROR(IF(AND('Overview - Section A'!AS$1="Grant Making",OR(B157&lt;&gt;"",E157&lt;&gt;"")),Setup!I150,IF(INDEX('Outcome Indicators - Section C '!I$1:I$100,MATCH($A157,'Outcome Indicators - Section C '!$A$1:$A$100,0))&lt;&gt;0,INDEX('Outcome Indicators - Section C '!I$1:I$100,MATCH($A157,'Outcome Indicators - Section C '!$A$1:$A$100,0)),"")),"")</f>
        <v>United Nations Development Programme</v>
      </c>
      <c r="F163" s="634"/>
      <c r="G163" s="635"/>
    </row>
    <row r="164" spans="1:7" ht="18.75" customHeight="1" x14ac:dyDescent="0.25">
      <c r="A164" s="643"/>
      <c r="B164" s="644"/>
      <c r="C164" s="645"/>
      <c r="D164" s="646"/>
      <c r="E164" s="644"/>
      <c r="F164" s="645"/>
      <c r="G164" s="646"/>
    </row>
    <row r="165" spans="1:7" ht="18.75" customHeight="1" x14ac:dyDescent="0.25">
      <c r="A165" s="643"/>
      <c r="B165" s="78"/>
      <c r="C165" s="63" t="s">
        <v>4384</v>
      </c>
      <c r="D165" s="623" t="s">
        <v>4385</v>
      </c>
      <c r="E165" s="624"/>
      <c r="F165" s="624"/>
      <c r="G165" s="625"/>
    </row>
    <row r="166" spans="1:7" ht="18.75" customHeight="1" x14ac:dyDescent="0.25">
      <c r="A166" s="643"/>
      <c r="B166" s="78" t="s">
        <v>2559</v>
      </c>
      <c r="C166" s="79">
        <f>IFERROR(IF(INDEX('Outcome Indicators - Section C '!F$1:F$100,MATCH($A157,'Outcome Indicators - Section C '!$A$1:$A$100,0))&lt;&gt;0,INDEX('Outcome Indicators - Section C '!F$1:F$100,MATCH($A157,'Outcome Indicators - Section C '!$A$1:$A$100,0)),""),"")</f>
        <v>2022</v>
      </c>
      <c r="D166" s="63">
        <f ca="1">IFERROR(IF(YEAR(INDEX('Overview - Section A'!$A$47:$A$54,MATCH('Print - Summary'!$H$10,'Overview - Section A'!$B$47:$B$54,0)))&lt;=YEAR('Overview - Section A'!$E$8),YEAR(INDEX('Overview - Section A'!$A$47:$A$54,MATCH('Print - Summary'!$H$10,'Overview - Section A'!$B$47:$B$54,0))),""),"")</f>
        <v>2024</v>
      </c>
      <c r="E166" s="63">
        <f ca="1">IFERROR(IF(D166+1&lt;=YEAR('Overview - Section A'!$E$8),D166+1,""),"")</f>
        <v>2025</v>
      </c>
      <c r="F166" s="63">
        <f ca="1">IFERROR(IF(E166+1&lt;=YEAR('Overview - Section A'!$E$8),E166+1,""),"")</f>
        <v>2026</v>
      </c>
      <c r="G166" s="63" t="str">
        <f ca="1">IFERROR(IF(F166+1&lt;=YEAR('Overview - Section A'!$E$8),F166+1,""),"")</f>
        <v/>
      </c>
    </row>
    <row r="167" spans="1:7" s="85" customFormat="1" ht="18.75" customHeight="1" x14ac:dyDescent="0.25">
      <c r="A167" s="643"/>
      <c r="B167" s="78" t="s">
        <v>4386</v>
      </c>
      <c r="C167" s="84" t="str">
        <f>IFERROR(IF(INDEX('Outcome Indicators - Section C '!D$1:D$100,MATCH($A157,'Outcome Indicators - Section C '!$A$1:$A$100,0))&lt;&gt;"",FIXED(INDEX('Outcome Indicators - Section C '!D$1:D$100,MATCH($A157,'Outcome Indicators - Section C '!$A$1:$A$100,0)),4),""),"")</f>
        <v>4,750.0000</v>
      </c>
      <c r="D167" s="84" t="str">
        <f>IFERROR(IF(INDEX('Outcome Indicators - Section C '!K$1:K$100,MATCH($A157,'Outcome Indicators - Section C '!$A$1:$A$100,0))&lt;&gt;"",FIXED(INDEX('Outcome Indicators - Section C '!K$1:K$100,MATCH($A157,'Outcome Indicators - Section C '!$A$1:$A$100,0)),4),""),"")</f>
        <v/>
      </c>
      <c r="E167" s="84" t="str">
        <f>IFERROR(IF(INDEX('Outcome Indicators - Section C '!O$1:O$100,MATCH($A157,'Outcome Indicators - Section C '!$A$1:$A$100,0))&lt;&gt;"",FIXED(INDEX('Outcome Indicators - Section C '!O$1:O$100,MATCH($A157,'Outcome Indicators - Section C '!$A$1:$A$100,0)),4),""),"")</f>
        <v/>
      </c>
      <c r="F167" s="84" t="str">
        <f>IFERROR(IF(INDEX('Outcome Indicators - Section C '!S$1:S$100,MATCH($A157,'Outcome Indicators - Section C '!$A$1:$A$100,0))&lt;&gt;"",FIXED(INDEX('Outcome Indicators - Section C '!S$1:S$100,MATCH($A157,'Outcome Indicators - Section C '!$A$1:$A$100,0)),4),""),"")</f>
        <v/>
      </c>
      <c r="G167" s="84" t="str">
        <f>IFERROR(IF(INDEX('Outcome Indicators - Section C '!W$1:W$100,MATCH($A157,'Outcome Indicators - Section C '!$A$1:$A$100,0))&lt;&gt;"",FIXED(INDEX('Outcome Indicators - Section C '!W$1:W$100,MATCH($A157,'Outcome Indicators - Section C '!$A$1:$A$100,0)),4),""),"")</f>
        <v/>
      </c>
    </row>
    <row r="168" spans="1:7" s="83" customFormat="1" ht="18.75" customHeight="1" x14ac:dyDescent="0.25">
      <c r="A168" s="643"/>
      <c r="B168" s="78" t="s">
        <v>4387</v>
      </c>
      <c r="C168" s="82" t="str">
        <f>IFERROR(IF(INDEX('Outcome Indicators - Section C '!D$1:D$100,MATCH($A157,'Outcome Indicators - Section C '!$A$1:$A$100,0)+1)&lt;&gt;"",FIXED(INDEX('Outcome Indicators - Section C '!D$1:D$100,MATCH($A157,'Outcome Indicators - Section C '!$A$1:$A$100,0)+1),2),""),"")</f>
        <v>4,953.00</v>
      </c>
      <c r="D168" s="82" t="str">
        <f>IFERROR(IF(INDEX('Outcome Indicators - Section C '!K$1:K$100,MATCH($A157,'Outcome Indicators - Section C '!$A$1:$A$100,0)+1)&lt;&gt;"",FIXED(INDEX('Outcome Indicators - Section C '!K$1:K$100,MATCH($A157,'Outcome Indicators - Section C '!$A$1:$A$100,0)+1),2),""),"")</f>
        <v/>
      </c>
      <c r="E168" s="82" t="str">
        <f>IFERROR(IF(INDEX('Outcome Indicators - Section C '!O$1:O$100,MATCH($A157,'Outcome Indicators - Section C '!$A$1:$A$100,0)+1)&lt;&gt;"",FIXED(INDEX('Outcome Indicators - Section C '!O$1:O$100,MATCH($A157,'Outcome Indicators - Section C '!$A$1:$A$100,0)+1),2),""),"")</f>
        <v/>
      </c>
      <c r="F168" s="82" t="str">
        <f>IFERROR(IF(INDEX('Outcome Indicators - Section C '!S$1:S$100,MATCH($A157,'Outcome Indicators - Section C '!$A$1:$A$100,0)+1)&lt;&gt;"",FIXED(INDEX('Outcome Indicators - Section C '!S$1:S$100,MATCH($A157,'Outcome Indicators - Section C '!$A$1:$A$100,0)+1),2),""),"")</f>
        <v/>
      </c>
      <c r="G168" s="82" t="str">
        <f>IFERROR(IF(INDEX('Outcome Indicators - Section C '!W$1:W$100,MATCH($A157,'Outcome Indicators - Section C '!$A$1:$A$100,0)+1)&lt;&gt;"",FIXED(INDEX('Outcome Indicators - Section C '!W$1:W$100,MATCH($A157,'Outcome Indicators - Section C '!$A$1:$A$100,0)+1),2),""),"")</f>
        <v/>
      </c>
    </row>
    <row r="169" spans="1:7" ht="18.75" customHeight="1" x14ac:dyDescent="0.25">
      <c r="A169" s="643"/>
      <c r="B169" s="78" t="s">
        <v>4388</v>
      </c>
      <c r="C169" s="79" t="str">
        <f>IFERROR(IF(INDEX('Outcome Indicators - Section C '!E$1:E$100,MATCH($A157,'Outcome Indicators - Section C '!$A$1:$A$100,0))&lt;&gt;"",FIXED(INDEX('Outcome Indicators - Section C '!E$1:E$100,MATCH($A157,'Outcome Indicators - Section C '!$A$1:$A$100,0))*100,2)&amp;"%",""),"")</f>
        <v>95,90%</v>
      </c>
      <c r="D169" s="79" t="str">
        <f>IFERROR(IF(INDEX('Outcome Indicators - Section C '!L$1:L$100,MATCH($A157,'Outcome Indicators - Section C '!$A$1:$A$100,0))&lt;&gt;"",FIXED(INDEX('Outcome Indicators - Section C '!L$1:L$100,MATCH($A157,'Outcome Indicators - Section C '!$A$1:$A$100,0))*100,2)&amp;"%",""),"")&amp;CHAR(10)&amp;IFERROR(IF(INDEX('Outcome Indicators - Section C '!N$1:N$100,MATCH($A157,'Outcome Indicators - Section C '!$A$1:$A$100,0))&lt;&gt;"",INDEX('Outcome Indicators - Section C '!N$1:N$100,MATCH($A157,'Outcome Indicators - Section C '!$A$1:$A$100,0)),""),"")&amp;CHAR(10)&amp;IFERROR(IF(INDEX('Outcome Indicators - Section C '!M$1:M$100,MATCH($A157,'Outcome Indicators - Section C '!$A$1:$A$100,0))&lt;&gt;"",TEXT(INDEX('Outcome Indicators - Section C '!M$1:M$100,MATCH($A157,'Outcome Indicators - Section C '!$A$1:$A$100,0)),Setup!$A$33),""),"")</f>
        <v xml:space="preserve">95,00%
</v>
      </c>
      <c r="E169" s="79" t="str">
        <f>IFERROR(IF(INDEX('Outcome Indicators - Section C '!P$1:P$100,MATCH($A157,'Outcome Indicators - Section C '!$A$1:$A$100,0))&lt;&gt;"",FIXED(INDEX('Outcome Indicators - Section C '!P$1:P$100,MATCH($A157,'Outcome Indicators - Section C '!$A$1:$A$100,0))*100,2)&amp;"%",""),)&amp;CHAR(10)&amp;IFERROR(IF(INDEX('Outcome Indicators - Section C '!R$1:R$100,MATCH($A157,'Outcome Indicators - Section C '!$A$1:$A$100,0))&lt;&gt;"",INDEX('Outcome Indicators - Section C '!R$1:R$100,MATCH($A157,'Outcome Indicators - Section C '!$A$1:$A$100,0)),""),"")&amp;CHAR(10)&amp;IFERROR(IF(INDEX('Outcome Indicators - Section C '!Q$1:Q$100,MATCH($A157,'Outcome Indicators - Section C '!$A$1:$A$100,0))&lt;&gt;"",TEXT(INDEX('Outcome Indicators - Section C '!Q$1:Q$100,MATCH($A157,'Outcome Indicators - Section C '!$A$1:$A$100,0)),Setup!$A$33),""),"")</f>
        <v xml:space="preserve">95,00%
</v>
      </c>
      <c r="F169" s="79" t="str">
        <f>IFERROR(IF(INDEX('Outcome Indicators - Section C '!T$1:T$100,MATCH($A157,'Outcome Indicators - Section C '!$A$1:$A$100,0))&lt;&gt;"",FIXED(INDEX('Outcome Indicators - Section C '!T$1:T$100,MATCH($A157,'Outcome Indicators - Section C '!$A$1:$A$100,0))*100,2)&amp;"%",""),)&amp;CHAR(10)&amp;IFERROR(IF(INDEX('Outcome Indicators - Section C '!V$1:V$100,MATCH($A157,'Outcome Indicators - Section C '!$A$1:$A$100,0))&lt;&gt;"",INDEX('Outcome Indicators - Section C '!V$1:V$100,MATCH($A157,'Outcome Indicators - Section C '!$A$1:$A$100,0)),""),"")&amp;CHAR(10)&amp;IFERROR(IF(INDEX('Outcome Indicators - Section C '!U$1:U$100,MATCH($A157,'Outcome Indicators - Section C '!$A$1:$A$100,0))&lt;&gt;"",TEXT(INDEX('Outcome Indicators - Section C '!U$1:U$100,MATCH($A157,'Outcome Indicators - Section C '!$A$1:$A$100,0)),Setup!$A$33),""),"")</f>
        <v xml:space="preserve">95,00%
</v>
      </c>
      <c r="G169" s="79" t="str">
        <f ca="1">IFERROR(IF(INDEX('Outcome Indicators - Section C '!X$1:X$100,MATCH($A157,'Outcome Indicators - Section C '!$A$1:$A$100,0))&lt;&gt;"",FIXED(INDEX('Outcome Indicators - Section C '!X$1:X$100,MATCH($A157,'Outcome Indicators - Section C '!$A$1:$A$100,0))*100,2)&amp;"%",""),"")&amp;CHAR(10)&amp;IFERROR(IF(INDEX('Outcome Indicators - Section C '!Z$1:Z$100,MATCH($A157,'Outcome Indicators - Section C '!$A$1:$A$100,0))&lt;&gt;"",INDEX('Outcome Indicators - Section C '!Z$1:Z$100,MATCH($A157,'Outcome Indicators - Section C '!$A$1:$A$100,0)),""),"")&amp;CHAR(10)&amp;IFERROR(IF(INDEX('Outcome Indicators - Section C '!Y$1:Y$100,MATCH($A157,'Outcome Indicators - Section C '!$A$1:$A$100,0))&lt;&gt;"",TEXT(INDEX('Outcome Indicators - Section C '!Y$1:Y$100,MATCH($A157,'Outcome Indicators - Section C '!$A$1:$A$100,0)),Setup!$A$33),""),"")</f>
        <v xml:space="preserve">
</v>
      </c>
    </row>
    <row r="170" spans="1:7" ht="18.75" customHeight="1" x14ac:dyDescent="0.25">
      <c r="A170" s="643"/>
      <c r="B170" s="623" t="s">
        <v>176</v>
      </c>
      <c r="C170" s="624"/>
      <c r="D170" s="624"/>
      <c r="E170" s="624"/>
      <c r="F170" s="624"/>
      <c r="G170" s="625"/>
    </row>
    <row r="171" spans="1:7" ht="18.75" customHeight="1" x14ac:dyDescent="0.25">
      <c r="A171" s="643"/>
      <c r="B171" s="633" t="str">
        <f>IFERROR(IF(INDEX('Outcome Indicators - Section C '!AA$1:AA$100,MATCH($A157,'Outcome Indicators - Section C '!$A$1:$A$100,0))&lt;&gt;0,INDEX('Outcome Indicators - Section C '!AA$1:AA$100,MATCH($A157,'Outcome Indicators - Section C '!$A$1:$A$100,0)),""),"")</f>
        <v xml:space="preserve">Numerator: Number of people living with HIV on ART for at least 6 months and with at least one routine VL test result who have virological suppression (&lt;1000 copies/mL) during the reporting period Denominator: Number of people living with HIV on ART for at least 6 months with at least one routine VL result in a medical or lab record during the reporting period. </v>
      </c>
      <c r="C171" s="634"/>
      <c r="D171" s="634"/>
      <c r="E171" s="634"/>
      <c r="F171" s="634"/>
      <c r="G171" s="635"/>
    </row>
    <row r="172" spans="1:7" ht="18.75" customHeight="1" x14ac:dyDescent="0.25">
      <c r="A172" s="643"/>
      <c r="B172" s="636"/>
      <c r="C172" s="637"/>
      <c r="D172" s="637"/>
      <c r="E172" s="637"/>
      <c r="F172" s="637"/>
      <c r="G172" s="638"/>
    </row>
    <row r="173" spans="1:7" ht="18.75" customHeight="1" x14ac:dyDescent="0.25">
      <c r="A173" s="643"/>
      <c r="B173" s="636"/>
      <c r="C173" s="637"/>
      <c r="D173" s="637"/>
      <c r="E173" s="637"/>
      <c r="F173" s="637"/>
      <c r="G173" s="638"/>
    </row>
    <row r="174" spans="1:7" ht="18.75" customHeight="1" x14ac:dyDescent="0.25">
      <c r="A174" s="643"/>
      <c r="B174" s="636"/>
      <c r="C174" s="637"/>
      <c r="D174" s="637"/>
      <c r="E174" s="637"/>
      <c r="F174" s="637"/>
      <c r="G174" s="638"/>
    </row>
    <row r="175" spans="1:7" ht="18.75" customHeight="1" x14ac:dyDescent="0.25">
      <c r="A175" s="643"/>
      <c r="B175" s="636"/>
      <c r="C175" s="637"/>
      <c r="D175" s="637"/>
      <c r="E175" s="637"/>
      <c r="F175" s="637"/>
      <c r="G175" s="638"/>
    </row>
    <row r="176" spans="1:7" ht="18.75" customHeight="1" x14ac:dyDescent="0.25">
      <c r="A176" s="643"/>
      <c r="B176" s="636"/>
      <c r="C176" s="637"/>
      <c r="D176" s="637"/>
      <c r="E176" s="637"/>
      <c r="F176" s="637"/>
      <c r="G176" s="638"/>
    </row>
    <row r="177" spans="1:7" ht="18.75" customHeight="1" x14ac:dyDescent="0.25">
      <c r="A177" s="643"/>
      <c r="B177" s="636"/>
      <c r="C177" s="637"/>
      <c r="D177" s="637"/>
      <c r="E177" s="637"/>
      <c r="F177" s="637"/>
      <c r="G177" s="638"/>
    </row>
    <row r="178" spans="1:7" ht="18.75" customHeight="1" x14ac:dyDescent="0.25">
      <c r="A178" s="643"/>
      <c r="B178" s="636"/>
      <c r="C178" s="637"/>
      <c r="D178" s="637"/>
      <c r="E178" s="637"/>
      <c r="F178" s="637"/>
      <c r="G178" s="638"/>
    </row>
    <row r="179" spans="1:7" ht="18.75" customHeight="1" x14ac:dyDescent="0.25">
      <c r="A179" s="643"/>
      <c r="B179" s="636"/>
      <c r="C179" s="637"/>
      <c r="D179" s="637"/>
      <c r="E179" s="637"/>
      <c r="F179" s="637"/>
      <c r="G179" s="638"/>
    </row>
    <row r="180" spans="1:7" ht="18.75" customHeight="1" x14ac:dyDescent="0.25">
      <c r="A180" s="658"/>
      <c r="B180" s="644"/>
      <c r="C180" s="645"/>
      <c r="D180" s="645"/>
      <c r="E180" s="645"/>
      <c r="F180" s="645"/>
      <c r="G180" s="646"/>
    </row>
    <row r="181" spans="1:7" ht="18.75" customHeight="1" x14ac:dyDescent="0.25">
      <c r="A181" s="623"/>
      <c r="B181" s="624"/>
      <c r="C181" s="624"/>
      <c r="D181" s="624"/>
      <c r="E181" s="624"/>
      <c r="F181" s="624"/>
      <c r="G181" s="625"/>
    </row>
    <row r="183" spans="1:7" ht="18.75" customHeight="1" x14ac:dyDescent="0.25">
      <c r="A183" s="77" t="s">
        <v>4383</v>
      </c>
      <c r="B183" s="623" t="s">
        <v>738</v>
      </c>
      <c r="C183" s="624"/>
      <c r="D183" s="625"/>
      <c r="E183" s="623" t="s">
        <v>739</v>
      </c>
      <c r="F183" s="624"/>
      <c r="G183" s="625"/>
    </row>
    <row r="184" spans="1:7" ht="18.75" customHeight="1" x14ac:dyDescent="0.25">
      <c r="A184" s="642">
        <v>7</v>
      </c>
      <c r="B184" s="633" t="str">
        <f>IFERROR(IF(INDEX('Outcome Indicators - Section C '!B$1:B$100,MATCH($A184,'Outcome Indicators - Section C '!$A$1:$A$100,0))&lt;&gt;0,INDEX('Outcome Indicators - Section C '!B$1:B$100,MATCH($A184,'Outcome Indicators - Section C '!$A$1:$A$100,0)),""),"")</f>
        <v>HIV O-15 Percentage of people living with HIV who report experiences of HIV-related discrimination in health-care settings</v>
      </c>
      <c r="C184" s="634"/>
      <c r="D184" s="635"/>
      <c r="E184" s="633" t="str">
        <f>IFERROR(IF(INDEX('Outcome Indicators - Section C '!C$1:C$100,MATCH($A184,'Outcome Indicators - Section C '!$A$1:$A$100,0))&lt;&gt;0,INDEX('Outcome Indicators - Section C '!C$1:C$100,MATCH($A184,'Outcome Indicators - Section C '!$A$1:$A$100,0)),""),"")</f>
        <v/>
      </c>
      <c r="F184" s="634"/>
      <c r="G184" s="635"/>
    </row>
    <row r="185" spans="1:7" ht="18.75" customHeight="1" x14ac:dyDescent="0.25">
      <c r="A185" s="643"/>
      <c r="B185" s="636"/>
      <c r="C185" s="637"/>
      <c r="D185" s="638"/>
      <c r="E185" s="636"/>
      <c r="F185" s="637"/>
      <c r="G185" s="638"/>
    </row>
    <row r="186" spans="1:7" ht="18.75" customHeight="1" x14ac:dyDescent="0.25">
      <c r="A186" s="643"/>
      <c r="B186" s="644"/>
      <c r="C186" s="645"/>
      <c r="D186" s="646"/>
      <c r="E186" s="644"/>
      <c r="F186" s="645"/>
      <c r="G186" s="646"/>
    </row>
    <row r="187" spans="1:7" ht="18.75" customHeight="1" x14ac:dyDescent="0.25">
      <c r="A187" s="643"/>
      <c r="B187" s="623" t="s">
        <v>742</v>
      </c>
      <c r="C187" s="624"/>
      <c r="D187" s="625"/>
      <c r="E187" s="623" t="s">
        <v>127</v>
      </c>
      <c r="F187" s="624"/>
      <c r="G187" s="625"/>
    </row>
    <row r="188" spans="1:7" ht="18.75" customHeight="1" x14ac:dyDescent="0.25">
      <c r="A188" s="643"/>
      <c r="B188" s="647" t="str">
        <f>IFERROR(IF(INDEX('Outcome Indicators - Section C '!H$1:H$100,MATCH($A184,'Outcome Indicators - Section C '!$A$1:$A$100,0))&lt;&gt;0,INDEX('Outcome Indicators - Section C '!H$1:H$100,MATCH($A184,'Outcome Indicators - Section C '!$A$1:$A$100,0)),""),"")</f>
        <v/>
      </c>
      <c r="C188" s="648"/>
      <c r="D188" s="649"/>
      <c r="E188" s="647" t="str">
        <f>IFERROR(IF(INDEX('Outcome Indicators - Section C '!J$9:J$38,MATCH($A184,'Outcome Indicators - Section C '!$A$9:$A$100,0))&lt;&gt;0,INDEX('Outcome Indicators - Section C '!J$9:J$38,MATCH($A184,'Outcome Indicators - Section C '!$A$9:$A$100,0)),""),"")</f>
        <v/>
      </c>
      <c r="F188" s="648"/>
      <c r="G188" s="649"/>
    </row>
    <row r="189" spans="1:7" ht="18.75" customHeight="1" x14ac:dyDescent="0.25">
      <c r="A189" s="643"/>
      <c r="B189" s="623" t="s">
        <v>199</v>
      </c>
      <c r="C189" s="624"/>
      <c r="D189" s="625"/>
      <c r="E189" s="623" t="s">
        <v>120</v>
      </c>
      <c r="F189" s="624"/>
      <c r="G189" s="625"/>
    </row>
    <row r="190" spans="1:7" ht="18.75" customHeight="1" x14ac:dyDescent="0.25">
      <c r="A190" s="643"/>
      <c r="B190" s="633" t="str">
        <f>IFERROR(IF(INDEX('Outcome Indicators - Section C '!G$1:G$100,MATCH($A184,'Outcome Indicators - Section C '!$A$1:$A$100,0))&lt;&gt;0,INDEX('Outcome Indicators - Section C '!G$1:G$100,MATCH($A184,'Outcome Indicators - Section C '!$A$1:$A$100,0)),""),"")</f>
        <v>Index Stigmy-2.0</v>
      </c>
      <c r="C190" s="634"/>
      <c r="D190" s="635"/>
      <c r="E190" s="633" t="str">
        <f>IFERROR(IF(AND('Overview - Section A'!AS$1="Grant Making",OR(B184&lt;&gt;"",E184&lt;&gt;"")),Setup!I177,IF(INDEX('Outcome Indicators - Section C '!I$1:I$100,MATCH($A184,'Outcome Indicators - Section C '!$A$1:$A$100,0))&lt;&gt;0,INDEX('Outcome Indicators - Section C '!I$1:I$100,MATCH($A184,'Outcome Indicators - Section C '!$A$1:$A$100,0)),"")),"")</f>
        <v>United Nations Development Programme</v>
      </c>
      <c r="F190" s="634"/>
      <c r="G190" s="635"/>
    </row>
    <row r="191" spans="1:7" ht="18.75" customHeight="1" x14ac:dyDescent="0.25">
      <c r="A191" s="643"/>
      <c r="B191" s="644"/>
      <c r="C191" s="645"/>
      <c r="D191" s="646"/>
      <c r="E191" s="644"/>
      <c r="F191" s="645"/>
      <c r="G191" s="646"/>
    </row>
    <row r="192" spans="1:7" ht="18.75" customHeight="1" x14ac:dyDescent="0.25">
      <c r="A192" s="643"/>
      <c r="B192" s="78"/>
      <c r="C192" s="63" t="s">
        <v>4384</v>
      </c>
      <c r="D192" s="623" t="s">
        <v>4385</v>
      </c>
      <c r="E192" s="624"/>
      <c r="F192" s="624"/>
      <c r="G192" s="625"/>
    </row>
    <row r="193" spans="1:7" ht="18.75" customHeight="1" x14ac:dyDescent="0.25">
      <c r="A193" s="643"/>
      <c r="B193" s="78" t="s">
        <v>2559</v>
      </c>
      <c r="C193" s="79">
        <f>IFERROR(IF(INDEX('Outcome Indicators - Section C '!F$1:F$100,MATCH($A184,'Outcome Indicators - Section C '!$A$1:$A$100,0))&lt;&gt;0,INDEX('Outcome Indicators - Section C '!F$1:F$100,MATCH($A184,'Outcome Indicators - Section C '!$A$1:$A$100,0)),""),"")</f>
        <v>2022</v>
      </c>
      <c r="D193" s="63">
        <f ca="1">IFERROR(IF(YEAR(INDEX('Overview - Section A'!$A$47:$A$54,MATCH('Print - Summary'!$H$10,'Overview - Section A'!$B$47:$B$54,0)))&lt;=YEAR('Overview - Section A'!$E$8),YEAR(INDEX('Overview - Section A'!$A$47:$A$54,MATCH('Print - Summary'!$H$10,'Overview - Section A'!$B$47:$B$54,0))),""),"")</f>
        <v>2024</v>
      </c>
      <c r="E193" s="63">
        <f ca="1">IFERROR(IF(D193+1&lt;=YEAR('Overview - Section A'!$E$8),D193+1,""),"")</f>
        <v>2025</v>
      </c>
      <c r="F193" s="63">
        <f ca="1">IFERROR(IF(E193+1&lt;=YEAR('Overview - Section A'!$E$8),E193+1,""),"")</f>
        <v>2026</v>
      </c>
      <c r="G193" s="63" t="str">
        <f ca="1">IFERROR(IF(F193+1&lt;=YEAR('Overview - Section A'!$E$8),F193+1,""),"")</f>
        <v/>
      </c>
    </row>
    <row r="194" spans="1:7" s="85" customFormat="1" ht="18.75" customHeight="1" x14ac:dyDescent="0.25">
      <c r="A194" s="643"/>
      <c r="B194" s="78" t="s">
        <v>4386</v>
      </c>
      <c r="C194" s="84" t="str">
        <f>IFERROR(IF(INDEX('Outcome Indicators - Section C '!D$1:D$100,MATCH($A184,'Outcome Indicators - Section C '!$A$1:$A$100,0))&lt;&gt;"",FIXED(INDEX('Outcome Indicators - Section C '!D$1:D$100,MATCH($A184,'Outcome Indicators - Section C '!$A$1:$A$100,0)),4),""),"")</f>
        <v>69.0000</v>
      </c>
      <c r="D194" s="84" t="str">
        <f>IFERROR(IF(INDEX('Outcome Indicators - Section C '!K$1:K$100,MATCH($A184,'Outcome Indicators - Section C '!$A$1:$A$100,0))&lt;&gt;"",FIXED(INDEX('Outcome Indicators - Section C '!K$1:K$100,MATCH($A184,'Outcome Indicators - Section C '!$A$1:$A$100,0)),4),""),"")</f>
        <v/>
      </c>
      <c r="E194" s="84" t="str">
        <f>IFERROR(IF(INDEX('Outcome Indicators - Section C '!O$1:O$100,MATCH($A184,'Outcome Indicators - Section C '!$A$1:$A$100,0))&lt;&gt;"",FIXED(INDEX('Outcome Indicators - Section C '!O$1:O$100,MATCH($A184,'Outcome Indicators - Section C '!$A$1:$A$100,0)),4),""),"")</f>
        <v/>
      </c>
      <c r="F194" s="84" t="str">
        <f>IFERROR(IF(INDEX('Outcome Indicators - Section C '!S$1:S$100,MATCH($A184,'Outcome Indicators - Section C '!$A$1:$A$100,0))&lt;&gt;"",FIXED(INDEX('Outcome Indicators - Section C '!S$1:S$100,MATCH($A184,'Outcome Indicators - Section C '!$A$1:$A$100,0)),4),""),"")</f>
        <v/>
      </c>
      <c r="G194" s="84" t="str">
        <f>IFERROR(IF(INDEX('Outcome Indicators - Section C '!W$1:W$100,MATCH($A184,'Outcome Indicators - Section C '!$A$1:$A$100,0))&lt;&gt;"",FIXED(INDEX('Outcome Indicators - Section C '!W$1:W$100,MATCH($A184,'Outcome Indicators - Section C '!$A$1:$A$100,0)),4),""),"")</f>
        <v/>
      </c>
    </row>
    <row r="195" spans="1:7" s="83" customFormat="1" ht="18.75" customHeight="1" x14ac:dyDescent="0.25">
      <c r="A195" s="643"/>
      <c r="B195" s="78" t="s">
        <v>4387</v>
      </c>
      <c r="C195" s="82" t="str">
        <f>IFERROR(IF(INDEX('Outcome Indicators - Section C '!D$1:D$100,MATCH($A184,'Outcome Indicators - Section C '!$A$1:$A$100,0)+1)&lt;&gt;"",FIXED(INDEX('Outcome Indicators - Section C '!D$1:D$100,MATCH($A184,'Outcome Indicators - Section C '!$A$1:$A$100,0)+1),2),""),"")</f>
        <v>679.00</v>
      </c>
      <c r="D195" s="82" t="str">
        <f>IFERROR(IF(INDEX('Outcome Indicators - Section C '!K$1:K$100,MATCH($A184,'Outcome Indicators - Section C '!$A$1:$A$100,0)+1)&lt;&gt;"",FIXED(INDEX('Outcome Indicators - Section C '!K$1:K$100,MATCH($A184,'Outcome Indicators - Section C '!$A$1:$A$100,0)+1),2),""),"")</f>
        <v/>
      </c>
      <c r="E195" s="82" t="str">
        <f>IFERROR(IF(INDEX('Outcome Indicators - Section C '!O$1:O$100,MATCH($A184,'Outcome Indicators - Section C '!$A$1:$A$100,0)+1)&lt;&gt;"",FIXED(INDEX('Outcome Indicators - Section C '!O$1:O$100,MATCH($A184,'Outcome Indicators - Section C '!$A$1:$A$100,0)+1),2),""),"")</f>
        <v/>
      </c>
      <c r="F195" s="82" t="str">
        <f>IFERROR(IF(INDEX('Outcome Indicators - Section C '!S$1:S$100,MATCH($A184,'Outcome Indicators - Section C '!$A$1:$A$100,0)+1)&lt;&gt;"",FIXED(INDEX('Outcome Indicators - Section C '!S$1:S$100,MATCH($A184,'Outcome Indicators - Section C '!$A$1:$A$100,0)+1),2),""),"")</f>
        <v/>
      </c>
      <c r="G195" s="82" t="str">
        <f>IFERROR(IF(INDEX('Outcome Indicators - Section C '!W$1:W$100,MATCH($A184,'Outcome Indicators - Section C '!$A$1:$A$100,0)+1)&lt;&gt;"",FIXED(INDEX('Outcome Indicators - Section C '!W$1:W$100,MATCH($A184,'Outcome Indicators - Section C '!$A$1:$A$100,0)+1),2),""),"")</f>
        <v/>
      </c>
    </row>
    <row r="196" spans="1:7" ht="18.75" customHeight="1" x14ac:dyDescent="0.25">
      <c r="A196" s="643"/>
      <c r="B196" s="78" t="s">
        <v>4388</v>
      </c>
      <c r="C196" s="79" t="str">
        <f ca="1">IFERROR(IF(INDEX('Outcome Indicators - Section C '!E$1:E$100,MATCH($A184,'Outcome Indicators - Section C '!$A$1:$A$100,0))&lt;&gt;"",FIXED(INDEX('Outcome Indicators - Section C '!E$1:E$100,MATCH($A184,'Outcome Indicators - Section C '!$A$1:$A$100,0))*100,2)&amp;"%",""),"")</f>
        <v>10,16%</v>
      </c>
      <c r="D196" s="79" t="str">
        <f>IFERROR(IF(INDEX('Outcome Indicators - Section C '!L$1:L$100,MATCH($A184,'Outcome Indicators - Section C '!$A$1:$A$100,0))&lt;&gt;"",FIXED(INDEX('Outcome Indicators - Section C '!L$1:L$100,MATCH($A184,'Outcome Indicators - Section C '!$A$1:$A$100,0))*100,2)&amp;"%",""),"")&amp;CHAR(10)&amp;IFERROR(IF(INDEX('Outcome Indicators - Section C '!N$1:N$100,MATCH($A184,'Outcome Indicators - Section C '!$A$1:$A$100,0))&lt;&gt;"",INDEX('Outcome Indicators - Section C '!N$1:N$100,MATCH($A184,'Outcome Indicators - Section C '!$A$1:$A$100,0)),""),"")&amp;CHAR(10)&amp;IFERROR(IF(INDEX('Outcome Indicators - Section C '!M$1:M$100,MATCH($A184,'Outcome Indicators - Section C '!$A$1:$A$100,0))&lt;&gt;"",TEXT(INDEX('Outcome Indicators - Section C '!M$1:M$100,MATCH($A184,'Outcome Indicators - Section C '!$A$1:$A$100,0)),Setup!$A$33),""),"")</f>
        <v xml:space="preserve">
</v>
      </c>
      <c r="E196" s="79" t="str">
        <f>IFERROR(IF(INDEX('Outcome Indicators - Section C '!P$1:P$100,MATCH($A184,'Outcome Indicators - Section C '!$A$1:$A$100,0))&lt;&gt;"",FIXED(INDEX('Outcome Indicators - Section C '!P$1:P$100,MATCH($A184,'Outcome Indicators - Section C '!$A$1:$A$100,0))*100,2)&amp;"%",""),)&amp;CHAR(10)&amp;IFERROR(IF(INDEX('Outcome Indicators - Section C '!R$1:R$100,MATCH($A184,'Outcome Indicators - Section C '!$A$1:$A$100,0))&lt;&gt;"",INDEX('Outcome Indicators - Section C '!R$1:R$100,MATCH($A184,'Outcome Indicators - Section C '!$A$1:$A$100,0)),""),"")&amp;CHAR(10)&amp;IFERROR(IF(INDEX('Outcome Indicators - Section C '!Q$1:Q$100,MATCH($A184,'Outcome Indicators - Section C '!$A$1:$A$100,0))&lt;&gt;"",TEXT(INDEX('Outcome Indicators - Section C '!Q$1:Q$100,MATCH($A184,'Outcome Indicators - Section C '!$A$1:$A$100,0)),Setup!$A$33),""),"")</f>
        <v xml:space="preserve">7,00%
</v>
      </c>
      <c r="F196" s="79" t="str">
        <f>IFERROR(IF(INDEX('Outcome Indicators - Section C '!T$1:T$100,MATCH($A184,'Outcome Indicators - Section C '!$A$1:$A$100,0))&lt;&gt;"",FIXED(INDEX('Outcome Indicators - Section C '!T$1:T$100,MATCH($A184,'Outcome Indicators - Section C '!$A$1:$A$100,0))*100,2)&amp;"%",""),)&amp;CHAR(10)&amp;IFERROR(IF(INDEX('Outcome Indicators - Section C '!V$1:V$100,MATCH($A184,'Outcome Indicators - Section C '!$A$1:$A$100,0))&lt;&gt;"",INDEX('Outcome Indicators - Section C '!V$1:V$100,MATCH($A184,'Outcome Indicators - Section C '!$A$1:$A$100,0)),""),"")&amp;CHAR(10)&amp;IFERROR(IF(INDEX('Outcome Indicators - Section C '!U$1:U$100,MATCH($A184,'Outcome Indicators - Section C '!$A$1:$A$100,0))&lt;&gt;"",TEXT(INDEX('Outcome Indicators - Section C '!U$1:U$100,MATCH($A184,'Outcome Indicators - Section C '!$A$1:$A$100,0)),Setup!$A$33),""),"")</f>
        <v xml:space="preserve">
</v>
      </c>
      <c r="G196" s="79" t="str">
        <f ca="1">IFERROR(IF(INDEX('Outcome Indicators - Section C '!X$1:X$100,MATCH($A184,'Outcome Indicators - Section C '!$A$1:$A$100,0))&lt;&gt;"",FIXED(INDEX('Outcome Indicators - Section C '!X$1:X$100,MATCH($A184,'Outcome Indicators - Section C '!$A$1:$A$100,0))*100,2)&amp;"%",""),"")&amp;CHAR(10)&amp;IFERROR(IF(INDEX('Outcome Indicators - Section C '!Z$1:Z$100,MATCH($A184,'Outcome Indicators - Section C '!$A$1:$A$100,0))&lt;&gt;"",INDEX('Outcome Indicators - Section C '!Z$1:Z$100,MATCH($A184,'Outcome Indicators - Section C '!$A$1:$A$100,0)),""),"")&amp;CHAR(10)&amp;IFERROR(IF(INDEX('Outcome Indicators - Section C '!Y$1:Y$100,MATCH($A184,'Outcome Indicators - Section C '!$A$1:$A$100,0))&lt;&gt;"",TEXT(INDEX('Outcome Indicators - Section C '!Y$1:Y$100,MATCH($A184,'Outcome Indicators - Section C '!$A$1:$A$100,0)),Setup!$A$33),""),"")</f>
        <v xml:space="preserve">
</v>
      </c>
    </row>
    <row r="197" spans="1:7" ht="18.75" customHeight="1" x14ac:dyDescent="0.25">
      <c r="A197" s="643"/>
      <c r="B197" s="623" t="s">
        <v>176</v>
      </c>
      <c r="C197" s="624"/>
      <c r="D197" s="624"/>
      <c r="E197" s="624"/>
      <c r="F197" s="624"/>
      <c r="G197" s="625"/>
    </row>
    <row r="198" spans="1:7" ht="18.75" customHeight="1" x14ac:dyDescent="0.25">
      <c r="A198" s="643"/>
      <c r="B198" s="633" t="str">
        <f>IFERROR(IF(INDEX('Outcome Indicators - Section C '!AA$1:AA$100,MATCH($A184,'Outcome Indicators - Section C '!$A$1:$A$100,0))&lt;&gt;0,INDEX('Outcome Indicators - Section C '!AA$1:AA$100,MATCH($A184,'Outcome Indicators - Section C '!$A$1:$A$100,0)),""),"")</f>
        <v>The last PLHIV Stigma Index was conducted in 2020-2022, with the next Stigma Index scheduled for 2023. A report on the results of the study is provided by: https://www.stigmaindex.org/country-reports/#/m/KG                    Numerator: Number of respondents who respond in the affirmative (“Yes”) to at least one of the seven items per question Denominator: Number of survey respondents</v>
      </c>
      <c r="C198" s="634"/>
      <c r="D198" s="634"/>
      <c r="E198" s="634"/>
      <c r="F198" s="634"/>
      <c r="G198" s="635"/>
    </row>
    <row r="199" spans="1:7" ht="18.75" customHeight="1" x14ac:dyDescent="0.25">
      <c r="A199" s="643"/>
      <c r="B199" s="636"/>
      <c r="C199" s="637"/>
      <c r="D199" s="637"/>
      <c r="E199" s="637"/>
      <c r="F199" s="637"/>
      <c r="G199" s="638"/>
    </row>
    <row r="200" spans="1:7" ht="18.75" customHeight="1" x14ac:dyDescent="0.25">
      <c r="A200" s="643"/>
      <c r="B200" s="636"/>
      <c r="C200" s="637"/>
      <c r="D200" s="637"/>
      <c r="E200" s="637"/>
      <c r="F200" s="637"/>
      <c r="G200" s="638"/>
    </row>
    <row r="201" spans="1:7" ht="18.75" customHeight="1" x14ac:dyDescent="0.25">
      <c r="A201" s="643"/>
      <c r="B201" s="636"/>
      <c r="C201" s="637"/>
      <c r="D201" s="637"/>
      <c r="E201" s="637"/>
      <c r="F201" s="637"/>
      <c r="G201" s="638"/>
    </row>
    <row r="202" spans="1:7" ht="18.75" customHeight="1" x14ac:dyDescent="0.25">
      <c r="A202" s="643"/>
      <c r="B202" s="636"/>
      <c r="C202" s="637"/>
      <c r="D202" s="637"/>
      <c r="E202" s="637"/>
      <c r="F202" s="637"/>
      <c r="G202" s="638"/>
    </row>
    <row r="203" spans="1:7" ht="18.75" customHeight="1" x14ac:dyDescent="0.25">
      <c r="A203" s="643"/>
      <c r="B203" s="636"/>
      <c r="C203" s="637"/>
      <c r="D203" s="637"/>
      <c r="E203" s="637"/>
      <c r="F203" s="637"/>
      <c r="G203" s="638"/>
    </row>
    <row r="204" spans="1:7" ht="18.75" customHeight="1" x14ac:dyDescent="0.25">
      <c r="A204" s="643"/>
      <c r="B204" s="636"/>
      <c r="C204" s="637"/>
      <c r="D204" s="637"/>
      <c r="E204" s="637"/>
      <c r="F204" s="637"/>
      <c r="G204" s="638"/>
    </row>
    <row r="205" spans="1:7" ht="18.75" customHeight="1" x14ac:dyDescent="0.25">
      <c r="A205" s="643"/>
      <c r="B205" s="636"/>
      <c r="C205" s="637"/>
      <c r="D205" s="637"/>
      <c r="E205" s="637"/>
      <c r="F205" s="637"/>
      <c r="G205" s="638"/>
    </row>
    <row r="206" spans="1:7" ht="18.75" customHeight="1" x14ac:dyDescent="0.25">
      <c r="A206" s="643"/>
      <c r="B206" s="636"/>
      <c r="C206" s="637"/>
      <c r="D206" s="637"/>
      <c r="E206" s="637"/>
      <c r="F206" s="637"/>
      <c r="G206" s="638"/>
    </row>
    <row r="207" spans="1:7" ht="18.75" customHeight="1" x14ac:dyDescent="0.25">
      <c r="A207" s="658"/>
      <c r="B207" s="644"/>
      <c r="C207" s="645"/>
      <c r="D207" s="645"/>
      <c r="E207" s="645"/>
      <c r="F207" s="645"/>
      <c r="G207" s="646"/>
    </row>
    <row r="208" spans="1:7" ht="18.75" customHeight="1" x14ac:dyDescent="0.25">
      <c r="A208" s="623"/>
      <c r="B208" s="624"/>
      <c r="C208" s="624"/>
      <c r="D208" s="624"/>
      <c r="E208" s="624"/>
      <c r="F208" s="624"/>
      <c r="G208" s="625"/>
    </row>
    <row r="210" spans="1:7" ht="18.75" customHeight="1" x14ac:dyDescent="0.25">
      <c r="A210" s="77" t="s">
        <v>4383</v>
      </c>
      <c r="B210" s="623" t="s">
        <v>738</v>
      </c>
      <c r="C210" s="624"/>
      <c r="D210" s="625"/>
      <c r="E210" s="623" t="s">
        <v>739</v>
      </c>
      <c r="F210" s="624"/>
      <c r="G210" s="625"/>
    </row>
    <row r="211" spans="1:7" ht="18.75" customHeight="1" x14ac:dyDescent="0.25">
      <c r="A211" s="642">
        <v>8</v>
      </c>
      <c r="B211" s="633" t="str">
        <f>IFERROR(IF(INDEX('Outcome Indicators - Section C '!B$1:B$100,MATCH($A211,'Outcome Indicators - Section C '!$A$1:$A$100,0))&lt;&gt;0,INDEX('Outcome Indicators - Section C '!B$1:B$100,MATCH($A211,'Outcome Indicators - Section C '!$A$1:$A$100,0)),""),"")</f>
        <v>TB O-5⁽ᴹ⁾ TB treatment coverage: Percentage of patients with new and relapse TB that were notified and treated among the estimated number of incident TB in the same year (all forms of TB - bacteriologically confirmed plus clinically diagnosed</v>
      </c>
      <c r="C211" s="634"/>
      <c r="D211" s="635"/>
      <c r="E211" s="633" t="str">
        <f>IFERROR(IF(INDEX('Outcome Indicators - Section C '!C$1:C$100,MATCH($A211,'Outcome Indicators - Section C '!$A$1:$A$100,0))&lt;&gt;0,INDEX('Outcome Indicators - Section C '!C$1:C$100,MATCH($A211,'Outcome Indicators - Section C '!$A$1:$A$100,0)),""),"")</f>
        <v/>
      </c>
      <c r="F211" s="634"/>
      <c r="G211" s="635"/>
    </row>
    <row r="212" spans="1:7" ht="18.75" customHeight="1" x14ac:dyDescent="0.25">
      <c r="A212" s="643"/>
      <c r="B212" s="636"/>
      <c r="C212" s="637"/>
      <c r="D212" s="638"/>
      <c r="E212" s="636"/>
      <c r="F212" s="637"/>
      <c r="G212" s="638"/>
    </row>
    <row r="213" spans="1:7" ht="18.75" customHeight="1" x14ac:dyDescent="0.25">
      <c r="A213" s="643"/>
      <c r="B213" s="644"/>
      <c r="C213" s="645"/>
      <c r="D213" s="646"/>
      <c r="E213" s="644"/>
      <c r="F213" s="645"/>
      <c r="G213" s="646"/>
    </row>
    <row r="214" spans="1:7" ht="18.75" customHeight="1" x14ac:dyDescent="0.25">
      <c r="A214" s="643"/>
      <c r="B214" s="623" t="s">
        <v>742</v>
      </c>
      <c r="C214" s="624"/>
      <c r="D214" s="625"/>
      <c r="E214" s="623" t="s">
        <v>127</v>
      </c>
      <c r="F214" s="624"/>
      <c r="G214" s="625"/>
    </row>
    <row r="215" spans="1:7" ht="18.75" customHeight="1" x14ac:dyDescent="0.25">
      <c r="A215" s="643"/>
      <c r="B215" s="647" t="str">
        <f>IFERROR(IF(INDEX('Outcome Indicators - Section C '!H$1:H$100,MATCH($A211,'Outcome Indicators - Section C '!$A$1:$A$100,0))&lt;&gt;0,INDEX('Outcome Indicators - Section C '!H$1:H$100,MATCH($A211,'Outcome Indicators - Section C '!$A$1:$A$100,0)),""),"")</f>
        <v>Gender,Age</v>
      </c>
      <c r="C215" s="648"/>
      <c r="D215" s="649"/>
      <c r="E215" s="647" t="str">
        <f>IFERROR(IF(INDEX('Outcome Indicators - Section C '!J$9:J$38,MATCH($A211,'Outcome Indicators - Section C '!$A$9:$A$100,0))&lt;&gt;0,INDEX('Outcome Indicators - Section C '!J$9:J$38,MATCH($A211,'Outcome Indicators - Section C '!$A$9:$A$100,0)),""),"")</f>
        <v>Kyrgyzstan</v>
      </c>
      <c r="F215" s="648"/>
      <c r="G215" s="649"/>
    </row>
    <row r="216" spans="1:7" ht="18.75" customHeight="1" x14ac:dyDescent="0.25">
      <c r="A216" s="643"/>
      <c r="B216" s="623" t="s">
        <v>199</v>
      </c>
      <c r="C216" s="624"/>
      <c r="D216" s="625"/>
      <c r="E216" s="623" t="s">
        <v>120</v>
      </c>
      <c r="F216" s="624"/>
      <c r="G216" s="625"/>
    </row>
    <row r="217" spans="1:7" ht="18.75" customHeight="1" x14ac:dyDescent="0.25">
      <c r="A217" s="643"/>
      <c r="B217" s="633" t="str">
        <f>IFERROR(IF(INDEX('Outcome Indicators - Section C '!G$1:G$100,MATCH($A211,'Outcome Indicators - Section C '!$A$1:$A$100,0))&lt;&gt;0,INDEX('Outcome Indicators - Section C '!G$1:G$100,MATCH($A211,'Outcome Indicators - Section C '!$A$1:$A$100,0)),""),"")</f>
        <v>Global TB report</v>
      </c>
      <c r="C217" s="634"/>
      <c r="D217" s="635"/>
      <c r="E217" s="633" t="str">
        <f>IFERROR(IF(AND('Overview - Section A'!AS$1="Grant Making",OR(B211&lt;&gt;"",E211&lt;&gt;"")),Setup!I204,IF(INDEX('Outcome Indicators - Section C '!I$1:I$100,MATCH($A211,'Outcome Indicators - Section C '!$A$1:$A$100,0))&lt;&gt;0,INDEX('Outcome Indicators - Section C '!I$1:I$100,MATCH($A211,'Outcome Indicators - Section C '!$A$1:$A$100,0)),"")),"")</f>
        <v>United Nations Development Programme</v>
      </c>
      <c r="F217" s="634"/>
      <c r="G217" s="635"/>
    </row>
    <row r="218" spans="1:7" ht="18.75" customHeight="1" x14ac:dyDescent="0.25">
      <c r="A218" s="643"/>
      <c r="B218" s="644"/>
      <c r="C218" s="645"/>
      <c r="D218" s="646"/>
      <c r="E218" s="644"/>
      <c r="F218" s="645"/>
      <c r="G218" s="646"/>
    </row>
    <row r="219" spans="1:7" ht="18.75" customHeight="1" x14ac:dyDescent="0.25">
      <c r="A219" s="643"/>
      <c r="B219" s="78"/>
      <c r="C219" s="63" t="s">
        <v>4384</v>
      </c>
      <c r="D219" s="623" t="s">
        <v>4385</v>
      </c>
      <c r="E219" s="624"/>
      <c r="F219" s="624"/>
      <c r="G219" s="625"/>
    </row>
    <row r="220" spans="1:7" ht="18.75" customHeight="1" x14ac:dyDescent="0.25">
      <c r="A220" s="643"/>
      <c r="B220" s="78" t="s">
        <v>2559</v>
      </c>
      <c r="C220" s="79">
        <f>IFERROR(IF(INDEX('Outcome Indicators - Section C '!F$1:F$100,MATCH($A211,'Outcome Indicators - Section C '!$A$1:$A$100,0))&lt;&gt;0,INDEX('Outcome Indicators - Section C '!F$1:F$100,MATCH($A211,'Outcome Indicators - Section C '!$A$1:$A$100,0)),""),"")</f>
        <v>2021</v>
      </c>
      <c r="D220" s="63">
        <f ca="1">IFERROR(IF(YEAR(INDEX('Overview - Section A'!$A$47:$A$54,MATCH('Print - Summary'!$H$10,'Overview - Section A'!$B$47:$B$54,0)))&lt;=YEAR('Overview - Section A'!$E$8),YEAR(INDEX('Overview - Section A'!$A$47:$A$54,MATCH('Print - Summary'!$H$10,'Overview - Section A'!$B$47:$B$54,0))),""),"")</f>
        <v>2024</v>
      </c>
      <c r="E220" s="63">
        <f ca="1">IFERROR(IF(D220+1&lt;=YEAR('Overview - Section A'!$E$8),D220+1,""),"")</f>
        <v>2025</v>
      </c>
      <c r="F220" s="63">
        <f ca="1">IFERROR(IF(E220+1&lt;=YEAR('Overview - Section A'!$E$8),E220+1,""),"")</f>
        <v>2026</v>
      </c>
      <c r="G220" s="63" t="str">
        <f ca="1">IFERROR(IF(F220+1&lt;=YEAR('Overview - Section A'!$E$8),F220+1,""),"")</f>
        <v/>
      </c>
    </row>
    <row r="221" spans="1:7" s="85" customFormat="1" ht="18.75" customHeight="1" x14ac:dyDescent="0.25">
      <c r="A221" s="643"/>
      <c r="B221" s="78" t="s">
        <v>4386</v>
      </c>
      <c r="C221" s="84" t="str">
        <f>IFERROR(IF(INDEX('Outcome Indicators - Section C '!D$1:D$100,MATCH($A211,'Outcome Indicators - Section C '!$A$1:$A$100,0))&lt;&gt;"",FIXED(INDEX('Outcome Indicators - Section C '!D$1:D$100,MATCH($A211,'Outcome Indicators - Section C '!$A$1:$A$100,0)),4),""),"")</f>
        <v/>
      </c>
      <c r="D221" s="84" t="str">
        <f>IFERROR(IF(INDEX('Outcome Indicators - Section C '!K$1:K$100,MATCH($A211,'Outcome Indicators - Section C '!$A$1:$A$100,0))&lt;&gt;"",FIXED(INDEX('Outcome Indicators - Section C '!K$1:K$100,MATCH($A211,'Outcome Indicators - Section C '!$A$1:$A$100,0)),4),""),"")</f>
        <v/>
      </c>
      <c r="E221" s="84" t="str">
        <f>IFERROR(IF(INDEX('Outcome Indicators - Section C '!O$1:O$100,MATCH($A211,'Outcome Indicators - Section C '!$A$1:$A$100,0))&lt;&gt;"",FIXED(INDEX('Outcome Indicators - Section C '!O$1:O$100,MATCH($A211,'Outcome Indicators - Section C '!$A$1:$A$100,0)),4),""),"")</f>
        <v/>
      </c>
      <c r="F221" s="84" t="str">
        <f>IFERROR(IF(INDEX('Outcome Indicators - Section C '!S$1:S$100,MATCH($A211,'Outcome Indicators - Section C '!$A$1:$A$100,0))&lt;&gt;"",FIXED(INDEX('Outcome Indicators - Section C '!S$1:S$100,MATCH($A211,'Outcome Indicators - Section C '!$A$1:$A$100,0)),4),""),"")</f>
        <v/>
      </c>
      <c r="G221" s="84" t="str">
        <f>IFERROR(IF(INDEX('Outcome Indicators - Section C '!W$1:W$100,MATCH($A211,'Outcome Indicators - Section C '!$A$1:$A$100,0))&lt;&gt;"",FIXED(INDEX('Outcome Indicators - Section C '!W$1:W$100,MATCH($A211,'Outcome Indicators - Section C '!$A$1:$A$100,0)),4),""),"")</f>
        <v/>
      </c>
    </row>
    <row r="222" spans="1:7" s="83" customFormat="1" ht="18.75" customHeight="1" x14ac:dyDescent="0.25">
      <c r="A222" s="643"/>
      <c r="B222" s="78" t="s">
        <v>4387</v>
      </c>
      <c r="C222" s="82" t="str">
        <f>IFERROR(IF(INDEX('Outcome Indicators - Section C '!D$1:D$100,MATCH($A211,'Outcome Indicators - Section C '!$A$1:$A$100,0)+1)&lt;&gt;"",FIXED(INDEX('Outcome Indicators - Section C '!D$1:D$100,MATCH($A211,'Outcome Indicators - Section C '!$A$1:$A$100,0)+1),2),""),"")</f>
        <v/>
      </c>
      <c r="D222" s="82" t="str">
        <f>IFERROR(IF(INDEX('Outcome Indicators - Section C '!K$1:K$100,MATCH($A211,'Outcome Indicators - Section C '!$A$1:$A$100,0)+1)&lt;&gt;"",FIXED(INDEX('Outcome Indicators - Section C '!K$1:K$100,MATCH($A211,'Outcome Indicators - Section C '!$A$1:$A$100,0)+1),2),""),"")</f>
        <v/>
      </c>
      <c r="E222" s="82" t="str">
        <f>IFERROR(IF(INDEX('Outcome Indicators - Section C '!O$1:O$100,MATCH($A211,'Outcome Indicators - Section C '!$A$1:$A$100,0)+1)&lt;&gt;"",FIXED(INDEX('Outcome Indicators - Section C '!O$1:O$100,MATCH($A211,'Outcome Indicators - Section C '!$A$1:$A$100,0)+1),2),""),"")</f>
        <v/>
      </c>
      <c r="F222" s="82" t="str">
        <f>IFERROR(IF(INDEX('Outcome Indicators - Section C '!S$1:S$100,MATCH($A211,'Outcome Indicators - Section C '!$A$1:$A$100,0)+1)&lt;&gt;"",FIXED(INDEX('Outcome Indicators - Section C '!S$1:S$100,MATCH($A211,'Outcome Indicators - Section C '!$A$1:$A$100,0)+1),2),""),"")</f>
        <v/>
      </c>
      <c r="G222" s="82" t="str">
        <f>IFERROR(IF(INDEX('Outcome Indicators - Section C '!W$1:W$100,MATCH($A211,'Outcome Indicators - Section C '!$A$1:$A$100,0)+1)&lt;&gt;"",FIXED(INDEX('Outcome Indicators - Section C '!W$1:W$100,MATCH($A211,'Outcome Indicators - Section C '!$A$1:$A$100,0)+1),2),""),"")</f>
        <v/>
      </c>
    </row>
    <row r="223" spans="1:7" ht="18.75" customHeight="1" x14ac:dyDescent="0.25">
      <c r="A223" s="643"/>
      <c r="B223" s="78" t="s">
        <v>4388</v>
      </c>
      <c r="C223" s="79" t="str">
        <f>IFERROR(IF(INDEX('Outcome Indicators - Section C '!E$1:E$100,MATCH($A211,'Outcome Indicators - Section C '!$A$1:$A$100,0))&lt;&gt;"",FIXED(INDEX('Outcome Indicators - Section C '!E$1:E$100,MATCH($A211,'Outcome Indicators - Section C '!$A$1:$A$100,0))*100,2)&amp;"%",""),"")</f>
        <v>54,00%</v>
      </c>
      <c r="D223" s="79" t="str">
        <f ca="1">IFERROR(IF(INDEX('Outcome Indicators - Section C '!L$1:L$100,MATCH($A211,'Outcome Indicators - Section C '!$A$1:$A$100,0))&lt;&gt;"",FIXED(INDEX('Outcome Indicators - Section C '!L$1:L$100,MATCH($A211,'Outcome Indicators - Section C '!$A$1:$A$100,0))*100,2)&amp;"%",""),"")&amp;CHAR(10)&amp;IFERROR(IF(INDEX('Outcome Indicators - Section C '!N$1:N$100,MATCH($A211,'Outcome Indicators - Section C '!$A$1:$A$100,0))&lt;&gt;"",INDEX('Outcome Indicators - Section C '!N$1:N$100,MATCH($A211,'Outcome Indicators - Section C '!$A$1:$A$100,0)),""),"")&amp;CHAR(10)&amp;IFERROR(IF(INDEX('Outcome Indicators - Section C '!M$1:M$100,MATCH($A211,'Outcome Indicators - Section C '!$A$1:$A$100,0))&lt;&gt;"",TEXT(INDEX('Outcome Indicators - Section C '!M$1:M$100,MATCH($A211,'Outcome Indicators - Section C '!$A$1:$A$100,0)),Setup!$A$33),""),"")</f>
        <v>60,00%
d-mmm-yy</v>
      </c>
      <c r="E223" s="79" t="str">
        <f ca="1">IFERROR(IF(INDEX('Outcome Indicators - Section C '!P$1:P$100,MATCH($A211,'Outcome Indicators - Section C '!$A$1:$A$100,0))&lt;&gt;"",FIXED(INDEX('Outcome Indicators - Section C '!P$1:P$100,MATCH($A211,'Outcome Indicators - Section C '!$A$1:$A$100,0))*100,2)&amp;"%",""),)&amp;CHAR(10)&amp;IFERROR(IF(INDEX('Outcome Indicators - Section C '!R$1:R$100,MATCH($A211,'Outcome Indicators - Section C '!$A$1:$A$100,0))&lt;&gt;"",INDEX('Outcome Indicators - Section C '!R$1:R$100,MATCH($A211,'Outcome Indicators - Section C '!$A$1:$A$100,0)),""),"")&amp;CHAR(10)&amp;IFERROR(IF(INDEX('Outcome Indicators - Section C '!Q$1:Q$100,MATCH($A211,'Outcome Indicators - Section C '!$A$1:$A$100,0))&lt;&gt;"",TEXT(INDEX('Outcome Indicators - Section C '!Q$1:Q$100,MATCH($A211,'Outcome Indicators - Section C '!$A$1:$A$100,0)),Setup!$A$33),""),"")</f>
        <v>65,00%
d-mmm-yy</v>
      </c>
      <c r="F223" s="79" t="str">
        <f ca="1">IFERROR(IF(INDEX('Outcome Indicators - Section C '!T$1:T$100,MATCH($A211,'Outcome Indicators - Section C '!$A$1:$A$100,0))&lt;&gt;"",FIXED(INDEX('Outcome Indicators - Section C '!T$1:T$100,MATCH($A211,'Outcome Indicators - Section C '!$A$1:$A$100,0))*100,2)&amp;"%",""),)&amp;CHAR(10)&amp;IFERROR(IF(INDEX('Outcome Indicators - Section C '!V$1:V$100,MATCH($A211,'Outcome Indicators - Section C '!$A$1:$A$100,0))&lt;&gt;"",INDEX('Outcome Indicators - Section C '!V$1:V$100,MATCH($A211,'Outcome Indicators - Section C '!$A$1:$A$100,0)),""),"")&amp;CHAR(10)&amp;IFERROR(IF(INDEX('Outcome Indicators - Section C '!U$1:U$100,MATCH($A211,'Outcome Indicators - Section C '!$A$1:$A$100,0))&lt;&gt;"",TEXT(INDEX('Outcome Indicators - Section C '!U$1:U$100,MATCH($A211,'Outcome Indicators - Section C '!$A$1:$A$100,0)),Setup!$A$33),""),"")</f>
        <v>70,00%
d-mmm-yy</v>
      </c>
      <c r="G223" s="79" t="str">
        <f ca="1">IFERROR(IF(INDEX('Outcome Indicators - Section C '!X$1:X$100,MATCH($A211,'Outcome Indicators - Section C '!$A$1:$A$100,0))&lt;&gt;"",FIXED(INDEX('Outcome Indicators - Section C '!X$1:X$100,MATCH($A211,'Outcome Indicators - Section C '!$A$1:$A$100,0))*100,2)&amp;"%",""),"")&amp;CHAR(10)&amp;IFERROR(IF(INDEX('Outcome Indicators - Section C '!Z$1:Z$100,MATCH($A211,'Outcome Indicators - Section C '!$A$1:$A$100,0))&lt;&gt;"",INDEX('Outcome Indicators - Section C '!Z$1:Z$100,MATCH($A211,'Outcome Indicators - Section C '!$A$1:$A$100,0)),""),"")&amp;CHAR(10)&amp;IFERROR(IF(INDEX('Outcome Indicators - Section C '!Y$1:Y$100,MATCH($A211,'Outcome Indicators - Section C '!$A$1:$A$100,0))&lt;&gt;"",TEXT(INDEX('Outcome Indicators - Section C '!Y$1:Y$100,MATCH($A211,'Outcome Indicators - Section C '!$A$1:$A$100,0)),Setup!$A$33),""),"")</f>
        <v xml:space="preserve">
</v>
      </c>
    </row>
    <row r="224" spans="1:7" ht="18.75" customHeight="1" x14ac:dyDescent="0.25">
      <c r="A224" s="643"/>
      <c r="B224" s="623" t="s">
        <v>176</v>
      </c>
      <c r="C224" s="624"/>
      <c r="D224" s="624"/>
      <c r="E224" s="624"/>
      <c r="F224" s="624"/>
      <c r="G224" s="625"/>
    </row>
    <row r="225" spans="1:7" ht="18.75" customHeight="1" x14ac:dyDescent="0.25">
      <c r="A225" s="643"/>
      <c r="B225" s="633" t="str">
        <f>IFERROR(IF(INDEX('Outcome Indicators - Section C '!AA$1:AA$100,MATCH($A211,'Outcome Indicators - Section C '!$A$1:$A$100,0))&lt;&gt;0,INDEX('Outcome Indicators - Section C '!AA$1:AA$100,MATCH($A211,'Outcome Indicators - Section C '!$A$1:$A$100,0)),""),"")</f>
        <v>This indicator was included first time in the grant application in 2018-2020, and up to COVID-19 pandemic continuously approved: 77% in 2017, 87% in 2018 and 2019. Due to COVID-19 related impact, the TB treatment coverage decreased till 62% in 2020, and continues to decline in 2021 (54%). It is expected that activities within active case finding, contact investigation and screening will contribute to detection of TB cases to be enrolled on treatment. Thus, TB treatment coverage will be improving: 60% in 2024, 65% in 2025 and 70% in 2026. Numerator: Number of new and relapse cases that were notified and treated. Denominator: Estimated number of incident people with TB in the same year (all form of TB - bacteriologically confirmed plus clinically diagnosed). Data will be reported based on published WHO Global TB report: 2024 – to be reported in October 2025, 2025 - to be reported in October 2026, 2026 - to be reported in October 2027.</v>
      </c>
      <c r="C225" s="634"/>
      <c r="D225" s="634"/>
      <c r="E225" s="634"/>
      <c r="F225" s="634"/>
      <c r="G225" s="635"/>
    </row>
    <row r="226" spans="1:7" ht="18.75" customHeight="1" x14ac:dyDescent="0.25">
      <c r="A226" s="643"/>
      <c r="B226" s="636"/>
      <c r="C226" s="637"/>
      <c r="D226" s="637"/>
      <c r="E226" s="637"/>
      <c r="F226" s="637"/>
      <c r="G226" s="638"/>
    </row>
    <row r="227" spans="1:7" ht="18.75" customHeight="1" x14ac:dyDescent="0.25">
      <c r="A227" s="643"/>
      <c r="B227" s="636"/>
      <c r="C227" s="637"/>
      <c r="D227" s="637"/>
      <c r="E227" s="637"/>
      <c r="F227" s="637"/>
      <c r="G227" s="638"/>
    </row>
    <row r="228" spans="1:7" ht="18.75" customHeight="1" x14ac:dyDescent="0.25">
      <c r="A228" s="643"/>
      <c r="B228" s="636"/>
      <c r="C228" s="637"/>
      <c r="D228" s="637"/>
      <c r="E228" s="637"/>
      <c r="F228" s="637"/>
      <c r="G228" s="638"/>
    </row>
    <row r="229" spans="1:7" ht="18.75" customHeight="1" x14ac:dyDescent="0.25">
      <c r="A229" s="643"/>
      <c r="B229" s="636"/>
      <c r="C229" s="637"/>
      <c r="D229" s="637"/>
      <c r="E229" s="637"/>
      <c r="F229" s="637"/>
      <c r="G229" s="638"/>
    </row>
    <row r="230" spans="1:7" ht="18.75" customHeight="1" x14ac:dyDescent="0.25">
      <c r="A230" s="643"/>
      <c r="B230" s="636"/>
      <c r="C230" s="637"/>
      <c r="D230" s="637"/>
      <c r="E230" s="637"/>
      <c r="F230" s="637"/>
      <c r="G230" s="638"/>
    </row>
    <row r="231" spans="1:7" ht="18.75" customHeight="1" x14ac:dyDescent="0.25">
      <c r="A231" s="643"/>
      <c r="B231" s="636"/>
      <c r="C231" s="637"/>
      <c r="D231" s="637"/>
      <c r="E231" s="637"/>
      <c r="F231" s="637"/>
      <c r="G231" s="638"/>
    </row>
    <row r="232" spans="1:7" ht="18.75" customHeight="1" x14ac:dyDescent="0.25">
      <c r="A232" s="643"/>
      <c r="B232" s="636"/>
      <c r="C232" s="637"/>
      <c r="D232" s="637"/>
      <c r="E232" s="637"/>
      <c r="F232" s="637"/>
      <c r="G232" s="638"/>
    </row>
    <row r="233" spans="1:7" ht="18.75" customHeight="1" x14ac:dyDescent="0.25">
      <c r="A233" s="643"/>
      <c r="B233" s="636"/>
      <c r="C233" s="637"/>
      <c r="D233" s="637"/>
      <c r="E233" s="637"/>
      <c r="F233" s="637"/>
      <c r="G233" s="638"/>
    </row>
    <row r="234" spans="1:7" ht="18.75" customHeight="1" x14ac:dyDescent="0.25">
      <c r="A234" s="658"/>
      <c r="B234" s="644"/>
      <c r="C234" s="645"/>
      <c r="D234" s="645"/>
      <c r="E234" s="645"/>
      <c r="F234" s="645"/>
      <c r="G234" s="646"/>
    </row>
    <row r="235" spans="1:7" ht="18.75" customHeight="1" x14ac:dyDescent="0.25">
      <c r="A235" s="623"/>
      <c r="B235" s="624"/>
      <c r="C235" s="624"/>
      <c r="D235" s="624"/>
      <c r="E235" s="624"/>
      <c r="F235" s="624"/>
      <c r="G235" s="625"/>
    </row>
    <row r="237" spans="1:7" ht="18.75" customHeight="1" x14ac:dyDescent="0.25">
      <c r="A237" s="77" t="s">
        <v>4383</v>
      </c>
      <c r="B237" s="623" t="s">
        <v>738</v>
      </c>
      <c r="C237" s="624"/>
      <c r="D237" s="625"/>
      <c r="E237" s="623" t="s">
        <v>739</v>
      </c>
      <c r="F237" s="624"/>
      <c r="G237" s="625"/>
    </row>
    <row r="238" spans="1:7" ht="18.75" customHeight="1" x14ac:dyDescent="0.25">
      <c r="A238" s="642">
        <v>9</v>
      </c>
      <c r="B238" s="633" t="str">
        <f>IFERROR(IF(INDEX('Outcome Indicators - Section C '!B$1:B$100,MATCH($A238,'Outcome Indicators - Section C '!$A$1:$A$100,0))&lt;&gt;0,INDEX('Outcome Indicators - Section C '!B$1:B$100,MATCH($A238,'Outcome Indicators - Section C '!$A$1:$A$100,0)),""),"")</f>
        <v>TB O-4⁽ᴹ⁾ Treatment success rate of RR-TB and/or MDR-TB: Percentage of patients with RR and/or MDR-TB successfully treated</v>
      </c>
      <c r="C238" s="634"/>
      <c r="D238" s="635"/>
      <c r="E238" s="633" t="str">
        <f>IFERROR(IF(INDEX('Outcome Indicators - Section C '!C$1:C$100,MATCH($A238,'Outcome Indicators - Section C '!$A$1:$A$100,0))&lt;&gt;0,INDEX('Outcome Indicators - Section C '!C$1:C$100,MATCH($A238,'Outcome Indicators - Section C '!$A$1:$A$100,0)),""),"")</f>
        <v/>
      </c>
      <c r="F238" s="634"/>
      <c r="G238" s="635"/>
    </row>
    <row r="239" spans="1:7" ht="18.75" customHeight="1" x14ac:dyDescent="0.25">
      <c r="A239" s="643"/>
      <c r="B239" s="636"/>
      <c r="C239" s="637"/>
      <c r="D239" s="638"/>
      <c r="E239" s="636"/>
      <c r="F239" s="637"/>
      <c r="G239" s="638"/>
    </row>
    <row r="240" spans="1:7" ht="18.75" customHeight="1" x14ac:dyDescent="0.25">
      <c r="A240" s="643"/>
      <c r="B240" s="644"/>
      <c r="C240" s="645"/>
      <c r="D240" s="646"/>
      <c r="E240" s="644"/>
      <c r="F240" s="645"/>
      <c r="G240" s="646"/>
    </row>
    <row r="241" spans="1:7" ht="18.75" customHeight="1" x14ac:dyDescent="0.25">
      <c r="A241" s="643"/>
      <c r="B241" s="623" t="s">
        <v>742</v>
      </c>
      <c r="C241" s="624"/>
      <c r="D241" s="625"/>
      <c r="E241" s="623" t="s">
        <v>127</v>
      </c>
      <c r="F241" s="624"/>
      <c r="G241" s="625"/>
    </row>
    <row r="242" spans="1:7" ht="18.75" customHeight="1" x14ac:dyDescent="0.25">
      <c r="A242" s="643"/>
      <c r="B242" s="647" t="str">
        <f>IFERROR(IF(INDEX('Outcome Indicators - Section C '!H$1:H$100,MATCH($A238,'Outcome Indicators - Section C '!$A$1:$A$100,0))&lt;&gt;0,INDEX('Outcome Indicators - Section C '!H$1:H$100,MATCH($A238,'Outcome Indicators - Section C '!$A$1:$A$100,0)),""),"")</f>
        <v/>
      </c>
      <c r="C242" s="648"/>
      <c r="D242" s="649"/>
      <c r="E242" s="647" t="str">
        <f>IFERROR(IF(INDEX('Outcome Indicators - Section C '!J$9:J$38,MATCH($A238,'Outcome Indicators - Section C '!$A$9:$A$100,0))&lt;&gt;0,INDEX('Outcome Indicators - Section C '!J$9:J$38,MATCH($A238,'Outcome Indicators - Section C '!$A$9:$A$100,0)),""),"")</f>
        <v>Kyrgyzstan</v>
      </c>
      <c r="F242" s="648"/>
      <c r="G242" s="649"/>
    </row>
    <row r="243" spans="1:7" ht="18.75" customHeight="1" x14ac:dyDescent="0.25">
      <c r="A243" s="643"/>
      <c r="B243" s="623" t="s">
        <v>199</v>
      </c>
      <c r="C243" s="624"/>
      <c r="D243" s="625"/>
      <c r="E243" s="623" t="s">
        <v>120</v>
      </c>
      <c r="F243" s="624"/>
      <c r="G243" s="625"/>
    </row>
    <row r="244" spans="1:7" ht="18.75" customHeight="1" x14ac:dyDescent="0.25">
      <c r="A244" s="643"/>
      <c r="B244" s="633" t="str">
        <f>IFERROR(IF(INDEX('Outcome Indicators - Section C '!G$1:G$100,MATCH($A238,'Outcome Indicators - Section C '!$A$1:$A$100,0))&lt;&gt;0,INDEX('Outcome Indicators - Section C '!G$1:G$100,MATCH($A238,'Outcome Indicators - Section C '!$A$1:$A$100,0)),""),"")</f>
        <v>The report of the National TB CEnter</v>
      </c>
      <c r="C244" s="634"/>
      <c r="D244" s="635"/>
      <c r="E244" s="633" t="str">
        <f>IFERROR(IF(AND('Overview - Section A'!AS$1="Grant Making",OR(B238&lt;&gt;"",E238&lt;&gt;"")),Setup!I231,IF(INDEX('Outcome Indicators - Section C '!I$1:I$100,MATCH($A238,'Outcome Indicators - Section C '!$A$1:$A$100,0))&lt;&gt;0,INDEX('Outcome Indicators - Section C '!I$1:I$100,MATCH($A238,'Outcome Indicators - Section C '!$A$1:$A$100,0)),"")),"")</f>
        <v>United Nations Development Programme</v>
      </c>
      <c r="F244" s="634"/>
      <c r="G244" s="635"/>
    </row>
    <row r="245" spans="1:7" ht="18.75" customHeight="1" x14ac:dyDescent="0.25">
      <c r="A245" s="643"/>
      <c r="B245" s="644"/>
      <c r="C245" s="645"/>
      <c r="D245" s="646"/>
      <c r="E245" s="644"/>
      <c r="F245" s="645"/>
      <c r="G245" s="646"/>
    </row>
    <row r="246" spans="1:7" ht="18.75" customHeight="1" x14ac:dyDescent="0.25">
      <c r="A246" s="643"/>
      <c r="B246" s="78"/>
      <c r="C246" s="63" t="s">
        <v>4384</v>
      </c>
      <c r="D246" s="623" t="s">
        <v>4385</v>
      </c>
      <c r="E246" s="624"/>
      <c r="F246" s="624"/>
      <c r="G246" s="625"/>
    </row>
    <row r="247" spans="1:7" ht="18.75" customHeight="1" x14ac:dyDescent="0.25">
      <c r="A247" s="643"/>
      <c r="B247" s="78" t="s">
        <v>2559</v>
      </c>
      <c r="C247" s="79">
        <f>IFERROR(IF(INDEX('Outcome Indicators - Section C '!F$1:F$100,MATCH($A238,'Outcome Indicators - Section C '!$A$1:$A$100,0))&lt;&gt;0,INDEX('Outcome Indicators - Section C '!F$1:F$100,MATCH($A238,'Outcome Indicators - Section C '!$A$1:$A$100,0)),""),"")</f>
        <v>2021</v>
      </c>
      <c r="D247" s="63">
        <f ca="1">IFERROR(IF(YEAR(INDEX('Overview - Section A'!$A$47:$A$54,MATCH('Print - Summary'!$H$10,'Overview - Section A'!$B$47:$B$54,0)))&lt;=YEAR('Overview - Section A'!$E$8),YEAR(INDEX('Overview - Section A'!$A$47:$A$54,MATCH('Print - Summary'!$H$10,'Overview - Section A'!$B$47:$B$54,0))),""),"")</f>
        <v>2024</v>
      </c>
      <c r="E247" s="63">
        <f ca="1">IFERROR(IF(D247+1&lt;=YEAR('Overview - Section A'!$E$8),D247+1,""),"")</f>
        <v>2025</v>
      </c>
      <c r="F247" s="63">
        <f ca="1">IFERROR(IF(E247+1&lt;=YEAR('Overview - Section A'!$E$8),E247+1,""),"")</f>
        <v>2026</v>
      </c>
      <c r="G247" s="63" t="str">
        <f ca="1">IFERROR(IF(F247+1&lt;=YEAR('Overview - Section A'!$E$8),F247+1,""),"")</f>
        <v/>
      </c>
    </row>
    <row r="248" spans="1:7" s="85" customFormat="1" ht="18.75" customHeight="1" x14ac:dyDescent="0.25">
      <c r="A248" s="643"/>
      <c r="B248" s="78" t="s">
        <v>4386</v>
      </c>
      <c r="C248" s="84" t="str">
        <f>IFERROR(IF(INDEX('Outcome Indicators - Section C '!D$1:D$100,MATCH($A238,'Outcome Indicators - Section C '!$A$1:$A$100,0))&lt;&gt;"",FIXED(INDEX('Outcome Indicators - Section C '!D$1:D$100,MATCH($A238,'Outcome Indicators - Section C '!$A$1:$A$100,0)),4),""),"")</f>
        <v>901.0000</v>
      </c>
      <c r="D248" s="84" t="str">
        <f>IFERROR(IF(INDEX('Outcome Indicators - Section C '!K$1:K$100,MATCH($A238,'Outcome Indicators - Section C '!$A$1:$A$100,0))&lt;&gt;"",FIXED(INDEX('Outcome Indicators - Section C '!K$1:K$100,MATCH($A238,'Outcome Indicators - Section C '!$A$1:$A$100,0)),4),""),"")</f>
        <v/>
      </c>
      <c r="E248" s="84" t="str">
        <f>IFERROR(IF(INDEX('Outcome Indicators - Section C '!O$1:O$100,MATCH($A238,'Outcome Indicators - Section C '!$A$1:$A$100,0))&lt;&gt;"",FIXED(INDEX('Outcome Indicators - Section C '!O$1:O$100,MATCH($A238,'Outcome Indicators - Section C '!$A$1:$A$100,0)),4),""),"")</f>
        <v/>
      </c>
      <c r="F248" s="84" t="str">
        <f>IFERROR(IF(INDEX('Outcome Indicators - Section C '!S$1:S$100,MATCH($A238,'Outcome Indicators - Section C '!$A$1:$A$100,0))&lt;&gt;"",FIXED(INDEX('Outcome Indicators - Section C '!S$1:S$100,MATCH($A238,'Outcome Indicators - Section C '!$A$1:$A$100,0)),4),""),"")</f>
        <v/>
      </c>
      <c r="G248" s="84" t="str">
        <f>IFERROR(IF(INDEX('Outcome Indicators - Section C '!W$1:W$100,MATCH($A238,'Outcome Indicators - Section C '!$A$1:$A$100,0))&lt;&gt;"",FIXED(INDEX('Outcome Indicators - Section C '!W$1:W$100,MATCH($A238,'Outcome Indicators - Section C '!$A$1:$A$100,0)),4),""),"")</f>
        <v/>
      </c>
    </row>
    <row r="249" spans="1:7" s="83" customFormat="1" ht="18.75" customHeight="1" x14ac:dyDescent="0.25">
      <c r="A249" s="643"/>
      <c r="B249" s="78" t="s">
        <v>4387</v>
      </c>
      <c r="C249" s="82" t="str">
        <f>IFERROR(IF(INDEX('Outcome Indicators - Section C '!D$1:D$100,MATCH($A238,'Outcome Indicators - Section C '!$A$1:$A$100,0)+1)&lt;&gt;"",FIXED(INDEX('Outcome Indicators - Section C '!D$1:D$100,MATCH($A238,'Outcome Indicators - Section C '!$A$1:$A$100,0)+1),2),""),"")</f>
        <v>1,270.00</v>
      </c>
      <c r="D249" s="82" t="str">
        <f>IFERROR(IF(INDEX('Outcome Indicators - Section C '!K$1:K$100,MATCH($A238,'Outcome Indicators - Section C '!$A$1:$A$100,0)+1)&lt;&gt;"",FIXED(INDEX('Outcome Indicators - Section C '!K$1:K$100,MATCH($A238,'Outcome Indicators - Section C '!$A$1:$A$100,0)+1),2),""),"")</f>
        <v/>
      </c>
      <c r="E249" s="82" t="str">
        <f>IFERROR(IF(INDEX('Outcome Indicators - Section C '!O$1:O$100,MATCH($A238,'Outcome Indicators - Section C '!$A$1:$A$100,0)+1)&lt;&gt;"",FIXED(INDEX('Outcome Indicators - Section C '!O$1:O$100,MATCH($A238,'Outcome Indicators - Section C '!$A$1:$A$100,0)+1),2),""),"")</f>
        <v/>
      </c>
      <c r="F249" s="82" t="str">
        <f>IFERROR(IF(INDEX('Outcome Indicators - Section C '!S$1:S$100,MATCH($A238,'Outcome Indicators - Section C '!$A$1:$A$100,0)+1)&lt;&gt;"",FIXED(INDEX('Outcome Indicators - Section C '!S$1:S$100,MATCH($A238,'Outcome Indicators - Section C '!$A$1:$A$100,0)+1),2),""),"")</f>
        <v/>
      </c>
      <c r="G249" s="82" t="str">
        <f>IFERROR(IF(INDEX('Outcome Indicators - Section C '!W$1:W$100,MATCH($A238,'Outcome Indicators - Section C '!$A$1:$A$100,0)+1)&lt;&gt;"",FIXED(INDEX('Outcome Indicators - Section C '!W$1:W$100,MATCH($A238,'Outcome Indicators - Section C '!$A$1:$A$100,0)+1),2),""),"")</f>
        <v/>
      </c>
    </row>
    <row r="250" spans="1:7" ht="18.75" customHeight="1" x14ac:dyDescent="0.25">
      <c r="A250" s="643"/>
      <c r="B250" s="78" t="s">
        <v>4388</v>
      </c>
      <c r="C250" s="79" t="str">
        <f ca="1">IFERROR(IF(INDEX('Outcome Indicators - Section C '!E$1:E$100,MATCH($A238,'Outcome Indicators - Section C '!$A$1:$A$100,0))&lt;&gt;"",FIXED(INDEX('Outcome Indicators - Section C '!E$1:E$100,MATCH($A238,'Outcome Indicators - Section C '!$A$1:$A$100,0))*100,2)&amp;"%",""),"")</f>
        <v>70,94%</v>
      </c>
      <c r="D250" s="79" t="str">
        <f ca="1">IFERROR(IF(INDEX('Outcome Indicators - Section C '!L$1:L$100,MATCH($A238,'Outcome Indicators - Section C '!$A$1:$A$100,0))&lt;&gt;"",FIXED(INDEX('Outcome Indicators - Section C '!L$1:L$100,MATCH($A238,'Outcome Indicators - Section C '!$A$1:$A$100,0))*100,2)&amp;"%",""),"")&amp;CHAR(10)&amp;IFERROR(IF(INDEX('Outcome Indicators - Section C '!N$1:N$100,MATCH($A238,'Outcome Indicators - Section C '!$A$1:$A$100,0))&lt;&gt;"",INDEX('Outcome Indicators - Section C '!N$1:N$100,MATCH($A238,'Outcome Indicators - Section C '!$A$1:$A$100,0)),""),"")&amp;CHAR(10)&amp;IFERROR(IF(INDEX('Outcome Indicators - Section C '!M$1:M$100,MATCH($A238,'Outcome Indicators - Section C '!$A$1:$A$100,0))&lt;&gt;"",TEXT(INDEX('Outcome Indicators - Section C '!M$1:M$100,MATCH($A238,'Outcome Indicators - Section C '!$A$1:$A$100,0)),Setup!$A$33),""),"")</f>
        <v>75,00%
d-mmm-yy</v>
      </c>
      <c r="E250" s="79" t="str">
        <f ca="1">IFERROR(IF(INDEX('Outcome Indicators - Section C '!P$1:P$100,MATCH($A238,'Outcome Indicators - Section C '!$A$1:$A$100,0))&lt;&gt;"",FIXED(INDEX('Outcome Indicators - Section C '!P$1:P$100,MATCH($A238,'Outcome Indicators - Section C '!$A$1:$A$100,0))*100,2)&amp;"%",""),)&amp;CHAR(10)&amp;IFERROR(IF(INDEX('Outcome Indicators - Section C '!R$1:R$100,MATCH($A238,'Outcome Indicators - Section C '!$A$1:$A$100,0))&lt;&gt;"",INDEX('Outcome Indicators - Section C '!R$1:R$100,MATCH($A238,'Outcome Indicators - Section C '!$A$1:$A$100,0)),""),"")&amp;CHAR(10)&amp;IFERROR(IF(INDEX('Outcome Indicators - Section C '!Q$1:Q$100,MATCH($A238,'Outcome Indicators - Section C '!$A$1:$A$100,0))&lt;&gt;"",TEXT(INDEX('Outcome Indicators - Section C '!Q$1:Q$100,MATCH($A238,'Outcome Indicators - Section C '!$A$1:$A$100,0)),Setup!$A$33),""),"")</f>
        <v>78,00%
d-mmm-yy</v>
      </c>
      <c r="F250" s="79" t="str">
        <f ca="1">IFERROR(IF(INDEX('Outcome Indicators - Section C '!T$1:T$100,MATCH($A238,'Outcome Indicators - Section C '!$A$1:$A$100,0))&lt;&gt;"",FIXED(INDEX('Outcome Indicators - Section C '!T$1:T$100,MATCH($A238,'Outcome Indicators - Section C '!$A$1:$A$100,0))*100,2)&amp;"%",""),)&amp;CHAR(10)&amp;IFERROR(IF(INDEX('Outcome Indicators - Section C '!V$1:V$100,MATCH($A238,'Outcome Indicators - Section C '!$A$1:$A$100,0))&lt;&gt;"",INDEX('Outcome Indicators - Section C '!V$1:V$100,MATCH($A238,'Outcome Indicators - Section C '!$A$1:$A$100,0)),""),"")&amp;CHAR(10)&amp;IFERROR(IF(INDEX('Outcome Indicators - Section C '!U$1:U$100,MATCH($A238,'Outcome Indicators - Section C '!$A$1:$A$100,0))&lt;&gt;"",TEXT(INDEX('Outcome Indicators - Section C '!U$1:U$100,MATCH($A238,'Outcome Indicators - Section C '!$A$1:$A$100,0)),Setup!$A$33),""),"")</f>
        <v>80,00%
d-mmm-yy</v>
      </c>
      <c r="G250" s="79" t="str">
        <f ca="1">IFERROR(IF(INDEX('Outcome Indicators - Section C '!X$1:X$100,MATCH($A238,'Outcome Indicators - Section C '!$A$1:$A$100,0))&lt;&gt;"",FIXED(INDEX('Outcome Indicators - Section C '!X$1:X$100,MATCH($A238,'Outcome Indicators - Section C '!$A$1:$A$100,0))*100,2)&amp;"%",""),"")&amp;CHAR(10)&amp;IFERROR(IF(INDEX('Outcome Indicators - Section C '!Z$1:Z$100,MATCH($A238,'Outcome Indicators - Section C '!$A$1:$A$100,0))&lt;&gt;"",INDEX('Outcome Indicators - Section C '!Z$1:Z$100,MATCH($A238,'Outcome Indicators - Section C '!$A$1:$A$100,0)),""),"")&amp;CHAR(10)&amp;IFERROR(IF(INDEX('Outcome Indicators - Section C '!Y$1:Y$100,MATCH($A238,'Outcome Indicators - Section C '!$A$1:$A$100,0))&lt;&gt;"",TEXT(INDEX('Outcome Indicators - Section C '!Y$1:Y$100,MATCH($A238,'Outcome Indicators - Section C '!$A$1:$A$100,0)),Setup!$A$33),""),"")</f>
        <v xml:space="preserve">
</v>
      </c>
    </row>
    <row r="251" spans="1:7" ht="18.75" customHeight="1" x14ac:dyDescent="0.25">
      <c r="A251" s="643"/>
      <c r="B251" s="623" t="s">
        <v>176</v>
      </c>
      <c r="C251" s="624"/>
      <c r="D251" s="624"/>
      <c r="E251" s="624"/>
      <c r="F251" s="624"/>
      <c r="G251" s="625"/>
    </row>
    <row r="252" spans="1:7" ht="18.75" customHeight="1" x14ac:dyDescent="0.25">
      <c r="A252" s="643"/>
      <c r="B252" s="633" t="str">
        <f>IFERROR(IF(INDEX('Outcome Indicators - Section C '!AA$1:AA$100,MATCH($A238,'Outcome Indicators - Section C '!$A$1:$A$100,0))&lt;&gt;0,INDEX('Outcome Indicators - Section C '!AA$1:AA$100,MATCH($A238,'Outcome Indicators - Section C '!$A$1:$A$100,0)),""),"")</f>
        <v>Only the comprehensive patient-oriented approach and availability of the most effective treatment schemes countrywide promote improving the treatment results. It is envisaged, that 40-50% RR/MDR TB patient will be covered by new shorten regimens (BPaL and BPalM), which also contribute to increasing a treatment success rate in the country. Kyrgyzstan will achieve the 2025 WHO Europe regional milestone (≥80% treatment success). Numerator: Number of bacteriologically-confirmed RR and/or MDR-TB cases enrolled on second-line anti-TB treatment during the year of assessment who are successfully treated (cured plus completed treatment). Denominator: Total number of bacteriologically-confirmed RR TB and/or MDR-TB cases enrolled on second-line anti-TB treatment during the year of assessment. The National annual TB report. The data reporting tool for this indicator relates to the quarterly TB 08 U form.
According to the reporting cycle applied in the country (National Guidance on M&amp;E), the results on cohort 2022 will be assessed in 2024 and data will be available in April 2025. The data will be collected, processed and provided by NTP.</v>
      </c>
      <c r="C252" s="634"/>
      <c r="D252" s="634"/>
      <c r="E252" s="634"/>
      <c r="F252" s="634"/>
      <c r="G252" s="635"/>
    </row>
    <row r="253" spans="1:7" ht="18.75" customHeight="1" x14ac:dyDescent="0.25">
      <c r="A253" s="643"/>
      <c r="B253" s="636"/>
      <c r="C253" s="637"/>
      <c r="D253" s="637"/>
      <c r="E253" s="637"/>
      <c r="F253" s="637"/>
      <c r="G253" s="638"/>
    </row>
    <row r="254" spans="1:7" ht="18.75" customHeight="1" x14ac:dyDescent="0.25">
      <c r="A254" s="643"/>
      <c r="B254" s="636"/>
      <c r="C254" s="637"/>
      <c r="D254" s="637"/>
      <c r="E254" s="637"/>
      <c r="F254" s="637"/>
      <c r="G254" s="638"/>
    </row>
    <row r="255" spans="1:7" ht="18.75" customHeight="1" x14ac:dyDescent="0.25">
      <c r="A255" s="643"/>
      <c r="B255" s="636"/>
      <c r="C255" s="637"/>
      <c r="D255" s="637"/>
      <c r="E255" s="637"/>
      <c r="F255" s="637"/>
      <c r="G255" s="638"/>
    </row>
    <row r="256" spans="1:7" ht="18.75" customHeight="1" x14ac:dyDescent="0.25">
      <c r="A256" s="643"/>
      <c r="B256" s="636"/>
      <c r="C256" s="637"/>
      <c r="D256" s="637"/>
      <c r="E256" s="637"/>
      <c r="F256" s="637"/>
      <c r="G256" s="638"/>
    </row>
    <row r="257" spans="1:7" ht="18.75" customHeight="1" x14ac:dyDescent="0.25">
      <c r="A257" s="643"/>
      <c r="B257" s="636"/>
      <c r="C257" s="637"/>
      <c r="D257" s="637"/>
      <c r="E257" s="637"/>
      <c r="F257" s="637"/>
      <c r="G257" s="638"/>
    </row>
    <row r="258" spans="1:7" ht="18.75" customHeight="1" x14ac:dyDescent="0.25">
      <c r="A258" s="643"/>
      <c r="B258" s="636"/>
      <c r="C258" s="637"/>
      <c r="D258" s="637"/>
      <c r="E258" s="637"/>
      <c r="F258" s="637"/>
      <c r="G258" s="638"/>
    </row>
    <row r="259" spans="1:7" ht="18.75" customHeight="1" x14ac:dyDescent="0.25">
      <c r="A259" s="643"/>
      <c r="B259" s="636"/>
      <c r="C259" s="637"/>
      <c r="D259" s="637"/>
      <c r="E259" s="637"/>
      <c r="F259" s="637"/>
      <c r="G259" s="638"/>
    </row>
    <row r="260" spans="1:7" ht="18.75" customHeight="1" x14ac:dyDescent="0.25">
      <c r="A260" s="643"/>
      <c r="B260" s="636"/>
      <c r="C260" s="637"/>
      <c r="D260" s="637"/>
      <c r="E260" s="637"/>
      <c r="F260" s="637"/>
      <c r="G260" s="638"/>
    </row>
    <row r="261" spans="1:7" ht="18.75" customHeight="1" x14ac:dyDescent="0.25">
      <c r="A261" s="658"/>
      <c r="B261" s="644"/>
      <c r="C261" s="645"/>
      <c r="D261" s="645"/>
      <c r="E261" s="645"/>
      <c r="F261" s="645"/>
      <c r="G261" s="646"/>
    </row>
    <row r="262" spans="1:7" ht="18.75" customHeight="1" x14ac:dyDescent="0.25">
      <c r="A262" s="623"/>
      <c r="B262" s="624"/>
      <c r="C262" s="624"/>
      <c r="D262" s="624"/>
      <c r="E262" s="624"/>
      <c r="F262" s="624"/>
      <c r="G262" s="625"/>
    </row>
    <row r="264" spans="1:7" ht="18.75" customHeight="1" x14ac:dyDescent="0.25">
      <c r="A264" s="77" t="s">
        <v>4383</v>
      </c>
      <c r="B264" s="623" t="s">
        <v>738</v>
      </c>
      <c r="C264" s="624"/>
      <c r="D264" s="625"/>
      <c r="E264" s="623" t="s">
        <v>739</v>
      </c>
      <c r="F264" s="624"/>
      <c r="G264" s="625"/>
    </row>
    <row r="265" spans="1:7" ht="18.75" customHeight="1" x14ac:dyDescent="0.25">
      <c r="A265" s="642">
        <v>10</v>
      </c>
      <c r="B265" s="633" t="str">
        <f>IFERROR(IF(INDEX('Outcome Indicators - Section C '!B$1:B$100,MATCH($A265,'Outcome Indicators - Section C '!$A$1:$A$100,0))&lt;&gt;0,INDEX('Outcome Indicators - Section C '!B$1:B$100,MATCH($A265,'Outcome Indicators - Section C '!$A$1:$A$100,0)),""),"")</f>
        <v>TB O-8 Percentage of people diagnosed with TB who report stigma in health care settings that inhibited them from seeking and accessing TB services</v>
      </c>
      <c r="C265" s="634"/>
      <c r="D265" s="635"/>
      <c r="E265" s="633" t="str">
        <f>IFERROR(IF(INDEX('Outcome Indicators - Section C '!C$1:C$100,MATCH($A265,'Outcome Indicators - Section C '!$A$1:$A$100,0))&lt;&gt;0,INDEX('Outcome Indicators - Section C '!C$1:C$100,MATCH($A265,'Outcome Indicators - Section C '!$A$1:$A$100,0)),""),"")</f>
        <v/>
      </c>
      <c r="F265" s="634"/>
      <c r="G265" s="635"/>
    </row>
    <row r="266" spans="1:7" ht="18.75" customHeight="1" x14ac:dyDescent="0.25">
      <c r="A266" s="643"/>
      <c r="B266" s="636"/>
      <c r="C266" s="637"/>
      <c r="D266" s="638"/>
      <c r="E266" s="636"/>
      <c r="F266" s="637"/>
      <c r="G266" s="638"/>
    </row>
    <row r="267" spans="1:7" ht="18.75" customHeight="1" x14ac:dyDescent="0.25">
      <c r="A267" s="643"/>
      <c r="B267" s="644"/>
      <c r="C267" s="645"/>
      <c r="D267" s="646"/>
      <c r="E267" s="644"/>
      <c r="F267" s="645"/>
      <c r="G267" s="646"/>
    </row>
    <row r="268" spans="1:7" ht="18.75" customHeight="1" x14ac:dyDescent="0.25">
      <c r="A268" s="643"/>
      <c r="B268" s="623" t="s">
        <v>742</v>
      </c>
      <c r="C268" s="624"/>
      <c r="D268" s="625"/>
      <c r="E268" s="623" t="s">
        <v>127</v>
      </c>
      <c r="F268" s="624"/>
      <c r="G268" s="625"/>
    </row>
    <row r="269" spans="1:7" ht="18.75" customHeight="1" x14ac:dyDescent="0.25">
      <c r="A269" s="643"/>
      <c r="B269" s="647" t="str">
        <f>IFERROR(IF(INDEX('Outcome Indicators - Section C '!H$1:H$100,MATCH($A265,'Outcome Indicators - Section C '!$A$1:$A$100,0))&lt;&gt;0,INDEX('Outcome Indicators - Section C '!H$1:H$100,MATCH($A265,'Outcome Indicators - Section C '!$A$1:$A$100,0)),""),"")</f>
        <v/>
      </c>
      <c r="C269" s="648"/>
      <c r="D269" s="649"/>
      <c r="E269" s="647" t="str">
        <f>IFERROR(IF(INDEX('Outcome Indicators - Section C '!J$9:J$38,MATCH($A265,'Outcome Indicators - Section C '!$A$9:$A$100,0))&lt;&gt;0,INDEX('Outcome Indicators - Section C '!J$9:J$38,MATCH($A265,'Outcome Indicators - Section C '!$A$9:$A$100,0)),""),"")</f>
        <v>Kyrgyzstan</v>
      </c>
      <c r="F269" s="648"/>
      <c r="G269" s="649"/>
    </row>
    <row r="270" spans="1:7" ht="18.75" customHeight="1" x14ac:dyDescent="0.25">
      <c r="A270" s="643"/>
      <c r="B270" s="623" t="s">
        <v>199</v>
      </c>
      <c r="C270" s="624"/>
      <c r="D270" s="625"/>
      <c r="E270" s="623" t="s">
        <v>120</v>
      </c>
      <c r="F270" s="624"/>
      <c r="G270" s="625"/>
    </row>
    <row r="271" spans="1:7" ht="18.75" customHeight="1" x14ac:dyDescent="0.25">
      <c r="A271" s="643"/>
      <c r="B271" s="633" t="str">
        <f>IFERROR(IF(INDEX('Outcome Indicators - Section C '!G$1:G$100,MATCH($A265,'Outcome Indicators - Section C '!$A$1:$A$100,0))&lt;&gt;0,INDEX('Outcome Indicators - Section C '!G$1:G$100,MATCH($A265,'Outcome Indicators - Section C '!$A$1:$A$100,0)),""),"")</f>
        <v>TB Index Stigma Assesment</v>
      </c>
      <c r="C271" s="634"/>
      <c r="D271" s="635"/>
      <c r="E271" s="633" t="str">
        <f>IFERROR(IF(AND('Overview - Section A'!AS$1="Grant Making",OR(B265&lt;&gt;"",E265&lt;&gt;"")),Setup!I258,IF(INDEX('Outcome Indicators - Section C '!I$1:I$100,MATCH($A265,'Outcome Indicators - Section C '!$A$1:$A$100,0))&lt;&gt;0,INDEX('Outcome Indicators - Section C '!I$1:I$100,MATCH($A265,'Outcome Indicators - Section C '!$A$1:$A$100,0)),"")),"")</f>
        <v>United Nations Development Programme</v>
      </c>
      <c r="F271" s="634"/>
      <c r="G271" s="635"/>
    </row>
    <row r="272" spans="1:7" ht="18.75" customHeight="1" x14ac:dyDescent="0.25">
      <c r="A272" s="643"/>
      <c r="B272" s="644"/>
      <c r="C272" s="645"/>
      <c r="D272" s="646"/>
      <c r="E272" s="644"/>
      <c r="F272" s="645"/>
      <c r="G272" s="646"/>
    </row>
    <row r="273" spans="1:7" ht="18.75" customHeight="1" x14ac:dyDescent="0.25">
      <c r="A273" s="643"/>
      <c r="B273" s="78"/>
      <c r="C273" s="63" t="s">
        <v>4384</v>
      </c>
      <c r="D273" s="623" t="s">
        <v>4385</v>
      </c>
      <c r="E273" s="624"/>
      <c r="F273" s="624"/>
      <c r="G273" s="625"/>
    </row>
    <row r="274" spans="1:7" ht="18.75" customHeight="1" x14ac:dyDescent="0.25">
      <c r="A274" s="643"/>
      <c r="B274" s="78" t="s">
        <v>2559</v>
      </c>
      <c r="C274" s="79">
        <f>IFERROR(IF(INDEX('Outcome Indicators - Section C '!F$1:F$100,MATCH($A265,'Outcome Indicators - Section C '!$A$1:$A$100,0))&lt;&gt;0,INDEX('Outcome Indicators - Section C '!F$1:F$100,MATCH($A265,'Outcome Indicators - Section C '!$A$1:$A$100,0)),""),"")</f>
        <v>2023</v>
      </c>
      <c r="D274" s="63">
        <f ca="1">IFERROR(IF(YEAR(INDEX('Overview - Section A'!$A$47:$A$54,MATCH('Print - Summary'!$H$10,'Overview - Section A'!$B$47:$B$54,0)))&lt;=YEAR('Overview - Section A'!$E$8),YEAR(INDEX('Overview - Section A'!$A$47:$A$54,MATCH('Print - Summary'!$H$10,'Overview - Section A'!$B$47:$B$54,0))),""),"")</f>
        <v>2024</v>
      </c>
      <c r="E274" s="63">
        <f ca="1">IFERROR(IF(D274+1&lt;=YEAR('Overview - Section A'!$E$8),D274+1,""),"")</f>
        <v>2025</v>
      </c>
      <c r="F274" s="63">
        <f ca="1">IFERROR(IF(E274+1&lt;=YEAR('Overview - Section A'!$E$8),E274+1,""),"")</f>
        <v>2026</v>
      </c>
      <c r="G274" s="63" t="str">
        <f ca="1">IFERROR(IF(F274+1&lt;=YEAR('Overview - Section A'!$E$8),F274+1,""),"")</f>
        <v/>
      </c>
    </row>
    <row r="275" spans="1:7" s="85" customFormat="1" ht="18.75" customHeight="1" x14ac:dyDescent="0.25">
      <c r="A275" s="643"/>
      <c r="B275" s="78" t="s">
        <v>4386</v>
      </c>
      <c r="C275" s="84" t="str">
        <f>IFERROR(IF(INDEX('Outcome Indicators - Section C '!D$1:D$100,MATCH($A265,'Outcome Indicators - Section C '!$A$1:$A$100,0))&lt;&gt;"",FIXED(INDEX('Outcome Indicators - Section C '!D$1:D$100,MATCH($A265,'Outcome Indicators - Section C '!$A$1:$A$100,0)),4),""),"")</f>
        <v/>
      </c>
      <c r="D275" s="84" t="str">
        <f>IFERROR(IF(INDEX('Outcome Indicators - Section C '!K$1:K$100,MATCH($A265,'Outcome Indicators - Section C '!$A$1:$A$100,0))&lt;&gt;"",FIXED(INDEX('Outcome Indicators - Section C '!K$1:K$100,MATCH($A265,'Outcome Indicators - Section C '!$A$1:$A$100,0)),4),""),"")</f>
        <v/>
      </c>
      <c r="E275" s="84" t="str">
        <f>IFERROR(IF(INDEX('Outcome Indicators - Section C '!O$1:O$100,MATCH($A265,'Outcome Indicators - Section C '!$A$1:$A$100,0))&lt;&gt;"",FIXED(INDEX('Outcome Indicators - Section C '!O$1:O$100,MATCH($A265,'Outcome Indicators - Section C '!$A$1:$A$100,0)),4),""),"")</f>
        <v/>
      </c>
      <c r="F275" s="84" t="str">
        <f>IFERROR(IF(INDEX('Outcome Indicators - Section C '!S$1:S$100,MATCH($A265,'Outcome Indicators - Section C '!$A$1:$A$100,0))&lt;&gt;"",FIXED(INDEX('Outcome Indicators - Section C '!S$1:S$100,MATCH($A265,'Outcome Indicators - Section C '!$A$1:$A$100,0)),4),""),"")</f>
        <v/>
      </c>
      <c r="G275" s="84" t="str">
        <f>IFERROR(IF(INDEX('Outcome Indicators - Section C '!W$1:W$100,MATCH($A265,'Outcome Indicators - Section C '!$A$1:$A$100,0))&lt;&gt;"",FIXED(INDEX('Outcome Indicators - Section C '!W$1:W$100,MATCH($A265,'Outcome Indicators - Section C '!$A$1:$A$100,0)),4),""),"")</f>
        <v/>
      </c>
    </row>
    <row r="276" spans="1:7" s="83" customFormat="1" ht="18.75" customHeight="1" x14ac:dyDescent="0.25">
      <c r="A276" s="643"/>
      <c r="B276" s="78" t="s">
        <v>4387</v>
      </c>
      <c r="C276" s="82" t="str">
        <f>IFERROR(IF(INDEX('Outcome Indicators - Section C '!D$1:D$100,MATCH($A265,'Outcome Indicators - Section C '!$A$1:$A$100,0)+1)&lt;&gt;"",FIXED(INDEX('Outcome Indicators - Section C '!D$1:D$100,MATCH($A265,'Outcome Indicators - Section C '!$A$1:$A$100,0)+1),2),""),"")</f>
        <v/>
      </c>
      <c r="D276" s="82" t="str">
        <f>IFERROR(IF(INDEX('Outcome Indicators - Section C '!K$1:K$100,MATCH($A265,'Outcome Indicators - Section C '!$A$1:$A$100,0)+1)&lt;&gt;"",FIXED(INDEX('Outcome Indicators - Section C '!K$1:K$100,MATCH($A265,'Outcome Indicators - Section C '!$A$1:$A$100,0)+1),2),""),"")</f>
        <v/>
      </c>
      <c r="E276" s="82" t="str">
        <f>IFERROR(IF(INDEX('Outcome Indicators - Section C '!O$1:O$100,MATCH($A265,'Outcome Indicators - Section C '!$A$1:$A$100,0)+1)&lt;&gt;"",FIXED(INDEX('Outcome Indicators - Section C '!O$1:O$100,MATCH($A265,'Outcome Indicators - Section C '!$A$1:$A$100,0)+1),2),""),"")</f>
        <v/>
      </c>
      <c r="F276" s="82" t="str">
        <f>IFERROR(IF(INDEX('Outcome Indicators - Section C '!S$1:S$100,MATCH($A265,'Outcome Indicators - Section C '!$A$1:$A$100,0)+1)&lt;&gt;"",FIXED(INDEX('Outcome Indicators - Section C '!S$1:S$100,MATCH($A265,'Outcome Indicators - Section C '!$A$1:$A$100,0)+1),2),""),"")</f>
        <v/>
      </c>
      <c r="G276" s="82" t="str">
        <f>IFERROR(IF(INDEX('Outcome Indicators - Section C '!W$1:W$100,MATCH($A265,'Outcome Indicators - Section C '!$A$1:$A$100,0)+1)&lt;&gt;"",FIXED(INDEX('Outcome Indicators - Section C '!W$1:W$100,MATCH($A265,'Outcome Indicators - Section C '!$A$1:$A$100,0)+1),2),""),"")</f>
        <v/>
      </c>
    </row>
    <row r="277" spans="1:7" ht="18.75" customHeight="1" x14ac:dyDescent="0.25">
      <c r="A277" s="643"/>
      <c r="B277" s="78" t="s">
        <v>4388</v>
      </c>
      <c r="C277" s="79" t="str">
        <f ca="1">IFERROR(IF(INDEX('Outcome Indicators - Section C '!E$1:E$100,MATCH($A265,'Outcome Indicators - Section C '!$A$1:$A$100,0))&lt;&gt;"",FIXED(INDEX('Outcome Indicators - Section C '!E$1:E$100,MATCH($A265,'Outcome Indicators - Section C '!$A$1:$A$100,0))*100,2)&amp;"%",""),"")</f>
        <v/>
      </c>
      <c r="D277" s="79" t="str">
        <f ca="1">IFERROR(IF(INDEX('Outcome Indicators - Section C '!L$1:L$100,MATCH($A265,'Outcome Indicators - Section C '!$A$1:$A$100,0))&lt;&gt;"",FIXED(INDEX('Outcome Indicators - Section C '!L$1:L$100,MATCH($A265,'Outcome Indicators - Section C '!$A$1:$A$100,0))*100,2)&amp;"%",""),"")&amp;CHAR(10)&amp;IFERROR(IF(INDEX('Outcome Indicators - Section C '!N$1:N$100,MATCH($A265,'Outcome Indicators - Section C '!$A$1:$A$100,0))&lt;&gt;"",INDEX('Outcome Indicators - Section C '!N$1:N$100,MATCH($A265,'Outcome Indicators - Section C '!$A$1:$A$100,0)),""),"")&amp;CHAR(10)&amp;IFERROR(IF(INDEX('Outcome Indicators - Section C '!M$1:M$100,MATCH($A265,'Outcome Indicators - Section C '!$A$1:$A$100,0))&lt;&gt;"",TEXT(INDEX('Outcome Indicators - Section C '!M$1:M$100,MATCH($A265,'Outcome Indicators - Section C '!$A$1:$A$100,0)),Setup!$A$33),""),"")</f>
        <v xml:space="preserve">
</v>
      </c>
      <c r="E277" s="79" t="str">
        <f ca="1">IFERROR(IF(INDEX('Outcome Indicators - Section C '!P$1:P$100,MATCH($A265,'Outcome Indicators - Section C '!$A$1:$A$100,0))&lt;&gt;"",FIXED(INDEX('Outcome Indicators - Section C '!P$1:P$100,MATCH($A265,'Outcome Indicators - Section C '!$A$1:$A$100,0))*100,2)&amp;"%",""),)&amp;CHAR(10)&amp;IFERROR(IF(INDEX('Outcome Indicators - Section C '!R$1:R$100,MATCH($A265,'Outcome Indicators - Section C '!$A$1:$A$100,0))&lt;&gt;"",INDEX('Outcome Indicators - Section C '!R$1:R$100,MATCH($A265,'Outcome Indicators - Section C '!$A$1:$A$100,0)),""),"")&amp;CHAR(10)&amp;IFERROR(IF(INDEX('Outcome Indicators - Section C '!Q$1:Q$100,MATCH($A265,'Outcome Indicators - Section C '!$A$1:$A$100,0))&lt;&gt;"",TEXT(INDEX('Outcome Indicators - Section C '!Q$1:Q$100,MATCH($A265,'Outcome Indicators - Section C '!$A$1:$A$100,0)),Setup!$A$33),""),"")</f>
        <v xml:space="preserve">
TBD
d-mmm-yy</v>
      </c>
      <c r="F277" s="79" t="str">
        <f ca="1">IFERROR(IF(INDEX('Outcome Indicators - Section C '!T$1:T$100,MATCH($A265,'Outcome Indicators - Section C '!$A$1:$A$100,0))&lt;&gt;"",FIXED(INDEX('Outcome Indicators - Section C '!T$1:T$100,MATCH($A265,'Outcome Indicators - Section C '!$A$1:$A$100,0))*100,2)&amp;"%",""),)&amp;CHAR(10)&amp;IFERROR(IF(INDEX('Outcome Indicators - Section C '!V$1:V$100,MATCH($A265,'Outcome Indicators - Section C '!$A$1:$A$100,0))&lt;&gt;"",INDEX('Outcome Indicators - Section C '!V$1:V$100,MATCH($A265,'Outcome Indicators - Section C '!$A$1:$A$100,0)),""),"")&amp;CHAR(10)&amp;IFERROR(IF(INDEX('Outcome Indicators - Section C '!U$1:U$100,MATCH($A265,'Outcome Indicators - Section C '!$A$1:$A$100,0))&lt;&gt;"",TEXT(INDEX('Outcome Indicators - Section C '!U$1:U$100,MATCH($A265,'Outcome Indicators - Section C '!$A$1:$A$100,0)),Setup!$A$33),""),"")</f>
        <v xml:space="preserve">
</v>
      </c>
      <c r="G277" s="79" t="str">
        <f ca="1">IFERROR(IF(INDEX('Outcome Indicators - Section C '!X$1:X$100,MATCH($A265,'Outcome Indicators - Section C '!$A$1:$A$100,0))&lt;&gt;"",FIXED(INDEX('Outcome Indicators - Section C '!X$1:X$100,MATCH($A265,'Outcome Indicators - Section C '!$A$1:$A$100,0))*100,2)&amp;"%",""),"")&amp;CHAR(10)&amp;IFERROR(IF(INDEX('Outcome Indicators - Section C '!Z$1:Z$100,MATCH($A265,'Outcome Indicators - Section C '!$A$1:$A$100,0))&lt;&gt;"",INDEX('Outcome Indicators - Section C '!Z$1:Z$100,MATCH($A265,'Outcome Indicators - Section C '!$A$1:$A$100,0)),""),"")&amp;CHAR(10)&amp;IFERROR(IF(INDEX('Outcome Indicators - Section C '!Y$1:Y$100,MATCH($A265,'Outcome Indicators - Section C '!$A$1:$A$100,0))&lt;&gt;"",TEXT(INDEX('Outcome Indicators - Section C '!Y$1:Y$100,MATCH($A265,'Outcome Indicators - Section C '!$A$1:$A$100,0)),Setup!$A$33),""),"")</f>
        <v xml:space="preserve">
</v>
      </c>
    </row>
    <row r="278" spans="1:7" ht="18.75" customHeight="1" x14ac:dyDescent="0.25">
      <c r="A278" s="643"/>
      <c r="B278" s="623" t="s">
        <v>176</v>
      </c>
      <c r="C278" s="624"/>
      <c r="D278" s="624"/>
      <c r="E278" s="624"/>
      <c r="F278" s="624"/>
      <c r="G278" s="625"/>
    </row>
    <row r="279" spans="1:7" ht="18.75" customHeight="1" x14ac:dyDescent="0.25">
      <c r="A279" s="643"/>
      <c r="B279" s="633" t="str">
        <f>IFERROR(IF(INDEX('Outcome Indicators - Section C '!AA$1:AA$100,MATCH($A265,'Outcome Indicators - Section C '!$A$1:$A$100,0))&lt;&gt;0,INDEX('Outcome Indicators - Section C '!AA$1:AA$100,MATCH($A265,'Outcome Indicators - Section C '!$A$1:$A$100,0)),""),"")</f>
        <v>The baseline data will be available in the end of 2023 when the TB Stigma Assessment (the first stigma assessment which is conducted by community using the Stigma Assessment Tool developed by Stop TB Partnership) is completed. Based on results of the Assessment, the targets will be defined. Numerator: Number of people diagnosed with TB who report stigma in health care settings that inhibited them from seeking and accessing TB services. Denominator: Number of people diagnosed with TB who participated at the TB Stigma Assessment. The results will be collected once in year 2025 and reported in 2026.</v>
      </c>
      <c r="C279" s="634"/>
      <c r="D279" s="634"/>
      <c r="E279" s="634"/>
      <c r="F279" s="634"/>
      <c r="G279" s="635"/>
    </row>
    <row r="280" spans="1:7" ht="18.75" customHeight="1" x14ac:dyDescent="0.25">
      <c r="A280" s="643"/>
      <c r="B280" s="636"/>
      <c r="C280" s="637"/>
      <c r="D280" s="637"/>
      <c r="E280" s="637"/>
      <c r="F280" s="637"/>
      <c r="G280" s="638"/>
    </row>
    <row r="281" spans="1:7" ht="18.75" customHeight="1" x14ac:dyDescent="0.25">
      <c r="A281" s="643"/>
      <c r="B281" s="636"/>
      <c r="C281" s="637"/>
      <c r="D281" s="637"/>
      <c r="E281" s="637"/>
      <c r="F281" s="637"/>
      <c r="G281" s="638"/>
    </row>
    <row r="282" spans="1:7" ht="18.75" customHeight="1" x14ac:dyDescent="0.25">
      <c r="A282" s="643"/>
      <c r="B282" s="636"/>
      <c r="C282" s="637"/>
      <c r="D282" s="637"/>
      <c r="E282" s="637"/>
      <c r="F282" s="637"/>
      <c r="G282" s="638"/>
    </row>
    <row r="283" spans="1:7" ht="18.75" customHeight="1" x14ac:dyDescent="0.25">
      <c r="A283" s="643"/>
      <c r="B283" s="636"/>
      <c r="C283" s="637"/>
      <c r="D283" s="637"/>
      <c r="E283" s="637"/>
      <c r="F283" s="637"/>
      <c r="G283" s="638"/>
    </row>
    <row r="284" spans="1:7" ht="18.75" customHeight="1" x14ac:dyDescent="0.25">
      <c r="A284" s="643"/>
      <c r="B284" s="636"/>
      <c r="C284" s="637"/>
      <c r="D284" s="637"/>
      <c r="E284" s="637"/>
      <c r="F284" s="637"/>
      <c r="G284" s="638"/>
    </row>
    <row r="285" spans="1:7" ht="18.75" customHeight="1" x14ac:dyDescent="0.25">
      <c r="A285" s="643"/>
      <c r="B285" s="636"/>
      <c r="C285" s="637"/>
      <c r="D285" s="637"/>
      <c r="E285" s="637"/>
      <c r="F285" s="637"/>
      <c r="G285" s="638"/>
    </row>
    <row r="286" spans="1:7" ht="18.75" customHeight="1" x14ac:dyDescent="0.25">
      <c r="A286" s="643"/>
      <c r="B286" s="636"/>
      <c r="C286" s="637"/>
      <c r="D286" s="637"/>
      <c r="E286" s="637"/>
      <c r="F286" s="637"/>
      <c r="G286" s="638"/>
    </row>
    <row r="287" spans="1:7" ht="18.75" customHeight="1" x14ac:dyDescent="0.25">
      <c r="A287" s="643"/>
      <c r="B287" s="636"/>
      <c r="C287" s="637"/>
      <c r="D287" s="637"/>
      <c r="E287" s="637"/>
      <c r="F287" s="637"/>
      <c r="G287" s="638"/>
    </row>
    <row r="288" spans="1:7" ht="18.75" customHeight="1" x14ac:dyDescent="0.25">
      <c r="A288" s="658"/>
      <c r="B288" s="644"/>
      <c r="C288" s="645"/>
      <c r="D288" s="645"/>
      <c r="E288" s="645"/>
      <c r="F288" s="645"/>
      <c r="G288" s="646"/>
    </row>
    <row r="289" spans="1:7" ht="18.75" customHeight="1" x14ac:dyDescent="0.25">
      <c r="A289" s="623"/>
      <c r="B289" s="624"/>
      <c r="C289" s="624"/>
      <c r="D289" s="624"/>
      <c r="E289" s="624"/>
      <c r="F289" s="624"/>
      <c r="G289" s="625"/>
    </row>
    <row r="291" spans="1:7" ht="18.75" customHeight="1" x14ac:dyDescent="0.25">
      <c r="A291" s="77" t="s">
        <v>4383</v>
      </c>
      <c r="B291" s="623" t="s">
        <v>738</v>
      </c>
      <c r="C291" s="624"/>
      <c r="D291" s="625"/>
      <c r="E291" s="623" t="s">
        <v>739</v>
      </c>
      <c r="F291" s="624"/>
      <c r="G291" s="625"/>
    </row>
    <row r="292" spans="1:7" ht="18.75" customHeight="1" x14ac:dyDescent="0.25">
      <c r="A292" s="642">
        <v>11</v>
      </c>
      <c r="B292" s="633" t="str">
        <f>IFERROR(IF(INDEX('Outcome Indicators - Section C '!B$1:B$100,MATCH($A292,'Outcome Indicators - Section C '!$A$1:$A$100,0))&lt;&gt;0,INDEX('Outcome Indicators - Section C '!B$1:B$100,MATCH($A292,'Outcome Indicators - Section C '!$A$1:$A$100,0)),""),"")</f>
        <v/>
      </c>
      <c r="C292" s="634"/>
      <c r="D292" s="635"/>
      <c r="E292" s="633" t="str">
        <f>IFERROR(IF(INDEX('Outcome Indicators - Section C '!C$1:C$100,MATCH($A292,'Outcome Indicators - Section C '!$A$1:$A$100,0))&lt;&gt;0,INDEX('Outcome Indicators - Section C '!C$1:C$100,MATCH($A292,'Outcome Indicators - Section C '!$A$1:$A$100,0)),""),"")</f>
        <v/>
      </c>
      <c r="F292" s="634"/>
      <c r="G292" s="635"/>
    </row>
    <row r="293" spans="1:7" ht="18.75" customHeight="1" x14ac:dyDescent="0.25">
      <c r="A293" s="643"/>
      <c r="B293" s="636"/>
      <c r="C293" s="637"/>
      <c r="D293" s="638"/>
      <c r="E293" s="636"/>
      <c r="F293" s="637"/>
      <c r="G293" s="638"/>
    </row>
    <row r="294" spans="1:7" ht="18.75" customHeight="1" x14ac:dyDescent="0.25">
      <c r="A294" s="643"/>
      <c r="B294" s="644"/>
      <c r="C294" s="645"/>
      <c r="D294" s="646"/>
      <c r="E294" s="644"/>
      <c r="F294" s="645"/>
      <c r="G294" s="646"/>
    </row>
    <row r="295" spans="1:7" ht="18.75" customHeight="1" x14ac:dyDescent="0.25">
      <c r="A295" s="643"/>
      <c r="B295" s="623" t="s">
        <v>742</v>
      </c>
      <c r="C295" s="624"/>
      <c r="D295" s="625"/>
      <c r="E295" s="623" t="s">
        <v>127</v>
      </c>
      <c r="F295" s="624"/>
      <c r="G295" s="625"/>
    </row>
    <row r="296" spans="1:7" ht="18.75" customHeight="1" x14ac:dyDescent="0.25">
      <c r="A296" s="643"/>
      <c r="B296" s="647" t="str">
        <f>IFERROR(IF(INDEX('Outcome Indicators - Section C '!H$1:H$100,MATCH($A292,'Outcome Indicators - Section C '!$A$1:$A$100,0))&lt;&gt;0,INDEX('Outcome Indicators - Section C '!H$1:H$100,MATCH($A292,'Outcome Indicators - Section C '!$A$1:$A$100,0)),""),"")</f>
        <v/>
      </c>
      <c r="C296" s="648"/>
      <c r="D296" s="649"/>
      <c r="E296" s="647" t="str">
        <f>IFERROR(IF(INDEX('Outcome Indicators - Section C '!J$9:J$38,MATCH($A292,'Outcome Indicators - Section C '!$A$9:$A$100,0))&lt;&gt;0,INDEX('Outcome Indicators - Section C '!J$9:J$38,MATCH($A292,'Outcome Indicators - Section C '!$A$9:$A$100,0)),""),"")</f>
        <v/>
      </c>
      <c r="F296" s="648"/>
      <c r="G296" s="649"/>
    </row>
    <row r="297" spans="1:7" ht="18.75" customHeight="1" x14ac:dyDescent="0.25">
      <c r="A297" s="643"/>
      <c r="B297" s="623" t="s">
        <v>199</v>
      </c>
      <c r="C297" s="624"/>
      <c r="D297" s="625"/>
      <c r="E297" s="623" t="s">
        <v>120</v>
      </c>
      <c r="F297" s="624"/>
      <c r="G297" s="625"/>
    </row>
    <row r="298" spans="1:7" ht="18.75" customHeight="1" x14ac:dyDescent="0.25">
      <c r="A298" s="643"/>
      <c r="B298" s="633" t="str">
        <f>IFERROR(IF(INDEX('Outcome Indicators - Section C '!G$1:G$100,MATCH($A292,'Outcome Indicators - Section C '!$A$1:$A$100,0))&lt;&gt;0,INDEX('Outcome Indicators - Section C '!G$1:G$100,MATCH($A292,'Outcome Indicators - Section C '!$A$1:$A$100,0)),""),"")</f>
        <v/>
      </c>
      <c r="C298" s="634"/>
      <c r="D298" s="635"/>
      <c r="E298" s="633" t="str">
        <f>IFERROR(IF(AND('Overview - Section A'!AS$1="Grant Making",OR(B292&lt;&gt;"",E292&lt;&gt;"")),Setup!I285,IF(INDEX('Outcome Indicators - Section C '!I$1:I$100,MATCH($A292,'Outcome Indicators - Section C '!$A$1:$A$100,0))&lt;&gt;0,INDEX('Outcome Indicators - Section C '!I$1:I$100,MATCH($A292,'Outcome Indicators - Section C '!$A$1:$A$100,0)),"")),"")</f>
        <v/>
      </c>
      <c r="F298" s="634"/>
      <c r="G298" s="635"/>
    </row>
    <row r="299" spans="1:7" ht="18.75" customHeight="1" x14ac:dyDescent="0.25">
      <c r="A299" s="643"/>
      <c r="B299" s="644"/>
      <c r="C299" s="645"/>
      <c r="D299" s="646"/>
      <c r="E299" s="644"/>
      <c r="F299" s="645"/>
      <c r="G299" s="646"/>
    </row>
    <row r="300" spans="1:7" ht="18.75" customHeight="1" x14ac:dyDescent="0.25">
      <c r="A300" s="643"/>
      <c r="B300" s="78"/>
      <c r="C300" s="63" t="s">
        <v>4384</v>
      </c>
      <c r="D300" s="623" t="s">
        <v>4385</v>
      </c>
      <c r="E300" s="624"/>
      <c r="F300" s="624"/>
      <c r="G300" s="625"/>
    </row>
    <row r="301" spans="1:7" ht="18.75" customHeight="1" x14ac:dyDescent="0.25">
      <c r="A301" s="643"/>
      <c r="B301" s="78" t="s">
        <v>2559</v>
      </c>
      <c r="C301" s="79" t="str">
        <f>IFERROR(IF(INDEX('Outcome Indicators - Section C '!F$1:F$100,MATCH($A292,'Outcome Indicators - Section C '!$A$1:$A$100,0))&lt;&gt;0,INDEX('Outcome Indicators - Section C '!F$1:F$100,MATCH($A292,'Outcome Indicators - Section C '!$A$1:$A$100,0)),""),"")</f>
        <v/>
      </c>
      <c r="D301" s="63">
        <f ca="1">IFERROR(IF(YEAR(INDEX('Overview - Section A'!$A$47:$A$54,MATCH('Print - Summary'!$H$10,'Overview - Section A'!$B$47:$B$54,0)))&lt;=YEAR('Overview - Section A'!$E$8),YEAR(INDEX('Overview - Section A'!$A$47:$A$54,MATCH('Print - Summary'!$H$10,'Overview - Section A'!$B$47:$B$54,0))),""),"")</f>
        <v>2024</v>
      </c>
      <c r="E301" s="63">
        <f ca="1">IFERROR(IF(D301+1&lt;=YEAR('Overview - Section A'!$E$8),D301+1,""),"")</f>
        <v>2025</v>
      </c>
      <c r="F301" s="63">
        <f ca="1">IFERROR(IF(E301+1&lt;=YEAR('Overview - Section A'!$E$8),E301+1,""),"")</f>
        <v>2026</v>
      </c>
      <c r="G301" s="63" t="str">
        <f ca="1">IFERROR(IF(F301+1&lt;=YEAR('Overview - Section A'!$E$8),F301+1,""),"")</f>
        <v/>
      </c>
    </row>
    <row r="302" spans="1:7" s="85" customFormat="1" ht="18.75" customHeight="1" x14ac:dyDescent="0.25">
      <c r="A302" s="643"/>
      <c r="B302" s="78" t="s">
        <v>4386</v>
      </c>
      <c r="C302" s="84" t="str">
        <f>IFERROR(IF(INDEX('Outcome Indicators - Section C '!D$1:D$100,MATCH($A292,'Outcome Indicators - Section C '!$A$1:$A$100,0))&lt;&gt;"",FIXED(INDEX('Outcome Indicators - Section C '!D$1:D$100,MATCH($A292,'Outcome Indicators - Section C '!$A$1:$A$100,0)),4),""),"")</f>
        <v/>
      </c>
      <c r="D302" s="84" t="str">
        <f>IFERROR(IF(INDEX('Outcome Indicators - Section C '!K$1:K$100,MATCH($A292,'Outcome Indicators - Section C '!$A$1:$A$100,0))&lt;&gt;"",FIXED(INDEX('Outcome Indicators - Section C '!K$1:K$100,MATCH($A292,'Outcome Indicators - Section C '!$A$1:$A$100,0)),4),""),"")</f>
        <v/>
      </c>
      <c r="E302" s="84" t="str">
        <f>IFERROR(IF(INDEX('Outcome Indicators - Section C '!O$1:O$100,MATCH($A292,'Outcome Indicators - Section C '!$A$1:$A$100,0))&lt;&gt;"",FIXED(INDEX('Outcome Indicators - Section C '!O$1:O$100,MATCH($A292,'Outcome Indicators - Section C '!$A$1:$A$100,0)),4),""),"")</f>
        <v/>
      </c>
      <c r="F302" s="84" t="str">
        <f>IFERROR(IF(INDEX('Outcome Indicators - Section C '!S$1:S$100,MATCH($A292,'Outcome Indicators - Section C '!$A$1:$A$100,0))&lt;&gt;"",FIXED(INDEX('Outcome Indicators - Section C '!S$1:S$100,MATCH($A292,'Outcome Indicators - Section C '!$A$1:$A$100,0)),4),""),"")</f>
        <v/>
      </c>
      <c r="G302" s="84" t="str">
        <f>IFERROR(IF(INDEX('Outcome Indicators - Section C '!W$1:W$100,MATCH($A292,'Outcome Indicators - Section C '!$A$1:$A$100,0))&lt;&gt;"",FIXED(INDEX('Outcome Indicators - Section C '!W$1:W$100,MATCH($A292,'Outcome Indicators - Section C '!$A$1:$A$100,0)),4),""),"")</f>
        <v/>
      </c>
    </row>
    <row r="303" spans="1:7" s="83" customFormat="1" ht="18.75" customHeight="1" x14ac:dyDescent="0.25">
      <c r="A303" s="643"/>
      <c r="B303" s="78" t="s">
        <v>4387</v>
      </c>
      <c r="C303" s="82" t="str">
        <f>IFERROR(IF(INDEX('Outcome Indicators - Section C '!D$1:D$100,MATCH($A292,'Outcome Indicators - Section C '!$A$1:$A$100,0)+1)&lt;&gt;"",FIXED(INDEX('Outcome Indicators - Section C '!D$1:D$100,MATCH($A292,'Outcome Indicators - Section C '!$A$1:$A$100,0)+1),2),""),"")</f>
        <v/>
      </c>
      <c r="D303" s="82" t="str">
        <f>IFERROR(IF(INDEX('Outcome Indicators - Section C '!K$1:K$100,MATCH($A292,'Outcome Indicators - Section C '!$A$1:$A$100,0)+1)&lt;&gt;"",FIXED(INDEX('Outcome Indicators - Section C '!K$1:K$100,MATCH($A292,'Outcome Indicators - Section C '!$A$1:$A$100,0)+1),2),""),"")</f>
        <v/>
      </c>
      <c r="E303" s="82" t="str">
        <f>IFERROR(IF(INDEX('Outcome Indicators - Section C '!O$1:O$100,MATCH($A292,'Outcome Indicators - Section C '!$A$1:$A$100,0)+1)&lt;&gt;"",FIXED(INDEX('Outcome Indicators - Section C '!O$1:O$100,MATCH($A292,'Outcome Indicators - Section C '!$A$1:$A$100,0)+1),2),""),"")</f>
        <v/>
      </c>
      <c r="F303" s="82" t="str">
        <f>IFERROR(IF(INDEX('Outcome Indicators - Section C '!S$1:S$100,MATCH($A292,'Outcome Indicators - Section C '!$A$1:$A$100,0)+1)&lt;&gt;"",FIXED(INDEX('Outcome Indicators - Section C '!S$1:S$100,MATCH($A292,'Outcome Indicators - Section C '!$A$1:$A$100,0)+1),2),""),"")</f>
        <v/>
      </c>
      <c r="G303" s="82" t="str">
        <f>IFERROR(IF(INDEX('Outcome Indicators - Section C '!W$1:W$100,MATCH($A292,'Outcome Indicators - Section C '!$A$1:$A$100,0)+1)&lt;&gt;"",FIXED(INDEX('Outcome Indicators - Section C '!W$1:W$100,MATCH($A292,'Outcome Indicators - Section C '!$A$1:$A$100,0)+1),2),""),"")</f>
        <v/>
      </c>
    </row>
    <row r="304" spans="1:7" ht="18.75" customHeight="1" x14ac:dyDescent="0.25">
      <c r="A304" s="643"/>
      <c r="B304" s="78" t="s">
        <v>4388</v>
      </c>
      <c r="C304" s="79" t="str">
        <f ca="1">IFERROR(IF(INDEX('Outcome Indicators - Section C '!E$1:E$100,MATCH($A292,'Outcome Indicators - Section C '!$A$1:$A$100,0))&lt;&gt;"",FIXED(INDEX('Outcome Indicators - Section C '!E$1:E$100,MATCH($A292,'Outcome Indicators - Section C '!$A$1:$A$100,0))*100,2)&amp;"%",""),"")</f>
        <v/>
      </c>
      <c r="D304" s="79" t="str">
        <f ca="1">IFERROR(IF(INDEX('Outcome Indicators - Section C '!L$1:L$100,MATCH($A292,'Outcome Indicators - Section C '!$A$1:$A$100,0))&lt;&gt;"",FIXED(INDEX('Outcome Indicators - Section C '!L$1:L$100,MATCH($A292,'Outcome Indicators - Section C '!$A$1:$A$100,0))*100,2)&amp;"%",""),"")&amp;CHAR(10)&amp;IFERROR(IF(INDEX('Outcome Indicators - Section C '!N$1:N$100,MATCH($A292,'Outcome Indicators - Section C '!$A$1:$A$100,0))&lt;&gt;"",INDEX('Outcome Indicators - Section C '!N$1:N$100,MATCH($A292,'Outcome Indicators - Section C '!$A$1:$A$100,0)),""),"")&amp;CHAR(10)&amp;IFERROR(IF(INDEX('Outcome Indicators - Section C '!M$1:M$100,MATCH($A292,'Outcome Indicators - Section C '!$A$1:$A$100,0))&lt;&gt;"",TEXT(INDEX('Outcome Indicators - Section C '!M$1:M$100,MATCH($A292,'Outcome Indicators - Section C '!$A$1:$A$100,0)),Setup!$A$33),""),"")</f>
        <v xml:space="preserve">
</v>
      </c>
      <c r="E304" s="79" t="str">
        <f ca="1">IFERROR(IF(INDEX('Outcome Indicators - Section C '!P$1:P$100,MATCH($A292,'Outcome Indicators - Section C '!$A$1:$A$100,0))&lt;&gt;"",FIXED(INDEX('Outcome Indicators - Section C '!P$1:P$100,MATCH($A292,'Outcome Indicators - Section C '!$A$1:$A$100,0))*100,2)&amp;"%",""),)&amp;CHAR(10)&amp;IFERROR(IF(INDEX('Outcome Indicators - Section C '!R$1:R$100,MATCH($A292,'Outcome Indicators - Section C '!$A$1:$A$100,0))&lt;&gt;"",INDEX('Outcome Indicators - Section C '!R$1:R$100,MATCH($A292,'Outcome Indicators - Section C '!$A$1:$A$100,0)),""),"")&amp;CHAR(10)&amp;IFERROR(IF(INDEX('Outcome Indicators - Section C '!Q$1:Q$100,MATCH($A292,'Outcome Indicators - Section C '!$A$1:$A$100,0))&lt;&gt;"",TEXT(INDEX('Outcome Indicators - Section C '!Q$1:Q$100,MATCH($A292,'Outcome Indicators - Section C '!$A$1:$A$100,0)),Setup!$A$33),""),"")</f>
        <v xml:space="preserve">
</v>
      </c>
      <c r="F304" s="79" t="str">
        <f ca="1">IFERROR(IF(INDEX('Outcome Indicators - Section C '!T$1:T$100,MATCH($A292,'Outcome Indicators - Section C '!$A$1:$A$100,0))&lt;&gt;"",FIXED(INDEX('Outcome Indicators - Section C '!T$1:T$100,MATCH($A292,'Outcome Indicators - Section C '!$A$1:$A$100,0))*100,2)&amp;"%",""),)&amp;CHAR(10)&amp;IFERROR(IF(INDEX('Outcome Indicators - Section C '!V$1:V$100,MATCH($A292,'Outcome Indicators - Section C '!$A$1:$A$100,0))&lt;&gt;"",INDEX('Outcome Indicators - Section C '!V$1:V$100,MATCH($A292,'Outcome Indicators - Section C '!$A$1:$A$100,0)),""),"")&amp;CHAR(10)&amp;IFERROR(IF(INDEX('Outcome Indicators - Section C '!U$1:U$100,MATCH($A292,'Outcome Indicators - Section C '!$A$1:$A$100,0))&lt;&gt;"",TEXT(INDEX('Outcome Indicators - Section C '!U$1:U$100,MATCH($A292,'Outcome Indicators - Section C '!$A$1:$A$100,0)),Setup!$A$33),""),"")</f>
        <v xml:space="preserve">
</v>
      </c>
      <c r="G304" s="79" t="str">
        <f ca="1">IFERROR(IF(INDEX('Outcome Indicators - Section C '!X$1:X$100,MATCH($A292,'Outcome Indicators - Section C '!$A$1:$A$100,0))&lt;&gt;"",FIXED(INDEX('Outcome Indicators - Section C '!X$1:X$100,MATCH($A292,'Outcome Indicators - Section C '!$A$1:$A$100,0))*100,2)&amp;"%",""),"")&amp;CHAR(10)&amp;IFERROR(IF(INDEX('Outcome Indicators - Section C '!Z$1:Z$100,MATCH($A292,'Outcome Indicators - Section C '!$A$1:$A$100,0))&lt;&gt;"",INDEX('Outcome Indicators - Section C '!Z$1:Z$100,MATCH($A292,'Outcome Indicators - Section C '!$A$1:$A$100,0)),""),"")&amp;CHAR(10)&amp;IFERROR(IF(INDEX('Outcome Indicators - Section C '!Y$1:Y$100,MATCH($A292,'Outcome Indicators - Section C '!$A$1:$A$100,0))&lt;&gt;"",TEXT(INDEX('Outcome Indicators - Section C '!Y$1:Y$100,MATCH($A292,'Outcome Indicators - Section C '!$A$1:$A$100,0)),Setup!$A$33),""),"")</f>
        <v xml:space="preserve">
</v>
      </c>
    </row>
    <row r="305" spans="1:7" ht="18.75" customHeight="1" x14ac:dyDescent="0.25">
      <c r="A305" s="643"/>
      <c r="B305" s="623" t="s">
        <v>176</v>
      </c>
      <c r="C305" s="624"/>
      <c r="D305" s="624"/>
      <c r="E305" s="624"/>
      <c r="F305" s="624"/>
      <c r="G305" s="625"/>
    </row>
    <row r="306" spans="1:7" ht="18.75" customHeight="1" x14ac:dyDescent="0.25">
      <c r="A306" s="643"/>
      <c r="B306" s="633" t="str">
        <f>IFERROR(IF(INDEX('Outcome Indicators - Section C '!AA$1:AA$100,MATCH($A292,'Outcome Indicators - Section C '!$A$1:$A$100,0))&lt;&gt;0,INDEX('Outcome Indicators - Section C '!AA$1:AA$100,MATCH($A292,'Outcome Indicators - Section C '!$A$1:$A$100,0)),""),"")</f>
        <v/>
      </c>
      <c r="C306" s="634"/>
      <c r="D306" s="634"/>
      <c r="E306" s="634"/>
      <c r="F306" s="634"/>
      <c r="G306" s="635"/>
    </row>
    <row r="307" spans="1:7" ht="18.75" customHeight="1" x14ac:dyDescent="0.25">
      <c r="A307" s="643"/>
      <c r="B307" s="636"/>
      <c r="C307" s="637"/>
      <c r="D307" s="637"/>
      <c r="E307" s="637"/>
      <c r="F307" s="637"/>
      <c r="G307" s="638"/>
    </row>
    <row r="308" spans="1:7" ht="18.75" customHeight="1" x14ac:dyDescent="0.25">
      <c r="A308" s="643"/>
      <c r="B308" s="636"/>
      <c r="C308" s="637"/>
      <c r="D308" s="637"/>
      <c r="E308" s="637"/>
      <c r="F308" s="637"/>
      <c r="G308" s="638"/>
    </row>
    <row r="309" spans="1:7" ht="18.75" customHeight="1" x14ac:dyDescent="0.25">
      <c r="A309" s="643"/>
      <c r="B309" s="636"/>
      <c r="C309" s="637"/>
      <c r="D309" s="637"/>
      <c r="E309" s="637"/>
      <c r="F309" s="637"/>
      <c r="G309" s="638"/>
    </row>
    <row r="310" spans="1:7" ht="18.75" customHeight="1" x14ac:dyDescent="0.25">
      <c r="A310" s="643"/>
      <c r="B310" s="636"/>
      <c r="C310" s="637"/>
      <c r="D310" s="637"/>
      <c r="E310" s="637"/>
      <c r="F310" s="637"/>
      <c r="G310" s="638"/>
    </row>
    <row r="311" spans="1:7" ht="18.75" customHeight="1" x14ac:dyDescent="0.25">
      <c r="A311" s="643"/>
      <c r="B311" s="636"/>
      <c r="C311" s="637"/>
      <c r="D311" s="637"/>
      <c r="E311" s="637"/>
      <c r="F311" s="637"/>
      <c r="G311" s="638"/>
    </row>
    <row r="312" spans="1:7" ht="18.75" customHeight="1" x14ac:dyDescent="0.25">
      <c r="A312" s="643"/>
      <c r="B312" s="636"/>
      <c r="C312" s="637"/>
      <c r="D312" s="637"/>
      <c r="E312" s="637"/>
      <c r="F312" s="637"/>
      <c r="G312" s="638"/>
    </row>
    <row r="313" spans="1:7" ht="18.75" customHeight="1" x14ac:dyDescent="0.25">
      <c r="A313" s="643"/>
      <c r="B313" s="636"/>
      <c r="C313" s="637"/>
      <c r="D313" s="637"/>
      <c r="E313" s="637"/>
      <c r="F313" s="637"/>
      <c r="G313" s="638"/>
    </row>
    <row r="314" spans="1:7" ht="18.75" customHeight="1" x14ac:dyDescent="0.25">
      <c r="A314" s="643"/>
      <c r="B314" s="636"/>
      <c r="C314" s="637"/>
      <c r="D314" s="637"/>
      <c r="E314" s="637"/>
      <c r="F314" s="637"/>
      <c r="G314" s="638"/>
    </row>
    <row r="315" spans="1:7" ht="18.75" customHeight="1" x14ac:dyDescent="0.25">
      <c r="A315" s="658"/>
      <c r="B315" s="644"/>
      <c r="C315" s="645"/>
      <c r="D315" s="645"/>
      <c r="E315" s="645"/>
      <c r="F315" s="645"/>
      <c r="G315" s="646"/>
    </row>
    <row r="316" spans="1:7" ht="18.75" customHeight="1" x14ac:dyDescent="0.25">
      <c r="A316" s="623"/>
      <c r="B316" s="624"/>
      <c r="C316" s="624"/>
      <c r="D316" s="624"/>
      <c r="E316" s="624"/>
      <c r="F316" s="624"/>
      <c r="G316" s="625"/>
    </row>
    <row r="318" spans="1:7" ht="18.75" customHeight="1" x14ac:dyDescent="0.25">
      <c r="A318" s="77" t="s">
        <v>4383</v>
      </c>
      <c r="B318" s="623" t="s">
        <v>738</v>
      </c>
      <c r="C318" s="624"/>
      <c r="D318" s="625"/>
      <c r="E318" s="623" t="s">
        <v>739</v>
      </c>
      <c r="F318" s="624"/>
      <c r="G318" s="625"/>
    </row>
    <row r="319" spans="1:7" ht="18.75" customHeight="1" x14ac:dyDescent="0.25">
      <c r="A319" s="642">
        <v>12</v>
      </c>
      <c r="B319" s="633" t="str">
        <f>IFERROR(IF(INDEX('Outcome Indicators - Section C '!B$1:B$100,MATCH($A319,'Outcome Indicators - Section C '!$A$1:$A$100,0))&lt;&gt;0,INDEX('Outcome Indicators - Section C '!B$1:B$100,MATCH($A319,'Outcome Indicators - Section C '!$A$1:$A$100,0)),""),"")</f>
        <v/>
      </c>
      <c r="C319" s="634"/>
      <c r="D319" s="635"/>
      <c r="E319" s="633" t="str">
        <f>IFERROR(IF(INDEX('Outcome Indicators - Section C '!C$1:C$100,MATCH($A319,'Outcome Indicators - Section C '!$A$1:$A$100,0))&lt;&gt;0,INDEX('Outcome Indicators - Section C '!C$1:C$100,MATCH($A319,'Outcome Indicators - Section C '!$A$1:$A$100,0)),""),"")</f>
        <v/>
      </c>
      <c r="F319" s="634"/>
      <c r="G319" s="635"/>
    </row>
    <row r="320" spans="1:7" ht="18.75" customHeight="1" x14ac:dyDescent="0.25">
      <c r="A320" s="643"/>
      <c r="B320" s="636"/>
      <c r="C320" s="637"/>
      <c r="D320" s="638"/>
      <c r="E320" s="636"/>
      <c r="F320" s="637"/>
      <c r="G320" s="638"/>
    </row>
    <row r="321" spans="1:7" ht="18.75" customHeight="1" x14ac:dyDescent="0.25">
      <c r="A321" s="643"/>
      <c r="B321" s="644"/>
      <c r="C321" s="645"/>
      <c r="D321" s="646"/>
      <c r="E321" s="644"/>
      <c r="F321" s="645"/>
      <c r="G321" s="646"/>
    </row>
    <row r="322" spans="1:7" ht="18.75" customHeight="1" x14ac:dyDescent="0.25">
      <c r="A322" s="643"/>
      <c r="B322" s="623" t="s">
        <v>742</v>
      </c>
      <c r="C322" s="624"/>
      <c r="D322" s="625"/>
      <c r="E322" s="623" t="s">
        <v>127</v>
      </c>
      <c r="F322" s="624"/>
      <c r="G322" s="625"/>
    </row>
    <row r="323" spans="1:7" ht="18.75" customHeight="1" x14ac:dyDescent="0.25">
      <c r="A323" s="643"/>
      <c r="B323" s="647" t="str">
        <f>IFERROR(IF(INDEX('Outcome Indicators - Section C '!H$1:H$100,MATCH($A319,'Outcome Indicators - Section C '!$A$1:$A$100,0))&lt;&gt;0,INDEX('Outcome Indicators - Section C '!H$1:H$100,MATCH($A319,'Outcome Indicators - Section C '!$A$1:$A$100,0)),""),"")</f>
        <v/>
      </c>
      <c r="C323" s="648"/>
      <c r="D323" s="649"/>
      <c r="E323" s="647" t="str">
        <f>IFERROR(IF(INDEX('Outcome Indicators - Section C '!J$9:J$38,MATCH($A319,'Outcome Indicators - Section C '!$A$9:$A$100,0))&lt;&gt;0,INDEX('Outcome Indicators - Section C '!J$9:J$38,MATCH($A319,'Outcome Indicators - Section C '!$A$9:$A$100,0)),""),"")</f>
        <v/>
      </c>
      <c r="F323" s="648"/>
      <c r="G323" s="649"/>
    </row>
    <row r="324" spans="1:7" ht="18.75" customHeight="1" x14ac:dyDescent="0.25">
      <c r="A324" s="643"/>
      <c r="B324" s="623" t="s">
        <v>199</v>
      </c>
      <c r="C324" s="624"/>
      <c r="D324" s="625"/>
      <c r="E324" s="623" t="s">
        <v>120</v>
      </c>
      <c r="F324" s="624"/>
      <c r="G324" s="625"/>
    </row>
    <row r="325" spans="1:7" ht="18.75" customHeight="1" x14ac:dyDescent="0.25">
      <c r="A325" s="643"/>
      <c r="B325" s="633" t="str">
        <f>IFERROR(IF(INDEX('Outcome Indicators - Section C '!G$1:G$100,MATCH($A319,'Outcome Indicators - Section C '!$A$1:$A$100,0))&lt;&gt;0,INDEX('Outcome Indicators - Section C '!G$1:G$100,MATCH($A319,'Outcome Indicators - Section C '!$A$1:$A$100,0)),""),"")</f>
        <v/>
      </c>
      <c r="C325" s="634"/>
      <c r="D325" s="635"/>
      <c r="E325" s="633" t="str">
        <f>IFERROR(IF(AND('Overview - Section A'!AS$1="Grant Making",OR(B319&lt;&gt;"",E319&lt;&gt;"")),Setup!I312,IF(INDEX('Outcome Indicators - Section C '!I$1:I$100,MATCH($A319,'Outcome Indicators - Section C '!$A$1:$A$100,0))&lt;&gt;0,INDEX('Outcome Indicators - Section C '!I$1:I$100,MATCH($A319,'Outcome Indicators - Section C '!$A$1:$A$100,0)),"")),"")</f>
        <v/>
      </c>
      <c r="F325" s="634"/>
      <c r="G325" s="635"/>
    </row>
    <row r="326" spans="1:7" ht="18.75" customHeight="1" x14ac:dyDescent="0.25">
      <c r="A326" s="643"/>
      <c r="B326" s="644"/>
      <c r="C326" s="645"/>
      <c r="D326" s="646"/>
      <c r="E326" s="644"/>
      <c r="F326" s="645"/>
      <c r="G326" s="646"/>
    </row>
    <row r="327" spans="1:7" ht="18.75" customHeight="1" x14ac:dyDescent="0.25">
      <c r="A327" s="643"/>
      <c r="B327" s="78"/>
      <c r="C327" s="63" t="s">
        <v>4384</v>
      </c>
      <c r="D327" s="623" t="s">
        <v>4385</v>
      </c>
      <c r="E327" s="624"/>
      <c r="F327" s="624"/>
      <c r="G327" s="625"/>
    </row>
    <row r="328" spans="1:7" ht="18.75" customHeight="1" x14ac:dyDescent="0.25">
      <c r="A328" s="643"/>
      <c r="B328" s="78" t="s">
        <v>2559</v>
      </c>
      <c r="C328" s="79" t="str">
        <f>IFERROR(IF(INDEX('Outcome Indicators - Section C '!F$1:F$100,MATCH($A319,'Outcome Indicators - Section C '!$A$1:$A$100,0))&lt;&gt;0,INDEX('Outcome Indicators - Section C '!F$1:F$100,MATCH($A319,'Outcome Indicators - Section C '!$A$1:$A$100,0)),""),"")</f>
        <v/>
      </c>
      <c r="D328" s="63">
        <f ca="1">IFERROR(IF(YEAR(INDEX('Overview - Section A'!$A$47:$A$54,MATCH('Print - Summary'!$H$10,'Overview - Section A'!$B$47:$B$54,0)))&lt;=YEAR('Overview - Section A'!$E$8),YEAR(INDEX('Overview - Section A'!$A$47:$A$54,MATCH('Print - Summary'!$H$10,'Overview - Section A'!$B$47:$B$54,0))),""),"")</f>
        <v>2024</v>
      </c>
      <c r="E328" s="63">
        <f ca="1">IFERROR(IF(D328+1&lt;=YEAR('Overview - Section A'!$E$8),D328+1,""),"")</f>
        <v>2025</v>
      </c>
      <c r="F328" s="63">
        <f ca="1">IFERROR(IF(E328+1&lt;=YEAR('Overview - Section A'!$E$8),E328+1,""),"")</f>
        <v>2026</v>
      </c>
      <c r="G328" s="63" t="str">
        <f ca="1">IFERROR(IF(F328+1&lt;=YEAR('Overview - Section A'!$E$8),F328+1,""),"")</f>
        <v/>
      </c>
    </row>
    <row r="329" spans="1:7" s="85" customFormat="1" ht="18.75" customHeight="1" x14ac:dyDescent="0.25">
      <c r="A329" s="643"/>
      <c r="B329" s="78" t="s">
        <v>4386</v>
      </c>
      <c r="C329" s="84" t="str">
        <f>IFERROR(IF(INDEX('Outcome Indicators - Section C '!D$1:D$100,MATCH($A319,'Outcome Indicators - Section C '!$A$1:$A$100,0))&lt;&gt;"",FIXED(INDEX('Outcome Indicators - Section C '!D$1:D$100,MATCH($A319,'Outcome Indicators - Section C '!$A$1:$A$100,0)),4),""),"")</f>
        <v/>
      </c>
      <c r="D329" s="84" t="str">
        <f>IFERROR(IF(INDEX('Outcome Indicators - Section C '!K$1:K$100,MATCH($A319,'Outcome Indicators - Section C '!$A$1:$A$100,0))&lt;&gt;"",FIXED(INDEX('Outcome Indicators - Section C '!K$1:K$100,MATCH($A319,'Outcome Indicators - Section C '!$A$1:$A$100,0)),4),""),"")</f>
        <v/>
      </c>
      <c r="E329" s="84" t="str">
        <f>IFERROR(IF(INDEX('Outcome Indicators - Section C '!O$1:O$100,MATCH($A319,'Outcome Indicators - Section C '!$A$1:$A$100,0))&lt;&gt;"",FIXED(INDEX('Outcome Indicators - Section C '!O$1:O$100,MATCH($A319,'Outcome Indicators - Section C '!$A$1:$A$100,0)),4),""),"")</f>
        <v/>
      </c>
      <c r="F329" s="84" t="str">
        <f>IFERROR(IF(INDEX('Outcome Indicators - Section C '!S$1:S$100,MATCH($A319,'Outcome Indicators - Section C '!$A$1:$A$100,0))&lt;&gt;"",FIXED(INDEX('Outcome Indicators - Section C '!S$1:S$100,MATCH($A319,'Outcome Indicators - Section C '!$A$1:$A$100,0)),4),""),"")</f>
        <v/>
      </c>
      <c r="G329" s="84" t="str">
        <f>IFERROR(IF(INDEX('Outcome Indicators - Section C '!W$1:W$100,MATCH($A319,'Outcome Indicators - Section C '!$A$1:$A$100,0))&lt;&gt;"",FIXED(INDEX('Outcome Indicators - Section C '!W$1:W$100,MATCH($A319,'Outcome Indicators - Section C '!$A$1:$A$100,0)),4),""),"")</f>
        <v/>
      </c>
    </row>
    <row r="330" spans="1:7" s="83" customFormat="1" ht="18.75" customHeight="1" x14ac:dyDescent="0.25">
      <c r="A330" s="643"/>
      <c r="B330" s="78" t="s">
        <v>4387</v>
      </c>
      <c r="C330" s="82" t="str">
        <f>IFERROR(IF(INDEX('Outcome Indicators - Section C '!D$1:D$100,MATCH($A319,'Outcome Indicators - Section C '!$A$1:$A$100,0)+1)&lt;&gt;"",FIXED(INDEX('Outcome Indicators - Section C '!D$1:D$100,MATCH($A319,'Outcome Indicators - Section C '!$A$1:$A$100,0)+1),2),""),"")</f>
        <v/>
      </c>
      <c r="D330" s="82" t="str">
        <f>IFERROR(IF(INDEX('Outcome Indicators - Section C '!K$1:K$100,MATCH($A319,'Outcome Indicators - Section C '!$A$1:$A$100,0)+1)&lt;&gt;"",FIXED(INDEX('Outcome Indicators - Section C '!K$1:K$100,MATCH($A319,'Outcome Indicators - Section C '!$A$1:$A$100,0)+1),2),""),"")</f>
        <v/>
      </c>
      <c r="E330" s="82" t="str">
        <f>IFERROR(IF(INDEX('Outcome Indicators - Section C '!O$1:O$100,MATCH($A319,'Outcome Indicators - Section C '!$A$1:$A$100,0)+1)&lt;&gt;"",FIXED(INDEX('Outcome Indicators - Section C '!O$1:O$100,MATCH($A319,'Outcome Indicators - Section C '!$A$1:$A$100,0)+1),2),""),"")</f>
        <v/>
      </c>
      <c r="F330" s="82" t="str">
        <f>IFERROR(IF(INDEX('Outcome Indicators - Section C '!S$1:S$100,MATCH($A319,'Outcome Indicators - Section C '!$A$1:$A$100,0)+1)&lt;&gt;"",FIXED(INDEX('Outcome Indicators - Section C '!S$1:S$100,MATCH($A319,'Outcome Indicators - Section C '!$A$1:$A$100,0)+1),2),""),"")</f>
        <v/>
      </c>
      <c r="G330" s="82" t="str">
        <f>IFERROR(IF(INDEX('Outcome Indicators - Section C '!W$1:W$100,MATCH($A319,'Outcome Indicators - Section C '!$A$1:$A$100,0)+1)&lt;&gt;"",FIXED(INDEX('Outcome Indicators - Section C '!W$1:W$100,MATCH($A319,'Outcome Indicators - Section C '!$A$1:$A$100,0)+1),2),""),"")</f>
        <v/>
      </c>
    </row>
    <row r="331" spans="1:7" ht="18.75" customHeight="1" x14ac:dyDescent="0.25">
      <c r="A331" s="643"/>
      <c r="B331" s="78" t="s">
        <v>4388</v>
      </c>
      <c r="C331" s="79" t="str">
        <f ca="1">IFERROR(IF(INDEX('Outcome Indicators - Section C '!E$1:E$100,MATCH($A319,'Outcome Indicators - Section C '!$A$1:$A$100,0))&lt;&gt;"",FIXED(INDEX('Outcome Indicators - Section C '!E$1:E$100,MATCH($A319,'Outcome Indicators - Section C '!$A$1:$A$100,0))*100,2)&amp;"%",""),"")</f>
        <v/>
      </c>
      <c r="D331" s="79" t="str">
        <f ca="1">IFERROR(IF(INDEX('Outcome Indicators - Section C '!L$1:L$100,MATCH($A319,'Outcome Indicators - Section C '!$A$1:$A$100,0))&lt;&gt;"",FIXED(INDEX('Outcome Indicators - Section C '!L$1:L$100,MATCH($A319,'Outcome Indicators - Section C '!$A$1:$A$100,0))*100,2)&amp;"%",""),"")&amp;CHAR(10)&amp;IFERROR(IF(INDEX('Outcome Indicators - Section C '!N$1:N$100,MATCH($A319,'Outcome Indicators - Section C '!$A$1:$A$100,0))&lt;&gt;"",INDEX('Outcome Indicators - Section C '!N$1:N$100,MATCH($A319,'Outcome Indicators - Section C '!$A$1:$A$100,0)),""),"")&amp;CHAR(10)&amp;IFERROR(IF(INDEX('Outcome Indicators - Section C '!M$1:M$100,MATCH($A319,'Outcome Indicators - Section C '!$A$1:$A$100,0))&lt;&gt;"",TEXT(INDEX('Outcome Indicators - Section C '!M$1:M$100,MATCH($A319,'Outcome Indicators - Section C '!$A$1:$A$100,0)),Setup!$A$33),""),"")</f>
        <v xml:space="preserve">
</v>
      </c>
      <c r="E331" s="79" t="str">
        <f ca="1">IFERROR(IF(INDEX('Outcome Indicators - Section C '!P$1:P$100,MATCH($A319,'Outcome Indicators - Section C '!$A$1:$A$100,0))&lt;&gt;"",FIXED(INDEX('Outcome Indicators - Section C '!P$1:P$100,MATCH($A319,'Outcome Indicators - Section C '!$A$1:$A$100,0))*100,2)&amp;"%",""),)&amp;CHAR(10)&amp;IFERROR(IF(INDEX('Outcome Indicators - Section C '!R$1:R$100,MATCH($A319,'Outcome Indicators - Section C '!$A$1:$A$100,0))&lt;&gt;"",INDEX('Outcome Indicators - Section C '!R$1:R$100,MATCH($A319,'Outcome Indicators - Section C '!$A$1:$A$100,0)),""),"")&amp;CHAR(10)&amp;IFERROR(IF(INDEX('Outcome Indicators - Section C '!Q$1:Q$100,MATCH($A319,'Outcome Indicators - Section C '!$A$1:$A$100,0))&lt;&gt;"",TEXT(INDEX('Outcome Indicators - Section C '!Q$1:Q$100,MATCH($A319,'Outcome Indicators - Section C '!$A$1:$A$100,0)),Setup!$A$33),""),"")</f>
        <v xml:space="preserve">
</v>
      </c>
      <c r="F331" s="79" t="str">
        <f ca="1">IFERROR(IF(INDEX('Outcome Indicators - Section C '!T$1:T$100,MATCH($A319,'Outcome Indicators - Section C '!$A$1:$A$100,0))&lt;&gt;"",FIXED(INDEX('Outcome Indicators - Section C '!T$1:T$100,MATCH($A319,'Outcome Indicators - Section C '!$A$1:$A$100,0))*100,2)&amp;"%",""),)&amp;CHAR(10)&amp;IFERROR(IF(INDEX('Outcome Indicators - Section C '!V$1:V$100,MATCH($A319,'Outcome Indicators - Section C '!$A$1:$A$100,0))&lt;&gt;"",INDEX('Outcome Indicators - Section C '!V$1:V$100,MATCH($A319,'Outcome Indicators - Section C '!$A$1:$A$100,0)),""),"")&amp;CHAR(10)&amp;IFERROR(IF(INDEX('Outcome Indicators - Section C '!U$1:U$100,MATCH($A319,'Outcome Indicators - Section C '!$A$1:$A$100,0))&lt;&gt;"",TEXT(INDEX('Outcome Indicators - Section C '!U$1:U$100,MATCH($A319,'Outcome Indicators - Section C '!$A$1:$A$100,0)),Setup!$A$33),""),"")</f>
        <v xml:space="preserve">
</v>
      </c>
      <c r="G331" s="79" t="str">
        <f ca="1">IFERROR(IF(INDEX('Outcome Indicators - Section C '!X$1:X$100,MATCH($A319,'Outcome Indicators - Section C '!$A$1:$A$100,0))&lt;&gt;"",FIXED(INDEX('Outcome Indicators - Section C '!X$1:X$100,MATCH($A319,'Outcome Indicators - Section C '!$A$1:$A$100,0))*100,2)&amp;"%",""),"")&amp;CHAR(10)&amp;IFERROR(IF(INDEX('Outcome Indicators - Section C '!Z$1:Z$100,MATCH($A319,'Outcome Indicators - Section C '!$A$1:$A$100,0))&lt;&gt;"",INDEX('Outcome Indicators - Section C '!Z$1:Z$100,MATCH($A319,'Outcome Indicators - Section C '!$A$1:$A$100,0)),""),"")&amp;CHAR(10)&amp;IFERROR(IF(INDEX('Outcome Indicators - Section C '!Y$1:Y$100,MATCH($A319,'Outcome Indicators - Section C '!$A$1:$A$100,0))&lt;&gt;"",TEXT(INDEX('Outcome Indicators - Section C '!Y$1:Y$100,MATCH($A319,'Outcome Indicators - Section C '!$A$1:$A$100,0)),Setup!$A$33),""),"")</f>
        <v xml:space="preserve">
</v>
      </c>
    </row>
    <row r="332" spans="1:7" ht="18.75" customHeight="1" x14ac:dyDescent="0.25">
      <c r="A332" s="643"/>
      <c r="B332" s="623" t="s">
        <v>176</v>
      </c>
      <c r="C332" s="624"/>
      <c r="D332" s="624"/>
      <c r="E332" s="624"/>
      <c r="F332" s="624"/>
      <c r="G332" s="625"/>
    </row>
    <row r="333" spans="1:7" ht="18.75" customHeight="1" x14ac:dyDescent="0.25">
      <c r="A333" s="643"/>
      <c r="B333" s="633" t="str">
        <f>IFERROR(IF(INDEX('Outcome Indicators - Section C '!AA$1:AA$100,MATCH($A319,'Outcome Indicators - Section C '!$A$1:$A$100,0))&lt;&gt;0,INDEX('Outcome Indicators - Section C '!AA$1:AA$100,MATCH($A319,'Outcome Indicators - Section C '!$A$1:$A$100,0)),""),"")</f>
        <v/>
      </c>
      <c r="C333" s="634"/>
      <c r="D333" s="634"/>
      <c r="E333" s="634"/>
      <c r="F333" s="634"/>
      <c r="G333" s="635"/>
    </row>
    <row r="334" spans="1:7" ht="18.75" customHeight="1" x14ac:dyDescent="0.25">
      <c r="A334" s="643"/>
      <c r="B334" s="636"/>
      <c r="C334" s="637"/>
      <c r="D334" s="637"/>
      <c r="E334" s="637"/>
      <c r="F334" s="637"/>
      <c r="G334" s="638"/>
    </row>
    <row r="335" spans="1:7" ht="18.75" customHeight="1" x14ac:dyDescent="0.25">
      <c r="A335" s="643"/>
      <c r="B335" s="636"/>
      <c r="C335" s="637"/>
      <c r="D335" s="637"/>
      <c r="E335" s="637"/>
      <c r="F335" s="637"/>
      <c r="G335" s="638"/>
    </row>
    <row r="336" spans="1:7" ht="18.75" customHeight="1" x14ac:dyDescent="0.25">
      <c r="A336" s="643"/>
      <c r="B336" s="636"/>
      <c r="C336" s="637"/>
      <c r="D336" s="637"/>
      <c r="E336" s="637"/>
      <c r="F336" s="637"/>
      <c r="G336" s="638"/>
    </row>
    <row r="337" spans="1:7" ht="18.75" customHeight="1" x14ac:dyDescent="0.25">
      <c r="A337" s="643"/>
      <c r="B337" s="636"/>
      <c r="C337" s="637"/>
      <c r="D337" s="637"/>
      <c r="E337" s="637"/>
      <c r="F337" s="637"/>
      <c r="G337" s="638"/>
    </row>
    <row r="338" spans="1:7" ht="18.75" customHeight="1" x14ac:dyDescent="0.25">
      <c r="A338" s="643"/>
      <c r="B338" s="636"/>
      <c r="C338" s="637"/>
      <c r="D338" s="637"/>
      <c r="E338" s="637"/>
      <c r="F338" s="637"/>
      <c r="G338" s="638"/>
    </row>
    <row r="339" spans="1:7" ht="18.75" customHeight="1" x14ac:dyDescent="0.25">
      <c r="A339" s="643"/>
      <c r="B339" s="636"/>
      <c r="C339" s="637"/>
      <c r="D339" s="637"/>
      <c r="E339" s="637"/>
      <c r="F339" s="637"/>
      <c r="G339" s="638"/>
    </row>
    <row r="340" spans="1:7" ht="18.75" customHeight="1" x14ac:dyDescent="0.25">
      <c r="A340" s="643"/>
      <c r="B340" s="636"/>
      <c r="C340" s="637"/>
      <c r="D340" s="637"/>
      <c r="E340" s="637"/>
      <c r="F340" s="637"/>
      <c r="G340" s="638"/>
    </row>
    <row r="341" spans="1:7" ht="18.75" customHeight="1" x14ac:dyDescent="0.25">
      <c r="A341" s="643"/>
      <c r="B341" s="636"/>
      <c r="C341" s="637"/>
      <c r="D341" s="637"/>
      <c r="E341" s="637"/>
      <c r="F341" s="637"/>
      <c r="G341" s="638"/>
    </row>
    <row r="342" spans="1:7" ht="18.75" customHeight="1" x14ac:dyDescent="0.25">
      <c r="A342" s="658"/>
      <c r="B342" s="644"/>
      <c r="C342" s="645"/>
      <c r="D342" s="645"/>
      <c r="E342" s="645"/>
      <c r="F342" s="645"/>
      <c r="G342" s="646"/>
    </row>
    <row r="343" spans="1:7" ht="18.75" customHeight="1" x14ac:dyDescent="0.25">
      <c r="A343" s="623"/>
      <c r="B343" s="624"/>
      <c r="C343" s="624"/>
      <c r="D343" s="624"/>
      <c r="E343" s="624"/>
      <c r="F343" s="624"/>
      <c r="G343" s="625"/>
    </row>
    <row r="345" spans="1:7" ht="18.75" customHeight="1" x14ac:dyDescent="0.25">
      <c r="A345" s="77" t="s">
        <v>4383</v>
      </c>
      <c r="B345" s="623" t="s">
        <v>738</v>
      </c>
      <c r="C345" s="624"/>
      <c r="D345" s="625"/>
      <c r="E345" s="623" t="s">
        <v>739</v>
      </c>
      <c r="F345" s="624"/>
      <c r="G345" s="625"/>
    </row>
    <row r="346" spans="1:7" ht="18.75" customHeight="1" x14ac:dyDescent="0.25">
      <c r="A346" s="642">
        <v>13</v>
      </c>
      <c r="B346" s="633" t="str">
        <f>IFERROR(IF(INDEX('Outcome Indicators - Section C '!B$1:B$100,MATCH($A346,'Outcome Indicators - Section C '!$A$1:$A$100,0))&lt;&gt;0,INDEX('Outcome Indicators - Section C '!B$1:B$100,MATCH($A346,'Outcome Indicators - Section C '!$A$1:$A$100,0)),""),"")</f>
        <v/>
      </c>
      <c r="C346" s="634"/>
      <c r="D346" s="635"/>
      <c r="E346" s="633" t="str">
        <f>IFERROR(IF(INDEX('Outcome Indicators - Section C '!C$1:C$100,MATCH($A346,'Outcome Indicators - Section C '!$A$1:$A$100,0))&lt;&gt;0,INDEX('Outcome Indicators - Section C '!C$1:C$100,MATCH($A346,'Outcome Indicators - Section C '!$A$1:$A$100,0)),""),"")</f>
        <v/>
      </c>
      <c r="F346" s="634"/>
      <c r="G346" s="635"/>
    </row>
    <row r="347" spans="1:7" ht="18.75" customHeight="1" x14ac:dyDescent="0.25">
      <c r="A347" s="643"/>
      <c r="B347" s="636"/>
      <c r="C347" s="637"/>
      <c r="D347" s="638"/>
      <c r="E347" s="636"/>
      <c r="F347" s="637"/>
      <c r="G347" s="638"/>
    </row>
    <row r="348" spans="1:7" ht="18.75" customHeight="1" x14ac:dyDescent="0.25">
      <c r="A348" s="643"/>
      <c r="B348" s="644"/>
      <c r="C348" s="645"/>
      <c r="D348" s="646"/>
      <c r="E348" s="644"/>
      <c r="F348" s="645"/>
      <c r="G348" s="646"/>
    </row>
    <row r="349" spans="1:7" ht="18.75" customHeight="1" x14ac:dyDescent="0.25">
      <c r="A349" s="643"/>
      <c r="B349" s="623" t="s">
        <v>742</v>
      </c>
      <c r="C349" s="624"/>
      <c r="D349" s="625"/>
      <c r="E349" s="623" t="s">
        <v>127</v>
      </c>
      <c r="F349" s="624"/>
      <c r="G349" s="625"/>
    </row>
    <row r="350" spans="1:7" ht="18.75" customHeight="1" x14ac:dyDescent="0.25">
      <c r="A350" s="643"/>
      <c r="B350" s="647" t="str">
        <f>IFERROR(IF(INDEX('Outcome Indicators - Section C '!H$1:H$100,MATCH($A346,'Outcome Indicators - Section C '!$A$1:$A$100,0))&lt;&gt;0,INDEX('Outcome Indicators - Section C '!H$1:H$100,MATCH($A346,'Outcome Indicators - Section C '!$A$1:$A$100,0)),""),"")</f>
        <v/>
      </c>
      <c r="C350" s="648"/>
      <c r="D350" s="649"/>
      <c r="E350" s="647" t="str">
        <f>IFERROR(IF(INDEX('Outcome Indicators - Section C '!J$9:J$38,MATCH($A346,'Outcome Indicators - Section C '!$A$9:$A$100,0))&lt;&gt;0,INDEX('Outcome Indicators - Section C '!J$9:J$38,MATCH($A346,'Outcome Indicators - Section C '!$A$9:$A$100,0)),""),"")</f>
        <v/>
      </c>
      <c r="F350" s="648"/>
      <c r="G350" s="649"/>
    </row>
    <row r="351" spans="1:7" ht="18.75" customHeight="1" x14ac:dyDescent="0.25">
      <c r="A351" s="643"/>
      <c r="B351" s="623" t="s">
        <v>199</v>
      </c>
      <c r="C351" s="624"/>
      <c r="D351" s="625"/>
      <c r="E351" s="623" t="s">
        <v>120</v>
      </c>
      <c r="F351" s="624"/>
      <c r="G351" s="625"/>
    </row>
    <row r="352" spans="1:7" ht="18.75" customHeight="1" x14ac:dyDescent="0.25">
      <c r="A352" s="643"/>
      <c r="B352" s="633" t="str">
        <f>IFERROR(IF(INDEX('Outcome Indicators - Section C '!G$1:G$100,MATCH($A346,'Outcome Indicators - Section C '!$A$1:$A$100,0))&lt;&gt;0,INDEX('Outcome Indicators - Section C '!G$1:G$100,MATCH($A346,'Outcome Indicators - Section C '!$A$1:$A$100,0)),""),"")</f>
        <v/>
      </c>
      <c r="C352" s="634"/>
      <c r="D352" s="635"/>
      <c r="E352" s="633" t="str">
        <f>IFERROR(IF(AND('Overview - Section A'!AS$1="Grant Making",OR(B346&lt;&gt;"",E346&lt;&gt;"")),Setup!I339,IF(INDEX('Outcome Indicators - Section C '!I$1:I$100,MATCH($A346,'Outcome Indicators - Section C '!$A$1:$A$100,0))&lt;&gt;0,INDEX('Outcome Indicators - Section C '!I$1:I$100,MATCH($A346,'Outcome Indicators - Section C '!$A$1:$A$100,0)),"")),"")</f>
        <v/>
      </c>
      <c r="F352" s="634"/>
      <c r="G352" s="635"/>
    </row>
    <row r="353" spans="1:7" ht="18.75" customHeight="1" x14ac:dyDescent="0.25">
      <c r="A353" s="643"/>
      <c r="B353" s="644"/>
      <c r="C353" s="645"/>
      <c r="D353" s="646"/>
      <c r="E353" s="644"/>
      <c r="F353" s="645"/>
      <c r="G353" s="646"/>
    </row>
    <row r="354" spans="1:7" ht="18.75" customHeight="1" x14ac:dyDescent="0.25">
      <c r="A354" s="643"/>
      <c r="B354" s="78"/>
      <c r="C354" s="63" t="s">
        <v>4384</v>
      </c>
      <c r="D354" s="623" t="s">
        <v>4385</v>
      </c>
      <c r="E354" s="624"/>
      <c r="F354" s="624"/>
      <c r="G354" s="625"/>
    </row>
    <row r="355" spans="1:7" ht="18.75" customHeight="1" x14ac:dyDescent="0.25">
      <c r="A355" s="643"/>
      <c r="B355" s="78" t="s">
        <v>2559</v>
      </c>
      <c r="C355" s="79" t="str">
        <f>IFERROR(IF(INDEX('Outcome Indicators - Section C '!F$1:F$100,MATCH($A346,'Outcome Indicators - Section C '!$A$1:$A$100,0))&lt;&gt;0,INDEX('Outcome Indicators - Section C '!F$1:F$100,MATCH($A346,'Outcome Indicators - Section C '!$A$1:$A$100,0)),""),"")</f>
        <v/>
      </c>
      <c r="D355" s="63">
        <f ca="1">IFERROR(IF(YEAR(INDEX('Overview - Section A'!$A$47:$A$54,MATCH('Print - Summary'!$H$10,'Overview - Section A'!$B$47:$B$54,0)))&lt;=YEAR('Overview - Section A'!$E$8),YEAR(INDEX('Overview - Section A'!$A$47:$A$54,MATCH('Print - Summary'!$H$10,'Overview - Section A'!$B$47:$B$54,0))),""),"")</f>
        <v>2024</v>
      </c>
      <c r="E355" s="63">
        <f ca="1">IFERROR(IF(D355+1&lt;=YEAR('Overview - Section A'!$E$8),D355+1,""),"")</f>
        <v>2025</v>
      </c>
      <c r="F355" s="63">
        <f ca="1">IFERROR(IF(E355+1&lt;=YEAR('Overview - Section A'!$E$8),E355+1,""),"")</f>
        <v>2026</v>
      </c>
      <c r="G355" s="63" t="str">
        <f ca="1">IFERROR(IF(F355+1&lt;=YEAR('Overview - Section A'!$E$8),F355+1,""),"")</f>
        <v/>
      </c>
    </row>
    <row r="356" spans="1:7" s="85" customFormat="1" ht="18.75" customHeight="1" x14ac:dyDescent="0.25">
      <c r="A356" s="643"/>
      <c r="B356" s="78" t="s">
        <v>4386</v>
      </c>
      <c r="C356" s="84" t="str">
        <f>IFERROR(IF(INDEX('Outcome Indicators - Section C '!D$1:D$100,MATCH($A346,'Outcome Indicators - Section C '!$A$1:$A$100,0))&lt;&gt;"",FIXED(INDEX('Outcome Indicators - Section C '!D$1:D$100,MATCH($A346,'Outcome Indicators - Section C '!$A$1:$A$100,0)),4),""),"")</f>
        <v/>
      </c>
      <c r="D356" s="84" t="str">
        <f>IFERROR(IF(INDEX('Outcome Indicators - Section C '!K$1:K$100,MATCH($A346,'Outcome Indicators - Section C '!$A$1:$A$100,0))&lt;&gt;"",FIXED(INDEX('Outcome Indicators - Section C '!K$1:K$100,MATCH($A346,'Outcome Indicators - Section C '!$A$1:$A$100,0)),4),""),"")</f>
        <v/>
      </c>
      <c r="E356" s="84" t="str">
        <f>IFERROR(IF(INDEX('Outcome Indicators - Section C '!O$1:O$100,MATCH($A346,'Outcome Indicators - Section C '!$A$1:$A$100,0))&lt;&gt;"",FIXED(INDEX('Outcome Indicators - Section C '!O$1:O$100,MATCH($A346,'Outcome Indicators - Section C '!$A$1:$A$100,0)),4),""),"")</f>
        <v/>
      </c>
      <c r="F356" s="84" t="str">
        <f>IFERROR(IF(INDEX('Outcome Indicators - Section C '!S$1:S$100,MATCH($A346,'Outcome Indicators - Section C '!$A$1:$A$100,0))&lt;&gt;"",FIXED(INDEX('Outcome Indicators - Section C '!S$1:S$100,MATCH($A346,'Outcome Indicators - Section C '!$A$1:$A$100,0)),4),""),"")</f>
        <v/>
      </c>
      <c r="G356" s="84" t="str">
        <f>IFERROR(IF(INDEX('Outcome Indicators - Section C '!W$1:W$100,MATCH($A346,'Outcome Indicators - Section C '!$A$1:$A$100,0))&lt;&gt;"",FIXED(INDEX('Outcome Indicators - Section C '!W$1:W$100,MATCH($A346,'Outcome Indicators - Section C '!$A$1:$A$100,0)),4),""),"")</f>
        <v/>
      </c>
    </row>
    <row r="357" spans="1:7" s="83" customFormat="1" ht="18.75" customHeight="1" x14ac:dyDescent="0.25">
      <c r="A357" s="643"/>
      <c r="B357" s="78" t="s">
        <v>4387</v>
      </c>
      <c r="C357" s="82" t="str">
        <f>IFERROR(IF(INDEX('Outcome Indicators - Section C '!D$1:D$100,MATCH($A346,'Outcome Indicators - Section C '!$A$1:$A$100,0)+1)&lt;&gt;"",FIXED(INDEX('Outcome Indicators - Section C '!D$1:D$100,MATCH($A346,'Outcome Indicators - Section C '!$A$1:$A$100,0)+1),2),""),"")</f>
        <v/>
      </c>
      <c r="D357" s="82" t="str">
        <f>IFERROR(IF(INDEX('Outcome Indicators - Section C '!K$1:K$100,MATCH($A346,'Outcome Indicators - Section C '!$A$1:$A$100,0)+1)&lt;&gt;"",FIXED(INDEX('Outcome Indicators - Section C '!K$1:K$100,MATCH($A346,'Outcome Indicators - Section C '!$A$1:$A$100,0)+1),2),""),"")</f>
        <v/>
      </c>
      <c r="E357" s="82" t="str">
        <f>IFERROR(IF(INDEX('Outcome Indicators - Section C '!O$1:O$100,MATCH($A346,'Outcome Indicators - Section C '!$A$1:$A$100,0)+1)&lt;&gt;"",FIXED(INDEX('Outcome Indicators - Section C '!O$1:O$100,MATCH($A346,'Outcome Indicators - Section C '!$A$1:$A$100,0)+1),2),""),"")</f>
        <v/>
      </c>
      <c r="F357" s="82" t="str">
        <f>IFERROR(IF(INDEX('Outcome Indicators - Section C '!S$1:S$100,MATCH($A346,'Outcome Indicators - Section C '!$A$1:$A$100,0)+1)&lt;&gt;"",FIXED(INDEX('Outcome Indicators - Section C '!S$1:S$100,MATCH($A346,'Outcome Indicators - Section C '!$A$1:$A$100,0)+1),2),""),"")</f>
        <v/>
      </c>
      <c r="G357" s="82" t="str">
        <f>IFERROR(IF(INDEX('Outcome Indicators - Section C '!W$1:W$100,MATCH($A346,'Outcome Indicators - Section C '!$A$1:$A$100,0)+1)&lt;&gt;"",FIXED(INDEX('Outcome Indicators - Section C '!W$1:W$100,MATCH($A346,'Outcome Indicators - Section C '!$A$1:$A$100,0)+1),2),""),"")</f>
        <v/>
      </c>
    </row>
    <row r="358" spans="1:7" ht="18.75" customHeight="1" x14ac:dyDescent="0.25">
      <c r="A358" s="643"/>
      <c r="B358" s="78" t="s">
        <v>4388</v>
      </c>
      <c r="C358" s="79" t="str">
        <f ca="1">IFERROR(IF(INDEX('Outcome Indicators - Section C '!E$1:E$100,MATCH($A346,'Outcome Indicators - Section C '!$A$1:$A$100,0))&lt;&gt;"",FIXED(INDEX('Outcome Indicators - Section C '!E$1:E$100,MATCH($A346,'Outcome Indicators - Section C '!$A$1:$A$100,0))*100,2)&amp;"%",""),"")</f>
        <v/>
      </c>
      <c r="D358" s="79" t="str">
        <f ca="1">IFERROR(IF(INDEX('Outcome Indicators - Section C '!L$1:L$100,MATCH($A346,'Outcome Indicators - Section C '!$A$1:$A$100,0))&lt;&gt;"",FIXED(INDEX('Outcome Indicators - Section C '!L$1:L$100,MATCH($A346,'Outcome Indicators - Section C '!$A$1:$A$100,0))*100,2)&amp;"%",""),"")&amp;CHAR(10)&amp;IFERROR(IF(INDEX('Outcome Indicators - Section C '!N$1:N$100,MATCH($A346,'Outcome Indicators - Section C '!$A$1:$A$100,0))&lt;&gt;"",INDEX('Outcome Indicators - Section C '!N$1:N$100,MATCH($A346,'Outcome Indicators - Section C '!$A$1:$A$100,0)),""),"")&amp;CHAR(10)&amp;IFERROR(IF(INDEX('Outcome Indicators - Section C '!M$1:M$100,MATCH($A346,'Outcome Indicators - Section C '!$A$1:$A$100,0))&lt;&gt;"",TEXT(INDEX('Outcome Indicators - Section C '!M$1:M$100,MATCH($A346,'Outcome Indicators - Section C '!$A$1:$A$100,0)),Setup!$A$33),""),"")</f>
        <v xml:space="preserve">
</v>
      </c>
      <c r="E358" s="79" t="str">
        <f ca="1">IFERROR(IF(INDEX('Outcome Indicators - Section C '!P$1:P$100,MATCH($A346,'Outcome Indicators - Section C '!$A$1:$A$100,0))&lt;&gt;"",FIXED(INDEX('Outcome Indicators - Section C '!P$1:P$100,MATCH($A346,'Outcome Indicators - Section C '!$A$1:$A$100,0))*100,2)&amp;"%",""),)&amp;CHAR(10)&amp;IFERROR(IF(INDEX('Outcome Indicators - Section C '!R$1:R$100,MATCH($A346,'Outcome Indicators - Section C '!$A$1:$A$100,0))&lt;&gt;"",INDEX('Outcome Indicators - Section C '!R$1:R$100,MATCH($A346,'Outcome Indicators - Section C '!$A$1:$A$100,0)),""),"")&amp;CHAR(10)&amp;IFERROR(IF(INDEX('Outcome Indicators - Section C '!Q$1:Q$100,MATCH($A346,'Outcome Indicators - Section C '!$A$1:$A$100,0))&lt;&gt;"",TEXT(INDEX('Outcome Indicators - Section C '!Q$1:Q$100,MATCH($A346,'Outcome Indicators - Section C '!$A$1:$A$100,0)),Setup!$A$33),""),"")</f>
        <v xml:space="preserve">
</v>
      </c>
      <c r="F358" s="79" t="str">
        <f ca="1">IFERROR(IF(INDEX('Outcome Indicators - Section C '!T$1:T$100,MATCH($A346,'Outcome Indicators - Section C '!$A$1:$A$100,0))&lt;&gt;"",FIXED(INDEX('Outcome Indicators - Section C '!T$1:T$100,MATCH($A346,'Outcome Indicators - Section C '!$A$1:$A$100,0))*100,2)&amp;"%",""),)&amp;CHAR(10)&amp;IFERROR(IF(INDEX('Outcome Indicators - Section C '!V$1:V$100,MATCH($A346,'Outcome Indicators - Section C '!$A$1:$A$100,0))&lt;&gt;"",INDEX('Outcome Indicators - Section C '!V$1:V$100,MATCH($A346,'Outcome Indicators - Section C '!$A$1:$A$100,0)),""),"")&amp;CHAR(10)&amp;IFERROR(IF(INDEX('Outcome Indicators - Section C '!U$1:U$100,MATCH($A346,'Outcome Indicators - Section C '!$A$1:$A$100,0))&lt;&gt;"",TEXT(INDEX('Outcome Indicators - Section C '!U$1:U$100,MATCH($A346,'Outcome Indicators - Section C '!$A$1:$A$100,0)),Setup!$A$33),""),"")</f>
        <v xml:space="preserve">
</v>
      </c>
      <c r="G358" s="79" t="str">
        <f ca="1">IFERROR(IF(INDEX('Outcome Indicators - Section C '!X$1:X$100,MATCH($A346,'Outcome Indicators - Section C '!$A$1:$A$100,0))&lt;&gt;"",FIXED(INDEX('Outcome Indicators - Section C '!X$1:X$100,MATCH($A346,'Outcome Indicators - Section C '!$A$1:$A$100,0))*100,2)&amp;"%",""),"")&amp;CHAR(10)&amp;IFERROR(IF(INDEX('Outcome Indicators - Section C '!Z$1:Z$100,MATCH($A346,'Outcome Indicators - Section C '!$A$1:$A$100,0))&lt;&gt;"",INDEX('Outcome Indicators - Section C '!Z$1:Z$100,MATCH($A346,'Outcome Indicators - Section C '!$A$1:$A$100,0)),""),"")&amp;CHAR(10)&amp;IFERROR(IF(INDEX('Outcome Indicators - Section C '!Y$1:Y$100,MATCH($A346,'Outcome Indicators - Section C '!$A$1:$A$100,0))&lt;&gt;"",TEXT(INDEX('Outcome Indicators - Section C '!Y$1:Y$100,MATCH($A346,'Outcome Indicators - Section C '!$A$1:$A$100,0)),Setup!$A$33),""),"")</f>
        <v xml:space="preserve">
</v>
      </c>
    </row>
    <row r="359" spans="1:7" ht="18.75" customHeight="1" x14ac:dyDescent="0.25">
      <c r="A359" s="643"/>
      <c r="B359" s="623" t="s">
        <v>176</v>
      </c>
      <c r="C359" s="624"/>
      <c r="D359" s="624"/>
      <c r="E359" s="624"/>
      <c r="F359" s="624"/>
      <c r="G359" s="625"/>
    </row>
    <row r="360" spans="1:7" ht="18.75" customHeight="1" x14ac:dyDescent="0.25">
      <c r="A360" s="643"/>
      <c r="B360" s="633" t="str">
        <f>IFERROR(IF(INDEX('Outcome Indicators - Section C '!AA$1:AA$100,MATCH($A346,'Outcome Indicators - Section C '!$A$1:$A$100,0))&lt;&gt;0,INDEX('Outcome Indicators - Section C '!AA$1:AA$100,MATCH($A346,'Outcome Indicators - Section C '!$A$1:$A$100,0)),""),"")</f>
        <v/>
      </c>
      <c r="C360" s="634"/>
      <c r="D360" s="634"/>
      <c r="E360" s="634"/>
      <c r="F360" s="634"/>
      <c r="G360" s="635"/>
    </row>
    <row r="361" spans="1:7" ht="18.75" customHeight="1" x14ac:dyDescent="0.25">
      <c r="A361" s="643"/>
      <c r="B361" s="636"/>
      <c r="C361" s="637"/>
      <c r="D361" s="637"/>
      <c r="E361" s="637"/>
      <c r="F361" s="637"/>
      <c r="G361" s="638"/>
    </row>
    <row r="362" spans="1:7" ht="18.75" customHeight="1" x14ac:dyDescent="0.25">
      <c r="A362" s="643"/>
      <c r="B362" s="636"/>
      <c r="C362" s="637"/>
      <c r="D362" s="637"/>
      <c r="E362" s="637"/>
      <c r="F362" s="637"/>
      <c r="G362" s="638"/>
    </row>
    <row r="363" spans="1:7" ht="18.75" customHeight="1" x14ac:dyDescent="0.25">
      <c r="A363" s="643"/>
      <c r="B363" s="636"/>
      <c r="C363" s="637"/>
      <c r="D363" s="637"/>
      <c r="E363" s="637"/>
      <c r="F363" s="637"/>
      <c r="G363" s="638"/>
    </row>
    <row r="364" spans="1:7" ht="18.75" customHeight="1" x14ac:dyDescent="0.25">
      <c r="A364" s="643"/>
      <c r="B364" s="636"/>
      <c r="C364" s="637"/>
      <c r="D364" s="637"/>
      <c r="E364" s="637"/>
      <c r="F364" s="637"/>
      <c r="G364" s="638"/>
    </row>
    <row r="365" spans="1:7" ht="18.75" customHeight="1" x14ac:dyDescent="0.25">
      <c r="A365" s="643"/>
      <c r="B365" s="636"/>
      <c r="C365" s="637"/>
      <c r="D365" s="637"/>
      <c r="E365" s="637"/>
      <c r="F365" s="637"/>
      <c r="G365" s="638"/>
    </row>
    <row r="366" spans="1:7" ht="18.75" customHeight="1" x14ac:dyDescent="0.25">
      <c r="A366" s="643"/>
      <c r="B366" s="636"/>
      <c r="C366" s="637"/>
      <c r="D366" s="637"/>
      <c r="E366" s="637"/>
      <c r="F366" s="637"/>
      <c r="G366" s="638"/>
    </row>
    <row r="367" spans="1:7" ht="18.75" customHeight="1" x14ac:dyDescent="0.25">
      <c r="A367" s="643"/>
      <c r="B367" s="636"/>
      <c r="C367" s="637"/>
      <c r="D367" s="637"/>
      <c r="E367" s="637"/>
      <c r="F367" s="637"/>
      <c r="G367" s="638"/>
    </row>
    <row r="368" spans="1:7" ht="18.75" customHeight="1" x14ac:dyDescent="0.25">
      <c r="A368" s="643"/>
      <c r="B368" s="636"/>
      <c r="C368" s="637"/>
      <c r="D368" s="637"/>
      <c r="E368" s="637"/>
      <c r="F368" s="637"/>
      <c r="G368" s="638"/>
    </row>
    <row r="369" spans="1:7" ht="18.75" customHeight="1" x14ac:dyDescent="0.25">
      <c r="A369" s="658"/>
      <c r="B369" s="644"/>
      <c r="C369" s="645"/>
      <c r="D369" s="645"/>
      <c r="E369" s="645"/>
      <c r="F369" s="645"/>
      <c r="G369" s="646"/>
    </row>
    <row r="370" spans="1:7" ht="18.75" customHeight="1" x14ac:dyDescent="0.25">
      <c r="A370" s="623"/>
      <c r="B370" s="624"/>
      <c r="C370" s="624"/>
      <c r="D370" s="624"/>
      <c r="E370" s="624"/>
      <c r="F370" s="624"/>
      <c r="G370" s="625"/>
    </row>
    <row r="372" spans="1:7" ht="18.75" customHeight="1" x14ac:dyDescent="0.25">
      <c r="A372" s="77" t="s">
        <v>4383</v>
      </c>
      <c r="B372" s="623" t="s">
        <v>738</v>
      </c>
      <c r="C372" s="624"/>
      <c r="D372" s="625"/>
      <c r="E372" s="623" t="s">
        <v>739</v>
      </c>
      <c r="F372" s="624"/>
      <c r="G372" s="625"/>
    </row>
    <row r="373" spans="1:7" ht="18.75" customHeight="1" x14ac:dyDescent="0.25">
      <c r="A373" s="642">
        <v>14</v>
      </c>
      <c r="B373" s="633" t="str">
        <f>IFERROR(IF(INDEX('Outcome Indicators - Section C '!B$1:B$100,MATCH($A373,'Outcome Indicators - Section C '!$A$1:$A$100,0))&lt;&gt;0,INDEX('Outcome Indicators - Section C '!B$1:B$100,MATCH($A373,'Outcome Indicators - Section C '!$A$1:$A$100,0)),""),"")</f>
        <v/>
      </c>
      <c r="C373" s="634"/>
      <c r="D373" s="635"/>
      <c r="E373" s="633" t="str">
        <f>IFERROR(IF(INDEX('Outcome Indicators - Section C '!C$1:C$100,MATCH($A373,'Outcome Indicators - Section C '!$A$1:$A$100,0))&lt;&gt;0,INDEX('Outcome Indicators - Section C '!C$1:C$100,MATCH($A373,'Outcome Indicators - Section C '!$A$1:$A$100,0)),""),"")</f>
        <v/>
      </c>
      <c r="F373" s="634"/>
      <c r="G373" s="635"/>
    </row>
    <row r="374" spans="1:7" ht="18.75" customHeight="1" x14ac:dyDescent="0.25">
      <c r="A374" s="643"/>
      <c r="B374" s="636"/>
      <c r="C374" s="637"/>
      <c r="D374" s="638"/>
      <c r="E374" s="636"/>
      <c r="F374" s="637"/>
      <c r="G374" s="638"/>
    </row>
    <row r="375" spans="1:7" ht="18.75" customHeight="1" x14ac:dyDescent="0.25">
      <c r="A375" s="643"/>
      <c r="B375" s="644"/>
      <c r="C375" s="645"/>
      <c r="D375" s="646"/>
      <c r="E375" s="644"/>
      <c r="F375" s="645"/>
      <c r="G375" s="646"/>
    </row>
    <row r="376" spans="1:7" ht="18.75" customHeight="1" x14ac:dyDescent="0.25">
      <c r="A376" s="643"/>
      <c r="B376" s="623" t="s">
        <v>742</v>
      </c>
      <c r="C376" s="624"/>
      <c r="D376" s="625"/>
      <c r="E376" s="623" t="s">
        <v>127</v>
      </c>
      <c r="F376" s="624"/>
      <c r="G376" s="625"/>
    </row>
    <row r="377" spans="1:7" ht="18.75" customHeight="1" x14ac:dyDescent="0.25">
      <c r="A377" s="643"/>
      <c r="B377" s="647" t="str">
        <f>IFERROR(IF(INDEX('Outcome Indicators - Section C '!H$1:H$100,MATCH($A373,'Outcome Indicators - Section C '!$A$1:$A$100,0))&lt;&gt;0,INDEX('Outcome Indicators - Section C '!H$1:H$100,MATCH($A373,'Outcome Indicators - Section C '!$A$1:$A$100,0)),""),"")</f>
        <v/>
      </c>
      <c r="C377" s="648"/>
      <c r="D377" s="649"/>
      <c r="E377" s="647" t="str">
        <f>IFERROR(IF(INDEX('Outcome Indicators - Section C '!J$9:J$38,MATCH($A373,'Outcome Indicators - Section C '!$A$9:$A$100,0))&lt;&gt;0,INDEX('Outcome Indicators - Section C '!J$9:J$38,MATCH($A373,'Outcome Indicators - Section C '!$A$9:$A$100,0)),""),"")</f>
        <v/>
      </c>
      <c r="F377" s="648"/>
      <c r="G377" s="649"/>
    </row>
    <row r="378" spans="1:7" ht="18.75" customHeight="1" x14ac:dyDescent="0.25">
      <c r="A378" s="643"/>
      <c r="B378" s="623" t="s">
        <v>199</v>
      </c>
      <c r="C378" s="624"/>
      <c r="D378" s="625"/>
      <c r="E378" s="623" t="s">
        <v>120</v>
      </c>
      <c r="F378" s="624"/>
      <c r="G378" s="625"/>
    </row>
    <row r="379" spans="1:7" ht="18.75" customHeight="1" x14ac:dyDescent="0.25">
      <c r="A379" s="643"/>
      <c r="B379" s="633" t="str">
        <f>IFERROR(IF(INDEX('Outcome Indicators - Section C '!G$1:G$100,MATCH($A373,'Outcome Indicators - Section C '!$A$1:$A$100,0))&lt;&gt;0,INDEX('Outcome Indicators - Section C '!G$1:G$100,MATCH($A373,'Outcome Indicators - Section C '!$A$1:$A$100,0)),""),"")</f>
        <v/>
      </c>
      <c r="C379" s="634"/>
      <c r="D379" s="635"/>
      <c r="E379" s="633" t="str">
        <f>IFERROR(IF(AND('Overview - Section A'!AS$1="Grant Making",OR(B373&lt;&gt;"",E373&lt;&gt;"")),Setup!I366,IF(INDEX('Outcome Indicators - Section C '!I$1:I$100,MATCH($A373,'Outcome Indicators - Section C '!$A$1:$A$100,0))&lt;&gt;0,INDEX('Outcome Indicators - Section C '!I$1:I$100,MATCH($A373,'Outcome Indicators - Section C '!$A$1:$A$100,0)),"")),"")</f>
        <v/>
      </c>
      <c r="F379" s="634"/>
      <c r="G379" s="635"/>
    </row>
    <row r="380" spans="1:7" ht="18.75" customHeight="1" x14ac:dyDescent="0.25">
      <c r="A380" s="643"/>
      <c r="B380" s="644"/>
      <c r="C380" s="645"/>
      <c r="D380" s="646"/>
      <c r="E380" s="644"/>
      <c r="F380" s="645"/>
      <c r="G380" s="646"/>
    </row>
    <row r="381" spans="1:7" ht="18.75" customHeight="1" x14ac:dyDescent="0.25">
      <c r="A381" s="643"/>
      <c r="B381" s="78"/>
      <c r="C381" s="63" t="s">
        <v>4384</v>
      </c>
      <c r="D381" s="623" t="s">
        <v>4385</v>
      </c>
      <c r="E381" s="624"/>
      <c r="F381" s="624"/>
      <c r="G381" s="625"/>
    </row>
    <row r="382" spans="1:7" ht="18.75" customHeight="1" x14ac:dyDescent="0.25">
      <c r="A382" s="643"/>
      <c r="B382" s="78" t="s">
        <v>2559</v>
      </c>
      <c r="C382" s="79" t="str">
        <f>IFERROR(IF(INDEX('Outcome Indicators - Section C '!F$1:F$100,MATCH($A373,'Outcome Indicators - Section C '!$A$1:$A$100,0))&lt;&gt;0,INDEX('Outcome Indicators - Section C '!F$1:F$100,MATCH($A373,'Outcome Indicators - Section C '!$A$1:$A$100,0)),""),"")</f>
        <v/>
      </c>
      <c r="D382" s="63">
        <f ca="1">IFERROR(IF(YEAR(INDEX('Overview - Section A'!$A$47:$A$54,MATCH('Print - Summary'!$H$10,'Overview - Section A'!$B$47:$B$54,0)))&lt;=YEAR('Overview - Section A'!$E$8),YEAR(INDEX('Overview - Section A'!$A$47:$A$54,MATCH('Print - Summary'!$H$10,'Overview - Section A'!$B$47:$B$54,0))),""),"")</f>
        <v>2024</v>
      </c>
      <c r="E382" s="63">
        <f ca="1">IFERROR(IF(D382+1&lt;=YEAR('Overview - Section A'!$E$8),D382+1,""),"")</f>
        <v>2025</v>
      </c>
      <c r="F382" s="63">
        <f ca="1">IFERROR(IF(E382+1&lt;=YEAR('Overview - Section A'!$E$8),E382+1,""),"")</f>
        <v>2026</v>
      </c>
      <c r="G382" s="63" t="str">
        <f ca="1">IFERROR(IF(F382+1&lt;=YEAR('Overview - Section A'!$E$8),F382+1,""),"")</f>
        <v/>
      </c>
    </row>
    <row r="383" spans="1:7" s="85" customFormat="1" ht="18.75" customHeight="1" x14ac:dyDescent="0.25">
      <c r="A383" s="643"/>
      <c r="B383" s="78" t="s">
        <v>4386</v>
      </c>
      <c r="C383" s="84" t="str">
        <f>IFERROR(IF(INDEX('Outcome Indicators - Section C '!D$1:D$100,MATCH($A373,'Outcome Indicators - Section C '!$A$1:$A$100,0))&lt;&gt;"",FIXED(INDEX('Outcome Indicators - Section C '!D$1:D$100,MATCH($A373,'Outcome Indicators - Section C '!$A$1:$A$100,0)),4),""),"")</f>
        <v/>
      </c>
      <c r="D383" s="84" t="str">
        <f>IFERROR(IF(INDEX('Outcome Indicators - Section C '!K$1:K$100,MATCH($A373,'Outcome Indicators - Section C '!$A$1:$A$100,0))&lt;&gt;"",FIXED(INDEX('Outcome Indicators - Section C '!K$1:K$100,MATCH($A373,'Outcome Indicators - Section C '!$A$1:$A$100,0)),4),""),"")</f>
        <v/>
      </c>
      <c r="E383" s="84" t="str">
        <f>IFERROR(IF(INDEX('Outcome Indicators - Section C '!O$1:O$100,MATCH($A373,'Outcome Indicators - Section C '!$A$1:$A$100,0))&lt;&gt;"",FIXED(INDEX('Outcome Indicators - Section C '!O$1:O$100,MATCH($A373,'Outcome Indicators - Section C '!$A$1:$A$100,0)),4),""),"")</f>
        <v/>
      </c>
      <c r="F383" s="84" t="str">
        <f>IFERROR(IF(INDEX('Outcome Indicators - Section C '!S$1:S$100,MATCH($A373,'Outcome Indicators - Section C '!$A$1:$A$100,0))&lt;&gt;"",FIXED(INDEX('Outcome Indicators - Section C '!S$1:S$100,MATCH($A373,'Outcome Indicators - Section C '!$A$1:$A$100,0)),4),""),"")</f>
        <v/>
      </c>
      <c r="G383" s="84" t="str">
        <f>IFERROR(IF(INDEX('Outcome Indicators - Section C '!W$1:W$100,MATCH($A373,'Outcome Indicators - Section C '!$A$1:$A$100,0))&lt;&gt;"",FIXED(INDEX('Outcome Indicators - Section C '!W$1:W$100,MATCH($A373,'Outcome Indicators - Section C '!$A$1:$A$100,0)),4),""),"")</f>
        <v/>
      </c>
    </row>
    <row r="384" spans="1:7" s="83" customFormat="1" ht="18.75" customHeight="1" x14ac:dyDescent="0.25">
      <c r="A384" s="643"/>
      <c r="B384" s="78" t="s">
        <v>4387</v>
      </c>
      <c r="C384" s="82" t="str">
        <f>IFERROR(IF(INDEX('Outcome Indicators - Section C '!D$1:D$100,MATCH($A373,'Outcome Indicators - Section C '!$A$1:$A$100,0)+1)&lt;&gt;"",FIXED(INDEX('Outcome Indicators - Section C '!D$1:D$100,MATCH($A373,'Outcome Indicators - Section C '!$A$1:$A$100,0)+1),2),""),"")</f>
        <v/>
      </c>
      <c r="D384" s="82" t="str">
        <f>IFERROR(IF(INDEX('Outcome Indicators - Section C '!K$1:K$100,MATCH($A373,'Outcome Indicators - Section C '!$A$1:$A$100,0)+1)&lt;&gt;"",FIXED(INDEX('Outcome Indicators - Section C '!K$1:K$100,MATCH($A373,'Outcome Indicators - Section C '!$A$1:$A$100,0)+1),2),""),"")</f>
        <v/>
      </c>
      <c r="E384" s="82" t="str">
        <f>IFERROR(IF(INDEX('Outcome Indicators - Section C '!O$1:O$100,MATCH($A373,'Outcome Indicators - Section C '!$A$1:$A$100,0)+1)&lt;&gt;"",FIXED(INDEX('Outcome Indicators - Section C '!O$1:O$100,MATCH($A373,'Outcome Indicators - Section C '!$A$1:$A$100,0)+1),2),""),"")</f>
        <v/>
      </c>
      <c r="F384" s="82" t="str">
        <f>IFERROR(IF(INDEX('Outcome Indicators - Section C '!S$1:S$100,MATCH($A373,'Outcome Indicators - Section C '!$A$1:$A$100,0)+1)&lt;&gt;"",FIXED(INDEX('Outcome Indicators - Section C '!S$1:S$100,MATCH($A373,'Outcome Indicators - Section C '!$A$1:$A$100,0)+1),2),""),"")</f>
        <v/>
      </c>
      <c r="G384" s="82" t="str">
        <f>IFERROR(IF(INDEX('Outcome Indicators - Section C '!W$1:W$100,MATCH($A373,'Outcome Indicators - Section C '!$A$1:$A$100,0)+1)&lt;&gt;"",FIXED(INDEX('Outcome Indicators - Section C '!W$1:W$100,MATCH($A373,'Outcome Indicators - Section C '!$A$1:$A$100,0)+1),2),""),"")</f>
        <v/>
      </c>
    </row>
    <row r="385" spans="1:7" ht="18.75" customHeight="1" x14ac:dyDescent="0.25">
      <c r="A385" s="643"/>
      <c r="B385" s="78" t="s">
        <v>4388</v>
      </c>
      <c r="C385" s="79" t="str">
        <f ca="1">IFERROR(IF(INDEX('Outcome Indicators - Section C '!E$1:E$100,MATCH($A373,'Outcome Indicators - Section C '!$A$1:$A$100,0))&lt;&gt;"",FIXED(INDEX('Outcome Indicators - Section C '!E$1:E$100,MATCH($A373,'Outcome Indicators - Section C '!$A$1:$A$100,0))*100,2)&amp;"%",""),"")</f>
        <v/>
      </c>
      <c r="D385" s="79" t="str">
        <f ca="1">IFERROR(IF(INDEX('Outcome Indicators - Section C '!L$1:L$100,MATCH($A373,'Outcome Indicators - Section C '!$A$1:$A$100,0))&lt;&gt;"",FIXED(INDEX('Outcome Indicators - Section C '!L$1:L$100,MATCH($A373,'Outcome Indicators - Section C '!$A$1:$A$100,0))*100,2)&amp;"%",""),"")&amp;CHAR(10)&amp;IFERROR(IF(INDEX('Outcome Indicators - Section C '!N$1:N$100,MATCH($A373,'Outcome Indicators - Section C '!$A$1:$A$100,0))&lt;&gt;"",INDEX('Outcome Indicators - Section C '!N$1:N$100,MATCH($A373,'Outcome Indicators - Section C '!$A$1:$A$100,0)),""),"")&amp;CHAR(10)&amp;IFERROR(IF(INDEX('Outcome Indicators - Section C '!M$1:M$100,MATCH($A373,'Outcome Indicators - Section C '!$A$1:$A$100,0))&lt;&gt;"",TEXT(INDEX('Outcome Indicators - Section C '!M$1:M$100,MATCH($A373,'Outcome Indicators - Section C '!$A$1:$A$100,0)),Setup!$A$33),""),"")</f>
        <v xml:space="preserve">
</v>
      </c>
      <c r="E385" s="79" t="str">
        <f ca="1">IFERROR(IF(INDEX('Outcome Indicators - Section C '!P$1:P$100,MATCH($A373,'Outcome Indicators - Section C '!$A$1:$A$100,0))&lt;&gt;"",FIXED(INDEX('Outcome Indicators - Section C '!P$1:P$100,MATCH($A373,'Outcome Indicators - Section C '!$A$1:$A$100,0))*100,2)&amp;"%",""),)&amp;CHAR(10)&amp;IFERROR(IF(INDEX('Outcome Indicators - Section C '!R$1:R$100,MATCH($A373,'Outcome Indicators - Section C '!$A$1:$A$100,0))&lt;&gt;"",INDEX('Outcome Indicators - Section C '!R$1:R$100,MATCH($A373,'Outcome Indicators - Section C '!$A$1:$A$100,0)),""),"")&amp;CHAR(10)&amp;IFERROR(IF(INDEX('Outcome Indicators - Section C '!Q$1:Q$100,MATCH($A373,'Outcome Indicators - Section C '!$A$1:$A$100,0))&lt;&gt;"",TEXT(INDEX('Outcome Indicators - Section C '!Q$1:Q$100,MATCH($A373,'Outcome Indicators - Section C '!$A$1:$A$100,0)),Setup!$A$33),""),"")</f>
        <v xml:space="preserve">
</v>
      </c>
      <c r="F385" s="79" t="str">
        <f ca="1">IFERROR(IF(INDEX('Outcome Indicators - Section C '!T$1:T$100,MATCH($A373,'Outcome Indicators - Section C '!$A$1:$A$100,0))&lt;&gt;"",FIXED(INDEX('Outcome Indicators - Section C '!T$1:T$100,MATCH($A373,'Outcome Indicators - Section C '!$A$1:$A$100,0))*100,2)&amp;"%",""),)&amp;CHAR(10)&amp;IFERROR(IF(INDEX('Outcome Indicators - Section C '!V$1:V$100,MATCH($A373,'Outcome Indicators - Section C '!$A$1:$A$100,0))&lt;&gt;"",INDEX('Outcome Indicators - Section C '!V$1:V$100,MATCH($A373,'Outcome Indicators - Section C '!$A$1:$A$100,0)),""),"")&amp;CHAR(10)&amp;IFERROR(IF(INDEX('Outcome Indicators - Section C '!U$1:U$100,MATCH($A373,'Outcome Indicators - Section C '!$A$1:$A$100,0))&lt;&gt;"",TEXT(INDEX('Outcome Indicators - Section C '!U$1:U$100,MATCH($A373,'Outcome Indicators - Section C '!$A$1:$A$100,0)),Setup!$A$33),""),"")</f>
        <v xml:space="preserve">
</v>
      </c>
      <c r="G385" s="79" t="str">
        <f ca="1">IFERROR(IF(INDEX('Outcome Indicators - Section C '!X$1:X$100,MATCH($A373,'Outcome Indicators - Section C '!$A$1:$A$100,0))&lt;&gt;"",FIXED(INDEX('Outcome Indicators - Section C '!X$1:X$100,MATCH($A373,'Outcome Indicators - Section C '!$A$1:$A$100,0))*100,2)&amp;"%",""),"")&amp;CHAR(10)&amp;IFERROR(IF(INDEX('Outcome Indicators - Section C '!Z$1:Z$100,MATCH($A373,'Outcome Indicators - Section C '!$A$1:$A$100,0))&lt;&gt;"",INDEX('Outcome Indicators - Section C '!Z$1:Z$100,MATCH($A373,'Outcome Indicators - Section C '!$A$1:$A$100,0)),""),"")&amp;CHAR(10)&amp;IFERROR(IF(INDEX('Outcome Indicators - Section C '!Y$1:Y$100,MATCH($A373,'Outcome Indicators - Section C '!$A$1:$A$100,0))&lt;&gt;"",TEXT(INDEX('Outcome Indicators - Section C '!Y$1:Y$100,MATCH($A373,'Outcome Indicators - Section C '!$A$1:$A$100,0)),Setup!$A$33),""),"")</f>
        <v xml:space="preserve">
</v>
      </c>
    </row>
    <row r="386" spans="1:7" ht="18.75" customHeight="1" x14ac:dyDescent="0.25">
      <c r="A386" s="643"/>
      <c r="B386" s="623" t="s">
        <v>176</v>
      </c>
      <c r="C386" s="624"/>
      <c r="D386" s="624"/>
      <c r="E386" s="624"/>
      <c r="F386" s="624"/>
      <c r="G386" s="625"/>
    </row>
    <row r="387" spans="1:7" ht="18.75" customHeight="1" x14ac:dyDescent="0.25">
      <c r="A387" s="643"/>
      <c r="B387" s="633" t="str">
        <f>IFERROR(IF(INDEX('Outcome Indicators - Section C '!AA$1:AA$100,MATCH($A373,'Outcome Indicators - Section C '!$A$1:$A$100,0))&lt;&gt;0,INDEX('Outcome Indicators - Section C '!AA$1:AA$100,MATCH($A373,'Outcome Indicators - Section C '!$A$1:$A$100,0)),""),"")</f>
        <v/>
      </c>
      <c r="C387" s="634"/>
      <c r="D387" s="634"/>
      <c r="E387" s="634"/>
      <c r="F387" s="634"/>
      <c r="G387" s="635"/>
    </row>
    <row r="388" spans="1:7" ht="18.75" customHeight="1" x14ac:dyDescent="0.25">
      <c r="A388" s="643"/>
      <c r="B388" s="636"/>
      <c r="C388" s="637"/>
      <c r="D388" s="637"/>
      <c r="E388" s="637"/>
      <c r="F388" s="637"/>
      <c r="G388" s="638"/>
    </row>
    <row r="389" spans="1:7" ht="18.75" customHeight="1" x14ac:dyDescent="0.25">
      <c r="A389" s="643"/>
      <c r="B389" s="636"/>
      <c r="C389" s="637"/>
      <c r="D389" s="637"/>
      <c r="E389" s="637"/>
      <c r="F389" s="637"/>
      <c r="G389" s="638"/>
    </row>
    <row r="390" spans="1:7" ht="18.75" customHeight="1" x14ac:dyDescent="0.25">
      <c r="A390" s="643"/>
      <c r="B390" s="636"/>
      <c r="C390" s="637"/>
      <c r="D390" s="637"/>
      <c r="E390" s="637"/>
      <c r="F390" s="637"/>
      <c r="G390" s="638"/>
    </row>
    <row r="391" spans="1:7" ht="18.75" customHeight="1" x14ac:dyDescent="0.25">
      <c r="A391" s="643"/>
      <c r="B391" s="636"/>
      <c r="C391" s="637"/>
      <c r="D391" s="637"/>
      <c r="E391" s="637"/>
      <c r="F391" s="637"/>
      <c r="G391" s="638"/>
    </row>
    <row r="392" spans="1:7" ht="18.75" customHeight="1" x14ac:dyDescent="0.25">
      <c r="A392" s="643"/>
      <c r="B392" s="636"/>
      <c r="C392" s="637"/>
      <c r="D392" s="637"/>
      <c r="E392" s="637"/>
      <c r="F392" s="637"/>
      <c r="G392" s="638"/>
    </row>
    <row r="393" spans="1:7" ht="18.75" customHeight="1" x14ac:dyDescent="0.25">
      <c r="A393" s="643"/>
      <c r="B393" s="636"/>
      <c r="C393" s="637"/>
      <c r="D393" s="637"/>
      <c r="E393" s="637"/>
      <c r="F393" s="637"/>
      <c r="G393" s="638"/>
    </row>
    <row r="394" spans="1:7" ht="18.75" customHeight="1" x14ac:dyDescent="0.25">
      <c r="A394" s="643"/>
      <c r="B394" s="636"/>
      <c r="C394" s="637"/>
      <c r="D394" s="637"/>
      <c r="E394" s="637"/>
      <c r="F394" s="637"/>
      <c r="G394" s="638"/>
    </row>
    <row r="395" spans="1:7" ht="18.75" customHeight="1" x14ac:dyDescent="0.25">
      <c r="A395" s="643"/>
      <c r="B395" s="636"/>
      <c r="C395" s="637"/>
      <c r="D395" s="637"/>
      <c r="E395" s="637"/>
      <c r="F395" s="637"/>
      <c r="G395" s="638"/>
    </row>
    <row r="396" spans="1:7" ht="18.75" customHeight="1" x14ac:dyDescent="0.25">
      <c r="A396" s="658"/>
      <c r="B396" s="644"/>
      <c r="C396" s="645"/>
      <c r="D396" s="645"/>
      <c r="E396" s="645"/>
      <c r="F396" s="645"/>
      <c r="G396" s="646"/>
    </row>
    <row r="397" spans="1:7" ht="18.75" customHeight="1" x14ac:dyDescent="0.25">
      <c r="A397" s="623"/>
      <c r="B397" s="624"/>
      <c r="C397" s="624"/>
      <c r="D397" s="624"/>
      <c r="E397" s="624"/>
      <c r="F397" s="624"/>
      <c r="G397" s="625"/>
    </row>
    <row r="399" spans="1:7" ht="18.75" customHeight="1" x14ac:dyDescent="0.25">
      <c r="A399" s="77" t="s">
        <v>4383</v>
      </c>
      <c r="B399" s="623" t="s">
        <v>738</v>
      </c>
      <c r="C399" s="624"/>
      <c r="D399" s="625"/>
      <c r="E399" s="623" t="s">
        <v>739</v>
      </c>
      <c r="F399" s="624"/>
      <c r="G399" s="625"/>
    </row>
    <row r="400" spans="1:7" ht="18.75" customHeight="1" x14ac:dyDescent="0.25">
      <c r="A400" s="642">
        <v>15</v>
      </c>
      <c r="B400" s="633" t="str">
        <f>IFERROR(IF(INDEX('Outcome Indicators - Section C '!B$1:B$100,MATCH($A400,'Outcome Indicators - Section C '!$A$1:$A$100,0))&lt;&gt;0,INDEX('Outcome Indicators - Section C '!B$1:B$100,MATCH($A400,'Outcome Indicators - Section C '!$A$1:$A$100,0)),""),"")</f>
        <v/>
      </c>
      <c r="C400" s="634"/>
      <c r="D400" s="635"/>
      <c r="E400" s="633" t="str">
        <f>IFERROR(IF(INDEX('Outcome Indicators - Section C '!C$1:C$100,MATCH($A400,'Outcome Indicators - Section C '!$A$1:$A$100,0))&lt;&gt;0,INDEX('Outcome Indicators - Section C '!C$1:C$100,MATCH($A400,'Outcome Indicators - Section C '!$A$1:$A$100,0)),""),"")</f>
        <v/>
      </c>
      <c r="F400" s="634"/>
      <c r="G400" s="635"/>
    </row>
    <row r="401" spans="1:7" ht="18.75" customHeight="1" x14ac:dyDescent="0.25">
      <c r="A401" s="643"/>
      <c r="B401" s="636"/>
      <c r="C401" s="637"/>
      <c r="D401" s="638"/>
      <c r="E401" s="636"/>
      <c r="F401" s="637"/>
      <c r="G401" s="638"/>
    </row>
    <row r="402" spans="1:7" ht="18.75" customHeight="1" x14ac:dyDescent="0.25">
      <c r="A402" s="643"/>
      <c r="B402" s="644"/>
      <c r="C402" s="645"/>
      <c r="D402" s="646"/>
      <c r="E402" s="644"/>
      <c r="F402" s="645"/>
      <c r="G402" s="646"/>
    </row>
    <row r="403" spans="1:7" ht="18.75" customHeight="1" x14ac:dyDescent="0.25">
      <c r="A403" s="643"/>
      <c r="B403" s="623" t="s">
        <v>742</v>
      </c>
      <c r="C403" s="624"/>
      <c r="D403" s="625"/>
      <c r="E403" s="623" t="s">
        <v>127</v>
      </c>
      <c r="F403" s="624"/>
      <c r="G403" s="625"/>
    </row>
    <row r="404" spans="1:7" ht="18.75" customHeight="1" x14ac:dyDescent="0.25">
      <c r="A404" s="643"/>
      <c r="B404" s="647" t="str">
        <f>IFERROR(IF(INDEX('Outcome Indicators - Section C '!H$1:H$100,MATCH($A400,'Outcome Indicators - Section C '!$A$1:$A$100,0))&lt;&gt;0,INDEX('Outcome Indicators - Section C '!H$1:H$100,MATCH($A400,'Outcome Indicators - Section C '!$A$1:$A$100,0)),""),"")</f>
        <v/>
      </c>
      <c r="C404" s="648"/>
      <c r="D404" s="649"/>
      <c r="E404" s="647" t="str">
        <f>IFERROR(IF(INDEX('Outcome Indicators - Section C '!J$9:J$38,MATCH($A400,'Outcome Indicators - Section C '!$A$9:$A$100,0))&lt;&gt;0,INDEX('Outcome Indicators - Section C '!J$9:J$38,MATCH($A400,'Outcome Indicators - Section C '!$A$9:$A$100,0)),""),"")</f>
        <v/>
      </c>
      <c r="F404" s="648"/>
      <c r="G404" s="649"/>
    </row>
    <row r="405" spans="1:7" ht="18.75" customHeight="1" x14ac:dyDescent="0.25">
      <c r="A405" s="643"/>
      <c r="B405" s="623" t="s">
        <v>199</v>
      </c>
      <c r="C405" s="624"/>
      <c r="D405" s="625"/>
      <c r="E405" s="623" t="s">
        <v>120</v>
      </c>
      <c r="F405" s="624"/>
      <c r="G405" s="625"/>
    </row>
    <row r="406" spans="1:7" ht="18.75" customHeight="1" x14ac:dyDescent="0.25">
      <c r="A406" s="643"/>
      <c r="B406" s="633" t="str">
        <f>IFERROR(IF(INDEX('Outcome Indicators - Section C '!G$1:G$100,MATCH($A400,'Outcome Indicators - Section C '!$A$1:$A$100,0))&lt;&gt;0,INDEX('Outcome Indicators - Section C '!G$1:G$100,MATCH($A400,'Outcome Indicators - Section C '!$A$1:$A$100,0)),""),"")</f>
        <v/>
      </c>
      <c r="C406" s="634"/>
      <c r="D406" s="635"/>
      <c r="E406" s="633" t="str">
        <f>IFERROR(IF(AND('Overview - Section A'!AS$1="Grant Making",OR(B400&lt;&gt;"",E400&lt;&gt;"")),Setup!I393,IF(INDEX('Outcome Indicators - Section C '!I$1:I$100,MATCH($A400,'Outcome Indicators - Section C '!$A$1:$A$100,0))&lt;&gt;0,INDEX('Outcome Indicators - Section C '!I$1:I$100,MATCH($A400,'Outcome Indicators - Section C '!$A$1:$A$100,0)),"")),"")</f>
        <v/>
      </c>
      <c r="F406" s="634"/>
      <c r="G406" s="635"/>
    </row>
    <row r="407" spans="1:7" ht="18.75" customHeight="1" x14ac:dyDescent="0.25">
      <c r="A407" s="643"/>
      <c r="B407" s="644"/>
      <c r="C407" s="645"/>
      <c r="D407" s="646"/>
      <c r="E407" s="644"/>
      <c r="F407" s="645"/>
      <c r="G407" s="646"/>
    </row>
    <row r="408" spans="1:7" ht="18.75" customHeight="1" x14ac:dyDescent="0.25">
      <c r="A408" s="643"/>
      <c r="B408" s="78"/>
      <c r="C408" s="63" t="s">
        <v>4384</v>
      </c>
      <c r="D408" s="623" t="s">
        <v>4385</v>
      </c>
      <c r="E408" s="624"/>
      <c r="F408" s="624"/>
      <c r="G408" s="625"/>
    </row>
    <row r="409" spans="1:7" ht="18.75" customHeight="1" x14ac:dyDescent="0.25">
      <c r="A409" s="643"/>
      <c r="B409" s="78" t="s">
        <v>2559</v>
      </c>
      <c r="C409" s="79" t="str">
        <f>IFERROR(IF(INDEX('Outcome Indicators - Section C '!F$1:F$100,MATCH($A400,'Outcome Indicators - Section C '!$A$1:$A$100,0))&lt;&gt;0,INDEX('Outcome Indicators - Section C '!F$1:F$100,MATCH($A400,'Outcome Indicators - Section C '!$A$1:$A$100,0)),""),"")</f>
        <v/>
      </c>
      <c r="D409" s="63">
        <f ca="1">IFERROR(IF(YEAR(INDEX('Overview - Section A'!$A$47:$A$54,MATCH('Print - Summary'!$H$10,'Overview - Section A'!$B$47:$B$54,0)))&lt;=YEAR('Overview - Section A'!$E$8),YEAR(INDEX('Overview - Section A'!$A$47:$A$54,MATCH('Print - Summary'!$H$10,'Overview - Section A'!$B$47:$B$54,0))),""),"")</f>
        <v>2024</v>
      </c>
      <c r="E409" s="63">
        <f ca="1">IFERROR(IF(D409+1&lt;=YEAR('Overview - Section A'!$E$8),D409+1,""),"")</f>
        <v>2025</v>
      </c>
      <c r="F409" s="63">
        <f ca="1">IFERROR(IF(E409+1&lt;=YEAR('Overview - Section A'!$E$8),E409+1,""),"")</f>
        <v>2026</v>
      </c>
      <c r="G409" s="63" t="str">
        <f ca="1">IFERROR(IF(F409+1&lt;=YEAR('Overview - Section A'!$E$8),F409+1,""),"")</f>
        <v/>
      </c>
    </row>
    <row r="410" spans="1:7" s="85" customFormat="1" ht="18.75" customHeight="1" x14ac:dyDescent="0.25">
      <c r="A410" s="643"/>
      <c r="B410" s="78" t="s">
        <v>4386</v>
      </c>
      <c r="C410" s="84" t="str">
        <f>IFERROR(IF(INDEX('Outcome Indicators - Section C '!D$1:D$100,MATCH($A400,'Outcome Indicators - Section C '!$A$1:$A$100,0))&lt;&gt;"",FIXED(INDEX('Outcome Indicators - Section C '!D$1:D$100,MATCH($A400,'Outcome Indicators - Section C '!$A$1:$A$100,0)),4),""),"")</f>
        <v/>
      </c>
      <c r="D410" s="84" t="str">
        <f>IFERROR(IF(INDEX('Outcome Indicators - Section C '!K$1:K$100,MATCH($A400,'Outcome Indicators - Section C '!$A$1:$A$100,0))&lt;&gt;"",FIXED(INDEX('Outcome Indicators - Section C '!K$1:K$100,MATCH($A400,'Outcome Indicators - Section C '!$A$1:$A$100,0)),4),""),"")</f>
        <v/>
      </c>
      <c r="E410" s="84" t="str">
        <f>IFERROR(IF(INDEX('Outcome Indicators - Section C '!O$1:O$100,MATCH($A400,'Outcome Indicators - Section C '!$A$1:$A$100,0))&lt;&gt;"",FIXED(INDEX('Outcome Indicators - Section C '!O$1:O$100,MATCH($A400,'Outcome Indicators - Section C '!$A$1:$A$100,0)),4),""),"")</f>
        <v/>
      </c>
      <c r="F410" s="84" t="str">
        <f>IFERROR(IF(INDEX('Outcome Indicators - Section C '!S$1:S$100,MATCH($A400,'Outcome Indicators - Section C '!$A$1:$A$100,0))&lt;&gt;"",FIXED(INDEX('Outcome Indicators - Section C '!S$1:S$100,MATCH($A400,'Outcome Indicators - Section C '!$A$1:$A$100,0)),4),""),"")</f>
        <v/>
      </c>
      <c r="G410" s="84" t="str">
        <f>IFERROR(IF(INDEX('Outcome Indicators - Section C '!W$1:W$100,MATCH($A400,'Outcome Indicators - Section C '!$A$1:$A$100,0))&lt;&gt;"",FIXED(INDEX('Outcome Indicators - Section C '!W$1:W$100,MATCH($A400,'Outcome Indicators - Section C '!$A$1:$A$100,0)),4),""),"")</f>
        <v/>
      </c>
    </row>
    <row r="411" spans="1:7" s="83" customFormat="1" ht="18.75" customHeight="1" x14ac:dyDescent="0.25">
      <c r="A411" s="643"/>
      <c r="B411" s="78" t="s">
        <v>4387</v>
      </c>
      <c r="C411" s="82" t="str">
        <f>IFERROR(IF(INDEX('Outcome Indicators - Section C '!D$1:D$100,MATCH($A400,'Outcome Indicators - Section C '!$A$1:$A$100,0)+1)&lt;&gt;"",FIXED(INDEX('Outcome Indicators - Section C '!D$1:D$100,MATCH($A400,'Outcome Indicators - Section C '!$A$1:$A$100,0)+1),2),""),"")</f>
        <v/>
      </c>
      <c r="D411" s="82" t="str">
        <f>IFERROR(IF(INDEX('Outcome Indicators - Section C '!K$1:K$100,MATCH($A400,'Outcome Indicators - Section C '!$A$1:$A$100,0)+1)&lt;&gt;"",FIXED(INDEX('Outcome Indicators - Section C '!K$1:K$100,MATCH($A400,'Outcome Indicators - Section C '!$A$1:$A$100,0)+1),2),""),"")</f>
        <v/>
      </c>
      <c r="E411" s="82" t="str">
        <f>IFERROR(IF(INDEX('Outcome Indicators - Section C '!O$1:O$100,MATCH($A400,'Outcome Indicators - Section C '!$A$1:$A$100,0)+1)&lt;&gt;"",FIXED(INDEX('Outcome Indicators - Section C '!O$1:O$100,MATCH($A400,'Outcome Indicators - Section C '!$A$1:$A$100,0)+1),2),""),"")</f>
        <v/>
      </c>
      <c r="F411" s="82" t="str">
        <f>IFERROR(IF(INDEX('Outcome Indicators - Section C '!S$1:S$100,MATCH($A400,'Outcome Indicators - Section C '!$A$1:$A$100,0)+1)&lt;&gt;"",FIXED(INDEX('Outcome Indicators - Section C '!S$1:S$100,MATCH($A400,'Outcome Indicators - Section C '!$A$1:$A$100,0)+1),2),""),"")</f>
        <v/>
      </c>
      <c r="G411" s="82" t="str">
        <f>IFERROR(IF(INDEX('Outcome Indicators - Section C '!W$1:W$100,MATCH($A400,'Outcome Indicators - Section C '!$A$1:$A$100,0)+1)&lt;&gt;"",FIXED(INDEX('Outcome Indicators - Section C '!W$1:W$100,MATCH($A400,'Outcome Indicators - Section C '!$A$1:$A$100,0)+1),2),""),"")</f>
        <v/>
      </c>
    </row>
    <row r="412" spans="1:7" ht="18.75" customHeight="1" x14ac:dyDescent="0.25">
      <c r="A412" s="643"/>
      <c r="B412" s="78" t="s">
        <v>4388</v>
      </c>
      <c r="C412" s="79" t="str">
        <f ca="1">IFERROR(IF(INDEX('Outcome Indicators - Section C '!E$1:E$100,MATCH($A400,'Outcome Indicators - Section C '!$A$1:$A$100,0))&lt;&gt;"",FIXED(INDEX('Outcome Indicators - Section C '!E$1:E$100,MATCH($A400,'Outcome Indicators - Section C '!$A$1:$A$100,0))*100,2)&amp;"%",""),"")</f>
        <v/>
      </c>
      <c r="D412" s="79" t="str">
        <f ca="1">IFERROR(IF(INDEX('Outcome Indicators - Section C '!L$1:L$100,MATCH($A400,'Outcome Indicators - Section C '!$A$1:$A$100,0))&lt;&gt;"",FIXED(INDEX('Outcome Indicators - Section C '!L$1:L$100,MATCH($A400,'Outcome Indicators - Section C '!$A$1:$A$100,0))*100,2)&amp;"%",""),"")&amp;CHAR(10)&amp;IFERROR(IF(INDEX('Outcome Indicators - Section C '!N$1:N$100,MATCH($A400,'Outcome Indicators - Section C '!$A$1:$A$100,0))&lt;&gt;"",INDEX('Outcome Indicators - Section C '!N$1:N$100,MATCH($A400,'Outcome Indicators - Section C '!$A$1:$A$100,0)),""),"")&amp;CHAR(10)&amp;IFERROR(IF(INDEX('Outcome Indicators - Section C '!M$1:M$100,MATCH($A400,'Outcome Indicators - Section C '!$A$1:$A$100,0))&lt;&gt;"",TEXT(INDEX('Outcome Indicators - Section C '!M$1:M$100,MATCH($A400,'Outcome Indicators - Section C '!$A$1:$A$100,0)),Setup!$A$33),""),"")</f>
        <v xml:space="preserve">
</v>
      </c>
      <c r="E412" s="79" t="str">
        <f ca="1">IFERROR(IF(INDEX('Outcome Indicators - Section C '!P$1:P$100,MATCH($A400,'Outcome Indicators - Section C '!$A$1:$A$100,0))&lt;&gt;"",FIXED(INDEX('Outcome Indicators - Section C '!P$1:P$100,MATCH($A400,'Outcome Indicators - Section C '!$A$1:$A$100,0))*100,2)&amp;"%",""),)&amp;CHAR(10)&amp;IFERROR(IF(INDEX('Outcome Indicators - Section C '!R$1:R$100,MATCH($A400,'Outcome Indicators - Section C '!$A$1:$A$100,0))&lt;&gt;"",INDEX('Outcome Indicators - Section C '!R$1:R$100,MATCH($A400,'Outcome Indicators - Section C '!$A$1:$A$100,0)),""),"")&amp;CHAR(10)&amp;IFERROR(IF(INDEX('Outcome Indicators - Section C '!Q$1:Q$100,MATCH($A400,'Outcome Indicators - Section C '!$A$1:$A$100,0))&lt;&gt;"",TEXT(INDEX('Outcome Indicators - Section C '!Q$1:Q$100,MATCH($A400,'Outcome Indicators - Section C '!$A$1:$A$100,0)),Setup!$A$33),""),"")</f>
        <v xml:space="preserve">
</v>
      </c>
      <c r="F412" s="79" t="str">
        <f ca="1">IFERROR(IF(INDEX('Outcome Indicators - Section C '!T$1:T$100,MATCH($A400,'Outcome Indicators - Section C '!$A$1:$A$100,0))&lt;&gt;"",FIXED(INDEX('Outcome Indicators - Section C '!T$1:T$100,MATCH($A400,'Outcome Indicators - Section C '!$A$1:$A$100,0))*100,2)&amp;"%",""),)&amp;CHAR(10)&amp;IFERROR(IF(INDEX('Outcome Indicators - Section C '!V$1:V$100,MATCH($A400,'Outcome Indicators - Section C '!$A$1:$A$100,0))&lt;&gt;"",INDEX('Outcome Indicators - Section C '!V$1:V$100,MATCH($A400,'Outcome Indicators - Section C '!$A$1:$A$100,0)),""),"")&amp;CHAR(10)&amp;IFERROR(IF(INDEX('Outcome Indicators - Section C '!U$1:U$100,MATCH($A400,'Outcome Indicators - Section C '!$A$1:$A$100,0))&lt;&gt;"",TEXT(INDEX('Outcome Indicators - Section C '!U$1:U$100,MATCH($A400,'Outcome Indicators - Section C '!$A$1:$A$100,0)),Setup!$A$33),""),"")</f>
        <v xml:space="preserve">
</v>
      </c>
      <c r="G412" s="79" t="str">
        <f ca="1">IFERROR(IF(INDEX('Outcome Indicators - Section C '!X$1:X$100,MATCH($A400,'Outcome Indicators - Section C '!$A$1:$A$100,0))&lt;&gt;"",FIXED(INDEX('Outcome Indicators - Section C '!X$1:X$100,MATCH($A400,'Outcome Indicators - Section C '!$A$1:$A$100,0))*100,2)&amp;"%",""),"")&amp;CHAR(10)&amp;IFERROR(IF(INDEX('Outcome Indicators - Section C '!Z$1:Z$100,MATCH($A400,'Outcome Indicators - Section C '!$A$1:$A$100,0))&lt;&gt;"",INDEX('Outcome Indicators - Section C '!Z$1:Z$100,MATCH($A400,'Outcome Indicators - Section C '!$A$1:$A$100,0)),""),"")&amp;CHAR(10)&amp;IFERROR(IF(INDEX('Outcome Indicators - Section C '!Y$1:Y$100,MATCH($A400,'Outcome Indicators - Section C '!$A$1:$A$100,0))&lt;&gt;"",TEXT(INDEX('Outcome Indicators - Section C '!Y$1:Y$100,MATCH($A400,'Outcome Indicators - Section C '!$A$1:$A$100,0)),Setup!$A$33),""),"")</f>
        <v xml:space="preserve">
</v>
      </c>
    </row>
    <row r="413" spans="1:7" ht="18.75" customHeight="1" x14ac:dyDescent="0.25">
      <c r="A413" s="643"/>
      <c r="B413" s="623" t="s">
        <v>176</v>
      </c>
      <c r="C413" s="624"/>
      <c r="D413" s="624"/>
      <c r="E413" s="624"/>
      <c r="F413" s="624"/>
      <c r="G413" s="625"/>
    </row>
    <row r="414" spans="1:7" ht="18.75" customHeight="1" x14ac:dyDescent="0.25">
      <c r="A414" s="643"/>
      <c r="B414" s="633" t="str">
        <f>IFERROR(IF(INDEX('Outcome Indicators - Section C '!AA$1:AA$100,MATCH($A400,'Outcome Indicators - Section C '!$A$1:$A$100,0))&lt;&gt;0,INDEX('Outcome Indicators - Section C '!AA$1:AA$100,MATCH($A400,'Outcome Indicators - Section C '!$A$1:$A$100,0)),""),"")</f>
        <v/>
      </c>
      <c r="C414" s="634"/>
      <c r="D414" s="634"/>
      <c r="E414" s="634"/>
      <c r="F414" s="634"/>
      <c r="G414" s="635"/>
    </row>
    <row r="415" spans="1:7" ht="18.75" customHeight="1" x14ac:dyDescent="0.25">
      <c r="A415" s="643"/>
      <c r="B415" s="636"/>
      <c r="C415" s="637"/>
      <c r="D415" s="637"/>
      <c r="E415" s="637"/>
      <c r="F415" s="637"/>
      <c r="G415" s="638"/>
    </row>
    <row r="416" spans="1:7" ht="18.75" customHeight="1" x14ac:dyDescent="0.25">
      <c r="A416" s="643"/>
      <c r="B416" s="636"/>
      <c r="C416" s="637"/>
      <c r="D416" s="637"/>
      <c r="E416" s="637"/>
      <c r="F416" s="637"/>
      <c r="G416" s="638"/>
    </row>
    <row r="417" spans="1:7" ht="18.75" customHeight="1" x14ac:dyDescent="0.25">
      <c r="A417" s="643"/>
      <c r="B417" s="636"/>
      <c r="C417" s="637"/>
      <c r="D417" s="637"/>
      <c r="E417" s="637"/>
      <c r="F417" s="637"/>
      <c r="G417" s="638"/>
    </row>
    <row r="418" spans="1:7" ht="18.75" customHeight="1" x14ac:dyDescent="0.25">
      <c r="A418" s="643"/>
      <c r="B418" s="636"/>
      <c r="C418" s="637"/>
      <c r="D418" s="637"/>
      <c r="E418" s="637"/>
      <c r="F418" s="637"/>
      <c r="G418" s="638"/>
    </row>
    <row r="419" spans="1:7" ht="18.75" customHeight="1" x14ac:dyDescent="0.25">
      <c r="A419" s="643"/>
      <c r="B419" s="636"/>
      <c r="C419" s="637"/>
      <c r="D419" s="637"/>
      <c r="E419" s="637"/>
      <c r="F419" s="637"/>
      <c r="G419" s="638"/>
    </row>
    <row r="420" spans="1:7" ht="18.75" customHeight="1" x14ac:dyDescent="0.25">
      <c r="A420" s="643"/>
      <c r="B420" s="636"/>
      <c r="C420" s="637"/>
      <c r="D420" s="637"/>
      <c r="E420" s="637"/>
      <c r="F420" s="637"/>
      <c r="G420" s="638"/>
    </row>
    <row r="421" spans="1:7" ht="18.75" customHeight="1" x14ac:dyDescent="0.25">
      <c r="A421" s="643"/>
      <c r="B421" s="636"/>
      <c r="C421" s="637"/>
      <c r="D421" s="637"/>
      <c r="E421" s="637"/>
      <c r="F421" s="637"/>
      <c r="G421" s="638"/>
    </row>
    <row r="422" spans="1:7" ht="18.75" customHeight="1" x14ac:dyDescent="0.25">
      <c r="A422" s="643"/>
      <c r="B422" s="636"/>
      <c r="C422" s="637"/>
      <c r="D422" s="637"/>
      <c r="E422" s="637"/>
      <c r="F422" s="637"/>
      <c r="G422" s="638"/>
    </row>
    <row r="423" spans="1:7" ht="18.75" customHeight="1" x14ac:dyDescent="0.25">
      <c r="A423" s="658"/>
      <c r="B423" s="644"/>
      <c r="C423" s="645"/>
      <c r="D423" s="645"/>
      <c r="E423" s="645"/>
      <c r="F423" s="645"/>
      <c r="G423" s="646"/>
    </row>
    <row r="424" spans="1:7" ht="18.75" customHeight="1" x14ac:dyDescent="0.25">
      <c r="A424" s="623"/>
      <c r="B424" s="624"/>
      <c r="C424" s="624"/>
      <c r="D424" s="624"/>
      <c r="E424" s="624"/>
      <c r="F424" s="624"/>
      <c r="G424" s="625"/>
    </row>
  </sheetData>
  <sheetProtection algorithmName="SHA-512" hashValue="yaixcotk0mfewRzmEsGgJ4IlD11JHxFrU3gbqYuU5BIP6pCGwM6/pPfF28jax626iWGWmUaUjSpAS6ATBreePA==" saltValue="8XyavymDs4pYeqFbIzl95A==" spinCount="100000" sheet="1" objects="1" scenarios="1"/>
  <mergeCells count="272">
    <mergeCell ref="B14:G14"/>
    <mergeCell ref="B12:G12"/>
    <mergeCell ref="B13:G13"/>
    <mergeCell ref="A1:G1"/>
    <mergeCell ref="A3:B3"/>
    <mergeCell ref="C3:D3"/>
    <mergeCell ref="B5:G5"/>
    <mergeCell ref="B6:G6"/>
    <mergeCell ref="B7:G7"/>
    <mergeCell ref="B8:G8"/>
    <mergeCell ref="B9:G9"/>
    <mergeCell ref="B10:G10"/>
    <mergeCell ref="B11:G11"/>
    <mergeCell ref="A46:G46"/>
    <mergeCell ref="B15:G15"/>
    <mergeCell ref="B16:G16"/>
    <mergeCell ref="B17:G17"/>
    <mergeCell ref="A19:G19"/>
    <mergeCell ref="B26:D26"/>
    <mergeCell ref="E26:G26"/>
    <mergeCell ref="A22:A45"/>
    <mergeCell ref="B22:D24"/>
    <mergeCell ref="E22:G24"/>
    <mergeCell ref="B25:D25"/>
    <mergeCell ref="E25:G25"/>
    <mergeCell ref="B21:D21"/>
    <mergeCell ref="E21:G21"/>
    <mergeCell ref="B27:D27"/>
    <mergeCell ref="E27:G27"/>
    <mergeCell ref="B28:D29"/>
    <mergeCell ref="E28:G29"/>
    <mergeCell ref="D30:G30"/>
    <mergeCell ref="B35:G35"/>
    <mergeCell ref="B36:G45"/>
    <mergeCell ref="B48:D48"/>
    <mergeCell ref="E48:G48"/>
    <mergeCell ref="A49:A72"/>
    <mergeCell ref="B49:D51"/>
    <mergeCell ref="E49:G51"/>
    <mergeCell ref="B52:D52"/>
    <mergeCell ref="E52:G52"/>
    <mergeCell ref="B53:D53"/>
    <mergeCell ref="E53:G53"/>
    <mergeCell ref="B54:D54"/>
    <mergeCell ref="E54:G54"/>
    <mergeCell ref="B55:D56"/>
    <mergeCell ref="E55:G56"/>
    <mergeCell ref="D57:G57"/>
    <mergeCell ref="B62:G62"/>
    <mergeCell ref="B63:G72"/>
    <mergeCell ref="A73:G73"/>
    <mergeCell ref="B75:D75"/>
    <mergeCell ref="E75:G75"/>
    <mergeCell ref="A76:A99"/>
    <mergeCell ref="B76:D78"/>
    <mergeCell ref="E76:G78"/>
    <mergeCell ref="B79:D79"/>
    <mergeCell ref="E79:G79"/>
    <mergeCell ref="B80:D80"/>
    <mergeCell ref="E80:G80"/>
    <mergeCell ref="B81:D81"/>
    <mergeCell ref="E81:G81"/>
    <mergeCell ref="B82:D83"/>
    <mergeCell ref="E82:G83"/>
    <mergeCell ref="D84:G84"/>
    <mergeCell ref="B89:G89"/>
    <mergeCell ref="B116:G116"/>
    <mergeCell ref="B117:G126"/>
    <mergeCell ref="A127:G127"/>
    <mergeCell ref="B129:D129"/>
    <mergeCell ref="E129:G129"/>
    <mergeCell ref="B90:G99"/>
    <mergeCell ref="A100:G100"/>
    <mergeCell ref="B102:D102"/>
    <mergeCell ref="E102:G102"/>
    <mergeCell ref="A103:A126"/>
    <mergeCell ref="B103:D105"/>
    <mergeCell ref="E103:G105"/>
    <mergeCell ref="B106:D106"/>
    <mergeCell ref="E106:G106"/>
    <mergeCell ref="B107:D107"/>
    <mergeCell ref="E107:G107"/>
    <mergeCell ref="B108:D108"/>
    <mergeCell ref="E108:G108"/>
    <mergeCell ref="B109:D110"/>
    <mergeCell ref="E109:G110"/>
    <mergeCell ref="D111:G111"/>
    <mergeCell ref="A130:A153"/>
    <mergeCell ref="B130:D132"/>
    <mergeCell ref="E130:G132"/>
    <mergeCell ref="B133:D133"/>
    <mergeCell ref="E133:G133"/>
    <mergeCell ref="B134:D134"/>
    <mergeCell ref="E134:G134"/>
    <mergeCell ref="B135:D135"/>
    <mergeCell ref="E135:G135"/>
    <mergeCell ref="B136:D137"/>
    <mergeCell ref="E136:G137"/>
    <mergeCell ref="D138:G138"/>
    <mergeCell ref="B143:G143"/>
    <mergeCell ref="B144:G153"/>
    <mergeCell ref="A154:G154"/>
    <mergeCell ref="B156:D156"/>
    <mergeCell ref="E156:G156"/>
    <mergeCell ref="A157:A180"/>
    <mergeCell ref="B157:D159"/>
    <mergeCell ref="E157:G159"/>
    <mergeCell ref="B160:D160"/>
    <mergeCell ref="E160:G160"/>
    <mergeCell ref="B161:D161"/>
    <mergeCell ref="E161:G161"/>
    <mergeCell ref="B162:D162"/>
    <mergeCell ref="E162:G162"/>
    <mergeCell ref="B163:D164"/>
    <mergeCell ref="E163:G164"/>
    <mergeCell ref="D165:G165"/>
    <mergeCell ref="B170:G170"/>
    <mergeCell ref="B197:G197"/>
    <mergeCell ref="B198:G207"/>
    <mergeCell ref="A208:G208"/>
    <mergeCell ref="B210:D210"/>
    <mergeCell ref="E210:G210"/>
    <mergeCell ref="B171:G180"/>
    <mergeCell ref="A181:G181"/>
    <mergeCell ref="B183:D183"/>
    <mergeCell ref="E183:G183"/>
    <mergeCell ref="A184:A207"/>
    <mergeCell ref="B184:D186"/>
    <mergeCell ref="E184:G186"/>
    <mergeCell ref="B187:D187"/>
    <mergeCell ref="E187:G187"/>
    <mergeCell ref="B188:D188"/>
    <mergeCell ref="E188:G188"/>
    <mergeCell ref="B189:D189"/>
    <mergeCell ref="E189:G189"/>
    <mergeCell ref="B190:D191"/>
    <mergeCell ref="E190:G191"/>
    <mergeCell ref="D192:G192"/>
    <mergeCell ref="A211:A234"/>
    <mergeCell ref="B211:D213"/>
    <mergeCell ref="E211:G213"/>
    <mergeCell ref="B214:D214"/>
    <mergeCell ref="E214:G214"/>
    <mergeCell ref="B215:D215"/>
    <mergeCell ref="E215:G215"/>
    <mergeCell ref="B216:D216"/>
    <mergeCell ref="E216:G216"/>
    <mergeCell ref="B217:D218"/>
    <mergeCell ref="E217:G218"/>
    <mergeCell ref="D219:G219"/>
    <mergeCell ref="B224:G224"/>
    <mergeCell ref="B225:G234"/>
    <mergeCell ref="A235:G235"/>
    <mergeCell ref="B237:D237"/>
    <mergeCell ref="E237:G237"/>
    <mergeCell ref="A238:A261"/>
    <mergeCell ref="B238:D240"/>
    <mergeCell ref="E238:G240"/>
    <mergeCell ref="B241:D241"/>
    <mergeCell ref="E241:G241"/>
    <mergeCell ref="B242:D242"/>
    <mergeCell ref="E242:G242"/>
    <mergeCell ref="B243:D243"/>
    <mergeCell ref="E243:G243"/>
    <mergeCell ref="B244:D245"/>
    <mergeCell ref="E244:G245"/>
    <mergeCell ref="D246:G246"/>
    <mergeCell ref="B251:G251"/>
    <mergeCell ref="B278:G278"/>
    <mergeCell ref="B279:G288"/>
    <mergeCell ref="A289:G289"/>
    <mergeCell ref="B291:D291"/>
    <mergeCell ref="E291:G291"/>
    <mergeCell ref="B252:G261"/>
    <mergeCell ref="A262:G262"/>
    <mergeCell ref="B264:D264"/>
    <mergeCell ref="E264:G264"/>
    <mergeCell ref="A265:A288"/>
    <mergeCell ref="B265:D267"/>
    <mergeCell ref="E265:G267"/>
    <mergeCell ref="B268:D268"/>
    <mergeCell ref="E268:G268"/>
    <mergeCell ref="B269:D269"/>
    <mergeCell ref="E269:G269"/>
    <mergeCell ref="B270:D270"/>
    <mergeCell ref="E270:G270"/>
    <mergeCell ref="B271:D272"/>
    <mergeCell ref="E271:G272"/>
    <mergeCell ref="D273:G273"/>
    <mergeCell ref="A292:A315"/>
    <mergeCell ref="B292:D294"/>
    <mergeCell ref="E292:G294"/>
    <mergeCell ref="B295:D295"/>
    <mergeCell ref="E295:G295"/>
    <mergeCell ref="B296:D296"/>
    <mergeCell ref="E296:G296"/>
    <mergeCell ref="B297:D297"/>
    <mergeCell ref="E297:G297"/>
    <mergeCell ref="B298:D299"/>
    <mergeCell ref="E298:G299"/>
    <mergeCell ref="D300:G300"/>
    <mergeCell ref="B305:G305"/>
    <mergeCell ref="B306:G315"/>
    <mergeCell ref="A316:G316"/>
    <mergeCell ref="B318:D318"/>
    <mergeCell ref="E318:G318"/>
    <mergeCell ref="A319:A342"/>
    <mergeCell ref="B319:D321"/>
    <mergeCell ref="E319:G321"/>
    <mergeCell ref="B322:D322"/>
    <mergeCell ref="E322:G322"/>
    <mergeCell ref="B323:D323"/>
    <mergeCell ref="E323:G323"/>
    <mergeCell ref="B324:D324"/>
    <mergeCell ref="E324:G324"/>
    <mergeCell ref="B325:D326"/>
    <mergeCell ref="E325:G326"/>
    <mergeCell ref="D327:G327"/>
    <mergeCell ref="B332:G332"/>
    <mergeCell ref="B359:G359"/>
    <mergeCell ref="B360:G369"/>
    <mergeCell ref="A370:G370"/>
    <mergeCell ref="B372:D372"/>
    <mergeCell ref="E372:G372"/>
    <mergeCell ref="B333:G342"/>
    <mergeCell ref="A343:G343"/>
    <mergeCell ref="B345:D345"/>
    <mergeCell ref="E345:G345"/>
    <mergeCell ref="A346:A369"/>
    <mergeCell ref="B346:D348"/>
    <mergeCell ref="E346:G348"/>
    <mergeCell ref="B349:D349"/>
    <mergeCell ref="E349:G349"/>
    <mergeCell ref="B350:D350"/>
    <mergeCell ref="E350:G350"/>
    <mergeCell ref="B351:D351"/>
    <mergeCell ref="E351:G351"/>
    <mergeCell ref="B352:D353"/>
    <mergeCell ref="E352:G353"/>
    <mergeCell ref="D354:G354"/>
    <mergeCell ref="A373:A396"/>
    <mergeCell ref="B373:D375"/>
    <mergeCell ref="E373:G375"/>
    <mergeCell ref="B376:D376"/>
    <mergeCell ref="E376:G376"/>
    <mergeCell ref="B377:D377"/>
    <mergeCell ref="E377:G377"/>
    <mergeCell ref="B378:D378"/>
    <mergeCell ref="E378:G378"/>
    <mergeCell ref="B379:D380"/>
    <mergeCell ref="E379:G380"/>
    <mergeCell ref="D381:G381"/>
    <mergeCell ref="B386:G386"/>
    <mergeCell ref="B387:G396"/>
    <mergeCell ref="B414:G423"/>
    <mergeCell ref="A424:G424"/>
    <mergeCell ref="A397:G397"/>
    <mergeCell ref="B399:D399"/>
    <mergeCell ref="E399:G399"/>
    <mergeCell ref="A400:A423"/>
    <mergeCell ref="B400:D402"/>
    <mergeCell ref="E400:G402"/>
    <mergeCell ref="B403:D403"/>
    <mergeCell ref="E403:G403"/>
    <mergeCell ref="B404:D404"/>
    <mergeCell ref="E404:G404"/>
    <mergeCell ref="B405:D405"/>
    <mergeCell ref="E405:G405"/>
    <mergeCell ref="B406:D407"/>
    <mergeCell ref="E406:G407"/>
    <mergeCell ref="D408:G408"/>
    <mergeCell ref="B413:G413"/>
  </mergeCells>
  <hyperlinks>
    <hyperlink ref="C3" r:id="rId1" display="http://example.com/"/>
    <hyperlink ref="C3:D3" location="'Outcome Indicators - Section C '!A1" display="Outcome Indicators"/>
  </hyperlinks>
  <pageMargins left="0.7" right="0.7" top="0.75" bottom="0.75" header="0.3" footer="0.3"/>
  <pageSetup paperSize="9" scale="90"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L843"/>
  <sheetViews>
    <sheetView view="pageBreakPreview" zoomScale="60" zoomScaleNormal="80" workbookViewId="0">
      <selection activeCell="E2" sqref="E2"/>
    </sheetView>
  </sheetViews>
  <sheetFormatPr defaultColWidth="9" defaultRowHeight="18.75" customHeight="1" x14ac:dyDescent="0.25"/>
  <cols>
    <col min="1" max="1" width="3.09765625" style="87" customWidth="1"/>
    <col min="2" max="11" width="21.796875" style="87" customWidth="1"/>
    <col min="12" max="16384" width="9" style="87"/>
  </cols>
  <sheetData>
    <row r="1" spans="1:12" ht="18.75" customHeight="1" x14ac:dyDescent="0.25">
      <c r="A1" s="660" t="s">
        <v>4391</v>
      </c>
      <c r="B1" s="661"/>
      <c r="C1" s="661"/>
      <c r="D1" s="661"/>
      <c r="E1" s="661"/>
      <c r="F1" s="661"/>
      <c r="G1" s="661"/>
      <c r="H1" s="661"/>
      <c r="I1" s="661"/>
      <c r="J1" s="661"/>
      <c r="K1" s="661"/>
      <c r="L1" s="86"/>
    </row>
    <row r="2" spans="1:12" ht="18.75" customHeight="1" x14ac:dyDescent="0.25">
      <c r="A2" s="88"/>
      <c r="B2" s="89"/>
      <c r="C2" s="89"/>
      <c r="D2" s="89"/>
      <c r="E2" s="89"/>
      <c r="F2" s="89"/>
      <c r="G2" s="89"/>
      <c r="H2" s="89"/>
      <c r="I2" s="89"/>
      <c r="J2" s="89"/>
      <c r="K2" s="89"/>
      <c r="L2" s="86"/>
    </row>
    <row r="3" spans="1:12" ht="18.75" customHeight="1" x14ac:dyDescent="0.25">
      <c r="A3" s="678" t="s">
        <v>89</v>
      </c>
      <c r="B3" s="678"/>
      <c r="C3" s="679" t="s">
        <v>4391</v>
      </c>
      <c r="D3" s="680"/>
      <c r="E3" s="90"/>
      <c r="F3" s="89"/>
      <c r="G3" s="89"/>
      <c r="H3" s="89"/>
      <c r="I3" s="89"/>
      <c r="J3" s="89"/>
      <c r="K3" s="89"/>
      <c r="L3" s="86"/>
    </row>
    <row r="4" spans="1:12" ht="18.75" customHeight="1" x14ac:dyDescent="0.25">
      <c r="A4" s="91"/>
      <c r="B4" s="92"/>
      <c r="C4" s="92"/>
      <c r="D4" s="92"/>
      <c r="E4" s="89"/>
      <c r="F4" s="89"/>
      <c r="G4" s="89"/>
      <c r="H4" s="89"/>
      <c r="I4" s="89"/>
      <c r="J4" s="89"/>
      <c r="K4" s="89"/>
      <c r="L4" s="86"/>
    </row>
    <row r="5" spans="1:12" ht="18.75" customHeight="1" x14ac:dyDescent="0.25">
      <c r="A5" s="93" t="s">
        <v>4383</v>
      </c>
      <c r="B5" s="660" t="s">
        <v>1046</v>
      </c>
      <c r="C5" s="662"/>
      <c r="D5" s="663" t="str">
        <f>IFERROR(IF(INDEX('Coverage Indicators - Section D'!B$1:B$100,MATCH($A6,'Coverage Indicators - Section D'!$A$1:$A$100,0))&lt;&gt;0,INDEX('Coverage Indicators - Section D'!B$1:B$100,MATCH($A6,'Coverage Indicators - Section D'!$A$1:$A$100,0)),""),"")</f>
        <v>Prevention package for men who have sex with men (MSM) and their sexual partners</v>
      </c>
      <c r="E5" s="664"/>
      <c r="F5" s="664"/>
      <c r="G5" s="664"/>
      <c r="H5" s="664"/>
      <c r="I5" s="664"/>
      <c r="J5" s="664"/>
      <c r="K5" s="665"/>
      <c r="L5" s="86"/>
    </row>
    <row r="6" spans="1:12" ht="18.75" customHeight="1" x14ac:dyDescent="0.25">
      <c r="A6" s="666">
        <v>1</v>
      </c>
      <c r="B6" s="660" t="s">
        <v>738</v>
      </c>
      <c r="C6" s="661"/>
      <c r="D6" s="661"/>
      <c r="E6" s="661"/>
      <c r="F6" s="662"/>
      <c r="G6" s="660" t="s">
        <v>739</v>
      </c>
      <c r="H6" s="661"/>
      <c r="I6" s="661"/>
      <c r="J6" s="661"/>
      <c r="K6" s="662"/>
      <c r="L6" s="86"/>
    </row>
    <row r="7" spans="1:12" ht="18.75" customHeight="1" x14ac:dyDescent="0.25">
      <c r="A7" s="667"/>
      <c r="B7" s="669" t="str">
        <f>IFERROR(IF(INDEX('Coverage Indicators - Section D'!C$1:C$100,MATCH($A6,'Coverage Indicators - Section D'!$A$1:$A$100,0))&lt;&gt;0,INDEX('Coverage Indicators - Section D'!C$1:C$100,MATCH($A6,'Coverage Indicators - Section D'!$A$1:$A$100,0)),""),"")</f>
        <v>KP-1a⁽ᴹ⁾ Percentage of men who have sex with men reached with HIV prevention programs - defined package of services</v>
      </c>
      <c r="C7" s="670"/>
      <c r="D7" s="670"/>
      <c r="E7" s="670"/>
      <c r="F7" s="671"/>
      <c r="G7" s="669" t="str">
        <f>IFERROR(IF(INDEX('Coverage Indicators - Section D'!D$1:D$100,MATCH($A6,'Coverage Indicators - Section D'!$A$1:$A$100,0))&lt;&gt;0,INDEX('Coverage Indicators - Section D'!D$1:D$100,MATCH($A6,'Coverage Indicators - Section D'!$A$1:$A$100,0)),""),"")</f>
        <v/>
      </c>
      <c r="H7" s="670"/>
      <c r="I7" s="670"/>
      <c r="J7" s="670"/>
      <c r="K7" s="671"/>
      <c r="L7" s="86"/>
    </row>
    <row r="8" spans="1:12" ht="18.75" customHeight="1" x14ac:dyDescent="0.25">
      <c r="A8" s="667"/>
      <c r="B8" s="672"/>
      <c r="C8" s="673"/>
      <c r="D8" s="673"/>
      <c r="E8" s="673"/>
      <c r="F8" s="674"/>
      <c r="G8" s="672"/>
      <c r="H8" s="673"/>
      <c r="I8" s="673"/>
      <c r="J8" s="673"/>
      <c r="K8" s="674"/>
      <c r="L8" s="86"/>
    </row>
    <row r="9" spans="1:12" ht="18.75" customHeight="1" x14ac:dyDescent="0.25">
      <c r="A9" s="667"/>
      <c r="B9" s="675"/>
      <c r="C9" s="676"/>
      <c r="D9" s="676"/>
      <c r="E9" s="676"/>
      <c r="F9" s="677"/>
      <c r="G9" s="675"/>
      <c r="H9" s="676"/>
      <c r="I9" s="676"/>
      <c r="J9" s="676"/>
      <c r="K9" s="677"/>
      <c r="L9" s="86"/>
    </row>
    <row r="10" spans="1:12" ht="18.75" customHeight="1" x14ac:dyDescent="0.25">
      <c r="A10" s="667"/>
      <c r="B10" s="660" t="s">
        <v>742</v>
      </c>
      <c r="C10" s="661"/>
      <c r="D10" s="662"/>
      <c r="E10" s="660" t="s">
        <v>216</v>
      </c>
      <c r="F10" s="661"/>
      <c r="G10" s="662"/>
      <c r="H10" s="660" t="s">
        <v>127</v>
      </c>
      <c r="I10" s="661"/>
      <c r="J10" s="662"/>
      <c r="K10" s="93" t="s">
        <v>2175</v>
      </c>
      <c r="L10" s="86"/>
    </row>
    <row r="11" spans="1:12" ht="18.75" customHeight="1" x14ac:dyDescent="0.25">
      <c r="A11" s="667"/>
      <c r="B11" s="663" t="str">
        <f>IFERROR(IF(INDEX('Coverage Indicators - Section D'!I$9:I$68,MATCH($A6,'Coverage Indicators - Section D'!$A$9:$A$68,0))&lt;&gt;0,INDEX('Coverage Indicators - Section D'!I$9:I$68,MATCH($A6,'Coverage Indicators - Section D'!$A$9:$A$68,0)),""),"")</f>
        <v>Age</v>
      </c>
      <c r="C11" s="664"/>
      <c r="D11" s="665"/>
      <c r="E11" s="663" t="str">
        <f>IFERROR(IF(INDEX('Coverage Indicators - Section D'!M$1:M$100,MATCH($A6,'Coverage Indicators - Section D'!$A$1:$A$100,0))&lt;&gt;0,INDEX('Coverage Indicators - Section D'!M$1:M$100,MATCH($A6,'Coverage Indicators - Section D'!$A$1:$A$100,0)),""),"")</f>
        <v/>
      </c>
      <c r="F11" s="664"/>
      <c r="G11" s="665"/>
      <c r="H11" s="663" t="str">
        <f>IFERROR(IF(INDEX('Coverage Indicators - Section D'!L$1:L$100,MATCH($A6,'Coverage Indicators - Section D'!$A$1:$A$100,0))&lt;&gt;0,INDEX('Coverage Indicators - Section D'!L$1:L$100,MATCH($A6,'Coverage Indicators - Section D'!$A$1:$A$100,0)),""),"")</f>
        <v/>
      </c>
      <c r="I11" s="664"/>
      <c r="J11" s="665"/>
      <c r="K11" s="94" t="str">
        <f>IFERROR(IF(INDEX('Coverage Indicators - Section D'!J$1:J$100,MATCH($A6,'Coverage Indicators - Section D'!$A$1:$A$100,0))&lt;&gt;0,INDEX('Coverage Indicators - Section D'!J$1:J$100,MATCH($A6,'Coverage Indicators - Section D'!$A$1:$A$100,0)),""),"")</f>
        <v>Yes</v>
      </c>
      <c r="L11" s="86"/>
    </row>
    <row r="12" spans="1:12" ht="18.75" customHeight="1" x14ac:dyDescent="0.25">
      <c r="A12" s="667"/>
      <c r="B12" s="660" t="s">
        <v>199</v>
      </c>
      <c r="C12" s="661"/>
      <c r="D12" s="662"/>
      <c r="E12" s="660" t="s">
        <v>4392</v>
      </c>
      <c r="F12" s="661"/>
      <c r="G12" s="662"/>
      <c r="H12" s="660" t="s">
        <v>120</v>
      </c>
      <c r="I12" s="661"/>
      <c r="J12" s="661"/>
      <c r="K12" s="662"/>
      <c r="L12" s="86"/>
    </row>
    <row r="13" spans="1:12" ht="18.75" customHeight="1" x14ac:dyDescent="0.25">
      <c r="A13" s="667"/>
      <c r="B13" s="669" t="str">
        <f>IFERROR(IF(INDEX('Coverage Indicators - Section D'!H$1:H$100,MATCH($A6,'Coverage Indicators - Section D'!$A$1:$A$100,0))&lt;&gt;0,INDEX('Coverage Indicators - Section D'!H$1:H$100,MATCH($A6,'Coverage Indicators - Section D'!$A$1:$A$100,0)),""),"")</f>
        <v>Administrative reports</v>
      </c>
      <c r="C13" s="670"/>
      <c r="D13" s="671"/>
      <c r="E13" s="669" t="str">
        <f>IFERROR(IF(INDEX('Coverage Indicators - Section D'!L$1:L$100,MATCH($A6,'Coverage Indicators - Section D'!$A$1:$A$100,0)+1)&lt;&gt;0,INDEX('Coverage Indicators - Section D'!L$1:L$100,MATCH($A6,'Coverage Indicators - Section D'!$A$1:$A$100,0)+1),""),"")</f>
        <v>Geographic National, 100% of national program target</v>
      </c>
      <c r="F13" s="670"/>
      <c r="G13" s="671"/>
      <c r="H13" s="669" t="str">
        <f>IFERROR(IF(AND('Overview - Section A'!AS$1="Grant Making",OR(B7&lt;&gt;"",G7&lt;&gt;"")),Setup!I15,IF(INDEX('Coverage Indicators - Section D'!K$1:K$100,MATCH($A6,'Coverage Indicators - Section D'!$A$1:$A$100,0))&lt;&gt;0,INDEX('Coverage Indicators - Section D'!K$1:K$100,MATCH($A6,'Coverage Indicators - Section D'!$A$1:$A$100,0)),"")),"")</f>
        <v>United Nations Development Programme</v>
      </c>
      <c r="I13" s="670"/>
      <c r="J13" s="670"/>
      <c r="K13" s="671"/>
      <c r="L13" s="86"/>
    </row>
    <row r="14" spans="1:12" ht="18.75" customHeight="1" x14ac:dyDescent="0.25">
      <c r="A14" s="667"/>
      <c r="B14" s="675"/>
      <c r="C14" s="676"/>
      <c r="D14" s="677"/>
      <c r="E14" s="675"/>
      <c r="F14" s="676"/>
      <c r="G14" s="677"/>
      <c r="H14" s="675"/>
      <c r="I14" s="676"/>
      <c r="J14" s="676"/>
      <c r="K14" s="677"/>
      <c r="L14" s="86"/>
    </row>
    <row r="15" spans="1:12" ht="18.75" customHeight="1" x14ac:dyDescent="0.25">
      <c r="A15" s="667"/>
      <c r="B15" s="93"/>
      <c r="C15" s="93" t="s">
        <v>4384</v>
      </c>
      <c r="D15" s="660" t="s">
        <v>4385</v>
      </c>
      <c r="E15" s="661"/>
      <c r="F15" s="661"/>
      <c r="G15" s="661"/>
      <c r="H15" s="661"/>
      <c r="I15" s="661"/>
      <c r="J15" s="661"/>
      <c r="K15" s="662"/>
      <c r="L15" s="86"/>
    </row>
    <row r="16" spans="1:12" ht="18.75" customHeight="1" x14ac:dyDescent="0.25">
      <c r="A16" s="667"/>
      <c r="B16" s="93" t="s">
        <v>2559</v>
      </c>
      <c r="C16" s="94">
        <f>IFERROR(IF(INDEX('Coverage Indicators - Section D'!G$1:G$100,MATCH($A6,'Coverage Indicators - Section D'!$A$1:$A$100,0))&lt;&gt;0,INDEX('Coverage Indicators - Section D'!G$1:G$100,MATCH($A6,'Coverage Indicators - Section D'!$A$1:$A$100,0)),""),"")</f>
        <v>2022</v>
      </c>
      <c r="D16"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16"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16"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16"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16"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16"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16"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16"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16" s="86"/>
    </row>
    <row r="17" spans="1:12" s="97" customFormat="1" ht="18.75" customHeight="1" x14ac:dyDescent="0.25">
      <c r="A17" s="667"/>
      <c r="B17" s="93" t="s">
        <v>4386</v>
      </c>
      <c r="C17" s="95">
        <f>IFERROR(IF(INDEX('Coverage Indicators - Section D'!E$1:E$100,MATCH($A6,'Coverage Indicators - Section D'!$A$1:$A$100,0))&lt;&gt;"",INDEX('Coverage Indicators - Section D'!E$1:E$100,MATCH($A6,'Coverage Indicators - Section D'!$A$1:$A$100,0)),""),"")</f>
        <v>14464</v>
      </c>
      <c r="D17" s="95">
        <f>IFERROR(IF(INDEX('Coverage Indicators - Section D'!N$1:N$100,MATCH($A6,'Coverage Indicators - Section D'!$A$1:$A$100,0))&lt;&gt;"",INDEX('Coverage Indicators - Section D'!N$1:N$100,MATCH($A6,'Coverage Indicators - Section D'!$A$1:$A$100,0)),""),"")</f>
        <v>14500</v>
      </c>
      <c r="E17" s="95">
        <f>IFERROR(IF(INDEX('Coverage Indicators - Section D'!Q$1:Q$100,MATCH($A6,'Coverage Indicators - Section D'!$A$1:$A$100,0))&lt;&gt;"",INDEX('Coverage Indicators - Section D'!Q$1:Q$100,MATCH($A6,'Coverage Indicators - Section D'!$A$1:$A$100,0)),""),"")</f>
        <v>14500</v>
      </c>
      <c r="F17" s="95">
        <f>IFERROR(IF(INDEX('Coverage Indicators - Section D'!T$1:T$100,MATCH($A6,'Coverage Indicators - Section D'!$A$1:$A$100,0))&lt;&gt;"",INDEX('Coverage Indicators - Section D'!T$1:T$100,MATCH($A6,'Coverage Indicators - Section D'!$A$1:$A$100,0)),""),"")</f>
        <v>14500</v>
      </c>
      <c r="G17" s="95" t="str">
        <f>IFERROR(IF(INDEX('Coverage Indicators - Section D'!W$1:W$100,MATCH($A6,'Coverage Indicators - Section D'!$A$1:$A$100,0))&lt;&gt;"",INDEX('Coverage Indicators - Section D'!W$1:W$100,MATCH($A6,'Coverage Indicators - Section D'!$A$1:$A$100,0)),""),"")</f>
        <v/>
      </c>
      <c r="H17" s="95" t="str">
        <f>IFERROR(IF(INDEX('Coverage Indicators - Section D'!Z$1:Z$100,MATCH($A6,'Coverage Indicators - Section D'!$A$1:$A$100,0))&lt;&gt;"",INDEX('Coverage Indicators - Section D'!Z$1:Z$100,MATCH($A6,'Coverage Indicators - Section D'!$A$1:$A$100,0)),""),"")</f>
        <v/>
      </c>
      <c r="I17" s="95" t="str">
        <f>IFERROR(IF(INDEX('Coverage Indicators - Section D'!AC$1:AC$100,MATCH($A6,'Coverage Indicators - Section D'!$A$1:$A$100,0))&lt;&gt;"",INDEX('Coverage Indicators - Section D'!AC$1:AC$100,MATCH($A6,'Coverage Indicators - Section D'!$A$1:$A$100,0)),""),"")</f>
        <v/>
      </c>
      <c r="J17" s="95" t="str">
        <f>IFERROR(IF(INDEX('Coverage Indicators - Section D'!AF$1:AF$100,MATCH($A6,'Coverage Indicators - Section D'!$A$1:$A$100,0))&lt;&gt;"",INDEX('Coverage Indicators - Section D'!AF$1:AF$100,MATCH($A6,'Coverage Indicators - Section D'!$A$1:$A$100,0)),""),"")</f>
        <v/>
      </c>
      <c r="K17" s="95" t="str">
        <f>IFERROR(IF(INDEX('Coverage Indicators - Section D'!AI$1:AI$100,MATCH($A6,'Coverage Indicators - Section D'!$A$1:$A$100,0))&lt;&gt;"",INDEX('Coverage Indicators - Section D'!AI$1:AI$100,MATCH($A6,'Coverage Indicators - Section D'!$A$1:$A$100,0)),""),"")</f>
        <v/>
      </c>
      <c r="L17" s="96"/>
    </row>
    <row r="18" spans="1:12" s="100" customFormat="1" ht="18.75" customHeight="1" x14ac:dyDescent="0.25">
      <c r="A18" s="667"/>
      <c r="B18" s="93" t="s">
        <v>4387</v>
      </c>
      <c r="C18" s="98">
        <f>IFERROR(IF(INDEX('Coverage Indicators - Section D'!E$1:E$100,MATCH($A6,'Coverage Indicators - Section D'!$A$1:$A$100,0)+1)&lt;&gt;"",INDEX('Coverage Indicators - Section D'!E$1:E$100,MATCH($A6,'Coverage Indicators - Section D'!$A$1:$A$100,0)+1),""),"")</f>
        <v>16900</v>
      </c>
      <c r="D18" s="98">
        <f>IFERROR(IF(INDEX('Coverage Indicators - Section D'!N$1:N$100,MATCH($A6,'Coverage Indicators - Section D'!$A$1:$A$100,0)+1)&lt;&gt;"",INDEX('Coverage Indicators - Section D'!N$1:N$100,MATCH($A6,'Coverage Indicators - Section D'!$A$1:$A$100,0)+1),""),"")</f>
        <v>16900</v>
      </c>
      <c r="E18" s="98">
        <f>IFERROR(IF(INDEX('Coverage Indicators - Section D'!Q$1:Q$100,MATCH($A6,'Coverage Indicators - Section D'!$A$1:$A$100,0)+1)&lt;&gt;"",INDEX('Coverage Indicators - Section D'!Q$1:Q$100,MATCH($A6,'Coverage Indicators - Section D'!$A$1:$A$100,0)+1),""),"")</f>
        <v>16900</v>
      </c>
      <c r="F18" s="98">
        <f>IFERROR(IF(INDEX('Coverage Indicators - Section D'!T$1:T$100,MATCH($A6,'Coverage Indicators - Section D'!$A$1:$A$100,0)+1)&lt;&gt;"",INDEX('Coverage Indicators - Section D'!T$1:T$100,MATCH($A6,'Coverage Indicators - Section D'!$A$1:$A$100,0)+1),""),"")</f>
        <v>16900</v>
      </c>
      <c r="G18" s="98" t="str">
        <f>IFERROR(IF(INDEX('Coverage Indicators - Section D'!W$1:W$100,MATCH($A6,'Coverage Indicators - Section D'!$A$1:$A$100,0)+1)&lt;&gt;"",INDEX('Coverage Indicators - Section D'!W$1:W$100,MATCH($A6,'Coverage Indicators - Section D'!$A$1:$A$100,0)+1),""),"")</f>
        <v/>
      </c>
      <c r="H18" s="98" t="str">
        <f>IFERROR(IF(INDEX('Coverage Indicators - Section D'!Z$1:Z$100,MATCH($A6,'Coverage Indicators - Section D'!$A$1:$A$100,0)+1)&lt;&gt;"",INDEX('Coverage Indicators - Section D'!Z$1:Z$100,MATCH($A6,'Coverage Indicators - Section D'!$A$1:$A$100,0)+1),""),"")</f>
        <v/>
      </c>
      <c r="I18" s="98" t="str">
        <f>IFERROR(IF(INDEX('Coverage Indicators - Section D'!AC$1:AC$100,MATCH($A6,'Coverage Indicators - Section D'!$A$1:$A$100,0)+1)&lt;&gt;"",INDEX('Coverage Indicators - Section D'!AC$1:AC$100,MATCH($A6,'Coverage Indicators - Section D'!$A$1:$A$100,0)+1),""),"")</f>
        <v/>
      </c>
      <c r="J18" s="98" t="str">
        <f>IFERROR(IF(INDEX('Coverage Indicators - Section D'!AF$1:AF$100,MATCH($A6,'Coverage Indicators - Section D'!$A$1:$A$100,0)+1)&lt;&gt;"",INDEX('Coverage Indicators - Section D'!AF$1:AF$100,MATCH($A6,'Coverage Indicators - Section D'!$A$1:$A$100,0)+1),""),"")</f>
        <v/>
      </c>
      <c r="K18" s="98" t="str">
        <f>IFERROR(IF(INDEX('Coverage Indicators - Section D'!AI$1:AI$100,MATCH($A6,'Coverage Indicators - Section D'!$A$1:$A$100,0)+1)&lt;&gt;"",INDEX('Coverage Indicators - Section D'!AI$1:AI$100,MATCH($A6,'Coverage Indicators - Section D'!$A$1:$A$100,0)+1),""),"")</f>
        <v/>
      </c>
      <c r="L18" s="99"/>
    </row>
    <row r="19" spans="1:12" ht="18.75" customHeight="1" x14ac:dyDescent="0.25">
      <c r="A19" s="667"/>
      <c r="B19" s="93" t="s">
        <v>4388</v>
      </c>
      <c r="C19" s="94" t="str">
        <f ca="1">IFERROR(IF(INDEX('Coverage Indicators - Section D'!F$1:F$100,MATCH($A6,'Coverage Indicators - Section D'!$A$1:$A$100,0))&lt;&gt;"",FIXED(INDEX('Coverage Indicators - Section D'!F$1:F$100,MATCH($A6,'Coverage Indicators - Section D'!$A$1:$A$100,0))*100,2)&amp;"%",""),"")</f>
        <v>85,59%</v>
      </c>
      <c r="D19" s="94" t="str">
        <f ca="1">IFERROR(IF(INDEX('Coverage Indicators - Section D'!O$1:O$100,MATCH($A6,'Coverage Indicators - Section D'!$A$1:$A$100,0))&lt;&gt;"",FIXED(INDEX('Coverage Indicators - Section D'!O$1:O$100,MATCH($A6,'Coverage Indicators - Section D'!$A$1:$A$100,0))*100,2)&amp;"%",""),"")&amp;CHAR(10)&amp;IFERROR(IF(INDEX('Coverage Indicators - Section D'!P$1:P$100,MATCH($A6,'Coverage Indicators - Section D'!$A$1:$A$100,0))&lt;&gt;"",INDEX('Coverage Indicators - Section D'!P$1:P$100,MATCH($A6,'Coverage Indicators - Section D'!$A$1:$A$100,0)),""),"")</f>
        <v xml:space="preserve">85,80%
</v>
      </c>
      <c r="E19" s="94" t="str">
        <f ca="1">IFERROR(IF(INDEX('Coverage Indicators - Section D'!R$1:R$100,MATCH($A6,'Coverage Indicators - Section D'!$A$1:$A$100,0))&lt;&gt;"",FIXED(INDEX('Coverage Indicators - Section D'!R$1:R$100,MATCH($A6,'Coverage Indicators - Section D'!$A$1:$A$100,0))*100,2)&amp;"%",""),"")&amp;CHAR(10)&amp;IFERROR(IF(INDEX('Coverage Indicators - Section D'!S$1:S$100,MATCH($A6,'Coverage Indicators - Section D'!$A$1:$A$100,0))&lt;&gt;"",INDEX('Coverage Indicators - Section D'!S$1:S$100,MATCH($A6,'Coverage Indicators - Section D'!$A$1:$A$100,0)),""),"")</f>
        <v xml:space="preserve">85,80%
</v>
      </c>
      <c r="F19" s="94" t="str">
        <f ca="1">IFERROR(IF(INDEX('Coverage Indicators - Section D'!U$1:U$100,MATCH($A6,'Coverage Indicators - Section D'!$A$1:$A$100,0))&lt;&gt;"",FIXED(INDEX('Coverage Indicators - Section D'!U$1:U$100,MATCH($A6,'Coverage Indicators - Section D'!$A$1:$A$100,0))*100,2)&amp;"%",""),"")&amp;CHAR(10)&amp;IFERROR(IF(INDEX('Coverage Indicators - Section D'!V$1:V$100,MATCH($A6,'Coverage Indicators - Section D'!$A$1:$A$100,0))&lt;&gt;"",INDEX('Coverage Indicators - Section D'!V$1:V$100,MATCH($A6,'Coverage Indicators - Section D'!$A$1:$A$100,0)),""),"")</f>
        <v xml:space="preserve">85,80%
</v>
      </c>
      <c r="G19" s="94" t="str">
        <f ca="1">IFERROR(IF(INDEX('Coverage Indicators - Section D'!X$1:X$100,MATCH($A6,'Coverage Indicators - Section D'!$A$1:$A$100,0))&lt;&gt;"",FIXED(INDEX('Coverage Indicators - Section D'!X$1:X$100,MATCH($A6,'Coverage Indicators - Section D'!$A$1:$A$100,0))*100,2)&amp;"%",""),"")&amp;CHAR(10)&amp;IFERROR(IF(INDEX('Coverage Indicators - Section D'!Y$1:Y$100,MATCH($A6,'Coverage Indicators - Section D'!$A$1:$A$100,0))&lt;&gt;"",INDEX('Coverage Indicators - Section D'!Y$1:Y$100,MATCH($A6,'Coverage Indicators - Section D'!$A$1:$A$100,0)),""),"")</f>
        <v xml:space="preserve">
</v>
      </c>
      <c r="H19" s="94" t="str">
        <f ca="1">IFERROR(IF(INDEX('Coverage Indicators - Section D'!AA$1:AA$100,MATCH(A6,'Coverage Indicators - Section D'!$A$1:$A$100,0))&lt;&gt;"",FIXED(INDEX('Coverage Indicators - Section D'!AA$1:AA$100,MATCH($A6,'Coverage Indicators - Section D'!$A$1:$A$100,0))*100,2)&amp;"%",""),"")&amp;CHAR(10)&amp;IFERROR(IF(INDEX('Coverage Indicators - Section D'!AB$1:AB$100,MATCH($A6,'Coverage Indicators - Section D'!$A$1:$A$100,0))&lt;&gt;"",INDEX('Coverage Indicators - Section D'!AB$1:AB$100,MATCH($A6,'Coverage Indicators - Section D'!$A$1:$A$100,0)),""),"")</f>
        <v xml:space="preserve">
</v>
      </c>
      <c r="I19" s="94" t="str">
        <f ca="1">IFERROR(IF(INDEX('Coverage Indicators - Section D'!AD$1:AD$100,MATCH($A6,'Coverage Indicators - Section D'!$A$1:$A$100,0))&lt;&gt;"",FIXED(INDEX('Coverage Indicators - Section D'!AD$1:AD$100,MATCH($A6,'Coverage Indicators - Section D'!$A$1:$A$100,0))*100,2)&amp;"%",""),"")&amp;CHAR(10)&amp;IFERROR(IF(INDEX('Coverage Indicators - Section D'!AE$1:AE$100,MATCH($A6,'Coverage Indicators - Section D'!$A$1:$A$100,0))&lt;&gt;"",INDEX('Coverage Indicators - Section D'!AE$1:AE$100,MATCH($A6,'Coverage Indicators - Section D'!$A$1:$A$100,0)),""),"")</f>
        <v xml:space="preserve">
</v>
      </c>
      <c r="J19" s="94" t="str">
        <f ca="1">IFERROR(IF(INDEX('Coverage Indicators - Section D'!AG$1:AG$100,MATCH($A6,'Coverage Indicators - Section D'!$A$1:$A$100,0))&lt;&gt;"",FIXED(INDEX('Coverage Indicators - Section D'!AG$1:AG$100,MATCH($A6,'Coverage Indicators - Section D'!$A$1:$A$100,0))*100,2)&amp;"%",""),"")&amp;CHAR(10)&amp;IFERROR(IF(INDEX('Coverage Indicators - Section D'!AH$1:AH$100,MATCH($A6,'Coverage Indicators - Section D'!$A$1:$A$100,0))&lt;&gt;"",INDEX('Coverage Indicators - Section D'!AH$1:AH$100,MATCH($A6,'Coverage Indicators - Section D'!$A$1:$A$100,0)),""),"")</f>
        <v xml:space="preserve">
</v>
      </c>
      <c r="K19" s="94" t="str">
        <f ca="1">IFERROR(IF(INDEX('Coverage Indicators - Section D'!AJ$1:AJ$100,MATCH($A6,'Coverage Indicators - Section D'!$A$1:$A$100,0))&lt;&gt;"",FIXED(INDEX('Coverage Indicators - Section D'!AJ$1:AJ$100,MATCH($A6,'Coverage Indicators - Section D'!$A$1:$A$100,0))*100,2)&amp;"%",""),"")&amp;CHAR(10)&amp;IFERROR(IF(INDEX('Coverage Indicators - Section D'!AK$1:AK$100,MATCH($A6,'Coverage Indicators - Section D'!$A$1:$A$100,0))&lt;&gt;"",INDEX('Coverage Indicators - Section D'!AK$1:AK$100,MATCH($A6,'Coverage Indicators - Section D'!$A$1:$A$100,0)),""),"")</f>
        <v xml:space="preserve">
</v>
      </c>
      <c r="L19" s="86"/>
    </row>
    <row r="20" spans="1:12" ht="18.75" customHeight="1" x14ac:dyDescent="0.25">
      <c r="A20" s="667"/>
      <c r="B20" s="660" t="s">
        <v>176</v>
      </c>
      <c r="C20" s="661"/>
      <c r="D20" s="661"/>
      <c r="E20" s="661"/>
      <c r="F20" s="661"/>
      <c r="G20" s="661"/>
      <c r="H20" s="661"/>
      <c r="I20" s="661"/>
      <c r="J20" s="661"/>
      <c r="K20" s="662"/>
      <c r="L20" s="86"/>
    </row>
    <row r="21" spans="1:12" ht="18.75" customHeight="1" x14ac:dyDescent="0.25">
      <c r="A21" s="667"/>
      <c r="B21" s="669" t="str">
        <f>IFERROR(IF(INDEX('Coverage Indicators - Section D'!AL$1:AL$110,MATCH($A6,'Coverage Indicators - Section D'!$A$1:$A$110,0))&lt;&gt;0,INDEX('Coverage Indicators - Section D'!AL$1:AL$110,MATCH($A6,'Coverage Indicators - Section D'!$A$1:$A$110,0)),""),"")</f>
        <v xml:space="preserve">For 2022 there are no up-to-date data on the estimate of the number of MSM in the country. The last IBBS was conducted in 2021 with the technical support of the CDC, but only for Bishkek, the IBBS for Osh could not be conducted. The denominator shows the MSM population estimates for 2016, the denominator will be revised after the MSM population estimate in the new cycle.                                                                           Numerator: Number of clients of the organization (UIC) who received at least once the minimal package of services (condoms and information component (IEM and/or counseling) during the reporting period. The results will also include those who received a minimum package of services through the online platform. For 1 year of implementation the minimum package through the online platform is 10% of the total coverage, the second year-15%, the third year-20%. Denumerator: Estimated number of men who have sex with men in the targeted area </v>
      </c>
      <c r="C21" s="670"/>
      <c r="D21" s="670"/>
      <c r="E21" s="670"/>
      <c r="F21" s="670"/>
      <c r="G21" s="670"/>
      <c r="H21" s="670"/>
      <c r="I21" s="670"/>
      <c r="J21" s="670"/>
      <c r="K21" s="671"/>
      <c r="L21" s="86"/>
    </row>
    <row r="22" spans="1:12" ht="18.75" customHeight="1" x14ac:dyDescent="0.25">
      <c r="A22" s="667"/>
      <c r="B22" s="672"/>
      <c r="C22" s="673"/>
      <c r="D22" s="673"/>
      <c r="E22" s="673"/>
      <c r="F22" s="673"/>
      <c r="G22" s="673"/>
      <c r="H22" s="673"/>
      <c r="I22" s="673"/>
      <c r="J22" s="673"/>
      <c r="K22" s="674"/>
      <c r="L22" s="86"/>
    </row>
    <row r="23" spans="1:12" ht="18.75" customHeight="1" x14ac:dyDescent="0.25">
      <c r="A23" s="667"/>
      <c r="B23" s="672"/>
      <c r="C23" s="673"/>
      <c r="D23" s="673"/>
      <c r="E23" s="673"/>
      <c r="F23" s="673"/>
      <c r="G23" s="673"/>
      <c r="H23" s="673"/>
      <c r="I23" s="673"/>
      <c r="J23" s="673"/>
      <c r="K23" s="674"/>
      <c r="L23" s="86"/>
    </row>
    <row r="24" spans="1:12" ht="18.75" customHeight="1" x14ac:dyDescent="0.25">
      <c r="A24" s="667"/>
      <c r="B24" s="672"/>
      <c r="C24" s="673"/>
      <c r="D24" s="673"/>
      <c r="E24" s="673"/>
      <c r="F24" s="673"/>
      <c r="G24" s="673"/>
      <c r="H24" s="673"/>
      <c r="I24" s="673"/>
      <c r="J24" s="673"/>
      <c r="K24" s="674"/>
      <c r="L24" s="86"/>
    </row>
    <row r="25" spans="1:12" ht="18.75" customHeight="1" x14ac:dyDescent="0.25">
      <c r="A25" s="667"/>
      <c r="B25" s="672"/>
      <c r="C25" s="673"/>
      <c r="D25" s="673"/>
      <c r="E25" s="673"/>
      <c r="F25" s="673"/>
      <c r="G25" s="673"/>
      <c r="H25" s="673"/>
      <c r="I25" s="673"/>
      <c r="J25" s="673"/>
      <c r="K25" s="674"/>
      <c r="L25" s="86"/>
    </row>
    <row r="26" spans="1:12" ht="18.75" customHeight="1" x14ac:dyDescent="0.25">
      <c r="A26" s="667"/>
      <c r="B26" s="672"/>
      <c r="C26" s="673"/>
      <c r="D26" s="673"/>
      <c r="E26" s="673"/>
      <c r="F26" s="673"/>
      <c r="G26" s="673"/>
      <c r="H26" s="673"/>
      <c r="I26" s="673"/>
      <c r="J26" s="673"/>
      <c r="K26" s="674"/>
      <c r="L26" s="86"/>
    </row>
    <row r="27" spans="1:12" ht="18.75" customHeight="1" x14ac:dyDescent="0.25">
      <c r="A27" s="667"/>
      <c r="B27" s="672"/>
      <c r="C27" s="673"/>
      <c r="D27" s="673"/>
      <c r="E27" s="673"/>
      <c r="F27" s="673"/>
      <c r="G27" s="673"/>
      <c r="H27" s="673"/>
      <c r="I27" s="673"/>
      <c r="J27" s="673"/>
      <c r="K27" s="674"/>
      <c r="L27" s="86"/>
    </row>
    <row r="28" spans="1:12" ht="18.75" customHeight="1" x14ac:dyDescent="0.25">
      <c r="A28" s="667"/>
      <c r="B28" s="672"/>
      <c r="C28" s="673"/>
      <c r="D28" s="673"/>
      <c r="E28" s="673"/>
      <c r="F28" s="673"/>
      <c r="G28" s="673"/>
      <c r="H28" s="673"/>
      <c r="I28" s="673"/>
      <c r="J28" s="673"/>
      <c r="K28" s="674"/>
      <c r="L28" s="86"/>
    </row>
    <row r="29" spans="1:12" ht="18.75" customHeight="1" x14ac:dyDescent="0.25">
      <c r="A29" s="667"/>
      <c r="B29" s="672"/>
      <c r="C29" s="673"/>
      <c r="D29" s="673"/>
      <c r="E29" s="673"/>
      <c r="F29" s="673"/>
      <c r="G29" s="673"/>
      <c r="H29" s="673"/>
      <c r="I29" s="673"/>
      <c r="J29" s="673"/>
      <c r="K29" s="674"/>
      <c r="L29" s="86"/>
    </row>
    <row r="30" spans="1:12" ht="18.75" customHeight="1" x14ac:dyDescent="0.25">
      <c r="A30" s="668"/>
      <c r="B30" s="675"/>
      <c r="C30" s="676"/>
      <c r="D30" s="676"/>
      <c r="E30" s="676"/>
      <c r="F30" s="676"/>
      <c r="G30" s="676"/>
      <c r="H30" s="676"/>
      <c r="I30" s="676"/>
      <c r="J30" s="676"/>
      <c r="K30" s="677"/>
      <c r="L30" s="86"/>
    </row>
    <row r="31" spans="1:12" ht="18.75" customHeight="1" x14ac:dyDescent="0.25">
      <c r="A31" s="660"/>
      <c r="B31" s="661"/>
      <c r="C31" s="661"/>
      <c r="D31" s="661"/>
      <c r="E31" s="661"/>
      <c r="F31" s="661"/>
      <c r="G31" s="661"/>
      <c r="H31" s="661"/>
      <c r="I31" s="661"/>
      <c r="J31" s="661"/>
      <c r="K31" s="662"/>
      <c r="L31" s="86"/>
    </row>
    <row r="33" spans="1:12" ht="18.75" customHeight="1" x14ac:dyDescent="0.25">
      <c r="A33" s="93" t="s">
        <v>4383</v>
      </c>
      <c r="B33" s="660" t="s">
        <v>1046</v>
      </c>
      <c r="C33" s="662"/>
      <c r="D33" s="663" t="str">
        <f>IFERROR(IF(INDEX('Coverage Indicators - Section D'!B$1:B$100,MATCH($A34,'Coverage Indicators - Section D'!$A$1:$A$100,0))&lt;&gt;0,INDEX('Coverage Indicators - Section D'!B$1:B$100,MATCH($A34,'Coverage Indicators - Section D'!$A$1:$A$100,0)),""),"")</f>
        <v>Prevention package for sex workers, their clients and other sexual partners</v>
      </c>
      <c r="E33" s="664"/>
      <c r="F33" s="664"/>
      <c r="G33" s="664"/>
      <c r="H33" s="664"/>
      <c r="I33" s="664"/>
      <c r="J33" s="664"/>
      <c r="K33" s="665"/>
      <c r="L33" s="86"/>
    </row>
    <row r="34" spans="1:12" ht="18.75" customHeight="1" x14ac:dyDescent="0.25">
      <c r="A34" s="666">
        <v>2</v>
      </c>
      <c r="B34" s="660" t="s">
        <v>738</v>
      </c>
      <c r="C34" s="661"/>
      <c r="D34" s="661"/>
      <c r="E34" s="661"/>
      <c r="F34" s="662"/>
      <c r="G34" s="660" t="s">
        <v>739</v>
      </c>
      <c r="H34" s="661"/>
      <c r="I34" s="661"/>
      <c r="J34" s="661"/>
      <c r="K34" s="662"/>
      <c r="L34" s="86"/>
    </row>
    <row r="35" spans="1:12" ht="18.75" customHeight="1" x14ac:dyDescent="0.25">
      <c r="A35" s="667"/>
      <c r="B35" s="669" t="str">
        <f>IFERROR(IF(INDEX('Coverage Indicators - Section D'!C$1:C$100,MATCH($A34,'Coverage Indicators - Section D'!$A$1:$A$100,0))&lt;&gt;0,INDEX('Coverage Indicators - Section D'!C$1:C$100,MATCH($A34,'Coverage Indicators - Section D'!$A$1:$A$100,0)),""),"")</f>
        <v>KP-1c⁽ᴹ⁾ Percentage of sex workers reached with HIV prevention programs - defined package of services</v>
      </c>
      <c r="C35" s="670"/>
      <c r="D35" s="670"/>
      <c r="E35" s="670"/>
      <c r="F35" s="671"/>
      <c r="G35" s="669" t="str">
        <f>IFERROR(IF(INDEX('Coverage Indicators - Section D'!D$1:D$100,MATCH($A34,'Coverage Indicators - Section D'!$A$1:$A$100,0))&lt;&gt;0,INDEX('Coverage Indicators - Section D'!D$1:D$100,MATCH($A34,'Coverage Indicators - Section D'!$A$1:$A$100,0)),""),"")</f>
        <v/>
      </c>
      <c r="H35" s="670"/>
      <c r="I35" s="670"/>
      <c r="J35" s="670"/>
      <c r="K35" s="671"/>
      <c r="L35" s="86"/>
    </row>
    <row r="36" spans="1:12" ht="18.75" customHeight="1" x14ac:dyDescent="0.25">
      <c r="A36" s="667"/>
      <c r="B36" s="672"/>
      <c r="C36" s="673"/>
      <c r="D36" s="673"/>
      <c r="E36" s="673"/>
      <c r="F36" s="674"/>
      <c r="G36" s="672"/>
      <c r="H36" s="673"/>
      <c r="I36" s="673"/>
      <c r="J36" s="673"/>
      <c r="K36" s="674"/>
      <c r="L36" s="86"/>
    </row>
    <row r="37" spans="1:12" ht="18.75" customHeight="1" x14ac:dyDescent="0.25">
      <c r="A37" s="667"/>
      <c r="B37" s="675"/>
      <c r="C37" s="676"/>
      <c r="D37" s="676"/>
      <c r="E37" s="676"/>
      <c r="F37" s="677"/>
      <c r="G37" s="675"/>
      <c r="H37" s="676"/>
      <c r="I37" s="676"/>
      <c r="J37" s="676"/>
      <c r="K37" s="677"/>
      <c r="L37" s="86"/>
    </row>
    <row r="38" spans="1:12" ht="18.75" customHeight="1" x14ac:dyDescent="0.25">
      <c r="A38" s="667"/>
      <c r="B38" s="660" t="s">
        <v>742</v>
      </c>
      <c r="C38" s="661"/>
      <c r="D38" s="662"/>
      <c r="E38" s="660" t="s">
        <v>216</v>
      </c>
      <c r="F38" s="661"/>
      <c r="G38" s="662"/>
      <c r="H38" s="660" t="s">
        <v>127</v>
      </c>
      <c r="I38" s="661"/>
      <c r="J38" s="662"/>
      <c r="K38" s="93" t="s">
        <v>2175</v>
      </c>
      <c r="L38" s="86"/>
    </row>
    <row r="39" spans="1:12" ht="18.75" customHeight="1" x14ac:dyDescent="0.25">
      <c r="A39" s="667"/>
      <c r="B39" s="663" t="str">
        <f>IFERROR(IF(INDEX('Coverage Indicators - Section D'!I$9:I$68,MATCH($A34,'Coverage Indicators - Section D'!$A$9:$A$68,0))&lt;&gt;0,INDEX('Coverage Indicators - Section D'!I$9:I$68,MATCH($A34,'Coverage Indicators - Section D'!$A$9:$A$68,0)),""),"")</f>
        <v>Age,Gender</v>
      </c>
      <c r="C39" s="664"/>
      <c r="D39" s="665"/>
      <c r="E39" s="663" t="str">
        <f>IFERROR(IF(INDEX('Coverage Indicators - Section D'!M$1:M$100,MATCH($A34,'Coverage Indicators - Section D'!$A$1:$A$100,0))&lt;&gt;0,INDEX('Coverage Indicators - Section D'!M$1:M$100,MATCH($A34,'Coverage Indicators - Section D'!$A$1:$A$100,0)),""),"")</f>
        <v/>
      </c>
      <c r="F39" s="664"/>
      <c r="G39" s="665"/>
      <c r="H39" s="663" t="str">
        <f>IFERROR(IF(INDEX('Coverage Indicators - Section D'!L$1:L$100,MATCH($A34,'Coverage Indicators - Section D'!$A$1:$A$100,0))&lt;&gt;0,INDEX('Coverage Indicators - Section D'!L$1:L$100,MATCH($A34,'Coverage Indicators - Section D'!$A$1:$A$100,0)),""),"")</f>
        <v/>
      </c>
      <c r="I39" s="664"/>
      <c r="J39" s="665"/>
      <c r="K39" s="94" t="str">
        <f>IFERROR(IF(INDEX('Coverage Indicators - Section D'!J$1:J$100,MATCH($A34,'Coverage Indicators - Section D'!$A$1:$A$100,0))&lt;&gt;0,INDEX('Coverage Indicators - Section D'!J$1:J$100,MATCH($A34,'Coverage Indicators - Section D'!$A$1:$A$100,0)),""),"")</f>
        <v>Yes</v>
      </c>
      <c r="L39" s="86"/>
    </row>
    <row r="40" spans="1:12" ht="18.75" customHeight="1" x14ac:dyDescent="0.25">
      <c r="A40" s="667"/>
      <c r="B40" s="660" t="s">
        <v>199</v>
      </c>
      <c r="C40" s="661"/>
      <c r="D40" s="662"/>
      <c r="E40" s="660" t="s">
        <v>4392</v>
      </c>
      <c r="F40" s="661"/>
      <c r="G40" s="662"/>
      <c r="H40" s="660" t="s">
        <v>120</v>
      </c>
      <c r="I40" s="661"/>
      <c r="J40" s="661"/>
      <c r="K40" s="662"/>
      <c r="L40" s="86"/>
    </row>
    <row r="41" spans="1:12" ht="18.75" customHeight="1" x14ac:dyDescent="0.25">
      <c r="A41" s="667"/>
      <c r="B41" s="669" t="str">
        <f>IFERROR(IF(INDEX('Coverage Indicators - Section D'!H$1:H$100,MATCH($A34,'Coverage Indicators - Section D'!$A$1:$A$100,0))&lt;&gt;0,INDEX('Coverage Indicators - Section D'!H$1:H$100,MATCH($A34,'Coverage Indicators - Section D'!$A$1:$A$100,0)),""),"")</f>
        <v>Administrative reports</v>
      </c>
      <c r="C41" s="670"/>
      <c r="D41" s="671"/>
      <c r="E41" s="669" t="str">
        <f>IFERROR(IF(INDEX('Coverage Indicators - Section D'!L$1:L$100,MATCH($A34,'Coverage Indicators - Section D'!$A$1:$A$100,0)+1)&lt;&gt;0,INDEX('Coverage Indicators - Section D'!L$1:L$100,MATCH($A34,'Coverage Indicators - Section D'!$A$1:$A$100,0)+1),""),"")</f>
        <v>Geographic National, 100% of national program target</v>
      </c>
      <c r="F41" s="670"/>
      <c r="G41" s="671"/>
      <c r="H41" s="669" t="str">
        <f>IFERROR(IF(AND('Overview - Section A'!AS$1="Grant Making",OR(B35&lt;&gt;"",G35&lt;&gt;"")),Setup!I43,IF(INDEX('Coverage Indicators - Section D'!K$1:K$100,MATCH($A34,'Coverage Indicators - Section D'!$A$1:$A$100,0))&lt;&gt;0,INDEX('Coverage Indicators - Section D'!K$1:K$100,MATCH($A34,'Coverage Indicators - Section D'!$A$1:$A$100,0)),"")),"")</f>
        <v>United Nations Development Programme</v>
      </c>
      <c r="I41" s="670"/>
      <c r="J41" s="670"/>
      <c r="K41" s="671"/>
      <c r="L41" s="86"/>
    </row>
    <row r="42" spans="1:12" ht="18.75" customHeight="1" x14ac:dyDescent="0.25">
      <c r="A42" s="667"/>
      <c r="B42" s="675"/>
      <c r="C42" s="676"/>
      <c r="D42" s="677"/>
      <c r="E42" s="675"/>
      <c r="F42" s="676"/>
      <c r="G42" s="677"/>
      <c r="H42" s="675"/>
      <c r="I42" s="676"/>
      <c r="J42" s="676"/>
      <c r="K42" s="677"/>
      <c r="L42" s="86"/>
    </row>
    <row r="43" spans="1:12" ht="18.75" customHeight="1" x14ac:dyDescent="0.25">
      <c r="A43" s="667"/>
      <c r="B43" s="93"/>
      <c r="C43" s="93" t="s">
        <v>4384</v>
      </c>
      <c r="D43" s="660" t="s">
        <v>4385</v>
      </c>
      <c r="E43" s="661"/>
      <c r="F43" s="661"/>
      <c r="G43" s="661"/>
      <c r="H43" s="661"/>
      <c r="I43" s="661"/>
      <c r="J43" s="661"/>
      <c r="K43" s="662"/>
      <c r="L43" s="86"/>
    </row>
    <row r="44" spans="1:12" ht="18.75" customHeight="1" x14ac:dyDescent="0.25">
      <c r="A44" s="667"/>
      <c r="B44" s="93" t="s">
        <v>2559</v>
      </c>
      <c r="C44" s="94">
        <f>IFERROR(IF(INDEX('Coverage Indicators - Section D'!G$1:G$100,MATCH($A34,'Coverage Indicators - Section D'!$A$1:$A$100,0))&lt;&gt;0,INDEX('Coverage Indicators - Section D'!G$1:G$100,MATCH($A34,'Coverage Indicators - Section D'!$A$1:$A$100,0)),""),"")</f>
        <v>2022</v>
      </c>
      <c r="D44"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44"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44"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44"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44"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44"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44"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44"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44" s="86"/>
    </row>
    <row r="45" spans="1:12" s="97" customFormat="1" ht="18.75" customHeight="1" x14ac:dyDescent="0.25">
      <c r="A45" s="667"/>
      <c r="B45" s="93" t="s">
        <v>4386</v>
      </c>
      <c r="C45" s="95">
        <f>IFERROR(IF(INDEX('Coverage Indicators - Section D'!E$1:E$100,MATCH($A34,'Coverage Indicators - Section D'!$A$1:$A$100,0))&lt;&gt;"",INDEX('Coverage Indicators - Section D'!E$1:E$100,MATCH($A34,'Coverage Indicators - Section D'!$A$1:$A$100,0)),""),"")</f>
        <v>4625</v>
      </c>
      <c r="D45" s="95">
        <f>IFERROR(IF(INDEX('Coverage Indicators - Section D'!N$1:N$100,MATCH($A34,'Coverage Indicators - Section D'!$A$1:$A$100,0))&lt;&gt;"",INDEX('Coverage Indicators - Section D'!N$1:N$100,MATCH($A34,'Coverage Indicators - Section D'!$A$1:$A$100,0)),""),"")</f>
        <v>4700</v>
      </c>
      <c r="E45" s="95">
        <f>IFERROR(IF(INDEX('Coverage Indicators - Section D'!Q$1:Q$100,MATCH($A34,'Coverage Indicators - Section D'!$A$1:$A$100,0))&lt;&gt;"",INDEX('Coverage Indicators - Section D'!Q$1:Q$100,MATCH($A34,'Coverage Indicators - Section D'!$A$1:$A$100,0)),""),"")</f>
        <v>4700</v>
      </c>
      <c r="F45" s="95">
        <f>IFERROR(IF(INDEX('Coverage Indicators - Section D'!T$1:T$100,MATCH($A34,'Coverage Indicators - Section D'!$A$1:$A$100,0))&lt;&gt;"",INDEX('Coverage Indicators - Section D'!T$1:T$100,MATCH($A34,'Coverage Indicators - Section D'!$A$1:$A$100,0)),""),"")</f>
        <v>4700</v>
      </c>
      <c r="G45" s="95" t="str">
        <f>IFERROR(IF(INDEX('Coverage Indicators - Section D'!W$1:W$100,MATCH($A34,'Coverage Indicators - Section D'!$A$1:$A$100,0))&lt;&gt;"",INDEX('Coverage Indicators - Section D'!W$1:W$100,MATCH($A34,'Coverage Indicators - Section D'!$A$1:$A$100,0)),""),"")</f>
        <v/>
      </c>
      <c r="H45" s="95" t="str">
        <f>IFERROR(IF(INDEX('Coverage Indicators - Section D'!Z$1:Z$100,MATCH($A34,'Coverage Indicators - Section D'!$A$1:$A$100,0))&lt;&gt;"",INDEX('Coverage Indicators - Section D'!Z$1:Z$100,MATCH($A34,'Coverage Indicators - Section D'!$A$1:$A$100,0)),""),"")</f>
        <v/>
      </c>
      <c r="I45" s="95" t="str">
        <f>IFERROR(IF(INDEX('Coverage Indicators - Section D'!AC$1:AC$100,MATCH($A34,'Coverage Indicators - Section D'!$A$1:$A$100,0))&lt;&gt;"",INDEX('Coverage Indicators - Section D'!AC$1:AC$100,MATCH($A34,'Coverage Indicators - Section D'!$A$1:$A$100,0)),""),"")</f>
        <v/>
      </c>
      <c r="J45" s="95" t="str">
        <f>IFERROR(IF(INDEX('Coverage Indicators - Section D'!AF$1:AF$100,MATCH($A34,'Coverage Indicators - Section D'!$A$1:$A$100,0))&lt;&gt;"",INDEX('Coverage Indicators - Section D'!AF$1:AF$100,MATCH($A34,'Coverage Indicators - Section D'!$A$1:$A$100,0)),""),"")</f>
        <v/>
      </c>
      <c r="K45" s="95" t="str">
        <f>IFERROR(IF(INDEX('Coverage Indicators - Section D'!AI$1:AI$100,MATCH($A34,'Coverage Indicators - Section D'!$A$1:$A$100,0))&lt;&gt;"",INDEX('Coverage Indicators - Section D'!AI$1:AI$100,MATCH($A34,'Coverage Indicators - Section D'!$A$1:$A$100,0)),""),"")</f>
        <v/>
      </c>
      <c r="L45" s="96"/>
    </row>
    <row r="46" spans="1:12" s="100" customFormat="1" ht="18.75" customHeight="1" x14ac:dyDescent="0.25">
      <c r="A46" s="667"/>
      <c r="B46" s="93" t="s">
        <v>4387</v>
      </c>
      <c r="C46" s="98">
        <f>IFERROR(IF(INDEX('Coverage Indicators - Section D'!E$1:E$100,MATCH($A34,'Coverage Indicators - Section D'!$A$1:$A$100,0)+1)&lt;&gt;"",INDEX('Coverage Indicators - Section D'!E$1:E$100,MATCH($A34,'Coverage Indicators - Section D'!$A$1:$A$100,0)+1),""),"")</f>
        <v>7103</v>
      </c>
      <c r="D46" s="98">
        <f>IFERROR(IF(INDEX('Coverage Indicators - Section D'!N$1:N$100,MATCH($A34,'Coverage Indicators - Section D'!$A$1:$A$100,0)+1)&lt;&gt;"",INDEX('Coverage Indicators - Section D'!N$1:N$100,MATCH($A34,'Coverage Indicators - Section D'!$A$1:$A$100,0)+1),""),"")</f>
        <v>7103</v>
      </c>
      <c r="E46" s="98">
        <f>IFERROR(IF(INDEX('Coverage Indicators - Section D'!Q$1:Q$100,MATCH($A34,'Coverage Indicators - Section D'!$A$1:$A$100,0)+1)&lt;&gt;"",INDEX('Coverage Indicators - Section D'!Q$1:Q$100,MATCH($A34,'Coverage Indicators - Section D'!$A$1:$A$100,0)+1),""),"")</f>
        <v>7103</v>
      </c>
      <c r="F46" s="98">
        <f>IFERROR(IF(INDEX('Coverage Indicators - Section D'!T$1:T$100,MATCH($A34,'Coverage Indicators - Section D'!$A$1:$A$100,0)+1)&lt;&gt;"",INDEX('Coverage Indicators - Section D'!T$1:T$100,MATCH($A34,'Coverage Indicators - Section D'!$A$1:$A$100,0)+1),""),"")</f>
        <v>7103</v>
      </c>
      <c r="G46" s="98" t="str">
        <f>IFERROR(IF(INDEX('Coverage Indicators - Section D'!W$1:W$100,MATCH($A34,'Coverage Indicators - Section D'!$A$1:$A$100,0)+1)&lt;&gt;"",INDEX('Coverage Indicators - Section D'!W$1:W$100,MATCH($A34,'Coverage Indicators - Section D'!$A$1:$A$100,0)+1),""),"")</f>
        <v/>
      </c>
      <c r="H46" s="98" t="str">
        <f>IFERROR(IF(INDEX('Coverage Indicators - Section D'!Z$1:Z$100,MATCH($A34,'Coverage Indicators - Section D'!$A$1:$A$100,0)+1)&lt;&gt;"",INDEX('Coverage Indicators - Section D'!Z$1:Z$100,MATCH($A34,'Coverage Indicators - Section D'!$A$1:$A$100,0)+1),""),"")</f>
        <v/>
      </c>
      <c r="I46" s="98" t="str">
        <f>IFERROR(IF(INDEX('Coverage Indicators - Section D'!AC$1:AC$100,MATCH($A34,'Coverage Indicators - Section D'!$A$1:$A$100,0)+1)&lt;&gt;"",INDEX('Coverage Indicators - Section D'!AC$1:AC$100,MATCH($A34,'Coverage Indicators - Section D'!$A$1:$A$100,0)+1),""),"")</f>
        <v/>
      </c>
      <c r="J46" s="98" t="str">
        <f>IFERROR(IF(INDEX('Coverage Indicators - Section D'!AF$1:AF$100,MATCH($A34,'Coverage Indicators - Section D'!$A$1:$A$100,0)+1)&lt;&gt;"",INDEX('Coverage Indicators - Section D'!AF$1:AF$100,MATCH($A34,'Coverage Indicators - Section D'!$A$1:$A$100,0)+1),""),"")</f>
        <v/>
      </c>
      <c r="K46" s="98" t="str">
        <f>IFERROR(IF(INDEX('Coverage Indicators - Section D'!AI$1:AI$100,MATCH($A34,'Coverage Indicators - Section D'!$A$1:$A$100,0)+1)&lt;&gt;"",INDEX('Coverage Indicators - Section D'!AI$1:AI$100,MATCH($A34,'Coverage Indicators - Section D'!$A$1:$A$100,0)+1),""),"")</f>
        <v/>
      </c>
      <c r="L46" s="99"/>
    </row>
    <row r="47" spans="1:12" ht="18.75" customHeight="1" x14ac:dyDescent="0.25">
      <c r="A47" s="667"/>
      <c r="B47" s="93" t="s">
        <v>4388</v>
      </c>
      <c r="C47" s="94" t="str">
        <f ca="1">IFERROR(IF(INDEX('Coverage Indicators - Section D'!F$1:F$100,MATCH($A34,'Coverage Indicators - Section D'!$A$1:$A$100,0))&lt;&gt;"",FIXED(INDEX('Coverage Indicators - Section D'!F$1:F$100,MATCH($A34,'Coverage Indicators - Section D'!$A$1:$A$100,0))*100,2)&amp;"%",""),"")</f>
        <v>65,11%</v>
      </c>
      <c r="D47" s="94" t="str">
        <f ca="1">IFERROR(IF(INDEX('Coverage Indicators - Section D'!O$1:O$100,MATCH($A34,'Coverage Indicators - Section D'!$A$1:$A$100,0))&lt;&gt;"",FIXED(INDEX('Coverage Indicators - Section D'!O$1:O$100,MATCH($A34,'Coverage Indicators - Section D'!$A$1:$A$100,0))*100,2)&amp;"%",""),"")&amp;CHAR(10)&amp;IFERROR(IF(INDEX('Coverage Indicators - Section D'!P$1:P$100,MATCH($A34,'Coverage Indicators - Section D'!$A$1:$A$100,0))&lt;&gt;"",INDEX('Coverage Indicators - Section D'!P$1:P$100,MATCH($A34,'Coverage Indicators - Section D'!$A$1:$A$100,0)),""),"")</f>
        <v xml:space="preserve">66,17%
</v>
      </c>
      <c r="E47" s="94" t="str">
        <f ca="1">IFERROR(IF(INDEX('Coverage Indicators - Section D'!R$1:R$100,MATCH($A34,'Coverage Indicators - Section D'!$A$1:$A$100,0))&lt;&gt;"",FIXED(INDEX('Coverage Indicators - Section D'!R$1:R$100,MATCH($A34,'Coverage Indicators - Section D'!$A$1:$A$100,0))*100,2)&amp;"%",""),"")&amp;CHAR(10)&amp;IFERROR(IF(INDEX('Coverage Indicators - Section D'!S$1:S$100,MATCH($A34,'Coverage Indicators - Section D'!$A$1:$A$100,0))&lt;&gt;"",INDEX('Coverage Indicators - Section D'!S$1:S$100,MATCH($A34,'Coverage Indicators - Section D'!$A$1:$A$100,0)),""),"")</f>
        <v xml:space="preserve">66,17%
</v>
      </c>
      <c r="F47" s="94" t="str">
        <f ca="1">IFERROR(IF(INDEX('Coverage Indicators - Section D'!U$1:U$100,MATCH($A34,'Coverage Indicators - Section D'!$A$1:$A$100,0))&lt;&gt;"",FIXED(INDEX('Coverage Indicators - Section D'!U$1:U$100,MATCH($A34,'Coverage Indicators - Section D'!$A$1:$A$100,0))*100,2)&amp;"%",""),"")&amp;CHAR(10)&amp;IFERROR(IF(INDEX('Coverage Indicators - Section D'!V$1:V$100,MATCH($A34,'Coverage Indicators - Section D'!$A$1:$A$100,0))&lt;&gt;"",INDEX('Coverage Indicators - Section D'!V$1:V$100,MATCH($A34,'Coverage Indicators - Section D'!$A$1:$A$100,0)),""),"")</f>
        <v xml:space="preserve">66,17%
</v>
      </c>
      <c r="G47" s="94" t="str">
        <f ca="1">IFERROR(IF(INDEX('Coverage Indicators - Section D'!X$1:X$100,MATCH($A34,'Coverage Indicators - Section D'!$A$1:$A$100,0))&lt;&gt;"",FIXED(INDEX('Coverage Indicators - Section D'!X$1:X$100,MATCH($A34,'Coverage Indicators - Section D'!$A$1:$A$100,0))*100,2)&amp;"%",""),"")&amp;CHAR(10)&amp;IFERROR(IF(INDEX('Coverage Indicators - Section D'!Y$1:Y$100,MATCH($A34,'Coverage Indicators - Section D'!$A$1:$A$100,0))&lt;&gt;"",INDEX('Coverage Indicators - Section D'!Y$1:Y$100,MATCH($A34,'Coverage Indicators - Section D'!$A$1:$A$100,0)),""),"")</f>
        <v xml:space="preserve">
</v>
      </c>
      <c r="H47" s="94" t="str">
        <f ca="1">IFERROR(IF(INDEX('Coverage Indicators - Section D'!AA$1:AA$100,MATCH(A34,'Coverage Indicators - Section D'!$A$1:$A$100,0))&lt;&gt;"",FIXED(INDEX('Coverage Indicators - Section D'!AA$1:AA$100,MATCH($A34,'Coverage Indicators - Section D'!$A$1:$A$100,0))*100,2)&amp;"%",""),"")&amp;CHAR(10)&amp;IFERROR(IF(INDEX('Coverage Indicators - Section D'!AB$1:AB$100,MATCH($A34,'Coverage Indicators - Section D'!$A$1:$A$100,0))&lt;&gt;"",INDEX('Coverage Indicators - Section D'!AB$1:AB$100,MATCH($A34,'Coverage Indicators - Section D'!$A$1:$A$100,0)),""),"")</f>
        <v xml:space="preserve">
</v>
      </c>
      <c r="I47" s="94" t="str">
        <f ca="1">IFERROR(IF(INDEX('Coverage Indicators - Section D'!AD$1:AD$100,MATCH($A34,'Coverage Indicators - Section D'!$A$1:$A$100,0))&lt;&gt;"",FIXED(INDEX('Coverage Indicators - Section D'!AD$1:AD$100,MATCH($A34,'Coverage Indicators - Section D'!$A$1:$A$100,0))*100,2)&amp;"%",""),"")&amp;CHAR(10)&amp;IFERROR(IF(INDEX('Coverage Indicators - Section D'!AE$1:AE$100,MATCH($A34,'Coverage Indicators - Section D'!$A$1:$A$100,0))&lt;&gt;"",INDEX('Coverage Indicators - Section D'!AE$1:AE$100,MATCH($A34,'Coverage Indicators - Section D'!$A$1:$A$100,0)),""),"")</f>
        <v xml:space="preserve">
</v>
      </c>
      <c r="J47" s="94" t="str">
        <f ca="1">IFERROR(IF(INDEX('Coverage Indicators - Section D'!AG$1:AG$100,MATCH($A34,'Coverage Indicators - Section D'!$A$1:$A$100,0))&lt;&gt;"",FIXED(INDEX('Coverage Indicators - Section D'!AG$1:AG$100,MATCH($A34,'Coverage Indicators - Section D'!$A$1:$A$100,0))*100,2)&amp;"%",""),"")&amp;CHAR(10)&amp;IFERROR(IF(INDEX('Coverage Indicators - Section D'!AH$1:AH$100,MATCH($A34,'Coverage Indicators - Section D'!$A$1:$A$100,0))&lt;&gt;"",INDEX('Coverage Indicators - Section D'!AH$1:AH$100,MATCH($A34,'Coverage Indicators - Section D'!$A$1:$A$100,0)),""),"")</f>
        <v xml:space="preserve">
</v>
      </c>
      <c r="K47" s="94" t="str">
        <f ca="1">IFERROR(IF(INDEX('Coverage Indicators - Section D'!AJ$1:AJ$100,MATCH($A34,'Coverage Indicators - Section D'!$A$1:$A$100,0))&lt;&gt;"",FIXED(INDEX('Coverage Indicators - Section D'!AJ$1:AJ$100,MATCH($A34,'Coverage Indicators - Section D'!$A$1:$A$100,0))*100,2)&amp;"%",""),"")&amp;CHAR(10)&amp;IFERROR(IF(INDEX('Coverage Indicators - Section D'!AK$1:AK$100,MATCH($A34,'Coverage Indicators - Section D'!$A$1:$A$100,0))&lt;&gt;"",INDEX('Coverage Indicators - Section D'!AK$1:AK$100,MATCH($A34,'Coverage Indicators - Section D'!$A$1:$A$100,0)),""),"")</f>
        <v xml:space="preserve">
</v>
      </c>
      <c r="L47" s="86"/>
    </row>
    <row r="48" spans="1:12" ht="18.75" customHeight="1" x14ac:dyDescent="0.25">
      <c r="A48" s="667"/>
      <c r="B48" s="660" t="s">
        <v>176</v>
      </c>
      <c r="C48" s="661"/>
      <c r="D48" s="661"/>
      <c r="E48" s="661"/>
      <c r="F48" s="661"/>
      <c r="G48" s="661"/>
      <c r="H48" s="661"/>
      <c r="I48" s="661"/>
      <c r="J48" s="661"/>
      <c r="K48" s="662"/>
      <c r="L48" s="86"/>
    </row>
    <row r="49" spans="1:12" ht="18.75" customHeight="1" x14ac:dyDescent="0.25">
      <c r="A49" s="667"/>
      <c r="B49" s="669" t="str">
        <f>IFERROR(IF(INDEX('Coverage Indicators - Section D'!AL$1:AL$110,MATCH($A34,'Coverage Indicators - Section D'!$A$1:$A$110,0))&lt;&gt;0,INDEX('Coverage Indicators - Section D'!AL$1:AL$110,MATCH($A34,'Coverage Indicators - Section D'!$A$1:$A$110,0)),""),"")</f>
        <v>For 2022 there is no current data on the estimate of the number of SW in the country. Analysis of data on SW has not been completed. In the denominator there are estimates of the number of SW in 2013.              Numerator: Number of clients of the organization (UIC) who received at least once the minimal package of services (condoms and information component (IEM and/or counseling) during the reporting period. The results will also include those who received a minimum package of services through the online platform. For 1 year of implementation the minimum package through the online platform is 10% of the total coverage, the second year-15%, the third year-20%. Denumerator: Estimated number of SW in the targeted area. Coverage of SWs in this cycle was not fully achieved for various reasons. Coverage of SWs in this cycle was not fully achieved for various reasons.</v>
      </c>
      <c r="C49" s="670"/>
      <c r="D49" s="670"/>
      <c r="E49" s="670"/>
      <c r="F49" s="670"/>
      <c r="G49" s="670"/>
      <c r="H49" s="670"/>
      <c r="I49" s="670"/>
      <c r="J49" s="670"/>
      <c r="K49" s="671"/>
      <c r="L49" s="86"/>
    </row>
    <row r="50" spans="1:12" ht="18.75" customHeight="1" x14ac:dyDescent="0.25">
      <c r="A50" s="667"/>
      <c r="B50" s="672"/>
      <c r="C50" s="673"/>
      <c r="D50" s="673"/>
      <c r="E50" s="673"/>
      <c r="F50" s="673"/>
      <c r="G50" s="673"/>
      <c r="H50" s="673"/>
      <c r="I50" s="673"/>
      <c r="J50" s="673"/>
      <c r="K50" s="674"/>
      <c r="L50" s="86"/>
    </row>
    <row r="51" spans="1:12" ht="18.75" customHeight="1" x14ac:dyDescent="0.25">
      <c r="A51" s="667"/>
      <c r="B51" s="672"/>
      <c r="C51" s="673"/>
      <c r="D51" s="673"/>
      <c r="E51" s="673"/>
      <c r="F51" s="673"/>
      <c r="G51" s="673"/>
      <c r="H51" s="673"/>
      <c r="I51" s="673"/>
      <c r="J51" s="673"/>
      <c r="K51" s="674"/>
      <c r="L51" s="86"/>
    </row>
    <row r="52" spans="1:12" ht="18.75" customHeight="1" x14ac:dyDescent="0.25">
      <c r="A52" s="667"/>
      <c r="B52" s="672"/>
      <c r="C52" s="673"/>
      <c r="D52" s="673"/>
      <c r="E52" s="673"/>
      <c r="F52" s="673"/>
      <c r="G52" s="673"/>
      <c r="H52" s="673"/>
      <c r="I52" s="673"/>
      <c r="J52" s="673"/>
      <c r="K52" s="674"/>
      <c r="L52" s="86"/>
    </row>
    <row r="53" spans="1:12" ht="18.75" customHeight="1" x14ac:dyDescent="0.25">
      <c r="A53" s="667"/>
      <c r="B53" s="672"/>
      <c r="C53" s="673"/>
      <c r="D53" s="673"/>
      <c r="E53" s="673"/>
      <c r="F53" s="673"/>
      <c r="G53" s="673"/>
      <c r="H53" s="673"/>
      <c r="I53" s="673"/>
      <c r="J53" s="673"/>
      <c r="K53" s="674"/>
      <c r="L53" s="86"/>
    </row>
    <row r="54" spans="1:12" ht="18.75" customHeight="1" x14ac:dyDescent="0.25">
      <c r="A54" s="667"/>
      <c r="B54" s="672"/>
      <c r="C54" s="673"/>
      <c r="D54" s="673"/>
      <c r="E54" s="673"/>
      <c r="F54" s="673"/>
      <c r="G54" s="673"/>
      <c r="H54" s="673"/>
      <c r="I54" s="673"/>
      <c r="J54" s="673"/>
      <c r="K54" s="674"/>
      <c r="L54" s="86"/>
    </row>
    <row r="55" spans="1:12" ht="18.75" customHeight="1" x14ac:dyDescent="0.25">
      <c r="A55" s="667"/>
      <c r="B55" s="672"/>
      <c r="C55" s="673"/>
      <c r="D55" s="673"/>
      <c r="E55" s="673"/>
      <c r="F55" s="673"/>
      <c r="G55" s="673"/>
      <c r="H55" s="673"/>
      <c r="I55" s="673"/>
      <c r="J55" s="673"/>
      <c r="K55" s="674"/>
      <c r="L55" s="86"/>
    </row>
    <row r="56" spans="1:12" ht="18.75" customHeight="1" x14ac:dyDescent="0.25">
      <c r="A56" s="667"/>
      <c r="B56" s="672"/>
      <c r="C56" s="673"/>
      <c r="D56" s="673"/>
      <c r="E56" s="673"/>
      <c r="F56" s="673"/>
      <c r="G56" s="673"/>
      <c r="H56" s="673"/>
      <c r="I56" s="673"/>
      <c r="J56" s="673"/>
      <c r="K56" s="674"/>
      <c r="L56" s="86"/>
    </row>
    <row r="57" spans="1:12" ht="18.75" customHeight="1" x14ac:dyDescent="0.25">
      <c r="A57" s="667"/>
      <c r="B57" s="672"/>
      <c r="C57" s="673"/>
      <c r="D57" s="673"/>
      <c r="E57" s="673"/>
      <c r="F57" s="673"/>
      <c r="G57" s="673"/>
      <c r="H57" s="673"/>
      <c r="I57" s="673"/>
      <c r="J57" s="673"/>
      <c r="K57" s="674"/>
      <c r="L57" s="86"/>
    </row>
    <row r="58" spans="1:12" ht="18.75" customHeight="1" x14ac:dyDescent="0.25">
      <c r="A58" s="668"/>
      <c r="B58" s="675"/>
      <c r="C58" s="676"/>
      <c r="D58" s="676"/>
      <c r="E58" s="676"/>
      <c r="F58" s="676"/>
      <c r="G58" s="676"/>
      <c r="H58" s="676"/>
      <c r="I58" s="676"/>
      <c r="J58" s="676"/>
      <c r="K58" s="677"/>
      <c r="L58" s="86"/>
    </row>
    <row r="59" spans="1:12" ht="18.75" customHeight="1" x14ac:dyDescent="0.25">
      <c r="A59" s="660"/>
      <c r="B59" s="661"/>
      <c r="C59" s="661"/>
      <c r="D59" s="661"/>
      <c r="E59" s="661"/>
      <c r="F59" s="661"/>
      <c r="G59" s="661"/>
      <c r="H59" s="661"/>
      <c r="I59" s="661"/>
      <c r="J59" s="661"/>
      <c r="K59" s="662"/>
      <c r="L59" s="86"/>
    </row>
    <row r="61" spans="1:12" ht="18.75" customHeight="1" x14ac:dyDescent="0.25">
      <c r="A61" s="93" t="s">
        <v>4383</v>
      </c>
      <c r="B61" s="660" t="s">
        <v>1046</v>
      </c>
      <c r="C61" s="662"/>
      <c r="D61" s="663" t="str">
        <f>IFERROR(IF(INDEX('Coverage Indicators - Section D'!B$1:B$100,MATCH($A62,'Coverage Indicators - Section D'!$A$1:$A$100,0))&lt;&gt;0,INDEX('Coverage Indicators - Section D'!B$1:B$100,MATCH($A62,'Coverage Indicators - Section D'!$A$1:$A$100,0)),""),"")</f>
        <v>Prevention package for transgender people and their sexual partners</v>
      </c>
      <c r="E61" s="664"/>
      <c r="F61" s="664"/>
      <c r="G61" s="664"/>
      <c r="H61" s="664"/>
      <c r="I61" s="664"/>
      <c r="J61" s="664"/>
      <c r="K61" s="665"/>
      <c r="L61" s="86"/>
    </row>
    <row r="62" spans="1:12" ht="18.75" customHeight="1" x14ac:dyDescent="0.25">
      <c r="A62" s="666">
        <v>3</v>
      </c>
      <c r="B62" s="660" t="s">
        <v>738</v>
      </c>
      <c r="C62" s="661"/>
      <c r="D62" s="661"/>
      <c r="E62" s="661"/>
      <c r="F62" s="662"/>
      <c r="G62" s="660" t="s">
        <v>739</v>
      </c>
      <c r="H62" s="661"/>
      <c r="I62" s="661"/>
      <c r="J62" s="661"/>
      <c r="K62" s="662"/>
      <c r="L62" s="86"/>
    </row>
    <row r="63" spans="1:12" ht="18.75" customHeight="1" x14ac:dyDescent="0.25">
      <c r="A63" s="667"/>
      <c r="B63" s="669" t="str">
        <f>IFERROR(IF(INDEX('Coverage Indicators - Section D'!C$1:C$100,MATCH($A62,'Coverage Indicators - Section D'!$A$1:$A$100,0))&lt;&gt;0,INDEX('Coverage Indicators - Section D'!C$1:C$100,MATCH($A62,'Coverage Indicators - Section D'!$A$1:$A$100,0)),""),"")</f>
        <v>KP-1b⁽ᴹ⁾ Percentage of transgender people reached with HIV prevention programs - defined package of services</v>
      </c>
      <c r="C63" s="670"/>
      <c r="D63" s="670"/>
      <c r="E63" s="670"/>
      <c r="F63" s="671"/>
      <c r="G63" s="669" t="str">
        <f>IFERROR(IF(INDEX('Coverage Indicators - Section D'!D$1:D$100,MATCH($A62,'Coverage Indicators - Section D'!$A$1:$A$100,0))&lt;&gt;0,INDEX('Coverage Indicators - Section D'!D$1:D$100,MATCH($A62,'Coverage Indicators - Section D'!$A$1:$A$100,0)),""),"")</f>
        <v/>
      </c>
      <c r="H63" s="670"/>
      <c r="I63" s="670"/>
      <c r="J63" s="670"/>
      <c r="K63" s="671"/>
      <c r="L63" s="86"/>
    </row>
    <row r="64" spans="1:12" ht="18.75" customHeight="1" x14ac:dyDescent="0.25">
      <c r="A64" s="667"/>
      <c r="B64" s="672"/>
      <c r="C64" s="673"/>
      <c r="D64" s="673"/>
      <c r="E64" s="673"/>
      <c r="F64" s="674"/>
      <c r="G64" s="672"/>
      <c r="H64" s="673"/>
      <c r="I64" s="673"/>
      <c r="J64" s="673"/>
      <c r="K64" s="674"/>
      <c r="L64" s="86"/>
    </row>
    <row r="65" spans="1:12" ht="18.75" customHeight="1" x14ac:dyDescent="0.25">
      <c r="A65" s="667"/>
      <c r="B65" s="675"/>
      <c r="C65" s="676"/>
      <c r="D65" s="676"/>
      <c r="E65" s="676"/>
      <c r="F65" s="677"/>
      <c r="G65" s="675"/>
      <c r="H65" s="676"/>
      <c r="I65" s="676"/>
      <c r="J65" s="676"/>
      <c r="K65" s="677"/>
      <c r="L65" s="86"/>
    </row>
    <row r="66" spans="1:12" ht="18.75" customHeight="1" x14ac:dyDescent="0.25">
      <c r="A66" s="667"/>
      <c r="B66" s="660" t="s">
        <v>742</v>
      </c>
      <c r="C66" s="661"/>
      <c r="D66" s="662"/>
      <c r="E66" s="660" t="s">
        <v>216</v>
      </c>
      <c r="F66" s="661"/>
      <c r="G66" s="662"/>
      <c r="H66" s="660" t="s">
        <v>127</v>
      </c>
      <c r="I66" s="661"/>
      <c r="J66" s="662"/>
      <c r="K66" s="93" t="s">
        <v>2175</v>
      </c>
      <c r="L66" s="86"/>
    </row>
    <row r="67" spans="1:12" ht="18.75" customHeight="1" x14ac:dyDescent="0.25">
      <c r="A67" s="667"/>
      <c r="B67" s="663" t="str">
        <f>IFERROR(IF(INDEX('Coverage Indicators - Section D'!I$9:I$68,MATCH($A62,'Coverage Indicators - Section D'!$A$9:$A$68,0))&lt;&gt;0,INDEX('Coverage Indicators - Section D'!I$9:I$68,MATCH($A62,'Coverage Indicators - Section D'!$A$9:$A$68,0)),""),"")</f>
        <v>Age,Gender</v>
      </c>
      <c r="C67" s="664"/>
      <c r="D67" s="665"/>
      <c r="E67" s="663" t="str">
        <f>IFERROR(IF(INDEX('Coverage Indicators - Section D'!M$1:M$100,MATCH($A62,'Coverage Indicators - Section D'!$A$1:$A$100,0))&lt;&gt;0,INDEX('Coverage Indicators - Section D'!M$1:M$100,MATCH($A62,'Coverage Indicators - Section D'!$A$1:$A$100,0)),""),"")</f>
        <v/>
      </c>
      <c r="F67" s="664"/>
      <c r="G67" s="665"/>
      <c r="H67" s="663" t="str">
        <f>IFERROR(IF(INDEX('Coverage Indicators - Section D'!L$1:L$100,MATCH($A62,'Coverage Indicators - Section D'!$A$1:$A$100,0))&lt;&gt;0,INDEX('Coverage Indicators - Section D'!L$1:L$100,MATCH($A62,'Coverage Indicators - Section D'!$A$1:$A$100,0)),""),"")</f>
        <v/>
      </c>
      <c r="I67" s="664"/>
      <c r="J67" s="665"/>
      <c r="K67" s="94" t="str">
        <f>IFERROR(IF(INDEX('Coverage Indicators - Section D'!J$1:J$100,MATCH($A62,'Coverage Indicators - Section D'!$A$1:$A$100,0))&lt;&gt;0,INDEX('Coverage Indicators - Section D'!J$1:J$100,MATCH($A62,'Coverage Indicators - Section D'!$A$1:$A$100,0)),""),"")</f>
        <v>Yes</v>
      </c>
      <c r="L67" s="86"/>
    </row>
    <row r="68" spans="1:12" ht="18.75" customHeight="1" x14ac:dyDescent="0.25">
      <c r="A68" s="667"/>
      <c r="B68" s="660" t="s">
        <v>199</v>
      </c>
      <c r="C68" s="661"/>
      <c r="D68" s="662"/>
      <c r="E68" s="660" t="s">
        <v>4392</v>
      </c>
      <c r="F68" s="661"/>
      <c r="G68" s="662"/>
      <c r="H68" s="660" t="s">
        <v>120</v>
      </c>
      <c r="I68" s="661"/>
      <c r="J68" s="661"/>
      <c r="K68" s="662"/>
      <c r="L68" s="86"/>
    </row>
    <row r="69" spans="1:12" ht="18.75" customHeight="1" x14ac:dyDescent="0.25">
      <c r="A69" s="667"/>
      <c r="B69" s="669" t="str">
        <f>IFERROR(IF(INDEX('Coverage Indicators - Section D'!H$1:H$100,MATCH($A62,'Coverage Indicators - Section D'!$A$1:$A$100,0))&lt;&gt;0,INDEX('Coverage Indicators - Section D'!H$1:H$100,MATCH($A62,'Coverage Indicators - Section D'!$A$1:$A$100,0)),""),"")</f>
        <v>Administrative reports</v>
      </c>
      <c r="C69" s="670"/>
      <c r="D69" s="671"/>
      <c r="E69" s="669" t="str">
        <f>IFERROR(IF(INDEX('Coverage Indicators - Section D'!L$1:L$100,MATCH($A62,'Coverage Indicators - Section D'!$A$1:$A$100,0)+1)&lt;&gt;0,INDEX('Coverage Indicators - Section D'!L$1:L$100,MATCH($A62,'Coverage Indicators - Section D'!$A$1:$A$100,0)+1),""),"")</f>
        <v>Geographic National, 100% of national program target</v>
      </c>
      <c r="F69" s="670"/>
      <c r="G69" s="671"/>
      <c r="H69" s="669" t="str">
        <f>IFERROR(IF(AND('Overview - Section A'!AS$1="Grant Making",OR(B63&lt;&gt;"",G63&lt;&gt;"")),Setup!I71,IF(INDEX('Coverage Indicators - Section D'!K$1:K$100,MATCH($A62,'Coverage Indicators - Section D'!$A$1:$A$100,0))&lt;&gt;0,INDEX('Coverage Indicators - Section D'!K$1:K$100,MATCH($A62,'Coverage Indicators - Section D'!$A$1:$A$100,0)),"")),"")</f>
        <v>United Nations Development Programme</v>
      </c>
      <c r="I69" s="670"/>
      <c r="J69" s="670"/>
      <c r="K69" s="671"/>
      <c r="L69" s="86"/>
    </row>
    <row r="70" spans="1:12" ht="18.75" customHeight="1" x14ac:dyDescent="0.25">
      <c r="A70" s="667"/>
      <c r="B70" s="675"/>
      <c r="C70" s="676"/>
      <c r="D70" s="677"/>
      <c r="E70" s="675"/>
      <c r="F70" s="676"/>
      <c r="G70" s="677"/>
      <c r="H70" s="675"/>
      <c r="I70" s="676"/>
      <c r="J70" s="676"/>
      <c r="K70" s="677"/>
      <c r="L70" s="86"/>
    </row>
    <row r="71" spans="1:12" ht="18.75" customHeight="1" x14ac:dyDescent="0.25">
      <c r="A71" s="667"/>
      <c r="B71" s="93"/>
      <c r="C71" s="93" t="s">
        <v>4384</v>
      </c>
      <c r="D71" s="660" t="s">
        <v>4385</v>
      </c>
      <c r="E71" s="661"/>
      <c r="F71" s="661"/>
      <c r="G71" s="661"/>
      <c r="H71" s="661"/>
      <c r="I71" s="661"/>
      <c r="J71" s="661"/>
      <c r="K71" s="662"/>
      <c r="L71" s="86"/>
    </row>
    <row r="72" spans="1:12" ht="18.75" customHeight="1" x14ac:dyDescent="0.25">
      <c r="A72" s="667"/>
      <c r="B72" s="93" t="s">
        <v>2559</v>
      </c>
      <c r="C72" s="94">
        <f>IFERROR(IF(INDEX('Coverage Indicators - Section D'!G$1:G$100,MATCH($A62,'Coverage Indicators - Section D'!$A$1:$A$100,0))&lt;&gt;0,INDEX('Coverage Indicators - Section D'!G$1:G$100,MATCH($A62,'Coverage Indicators - Section D'!$A$1:$A$100,0)),""),"")</f>
        <v>2022</v>
      </c>
      <c r="D72"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72"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72"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72"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72"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72"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72"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72"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72" s="86"/>
    </row>
    <row r="73" spans="1:12" s="97" customFormat="1" ht="18.75" customHeight="1" x14ac:dyDescent="0.25">
      <c r="A73" s="667"/>
      <c r="B73" s="93" t="s">
        <v>4386</v>
      </c>
      <c r="C73" s="95">
        <f>IFERROR(IF(INDEX('Coverage Indicators - Section D'!E$1:E$100,MATCH($A62,'Coverage Indicators - Section D'!$A$1:$A$100,0))&lt;&gt;"",INDEX('Coverage Indicators - Section D'!E$1:E$100,MATCH($A62,'Coverage Indicators - Section D'!$A$1:$A$100,0)),""),"")</f>
        <v>297</v>
      </c>
      <c r="D73" s="95">
        <f>IFERROR(IF(INDEX('Coverage Indicators - Section D'!N$1:N$100,MATCH($A62,'Coverage Indicators - Section D'!$A$1:$A$100,0))&lt;&gt;"",INDEX('Coverage Indicators - Section D'!N$1:N$100,MATCH($A62,'Coverage Indicators - Section D'!$A$1:$A$100,0)),""),"")</f>
        <v>297</v>
      </c>
      <c r="E73" s="95">
        <f>IFERROR(IF(INDEX('Coverage Indicators - Section D'!Q$1:Q$100,MATCH($A62,'Coverage Indicators - Section D'!$A$1:$A$100,0))&lt;&gt;"",INDEX('Coverage Indicators - Section D'!Q$1:Q$100,MATCH($A62,'Coverage Indicators - Section D'!$A$1:$A$100,0)),""),"")</f>
        <v>297</v>
      </c>
      <c r="F73" s="95">
        <f>IFERROR(IF(INDEX('Coverage Indicators - Section D'!T$1:T$100,MATCH($A62,'Coverage Indicators - Section D'!$A$1:$A$100,0))&lt;&gt;"",INDEX('Coverage Indicators - Section D'!T$1:T$100,MATCH($A62,'Coverage Indicators - Section D'!$A$1:$A$100,0)),""),"")</f>
        <v>297</v>
      </c>
      <c r="G73" s="95" t="str">
        <f>IFERROR(IF(INDEX('Coverage Indicators - Section D'!W$1:W$100,MATCH($A62,'Coverage Indicators - Section D'!$A$1:$A$100,0))&lt;&gt;"",INDEX('Coverage Indicators - Section D'!W$1:W$100,MATCH($A62,'Coverage Indicators - Section D'!$A$1:$A$100,0)),""),"")</f>
        <v/>
      </c>
      <c r="H73" s="95" t="str">
        <f>IFERROR(IF(INDEX('Coverage Indicators - Section D'!Z$1:Z$100,MATCH($A62,'Coverage Indicators - Section D'!$A$1:$A$100,0))&lt;&gt;"",INDEX('Coverage Indicators - Section D'!Z$1:Z$100,MATCH($A62,'Coverage Indicators - Section D'!$A$1:$A$100,0)),""),"")</f>
        <v/>
      </c>
      <c r="I73" s="95" t="str">
        <f>IFERROR(IF(INDEX('Coverage Indicators - Section D'!AC$1:AC$100,MATCH($A62,'Coverage Indicators - Section D'!$A$1:$A$100,0))&lt;&gt;"",INDEX('Coverage Indicators - Section D'!AC$1:AC$100,MATCH($A62,'Coverage Indicators - Section D'!$A$1:$A$100,0)),""),"")</f>
        <v/>
      </c>
      <c r="J73" s="95" t="str">
        <f>IFERROR(IF(INDEX('Coverage Indicators - Section D'!AF$1:AF$100,MATCH($A62,'Coverage Indicators - Section D'!$A$1:$A$100,0))&lt;&gt;"",INDEX('Coverage Indicators - Section D'!AF$1:AF$100,MATCH($A62,'Coverage Indicators - Section D'!$A$1:$A$100,0)),""),"")</f>
        <v/>
      </c>
      <c r="K73" s="95" t="str">
        <f>IFERROR(IF(INDEX('Coverage Indicators - Section D'!AI$1:AI$100,MATCH($A62,'Coverage Indicators - Section D'!$A$1:$A$100,0))&lt;&gt;"",INDEX('Coverage Indicators - Section D'!AI$1:AI$100,MATCH($A62,'Coverage Indicators - Section D'!$A$1:$A$100,0)),""),"")</f>
        <v/>
      </c>
      <c r="L73" s="96"/>
    </row>
    <row r="74" spans="1:12" s="100" customFormat="1" ht="18.75" customHeight="1" x14ac:dyDescent="0.25">
      <c r="A74" s="667"/>
      <c r="B74" s="93" t="s">
        <v>4387</v>
      </c>
      <c r="C74" s="98">
        <f>IFERROR(IF(INDEX('Coverage Indicators - Section D'!E$1:E$100,MATCH($A62,'Coverage Indicators - Section D'!$A$1:$A$100,0)+1)&lt;&gt;"",INDEX('Coverage Indicators - Section D'!E$1:E$100,MATCH($A62,'Coverage Indicators - Section D'!$A$1:$A$100,0)+1),""),"")</f>
        <v>300</v>
      </c>
      <c r="D74" s="98">
        <f>IFERROR(IF(INDEX('Coverage Indicators - Section D'!N$1:N$100,MATCH($A62,'Coverage Indicators - Section D'!$A$1:$A$100,0)+1)&lt;&gt;"",INDEX('Coverage Indicators - Section D'!N$1:N$100,MATCH($A62,'Coverage Indicators - Section D'!$A$1:$A$100,0)+1),""),"")</f>
        <v>300</v>
      </c>
      <c r="E74" s="98">
        <f>IFERROR(IF(INDEX('Coverage Indicators - Section D'!Q$1:Q$100,MATCH($A62,'Coverage Indicators - Section D'!$A$1:$A$100,0)+1)&lt;&gt;"",INDEX('Coverage Indicators - Section D'!Q$1:Q$100,MATCH($A62,'Coverage Indicators - Section D'!$A$1:$A$100,0)+1),""),"")</f>
        <v>300</v>
      </c>
      <c r="F74" s="98">
        <f>IFERROR(IF(INDEX('Coverage Indicators - Section D'!T$1:T$100,MATCH($A62,'Coverage Indicators - Section D'!$A$1:$A$100,0)+1)&lt;&gt;"",INDEX('Coverage Indicators - Section D'!T$1:T$100,MATCH($A62,'Coverage Indicators - Section D'!$A$1:$A$100,0)+1),""),"")</f>
        <v>300</v>
      </c>
      <c r="G74" s="98" t="str">
        <f>IFERROR(IF(INDEX('Coverage Indicators - Section D'!W$1:W$100,MATCH($A62,'Coverage Indicators - Section D'!$A$1:$A$100,0)+1)&lt;&gt;"",INDEX('Coverage Indicators - Section D'!W$1:W$100,MATCH($A62,'Coverage Indicators - Section D'!$A$1:$A$100,0)+1),""),"")</f>
        <v/>
      </c>
      <c r="H74" s="98" t="str">
        <f>IFERROR(IF(INDEX('Coverage Indicators - Section D'!Z$1:Z$100,MATCH($A62,'Coverage Indicators - Section D'!$A$1:$A$100,0)+1)&lt;&gt;"",INDEX('Coverage Indicators - Section D'!Z$1:Z$100,MATCH($A62,'Coverage Indicators - Section D'!$A$1:$A$100,0)+1),""),"")</f>
        <v/>
      </c>
      <c r="I74" s="98" t="str">
        <f>IFERROR(IF(INDEX('Coverage Indicators - Section D'!AC$1:AC$100,MATCH($A62,'Coverage Indicators - Section D'!$A$1:$A$100,0)+1)&lt;&gt;"",INDEX('Coverage Indicators - Section D'!AC$1:AC$100,MATCH($A62,'Coverage Indicators - Section D'!$A$1:$A$100,0)+1),""),"")</f>
        <v/>
      </c>
      <c r="J74" s="98" t="str">
        <f>IFERROR(IF(INDEX('Coverage Indicators - Section D'!AF$1:AF$100,MATCH($A62,'Coverage Indicators - Section D'!$A$1:$A$100,0)+1)&lt;&gt;"",INDEX('Coverage Indicators - Section D'!AF$1:AF$100,MATCH($A62,'Coverage Indicators - Section D'!$A$1:$A$100,0)+1),""),"")</f>
        <v/>
      </c>
      <c r="K74" s="98" t="str">
        <f>IFERROR(IF(INDEX('Coverage Indicators - Section D'!AI$1:AI$100,MATCH($A62,'Coverage Indicators - Section D'!$A$1:$A$100,0)+1)&lt;&gt;"",INDEX('Coverage Indicators - Section D'!AI$1:AI$100,MATCH($A62,'Coverage Indicators - Section D'!$A$1:$A$100,0)+1),""),"")</f>
        <v/>
      </c>
      <c r="L74" s="99"/>
    </row>
    <row r="75" spans="1:12" ht="18.75" customHeight="1" x14ac:dyDescent="0.25">
      <c r="A75" s="667"/>
      <c r="B75" s="93" t="s">
        <v>4388</v>
      </c>
      <c r="C75" s="94" t="str">
        <f ca="1">IFERROR(IF(INDEX('Coverage Indicators - Section D'!F$1:F$100,MATCH($A62,'Coverage Indicators - Section D'!$A$1:$A$100,0))&lt;&gt;"",FIXED(INDEX('Coverage Indicators - Section D'!F$1:F$100,MATCH($A62,'Coverage Indicators - Section D'!$A$1:$A$100,0))*100,2)&amp;"%",""),"")</f>
        <v>99,00%</v>
      </c>
      <c r="D75" s="94" t="str">
        <f ca="1">IFERROR(IF(INDEX('Coverage Indicators - Section D'!O$1:O$100,MATCH($A62,'Coverage Indicators - Section D'!$A$1:$A$100,0))&lt;&gt;"",FIXED(INDEX('Coverage Indicators - Section D'!O$1:O$100,MATCH($A62,'Coverage Indicators - Section D'!$A$1:$A$100,0))*100,2)&amp;"%",""),"")&amp;CHAR(10)&amp;IFERROR(IF(INDEX('Coverage Indicators - Section D'!P$1:P$100,MATCH($A62,'Coverage Indicators - Section D'!$A$1:$A$100,0))&lt;&gt;"",INDEX('Coverage Indicators - Section D'!P$1:P$100,MATCH($A62,'Coverage Indicators - Section D'!$A$1:$A$100,0)),""),"")</f>
        <v xml:space="preserve">99,00%
</v>
      </c>
      <c r="E75" s="94" t="str">
        <f ca="1">IFERROR(IF(INDEX('Coverage Indicators - Section D'!R$1:R$100,MATCH($A62,'Coverage Indicators - Section D'!$A$1:$A$100,0))&lt;&gt;"",FIXED(INDEX('Coverage Indicators - Section D'!R$1:R$100,MATCH($A62,'Coverage Indicators - Section D'!$A$1:$A$100,0))*100,2)&amp;"%",""),"")&amp;CHAR(10)&amp;IFERROR(IF(INDEX('Coverage Indicators - Section D'!S$1:S$100,MATCH($A62,'Coverage Indicators - Section D'!$A$1:$A$100,0))&lt;&gt;"",INDEX('Coverage Indicators - Section D'!S$1:S$100,MATCH($A62,'Coverage Indicators - Section D'!$A$1:$A$100,0)),""),"")</f>
        <v xml:space="preserve">99,00%
</v>
      </c>
      <c r="F75" s="94" t="str">
        <f ca="1">IFERROR(IF(INDEX('Coverage Indicators - Section D'!U$1:U$100,MATCH($A62,'Coverage Indicators - Section D'!$A$1:$A$100,0))&lt;&gt;"",FIXED(INDEX('Coverage Indicators - Section D'!U$1:U$100,MATCH($A62,'Coverage Indicators - Section D'!$A$1:$A$100,0))*100,2)&amp;"%",""),"")&amp;CHAR(10)&amp;IFERROR(IF(INDEX('Coverage Indicators - Section D'!V$1:V$100,MATCH($A62,'Coverage Indicators - Section D'!$A$1:$A$100,0))&lt;&gt;"",INDEX('Coverage Indicators - Section D'!V$1:V$100,MATCH($A62,'Coverage Indicators - Section D'!$A$1:$A$100,0)),""),"")</f>
        <v xml:space="preserve">99,00%
</v>
      </c>
      <c r="G75" s="94" t="str">
        <f ca="1">IFERROR(IF(INDEX('Coverage Indicators - Section D'!X$1:X$100,MATCH($A62,'Coverage Indicators - Section D'!$A$1:$A$100,0))&lt;&gt;"",FIXED(INDEX('Coverage Indicators - Section D'!X$1:X$100,MATCH($A62,'Coverage Indicators - Section D'!$A$1:$A$100,0))*100,2)&amp;"%",""),"")&amp;CHAR(10)&amp;IFERROR(IF(INDEX('Coverage Indicators - Section D'!Y$1:Y$100,MATCH($A62,'Coverage Indicators - Section D'!$A$1:$A$100,0))&lt;&gt;"",INDEX('Coverage Indicators - Section D'!Y$1:Y$100,MATCH($A62,'Coverage Indicators - Section D'!$A$1:$A$100,0)),""),"")</f>
        <v xml:space="preserve">
</v>
      </c>
      <c r="H75" s="94" t="str">
        <f ca="1">IFERROR(IF(INDEX('Coverage Indicators - Section D'!AA$1:AA$100,MATCH(A62,'Coverage Indicators - Section D'!$A$1:$A$100,0))&lt;&gt;"",FIXED(INDEX('Coverage Indicators - Section D'!AA$1:AA$100,MATCH($A62,'Coverage Indicators - Section D'!$A$1:$A$100,0))*100,2)&amp;"%",""),"")&amp;CHAR(10)&amp;IFERROR(IF(INDEX('Coverage Indicators - Section D'!AB$1:AB$100,MATCH($A62,'Coverage Indicators - Section D'!$A$1:$A$100,0))&lt;&gt;"",INDEX('Coverage Indicators - Section D'!AB$1:AB$100,MATCH($A62,'Coverage Indicators - Section D'!$A$1:$A$100,0)),""),"")</f>
        <v xml:space="preserve">
</v>
      </c>
      <c r="I75" s="94" t="str">
        <f ca="1">IFERROR(IF(INDEX('Coverage Indicators - Section D'!AD$1:AD$100,MATCH($A62,'Coverage Indicators - Section D'!$A$1:$A$100,0))&lt;&gt;"",FIXED(INDEX('Coverage Indicators - Section D'!AD$1:AD$100,MATCH($A62,'Coverage Indicators - Section D'!$A$1:$A$100,0))*100,2)&amp;"%",""),"")&amp;CHAR(10)&amp;IFERROR(IF(INDEX('Coverage Indicators - Section D'!AE$1:AE$100,MATCH($A62,'Coverage Indicators - Section D'!$A$1:$A$100,0))&lt;&gt;"",INDEX('Coverage Indicators - Section D'!AE$1:AE$100,MATCH($A62,'Coverage Indicators - Section D'!$A$1:$A$100,0)),""),"")</f>
        <v xml:space="preserve">
</v>
      </c>
      <c r="J75" s="94" t="str">
        <f ca="1">IFERROR(IF(INDEX('Coverage Indicators - Section D'!AG$1:AG$100,MATCH($A62,'Coverage Indicators - Section D'!$A$1:$A$100,0))&lt;&gt;"",FIXED(INDEX('Coverage Indicators - Section D'!AG$1:AG$100,MATCH($A62,'Coverage Indicators - Section D'!$A$1:$A$100,0))*100,2)&amp;"%",""),"")&amp;CHAR(10)&amp;IFERROR(IF(INDEX('Coverage Indicators - Section D'!AH$1:AH$100,MATCH($A62,'Coverage Indicators - Section D'!$A$1:$A$100,0))&lt;&gt;"",INDEX('Coverage Indicators - Section D'!AH$1:AH$100,MATCH($A62,'Coverage Indicators - Section D'!$A$1:$A$100,0)),""),"")</f>
        <v xml:space="preserve">
</v>
      </c>
      <c r="K75" s="94" t="str">
        <f ca="1">IFERROR(IF(INDEX('Coverage Indicators - Section D'!AJ$1:AJ$100,MATCH($A62,'Coverage Indicators - Section D'!$A$1:$A$100,0))&lt;&gt;"",FIXED(INDEX('Coverage Indicators - Section D'!AJ$1:AJ$100,MATCH($A62,'Coverage Indicators - Section D'!$A$1:$A$100,0))*100,2)&amp;"%",""),"")&amp;CHAR(10)&amp;IFERROR(IF(INDEX('Coverage Indicators - Section D'!AK$1:AK$100,MATCH($A62,'Coverage Indicators - Section D'!$A$1:$A$100,0))&lt;&gt;"",INDEX('Coverage Indicators - Section D'!AK$1:AK$100,MATCH($A62,'Coverage Indicators - Section D'!$A$1:$A$100,0)),""),"")</f>
        <v xml:space="preserve">
</v>
      </c>
      <c r="L75" s="86"/>
    </row>
    <row r="76" spans="1:12" ht="18.75" customHeight="1" x14ac:dyDescent="0.25">
      <c r="A76" s="667"/>
      <c r="B76" s="660" t="s">
        <v>176</v>
      </c>
      <c r="C76" s="661"/>
      <c r="D76" s="661"/>
      <c r="E76" s="661"/>
      <c r="F76" s="661"/>
      <c r="G76" s="661"/>
      <c r="H76" s="661"/>
      <c r="I76" s="661"/>
      <c r="J76" s="661"/>
      <c r="K76" s="662"/>
      <c r="L76" s="86"/>
    </row>
    <row r="77" spans="1:12" ht="18.75" customHeight="1" x14ac:dyDescent="0.25">
      <c r="A77" s="667"/>
      <c r="B77" s="669" t="str">
        <f>IFERROR(IF(INDEX('Coverage Indicators - Section D'!AL$1:AL$110,MATCH($A62,'Coverage Indicators - Section D'!$A$1:$A$110,0))&lt;&gt;0,INDEX('Coverage Indicators - Section D'!AL$1:AL$110,MATCH($A62,'Coverage Indicators - Section D'!$A$1:$A$110,0)),""),"")</f>
        <v>In the denominator program data on coverage of TG people in the framework of UNDP/GF project for 2022, there is no estimated data on the number of TG people in the country. In 2022 there was an attempt to conduct IBBS among TG people (RDS was used), but 56 TG people took part in IBBS and did not reach convergence.                                                               Numerator: Number of clients of the organization (UIC) who received at least once the minimal package of services (condoms and information component (IEM and/or counseling) during the reporting period. The results will also include those who received a minimum package of services through the online platform. For 1 year of implementation the minimum package through the online platform is 10% of the total coverage, the second year-15%, the third year-20%. Denumerator: Number of TG people in the project. In this cycle, there was no separate indicator for the TG group, TG people were in MSM coverage.</v>
      </c>
      <c r="C77" s="670"/>
      <c r="D77" s="670"/>
      <c r="E77" s="670"/>
      <c r="F77" s="670"/>
      <c r="G77" s="670"/>
      <c r="H77" s="670"/>
      <c r="I77" s="670"/>
      <c r="J77" s="670"/>
      <c r="K77" s="671"/>
      <c r="L77" s="86"/>
    </row>
    <row r="78" spans="1:12" ht="18.75" customHeight="1" x14ac:dyDescent="0.25">
      <c r="A78" s="667"/>
      <c r="B78" s="672"/>
      <c r="C78" s="673"/>
      <c r="D78" s="673"/>
      <c r="E78" s="673"/>
      <c r="F78" s="673"/>
      <c r="G78" s="673"/>
      <c r="H78" s="673"/>
      <c r="I78" s="673"/>
      <c r="J78" s="673"/>
      <c r="K78" s="674"/>
      <c r="L78" s="86"/>
    </row>
    <row r="79" spans="1:12" ht="18.75" customHeight="1" x14ac:dyDescent="0.25">
      <c r="A79" s="667"/>
      <c r="B79" s="672"/>
      <c r="C79" s="673"/>
      <c r="D79" s="673"/>
      <c r="E79" s="673"/>
      <c r="F79" s="673"/>
      <c r="G79" s="673"/>
      <c r="H79" s="673"/>
      <c r="I79" s="673"/>
      <c r="J79" s="673"/>
      <c r="K79" s="674"/>
      <c r="L79" s="86"/>
    </row>
    <row r="80" spans="1:12" ht="18.75" customHeight="1" x14ac:dyDescent="0.25">
      <c r="A80" s="667"/>
      <c r="B80" s="672"/>
      <c r="C80" s="673"/>
      <c r="D80" s="673"/>
      <c r="E80" s="673"/>
      <c r="F80" s="673"/>
      <c r="G80" s="673"/>
      <c r="H80" s="673"/>
      <c r="I80" s="673"/>
      <c r="J80" s="673"/>
      <c r="K80" s="674"/>
      <c r="L80" s="86"/>
    </row>
    <row r="81" spans="1:12" ht="18.75" customHeight="1" x14ac:dyDescent="0.25">
      <c r="A81" s="667"/>
      <c r="B81" s="672"/>
      <c r="C81" s="673"/>
      <c r="D81" s="673"/>
      <c r="E81" s="673"/>
      <c r="F81" s="673"/>
      <c r="G81" s="673"/>
      <c r="H81" s="673"/>
      <c r="I81" s="673"/>
      <c r="J81" s="673"/>
      <c r="K81" s="674"/>
      <c r="L81" s="86"/>
    </row>
    <row r="82" spans="1:12" ht="18.75" customHeight="1" x14ac:dyDescent="0.25">
      <c r="A82" s="667"/>
      <c r="B82" s="672"/>
      <c r="C82" s="673"/>
      <c r="D82" s="673"/>
      <c r="E82" s="673"/>
      <c r="F82" s="673"/>
      <c r="G82" s="673"/>
      <c r="H82" s="673"/>
      <c r="I82" s="673"/>
      <c r="J82" s="673"/>
      <c r="K82" s="674"/>
      <c r="L82" s="86"/>
    </row>
    <row r="83" spans="1:12" ht="18.75" customHeight="1" x14ac:dyDescent="0.25">
      <c r="A83" s="667"/>
      <c r="B83" s="672"/>
      <c r="C83" s="673"/>
      <c r="D83" s="673"/>
      <c r="E83" s="673"/>
      <c r="F83" s="673"/>
      <c r="G83" s="673"/>
      <c r="H83" s="673"/>
      <c r="I83" s="673"/>
      <c r="J83" s="673"/>
      <c r="K83" s="674"/>
      <c r="L83" s="86"/>
    </row>
    <row r="84" spans="1:12" ht="18.75" customHeight="1" x14ac:dyDescent="0.25">
      <c r="A84" s="667"/>
      <c r="B84" s="672"/>
      <c r="C84" s="673"/>
      <c r="D84" s="673"/>
      <c r="E84" s="673"/>
      <c r="F84" s="673"/>
      <c r="G84" s="673"/>
      <c r="H84" s="673"/>
      <c r="I84" s="673"/>
      <c r="J84" s="673"/>
      <c r="K84" s="674"/>
      <c r="L84" s="86"/>
    </row>
    <row r="85" spans="1:12" ht="18.75" customHeight="1" x14ac:dyDescent="0.25">
      <c r="A85" s="667"/>
      <c r="B85" s="672"/>
      <c r="C85" s="673"/>
      <c r="D85" s="673"/>
      <c r="E85" s="673"/>
      <c r="F85" s="673"/>
      <c r="G85" s="673"/>
      <c r="H85" s="673"/>
      <c r="I85" s="673"/>
      <c r="J85" s="673"/>
      <c r="K85" s="674"/>
      <c r="L85" s="86"/>
    </row>
    <row r="86" spans="1:12" ht="18.75" customHeight="1" x14ac:dyDescent="0.25">
      <c r="A86" s="668"/>
      <c r="B86" s="675"/>
      <c r="C86" s="676"/>
      <c r="D86" s="676"/>
      <c r="E86" s="676"/>
      <c r="F86" s="676"/>
      <c r="G86" s="676"/>
      <c r="H86" s="676"/>
      <c r="I86" s="676"/>
      <c r="J86" s="676"/>
      <c r="K86" s="677"/>
      <c r="L86" s="86"/>
    </row>
    <row r="87" spans="1:12" ht="18.75" customHeight="1" x14ac:dyDescent="0.25">
      <c r="A87" s="660"/>
      <c r="B87" s="661"/>
      <c r="C87" s="661"/>
      <c r="D87" s="661"/>
      <c r="E87" s="661"/>
      <c r="F87" s="661"/>
      <c r="G87" s="661"/>
      <c r="H87" s="661"/>
      <c r="I87" s="661"/>
      <c r="J87" s="661"/>
      <c r="K87" s="662"/>
      <c r="L87" s="86"/>
    </row>
    <row r="89" spans="1:12" ht="18.75" customHeight="1" x14ac:dyDescent="0.25">
      <c r="A89" s="93" t="s">
        <v>4383</v>
      </c>
      <c r="B89" s="660" t="s">
        <v>1046</v>
      </c>
      <c r="C89" s="662"/>
      <c r="D89" s="663" t="str">
        <f>IFERROR(IF(INDEX('Coverage Indicators - Section D'!B$1:B$100,MATCH($A90,'Coverage Indicators - Section D'!$A$1:$A$100,0))&lt;&gt;0,INDEX('Coverage Indicators - Section D'!B$1:B$100,MATCH($A90,'Coverage Indicators - Section D'!$A$1:$A$100,0)),""),"")</f>
        <v>Prevention package for people who use drugs (PUD) and their sexual partners</v>
      </c>
      <c r="E89" s="664"/>
      <c r="F89" s="664"/>
      <c r="G89" s="664"/>
      <c r="H89" s="664"/>
      <c r="I89" s="664"/>
      <c r="J89" s="664"/>
      <c r="K89" s="665"/>
      <c r="L89" s="86"/>
    </row>
    <row r="90" spans="1:12" ht="18.75" customHeight="1" x14ac:dyDescent="0.25">
      <c r="A90" s="666">
        <v>4</v>
      </c>
      <c r="B90" s="660" t="s">
        <v>738</v>
      </c>
      <c r="C90" s="661"/>
      <c r="D90" s="661"/>
      <c r="E90" s="661"/>
      <c r="F90" s="662"/>
      <c r="G90" s="660" t="s">
        <v>739</v>
      </c>
      <c r="H90" s="661"/>
      <c r="I90" s="661"/>
      <c r="J90" s="661"/>
      <c r="K90" s="662"/>
      <c r="L90" s="86"/>
    </row>
    <row r="91" spans="1:12" ht="18.75" customHeight="1" x14ac:dyDescent="0.25">
      <c r="A91" s="667"/>
      <c r="B91" s="669" t="str">
        <f>IFERROR(IF(INDEX('Coverage Indicators - Section D'!C$1:C$100,MATCH($A90,'Coverage Indicators - Section D'!$A$1:$A$100,0))&lt;&gt;0,INDEX('Coverage Indicators - Section D'!C$1:C$100,MATCH($A90,'Coverage Indicators - Section D'!$A$1:$A$100,0)),""),"")</f>
        <v>KP-1d⁽ᴹ⁾ Percentage of people who inject drugs reached with HIV prevention programs - defined package of services</v>
      </c>
      <c r="C91" s="670"/>
      <c r="D91" s="670"/>
      <c r="E91" s="670"/>
      <c r="F91" s="671"/>
      <c r="G91" s="669" t="str">
        <f>IFERROR(IF(INDEX('Coverage Indicators - Section D'!D$1:D$100,MATCH($A90,'Coverage Indicators - Section D'!$A$1:$A$100,0))&lt;&gt;0,INDEX('Coverage Indicators - Section D'!D$1:D$100,MATCH($A90,'Coverage Indicators - Section D'!$A$1:$A$100,0)),""),"")</f>
        <v/>
      </c>
      <c r="H91" s="670"/>
      <c r="I91" s="670"/>
      <c r="J91" s="670"/>
      <c r="K91" s="671"/>
      <c r="L91" s="86"/>
    </row>
    <row r="92" spans="1:12" ht="18.75" customHeight="1" x14ac:dyDescent="0.25">
      <c r="A92" s="667"/>
      <c r="B92" s="672"/>
      <c r="C92" s="673"/>
      <c r="D92" s="673"/>
      <c r="E92" s="673"/>
      <c r="F92" s="674"/>
      <c r="G92" s="672"/>
      <c r="H92" s="673"/>
      <c r="I92" s="673"/>
      <c r="J92" s="673"/>
      <c r="K92" s="674"/>
      <c r="L92" s="86"/>
    </row>
    <row r="93" spans="1:12" ht="18.75" customHeight="1" x14ac:dyDescent="0.25">
      <c r="A93" s="667"/>
      <c r="B93" s="675"/>
      <c r="C93" s="676"/>
      <c r="D93" s="676"/>
      <c r="E93" s="676"/>
      <c r="F93" s="677"/>
      <c r="G93" s="675"/>
      <c r="H93" s="676"/>
      <c r="I93" s="676"/>
      <c r="J93" s="676"/>
      <c r="K93" s="677"/>
      <c r="L93" s="86"/>
    </row>
    <row r="94" spans="1:12" ht="18.75" customHeight="1" x14ac:dyDescent="0.25">
      <c r="A94" s="667"/>
      <c r="B94" s="660" t="s">
        <v>742</v>
      </c>
      <c r="C94" s="661"/>
      <c r="D94" s="662"/>
      <c r="E94" s="660" t="s">
        <v>216</v>
      </c>
      <c r="F94" s="661"/>
      <c r="G94" s="662"/>
      <c r="H94" s="660" t="s">
        <v>127</v>
      </c>
      <c r="I94" s="661"/>
      <c r="J94" s="662"/>
      <c r="K94" s="93" t="s">
        <v>2175</v>
      </c>
      <c r="L94" s="86"/>
    </row>
    <row r="95" spans="1:12" ht="18.75" customHeight="1" x14ac:dyDescent="0.25">
      <c r="A95" s="667"/>
      <c r="B95" s="663" t="str">
        <f>IFERROR(IF(INDEX('Coverage Indicators - Section D'!I$9:I$68,MATCH($A90,'Coverage Indicators - Section D'!$A$9:$A$68,0))&lt;&gt;0,INDEX('Coverage Indicators - Section D'!I$9:I$68,MATCH($A90,'Coverage Indicators - Section D'!$A$9:$A$68,0)),""),"")</f>
        <v>Gender,Age</v>
      </c>
      <c r="C95" s="664"/>
      <c r="D95" s="665"/>
      <c r="E95" s="663" t="str">
        <f>IFERROR(IF(INDEX('Coverage Indicators - Section D'!M$1:M$100,MATCH($A90,'Coverage Indicators - Section D'!$A$1:$A$100,0))&lt;&gt;0,INDEX('Coverage Indicators - Section D'!M$1:M$100,MATCH($A90,'Coverage Indicators - Section D'!$A$1:$A$100,0)),""),"")</f>
        <v/>
      </c>
      <c r="F95" s="664"/>
      <c r="G95" s="665"/>
      <c r="H95" s="663" t="str">
        <f>IFERROR(IF(INDEX('Coverage Indicators - Section D'!L$1:L$100,MATCH($A90,'Coverage Indicators - Section D'!$A$1:$A$100,0))&lt;&gt;0,INDEX('Coverage Indicators - Section D'!L$1:L$100,MATCH($A90,'Coverage Indicators - Section D'!$A$1:$A$100,0)),""),"")</f>
        <v/>
      </c>
      <c r="I95" s="664"/>
      <c r="J95" s="665"/>
      <c r="K95" s="94" t="str">
        <f>IFERROR(IF(INDEX('Coverage Indicators - Section D'!J$1:J$100,MATCH($A90,'Coverage Indicators - Section D'!$A$1:$A$100,0))&lt;&gt;0,INDEX('Coverage Indicators - Section D'!J$1:J$100,MATCH($A90,'Coverage Indicators - Section D'!$A$1:$A$100,0)),""),"")</f>
        <v>Yes</v>
      </c>
      <c r="L95" s="86"/>
    </row>
    <row r="96" spans="1:12" ht="18.75" customHeight="1" x14ac:dyDescent="0.25">
      <c r="A96" s="667"/>
      <c r="B96" s="660" t="s">
        <v>199</v>
      </c>
      <c r="C96" s="661"/>
      <c r="D96" s="662"/>
      <c r="E96" s="660" t="s">
        <v>4392</v>
      </c>
      <c r="F96" s="661"/>
      <c r="G96" s="662"/>
      <c r="H96" s="660" t="s">
        <v>120</v>
      </c>
      <c r="I96" s="661"/>
      <c r="J96" s="661"/>
      <c r="K96" s="662"/>
      <c r="L96" s="86"/>
    </row>
    <row r="97" spans="1:12" ht="18.75" customHeight="1" x14ac:dyDescent="0.25">
      <c r="A97" s="667"/>
      <c r="B97" s="669" t="str">
        <f>IFERROR(IF(INDEX('Coverage Indicators - Section D'!H$1:H$100,MATCH($A90,'Coverage Indicators - Section D'!$A$1:$A$100,0))&lt;&gt;0,INDEX('Coverage Indicators - Section D'!H$1:H$100,MATCH($A90,'Coverage Indicators - Section D'!$A$1:$A$100,0)),""),"")</f>
        <v>Administrative reports</v>
      </c>
      <c r="C97" s="670"/>
      <c r="D97" s="671"/>
      <c r="E97" s="669" t="str">
        <f>IFERROR(IF(INDEX('Coverage Indicators - Section D'!L$1:L$100,MATCH($A90,'Coverage Indicators - Section D'!$A$1:$A$100,0)+1)&lt;&gt;0,INDEX('Coverage Indicators - Section D'!L$1:L$100,MATCH($A90,'Coverage Indicators - Section D'!$A$1:$A$100,0)+1),""),"")</f>
        <v>Geographic National, 100% of national program target</v>
      </c>
      <c r="F97" s="670"/>
      <c r="G97" s="671"/>
      <c r="H97" s="669" t="str">
        <f>IFERROR(IF(AND('Overview - Section A'!AS$1="Grant Making",OR(B91&lt;&gt;"",G91&lt;&gt;"")),Setup!I99,IF(INDEX('Coverage Indicators - Section D'!K$1:K$100,MATCH($A90,'Coverage Indicators - Section D'!$A$1:$A$100,0))&lt;&gt;0,INDEX('Coverage Indicators - Section D'!K$1:K$100,MATCH($A90,'Coverage Indicators - Section D'!$A$1:$A$100,0)),"")),"")</f>
        <v>United Nations Development Programme</v>
      </c>
      <c r="I97" s="670"/>
      <c r="J97" s="670"/>
      <c r="K97" s="671"/>
      <c r="L97" s="86"/>
    </row>
    <row r="98" spans="1:12" ht="18.75" customHeight="1" x14ac:dyDescent="0.25">
      <c r="A98" s="667"/>
      <c r="B98" s="675"/>
      <c r="C98" s="676"/>
      <c r="D98" s="677"/>
      <c r="E98" s="675"/>
      <c r="F98" s="676"/>
      <c r="G98" s="677"/>
      <c r="H98" s="675"/>
      <c r="I98" s="676"/>
      <c r="J98" s="676"/>
      <c r="K98" s="677"/>
      <c r="L98" s="86"/>
    </row>
    <row r="99" spans="1:12" ht="18.75" customHeight="1" x14ac:dyDescent="0.25">
      <c r="A99" s="667"/>
      <c r="B99" s="93"/>
      <c r="C99" s="93" t="s">
        <v>4384</v>
      </c>
      <c r="D99" s="660" t="s">
        <v>4385</v>
      </c>
      <c r="E99" s="661"/>
      <c r="F99" s="661"/>
      <c r="G99" s="661"/>
      <c r="H99" s="661"/>
      <c r="I99" s="661"/>
      <c r="J99" s="661"/>
      <c r="K99" s="662"/>
      <c r="L99" s="86"/>
    </row>
    <row r="100" spans="1:12" ht="18.75" customHeight="1" x14ac:dyDescent="0.25">
      <c r="A100" s="667"/>
      <c r="B100" s="93" t="s">
        <v>2559</v>
      </c>
      <c r="C100" s="94">
        <f>IFERROR(IF(INDEX('Coverage Indicators - Section D'!G$1:G$100,MATCH($A90,'Coverage Indicators - Section D'!$A$1:$A$100,0))&lt;&gt;0,INDEX('Coverage Indicators - Section D'!G$1:G$100,MATCH($A90,'Coverage Indicators - Section D'!$A$1:$A$100,0)),""),"")</f>
        <v>2022</v>
      </c>
      <c r="D100"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100"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100"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100"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100"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100"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100"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100"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100" s="86"/>
    </row>
    <row r="101" spans="1:12" s="97" customFormat="1" ht="18.75" customHeight="1" x14ac:dyDescent="0.25">
      <c r="A101" s="667"/>
      <c r="B101" s="93" t="s">
        <v>4386</v>
      </c>
      <c r="C101" s="95">
        <f>IFERROR(IF(INDEX('Coverage Indicators - Section D'!E$1:E$100,MATCH($A90,'Coverage Indicators - Section D'!$A$1:$A$100,0))&lt;&gt;"",INDEX('Coverage Indicators - Section D'!E$1:E$100,MATCH($A90,'Coverage Indicators - Section D'!$A$1:$A$100,0)),""),"")</f>
        <v>17379</v>
      </c>
      <c r="D101" s="95">
        <f>IFERROR(IF(INDEX('Coverage Indicators - Section D'!N$1:N$100,MATCH($A90,'Coverage Indicators - Section D'!$A$1:$A$100,0))&lt;&gt;"",INDEX('Coverage Indicators - Section D'!N$1:N$100,MATCH($A90,'Coverage Indicators - Section D'!$A$1:$A$100,0)),""),"")</f>
        <v>17379</v>
      </c>
      <c r="E101" s="95">
        <f>IFERROR(IF(INDEX('Coverage Indicators - Section D'!Q$1:Q$100,MATCH($A90,'Coverage Indicators - Section D'!$A$1:$A$100,0))&lt;&gt;"",INDEX('Coverage Indicators - Section D'!Q$1:Q$100,MATCH($A90,'Coverage Indicators - Section D'!$A$1:$A$100,0)),""),"")</f>
        <v>17379</v>
      </c>
      <c r="F101" s="95">
        <f>IFERROR(IF(INDEX('Coverage Indicators - Section D'!T$1:T$100,MATCH($A90,'Coverage Indicators - Section D'!$A$1:$A$100,0))&lt;&gt;"",INDEX('Coverage Indicators - Section D'!T$1:T$100,MATCH($A90,'Coverage Indicators - Section D'!$A$1:$A$100,0)),""),"")</f>
        <v>17379</v>
      </c>
      <c r="G101" s="95" t="str">
        <f>IFERROR(IF(INDEX('Coverage Indicators - Section D'!W$1:W$100,MATCH($A90,'Coverage Indicators - Section D'!$A$1:$A$100,0))&lt;&gt;"",INDEX('Coverage Indicators - Section D'!W$1:W$100,MATCH($A90,'Coverage Indicators - Section D'!$A$1:$A$100,0)),""),"")</f>
        <v/>
      </c>
      <c r="H101" s="95" t="str">
        <f>IFERROR(IF(INDEX('Coverage Indicators - Section D'!Z$1:Z$100,MATCH($A90,'Coverage Indicators - Section D'!$A$1:$A$100,0))&lt;&gt;"",INDEX('Coverage Indicators - Section D'!Z$1:Z$100,MATCH($A90,'Coverage Indicators - Section D'!$A$1:$A$100,0)),""),"")</f>
        <v/>
      </c>
      <c r="I101" s="95" t="str">
        <f>IFERROR(IF(INDEX('Coverage Indicators - Section D'!AC$1:AC$100,MATCH($A90,'Coverage Indicators - Section D'!$A$1:$A$100,0))&lt;&gt;"",INDEX('Coverage Indicators - Section D'!AC$1:AC$100,MATCH($A90,'Coverage Indicators - Section D'!$A$1:$A$100,0)),""),"")</f>
        <v/>
      </c>
      <c r="J101" s="95" t="str">
        <f>IFERROR(IF(INDEX('Coverage Indicators - Section D'!AF$1:AF$100,MATCH($A90,'Coverage Indicators - Section D'!$A$1:$A$100,0))&lt;&gt;"",INDEX('Coverage Indicators - Section D'!AF$1:AF$100,MATCH($A90,'Coverage Indicators - Section D'!$A$1:$A$100,0)),""),"")</f>
        <v/>
      </c>
      <c r="K101" s="95" t="str">
        <f>IFERROR(IF(INDEX('Coverage Indicators - Section D'!AI$1:AI$100,MATCH($A90,'Coverage Indicators - Section D'!$A$1:$A$100,0))&lt;&gt;"",INDEX('Coverage Indicators - Section D'!AI$1:AI$100,MATCH($A90,'Coverage Indicators - Section D'!$A$1:$A$100,0)),""),"")</f>
        <v/>
      </c>
      <c r="L101" s="96"/>
    </row>
    <row r="102" spans="1:12" s="100" customFormat="1" ht="18.75" customHeight="1" x14ac:dyDescent="0.25">
      <c r="A102" s="667"/>
      <c r="B102" s="93" t="s">
        <v>4387</v>
      </c>
      <c r="C102" s="98">
        <f>IFERROR(IF(INDEX('Coverage Indicators - Section D'!E$1:E$100,MATCH($A90,'Coverage Indicators - Section D'!$A$1:$A$100,0)+1)&lt;&gt;"",INDEX('Coverage Indicators - Section D'!E$1:E$100,MATCH($A90,'Coverage Indicators - Section D'!$A$1:$A$100,0)+1),""),"")</f>
        <v>17379</v>
      </c>
      <c r="D102" s="98">
        <f>IFERROR(IF(INDEX('Coverage Indicators - Section D'!N$1:N$100,MATCH($A90,'Coverage Indicators - Section D'!$A$1:$A$100,0)+1)&lt;&gt;"",INDEX('Coverage Indicators - Section D'!N$1:N$100,MATCH($A90,'Coverage Indicators - Section D'!$A$1:$A$100,0)+1),""),"")</f>
        <v>17379</v>
      </c>
      <c r="E102" s="98">
        <f>IFERROR(IF(INDEX('Coverage Indicators - Section D'!Q$1:Q$100,MATCH($A90,'Coverage Indicators - Section D'!$A$1:$A$100,0)+1)&lt;&gt;"",INDEX('Coverage Indicators - Section D'!Q$1:Q$100,MATCH($A90,'Coverage Indicators - Section D'!$A$1:$A$100,0)+1),""),"")</f>
        <v>17379</v>
      </c>
      <c r="F102" s="98">
        <f>IFERROR(IF(INDEX('Coverage Indicators - Section D'!T$1:T$100,MATCH($A90,'Coverage Indicators - Section D'!$A$1:$A$100,0)+1)&lt;&gt;"",INDEX('Coverage Indicators - Section D'!T$1:T$100,MATCH($A90,'Coverage Indicators - Section D'!$A$1:$A$100,0)+1),""),"")</f>
        <v>17379</v>
      </c>
      <c r="G102" s="98" t="str">
        <f>IFERROR(IF(INDEX('Coverage Indicators - Section D'!W$1:W$100,MATCH($A90,'Coverage Indicators - Section D'!$A$1:$A$100,0)+1)&lt;&gt;"",INDEX('Coverage Indicators - Section D'!W$1:W$100,MATCH($A90,'Coverage Indicators - Section D'!$A$1:$A$100,0)+1),""),"")</f>
        <v/>
      </c>
      <c r="H102" s="98" t="str">
        <f>IFERROR(IF(INDEX('Coverage Indicators - Section D'!Z$1:Z$100,MATCH($A90,'Coverage Indicators - Section D'!$A$1:$A$100,0)+1)&lt;&gt;"",INDEX('Coverage Indicators - Section D'!Z$1:Z$100,MATCH($A90,'Coverage Indicators - Section D'!$A$1:$A$100,0)+1),""),"")</f>
        <v/>
      </c>
      <c r="I102" s="98" t="str">
        <f>IFERROR(IF(INDEX('Coverage Indicators - Section D'!AC$1:AC$100,MATCH($A90,'Coverage Indicators - Section D'!$A$1:$A$100,0)+1)&lt;&gt;"",INDEX('Coverage Indicators - Section D'!AC$1:AC$100,MATCH($A90,'Coverage Indicators - Section D'!$A$1:$A$100,0)+1),""),"")</f>
        <v/>
      </c>
      <c r="J102" s="98" t="str">
        <f>IFERROR(IF(INDEX('Coverage Indicators - Section D'!AF$1:AF$100,MATCH($A90,'Coverage Indicators - Section D'!$A$1:$A$100,0)+1)&lt;&gt;"",INDEX('Coverage Indicators - Section D'!AF$1:AF$100,MATCH($A90,'Coverage Indicators - Section D'!$A$1:$A$100,0)+1),""),"")</f>
        <v/>
      </c>
      <c r="K102" s="98" t="str">
        <f>IFERROR(IF(INDEX('Coverage Indicators - Section D'!AI$1:AI$100,MATCH($A90,'Coverage Indicators - Section D'!$A$1:$A$100,0)+1)&lt;&gt;"",INDEX('Coverage Indicators - Section D'!AI$1:AI$100,MATCH($A90,'Coverage Indicators - Section D'!$A$1:$A$100,0)+1),""),"")</f>
        <v/>
      </c>
      <c r="L102" s="99"/>
    </row>
    <row r="103" spans="1:12" ht="18.75" customHeight="1" x14ac:dyDescent="0.25">
      <c r="A103" s="667"/>
      <c r="B103" s="93" t="s">
        <v>4388</v>
      </c>
      <c r="C103" s="94" t="str">
        <f ca="1">IFERROR(IF(INDEX('Coverage Indicators - Section D'!F$1:F$100,MATCH($A90,'Coverage Indicators - Section D'!$A$1:$A$100,0))&lt;&gt;"",FIXED(INDEX('Coverage Indicators - Section D'!F$1:F$100,MATCH($A90,'Coverage Indicators - Section D'!$A$1:$A$100,0))*100,2)&amp;"%",""),"")</f>
        <v>100,00%</v>
      </c>
      <c r="D103" s="94" t="str">
        <f ca="1">IFERROR(IF(INDEX('Coverage Indicators - Section D'!O$1:O$100,MATCH($A90,'Coverage Indicators - Section D'!$A$1:$A$100,0))&lt;&gt;"",FIXED(INDEX('Coverage Indicators - Section D'!O$1:O$100,MATCH($A90,'Coverage Indicators - Section D'!$A$1:$A$100,0))*100,2)&amp;"%",""),"")&amp;CHAR(10)&amp;IFERROR(IF(INDEX('Coverage Indicators - Section D'!P$1:P$100,MATCH($A90,'Coverage Indicators - Section D'!$A$1:$A$100,0))&lt;&gt;"",INDEX('Coverage Indicators - Section D'!P$1:P$100,MATCH($A90,'Coverage Indicators - Section D'!$A$1:$A$100,0)),""),"")</f>
        <v xml:space="preserve">100,00%
</v>
      </c>
      <c r="E103" s="94" t="str">
        <f ca="1">IFERROR(IF(INDEX('Coverage Indicators - Section D'!R$1:R$100,MATCH($A90,'Coverage Indicators - Section D'!$A$1:$A$100,0))&lt;&gt;"",FIXED(INDEX('Coverage Indicators - Section D'!R$1:R$100,MATCH($A90,'Coverage Indicators - Section D'!$A$1:$A$100,0))*100,2)&amp;"%",""),"")&amp;CHAR(10)&amp;IFERROR(IF(INDEX('Coverage Indicators - Section D'!S$1:S$100,MATCH($A90,'Coverage Indicators - Section D'!$A$1:$A$100,0))&lt;&gt;"",INDEX('Coverage Indicators - Section D'!S$1:S$100,MATCH($A90,'Coverage Indicators - Section D'!$A$1:$A$100,0)),""),"")</f>
        <v xml:space="preserve">100,00%
</v>
      </c>
      <c r="F103" s="94" t="str">
        <f ca="1">IFERROR(IF(INDEX('Coverage Indicators - Section D'!U$1:U$100,MATCH($A90,'Coverage Indicators - Section D'!$A$1:$A$100,0))&lt;&gt;"",FIXED(INDEX('Coverage Indicators - Section D'!U$1:U$100,MATCH($A90,'Coverage Indicators - Section D'!$A$1:$A$100,0))*100,2)&amp;"%",""),"")&amp;CHAR(10)&amp;IFERROR(IF(INDEX('Coverage Indicators - Section D'!V$1:V$100,MATCH($A90,'Coverage Indicators - Section D'!$A$1:$A$100,0))&lt;&gt;"",INDEX('Coverage Indicators - Section D'!V$1:V$100,MATCH($A90,'Coverage Indicators - Section D'!$A$1:$A$100,0)),""),"")</f>
        <v xml:space="preserve">100,00%
</v>
      </c>
      <c r="G103" s="94" t="str">
        <f ca="1">IFERROR(IF(INDEX('Coverage Indicators - Section D'!X$1:X$100,MATCH($A90,'Coverage Indicators - Section D'!$A$1:$A$100,0))&lt;&gt;"",FIXED(INDEX('Coverage Indicators - Section D'!X$1:X$100,MATCH($A90,'Coverage Indicators - Section D'!$A$1:$A$100,0))*100,2)&amp;"%",""),"")&amp;CHAR(10)&amp;IFERROR(IF(INDEX('Coverage Indicators - Section D'!Y$1:Y$100,MATCH($A90,'Coverage Indicators - Section D'!$A$1:$A$100,0))&lt;&gt;"",INDEX('Coverage Indicators - Section D'!Y$1:Y$100,MATCH($A90,'Coverage Indicators - Section D'!$A$1:$A$100,0)),""),"")</f>
        <v xml:space="preserve">
</v>
      </c>
      <c r="H103" s="94" t="str">
        <f ca="1">IFERROR(IF(INDEX('Coverage Indicators - Section D'!AA$1:AA$100,MATCH(A90,'Coverage Indicators - Section D'!$A$1:$A$100,0))&lt;&gt;"",FIXED(INDEX('Coverage Indicators - Section D'!AA$1:AA$100,MATCH($A90,'Coverage Indicators - Section D'!$A$1:$A$100,0))*100,2)&amp;"%",""),"")&amp;CHAR(10)&amp;IFERROR(IF(INDEX('Coverage Indicators - Section D'!AB$1:AB$100,MATCH($A90,'Coverage Indicators - Section D'!$A$1:$A$100,0))&lt;&gt;"",INDEX('Coverage Indicators - Section D'!AB$1:AB$100,MATCH($A90,'Coverage Indicators - Section D'!$A$1:$A$100,0)),""),"")</f>
        <v xml:space="preserve">
</v>
      </c>
      <c r="I103" s="94" t="str">
        <f ca="1">IFERROR(IF(INDEX('Coverage Indicators - Section D'!AD$1:AD$100,MATCH($A90,'Coverage Indicators - Section D'!$A$1:$A$100,0))&lt;&gt;"",FIXED(INDEX('Coverage Indicators - Section D'!AD$1:AD$100,MATCH($A90,'Coverage Indicators - Section D'!$A$1:$A$100,0))*100,2)&amp;"%",""),"")&amp;CHAR(10)&amp;IFERROR(IF(INDEX('Coverage Indicators - Section D'!AE$1:AE$100,MATCH($A90,'Coverage Indicators - Section D'!$A$1:$A$100,0))&lt;&gt;"",INDEX('Coverage Indicators - Section D'!AE$1:AE$100,MATCH($A90,'Coverage Indicators - Section D'!$A$1:$A$100,0)),""),"")</f>
        <v xml:space="preserve">
</v>
      </c>
      <c r="J103" s="94" t="str">
        <f ca="1">IFERROR(IF(INDEX('Coverage Indicators - Section D'!AG$1:AG$100,MATCH($A90,'Coverage Indicators - Section D'!$A$1:$A$100,0))&lt;&gt;"",FIXED(INDEX('Coverage Indicators - Section D'!AG$1:AG$100,MATCH($A90,'Coverage Indicators - Section D'!$A$1:$A$100,0))*100,2)&amp;"%",""),"")&amp;CHAR(10)&amp;IFERROR(IF(INDEX('Coverage Indicators - Section D'!AH$1:AH$100,MATCH($A90,'Coverage Indicators - Section D'!$A$1:$A$100,0))&lt;&gt;"",INDEX('Coverage Indicators - Section D'!AH$1:AH$100,MATCH($A90,'Coverage Indicators - Section D'!$A$1:$A$100,0)),""),"")</f>
        <v xml:space="preserve">
</v>
      </c>
      <c r="K103" s="94" t="str">
        <f ca="1">IFERROR(IF(INDEX('Coverage Indicators - Section D'!AJ$1:AJ$100,MATCH($A90,'Coverage Indicators - Section D'!$A$1:$A$100,0))&lt;&gt;"",FIXED(INDEX('Coverage Indicators - Section D'!AJ$1:AJ$100,MATCH($A90,'Coverage Indicators - Section D'!$A$1:$A$100,0))*100,2)&amp;"%",""),"")&amp;CHAR(10)&amp;IFERROR(IF(INDEX('Coverage Indicators - Section D'!AK$1:AK$100,MATCH($A90,'Coverage Indicators - Section D'!$A$1:$A$100,0))&lt;&gt;"",INDEX('Coverage Indicators - Section D'!AK$1:AK$100,MATCH($A90,'Coverage Indicators - Section D'!$A$1:$A$100,0)),""),"")</f>
        <v xml:space="preserve">
</v>
      </c>
      <c r="L103" s="86"/>
    </row>
    <row r="104" spans="1:12" ht="18.75" customHeight="1" x14ac:dyDescent="0.25">
      <c r="A104" s="667"/>
      <c r="B104" s="660" t="s">
        <v>176</v>
      </c>
      <c r="C104" s="661"/>
      <c r="D104" s="661"/>
      <c r="E104" s="661"/>
      <c r="F104" s="661"/>
      <c r="G104" s="661"/>
      <c r="H104" s="661"/>
      <c r="I104" s="661"/>
      <c r="J104" s="661"/>
      <c r="K104" s="662"/>
      <c r="L104" s="86"/>
    </row>
    <row r="105" spans="1:12" ht="18.75" customHeight="1" x14ac:dyDescent="0.25">
      <c r="A105" s="667"/>
      <c r="B105" s="669" t="str">
        <f>IFERROR(IF(INDEX('Coverage Indicators - Section D'!AL$1:AL$110,MATCH($A90,'Coverage Indicators - Section D'!$A$1:$A$110,0))&lt;&gt;0,INDEX('Coverage Indicators - Section D'!AL$1:AL$110,MATCH($A90,'Coverage Indicators - Section D'!$A$1:$A$110,0)),""),"")</f>
        <v xml:space="preserve">According to the 2021 PWID data, the estimate of the number of PWID in the country was 11,500, while the coverage of PWID by prevention programs was 17,379 for the year 2022. The denominator is program data, but prevention programs do not cover all PWID in the country, so the denominator is set at 20,000. After assessing the number of PWID in the country, the denominator will be revised.                                                                               Numerator: Number of clients of the organization (UIC) who received at least once the minimal package of services (syringes, condoms, information component). The results will also include those who received a minimum package of services through the online platform. For 1 year of implementation the minimum package through the online platform is 10% of the total coverage, the second year-15%, the third year-20%. Denumerator: Estimated number of PWID in the targeted area.  </v>
      </c>
      <c r="C105" s="670"/>
      <c r="D105" s="670"/>
      <c r="E105" s="670"/>
      <c r="F105" s="670"/>
      <c r="G105" s="670"/>
      <c r="H105" s="670"/>
      <c r="I105" s="670"/>
      <c r="J105" s="670"/>
      <c r="K105" s="671"/>
      <c r="L105" s="86"/>
    </row>
    <row r="106" spans="1:12" ht="18.75" customHeight="1" x14ac:dyDescent="0.25">
      <c r="A106" s="667"/>
      <c r="B106" s="672"/>
      <c r="C106" s="673"/>
      <c r="D106" s="673"/>
      <c r="E106" s="673"/>
      <c r="F106" s="673"/>
      <c r="G106" s="673"/>
      <c r="H106" s="673"/>
      <c r="I106" s="673"/>
      <c r="J106" s="673"/>
      <c r="K106" s="674"/>
      <c r="L106" s="86"/>
    </row>
    <row r="107" spans="1:12" ht="18.75" customHeight="1" x14ac:dyDescent="0.25">
      <c r="A107" s="667"/>
      <c r="B107" s="672"/>
      <c r="C107" s="673"/>
      <c r="D107" s="673"/>
      <c r="E107" s="673"/>
      <c r="F107" s="673"/>
      <c r="G107" s="673"/>
      <c r="H107" s="673"/>
      <c r="I107" s="673"/>
      <c r="J107" s="673"/>
      <c r="K107" s="674"/>
      <c r="L107" s="86"/>
    </row>
    <row r="108" spans="1:12" ht="18.75" customHeight="1" x14ac:dyDescent="0.25">
      <c r="A108" s="667"/>
      <c r="B108" s="672"/>
      <c r="C108" s="673"/>
      <c r="D108" s="673"/>
      <c r="E108" s="673"/>
      <c r="F108" s="673"/>
      <c r="G108" s="673"/>
      <c r="H108" s="673"/>
      <c r="I108" s="673"/>
      <c r="J108" s="673"/>
      <c r="K108" s="674"/>
      <c r="L108" s="86"/>
    </row>
    <row r="109" spans="1:12" ht="18.75" customHeight="1" x14ac:dyDescent="0.25">
      <c r="A109" s="667"/>
      <c r="B109" s="672"/>
      <c r="C109" s="673"/>
      <c r="D109" s="673"/>
      <c r="E109" s="673"/>
      <c r="F109" s="673"/>
      <c r="G109" s="673"/>
      <c r="H109" s="673"/>
      <c r="I109" s="673"/>
      <c r="J109" s="673"/>
      <c r="K109" s="674"/>
      <c r="L109" s="86"/>
    </row>
    <row r="110" spans="1:12" ht="18.75" customHeight="1" x14ac:dyDescent="0.25">
      <c r="A110" s="667"/>
      <c r="B110" s="672"/>
      <c r="C110" s="673"/>
      <c r="D110" s="673"/>
      <c r="E110" s="673"/>
      <c r="F110" s="673"/>
      <c r="G110" s="673"/>
      <c r="H110" s="673"/>
      <c r="I110" s="673"/>
      <c r="J110" s="673"/>
      <c r="K110" s="674"/>
      <c r="L110" s="86"/>
    </row>
    <row r="111" spans="1:12" ht="18.75" customHeight="1" x14ac:dyDescent="0.25">
      <c r="A111" s="667"/>
      <c r="B111" s="672"/>
      <c r="C111" s="673"/>
      <c r="D111" s="673"/>
      <c r="E111" s="673"/>
      <c r="F111" s="673"/>
      <c r="G111" s="673"/>
      <c r="H111" s="673"/>
      <c r="I111" s="673"/>
      <c r="J111" s="673"/>
      <c r="K111" s="674"/>
      <c r="L111" s="86"/>
    </row>
    <row r="112" spans="1:12" ht="18.75" customHeight="1" x14ac:dyDescent="0.25">
      <c r="A112" s="667"/>
      <c r="B112" s="672"/>
      <c r="C112" s="673"/>
      <c r="D112" s="673"/>
      <c r="E112" s="673"/>
      <c r="F112" s="673"/>
      <c r="G112" s="673"/>
      <c r="H112" s="673"/>
      <c r="I112" s="673"/>
      <c r="J112" s="673"/>
      <c r="K112" s="674"/>
      <c r="L112" s="86"/>
    </row>
    <row r="113" spans="1:12" ht="18.75" customHeight="1" x14ac:dyDescent="0.25">
      <c r="A113" s="667"/>
      <c r="B113" s="672"/>
      <c r="C113" s="673"/>
      <c r="D113" s="673"/>
      <c r="E113" s="673"/>
      <c r="F113" s="673"/>
      <c r="G113" s="673"/>
      <c r="H113" s="673"/>
      <c r="I113" s="673"/>
      <c r="J113" s="673"/>
      <c r="K113" s="674"/>
      <c r="L113" s="86"/>
    </row>
    <row r="114" spans="1:12" ht="18.75" customHeight="1" x14ac:dyDescent="0.25">
      <c r="A114" s="668"/>
      <c r="B114" s="675"/>
      <c r="C114" s="676"/>
      <c r="D114" s="676"/>
      <c r="E114" s="676"/>
      <c r="F114" s="676"/>
      <c r="G114" s="676"/>
      <c r="H114" s="676"/>
      <c r="I114" s="676"/>
      <c r="J114" s="676"/>
      <c r="K114" s="677"/>
      <c r="L114" s="86"/>
    </row>
    <row r="115" spans="1:12" ht="18.75" customHeight="1" x14ac:dyDescent="0.25">
      <c r="A115" s="660"/>
      <c r="B115" s="661"/>
      <c r="C115" s="661"/>
      <c r="D115" s="661"/>
      <c r="E115" s="661"/>
      <c r="F115" s="661"/>
      <c r="G115" s="661"/>
      <c r="H115" s="661"/>
      <c r="I115" s="661"/>
      <c r="J115" s="661"/>
      <c r="K115" s="662"/>
      <c r="L115" s="86"/>
    </row>
    <row r="117" spans="1:12" ht="18.75" customHeight="1" x14ac:dyDescent="0.25">
      <c r="A117" s="93" t="s">
        <v>4383</v>
      </c>
      <c r="B117" s="660" t="s">
        <v>1046</v>
      </c>
      <c r="C117" s="662"/>
      <c r="D117" s="663" t="str">
        <f>IFERROR(IF(INDEX('Coverage Indicators - Section D'!B$1:B$100,MATCH($A118,'Coverage Indicators - Section D'!$A$1:$A$100,0))&lt;&gt;0,INDEX('Coverage Indicators - Section D'!B$1:B$100,MATCH($A118,'Coverage Indicators - Section D'!$A$1:$A$100,0)),""),"")</f>
        <v>Prevention package for men who have sex with men (MSM) and their sexual partners</v>
      </c>
      <c r="E117" s="664"/>
      <c r="F117" s="664"/>
      <c r="G117" s="664"/>
      <c r="H117" s="664"/>
      <c r="I117" s="664"/>
      <c r="J117" s="664"/>
      <c r="K117" s="665"/>
      <c r="L117" s="86"/>
    </row>
    <row r="118" spans="1:12" ht="18.75" customHeight="1" x14ac:dyDescent="0.25">
      <c r="A118" s="666">
        <v>5</v>
      </c>
      <c r="B118" s="660" t="s">
        <v>738</v>
      </c>
      <c r="C118" s="661"/>
      <c r="D118" s="661"/>
      <c r="E118" s="661"/>
      <c r="F118" s="662"/>
      <c r="G118" s="660" t="s">
        <v>739</v>
      </c>
      <c r="H118" s="661"/>
      <c r="I118" s="661"/>
      <c r="J118" s="661"/>
      <c r="K118" s="662"/>
      <c r="L118" s="86"/>
    </row>
    <row r="119" spans="1:12" ht="18.75" customHeight="1" x14ac:dyDescent="0.25">
      <c r="A119" s="667"/>
      <c r="B119" s="669" t="str">
        <f>IFERROR(IF(INDEX('Coverage Indicators - Section D'!C$1:C$100,MATCH($A118,'Coverage Indicators - Section D'!$A$1:$A$100,0))&lt;&gt;0,INDEX('Coverage Indicators - Section D'!C$1:C$100,MATCH($A118,'Coverage Indicators - Section D'!$A$1:$A$100,0)),""),"")</f>
        <v>KP-6a Number of MSM who received any PrEP product at least once during the reporting period</v>
      </c>
      <c r="C119" s="670"/>
      <c r="D119" s="670"/>
      <c r="E119" s="670"/>
      <c r="F119" s="671"/>
      <c r="G119" s="669" t="str">
        <f>IFERROR(IF(INDEX('Coverage Indicators - Section D'!D$1:D$100,MATCH($A118,'Coverage Indicators - Section D'!$A$1:$A$100,0))&lt;&gt;0,INDEX('Coverage Indicators - Section D'!D$1:D$100,MATCH($A118,'Coverage Indicators - Section D'!$A$1:$A$100,0)),""),"")</f>
        <v/>
      </c>
      <c r="H119" s="670"/>
      <c r="I119" s="670"/>
      <c r="J119" s="670"/>
      <c r="K119" s="671"/>
      <c r="L119" s="86"/>
    </row>
    <row r="120" spans="1:12" ht="18.75" customHeight="1" x14ac:dyDescent="0.25">
      <c r="A120" s="667"/>
      <c r="B120" s="672"/>
      <c r="C120" s="673"/>
      <c r="D120" s="673"/>
      <c r="E120" s="673"/>
      <c r="F120" s="674"/>
      <c r="G120" s="672"/>
      <c r="H120" s="673"/>
      <c r="I120" s="673"/>
      <c r="J120" s="673"/>
      <c r="K120" s="674"/>
      <c r="L120" s="86"/>
    </row>
    <row r="121" spans="1:12" ht="18.75" customHeight="1" x14ac:dyDescent="0.25">
      <c r="A121" s="667"/>
      <c r="B121" s="675"/>
      <c r="C121" s="676"/>
      <c r="D121" s="676"/>
      <c r="E121" s="676"/>
      <c r="F121" s="677"/>
      <c r="G121" s="675"/>
      <c r="H121" s="676"/>
      <c r="I121" s="676"/>
      <c r="J121" s="676"/>
      <c r="K121" s="677"/>
      <c r="L121" s="86"/>
    </row>
    <row r="122" spans="1:12" ht="18.75" customHeight="1" x14ac:dyDescent="0.25">
      <c r="A122" s="667"/>
      <c r="B122" s="660" t="s">
        <v>742</v>
      </c>
      <c r="C122" s="661"/>
      <c r="D122" s="662"/>
      <c r="E122" s="660" t="s">
        <v>216</v>
      </c>
      <c r="F122" s="661"/>
      <c r="G122" s="662"/>
      <c r="H122" s="660" t="s">
        <v>127</v>
      </c>
      <c r="I122" s="661"/>
      <c r="J122" s="662"/>
      <c r="K122" s="93" t="s">
        <v>2175</v>
      </c>
      <c r="L122" s="86"/>
    </row>
    <row r="123" spans="1:12" ht="18.75" customHeight="1" x14ac:dyDescent="0.25">
      <c r="A123" s="667"/>
      <c r="B123" s="663" t="str">
        <f>IFERROR(IF(INDEX('Coverage Indicators - Section D'!I$9:I$68,MATCH($A118,'Coverage Indicators - Section D'!$A$9:$A$68,0))&lt;&gt;0,INDEX('Coverage Indicators - Section D'!I$9:I$68,MATCH($A118,'Coverage Indicators - Section D'!$A$9:$A$68,0)),""),"")</f>
        <v>PrEP product,Age</v>
      </c>
      <c r="C123" s="664"/>
      <c r="D123" s="665"/>
      <c r="E123" s="663" t="str">
        <f>IFERROR(IF(INDEX('Coverage Indicators - Section D'!M$1:M$100,MATCH($A118,'Coverage Indicators - Section D'!$A$1:$A$100,0))&lt;&gt;0,INDEX('Coverage Indicators - Section D'!M$1:M$100,MATCH($A118,'Coverage Indicators - Section D'!$A$1:$A$100,0)),""),"")</f>
        <v/>
      </c>
      <c r="F123" s="664"/>
      <c r="G123" s="665"/>
      <c r="H123" s="663" t="str">
        <f>IFERROR(IF(INDEX('Coverage Indicators - Section D'!L$1:L$100,MATCH($A118,'Coverage Indicators - Section D'!$A$1:$A$100,0))&lt;&gt;0,INDEX('Coverage Indicators - Section D'!L$1:L$100,MATCH($A118,'Coverage Indicators - Section D'!$A$1:$A$100,0)),""),"")</f>
        <v/>
      </c>
      <c r="I123" s="664"/>
      <c r="J123" s="665"/>
      <c r="K123" s="94" t="str">
        <f>IFERROR(IF(INDEX('Coverage Indicators - Section D'!J$1:J$100,MATCH($A118,'Coverage Indicators - Section D'!$A$1:$A$100,0))&lt;&gt;0,INDEX('Coverage Indicators - Section D'!J$1:J$100,MATCH($A118,'Coverage Indicators - Section D'!$A$1:$A$100,0)),""),"")</f>
        <v/>
      </c>
      <c r="L123" s="86"/>
    </row>
    <row r="124" spans="1:12" ht="18.75" customHeight="1" x14ac:dyDescent="0.25">
      <c r="A124" s="667"/>
      <c r="B124" s="660" t="s">
        <v>199</v>
      </c>
      <c r="C124" s="661"/>
      <c r="D124" s="662"/>
      <c r="E124" s="660" t="s">
        <v>4392</v>
      </c>
      <c r="F124" s="661"/>
      <c r="G124" s="662"/>
      <c r="H124" s="660" t="s">
        <v>120</v>
      </c>
      <c r="I124" s="661"/>
      <c r="J124" s="661"/>
      <c r="K124" s="662"/>
      <c r="L124" s="86"/>
    </row>
    <row r="125" spans="1:12" ht="18.75" customHeight="1" x14ac:dyDescent="0.25">
      <c r="A125" s="667"/>
      <c r="B125" s="669" t="str">
        <f>IFERROR(IF(INDEX('Coverage Indicators - Section D'!H$1:H$100,MATCH($A118,'Coverage Indicators - Section D'!$A$1:$A$100,0))&lt;&gt;0,INDEX('Coverage Indicators - Section D'!H$1:H$100,MATCH($A118,'Coverage Indicators - Section D'!$A$1:$A$100,0)),""),"")</f>
        <v>Electronic HIV Case Tracking System and RCHV&amp;HIV report
and data from UNAIDS (Estimated Number on PLHIV)</v>
      </c>
      <c r="C125" s="670"/>
      <c r="D125" s="671"/>
      <c r="E125" s="669" t="str">
        <f>IFERROR(IF(INDEX('Coverage Indicators - Section D'!L$1:L$100,MATCH($A118,'Coverage Indicators - Section D'!$A$1:$A$100,0)+1)&lt;&gt;0,INDEX('Coverage Indicators - Section D'!L$1:L$100,MATCH($A118,'Coverage Indicators - Section D'!$A$1:$A$100,0)+1),""),"")</f>
        <v>Geographic National, 100% of national program target</v>
      </c>
      <c r="F125" s="670"/>
      <c r="G125" s="671"/>
      <c r="H125" s="669" t="str">
        <f>IFERROR(IF(AND('Overview - Section A'!AS$1="Grant Making",OR(B119&lt;&gt;"",G119&lt;&gt;"")),Setup!I127,IF(INDEX('Coverage Indicators - Section D'!K$1:K$100,MATCH($A118,'Coverage Indicators - Section D'!$A$1:$A$100,0))&lt;&gt;0,INDEX('Coverage Indicators - Section D'!K$1:K$100,MATCH($A118,'Coverage Indicators - Section D'!$A$1:$A$100,0)),"")),"")</f>
        <v>United Nations Development Programme</v>
      </c>
      <c r="I125" s="670"/>
      <c r="J125" s="670"/>
      <c r="K125" s="671"/>
      <c r="L125" s="86"/>
    </row>
    <row r="126" spans="1:12" ht="18.75" customHeight="1" x14ac:dyDescent="0.25">
      <c r="A126" s="667"/>
      <c r="B126" s="675"/>
      <c r="C126" s="676"/>
      <c r="D126" s="677"/>
      <c r="E126" s="675"/>
      <c r="F126" s="676"/>
      <c r="G126" s="677"/>
      <c r="H126" s="675"/>
      <c r="I126" s="676"/>
      <c r="J126" s="676"/>
      <c r="K126" s="677"/>
      <c r="L126" s="86"/>
    </row>
    <row r="127" spans="1:12" ht="18.75" customHeight="1" x14ac:dyDescent="0.25">
      <c r="A127" s="667"/>
      <c r="B127" s="93"/>
      <c r="C127" s="93" t="s">
        <v>4384</v>
      </c>
      <c r="D127" s="660" t="s">
        <v>4385</v>
      </c>
      <c r="E127" s="661"/>
      <c r="F127" s="661"/>
      <c r="G127" s="661"/>
      <c r="H127" s="661"/>
      <c r="I127" s="661"/>
      <c r="J127" s="661"/>
      <c r="K127" s="662"/>
      <c r="L127" s="86"/>
    </row>
    <row r="128" spans="1:12" ht="18.75" customHeight="1" x14ac:dyDescent="0.25">
      <c r="A128" s="667"/>
      <c r="B128" s="93" t="s">
        <v>2559</v>
      </c>
      <c r="C128" s="94">
        <f>IFERROR(IF(INDEX('Coverage Indicators - Section D'!G$1:G$100,MATCH($A118,'Coverage Indicators - Section D'!$A$1:$A$100,0))&lt;&gt;0,INDEX('Coverage Indicators - Section D'!G$1:G$100,MATCH($A118,'Coverage Indicators - Section D'!$A$1:$A$100,0)),""),"")</f>
        <v>2022</v>
      </c>
      <c r="D128"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128"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128"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128"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128"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128"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128"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128"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128" s="86"/>
    </row>
    <row r="129" spans="1:12" s="97" customFormat="1" ht="18.75" customHeight="1" x14ac:dyDescent="0.25">
      <c r="A129" s="667"/>
      <c r="B129" s="93" t="s">
        <v>4386</v>
      </c>
      <c r="C129" s="95">
        <f>IFERROR(IF(INDEX('Coverage Indicators - Section D'!E$1:E$100,MATCH($A118,'Coverage Indicators - Section D'!$A$1:$A$100,0))&lt;&gt;"",INDEX('Coverage Indicators - Section D'!E$1:E$100,MATCH($A118,'Coverage Indicators - Section D'!$A$1:$A$100,0)),""),"")</f>
        <v>147</v>
      </c>
      <c r="D129" s="95">
        <f>IFERROR(IF(INDEX('Coverage Indicators - Section D'!N$1:N$100,MATCH($A118,'Coverage Indicators - Section D'!$A$1:$A$100,0))&lt;&gt;"",INDEX('Coverage Indicators - Section D'!N$1:N$100,MATCH($A118,'Coverage Indicators - Section D'!$A$1:$A$100,0)),""),"")</f>
        <v>170</v>
      </c>
      <c r="E129" s="95">
        <f>IFERROR(IF(INDEX('Coverage Indicators - Section D'!Q$1:Q$100,MATCH($A118,'Coverage Indicators - Section D'!$A$1:$A$100,0))&lt;&gt;"",INDEX('Coverage Indicators - Section D'!Q$1:Q$100,MATCH($A118,'Coverage Indicators - Section D'!$A$1:$A$100,0)),""),"")</f>
        <v>200</v>
      </c>
      <c r="F129" s="95">
        <f>IFERROR(IF(INDEX('Coverage Indicators - Section D'!T$1:T$100,MATCH($A118,'Coverage Indicators - Section D'!$A$1:$A$100,0))&lt;&gt;"",INDEX('Coverage Indicators - Section D'!T$1:T$100,MATCH($A118,'Coverage Indicators - Section D'!$A$1:$A$100,0)),""),"")</f>
        <v>250</v>
      </c>
      <c r="G129" s="95" t="str">
        <f>IFERROR(IF(INDEX('Coverage Indicators - Section D'!W$1:W$100,MATCH($A118,'Coverage Indicators - Section D'!$A$1:$A$100,0))&lt;&gt;"",INDEX('Coverage Indicators - Section D'!W$1:W$100,MATCH($A118,'Coverage Indicators - Section D'!$A$1:$A$100,0)),""),"")</f>
        <v/>
      </c>
      <c r="H129" s="95" t="str">
        <f>IFERROR(IF(INDEX('Coverage Indicators - Section D'!Z$1:Z$100,MATCH($A118,'Coverage Indicators - Section D'!$A$1:$A$100,0))&lt;&gt;"",INDEX('Coverage Indicators - Section D'!Z$1:Z$100,MATCH($A118,'Coverage Indicators - Section D'!$A$1:$A$100,0)),""),"")</f>
        <v/>
      </c>
      <c r="I129" s="95" t="str">
        <f>IFERROR(IF(INDEX('Coverage Indicators - Section D'!AC$1:AC$100,MATCH($A118,'Coverage Indicators - Section D'!$A$1:$A$100,0))&lt;&gt;"",INDEX('Coverage Indicators - Section D'!AC$1:AC$100,MATCH($A118,'Coverage Indicators - Section D'!$A$1:$A$100,0)),""),"")</f>
        <v/>
      </c>
      <c r="J129" s="95" t="str">
        <f>IFERROR(IF(INDEX('Coverage Indicators - Section D'!AF$1:AF$100,MATCH($A118,'Coverage Indicators - Section D'!$A$1:$A$100,0))&lt;&gt;"",INDEX('Coverage Indicators - Section D'!AF$1:AF$100,MATCH($A118,'Coverage Indicators - Section D'!$A$1:$A$100,0)),""),"")</f>
        <v/>
      </c>
      <c r="K129" s="95" t="str">
        <f>IFERROR(IF(INDEX('Coverage Indicators - Section D'!AI$1:AI$100,MATCH($A118,'Coverage Indicators - Section D'!$A$1:$A$100,0))&lt;&gt;"",INDEX('Coverage Indicators - Section D'!AI$1:AI$100,MATCH($A118,'Coverage Indicators - Section D'!$A$1:$A$100,0)),""),"")</f>
        <v/>
      </c>
      <c r="L129" s="96"/>
    </row>
    <row r="130" spans="1:12" s="100" customFormat="1" ht="18.75" customHeight="1" x14ac:dyDescent="0.25">
      <c r="A130" s="667"/>
      <c r="B130" s="93" t="s">
        <v>4387</v>
      </c>
      <c r="C130" s="98">
        <f>IFERROR(IF(INDEX('Coverage Indicators - Section D'!E$1:E$100,MATCH($A118,'Coverage Indicators - Section D'!$A$1:$A$100,0)+1)&lt;&gt;"",INDEX('Coverage Indicators - Section D'!E$1:E$100,MATCH($A118,'Coverage Indicators - Section D'!$A$1:$A$100,0)+1),""),"")</f>
        <v>150</v>
      </c>
      <c r="D130" s="98" t="str">
        <f>IFERROR(IF(INDEX('Coverage Indicators - Section D'!N$1:N$100,MATCH($A118,'Coverage Indicators - Section D'!$A$1:$A$100,0)+1)&lt;&gt;"",INDEX('Coverage Indicators - Section D'!N$1:N$100,MATCH($A118,'Coverage Indicators - Section D'!$A$1:$A$100,0)+1),""),"")</f>
        <v/>
      </c>
      <c r="E130" s="98" t="str">
        <f>IFERROR(IF(INDEX('Coverage Indicators - Section D'!Q$1:Q$100,MATCH($A118,'Coverage Indicators - Section D'!$A$1:$A$100,0)+1)&lt;&gt;"",INDEX('Coverage Indicators - Section D'!Q$1:Q$100,MATCH($A118,'Coverage Indicators - Section D'!$A$1:$A$100,0)+1),""),"")</f>
        <v/>
      </c>
      <c r="F130" s="98" t="str">
        <f>IFERROR(IF(INDEX('Coverage Indicators - Section D'!T$1:T$100,MATCH($A118,'Coverage Indicators - Section D'!$A$1:$A$100,0)+1)&lt;&gt;"",INDEX('Coverage Indicators - Section D'!T$1:T$100,MATCH($A118,'Coverage Indicators - Section D'!$A$1:$A$100,0)+1),""),"")</f>
        <v/>
      </c>
      <c r="G130" s="98" t="str">
        <f>IFERROR(IF(INDEX('Coverage Indicators - Section D'!W$1:W$100,MATCH($A118,'Coverage Indicators - Section D'!$A$1:$A$100,0)+1)&lt;&gt;"",INDEX('Coverage Indicators - Section D'!W$1:W$100,MATCH($A118,'Coverage Indicators - Section D'!$A$1:$A$100,0)+1),""),"")</f>
        <v/>
      </c>
      <c r="H130" s="98" t="str">
        <f>IFERROR(IF(INDEX('Coverage Indicators - Section D'!Z$1:Z$100,MATCH($A118,'Coverage Indicators - Section D'!$A$1:$A$100,0)+1)&lt;&gt;"",INDEX('Coverage Indicators - Section D'!Z$1:Z$100,MATCH($A118,'Coverage Indicators - Section D'!$A$1:$A$100,0)+1),""),"")</f>
        <v/>
      </c>
      <c r="I130" s="98" t="str">
        <f>IFERROR(IF(INDEX('Coverage Indicators - Section D'!AC$1:AC$100,MATCH($A118,'Coverage Indicators - Section D'!$A$1:$A$100,0)+1)&lt;&gt;"",INDEX('Coverage Indicators - Section D'!AC$1:AC$100,MATCH($A118,'Coverage Indicators - Section D'!$A$1:$A$100,0)+1),""),"")</f>
        <v/>
      </c>
      <c r="J130" s="98" t="str">
        <f>IFERROR(IF(INDEX('Coverage Indicators - Section D'!AF$1:AF$100,MATCH($A118,'Coverage Indicators - Section D'!$A$1:$A$100,0)+1)&lt;&gt;"",INDEX('Coverage Indicators - Section D'!AF$1:AF$100,MATCH($A118,'Coverage Indicators - Section D'!$A$1:$A$100,0)+1),""),"")</f>
        <v/>
      </c>
      <c r="K130" s="98" t="str">
        <f>IFERROR(IF(INDEX('Coverage Indicators - Section D'!AI$1:AI$100,MATCH($A118,'Coverage Indicators - Section D'!$A$1:$A$100,0)+1)&lt;&gt;"",INDEX('Coverage Indicators - Section D'!AI$1:AI$100,MATCH($A118,'Coverage Indicators - Section D'!$A$1:$A$100,0)+1),""),"")</f>
        <v/>
      </c>
      <c r="L130" s="99"/>
    </row>
    <row r="131" spans="1:12" ht="18.75" customHeight="1" x14ac:dyDescent="0.25">
      <c r="A131" s="667"/>
      <c r="B131" s="93" t="s">
        <v>4388</v>
      </c>
      <c r="C131" s="94" t="str">
        <f ca="1">IFERROR(IF(INDEX('Coverage Indicators - Section D'!F$1:F$100,MATCH($A118,'Coverage Indicators - Section D'!$A$1:$A$100,0))&lt;&gt;"",FIXED(INDEX('Coverage Indicators - Section D'!F$1:F$100,MATCH($A118,'Coverage Indicators - Section D'!$A$1:$A$100,0))*100,2)&amp;"%",""),"")</f>
        <v>98,00%</v>
      </c>
      <c r="D131" s="94" t="str">
        <f ca="1">IFERROR(IF(INDEX('Coverage Indicators - Section D'!O$1:O$100,MATCH($A118,'Coverage Indicators - Section D'!$A$1:$A$100,0))&lt;&gt;"",FIXED(INDEX('Coverage Indicators - Section D'!O$1:O$100,MATCH($A118,'Coverage Indicators - Section D'!$A$1:$A$100,0))*100,2)&amp;"%",""),"")&amp;CHAR(10)&amp;IFERROR(IF(INDEX('Coverage Indicators - Section D'!P$1:P$100,MATCH($A118,'Coverage Indicators - Section D'!$A$1:$A$100,0))&lt;&gt;"",INDEX('Coverage Indicators - Section D'!P$1:P$100,MATCH($A118,'Coverage Indicators - Section D'!$A$1:$A$100,0)),""),"")</f>
        <v xml:space="preserve">
</v>
      </c>
      <c r="E131" s="94" t="str">
        <f ca="1">IFERROR(IF(INDEX('Coverage Indicators - Section D'!R$1:R$100,MATCH($A118,'Coverage Indicators - Section D'!$A$1:$A$100,0))&lt;&gt;"",FIXED(INDEX('Coverage Indicators - Section D'!R$1:R$100,MATCH($A118,'Coverage Indicators - Section D'!$A$1:$A$100,0))*100,2)&amp;"%",""),"")&amp;CHAR(10)&amp;IFERROR(IF(INDEX('Coverage Indicators - Section D'!S$1:S$100,MATCH($A118,'Coverage Indicators - Section D'!$A$1:$A$100,0))&lt;&gt;"",INDEX('Coverage Indicators - Section D'!S$1:S$100,MATCH($A118,'Coverage Indicators - Section D'!$A$1:$A$100,0)),""),"")</f>
        <v xml:space="preserve">
</v>
      </c>
      <c r="F131" s="94" t="str">
        <f ca="1">IFERROR(IF(INDEX('Coverage Indicators - Section D'!U$1:U$100,MATCH($A118,'Coverage Indicators - Section D'!$A$1:$A$100,0))&lt;&gt;"",FIXED(INDEX('Coverage Indicators - Section D'!U$1:U$100,MATCH($A118,'Coverage Indicators - Section D'!$A$1:$A$100,0))*100,2)&amp;"%",""),"")&amp;CHAR(10)&amp;IFERROR(IF(INDEX('Coverage Indicators - Section D'!V$1:V$100,MATCH($A118,'Coverage Indicators - Section D'!$A$1:$A$100,0))&lt;&gt;"",INDEX('Coverage Indicators - Section D'!V$1:V$100,MATCH($A118,'Coverage Indicators - Section D'!$A$1:$A$100,0)),""),"")</f>
        <v xml:space="preserve">
</v>
      </c>
      <c r="G131" s="94" t="str">
        <f ca="1">IFERROR(IF(INDEX('Coverage Indicators - Section D'!X$1:X$100,MATCH($A118,'Coverage Indicators - Section D'!$A$1:$A$100,0))&lt;&gt;"",FIXED(INDEX('Coverage Indicators - Section D'!X$1:X$100,MATCH($A118,'Coverage Indicators - Section D'!$A$1:$A$100,0))*100,2)&amp;"%",""),"")&amp;CHAR(10)&amp;IFERROR(IF(INDEX('Coverage Indicators - Section D'!Y$1:Y$100,MATCH($A118,'Coverage Indicators - Section D'!$A$1:$A$100,0))&lt;&gt;"",INDEX('Coverage Indicators - Section D'!Y$1:Y$100,MATCH($A118,'Coverage Indicators - Section D'!$A$1:$A$100,0)),""),"")</f>
        <v xml:space="preserve">
</v>
      </c>
      <c r="H131" s="94" t="str">
        <f ca="1">IFERROR(IF(INDEX('Coverage Indicators - Section D'!AA$1:AA$100,MATCH(A118,'Coverage Indicators - Section D'!$A$1:$A$100,0))&lt;&gt;"",FIXED(INDEX('Coverage Indicators - Section D'!AA$1:AA$100,MATCH($A118,'Coverage Indicators - Section D'!$A$1:$A$100,0))*100,2)&amp;"%",""),"")&amp;CHAR(10)&amp;IFERROR(IF(INDEX('Coverage Indicators - Section D'!AB$1:AB$100,MATCH($A118,'Coverage Indicators - Section D'!$A$1:$A$100,0))&lt;&gt;"",INDEX('Coverage Indicators - Section D'!AB$1:AB$100,MATCH($A118,'Coverage Indicators - Section D'!$A$1:$A$100,0)),""),"")</f>
        <v xml:space="preserve">
</v>
      </c>
      <c r="I131" s="94" t="str">
        <f ca="1">IFERROR(IF(INDEX('Coverage Indicators - Section D'!AD$1:AD$100,MATCH($A118,'Coverage Indicators - Section D'!$A$1:$A$100,0))&lt;&gt;"",FIXED(INDEX('Coverage Indicators - Section D'!AD$1:AD$100,MATCH($A118,'Coverage Indicators - Section D'!$A$1:$A$100,0))*100,2)&amp;"%",""),"")&amp;CHAR(10)&amp;IFERROR(IF(INDEX('Coverage Indicators - Section D'!AE$1:AE$100,MATCH($A118,'Coverage Indicators - Section D'!$A$1:$A$100,0))&lt;&gt;"",INDEX('Coverage Indicators - Section D'!AE$1:AE$100,MATCH($A118,'Coverage Indicators - Section D'!$A$1:$A$100,0)),""),"")</f>
        <v xml:space="preserve">
</v>
      </c>
      <c r="J131" s="94" t="str">
        <f ca="1">IFERROR(IF(INDEX('Coverage Indicators - Section D'!AG$1:AG$100,MATCH($A118,'Coverage Indicators - Section D'!$A$1:$A$100,0))&lt;&gt;"",FIXED(INDEX('Coverage Indicators - Section D'!AG$1:AG$100,MATCH($A118,'Coverage Indicators - Section D'!$A$1:$A$100,0))*100,2)&amp;"%",""),"")&amp;CHAR(10)&amp;IFERROR(IF(INDEX('Coverage Indicators - Section D'!AH$1:AH$100,MATCH($A118,'Coverage Indicators - Section D'!$A$1:$A$100,0))&lt;&gt;"",INDEX('Coverage Indicators - Section D'!AH$1:AH$100,MATCH($A118,'Coverage Indicators - Section D'!$A$1:$A$100,0)),""),"")</f>
        <v xml:space="preserve">
</v>
      </c>
      <c r="K131" s="94" t="str">
        <f ca="1">IFERROR(IF(INDEX('Coverage Indicators - Section D'!AJ$1:AJ$100,MATCH($A118,'Coverage Indicators - Section D'!$A$1:$A$100,0))&lt;&gt;"",FIXED(INDEX('Coverage Indicators - Section D'!AJ$1:AJ$100,MATCH($A118,'Coverage Indicators - Section D'!$A$1:$A$100,0))*100,2)&amp;"%",""),"")&amp;CHAR(10)&amp;IFERROR(IF(INDEX('Coverage Indicators - Section D'!AK$1:AK$100,MATCH($A118,'Coverage Indicators - Section D'!$A$1:$A$100,0))&lt;&gt;"",INDEX('Coverage Indicators - Section D'!AK$1:AK$100,MATCH($A118,'Coverage Indicators - Section D'!$A$1:$A$100,0)),""),"")</f>
        <v xml:space="preserve">
</v>
      </c>
      <c r="L131" s="86"/>
    </row>
    <row r="132" spans="1:12" ht="18.75" customHeight="1" x14ac:dyDescent="0.25">
      <c r="A132" s="667"/>
      <c r="B132" s="660" t="s">
        <v>176</v>
      </c>
      <c r="C132" s="661"/>
      <c r="D132" s="661"/>
      <c r="E132" s="661"/>
      <c r="F132" s="661"/>
      <c r="G132" s="661"/>
      <c r="H132" s="661"/>
      <c r="I132" s="661"/>
      <c r="J132" s="661"/>
      <c r="K132" s="662"/>
      <c r="L132" s="86"/>
    </row>
    <row r="133" spans="1:12" ht="18.75" customHeight="1" x14ac:dyDescent="0.25">
      <c r="A133" s="667"/>
      <c r="B133" s="669" t="str">
        <f>IFERROR(IF(INDEX('Coverage Indicators - Section D'!AL$1:AL$110,MATCH($A118,'Coverage Indicators - Section D'!$A$1:$A$110,0))&lt;&gt;0,INDEX('Coverage Indicators - Section D'!AL$1:AL$110,MATCH($A118,'Coverage Indicators - Section D'!$A$1:$A$110,0)),""),"")</f>
        <v>In the previous cycle, the target for MSM pre-exposure prophylaxis coverage was 150 MSM per year, an indicator new to the country; in the new cycle the target is 170 MSM per year, in the second year 200, in the third year 250.                                                                                                 Number of clients (UIC) who received pre-treatment counseling services and were accompanied to the AIDS Center for pre-exposure prophylaxis in this reporting period.</v>
      </c>
      <c r="C133" s="670"/>
      <c r="D133" s="670"/>
      <c r="E133" s="670"/>
      <c r="F133" s="670"/>
      <c r="G133" s="670"/>
      <c r="H133" s="670"/>
      <c r="I133" s="670"/>
      <c r="J133" s="670"/>
      <c r="K133" s="671"/>
      <c r="L133" s="86"/>
    </row>
    <row r="134" spans="1:12" ht="18.75" customHeight="1" x14ac:dyDescent="0.25">
      <c r="A134" s="667"/>
      <c r="B134" s="672"/>
      <c r="C134" s="673"/>
      <c r="D134" s="673"/>
      <c r="E134" s="673"/>
      <c r="F134" s="673"/>
      <c r="G134" s="673"/>
      <c r="H134" s="673"/>
      <c r="I134" s="673"/>
      <c r="J134" s="673"/>
      <c r="K134" s="674"/>
      <c r="L134" s="86"/>
    </row>
    <row r="135" spans="1:12" ht="18.75" customHeight="1" x14ac:dyDescent="0.25">
      <c r="A135" s="667"/>
      <c r="B135" s="672"/>
      <c r="C135" s="673"/>
      <c r="D135" s="673"/>
      <c r="E135" s="673"/>
      <c r="F135" s="673"/>
      <c r="G135" s="673"/>
      <c r="H135" s="673"/>
      <c r="I135" s="673"/>
      <c r="J135" s="673"/>
      <c r="K135" s="674"/>
      <c r="L135" s="86"/>
    </row>
    <row r="136" spans="1:12" ht="18.75" customHeight="1" x14ac:dyDescent="0.25">
      <c r="A136" s="667"/>
      <c r="B136" s="672"/>
      <c r="C136" s="673"/>
      <c r="D136" s="673"/>
      <c r="E136" s="673"/>
      <c r="F136" s="673"/>
      <c r="G136" s="673"/>
      <c r="H136" s="673"/>
      <c r="I136" s="673"/>
      <c r="J136" s="673"/>
      <c r="K136" s="674"/>
      <c r="L136" s="86"/>
    </row>
    <row r="137" spans="1:12" ht="18.75" customHeight="1" x14ac:dyDescent="0.25">
      <c r="A137" s="667"/>
      <c r="B137" s="672"/>
      <c r="C137" s="673"/>
      <c r="D137" s="673"/>
      <c r="E137" s="673"/>
      <c r="F137" s="673"/>
      <c r="G137" s="673"/>
      <c r="H137" s="673"/>
      <c r="I137" s="673"/>
      <c r="J137" s="673"/>
      <c r="K137" s="674"/>
      <c r="L137" s="86"/>
    </row>
    <row r="138" spans="1:12" ht="18.75" customHeight="1" x14ac:dyDescent="0.25">
      <c r="A138" s="667"/>
      <c r="B138" s="672"/>
      <c r="C138" s="673"/>
      <c r="D138" s="673"/>
      <c r="E138" s="673"/>
      <c r="F138" s="673"/>
      <c r="G138" s="673"/>
      <c r="H138" s="673"/>
      <c r="I138" s="673"/>
      <c r="J138" s="673"/>
      <c r="K138" s="674"/>
      <c r="L138" s="86"/>
    </row>
    <row r="139" spans="1:12" ht="18.75" customHeight="1" x14ac:dyDescent="0.25">
      <c r="A139" s="667"/>
      <c r="B139" s="672"/>
      <c r="C139" s="673"/>
      <c r="D139" s="673"/>
      <c r="E139" s="673"/>
      <c r="F139" s="673"/>
      <c r="G139" s="673"/>
      <c r="H139" s="673"/>
      <c r="I139" s="673"/>
      <c r="J139" s="673"/>
      <c r="K139" s="674"/>
      <c r="L139" s="86"/>
    </row>
    <row r="140" spans="1:12" ht="18.75" customHeight="1" x14ac:dyDescent="0.25">
      <c r="A140" s="667"/>
      <c r="B140" s="672"/>
      <c r="C140" s="673"/>
      <c r="D140" s="673"/>
      <c r="E140" s="673"/>
      <c r="F140" s="673"/>
      <c r="G140" s="673"/>
      <c r="H140" s="673"/>
      <c r="I140" s="673"/>
      <c r="J140" s="673"/>
      <c r="K140" s="674"/>
      <c r="L140" s="86"/>
    </row>
    <row r="141" spans="1:12" ht="18.75" customHeight="1" x14ac:dyDescent="0.25">
      <c r="A141" s="667"/>
      <c r="B141" s="672"/>
      <c r="C141" s="673"/>
      <c r="D141" s="673"/>
      <c r="E141" s="673"/>
      <c r="F141" s="673"/>
      <c r="G141" s="673"/>
      <c r="H141" s="673"/>
      <c r="I141" s="673"/>
      <c r="J141" s="673"/>
      <c r="K141" s="674"/>
      <c r="L141" s="86"/>
    </row>
    <row r="142" spans="1:12" ht="18.75" customHeight="1" x14ac:dyDescent="0.25">
      <c r="A142" s="668"/>
      <c r="B142" s="675"/>
      <c r="C142" s="676"/>
      <c r="D142" s="676"/>
      <c r="E142" s="676"/>
      <c r="F142" s="676"/>
      <c r="G142" s="676"/>
      <c r="H142" s="676"/>
      <c r="I142" s="676"/>
      <c r="J142" s="676"/>
      <c r="K142" s="677"/>
      <c r="L142" s="86"/>
    </row>
    <row r="143" spans="1:12" ht="18.75" customHeight="1" x14ac:dyDescent="0.25">
      <c r="A143" s="660"/>
      <c r="B143" s="661"/>
      <c r="C143" s="661"/>
      <c r="D143" s="661"/>
      <c r="E143" s="661"/>
      <c r="F143" s="661"/>
      <c r="G143" s="661"/>
      <c r="H143" s="661"/>
      <c r="I143" s="661"/>
      <c r="J143" s="661"/>
      <c r="K143" s="662"/>
      <c r="L143" s="86"/>
    </row>
    <row r="145" spans="1:12" ht="18.75" customHeight="1" x14ac:dyDescent="0.25">
      <c r="A145" s="93" t="s">
        <v>4383</v>
      </c>
      <c r="B145" s="660" t="s">
        <v>1046</v>
      </c>
      <c r="C145" s="662"/>
      <c r="D145" s="663" t="str">
        <f>IFERROR(IF(INDEX('Coverage Indicators - Section D'!B$1:B$100,MATCH($A146,'Coverage Indicators - Section D'!$A$1:$A$100,0))&lt;&gt;0,INDEX('Coverage Indicators - Section D'!B$1:B$100,MATCH($A146,'Coverage Indicators - Section D'!$A$1:$A$100,0)),""),"")</f>
        <v>Differentiated HIV Testing Services</v>
      </c>
      <c r="E145" s="664"/>
      <c r="F145" s="664"/>
      <c r="G145" s="664"/>
      <c r="H145" s="664"/>
      <c r="I145" s="664"/>
      <c r="J145" s="664"/>
      <c r="K145" s="665"/>
      <c r="L145" s="86"/>
    </row>
    <row r="146" spans="1:12" ht="18.75" customHeight="1" x14ac:dyDescent="0.25">
      <c r="A146" s="666">
        <v>6</v>
      </c>
      <c r="B146" s="660" t="s">
        <v>738</v>
      </c>
      <c r="C146" s="661"/>
      <c r="D146" s="661"/>
      <c r="E146" s="661"/>
      <c r="F146" s="662"/>
      <c r="G146" s="660" t="s">
        <v>739</v>
      </c>
      <c r="H146" s="661"/>
      <c r="I146" s="661"/>
      <c r="J146" s="661"/>
      <c r="K146" s="662"/>
      <c r="L146" s="86"/>
    </row>
    <row r="147" spans="1:12" ht="18.75" customHeight="1" x14ac:dyDescent="0.25">
      <c r="A147" s="667"/>
      <c r="B147" s="669" t="str">
        <f>IFERROR(IF(INDEX('Coverage Indicators - Section D'!C$1:C$100,MATCH($A146,'Coverage Indicators - Section D'!$A$1:$A$100,0))&lt;&gt;0,INDEX('Coverage Indicators - Section D'!C$1:C$100,MATCH($A146,'Coverage Indicators - Section D'!$A$1:$A$100,0)),""),"")</f>
        <v>HTS-3a⁽ᴹ⁾ Percentage of MSM that have received an HIV test during the reporting period in KP-specific programs and know their results</v>
      </c>
      <c r="C147" s="670"/>
      <c r="D147" s="670"/>
      <c r="E147" s="670"/>
      <c r="F147" s="671"/>
      <c r="G147" s="669" t="str">
        <f>IFERROR(IF(INDEX('Coverage Indicators - Section D'!D$1:D$100,MATCH($A146,'Coverage Indicators - Section D'!$A$1:$A$100,0))&lt;&gt;0,INDEX('Coverage Indicators - Section D'!D$1:D$100,MATCH($A146,'Coverage Indicators - Section D'!$A$1:$A$100,0)),""),"")</f>
        <v/>
      </c>
      <c r="H147" s="670"/>
      <c r="I147" s="670"/>
      <c r="J147" s="670"/>
      <c r="K147" s="671"/>
      <c r="L147" s="86"/>
    </row>
    <row r="148" spans="1:12" ht="18.75" customHeight="1" x14ac:dyDescent="0.25">
      <c r="A148" s="667"/>
      <c r="B148" s="672"/>
      <c r="C148" s="673"/>
      <c r="D148" s="673"/>
      <c r="E148" s="673"/>
      <c r="F148" s="674"/>
      <c r="G148" s="672"/>
      <c r="H148" s="673"/>
      <c r="I148" s="673"/>
      <c r="J148" s="673"/>
      <c r="K148" s="674"/>
      <c r="L148" s="86"/>
    </row>
    <row r="149" spans="1:12" ht="18.75" customHeight="1" x14ac:dyDescent="0.25">
      <c r="A149" s="667"/>
      <c r="B149" s="675"/>
      <c r="C149" s="676"/>
      <c r="D149" s="676"/>
      <c r="E149" s="676"/>
      <c r="F149" s="677"/>
      <c r="G149" s="675"/>
      <c r="H149" s="676"/>
      <c r="I149" s="676"/>
      <c r="J149" s="676"/>
      <c r="K149" s="677"/>
      <c r="L149" s="86"/>
    </row>
    <row r="150" spans="1:12" ht="18.75" customHeight="1" x14ac:dyDescent="0.25">
      <c r="A150" s="667"/>
      <c r="B150" s="660" t="s">
        <v>742</v>
      </c>
      <c r="C150" s="661"/>
      <c r="D150" s="662"/>
      <c r="E150" s="660" t="s">
        <v>216</v>
      </c>
      <c r="F150" s="661"/>
      <c r="G150" s="662"/>
      <c r="H150" s="660" t="s">
        <v>127</v>
      </c>
      <c r="I150" s="661"/>
      <c r="J150" s="662"/>
      <c r="K150" s="93" t="s">
        <v>2175</v>
      </c>
      <c r="L150" s="86"/>
    </row>
    <row r="151" spans="1:12" ht="18.75" customHeight="1" x14ac:dyDescent="0.25">
      <c r="A151" s="667"/>
      <c r="B151" s="663" t="str">
        <f>IFERROR(IF(INDEX('Coverage Indicators - Section D'!I$9:I$68,MATCH($A146,'Coverage Indicators - Section D'!$A$9:$A$68,0))&lt;&gt;0,INDEX('Coverage Indicators - Section D'!I$9:I$68,MATCH($A146,'Coverage Indicators - Section D'!$A$9:$A$68,0)),""),"")</f>
        <v>Age</v>
      </c>
      <c r="C151" s="664"/>
      <c r="D151" s="665"/>
      <c r="E151" s="663" t="str">
        <f>IFERROR(IF(INDEX('Coverage Indicators - Section D'!M$1:M$100,MATCH($A146,'Coverage Indicators - Section D'!$A$1:$A$100,0))&lt;&gt;0,INDEX('Coverage Indicators - Section D'!M$1:M$100,MATCH($A146,'Coverage Indicators - Section D'!$A$1:$A$100,0)),""),"")</f>
        <v/>
      </c>
      <c r="F151" s="664"/>
      <c r="G151" s="665"/>
      <c r="H151" s="663" t="str">
        <f>IFERROR(IF(INDEX('Coverage Indicators - Section D'!L$1:L$100,MATCH($A146,'Coverage Indicators - Section D'!$A$1:$A$100,0))&lt;&gt;0,INDEX('Coverage Indicators - Section D'!L$1:L$100,MATCH($A146,'Coverage Indicators - Section D'!$A$1:$A$100,0)),""),"")</f>
        <v/>
      </c>
      <c r="I151" s="664"/>
      <c r="J151" s="665"/>
      <c r="K151" s="94" t="str">
        <f>IFERROR(IF(INDEX('Coverage Indicators - Section D'!J$1:J$100,MATCH($A146,'Coverage Indicators - Section D'!$A$1:$A$100,0))&lt;&gt;0,INDEX('Coverage Indicators - Section D'!J$1:J$100,MATCH($A146,'Coverage Indicators - Section D'!$A$1:$A$100,0)),""),"")</f>
        <v>Yes</v>
      </c>
      <c r="L151" s="86"/>
    </row>
    <row r="152" spans="1:12" ht="18.75" customHeight="1" x14ac:dyDescent="0.25">
      <c r="A152" s="667"/>
      <c r="B152" s="660" t="s">
        <v>199</v>
      </c>
      <c r="C152" s="661"/>
      <c r="D152" s="662"/>
      <c r="E152" s="660" t="s">
        <v>4392</v>
      </c>
      <c r="F152" s="661"/>
      <c r="G152" s="662"/>
      <c r="H152" s="660" t="s">
        <v>120</v>
      </c>
      <c r="I152" s="661"/>
      <c r="J152" s="661"/>
      <c r="K152" s="662"/>
      <c r="L152" s="86"/>
    </row>
    <row r="153" spans="1:12" ht="18.75" customHeight="1" x14ac:dyDescent="0.25">
      <c r="A153" s="667"/>
      <c r="B153" s="669" t="str">
        <f>IFERROR(IF(INDEX('Coverage Indicators - Section D'!H$1:H$100,MATCH($A146,'Coverage Indicators - Section D'!$A$1:$A$100,0))&lt;&gt;0,INDEX('Coverage Indicators - Section D'!H$1:H$100,MATCH($A146,'Coverage Indicators - Section D'!$A$1:$A$100,0)),""),"")</f>
        <v>Administrative reports</v>
      </c>
      <c r="C153" s="670"/>
      <c r="D153" s="671"/>
      <c r="E153" s="669" t="str">
        <f>IFERROR(IF(INDEX('Coverage Indicators - Section D'!L$1:L$100,MATCH($A146,'Coverage Indicators - Section D'!$A$1:$A$100,0)+1)&lt;&gt;0,INDEX('Coverage Indicators - Section D'!L$1:L$100,MATCH($A146,'Coverage Indicators - Section D'!$A$1:$A$100,0)+1),""),"")</f>
        <v>Geographic National, 100% of national program target</v>
      </c>
      <c r="F153" s="670"/>
      <c r="G153" s="671"/>
      <c r="H153" s="669" t="str">
        <f>IFERROR(IF(AND('Overview - Section A'!AS$1="Grant Making",OR(B147&lt;&gt;"",G147&lt;&gt;"")),Setup!I155,IF(INDEX('Coverage Indicators - Section D'!K$1:K$100,MATCH($A146,'Coverage Indicators - Section D'!$A$1:$A$100,0))&lt;&gt;0,INDEX('Coverage Indicators - Section D'!K$1:K$100,MATCH($A146,'Coverage Indicators - Section D'!$A$1:$A$100,0)),"")),"")</f>
        <v>United Nations Development Programme</v>
      </c>
      <c r="I153" s="670"/>
      <c r="J153" s="670"/>
      <c r="K153" s="671"/>
      <c r="L153" s="86"/>
    </row>
    <row r="154" spans="1:12" ht="18.75" customHeight="1" x14ac:dyDescent="0.25">
      <c r="A154" s="667"/>
      <c r="B154" s="675"/>
      <c r="C154" s="676"/>
      <c r="D154" s="677"/>
      <c r="E154" s="675"/>
      <c r="F154" s="676"/>
      <c r="G154" s="677"/>
      <c r="H154" s="675"/>
      <c r="I154" s="676"/>
      <c r="J154" s="676"/>
      <c r="K154" s="677"/>
      <c r="L154" s="86"/>
    </row>
    <row r="155" spans="1:12" ht="18.75" customHeight="1" x14ac:dyDescent="0.25">
      <c r="A155" s="667"/>
      <c r="B155" s="93"/>
      <c r="C155" s="93" t="s">
        <v>4384</v>
      </c>
      <c r="D155" s="660" t="s">
        <v>4385</v>
      </c>
      <c r="E155" s="661"/>
      <c r="F155" s="661"/>
      <c r="G155" s="661"/>
      <c r="H155" s="661"/>
      <c r="I155" s="661"/>
      <c r="J155" s="661"/>
      <c r="K155" s="662"/>
      <c r="L155" s="86"/>
    </row>
    <row r="156" spans="1:12" ht="18.75" customHeight="1" x14ac:dyDescent="0.25">
      <c r="A156" s="667"/>
      <c r="B156" s="93" t="s">
        <v>2559</v>
      </c>
      <c r="C156" s="94">
        <f>IFERROR(IF(INDEX('Coverage Indicators - Section D'!G$1:G$100,MATCH($A146,'Coverage Indicators - Section D'!$A$1:$A$100,0))&lt;&gt;0,INDEX('Coverage Indicators - Section D'!G$1:G$100,MATCH($A146,'Coverage Indicators - Section D'!$A$1:$A$100,0)),""),"")</f>
        <v>2022</v>
      </c>
      <c r="D156"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156"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156"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156"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156"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156"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156"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156"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156" s="86"/>
    </row>
    <row r="157" spans="1:12" s="97" customFormat="1" ht="18.75" customHeight="1" x14ac:dyDescent="0.25">
      <c r="A157" s="667"/>
      <c r="B157" s="93" t="s">
        <v>4386</v>
      </c>
      <c r="C157" s="95">
        <f>IFERROR(IF(INDEX('Coverage Indicators - Section D'!E$1:E$100,MATCH($A146,'Coverage Indicators - Section D'!$A$1:$A$100,0))&lt;&gt;"",INDEX('Coverage Indicators - Section D'!E$1:E$100,MATCH($A146,'Coverage Indicators - Section D'!$A$1:$A$100,0)),""),"")</f>
        <v>10308</v>
      </c>
      <c r="D157" s="95">
        <f>IFERROR(IF(INDEX('Coverage Indicators - Section D'!N$1:N$100,MATCH($A146,'Coverage Indicators - Section D'!$A$1:$A$100,0))&lt;&gt;"",INDEX('Coverage Indicators - Section D'!N$1:N$100,MATCH($A146,'Coverage Indicators - Section D'!$A$1:$A$100,0)),""),"")</f>
        <v>12325</v>
      </c>
      <c r="E157" s="95">
        <f>IFERROR(IF(INDEX('Coverage Indicators - Section D'!Q$1:Q$100,MATCH($A146,'Coverage Indicators - Section D'!$A$1:$A$100,0))&lt;&gt;"",INDEX('Coverage Indicators - Section D'!Q$1:Q$100,MATCH($A146,'Coverage Indicators - Section D'!$A$1:$A$100,0)),""),"")</f>
        <v>13050</v>
      </c>
      <c r="F157" s="95">
        <f>IFERROR(IF(INDEX('Coverage Indicators - Section D'!T$1:T$100,MATCH($A146,'Coverage Indicators - Section D'!$A$1:$A$100,0))&lt;&gt;"",INDEX('Coverage Indicators - Section D'!T$1:T$100,MATCH($A146,'Coverage Indicators - Section D'!$A$1:$A$100,0)),""),"")</f>
        <v>13775</v>
      </c>
      <c r="G157" s="95" t="str">
        <f>IFERROR(IF(INDEX('Coverage Indicators - Section D'!W$1:W$100,MATCH($A146,'Coverage Indicators - Section D'!$A$1:$A$100,0))&lt;&gt;"",INDEX('Coverage Indicators - Section D'!W$1:W$100,MATCH($A146,'Coverage Indicators - Section D'!$A$1:$A$100,0)),""),"")</f>
        <v/>
      </c>
      <c r="H157" s="95" t="str">
        <f>IFERROR(IF(INDEX('Coverage Indicators - Section D'!Z$1:Z$100,MATCH($A146,'Coverage Indicators - Section D'!$A$1:$A$100,0))&lt;&gt;"",INDEX('Coverage Indicators - Section D'!Z$1:Z$100,MATCH($A146,'Coverage Indicators - Section D'!$A$1:$A$100,0)),""),"")</f>
        <v/>
      </c>
      <c r="I157" s="95" t="str">
        <f>IFERROR(IF(INDEX('Coverage Indicators - Section D'!AC$1:AC$100,MATCH($A146,'Coverage Indicators - Section D'!$A$1:$A$100,0))&lt;&gt;"",INDEX('Coverage Indicators - Section D'!AC$1:AC$100,MATCH($A146,'Coverage Indicators - Section D'!$A$1:$A$100,0)),""),"")</f>
        <v/>
      </c>
      <c r="J157" s="95" t="str">
        <f>IFERROR(IF(INDEX('Coverage Indicators - Section D'!AF$1:AF$100,MATCH($A146,'Coverage Indicators - Section D'!$A$1:$A$100,0))&lt;&gt;"",INDEX('Coverage Indicators - Section D'!AF$1:AF$100,MATCH($A146,'Coverage Indicators - Section D'!$A$1:$A$100,0)),""),"")</f>
        <v/>
      </c>
      <c r="K157" s="95" t="str">
        <f>IFERROR(IF(INDEX('Coverage Indicators - Section D'!AI$1:AI$100,MATCH($A146,'Coverage Indicators - Section D'!$A$1:$A$100,0))&lt;&gt;"",INDEX('Coverage Indicators - Section D'!AI$1:AI$100,MATCH($A146,'Coverage Indicators - Section D'!$A$1:$A$100,0)),""),"")</f>
        <v/>
      </c>
      <c r="L157" s="96"/>
    </row>
    <row r="158" spans="1:12" s="100" customFormat="1" ht="18.75" customHeight="1" x14ac:dyDescent="0.25">
      <c r="A158" s="667"/>
      <c r="B158" s="93" t="s">
        <v>4387</v>
      </c>
      <c r="C158" s="98">
        <f>IFERROR(IF(INDEX('Coverage Indicators - Section D'!E$1:E$100,MATCH($A146,'Coverage Indicators - Section D'!$A$1:$A$100,0)+1)&lt;&gt;"",INDEX('Coverage Indicators - Section D'!E$1:E$100,MATCH($A146,'Coverage Indicators - Section D'!$A$1:$A$100,0)+1),""),"")</f>
        <v>16900</v>
      </c>
      <c r="D158" s="98">
        <f>IFERROR(IF(INDEX('Coverage Indicators - Section D'!N$1:N$100,MATCH($A146,'Coverage Indicators - Section D'!$A$1:$A$100,0)+1)&lt;&gt;"",INDEX('Coverage Indicators - Section D'!N$1:N$100,MATCH($A146,'Coverage Indicators - Section D'!$A$1:$A$100,0)+1),""),"")</f>
        <v>14500</v>
      </c>
      <c r="E158" s="98">
        <f>IFERROR(IF(INDEX('Coverage Indicators - Section D'!Q$1:Q$100,MATCH($A146,'Coverage Indicators - Section D'!$A$1:$A$100,0)+1)&lt;&gt;"",INDEX('Coverage Indicators - Section D'!Q$1:Q$100,MATCH($A146,'Coverage Indicators - Section D'!$A$1:$A$100,0)+1),""),"")</f>
        <v>14500</v>
      </c>
      <c r="F158" s="98">
        <f>IFERROR(IF(INDEX('Coverage Indicators - Section D'!T$1:T$100,MATCH($A146,'Coverage Indicators - Section D'!$A$1:$A$100,0)+1)&lt;&gt;"",INDEX('Coverage Indicators - Section D'!T$1:T$100,MATCH($A146,'Coverage Indicators - Section D'!$A$1:$A$100,0)+1),""),"")</f>
        <v>14500</v>
      </c>
      <c r="G158" s="98" t="str">
        <f>IFERROR(IF(INDEX('Coverage Indicators - Section D'!W$1:W$100,MATCH($A146,'Coverage Indicators - Section D'!$A$1:$A$100,0)+1)&lt;&gt;"",INDEX('Coverage Indicators - Section D'!W$1:W$100,MATCH($A146,'Coverage Indicators - Section D'!$A$1:$A$100,0)+1),""),"")</f>
        <v/>
      </c>
      <c r="H158" s="98" t="str">
        <f>IFERROR(IF(INDEX('Coverage Indicators - Section D'!Z$1:Z$100,MATCH($A146,'Coverage Indicators - Section D'!$A$1:$A$100,0)+1)&lt;&gt;"",INDEX('Coverage Indicators - Section D'!Z$1:Z$100,MATCH($A146,'Coverage Indicators - Section D'!$A$1:$A$100,0)+1),""),"")</f>
        <v/>
      </c>
      <c r="I158" s="98" t="str">
        <f>IFERROR(IF(INDEX('Coverage Indicators - Section D'!AC$1:AC$100,MATCH($A146,'Coverage Indicators - Section D'!$A$1:$A$100,0)+1)&lt;&gt;"",INDEX('Coverage Indicators - Section D'!AC$1:AC$100,MATCH($A146,'Coverage Indicators - Section D'!$A$1:$A$100,0)+1),""),"")</f>
        <v/>
      </c>
      <c r="J158" s="98" t="str">
        <f>IFERROR(IF(INDEX('Coverage Indicators - Section D'!AF$1:AF$100,MATCH($A146,'Coverage Indicators - Section D'!$A$1:$A$100,0)+1)&lt;&gt;"",INDEX('Coverage Indicators - Section D'!AF$1:AF$100,MATCH($A146,'Coverage Indicators - Section D'!$A$1:$A$100,0)+1),""),"")</f>
        <v/>
      </c>
      <c r="K158" s="98" t="str">
        <f>IFERROR(IF(INDEX('Coverage Indicators - Section D'!AI$1:AI$100,MATCH($A146,'Coverage Indicators - Section D'!$A$1:$A$100,0)+1)&lt;&gt;"",INDEX('Coverage Indicators - Section D'!AI$1:AI$100,MATCH($A146,'Coverage Indicators - Section D'!$A$1:$A$100,0)+1),""),"")</f>
        <v/>
      </c>
      <c r="L158" s="99"/>
    </row>
    <row r="159" spans="1:12" ht="18.75" customHeight="1" x14ac:dyDescent="0.25">
      <c r="A159" s="667"/>
      <c r="B159" s="93" t="s">
        <v>4388</v>
      </c>
      <c r="C159" s="94" t="str">
        <f ca="1">IFERROR(IF(INDEX('Coverage Indicators - Section D'!F$1:F$100,MATCH($A146,'Coverage Indicators - Section D'!$A$1:$A$100,0))&lt;&gt;"",FIXED(INDEX('Coverage Indicators - Section D'!F$1:F$100,MATCH($A146,'Coverage Indicators - Section D'!$A$1:$A$100,0))*100,2)&amp;"%",""),"")</f>
        <v>60,99%</v>
      </c>
      <c r="D159" s="94" t="str">
        <f>IFERROR(IF(INDEX('Coverage Indicators - Section D'!O$1:O$100,MATCH($A146,'Coverage Indicators - Section D'!$A$1:$A$100,0))&lt;&gt;"",FIXED(INDEX('Coverage Indicators - Section D'!O$1:O$100,MATCH($A146,'Coverage Indicators - Section D'!$A$1:$A$100,0))*100,2)&amp;"%",""),"")&amp;CHAR(10)&amp;IFERROR(IF(INDEX('Coverage Indicators - Section D'!P$1:P$100,MATCH($A146,'Coverage Indicators - Section D'!$A$1:$A$100,0))&lt;&gt;"",INDEX('Coverage Indicators - Section D'!P$1:P$100,MATCH($A146,'Coverage Indicators - Section D'!$A$1:$A$100,0)),""),"")</f>
        <v xml:space="preserve">85,00%
</v>
      </c>
      <c r="E159" s="94" t="str">
        <f>IFERROR(IF(INDEX('Coverage Indicators - Section D'!R$1:R$100,MATCH($A146,'Coverage Indicators - Section D'!$A$1:$A$100,0))&lt;&gt;"",FIXED(INDEX('Coverage Indicators - Section D'!R$1:R$100,MATCH($A146,'Coverage Indicators - Section D'!$A$1:$A$100,0))*100,2)&amp;"%",""),"")&amp;CHAR(10)&amp;IFERROR(IF(INDEX('Coverage Indicators - Section D'!S$1:S$100,MATCH($A146,'Coverage Indicators - Section D'!$A$1:$A$100,0))&lt;&gt;"",INDEX('Coverage Indicators - Section D'!S$1:S$100,MATCH($A146,'Coverage Indicators - Section D'!$A$1:$A$100,0)),""),"")</f>
        <v xml:space="preserve">90,00%
</v>
      </c>
      <c r="F159" s="94" t="str">
        <f>IFERROR(IF(INDEX('Coverage Indicators - Section D'!U$1:U$100,MATCH($A146,'Coverage Indicators - Section D'!$A$1:$A$100,0))&lt;&gt;"",FIXED(INDEX('Coverage Indicators - Section D'!U$1:U$100,MATCH($A146,'Coverage Indicators - Section D'!$A$1:$A$100,0))*100,2)&amp;"%",""),"")&amp;CHAR(10)&amp;IFERROR(IF(INDEX('Coverage Indicators - Section D'!V$1:V$100,MATCH($A146,'Coverage Indicators - Section D'!$A$1:$A$100,0))&lt;&gt;"",INDEX('Coverage Indicators - Section D'!V$1:V$100,MATCH($A146,'Coverage Indicators - Section D'!$A$1:$A$100,0)),""),"")</f>
        <v xml:space="preserve">95,00%
</v>
      </c>
      <c r="G159" s="94" t="str">
        <f>IFERROR(IF(INDEX('Coverage Indicators - Section D'!X$1:X$100,MATCH($A146,'Coverage Indicators - Section D'!$A$1:$A$100,0))&lt;&gt;"",FIXED(INDEX('Coverage Indicators - Section D'!X$1:X$100,MATCH($A146,'Coverage Indicators - Section D'!$A$1:$A$100,0))*100,2)&amp;"%",""),"")&amp;CHAR(10)&amp;IFERROR(IF(INDEX('Coverage Indicators - Section D'!Y$1:Y$100,MATCH($A146,'Coverage Indicators - Section D'!$A$1:$A$100,0))&lt;&gt;"",INDEX('Coverage Indicators - Section D'!Y$1:Y$100,MATCH($A146,'Coverage Indicators - Section D'!$A$1:$A$100,0)),""),"")</f>
        <v xml:space="preserve">
</v>
      </c>
      <c r="H159" s="94" t="str">
        <f ca="1">IFERROR(IF(INDEX('Coverage Indicators - Section D'!AA$1:AA$100,MATCH(A146,'Coverage Indicators - Section D'!$A$1:$A$100,0))&lt;&gt;"",FIXED(INDEX('Coverage Indicators - Section D'!AA$1:AA$100,MATCH($A146,'Coverage Indicators - Section D'!$A$1:$A$100,0))*100,2)&amp;"%",""),"")&amp;CHAR(10)&amp;IFERROR(IF(INDEX('Coverage Indicators - Section D'!AB$1:AB$100,MATCH($A146,'Coverage Indicators - Section D'!$A$1:$A$100,0))&lt;&gt;"",INDEX('Coverage Indicators - Section D'!AB$1:AB$100,MATCH($A146,'Coverage Indicators - Section D'!$A$1:$A$100,0)),""),"")</f>
        <v xml:space="preserve">
</v>
      </c>
      <c r="I159" s="94" t="str">
        <f ca="1">IFERROR(IF(INDEX('Coverage Indicators - Section D'!AD$1:AD$100,MATCH($A146,'Coverage Indicators - Section D'!$A$1:$A$100,0))&lt;&gt;"",FIXED(INDEX('Coverage Indicators - Section D'!AD$1:AD$100,MATCH($A146,'Coverage Indicators - Section D'!$A$1:$A$100,0))*100,2)&amp;"%",""),"")&amp;CHAR(10)&amp;IFERROR(IF(INDEX('Coverage Indicators - Section D'!AE$1:AE$100,MATCH($A146,'Coverage Indicators - Section D'!$A$1:$A$100,0))&lt;&gt;"",INDEX('Coverage Indicators - Section D'!AE$1:AE$100,MATCH($A146,'Coverage Indicators - Section D'!$A$1:$A$100,0)),""),"")</f>
        <v xml:space="preserve">
</v>
      </c>
      <c r="J159" s="94" t="str">
        <f ca="1">IFERROR(IF(INDEX('Coverage Indicators - Section D'!AG$1:AG$100,MATCH($A146,'Coverage Indicators - Section D'!$A$1:$A$100,0))&lt;&gt;"",FIXED(INDEX('Coverage Indicators - Section D'!AG$1:AG$100,MATCH($A146,'Coverage Indicators - Section D'!$A$1:$A$100,0))*100,2)&amp;"%",""),"")&amp;CHAR(10)&amp;IFERROR(IF(INDEX('Coverage Indicators - Section D'!AH$1:AH$100,MATCH($A146,'Coverage Indicators - Section D'!$A$1:$A$100,0))&lt;&gt;"",INDEX('Coverage Indicators - Section D'!AH$1:AH$100,MATCH($A146,'Coverage Indicators - Section D'!$A$1:$A$100,0)),""),"")</f>
        <v xml:space="preserve">
</v>
      </c>
      <c r="K159" s="94" t="str">
        <f ca="1">IFERROR(IF(INDEX('Coverage Indicators - Section D'!AJ$1:AJ$100,MATCH($A146,'Coverage Indicators - Section D'!$A$1:$A$100,0))&lt;&gt;"",FIXED(INDEX('Coverage Indicators - Section D'!AJ$1:AJ$100,MATCH($A146,'Coverage Indicators - Section D'!$A$1:$A$100,0))*100,2)&amp;"%",""),"")&amp;CHAR(10)&amp;IFERROR(IF(INDEX('Coverage Indicators - Section D'!AK$1:AK$100,MATCH($A146,'Coverage Indicators - Section D'!$A$1:$A$100,0))&lt;&gt;"",INDEX('Coverage Indicators - Section D'!AK$1:AK$100,MATCH($A146,'Coverage Indicators - Section D'!$A$1:$A$100,0)),""),"")</f>
        <v xml:space="preserve">
</v>
      </c>
      <c r="L159" s="86"/>
    </row>
    <row r="160" spans="1:12" ht="18.75" customHeight="1" x14ac:dyDescent="0.25">
      <c r="A160" s="667"/>
      <c r="B160" s="660" t="s">
        <v>176</v>
      </c>
      <c r="C160" s="661"/>
      <c r="D160" s="661"/>
      <c r="E160" s="661"/>
      <c r="F160" s="661"/>
      <c r="G160" s="661"/>
      <c r="H160" s="661"/>
      <c r="I160" s="661"/>
      <c r="J160" s="661"/>
      <c r="K160" s="662"/>
      <c r="L160" s="86"/>
    </row>
    <row r="161" spans="1:12" ht="18.75" customHeight="1" x14ac:dyDescent="0.25">
      <c r="A161" s="667"/>
      <c r="B161" s="669" t="str">
        <f>IFERROR(IF(INDEX('Coverage Indicators - Section D'!AL$1:AL$110,MATCH($A146,'Coverage Indicators - Section D'!$A$1:$A$110,0))&lt;&gt;0,INDEX('Coverage Indicators - Section D'!AL$1:AL$110,MATCH($A146,'Coverage Indicators - Section D'!$A$1:$A$110,0)),""),"")</f>
        <v xml:space="preserve">Numerator: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Denumerator: The number of program clients covered by the minimum package of services
Each quarter, different clients (UIC) must be tested, so the number of customers tested for quarters in total should give the total number of customers tested (UIC) for six months. </v>
      </c>
      <c r="C161" s="670"/>
      <c r="D161" s="670"/>
      <c r="E161" s="670"/>
      <c r="F161" s="670"/>
      <c r="G161" s="670"/>
      <c r="H161" s="670"/>
      <c r="I161" s="670"/>
      <c r="J161" s="670"/>
      <c r="K161" s="671"/>
      <c r="L161" s="86"/>
    </row>
    <row r="162" spans="1:12" ht="18.75" customHeight="1" x14ac:dyDescent="0.25">
      <c r="A162" s="667"/>
      <c r="B162" s="672"/>
      <c r="C162" s="673"/>
      <c r="D162" s="673"/>
      <c r="E162" s="673"/>
      <c r="F162" s="673"/>
      <c r="G162" s="673"/>
      <c r="H162" s="673"/>
      <c r="I162" s="673"/>
      <c r="J162" s="673"/>
      <c r="K162" s="674"/>
      <c r="L162" s="86"/>
    </row>
    <row r="163" spans="1:12" ht="18.75" customHeight="1" x14ac:dyDescent="0.25">
      <c r="A163" s="667"/>
      <c r="B163" s="672"/>
      <c r="C163" s="673"/>
      <c r="D163" s="673"/>
      <c r="E163" s="673"/>
      <c r="F163" s="673"/>
      <c r="G163" s="673"/>
      <c r="H163" s="673"/>
      <c r="I163" s="673"/>
      <c r="J163" s="673"/>
      <c r="K163" s="674"/>
      <c r="L163" s="86"/>
    </row>
    <row r="164" spans="1:12" ht="18.75" customHeight="1" x14ac:dyDescent="0.25">
      <c r="A164" s="667"/>
      <c r="B164" s="672"/>
      <c r="C164" s="673"/>
      <c r="D164" s="673"/>
      <c r="E164" s="673"/>
      <c r="F164" s="673"/>
      <c r="G164" s="673"/>
      <c r="H164" s="673"/>
      <c r="I164" s="673"/>
      <c r="J164" s="673"/>
      <c r="K164" s="674"/>
      <c r="L164" s="86"/>
    </row>
    <row r="165" spans="1:12" ht="18.75" customHeight="1" x14ac:dyDescent="0.25">
      <c r="A165" s="667"/>
      <c r="B165" s="672"/>
      <c r="C165" s="673"/>
      <c r="D165" s="673"/>
      <c r="E165" s="673"/>
      <c r="F165" s="673"/>
      <c r="G165" s="673"/>
      <c r="H165" s="673"/>
      <c r="I165" s="673"/>
      <c r="J165" s="673"/>
      <c r="K165" s="674"/>
      <c r="L165" s="86"/>
    </row>
    <row r="166" spans="1:12" ht="18.75" customHeight="1" x14ac:dyDescent="0.25">
      <c r="A166" s="667"/>
      <c r="B166" s="672"/>
      <c r="C166" s="673"/>
      <c r="D166" s="673"/>
      <c r="E166" s="673"/>
      <c r="F166" s="673"/>
      <c r="G166" s="673"/>
      <c r="H166" s="673"/>
      <c r="I166" s="673"/>
      <c r="J166" s="673"/>
      <c r="K166" s="674"/>
      <c r="L166" s="86"/>
    </row>
    <row r="167" spans="1:12" ht="18.75" customHeight="1" x14ac:dyDescent="0.25">
      <c r="A167" s="667"/>
      <c r="B167" s="672"/>
      <c r="C167" s="673"/>
      <c r="D167" s="673"/>
      <c r="E167" s="673"/>
      <c r="F167" s="673"/>
      <c r="G167" s="673"/>
      <c r="H167" s="673"/>
      <c r="I167" s="673"/>
      <c r="J167" s="673"/>
      <c r="K167" s="674"/>
      <c r="L167" s="86"/>
    </row>
    <row r="168" spans="1:12" ht="18.75" customHeight="1" x14ac:dyDescent="0.25">
      <c r="A168" s="667"/>
      <c r="B168" s="672"/>
      <c r="C168" s="673"/>
      <c r="D168" s="673"/>
      <c r="E168" s="673"/>
      <c r="F168" s="673"/>
      <c r="G168" s="673"/>
      <c r="H168" s="673"/>
      <c r="I168" s="673"/>
      <c r="J168" s="673"/>
      <c r="K168" s="674"/>
      <c r="L168" s="86"/>
    </row>
    <row r="169" spans="1:12" ht="18.75" customHeight="1" x14ac:dyDescent="0.25">
      <c r="A169" s="667"/>
      <c r="B169" s="672"/>
      <c r="C169" s="673"/>
      <c r="D169" s="673"/>
      <c r="E169" s="673"/>
      <c r="F169" s="673"/>
      <c r="G169" s="673"/>
      <c r="H169" s="673"/>
      <c r="I169" s="673"/>
      <c r="J169" s="673"/>
      <c r="K169" s="674"/>
      <c r="L169" s="86"/>
    </row>
    <row r="170" spans="1:12" ht="18.75" customHeight="1" x14ac:dyDescent="0.25">
      <c r="A170" s="668"/>
      <c r="B170" s="675"/>
      <c r="C170" s="676"/>
      <c r="D170" s="676"/>
      <c r="E170" s="676"/>
      <c r="F170" s="676"/>
      <c r="G170" s="676"/>
      <c r="H170" s="676"/>
      <c r="I170" s="676"/>
      <c r="J170" s="676"/>
      <c r="K170" s="677"/>
      <c r="L170" s="86"/>
    </row>
    <row r="171" spans="1:12" ht="18.75" customHeight="1" x14ac:dyDescent="0.25">
      <c r="A171" s="660"/>
      <c r="B171" s="661"/>
      <c r="C171" s="661"/>
      <c r="D171" s="661"/>
      <c r="E171" s="661"/>
      <c r="F171" s="661"/>
      <c r="G171" s="661"/>
      <c r="H171" s="661"/>
      <c r="I171" s="661"/>
      <c r="J171" s="661"/>
      <c r="K171" s="662"/>
      <c r="L171" s="86"/>
    </row>
    <row r="173" spans="1:12" ht="18.75" customHeight="1" x14ac:dyDescent="0.25">
      <c r="A173" s="93" t="s">
        <v>4383</v>
      </c>
      <c r="B173" s="660" t="s">
        <v>1046</v>
      </c>
      <c r="C173" s="662"/>
      <c r="D173" s="663" t="str">
        <f>IFERROR(IF(INDEX('Coverage Indicators - Section D'!B$1:B$100,MATCH($A174,'Coverage Indicators - Section D'!$A$1:$A$100,0))&lt;&gt;0,INDEX('Coverage Indicators - Section D'!B$1:B$100,MATCH($A174,'Coverage Indicators - Section D'!$A$1:$A$100,0)),""),"")</f>
        <v>Differentiated HIV Testing Services</v>
      </c>
      <c r="E173" s="664"/>
      <c r="F173" s="664"/>
      <c r="G173" s="664"/>
      <c r="H173" s="664"/>
      <c r="I173" s="664"/>
      <c r="J173" s="664"/>
      <c r="K173" s="665"/>
      <c r="L173" s="86"/>
    </row>
    <row r="174" spans="1:12" ht="18.75" customHeight="1" x14ac:dyDescent="0.25">
      <c r="A174" s="666">
        <v>7</v>
      </c>
      <c r="B174" s="660" t="s">
        <v>738</v>
      </c>
      <c r="C174" s="661"/>
      <c r="D174" s="661"/>
      <c r="E174" s="661"/>
      <c r="F174" s="662"/>
      <c r="G174" s="660" t="s">
        <v>739</v>
      </c>
      <c r="H174" s="661"/>
      <c r="I174" s="661"/>
      <c r="J174" s="661"/>
      <c r="K174" s="662"/>
      <c r="L174" s="86"/>
    </row>
    <row r="175" spans="1:12" ht="18.75" customHeight="1" x14ac:dyDescent="0.25">
      <c r="A175" s="667"/>
      <c r="B175" s="669" t="str">
        <f>IFERROR(IF(INDEX('Coverage Indicators - Section D'!C$1:C$100,MATCH($A174,'Coverage Indicators - Section D'!$A$1:$A$100,0))&lt;&gt;0,INDEX('Coverage Indicators - Section D'!C$1:C$100,MATCH($A174,'Coverage Indicators - Section D'!$A$1:$A$100,0)),""),"")</f>
        <v>HTS-3c⁽ᴹ⁾ Percentage of sex workers that have received an HIV test during the reporting period in KP-specific programs and know their results</v>
      </c>
      <c r="C175" s="670"/>
      <c r="D175" s="670"/>
      <c r="E175" s="670"/>
      <c r="F175" s="671"/>
      <c r="G175" s="669" t="str">
        <f>IFERROR(IF(INDEX('Coverage Indicators - Section D'!D$1:D$100,MATCH($A174,'Coverage Indicators - Section D'!$A$1:$A$100,0))&lt;&gt;0,INDEX('Coverage Indicators - Section D'!D$1:D$100,MATCH($A174,'Coverage Indicators - Section D'!$A$1:$A$100,0)),""),"")</f>
        <v/>
      </c>
      <c r="H175" s="670"/>
      <c r="I175" s="670"/>
      <c r="J175" s="670"/>
      <c r="K175" s="671"/>
      <c r="L175" s="86"/>
    </row>
    <row r="176" spans="1:12" ht="18.75" customHeight="1" x14ac:dyDescent="0.25">
      <c r="A176" s="667"/>
      <c r="B176" s="672"/>
      <c r="C176" s="673"/>
      <c r="D176" s="673"/>
      <c r="E176" s="673"/>
      <c r="F176" s="674"/>
      <c r="G176" s="672"/>
      <c r="H176" s="673"/>
      <c r="I176" s="673"/>
      <c r="J176" s="673"/>
      <c r="K176" s="674"/>
      <c r="L176" s="86"/>
    </row>
    <row r="177" spans="1:12" ht="18.75" customHeight="1" x14ac:dyDescent="0.25">
      <c r="A177" s="667"/>
      <c r="B177" s="675"/>
      <c r="C177" s="676"/>
      <c r="D177" s="676"/>
      <c r="E177" s="676"/>
      <c r="F177" s="677"/>
      <c r="G177" s="675"/>
      <c r="H177" s="676"/>
      <c r="I177" s="676"/>
      <c r="J177" s="676"/>
      <c r="K177" s="677"/>
      <c r="L177" s="86"/>
    </row>
    <row r="178" spans="1:12" ht="18.75" customHeight="1" x14ac:dyDescent="0.25">
      <c r="A178" s="667"/>
      <c r="B178" s="660" t="s">
        <v>742</v>
      </c>
      <c r="C178" s="661"/>
      <c r="D178" s="662"/>
      <c r="E178" s="660" t="s">
        <v>216</v>
      </c>
      <c r="F178" s="661"/>
      <c r="G178" s="662"/>
      <c r="H178" s="660" t="s">
        <v>127</v>
      </c>
      <c r="I178" s="661"/>
      <c r="J178" s="662"/>
      <c r="K178" s="93" t="s">
        <v>2175</v>
      </c>
      <c r="L178" s="86"/>
    </row>
    <row r="179" spans="1:12" ht="18.75" customHeight="1" x14ac:dyDescent="0.25">
      <c r="A179" s="667"/>
      <c r="B179" s="663" t="str">
        <f>IFERROR(IF(INDEX('Coverage Indicators - Section D'!I$9:I$68,MATCH($A174,'Coverage Indicators - Section D'!$A$9:$A$68,0))&lt;&gt;0,INDEX('Coverage Indicators - Section D'!I$9:I$68,MATCH($A174,'Coverage Indicators - Section D'!$A$9:$A$68,0)),""),"")</f>
        <v>Gender,Age</v>
      </c>
      <c r="C179" s="664"/>
      <c r="D179" s="665"/>
      <c r="E179" s="663" t="str">
        <f>IFERROR(IF(INDEX('Coverage Indicators - Section D'!M$1:M$100,MATCH($A174,'Coverage Indicators - Section D'!$A$1:$A$100,0))&lt;&gt;0,INDEX('Coverage Indicators - Section D'!M$1:M$100,MATCH($A174,'Coverage Indicators - Section D'!$A$1:$A$100,0)),""),"")</f>
        <v/>
      </c>
      <c r="F179" s="664"/>
      <c r="G179" s="665"/>
      <c r="H179" s="663" t="str">
        <f>IFERROR(IF(INDEX('Coverage Indicators - Section D'!L$1:L$100,MATCH($A174,'Coverage Indicators - Section D'!$A$1:$A$100,0))&lt;&gt;0,INDEX('Coverage Indicators - Section D'!L$1:L$100,MATCH($A174,'Coverage Indicators - Section D'!$A$1:$A$100,0)),""),"")</f>
        <v/>
      </c>
      <c r="I179" s="664"/>
      <c r="J179" s="665"/>
      <c r="K179" s="94" t="str">
        <f>IFERROR(IF(INDEX('Coverage Indicators - Section D'!J$1:J$100,MATCH($A174,'Coverage Indicators - Section D'!$A$1:$A$100,0))&lt;&gt;0,INDEX('Coverage Indicators - Section D'!J$1:J$100,MATCH($A174,'Coverage Indicators - Section D'!$A$1:$A$100,0)),""),"")</f>
        <v>Yes</v>
      </c>
      <c r="L179" s="86"/>
    </row>
    <row r="180" spans="1:12" ht="18.75" customHeight="1" x14ac:dyDescent="0.25">
      <c r="A180" s="667"/>
      <c r="B180" s="660" t="s">
        <v>199</v>
      </c>
      <c r="C180" s="661"/>
      <c r="D180" s="662"/>
      <c r="E180" s="660" t="s">
        <v>4392</v>
      </c>
      <c r="F180" s="661"/>
      <c r="G180" s="662"/>
      <c r="H180" s="660" t="s">
        <v>120</v>
      </c>
      <c r="I180" s="661"/>
      <c r="J180" s="661"/>
      <c r="K180" s="662"/>
      <c r="L180" s="86"/>
    </row>
    <row r="181" spans="1:12" ht="18.75" customHeight="1" x14ac:dyDescent="0.25">
      <c r="A181" s="667"/>
      <c r="B181" s="669" t="str">
        <f>IFERROR(IF(INDEX('Coverage Indicators - Section D'!H$1:H$100,MATCH($A174,'Coverage Indicators - Section D'!$A$1:$A$100,0))&lt;&gt;0,INDEX('Coverage Indicators - Section D'!H$1:H$100,MATCH($A174,'Coverage Indicators - Section D'!$A$1:$A$100,0)),""),"")</f>
        <v>Administrative reports</v>
      </c>
      <c r="C181" s="670"/>
      <c r="D181" s="671"/>
      <c r="E181" s="669" t="str">
        <f>IFERROR(IF(INDEX('Coverage Indicators - Section D'!L$1:L$100,MATCH($A174,'Coverage Indicators - Section D'!$A$1:$A$100,0)+1)&lt;&gt;0,INDEX('Coverage Indicators - Section D'!L$1:L$100,MATCH($A174,'Coverage Indicators - Section D'!$A$1:$A$100,0)+1),""),"")</f>
        <v>Geographic National, 100% of national program target</v>
      </c>
      <c r="F181" s="670"/>
      <c r="G181" s="671"/>
      <c r="H181" s="669" t="str">
        <f>IFERROR(IF(AND('Overview - Section A'!AS$1="Grant Making",OR(B175&lt;&gt;"",G175&lt;&gt;"")),Setup!I183,IF(INDEX('Coverage Indicators - Section D'!K$1:K$100,MATCH($A174,'Coverage Indicators - Section D'!$A$1:$A$100,0))&lt;&gt;0,INDEX('Coverage Indicators - Section D'!K$1:K$100,MATCH($A174,'Coverage Indicators - Section D'!$A$1:$A$100,0)),"")),"")</f>
        <v>United Nations Development Programme</v>
      </c>
      <c r="I181" s="670"/>
      <c r="J181" s="670"/>
      <c r="K181" s="671"/>
      <c r="L181" s="86"/>
    </row>
    <row r="182" spans="1:12" ht="18.75" customHeight="1" x14ac:dyDescent="0.25">
      <c r="A182" s="667"/>
      <c r="B182" s="675"/>
      <c r="C182" s="676"/>
      <c r="D182" s="677"/>
      <c r="E182" s="675"/>
      <c r="F182" s="676"/>
      <c r="G182" s="677"/>
      <c r="H182" s="675"/>
      <c r="I182" s="676"/>
      <c r="J182" s="676"/>
      <c r="K182" s="677"/>
      <c r="L182" s="86"/>
    </row>
    <row r="183" spans="1:12" ht="18.75" customHeight="1" x14ac:dyDescent="0.25">
      <c r="A183" s="667"/>
      <c r="B183" s="93"/>
      <c r="C183" s="93" t="s">
        <v>4384</v>
      </c>
      <c r="D183" s="660" t="s">
        <v>4385</v>
      </c>
      <c r="E183" s="661"/>
      <c r="F183" s="661"/>
      <c r="G183" s="661"/>
      <c r="H183" s="661"/>
      <c r="I183" s="661"/>
      <c r="J183" s="661"/>
      <c r="K183" s="662"/>
      <c r="L183" s="86"/>
    </row>
    <row r="184" spans="1:12" ht="18.75" customHeight="1" x14ac:dyDescent="0.25">
      <c r="A184" s="667"/>
      <c r="B184" s="93" t="s">
        <v>2559</v>
      </c>
      <c r="C184" s="94">
        <f>IFERROR(IF(INDEX('Coverage Indicators - Section D'!G$1:G$100,MATCH($A174,'Coverage Indicators - Section D'!$A$1:$A$100,0))&lt;&gt;0,INDEX('Coverage Indicators - Section D'!G$1:G$100,MATCH($A174,'Coverage Indicators - Section D'!$A$1:$A$100,0)),""),"")</f>
        <v>2022</v>
      </c>
      <c r="D184"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184"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184"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184"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184"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184"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184"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184"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184" s="86"/>
    </row>
    <row r="185" spans="1:12" s="97" customFormat="1" ht="18.75" customHeight="1" x14ac:dyDescent="0.25">
      <c r="A185" s="667"/>
      <c r="B185" s="93" t="s">
        <v>4386</v>
      </c>
      <c r="C185" s="95">
        <f>IFERROR(IF(INDEX('Coverage Indicators - Section D'!E$1:E$100,MATCH($A174,'Coverage Indicators - Section D'!$A$1:$A$100,0))&lt;&gt;"",INDEX('Coverage Indicators - Section D'!E$1:E$100,MATCH($A174,'Coverage Indicators - Section D'!$A$1:$A$100,0)),""),"")</f>
        <v>3843</v>
      </c>
      <c r="D185" s="95">
        <f>IFERROR(IF(INDEX('Coverage Indicators - Section D'!N$1:N$100,MATCH($A174,'Coverage Indicators - Section D'!$A$1:$A$100,0))&lt;&gt;"",INDEX('Coverage Indicators - Section D'!N$1:N$100,MATCH($A174,'Coverage Indicators - Section D'!$A$1:$A$100,0)),""),"")</f>
        <v>3995</v>
      </c>
      <c r="E185" s="95">
        <f>IFERROR(IF(INDEX('Coverage Indicators - Section D'!Q$1:Q$100,MATCH($A174,'Coverage Indicators - Section D'!$A$1:$A$100,0))&lt;&gt;"",INDEX('Coverage Indicators - Section D'!Q$1:Q$100,MATCH($A174,'Coverage Indicators - Section D'!$A$1:$A$100,0)),""),"")</f>
        <v>4230</v>
      </c>
      <c r="F185" s="95">
        <f>IFERROR(IF(INDEX('Coverage Indicators - Section D'!T$1:T$100,MATCH($A174,'Coverage Indicators - Section D'!$A$1:$A$100,0))&lt;&gt;"",INDEX('Coverage Indicators - Section D'!T$1:T$100,MATCH($A174,'Coverage Indicators - Section D'!$A$1:$A$100,0)),""),"")</f>
        <v>4465</v>
      </c>
      <c r="G185" s="95" t="str">
        <f>IFERROR(IF(INDEX('Coverage Indicators - Section D'!W$1:W$100,MATCH($A174,'Coverage Indicators - Section D'!$A$1:$A$100,0))&lt;&gt;"",INDEX('Coverage Indicators - Section D'!W$1:W$100,MATCH($A174,'Coverage Indicators - Section D'!$A$1:$A$100,0)),""),"")</f>
        <v/>
      </c>
      <c r="H185" s="95" t="str">
        <f>IFERROR(IF(INDEX('Coverage Indicators - Section D'!Z$1:Z$100,MATCH($A174,'Coverage Indicators - Section D'!$A$1:$A$100,0))&lt;&gt;"",INDEX('Coverage Indicators - Section D'!Z$1:Z$100,MATCH($A174,'Coverage Indicators - Section D'!$A$1:$A$100,0)),""),"")</f>
        <v/>
      </c>
      <c r="I185" s="95" t="str">
        <f>IFERROR(IF(INDEX('Coverage Indicators - Section D'!AC$1:AC$100,MATCH($A174,'Coverage Indicators - Section D'!$A$1:$A$100,0))&lt;&gt;"",INDEX('Coverage Indicators - Section D'!AC$1:AC$100,MATCH($A174,'Coverage Indicators - Section D'!$A$1:$A$100,0)),""),"")</f>
        <v/>
      </c>
      <c r="J185" s="95" t="str">
        <f>IFERROR(IF(INDEX('Coverage Indicators - Section D'!AF$1:AF$100,MATCH($A174,'Coverage Indicators - Section D'!$A$1:$A$100,0))&lt;&gt;"",INDEX('Coverage Indicators - Section D'!AF$1:AF$100,MATCH($A174,'Coverage Indicators - Section D'!$A$1:$A$100,0)),""),"")</f>
        <v/>
      </c>
      <c r="K185" s="95" t="str">
        <f>IFERROR(IF(INDEX('Coverage Indicators - Section D'!AI$1:AI$100,MATCH($A174,'Coverage Indicators - Section D'!$A$1:$A$100,0))&lt;&gt;"",INDEX('Coverage Indicators - Section D'!AI$1:AI$100,MATCH($A174,'Coverage Indicators - Section D'!$A$1:$A$100,0)),""),"")</f>
        <v/>
      </c>
      <c r="L185" s="96"/>
    </row>
    <row r="186" spans="1:12" s="100" customFormat="1" ht="18.75" customHeight="1" x14ac:dyDescent="0.25">
      <c r="A186" s="667"/>
      <c r="B186" s="93" t="s">
        <v>4387</v>
      </c>
      <c r="C186" s="98">
        <f>IFERROR(IF(INDEX('Coverage Indicators - Section D'!E$1:E$100,MATCH($A174,'Coverage Indicators - Section D'!$A$1:$A$100,0)+1)&lt;&gt;"",INDEX('Coverage Indicators - Section D'!E$1:E$100,MATCH($A174,'Coverage Indicators - Section D'!$A$1:$A$100,0)+1),""),"")</f>
        <v>7103</v>
      </c>
      <c r="D186" s="98">
        <f>IFERROR(IF(INDEX('Coverage Indicators - Section D'!N$1:N$100,MATCH($A174,'Coverage Indicators - Section D'!$A$1:$A$100,0)+1)&lt;&gt;"",INDEX('Coverage Indicators - Section D'!N$1:N$100,MATCH($A174,'Coverage Indicators - Section D'!$A$1:$A$100,0)+1),""),"")</f>
        <v>4700</v>
      </c>
      <c r="E186" s="98">
        <f>IFERROR(IF(INDEX('Coverage Indicators - Section D'!Q$1:Q$100,MATCH($A174,'Coverage Indicators - Section D'!$A$1:$A$100,0)+1)&lt;&gt;"",INDEX('Coverage Indicators - Section D'!Q$1:Q$100,MATCH($A174,'Coverage Indicators - Section D'!$A$1:$A$100,0)+1),""),"")</f>
        <v>4700</v>
      </c>
      <c r="F186" s="98">
        <f>IFERROR(IF(INDEX('Coverage Indicators - Section D'!T$1:T$100,MATCH($A174,'Coverage Indicators - Section D'!$A$1:$A$100,0)+1)&lt;&gt;"",INDEX('Coverage Indicators - Section D'!T$1:T$100,MATCH($A174,'Coverage Indicators - Section D'!$A$1:$A$100,0)+1),""),"")</f>
        <v>4700</v>
      </c>
      <c r="G186" s="98" t="str">
        <f>IFERROR(IF(INDEX('Coverage Indicators - Section D'!W$1:W$100,MATCH($A174,'Coverage Indicators - Section D'!$A$1:$A$100,0)+1)&lt;&gt;"",INDEX('Coverage Indicators - Section D'!W$1:W$100,MATCH($A174,'Coverage Indicators - Section D'!$A$1:$A$100,0)+1),""),"")</f>
        <v/>
      </c>
      <c r="H186" s="98" t="str">
        <f>IFERROR(IF(INDEX('Coverage Indicators - Section D'!Z$1:Z$100,MATCH($A174,'Coverage Indicators - Section D'!$A$1:$A$100,0)+1)&lt;&gt;"",INDEX('Coverage Indicators - Section D'!Z$1:Z$100,MATCH($A174,'Coverage Indicators - Section D'!$A$1:$A$100,0)+1),""),"")</f>
        <v/>
      </c>
      <c r="I186" s="98" t="str">
        <f>IFERROR(IF(INDEX('Coverage Indicators - Section D'!AC$1:AC$100,MATCH($A174,'Coverage Indicators - Section D'!$A$1:$A$100,0)+1)&lt;&gt;"",INDEX('Coverage Indicators - Section D'!AC$1:AC$100,MATCH($A174,'Coverage Indicators - Section D'!$A$1:$A$100,0)+1),""),"")</f>
        <v/>
      </c>
      <c r="J186" s="98" t="str">
        <f>IFERROR(IF(INDEX('Coverage Indicators - Section D'!AF$1:AF$100,MATCH($A174,'Coverage Indicators - Section D'!$A$1:$A$100,0)+1)&lt;&gt;"",INDEX('Coverage Indicators - Section D'!AF$1:AF$100,MATCH($A174,'Coverage Indicators - Section D'!$A$1:$A$100,0)+1),""),"")</f>
        <v/>
      </c>
      <c r="K186" s="98" t="str">
        <f>IFERROR(IF(INDEX('Coverage Indicators - Section D'!AI$1:AI$100,MATCH($A174,'Coverage Indicators - Section D'!$A$1:$A$100,0)+1)&lt;&gt;"",INDEX('Coverage Indicators - Section D'!AI$1:AI$100,MATCH($A174,'Coverage Indicators - Section D'!$A$1:$A$100,0)+1),""),"")</f>
        <v/>
      </c>
      <c r="L186" s="99"/>
    </row>
    <row r="187" spans="1:12" ht="18.75" customHeight="1" x14ac:dyDescent="0.25">
      <c r="A187" s="667"/>
      <c r="B187" s="93" t="s">
        <v>4388</v>
      </c>
      <c r="C187" s="94" t="str">
        <f ca="1">IFERROR(IF(INDEX('Coverage Indicators - Section D'!F$1:F$100,MATCH($A174,'Coverage Indicators - Section D'!$A$1:$A$100,0))&lt;&gt;"",FIXED(INDEX('Coverage Indicators - Section D'!F$1:F$100,MATCH($A174,'Coverage Indicators - Section D'!$A$1:$A$100,0))*100,2)&amp;"%",""),"")</f>
        <v>54,10%</v>
      </c>
      <c r="D187" s="94" t="str">
        <f>IFERROR(IF(INDEX('Coverage Indicators - Section D'!O$1:O$100,MATCH($A174,'Coverage Indicators - Section D'!$A$1:$A$100,0))&lt;&gt;"",FIXED(INDEX('Coverage Indicators - Section D'!O$1:O$100,MATCH($A174,'Coverage Indicators - Section D'!$A$1:$A$100,0))*100,2)&amp;"%",""),"")&amp;CHAR(10)&amp;IFERROR(IF(INDEX('Coverage Indicators - Section D'!P$1:P$100,MATCH($A174,'Coverage Indicators - Section D'!$A$1:$A$100,0))&lt;&gt;"",INDEX('Coverage Indicators - Section D'!P$1:P$100,MATCH($A174,'Coverage Indicators - Section D'!$A$1:$A$100,0)),""),"")</f>
        <v xml:space="preserve">85,00%
</v>
      </c>
      <c r="E187" s="94" t="str">
        <f>IFERROR(IF(INDEX('Coverage Indicators - Section D'!R$1:R$100,MATCH($A174,'Coverage Indicators - Section D'!$A$1:$A$100,0))&lt;&gt;"",FIXED(INDEX('Coverage Indicators - Section D'!R$1:R$100,MATCH($A174,'Coverage Indicators - Section D'!$A$1:$A$100,0))*100,2)&amp;"%",""),"")&amp;CHAR(10)&amp;IFERROR(IF(INDEX('Coverage Indicators - Section D'!S$1:S$100,MATCH($A174,'Coverage Indicators - Section D'!$A$1:$A$100,0))&lt;&gt;"",INDEX('Coverage Indicators - Section D'!S$1:S$100,MATCH($A174,'Coverage Indicators - Section D'!$A$1:$A$100,0)),""),"")</f>
        <v xml:space="preserve">90,00%
</v>
      </c>
      <c r="F187" s="94" t="str">
        <f>IFERROR(IF(INDEX('Coverage Indicators - Section D'!U$1:U$100,MATCH($A174,'Coverage Indicators - Section D'!$A$1:$A$100,0))&lt;&gt;"",FIXED(INDEX('Coverage Indicators - Section D'!U$1:U$100,MATCH($A174,'Coverage Indicators - Section D'!$A$1:$A$100,0))*100,2)&amp;"%",""),"")&amp;CHAR(10)&amp;IFERROR(IF(INDEX('Coverage Indicators - Section D'!V$1:V$100,MATCH($A174,'Coverage Indicators - Section D'!$A$1:$A$100,0))&lt;&gt;"",INDEX('Coverage Indicators - Section D'!V$1:V$100,MATCH($A174,'Coverage Indicators - Section D'!$A$1:$A$100,0)),""),"")</f>
        <v xml:space="preserve">95,00%
</v>
      </c>
      <c r="G187" s="94" t="str">
        <f ca="1">IFERROR(IF(INDEX('Coverage Indicators - Section D'!X$1:X$100,MATCH($A174,'Coverage Indicators - Section D'!$A$1:$A$100,0))&lt;&gt;"",FIXED(INDEX('Coverage Indicators - Section D'!X$1:X$100,MATCH($A174,'Coverage Indicators - Section D'!$A$1:$A$100,0))*100,2)&amp;"%",""),"")&amp;CHAR(10)&amp;IFERROR(IF(INDEX('Coverage Indicators - Section D'!Y$1:Y$100,MATCH($A174,'Coverage Indicators - Section D'!$A$1:$A$100,0))&lt;&gt;"",INDEX('Coverage Indicators - Section D'!Y$1:Y$100,MATCH($A174,'Coverage Indicators - Section D'!$A$1:$A$100,0)),""),"")</f>
        <v xml:space="preserve">
</v>
      </c>
      <c r="H187" s="94" t="str">
        <f ca="1">IFERROR(IF(INDEX('Coverage Indicators - Section D'!AA$1:AA$100,MATCH(A174,'Coverage Indicators - Section D'!$A$1:$A$100,0))&lt;&gt;"",FIXED(INDEX('Coverage Indicators - Section D'!AA$1:AA$100,MATCH($A174,'Coverage Indicators - Section D'!$A$1:$A$100,0))*100,2)&amp;"%",""),"")&amp;CHAR(10)&amp;IFERROR(IF(INDEX('Coverage Indicators - Section D'!AB$1:AB$100,MATCH($A174,'Coverage Indicators - Section D'!$A$1:$A$100,0))&lt;&gt;"",INDEX('Coverage Indicators - Section D'!AB$1:AB$100,MATCH($A174,'Coverage Indicators - Section D'!$A$1:$A$100,0)),""),"")</f>
        <v xml:space="preserve">
</v>
      </c>
      <c r="I187" s="94" t="str">
        <f ca="1">IFERROR(IF(INDEX('Coverage Indicators - Section D'!AD$1:AD$100,MATCH($A174,'Coverage Indicators - Section D'!$A$1:$A$100,0))&lt;&gt;"",FIXED(INDEX('Coverage Indicators - Section D'!AD$1:AD$100,MATCH($A174,'Coverage Indicators - Section D'!$A$1:$A$100,0))*100,2)&amp;"%",""),"")&amp;CHAR(10)&amp;IFERROR(IF(INDEX('Coverage Indicators - Section D'!AE$1:AE$100,MATCH($A174,'Coverage Indicators - Section D'!$A$1:$A$100,0))&lt;&gt;"",INDEX('Coverage Indicators - Section D'!AE$1:AE$100,MATCH($A174,'Coverage Indicators - Section D'!$A$1:$A$100,0)),""),"")</f>
        <v xml:space="preserve">
</v>
      </c>
      <c r="J187" s="94" t="str">
        <f ca="1">IFERROR(IF(INDEX('Coverage Indicators - Section D'!AG$1:AG$100,MATCH($A174,'Coverage Indicators - Section D'!$A$1:$A$100,0))&lt;&gt;"",FIXED(INDEX('Coverage Indicators - Section D'!AG$1:AG$100,MATCH($A174,'Coverage Indicators - Section D'!$A$1:$A$100,0))*100,2)&amp;"%",""),"")&amp;CHAR(10)&amp;IFERROR(IF(INDEX('Coverage Indicators - Section D'!AH$1:AH$100,MATCH($A174,'Coverage Indicators - Section D'!$A$1:$A$100,0))&lt;&gt;"",INDEX('Coverage Indicators - Section D'!AH$1:AH$100,MATCH($A174,'Coverage Indicators - Section D'!$A$1:$A$100,0)),""),"")</f>
        <v xml:space="preserve">
</v>
      </c>
      <c r="K187" s="94" t="str">
        <f ca="1">IFERROR(IF(INDEX('Coverage Indicators - Section D'!AJ$1:AJ$100,MATCH($A174,'Coverage Indicators - Section D'!$A$1:$A$100,0))&lt;&gt;"",FIXED(INDEX('Coverage Indicators - Section D'!AJ$1:AJ$100,MATCH($A174,'Coverage Indicators - Section D'!$A$1:$A$100,0))*100,2)&amp;"%",""),"")&amp;CHAR(10)&amp;IFERROR(IF(INDEX('Coverage Indicators - Section D'!AK$1:AK$100,MATCH($A174,'Coverage Indicators - Section D'!$A$1:$A$100,0))&lt;&gt;"",INDEX('Coverage Indicators - Section D'!AK$1:AK$100,MATCH($A174,'Coverage Indicators - Section D'!$A$1:$A$100,0)),""),"")</f>
        <v xml:space="preserve">
</v>
      </c>
      <c r="L187" s="86"/>
    </row>
    <row r="188" spans="1:12" ht="18.75" customHeight="1" x14ac:dyDescent="0.25">
      <c r="A188" s="667"/>
      <c r="B188" s="660" t="s">
        <v>176</v>
      </c>
      <c r="C188" s="661"/>
      <c r="D188" s="661"/>
      <c r="E188" s="661"/>
      <c r="F188" s="661"/>
      <c r="G188" s="661"/>
      <c r="H188" s="661"/>
      <c r="I188" s="661"/>
      <c r="J188" s="661"/>
      <c r="K188" s="662"/>
      <c r="L188" s="86"/>
    </row>
    <row r="189" spans="1:12" ht="18.75" customHeight="1" x14ac:dyDescent="0.25">
      <c r="A189" s="667"/>
      <c r="B189" s="669" t="str">
        <f>IFERROR(IF(INDEX('Coverage Indicators - Section D'!AL$1:AL$110,MATCH($A174,'Coverage Indicators - Section D'!$A$1:$A$110,0))&lt;&gt;0,INDEX('Coverage Indicators - Section D'!AL$1:AL$110,MATCH($A174,'Coverage Indicators - Section D'!$A$1:$A$110,0)),""),"")</f>
        <v>Numerator: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Denumerator: The number of program clients covered by the minimum package of services
Each quarter, different clients (UIC) must be tested, so the number of customers tested for quarters in total should give the total number of customers tested (UIC) for six months. Due to the fact that SW coverage with the minimum package of services is not achieved, testing coverage was also not achieved in this cycle.</v>
      </c>
      <c r="C189" s="670"/>
      <c r="D189" s="670"/>
      <c r="E189" s="670"/>
      <c r="F189" s="670"/>
      <c r="G189" s="670"/>
      <c r="H189" s="670"/>
      <c r="I189" s="670"/>
      <c r="J189" s="670"/>
      <c r="K189" s="671"/>
      <c r="L189" s="86"/>
    </row>
    <row r="190" spans="1:12" ht="18.75" customHeight="1" x14ac:dyDescent="0.25">
      <c r="A190" s="667"/>
      <c r="B190" s="672"/>
      <c r="C190" s="673"/>
      <c r="D190" s="673"/>
      <c r="E190" s="673"/>
      <c r="F190" s="673"/>
      <c r="G190" s="673"/>
      <c r="H190" s="673"/>
      <c r="I190" s="673"/>
      <c r="J190" s="673"/>
      <c r="K190" s="674"/>
      <c r="L190" s="86"/>
    </row>
    <row r="191" spans="1:12" ht="18.75" customHeight="1" x14ac:dyDescent="0.25">
      <c r="A191" s="667"/>
      <c r="B191" s="672"/>
      <c r="C191" s="673"/>
      <c r="D191" s="673"/>
      <c r="E191" s="673"/>
      <c r="F191" s="673"/>
      <c r="G191" s="673"/>
      <c r="H191" s="673"/>
      <c r="I191" s="673"/>
      <c r="J191" s="673"/>
      <c r="K191" s="674"/>
      <c r="L191" s="86"/>
    </row>
    <row r="192" spans="1:12" ht="18.75" customHeight="1" x14ac:dyDescent="0.25">
      <c r="A192" s="667"/>
      <c r="B192" s="672"/>
      <c r="C192" s="673"/>
      <c r="D192" s="673"/>
      <c r="E192" s="673"/>
      <c r="F192" s="673"/>
      <c r="G192" s="673"/>
      <c r="H192" s="673"/>
      <c r="I192" s="673"/>
      <c r="J192" s="673"/>
      <c r="K192" s="674"/>
      <c r="L192" s="86"/>
    </row>
    <row r="193" spans="1:12" ht="18.75" customHeight="1" x14ac:dyDescent="0.25">
      <c r="A193" s="667"/>
      <c r="B193" s="672"/>
      <c r="C193" s="673"/>
      <c r="D193" s="673"/>
      <c r="E193" s="673"/>
      <c r="F193" s="673"/>
      <c r="G193" s="673"/>
      <c r="H193" s="673"/>
      <c r="I193" s="673"/>
      <c r="J193" s="673"/>
      <c r="K193" s="674"/>
      <c r="L193" s="86"/>
    </row>
    <row r="194" spans="1:12" ht="18.75" customHeight="1" x14ac:dyDescent="0.25">
      <c r="A194" s="667"/>
      <c r="B194" s="672"/>
      <c r="C194" s="673"/>
      <c r="D194" s="673"/>
      <c r="E194" s="673"/>
      <c r="F194" s="673"/>
      <c r="G194" s="673"/>
      <c r="H194" s="673"/>
      <c r="I194" s="673"/>
      <c r="J194" s="673"/>
      <c r="K194" s="674"/>
      <c r="L194" s="86"/>
    </row>
    <row r="195" spans="1:12" ht="18.75" customHeight="1" x14ac:dyDescent="0.25">
      <c r="A195" s="667"/>
      <c r="B195" s="672"/>
      <c r="C195" s="673"/>
      <c r="D195" s="673"/>
      <c r="E195" s="673"/>
      <c r="F195" s="673"/>
      <c r="G195" s="673"/>
      <c r="H195" s="673"/>
      <c r="I195" s="673"/>
      <c r="J195" s="673"/>
      <c r="K195" s="674"/>
      <c r="L195" s="86"/>
    </row>
    <row r="196" spans="1:12" ht="18.75" customHeight="1" x14ac:dyDescent="0.25">
      <c r="A196" s="667"/>
      <c r="B196" s="672"/>
      <c r="C196" s="673"/>
      <c r="D196" s="673"/>
      <c r="E196" s="673"/>
      <c r="F196" s="673"/>
      <c r="G196" s="673"/>
      <c r="H196" s="673"/>
      <c r="I196" s="673"/>
      <c r="J196" s="673"/>
      <c r="K196" s="674"/>
      <c r="L196" s="86"/>
    </row>
    <row r="197" spans="1:12" ht="18.75" customHeight="1" x14ac:dyDescent="0.25">
      <c r="A197" s="667"/>
      <c r="B197" s="672"/>
      <c r="C197" s="673"/>
      <c r="D197" s="673"/>
      <c r="E197" s="673"/>
      <c r="F197" s="673"/>
      <c r="G197" s="673"/>
      <c r="H197" s="673"/>
      <c r="I197" s="673"/>
      <c r="J197" s="673"/>
      <c r="K197" s="674"/>
      <c r="L197" s="86"/>
    </row>
    <row r="198" spans="1:12" ht="18.75" customHeight="1" x14ac:dyDescent="0.25">
      <c r="A198" s="668"/>
      <c r="B198" s="675"/>
      <c r="C198" s="676"/>
      <c r="D198" s="676"/>
      <c r="E198" s="676"/>
      <c r="F198" s="676"/>
      <c r="G198" s="676"/>
      <c r="H198" s="676"/>
      <c r="I198" s="676"/>
      <c r="J198" s="676"/>
      <c r="K198" s="677"/>
      <c r="L198" s="86"/>
    </row>
    <row r="199" spans="1:12" ht="18.75" customHeight="1" x14ac:dyDescent="0.25">
      <c r="A199" s="660"/>
      <c r="B199" s="661"/>
      <c r="C199" s="661"/>
      <c r="D199" s="661"/>
      <c r="E199" s="661"/>
      <c r="F199" s="661"/>
      <c r="G199" s="661"/>
      <c r="H199" s="661"/>
      <c r="I199" s="661"/>
      <c r="J199" s="661"/>
      <c r="K199" s="662"/>
      <c r="L199" s="86"/>
    </row>
    <row r="201" spans="1:12" ht="18.75" customHeight="1" x14ac:dyDescent="0.25">
      <c r="A201" s="93" t="s">
        <v>4383</v>
      </c>
      <c r="B201" s="660" t="s">
        <v>1046</v>
      </c>
      <c r="C201" s="662"/>
      <c r="D201" s="663" t="str">
        <f>IFERROR(IF(INDEX('Coverage Indicators - Section D'!B$1:B$100,MATCH($A202,'Coverage Indicators - Section D'!$A$1:$A$100,0))&lt;&gt;0,INDEX('Coverage Indicators - Section D'!B$1:B$100,MATCH($A202,'Coverage Indicators - Section D'!$A$1:$A$100,0)),""),"")</f>
        <v>Differentiated HIV Testing Services</v>
      </c>
      <c r="E201" s="664"/>
      <c r="F201" s="664"/>
      <c r="G201" s="664"/>
      <c r="H201" s="664"/>
      <c r="I201" s="664"/>
      <c r="J201" s="664"/>
      <c r="K201" s="665"/>
      <c r="L201" s="86"/>
    </row>
    <row r="202" spans="1:12" ht="18.75" customHeight="1" x14ac:dyDescent="0.25">
      <c r="A202" s="666">
        <v>8</v>
      </c>
      <c r="B202" s="660" t="s">
        <v>738</v>
      </c>
      <c r="C202" s="661"/>
      <c r="D202" s="661"/>
      <c r="E202" s="661"/>
      <c r="F202" s="662"/>
      <c r="G202" s="660" t="s">
        <v>739</v>
      </c>
      <c r="H202" s="661"/>
      <c r="I202" s="661"/>
      <c r="J202" s="661"/>
      <c r="K202" s="662"/>
      <c r="L202" s="86"/>
    </row>
    <row r="203" spans="1:12" ht="18.75" customHeight="1" x14ac:dyDescent="0.25">
      <c r="A203" s="667"/>
      <c r="B203" s="669" t="str">
        <f>IFERROR(IF(INDEX('Coverage Indicators - Section D'!C$1:C$100,MATCH($A202,'Coverage Indicators - Section D'!$A$1:$A$100,0))&lt;&gt;0,INDEX('Coverage Indicators - Section D'!C$1:C$100,MATCH($A202,'Coverage Indicators - Section D'!$A$1:$A$100,0)),""),"")</f>
        <v>HTS-3b⁽ᴹ⁾ Percentage of TG that have received an HIV test during the reporting period in KP-specific programs and know their results</v>
      </c>
      <c r="C203" s="670"/>
      <c r="D203" s="670"/>
      <c r="E203" s="670"/>
      <c r="F203" s="671"/>
      <c r="G203" s="669" t="str">
        <f>IFERROR(IF(INDEX('Coverage Indicators - Section D'!D$1:D$100,MATCH($A202,'Coverage Indicators - Section D'!$A$1:$A$100,0))&lt;&gt;0,INDEX('Coverage Indicators - Section D'!D$1:D$100,MATCH($A202,'Coverage Indicators - Section D'!$A$1:$A$100,0)),""),"")</f>
        <v/>
      </c>
      <c r="H203" s="670"/>
      <c r="I203" s="670"/>
      <c r="J203" s="670"/>
      <c r="K203" s="671"/>
      <c r="L203" s="86"/>
    </row>
    <row r="204" spans="1:12" ht="18.75" customHeight="1" x14ac:dyDescent="0.25">
      <c r="A204" s="667"/>
      <c r="B204" s="672"/>
      <c r="C204" s="673"/>
      <c r="D204" s="673"/>
      <c r="E204" s="673"/>
      <c r="F204" s="674"/>
      <c r="G204" s="672"/>
      <c r="H204" s="673"/>
      <c r="I204" s="673"/>
      <c r="J204" s="673"/>
      <c r="K204" s="674"/>
      <c r="L204" s="86"/>
    </row>
    <row r="205" spans="1:12" ht="18.75" customHeight="1" x14ac:dyDescent="0.25">
      <c r="A205" s="667"/>
      <c r="B205" s="675"/>
      <c r="C205" s="676"/>
      <c r="D205" s="676"/>
      <c r="E205" s="676"/>
      <c r="F205" s="677"/>
      <c r="G205" s="675"/>
      <c r="H205" s="676"/>
      <c r="I205" s="676"/>
      <c r="J205" s="676"/>
      <c r="K205" s="677"/>
      <c r="L205" s="86"/>
    </row>
    <row r="206" spans="1:12" ht="18.75" customHeight="1" x14ac:dyDescent="0.25">
      <c r="A206" s="667"/>
      <c r="B206" s="660" t="s">
        <v>742</v>
      </c>
      <c r="C206" s="661"/>
      <c r="D206" s="662"/>
      <c r="E206" s="660" t="s">
        <v>216</v>
      </c>
      <c r="F206" s="661"/>
      <c r="G206" s="662"/>
      <c r="H206" s="660" t="s">
        <v>127</v>
      </c>
      <c r="I206" s="661"/>
      <c r="J206" s="662"/>
      <c r="K206" s="93" t="s">
        <v>2175</v>
      </c>
      <c r="L206" s="86"/>
    </row>
    <row r="207" spans="1:12" ht="18.75" customHeight="1" x14ac:dyDescent="0.25">
      <c r="A207" s="667"/>
      <c r="B207" s="663" t="str">
        <f>IFERROR(IF(INDEX('Coverage Indicators - Section D'!I$9:I$68,MATCH($A202,'Coverage Indicators - Section D'!$A$9:$A$68,0))&lt;&gt;0,INDEX('Coverage Indicators - Section D'!I$9:I$68,MATCH($A202,'Coverage Indicators - Section D'!$A$9:$A$68,0)),""),"")</f>
        <v>Age,Gender</v>
      </c>
      <c r="C207" s="664"/>
      <c r="D207" s="665"/>
      <c r="E207" s="663" t="str">
        <f>IFERROR(IF(INDEX('Coverage Indicators - Section D'!M$1:M$100,MATCH($A202,'Coverage Indicators - Section D'!$A$1:$A$100,0))&lt;&gt;0,INDEX('Coverage Indicators - Section D'!M$1:M$100,MATCH($A202,'Coverage Indicators - Section D'!$A$1:$A$100,0)),""),"")</f>
        <v/>
      </c>
      <c r="F207" s="664"/>
      <c r="G207" s="665"/>
      <c r="H207" s="663" t="str">
        <f>IFERROR(IF(INDEX('Coverage Indicators - Section D'!L$1:L$100,MATCH($A202,'Coverage Indicators - Section D'!$A$1:$A$100,0))&lt;&gt;0,INDEX('Coverage Indicators - Section D'!L$1:L$100,MATCH($A202,'Coverage Indicators - Section D'!$A$1:$A$100,0)),""),"")</f>
        <v/>
      </c>
      <c r="I207" s="664"/>
      <c r="J207" s="665"/>
      <c r="K207" s="94" t="str">
        <f>IFERROR(IF(INDEX('Coverage Indicators - Section D'!J$1:J$100,MATCH($A202,'Coverage Indicators - Section D'!$A$1:$A$100,0))&lt;&gt;0,INDEX('Coverage Indicators - Section D'!J$1:J$100,MATCH($A202,'Coverage Indicators - Section D'!$A$1:$A$100,0)),""),"")</f>
        <v>Yes</v>
      </c>
      <c r="L207" s="86"/>
    </row>
    <row r="208" spans="1:12" ht="18.75" customHeight="1" x14ac:dyDescent="0.25">
      <c r="A208" s="667"/>
      <c r="B208" s="660" t="s">
        <v>199</v>
      </c>
      <c r="C208" s="661"/>
      <c r="D208" s="662"/>
      <c r="E208" s="660" t="s">
        <v>4392</v>
      </c>
      <c r="F208" s="661"/>
      <c r="G208" s="662"/>
      <c r="H208" s="660" t="s">
        <v>120</v>
      </c>
      <c r="I208" s="661"/>
      <c r="J208" s="661"/>
      <c r="K208" s="662"/>
      <c r="L208" s="86"/>
    </row>
    <row r="209" spans="1:12" ht="18.75" customHeight="1" x14ac:dyDescent="0.25">
      <c r="A209" s="667"/>
      <c r="B209" s="669" t="str">
        <f>IFERROR(IF(INDEX('Coverage Indicators - Section D'!H$1:H$100,MATCH($A202,'Coverage Indicators - Section D'!$A$1:$A$100,0))&lt;&gt;0,INDEX('Coverage Indicators - Section D'!H$1:H$100,MATCH($A202,'Coverage Indicators - Section D'!$A$1:$A$100,0)),""),"")</f>
        <v>Administrative reports</v>
      </c>
      <c r="C209" s="670"/>
      <c r="D209" s="671"/>
      <c r="E209" s="669" t="str">
        <f>IFERROR(IF(INDEX('Coverage Indicators - Section D'!L$1:L$100,MATCH($A202,'Coverage Indicators - Section D'!$A$1:$A$100,0)+1)&lt;&gt;0,INDEX('Coverage Indicators - Section D'!L$1:L$100,MATCH($A202,'Coverage Indicators - Section D'!$A$1:$A$100,0)+1),""),"")</f>
        <v>Geographic National, 100% of national program target</v>
      </c>
      <c r="F209" s="670"/>
      <c r="G209" s="671"/>
      <c r="H209" s="669" t="str">
        <f>IFERROR(IF(AND('Overview - Section A'!AS$1="Grant Making",OR(B203&lt;&gt;"",G203&lt;&gt;"")),Setup!I211,IF(INDEX('Coverage Indicators - Section D'!K$1:K$100,MATCH($A202,'Coverage Indicators - Section D'!$A$1:$A$100,0))&lt;&gt;0,INDEX('Coverage Indicators - Section D'!K$1:K$100,MATCH($A202,'Coverage Indicators - Section D'!$A$1:$A$100,0)),"")),"")</f>
        <v>United Nations Development Programme</v>
      </c>
      <c r="I209" s="670"/>
      <c r="J209" s="670"/>
      <c r="K209" s="671"/>
      <c r="L209" s="86"/>
    </row>
    <row r="210" spans="1:12" ht="18.75" customHeight="1" x14ac:dyDescent="0.25">
      <c r="A210" s="667"/>
      <c r="B210" s="675"/>
      <c r="C210" s="676"/>
      <c r="D210" s="677"/>
      <c r="E210" s="675"/>
      <c r="F210" s="676"/>
      <c r="G210" s="677"/>
      <c r="H210" s="675"/>
      <c r="I210" s="676"/>
      <c r="J210" s="676"/>
      <c r="K210" s="677"/>
      <c r="L210" s="86"/>
    </row>
    <row r="211" spans="1:12" ht="18.75" customHeight="1" x14ac:dyDescent="0.25">
      <c r="A211" s="667"/>
      <c r="B211" s="93"/>
      <c r="C211" s="93" t="s">
        <v>4384</v>
      </c>
      <c r="D211" s="660" t="s">
        <v>4385</v>
      </c>
      <c r="E211" s="661"/>
      <c r="F211" s="661"/>
      <c r="G211" s="661"/>
      <c r="H211" s="661"/>
      <c r="I211" s="661"/>
      <c r="J211" s="661"/>
      <c r="K211" s="662"/>
      <c r="L211" s="86"/>
    </row>
    <row r="212" spans="1:12" ht="18.75" customHeight="1" x14ac:dyDescent="0.25">
      <c r="A212" s="667"/>
      <c r="B212" s="93" t="s">
        <v>2559</v>
      </c>
      <c r="C212" s="94">
        <f>IFERROR(IF(INDEX('Coverage Indicators - Section D'!G$1:G$100,MATCH($A202,'Coverage Indicators - Section D'!$A$1:$A$100,0))&lt;&gt;0,INDEX('Coverage Indicators - Section D'!G$1:G$100,MATCH($A202,'Coverage Indicators - Section D'!$A$1:$A$100,0)),""),"")</f>
        <v>2022</v>
      </c>
      <c r="D212"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212"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212"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212"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212"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212"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212"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212"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212" s="86"/>
    </row>
    <row r="213" spans="1:12" s="97" customFormat="1" ht="18.75" customHeight="1" x14ac:dyDescent="0.25">
      <c r="A213" s="667"/>
      <c r="B213" s="93" t="s">
        <v>4386</v>
      </c>
      <c r="C213" s="95">
        <f>IFERROR(IF(INDEX('Coverage Indicators - Section D'!E$1:E$100,MATCH($A202,'Coverage Indicators - Section D'!$A$1:$A$100,0))&lt;&gt;"",INDEX('Coverage Indicators - Section D'!E$1:E$100,MATCH($A202,'Coverage Indicators - Section D'!$A$1:$A$100,0)),""),"")</f>
        <v>285</v>
      </c>
      <c r="D213" s="95">
        <f>IFERROR(IF(INDEX('Coverage Indicators - Section D'!N$1:N$100,MATCH($A202,'Coverage Indicators - Section D'!$A$1:$A$100,0))&lt;&gt;"",INDEX('Coverage Indicators - Section D'!N$1:N$100,MATCH($A202,'Coverage Indicators - Section D'!$A$1:$A$100,0)),""),"")</f>
        <v>253</v>
      </c>
      <c r="E213" s="95">
        <f>IFERROR(IF(INDEX('Coverage Indicators - Section D'!Q$1:Q$100,MATCH($A202,'Coverage Indicators - Section D'!$A$1:$A$100,0))&lt;&gt;"",INDEX('Coverage Indicators - Section D'!Q$1:Q$100,MATCH($A202,'Coverage Indicators - Section D'!$A$1:$A$100,0)),""),"")</f>
        <v>268</v>
      </c>
      <c r="F213" s="95">
        <f>IFERROR(IF(INDEX('Coverage Indicators - Section D'!T$1:T$100,MATCH($A202,'Coverage Indicators - Section D'!$A$1:$A$100,0))&lt;&gt;"",INDEX('Coverage Indicators - Section D'!T$1:T$100,MATCH($A202,'Coverage Indicators - Section D'!$A$1:$A$100,0)),""),"")</f>
        <v>283</v>
      </c>
      <c r="G213" s="95" t="str">
        <f>IFERROR(IF(INDEX('Coverage Indicators - Section D'!W$1:W$100,MATCH($A202,'Coverage Indicators - Section D'!$A$1:$A$100,0))&lt;&gt;"",INDEX('Coverage Indicators - Section D'!W$1:W$100,MATCH($A202,'Coverage Indicators - Section D'!$A$1:$A$100,0)),""),"")</f>
        <v/>
      </c>
      <c r="H213" s="95" t="str">
        <f>IFERROR(IF(INDEX('Coverage Indicators - Section D'!Z$1:Z$100,MATCH($A202,'Coverage Indicators - Section D'!$A$1:$A$100,0))&lt;&gt;"",INDEX('Coverage Indicators - Section D'!Z$1:Z$100,MATCH($A202,'Coverage Indicators - Section D'!$A$1:$A$100,0)),""),"")</f>
        <v/>
      </c>
      <c r="I213" s="95" t="str">
        <f>IFERROR(IF(INDEX('Coverage Indicators - Section D'!AC$1:AC$100,MATCH($A202,'Coverage Indicators - Section D'!$A$1:$A$100,0))&lt;&gt;"",INDEX('Coverage Indicators - Section D'!AC$1:AC$100,MATCH($A202,'Coverage Indicators - Section D'!$A$1:$A$100,0)),""),"")</f>
        <v/>
      </c>
      <c r="J213" s="95" t="str">
        <f>IFERROR(IF(INDEX('Coverage Indicators - Section D'!AF$1:AF$100,MATCH($A202,'Coverage Indicators - Section D'!$A$1:$A$100,0))&lt;&gt;"",INDEX('Coverage Indicators - Section D'!AF$1:AF$100,MATCH($A202,'Coverage Indicators - Section D'!$A$1:$A$100,0)),""),"")</f>
        <v/>
      </c>
      <c r="K213" s="95" t="str">
        <f>IFERROR(IF(INDEX('Coverage Indicators - Section D'!AI$1:AI$100,MATCH($A202,'Coverage Indicators - Section D'!$A$1:$A$100,0))&lt;&gt;"",INDEX('Coverage Indicators - Section D'!AI$1:AI$100,MATCH($A202,'Coverage Indicators - Section D'!$A$1:$A$100,0)),""),"")</f>
        <v/>
      </c>
      <c r="L213" s="96"/>
    </row>
    <row r="214" spans="1:12" s="100" customFormat="1" ht="18.75" customHeight="1" x14ac:dyDescent="0.25">
      <c r="A214" s="667"/>
      <c r="B214" s="93" t="s">
        <v>4387</v>
      </c>
      <c r="C214" s="98">
        <f>IFERROR(IF(INDEX('Coverage Indicators - Section D'!E$1:E$100,MATCH($A202,'Coverage Indicators - Section D'!$A$1:$A$100,0)+1)&lt;&gt;"",INDEX('Coverage Indicators - Section D'!E$1:E$100,MATCH($A202,'Coverage Indicators - Section D'!$A$1:$A$100,0)+1),""),"")</f>
        <v>300</v>
      </c>
      <c r="D214" s="98">
        <f>IFERROR(IF(INDEX('Coverage Indicators - Section D'!N$1:N$100,MATCH($A202,'Coverage Indicators - Section D'!$A$1:$A$100,0)+1)&lt;&gt;"",INDEX('Coverage Indicators - Section D'!N$1:N$100,MATCH($A202,'Coverage Indicators - Section D'!$A$1:$A$100,0)+1),""),"")</f>
        <v>297</v>
      </c>
      <c r="E214" s="98">
        <f>IFERROR(IF(INDEX('Coverage Indicators - Section D'!Q$1:Q$100,MATCH($A202,'Coverage Indicators - Section D'!$A$1:$A$100,0)+1)&lt;&gt;"",INDEX('Coverage Indicators - Section D'!Q$1:Q$100,MATCH($A202,'Coverage Indicators - Section D'!$A$1:$A$100,0)+1),""),"")</f>
        <v>297</v>
      </c>
      <c r="F214" s="98">
        <f>IFERROR(IF(INDEX('Coverage Indicators - Section D'!T$1:T$100,MATCH($A202,'Coverage Indicators - Section D'!$A$1:$A$100,0)+1)&lt;&gt;"",INDEX('Coverage Indicators - Section D'!T$1:T$100,MATCH($A202,'Coverage Indicators - Section D'!$A$1:$A$100,0)+1),""),"")</f>
        <v>297</v>
      </c>
      <c r="G214" s="98" t="str">
        <f>IFERROR(IF(INDEX('Coverage Indicators - Section D'!W$1:W$100,MATCH($A202,'Coverage Indicators - Section D'!$A$1:$A$100,0)+1)&lt;&gt;"",INDEX('Coverage Indicators - Section D'!W$1:W$100,MATCH($A202,'Coverage Indicators - Section D'!$A$1:$A$100,0)+1),""),"")</f>
        <v/>
      </c>
      <c r="H214" s="98" t="str">
        <f>IFERROR(IF(INDEX('Coverage Indicators - Section D'!Z$1:Z$100,MATCH($A202,'Coverage Indicators - Section D'!$A$1:$A$100,0)+1)&lt;&gt;"",INDEX('Coverage Indicators - Section D'!Z$1:Z$100,MATCH($A202,'Coverage Indicators - Section D'!$A$1:$A$100,0)+1),""),"")</f>
        <v/>
      </c>
      <c r="I214" s="98" t="str">
        <f>IFERROR(IF(INDEX('Coverage Indicators - Section D'!AC$1:AC$100,MATCH($A202,'Coverage Indicators - Section D'!$A$1:$A$100,0)+1)&lt;&gt;"",INDEX('Coverage Indicators - Section D'!AC$1:AC$100,MATCH($A202,'Coverage Indicators - Section D'!$A$1:$A$100,0)+1),""),"")</f>
        <v/>
      </c>
      <c r="J214" s="98" t="str">
        <f>IFERROR(IF(INDEX('Coverage Indicators - Section D'!AF$1:AF$100,MATCH($A202,'Coverage Indicators - Section D'!$A$1:$A$100,0)+1)&lt;&gt;"",INDEX('Coverage Indicators - Section D'!AF$1:AF$100,MATCH($A202,'Coverage Indicators - Section D'!$A$1:$A$100,0)+1),""),"")</f>
        <v/>
      </c>
      <c r="K214" s="98" t="str">
        <f>IFERROR(IF(INDEX('Coverage Indicators - Section D'!AI$1:AI$100,MATCH($A202,'Coverage Indicators - Section D'!$A$1:$A$100,0)+1)&lt;&gt;"",INDEX('Coverage Indicators - Section D'!AI$1:AI$100,MATCH($A202,'Coverage Indicators - Section D'!$A$1:$A$100,0)+1),""),"")</f>
        <v/>
      </c>
      <c r="L214" s="99"/>
    </row>
    <row r="215" spans="1:12" ht="18.75" customHeight="1" x14ac:dyDescent="0.25">
      <c r="A215" s="667"/>
      <c r="B215" s="93" t="s">
        <v>4388</v>
      </c>
      <c r="C215" s="94" t="str">
        <f ca="1">IFERROR(IF(INDEX('Coverage Indicators - Section D'!F$1:F$100,MATCH($A202,'Coverage Indicators - Section D'!$A$1:$A$100,0))&lt;&gt;"",FIXED(INDEX('Coverage Indicators - Section D'!F$1:F$100,MATCH($A202,'Coverage Indicators - Section D'!$A$1:$A$100,0))*100,2)&amp;"%",""),"")</f>
        <v>95,00%</v>
      </c>
      <c r="D215" s="94" t="str">
        <f>IFERROR(IF(INDEX('Coverage Indicators - Section D'!O$1:O$100,MATCH($A202,'Coverage Indicators - Section D'!$A$1:$A$100,0))&lt;&gt;"",FIXED(INDEX('Coverage Indicators - Section D'!O$1:O$100,MATCH($A202,'Coverage Indicators - Section D'!$A$1:$A$100,0))*100,2)&amp;"%",""),"")&amp;CHAR(10)&amp;IFERROR(IF(INDEX('Coverage Indicators - Section D'!P$1:P$100,MATCH($A202,'Coverage Indicators - Section D'!$A$1:$A$100,0))&lt;&gt;"",INDEX('Coverage Indicators - Section D'!P$1:P$100,MATCH($A202,'Coverage Indicators - Section D'!$A$1:$A$100,0)),""),"")</f>
        <v xml:space="preserve">85,19%
</v>
      </c>
      <c r="E215" s="94" t="str">
        <f>IFERROR(IF(INDEX('Coverage Indicators - Section D'!R$1:R$100,MATCH($A202,'Coverage Indicators - Section D'!$A$1:$A$100,0))&lt;&gt;"",FIXED(INDEX('Coverage Indicators - Section D'!R$1:R$100,MATCH($A202,'Coverage Indicators - Section D'!$A$1:$A$100,0))*100,2)&amp;"%",""),"")&amp;CHAR(10)&amp;IFERROR(IF(INDEX('Coverage Indicators - Section D'!S$1:S$100,MATCH($A202,'Coverage Indicators - Section D'!$A$1:$A$100,0))&lt;&gt;"",INDEX('Coverage Indicators - Section D'!S$1:S$100,MATCH($A202,'Coverage Indicators - Section D'!$A$1:$A$100,0)),""),"")</f>
        <v xml:space="preserve">90,24%
</v>
      </c>
      <c r="F215" s="94" t="str">
        <f>IFERROR(IF(INDEX('Coverage Indicators - Section D'!U$1:U$100,MATCH($A202,'Coverage Indicators - Section D'!$A$1:$A$100,0))&lt;&gt;"",FIXED(INDEX('Coverage Indicators - Section D'!U$1:U$100,MATCH($A202,'Coverage Indicators - Section D'!$A$1:$A$100,0))*100,2)&amp;"%",""),"")&amp;CHAR(10)&amp;IFERROR(IF(INDEX('Coverage Indicators - Section D'!V$1:V$100,MATCH($A202,'Coverage Indicators - Section D'!$A$1:$A$100,0))&lt;&gt;"",INDEX('Coverage Indicators - Section D'!V$1:V$100,MATCH($A202,'Coverage Indicators - Section D'!$A$1:$A$100,0)),""),"")</f>
        <v xml:space="preserve">95,29%
</v>
      </c>
      <c r="G215" s="94" t="str">
        <f ca="1">IFERROR(IF(INDEX('Coverage Indicators - Section D'!X$1:X$100,MATCH($A202,'Coverage Indicators - Section D'!$A$1:$A$100,0))&lt;&gt;"",FIXED(INDEX('Coverage Indicators - Section D'!X$1:X$100,MATCH($A202,'Coverage Indicators - Section D'!$A$1:$A$100,0))*100,2)&amp;"%",""),"")&amp;CHAR(10)&amp;IFERROR(IF(INDEX('Coverage Indicators - Section D'!Y$1:Y$100,MATCH($A202,'Coverage Indicators - Section D'!$A$1:$A$100,0))&lt;&gt;"",INDEX('Coverage Indicators - Section D'!Y$1:Y$100,MATCH($A202,'Coverage Indicators - Section D'!$A$1:$A$100,0)),""),"")</f>
        <v xml:space="preserve">
</v>
      </c>
      <c r="H215" s="94" t="str">
        <f ca="1">IFERROR(IF(INDEX('Coverage Indicators - Section D'!AA$1:AA$100,MATCH(A202,'Coverage Indicators - Section D'!$A$1:$A$100,0))&lt;&gt;"",FIXED(INDEX('Coverage Indicators - Section D'!AA$1:AA$100,MATCH($A202,'Coverage Indicators - Section D'!$A$1:$A$100,0))*100,2)&amp;"%",""),"")&amp;CHAR(10)&amp;IFERROR(IF(INDEX('Coverage Indicators - Section D'!AB$1:AB$100,MATCH($A202,'Coverage Indicators - Section D'!$A$1:$A$100,0))&lt;&gt;"",INDEX('Coverage Indicators - Section D'!AB$1:AB$100,MATCH($A202,'Coverage Indicators - Section D'!$A$1:$A$100,0)),""),"")</f>
        <v xml:space="preserve">
</v>
      </c>
      <c r="I215" s="94" t="str">
        <f ca="1">IFERROR(IF(INDEX('Coverage Indicators - Section D'!AD$1:AD$100,MATCH($A202,'Coverage Indicators - Section D'!$A$1:$A$100,0))&lt;&gt;"",FIXED(INDEX('Coverage Indicators - Section D'!AD$1:AD$100,MATCH($A202,'Coverage Indicators - Section D'!$A$1:$A$100,0))*100,2)&amp;"%",""),"")&amp;CHAR(10)&amp;IFERROR(IF(INDEX('Coverage Indicators - Section D'!AE$1:AE$100,MATCH($A202,'Coverage Indicators - Section D'!$A$1:$A$100,0))&lt;&gt;"",INDEX('Coverage Indicators - Section D'!AE$1:AE$100,MATCH($A202,'Coverage Indicators - Section D'!$A$1:$A$100,0)),""),"")</f>
        <v xml:space="preserve">
</v>
      </c>
      <c r="J215" s="94" t="str">
        <f ca="1">IFERROR(IF(INDEX('Coverage Indicators - Section D'!AG$1:AG$100,MATCH($A202,'Coverage Indicators - Section D'!$A$1:$A$100,0))&lt;&gt;"",FIXED(INDEX('Coverage Indicators - Section D'!AG$1:AG$100,MATCH($A202,'Coverage Indicators - Section D'!$A$1:$A$100,0))*100,2)&amp;"%",""),"")&amp;CHAR(10)&amp;IFERROR(IF(INDEX('Coverage Indicators - Section D'!AH$1:AH$100,MATCH($A202,'Coverage Indicators - Section D'!$A$1:$A$100,0))&lt;&gt;"",INDEX('Coverage Indicators - Section D'!AH$1:AH$100,MATCH($A202,'Coverage Indicators - Section D'!$A$1:$A$100,0)),""),"")</f>
        <v xml:space="preserve">
</v>
      </c>
      <c r="K215" s="94" t="str">
        <f ca="1">IFERROR(IF(INDEX('Coverage Indicators - Section D'!AJ$1:AJ$100,MATCH($A202,'Coverage Indicators - Section D'!$A$1:$A$100,0))&lt;&gt;"",FIXED(INDEX('Coverage Indicators - Section D'!AJ$1:AJ$100,MATCH($A202,'Coverage Indicators - Section D'!$A$1:$A$100,0))*100,2)&amp;"%",""),"")&amp;CHAR(10)&amp;IFERROR(IF(INDEX('Coverage Indicators - Section D'!AK$1:AK$100,MATCH($A202,'Coverage Indicators - Section D'!$A$1:$A$100,0))&lt;&gt;"",INDEX('Coverage Indicators - Section D'!AK$1:AK$100,MATCH($A202,'Coverage Indicators - Section D'!$A$1:$A$100,0)),""),"")</f>
        <v xml:space="preserve">
</v>
      </c>
      <c r="L215" s="86"/>
    </row>
    <row r="216" spans="1:12" ht="18.75" customHeight="1" x14ac:dyDescent="0.25">
      <c r="A216" s="667"/>
      <c r="B216" s="660" t="s">
        <v>176</v>
      </c>
      <c r="C216" s="661"/>
      <c r="D216" s="661"/>
      <c r="E216" s="661"/>
      <c r="F216" s="661"/>
      <c r="G216" s="661"/>
      <c r="H216" s="661"/>
      <c r="I216" s="661"/>
      <c r="J216" s="661"/>
      <c r="K216" s="662"/>
      <c r="L216" s="86"/>
    </row>
    <row r="217" spans="1:12" ht="18.75" customHeight="1" x14ac:dyDescent="0.25">
      <c r="A217" s="667"/>
      <c r="B217" s="669" t="str">
        <f>IFERROR(IF(INDEX('Coverage Indicators - Section D'!AL$1:AL$110,MATCH($A202,'Coverage Indicators - Section D'!$A$1:$A$110,0))&lt;&gt;0,INDEX('Coverage Indicators - Section D'!AL$1:AL$110,MATCH($A202,'Coverage Indicators - Section D'!$A$1:$A$110,0)),""),"")</f>
        <v>Numerator: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Denumerator: The number of program clients covered by the minimum package of services
Each quarter, different clients (UIC) must be tested, so the number of customers tested for quarters in total should give the total number of customers tested (UIC) for six months. In this cycle, there was no separate indicator for the TG group, TG people were in MSM coverage.</v>
      </c>
      <c r="C217" s="670"/>
      <c r="D217" s="670"/>
      <c r="E217" s="670"/>
      <c r="F217" s="670"/>
      <c r="G217" s="670"/>
      <c r="H217" s="670"/>
      <c r="I217" s="670"/>
      <c r="J217" s="670"/>
      <c r="K217" s="671"/>
      <c r="L217" s="86"/>
    </row>
    <row r="218" spans="1:12" ht="18.75" customHeight="1" x14ac:dyDescent="0.25">
      <c r="A218" s="667"/>
      <c r="B218" s="672"/>
      <c r="C218" s="673"/>
      <c r="D218" s="673"/>
      <c r="E218" s="673"/>
      <c r="F218" s="673"/>
      <c r="G218" s="673"/>
      <c r="H218" s="673"/>
      <c r="I218" s="673"/>
      <c r="J218" s="673"/>
      <c r="K218" s="674"/>
      <c r="L218" s="86"/>
    </row>
    <row r="219" spans="1:12" ht="18.75" customHeight="1" x14ac:dyDescent="0.25">
      <c r="A219" s="667"/>
      <c r="B219" s="672"/>
      <c r="C219" s="673"/>
      <c r="D219" s="673"/>
      <c r="E219" s="673"/>
      <c r="F219" s="673"/>
      <c r="G219" s="673"/>
      <c r="H219" s="673"/>
      <c r="I219" s="673"/>
      <c r="J219" s="673"/>
      <c r="K219" s="674"/>
      <c r="L219" s="86"/>
    </row>
    <row r="220" spans="1:12" ht="18.75" customHeight="1" x14ac:dyDescent="0.25">
      <c r="A220" s="667"/>
      <c r="B220" s="672"/>
      <c r="C220" s="673"/>
      <c r="D220" s="673"/>
      <c r="E220" s="673"/>
      <c r="F220" s="673"/>
      <c r="G220" s="673"/>
      <c r="H220" s="673"/>
      <c r="I220" s="673"/>
      <c r="J220" s="673"/>
      <c r="K220" s="674"/>
      <c r="L220" s="86"/>
    </row>
    <row r="221" spans="1:12" ht="18.75" customHeight="1" x14ac:dyDescent="0.25">
      <c r="A221" s="667"/>
      <c r="B221" s="672"/>
      <c r="C221" s="673"/>
      <c r="D221" s="673"/>
      <c r="E221" s="673"/>
      <c r="F221" s="673"/>
      <c r="G221" s="673"/>
      <c r="H221" s="673"/>
      <c r="I221" s="673"/>
      <c r="J221" s="673"/>
      <c r="K221" s="674"/>
      <c r="L221" s="86"/>
    </row>
    <row r="222" spans="1:12" ht="18.75" customHeight="1" x14ac:dyDescent="0.25">
      <c r="A222" s="667"/>
      <c r="B222" s="672"/>
      <c r="C222" s="673"/>
      <c r="D222" s="673"/>
      <c r="E222" s="673"/>
      <c r="F222" s="673"/>
      <c r="G222" s="673"/>
      <c r="H222" s="673"/>
      <c r="I222" s="673"/>
      <c r="J222" s="673"/>
      <c r="K222" s="674"/>
      <c r="L222" s="86"/>
    </row>
    <row r="223" spans="1:12" ht="18.75" customHeight="1" x14ac:dyDescent="0.25">
      <c r="A223" s="667"/>
      <c r="B223" s="672"/>
      <c r="C223" s="673"/>
      <c r="D223" s="673"/>
      <c r="E223" s="673"/>
      <c r="F223" s="673"/>
      <c r="G223" s="673"/>
      <c r="H223" s="673"/>
      <c r="I223" s="673"/>
      <c r="J223" s="673"/>
      <c r="K223" s="674"/>
      <c r="L223" s="86"/>
    </row>
    <row r="224" spans="1:12" ht="18.75" customHeight="1" x14ac:dyDescent="0.25">
      <c r="A224" s="667"/>
      <c r="B224" s="672"/>
      <c r="C224" s="673"/>
      <c r="D224" s="673"/>
      <c r="E224" s="673"/>
      <c r="F224" s="673"/>
      <c r="G224" s="673"/>
      <c r="H224" s="673"/>
      <c r="I224" s="673"/>
      <c r="J224" s="673"/>
      <c r="K224" s="674"/>
      <c r="L224" s="86"/>
    </row>
    <row r="225" spans="1:12" ht="18.75" customHeight="1" x14ac:dyDescent="0.25">
      <c r="A225" s="667"/>
      <c r="B225" s="672"/>
      <c r="C225" s="673"/>
      <c r="D225" s="673"/>
      <c r="E225" s="673"/>
      <c r="F225" s="673"/>
      <c r="G225" s="673"/>
      <c r="H225" s="673"/>
      <c r="I225" s="673"/>
      <c r="J225" s="673"/>
      <c r="K225" s="674"/>
      <c r="L225" s="86"/>
    </row>
    <row r="226" spans="1:12" ht="18.75" customHeight="1" x14ac:dyDescent="0.25">
      <c r="A226" s="668"/>
      <c r="B226" s="675"/>
      <c r="C226" s="676"/>
      <c r="D226" s="676"/>
      <c r="E226" s="676"/>
      <c r="F226" s="676"/>
      <c r="G226" s="676"/>
      <c r="H226" s="676"/>
      <c r="I226" s="676"/>
      <c r="J226" s="676"/>
      <c r="K226" s="677"/>
      <c r="L226" s="86"/>
    </row>
    <row r="227" spans="1:12" ht="18.75" customHeight="1" x14ac:dyDescent="0.25">
      <c r="A227" s="660"/>
      <c r="B227" s="661"/>
      <c r="C227" s="661"/>
      <c r="D227" s="661"/>
      <c r="E227" s="661"/>
      <c r="F227" s="661"/>
      <c r="G227" s="661"/>
      <c r="H227" s="661"/>
      <c r="I227" s="661"/>
      <c r="J227" s="661"/>
      <c r="K227" s="662"/>
      <c r="L227" s="86"/>
    </row>
    <row r="229" spans="1:12" ht="18.75" customHeight="1" x14ac:dyDescent="0.25">
      <c r="A229" s="93" t="s">
        <v>4383</v>
      </c>
      <c r="B229" s="660" t="s">
        <v>1046</v>
      </c>
      <c r="C229" s="662"/>
      <c r="D229" s="663" t="str">
        <f>IFERROR(IF(INDEX('Coverage Indicators - Section D'!B$1:B$100,MATCH($A230,'Coverage Indicators - Section D'!$A$1:$A$100,0))&lt;&gt;0,INDEX('Coverage Indicators - Section D'!B$1:B$100,MATCH($A230,'Coverage Indicators - Section D'!$A$1:$A$100,0)),""),"")</f>
        <v>Differentiated HIV Testing Services</v>
      </c>
      <c r="E229" s="664"/>
      <c r="F229" s="664"/>
      <c r="G229" s="664"/>
      <c r="H229" s="664"/>
      <c r="I229" s="664"/>
      <c r="J229" s="664"/>
      <c r="K229" s="665"/>
      <c r="L229" s="86"/>
    </row>
    <row r="230" spans="1:12" ht="18.75" customHeight="1" x14ac:dyDescent="0.25">
      <c r="A230" s="666">
        <v>9</v>
      </c>
      <c r="B230" s="660" t="s">
        <v>738</v>
      </c>
      <c r="C230" s="661"/>
      <c r="D230" s="661"/>
      <c r="E230" s="661"/>
      <c r="F230" s="662"/>
      <c r="G230" s="660" t="s">
        <v>739</v>
      </c>
      <c r="H230" s="661"/>
      <c r="I230" s="661"/>
      <c r="J230" s="661"/>
      <c r="K230" s="662"/>
      <c r="L230" s="86"/>
    </row>
    <row r="231" spans="1:12" ht="18.75" customHeight="1" x14ac:dyDescent="0.25">
      <c r="A231" s="667"/>
      <c r="B231" s="669" t="str">
        <f>IFERROR(IF(INDEX('Coverage Indicators - Section D'!C$1:C$100,MATCH($A230,'Coverage Indicators - Section D'!$A$1:$A$100,0))&lt;&gt;0,INDEX('Coverage Indicators - Section D'!C$1:C$100,MATCH($A230,'Coverage Indicators - Section D'!$A$1:$A$100,0)),""),"")</f>
        <v>HTS-3d⁽ᴹ⁾ Percentage of people who inject drugs that have received an HIV test during the reporting period in KP-specific programs and know their results</v>
      </c>
      <c r="C231" s="670"/>
      <c r="D231" s="670"/>
      <c r="E231" s="670"/>
      <c r="F231" s="671"/>
      <c r="G231" s="669" t="str">
        <f>IFERROR(IF(INDEX('Coverage Indicators - Section D'!D$1:D$100,MATCH($A230,'Coverage Indicators - Section D'!$A$1:$A$100,0))&lt;&gt;0,INDEX('Coverage Indicators - Section D'!D$1:D$100,MATCH($A230,'Coverage Indicators - Section D'!$A$1:$A$100,0)),""),"")</f>
        <v/>
      </c>
      <c r="H231" s="670"/>
      <c r="I231" s="670"/>
      <c r="J231" s="670"/>
      <c r="K231" s="671"/>
      <c r="L231" s="86"/>
    </row>
    <row r="232" spans="1:12" ht="18.75" customHeight="1" x14ac:dyDescent="0.25">
      <c r="A232" s="667"/>
      <c r="B232" s="672"/>
      <c r="C232" s="673"/>
      <c r="D232" s="673"/>
      <c r="E232" s="673"/>
      <c r="F232" s="674"/>
      <c r="G232" s="672"/>
      <c r="H232" s="673"/>
      <c r="I232" s="673"/>
      <c r="J232" s="673"/>
      <c r="K232" s="674"/>
      <c r="L232" s="86"/>
    </row>
    <row r="233" spans="1:12" ht="18.75" customHeight="1" x14ac:dyDescent="0.25">
      <c r="A233" s="667"/>
      <c r="B233" s="675"/>
      <c r="C233" s="676"/>
      <c r="D233" s="676"/>
      <c r="E233" s="676"/>
      <c r="F233" s="677"/>
      <c r="G233" s="675"/>
      <c r="H233" s="676"/>
      <c r="I233" s="676"/>
      <c r="J233" s="676"/>
      <c r="K233" s="677"/>
      <c r="L233" s="86"/>
    </row>
    <row r="234" spans="1:12" ht="18.75" customHeight="1" x14ac:dyDescent="0.25">
      <c r="A234" s="667"/>
      <c r="B234" s="660" t="s">
        <v>742</v>
      </c>
      <c r="C234" s="661"/>
      <c r="D234" s="662"/>
      <c r="E234" s="660" t="s">
        <v>216</v>
      </c>
      <c r="F234" s="661"/>
      <c r="G234" s="662"/>
      <c r="H234" s="660" t="s">
        <v>127</v>
      </c>
      <c r="I234" s="661"/>
      <c r="J234" s="662"/>
      <c r="K234" s="93" t="s">
        <v>2175</v>
      </c>
      <c r="L234" s="86"/>
    </row>
    <row r="235" spans="1:12" ht="18.75" customHeight="1" x14ac:dyDescent="0.25">
      <c r="A235" s="667"/>
      <c r="B235" s="663" t="str">
        <f>IFERROR(IF(INDEX('Coverage Indicators - Section D'!I$9:I$68,MATCH($A230,'Coverage Indicators - Section D'!$A$9:$A$68,0))&lt;&gt;0,INDEX('Coverage Indicators - Section D'!I$9:I$68,MATCH($A230,'Coverage Indicators - Section D'!$A$9:$A$68,0)),""),"")</f>
        <v>Gender,Age</v>
      </c>
      <c r="C235" s="664"/>
      <c r="D235" s="665"/>
      <c r="E235" s="663" t="str">
        <f>IFERROR(IF(INDEX('Coverage Indicators - Section D'!M$1:M$100,MATCH($A230,'Coverage Indicators - Section D'!$A$1:$A$100,0))&lt;&gt;0,INDEX('Coverage Indicators - Section D'!M$1:M$100,MATCH($A230,'Coverage Indicators - Section D'!$A$1:$A$100,0)),""),"")</f>
        <v/>
      </c>
      <c r="F235" s="664"/>
      <c r="G235" s="665"/>
      <c r="H235" s="663" t="str">
        <f>IFERROR(IF(INDEX('Coverage Indicators - Section D'!L$1:L$100,MATCH($A230,'Coverage Indicators - Section D'!$A$1:$A$100,0))&lt;&gt;0,INDEX('Coverage Indicators - Section D'!L$1:L$100,MATCH($A230,'Coverage Indicators - Section D'!$A$1:$A$100,0)),""),"")</f>
        <v/>
      </c>
      <c r="I235" s="664"/>
      <c r="J235" s="665"/>
      <c r="K235" s="94" t="str">
        <f>IFERROR(IF(INDEX('Coverage Indicators - Section D'!J$1:J$100,MATCH($A230,'Coverage Indicators - Section D'!$A$1:$A$100,0))&lt;&gt;0,INDEX('Coverage Indicators - Section D'!J$1:J$100,MATCH($A230,'Coverage Indicators - Section D'!$A$1:$A$100,0)),""),"")</f>
        <v>Yes</v>
      </c>
      <c r="L235" s="86"/>
    </row>
    <row r="236" spans="1:12" ht="18.75" customHeight="1" x14ac:dyDescent="0.25">
      <c r="A236" s="667"/>
      <c r="B236" s="660" t="s">
        <v>199</v>
      </c>
      <c r="C236" s="661"/>
      <c r="D236" s="662"/>
      <c r="E236" s="660" t="s">
        <v>4392</v>
      </c>
      <c r="F236" s="661"/>
      <c r="G236" s="662"/>
      <c r="H236" s="660" t="s">
        <v>120</v>
      </c>
      <c r="I236" s="661"/>
      <c r="J236" s="661"/>
      <c r="K236" s="662"/>
      <c r="L236" s="86"/>
    </row>
    <row r="237" spans="1:12" ht="18.75" customHeight="1" x14ac:dyDescent="0.25">
      <c r="A237" s="667"/>
      <c r="B237" s="669" t="str">
        <f>IFERROR(IF(INDEX('Coverage Indicators - Section D'!H$1:H$100,MATCH($A230,'Coverage Indicators - Section D'!$A$1:$A$100,0))&lt;&gt;0,INDEX('Coverage Indicators - Section D'!H$1:H$100,MATCH($A230,'Coverage Indicators - Section D'!$A$1:$A$100,0)),""),"")</f>
        <v>Administrative reports</v>
      </c>
      <c r="C237" s="670"/>
      <c r="D237" s="671"/>
      <c r="E237" s="669" t="str">
        <f>IFERROR(IF(INDEX('Coverage Indicators - Section D'!L$1:L$100,MATCH($A230,'Coverage Indicators - Section D'!$A$1:$A$100,0)+1)&lt;&gt;0,INDEX('Coverage Indicators - Section D'!L$1:L$100,MATCH($A230,'Coverage Indicators - Section D'!$A$1:$A$100,0)+1),""),"")</f>
        <v>Geographic National, 100% of national program target</v>
      </c>
      <c r="F237" s="670"/>
      <c r="G237" s="671"/>
      <c r="H237" s="669" t="str">
        <f>IFERROR(IF(AND('Overview - Section A'!AS$1="Grant Making",OR(B231&lt;&gt;"",G231&lt;&gt;"")),Setup!I239,IF(INDEX('Coverage Indicators - Section D'!K$1:K$100,MATCH($A230,'Coverage Indicators - Section D'!$A$1:$A$100,0))&lt;&gt;0,INDEX('Coverage Indicators - Section D'!K$1:K$100,MATCH($A230,'Coverage Indicators - Section D'!$A$1:$A$100,0)),"")),"")</f>
        <v>United Nations Development Programme</v>
      </c>
      <c r="I237" s="670"/>
      <c r="J237" s="670"/>
      <c r="K237" s="671"/>
      <c r="L237" s="86"/>
    </row>
    <row r="238" spans="1:12" ht="18.75" customHeight="1" x14ac:dyDescent="0.25">
      <c r="A238" s="667"/>
      <c r="B238" s="675"/>
      <c r="C238" s="676"/>
      <c r="D238" s="677"/>
      <c r="E238" s="675"/>
      <c r="F238" s="676"/>
      <c r="G238" s="677"/>
      <c r="H238" s="675"/>
      <c r="I238" s="676"/>
      <c r="J238" s="676"/>
      <c r="K238" s="677"/>
      <c r="L238" s="86"/>
    </row>
    <row r="239" spans="1:12" ht="18.75" customHeight="1" x14ac:dyDescent="0.25">
      <c r="A239" s="667"/>
      <c r="B239" s="93"/>
      <c r="C239" s="93" t="s">
        <v>4384</v>
      </c>
      <c r="D239" s="660" t="s">
        <v>4385</v>
      </c>
      <c r="E239" s="661"/>
      <c r="F239" s="661"/>
      <c r="G239" s="661"/>
      <c r="H239" s="661"/>
      <c r="I239" s="661"/>
      <c r="J239" s="661"/>
      <c r="K239" s="662"/>
      <c r="L239" s="86"/>
    </row>
    <row r="240" spans="1:12" ht="18.75" customHeight="1" x14ac:dyDescent="0.25">
      <c r="A240" s="667"/>
      <c r="B240" s="93" t="s">
        <v>2559</v>
      </c>
      <c r="C240" s="94">
        <f>IFERROR(IF(INDEX('Coverage Indicators - Section D'!G$1:G$100,MATCH($A230,'Coverage Indicators - Section D'!$A$1:$A$100,0))&lt;&gt;0,INDEX('Coverage Indicators - Section D'!G$1:G$100,MATCH($A230,'Coverage Indicators - Section D'!$A$1:$A$100,0)),""),"")</f>
        <v>2022</v>
      </c>
      <c r="D240"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240"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240"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240"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240"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240"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240"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240"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240" s="86"/>
    </row>
    <row r="241" spans="1:12" s="97" customFormat="1" ht="18.75" customHeight="1" x14ac:dyDescent="0.25">
      <c r="A241" s="667"/>
      <c r="B241" s="93" t="s">
        <v>4386</v>
      </c>
      <c r="C241" s="95">
        <f>IFERROR(IF(INDEX('Coverage Indicators - Section D'!E$1:E$100,MATCH($A230,'Coverage Indicators - Section D'!$A$1:$A$100,0))&lt;&gt;"",INDEX('Coverage Indicators - Section D'!E$1:E$100,MATCH($A230,'Coverage Indicators - Section D'!$A$1:$A$100,0)),""),"")</f>
        <v>16102</v>
      </c>
      <c r="D241" s="95">
        <f>IFERROR(IF(INDEX('Coverage Indicators - Section D'!N$1:N$100,MATCH($A230,'Coverage Indicators - Section D'!$A$1:$A$100,0))&lt;&gt;"",INDEX('Coverage Indicators - Section D'!N$1:N$100,MATCH($A230,'Coverage Indicators - Section D'!$A$1:$A$100,0)),""),"")</f>
        <v>16300</v>
      </c>
      <c r="E241" s="95">
        <f>IFERROR(IF(INDEX('Coverage Indicators - Section D'!Q$1:Q$100,MATCH($A230,'Coverage Indicators - Section D'!$A$1:$A$100,0))&lt;&gt;"",INDEX('Coverage Indicators - Section D'!Q$1:Q$100,MATCH($A230,'Coverage Indicators - Section D'!$A$1:$A$100,0)),""),"")</f>
        <v>16350</v>
      </c>
      <c r="F241" s="95">
        <f>IFERROR(IF(INDEX('Coverage Indicators - Section D'!T$1:T$100,MATCH($A230,'Coverage Indicators - Section D'!$A$1:$A$100,0))&lt;&gt;"",INDEX('Coverage Indicators - Section D'!T$1:T$100,MATCH($A230,'Coverage Indicators - Section D'!$A$1:$A$100,0)),""),"")</f>
        <v>16500</v>
      </c>
      <c r="G241" s="95" t="str">
        <f>IFERROR(IF(INDEX('Coverage Indicators - Section D'!W$1:W$100,MATCH($A230,'Coverage Indicators - Section D'!$A$1:$A$100,0))&lt;&gt;"",INDEX('Coverage Indicators - Section D'!W$1:W$100,MATCH($A230,'Coverage Indicators - Section D'!$A$1:$A$100,0)),""),"")</f>
        <v/>
      </c>
      <c r="H241" s="95" t="str">
        <f>IFERROR(IF(INDEX('Coverage Indicators - Section D'!Z$1:Z$100,MATCH($A230,'Coverage Indicators - Section D'!$A$1:$A$100,0))&lt;&gt;"",INDEX('Coverage Indicators - Section D'!Z$1:Z$100,MATCH($A230,'Coverage Indicators - Section D'!$A$1:$A$100,0)),""),"")</f>
        <v/>
      </c>
      <c r="I241" s="95" t="str">
        <f>IFERROR(IF(INDEX('Coverage Indicators - Section D'!AC$1:AC$100,MATCH($A230,'Coverage Indicators - Section D'!$A$1:$A$100,0))&lt;&gt;"",INDEX('Coverage Indicators - Section D'!AC$1:AC$100,MATCH($A230,'Coverage Indicators - Section D'!$A$1:$A$100,0)),""),"")</f>
        <v/>
      </c>
      <c r="J241" s="95" t="str">
        <f>IFERROR(IF(INDEX('Coverage Indicators - Section D'!AF$1:AF$100,MATCH($A230,'Coverage Indicators - Section D'!$A$1:$A$100,0))&lt;&gt;"",INDEX('Coverage Indicators - Section D'!AF$1:AF$100,MATCH($A230,'Coverage Indicators - Section D'!$A$1:$A$100,0)),""),"")</f>
        <v/>
      </c>
      <c r="K241" s="95" t="str">
        <f>IFERROR(IF(INDEX('Coverage Indicators - Section D'!AI$1:AI$100,MATCH($A230,'Coverage Indicators - Section D'!$A$1:$A$100,0))&lt;&gt;"",INDEX('Coverage Indicators - Section D'!AI$1:AI$100,MATCH($A230,'Coverage Indicators - Section D'!$A$1:$A$100,0)),""),"")</f>
        <v/>
      </c>
      <c r="L241" s="96"/>
    </row>
    <row r="242" spans="1:12" s="100" customFormat="1" ht="18.75" customHeight="1" x14ac:dyDescent="0.25">
      <c r="A242" s="667"/>
      <c r="B242" s="93" t="s">
        <v>4387</v>
      </c>
      <c r="C242" s="98">
        <f>IFERROR(IF(INDEX('Coverage Indicators - Section D'!E$1:E$100,MATCH($A230,'Coverage Indicators - Section D'!$A$1:$A$100,0)+1)&lt;&gt;"",INDEX('Coverage Indicators - Section D'!E$1:E$100,MATCH($A230,'Coverage Indicators - Section D'!$A$1:$A$100,0)+1),""),"")</f>
        <v>17379</v>
      </c>
      <c r="D242" s="98">
        <f>IFERROR(IF(INDEX('Coverage Indicators - Section D'!N$1:N$100,MATCH($A230,'Coverage Indicators - Section D'!$A$1:$A$100,0)+1)&lt;&gt;"",INDEX('Coverage Indicators - Section D'!N$1:N$100,MATCH($A230,'Coverage Indicators - Section D'!$A$1:$A$100,0)+1),""),"")</f>
        <v>17379</v>
      </c>
      <c r="E242" s="98">
        <f>IFERROR(IF(INDEX('Coverage Indicators - Section D'!Q$1:Q$100,MATCH($A230,'Coverage Indicators - Section D'!$A$1:$A$100,0)+1)&lt;&gt;"",INDEX('Coverage Indicators - Section D'!Q$1:Q$100,MATCH($A230,'Coverage Indicators - Section D'!$A$1:$A$100,0)+1),""),"")</f>
        <v>17379</v>
      </c>
      <c r="F242" s="98">
        <f>IFERROR(IF(INDEX('Coverage Indicators - Section D'!T$1:T$100,MATCH($A230,'Coverage Indicators - Section D'!$A$1:$A$100,0)+1)&lt;&gt;"",INDEX('Coverage Indicators - Section D'!T$1:T$100,MATCH($A230,'Coverage Indicators - Section D'!$A$1:$A$100,0)+1),""),"")</f>
        <v>17379</v>
      </c>
      <c r="G242" s="98" t="str">
        <f>IFERROR(IF(INDEX('Coverage Indicators - Section D'!W$1:W$100,MATCH($A230,'Coverage Indicators - Section D'!$A$1:$A$100,0)+1)&lt;&gt;"",INDEX('Coverage Indicators - Section D'!W$1:W$100,MATCH($A230,'Coverage Indicators - Section D'!$A$1:$A$100,0)+1),""),"")</f>
        <v/>
      </c>
      <c r="H242" s="98" t="str">
        <f>IFERROR(IF(INDEX('Coverage Indicators - Section D'!Z$1:Z$100,MATCH($A230,'Coverage Indicators - Section D'!$A$1:$A$100,0)+1)&lt;&gt;"",INDEX('Coverage Indicators - Section D'!Z$1:Z$100,MATCH($A230,'Coverage Indicators - Section D'!$A$1:$A$100,0)+1),""),"")</f>
        <v/>
      </c>
      <c r="I242" s="98" t="str">
        <f>IFERROR(IF(INDEX('Coverage Indicators - Section D'!AC$1:AC$100,MATCH($A230,'Coverage Indicators - Section D'!$A$1:$A$100,0)+1)&lt;&gt;"",INDEX('Coverage Indicators - Section D'!AC$1:AC$100,MATCH($A230,'Coverage Indicators - Section D'!$A$1:$A$100,0)+1),""),"")</f>
        <v/>
      </c>
      <c r="J242" s="98" t="str">
        <f>IFERROR(IF(INDEX('Coverage Indicators - Section D'!AF$1:AF$100,MATCH($A230,'Coverage Indicators - Section D'!$A$1:$A$100,0)+1)&lt;&gt;"",INDEX('Coverage Indicators - Section D'!AF$1:AF$100,MATCH($A230,'Coverage Indicators - Section D'!$A$1:$A$100,0)+1),""),"")</f>
        <v/>
      </c>
      <c r="K242" s="98" t="str">
        <f>IFERROR(IF(INDEX('Coverage Indicators - Section D'!AI$1:AI$100,MATCH($A230,'Coverage Indicators - Section D'!$A$1:$A$100,0)+1)&lt;&gt;"",INDEX('Coverage Indicators - Section D'!AI$1:AI$100,MATCH($A230,'Coverage Indicators - Section D'!$A$1:$A$100,0)+1),""),"")</f>
        <v/>
      </c>
      <c r="L242" s="99"/>
    </row>
    <row r="243" spans="1:12" ht="18.75" customHeight="1" x14ac:dyDescent="0.25">
      <c r="A243" s="667"/>
      <c r="B243" s="93" t="s">
        <v>4388</v>
      </c>
      <c r="C243" s="94" t="str">
        <f ca="1">IFERROR(IF(INDEX('Coverage Indicators - Section D'!F$1:F$100,MATCH($A230,'Coverage Indicators - Section D'!$A$1:$A$100,0))&lt;&gt;"",FIXED(INDEX('Coverage Indicators - Section D'!F$1:F$100,MATCH($A230,'Coverage Indicators - Section D'!$A$1:$A$100,0))*100,2)&amp;"%",""),"")</f>
        <v>92,65%</v>
      </c>
      <c r="D243" s="94" t="str">
        <f>IFERROR(IF(INDEX('Coverage Indicators - Section D'!O$1:O$100,MATCH($A230,'Coverage Indicators - Section D'!$A$1:$A$100,0))&lt;&gt;"",FIXED(INDEX('Coverage Indicators - Section D'!O$1:O$100,MATCH($A230,'Coverage Indicators - Section D'!$A$1:$A$100,0))*100,2)&amp;"%",""),"")&amp;CHAR(10)&amp;IFERROR(IF(INDEX('Coverage Indicators - Section D'!P$1:P$100,MATCH($A230,'Coverage Indicators - Section D'!$A$1:$A$100,0))&lt;&gt;"",INDEX('Coverage Indicators - Section D'!P$1:P$100,MATCH($A230,'Coverage Indicators - Section D'!$A$1:$A$100,0)),""),"")</f>
        <v xml:space="preserve">93,79%
</v>
      </c>
      <c r="E243" s="94" t="str">
        <f>IFERROR(IF(INDEX('Coverage Indicators - Section D'!R$1:R$100,MATCH($A230,'Coverage Indicators - Section D'!$A$1:$A$100,0))&lt;&gt;"",FIXED(INDEX('Coverage Indicators - Section D'!R$1:R$100,MATCH($A230,'Coverage Indicators - Section D'!$A$1:$A$100,0))*100,2)&amp;"%",""),"")&amp;CHAR(10)&amp;IFERROR(IF(INDEX('Coverage Indicators - Section D'!S$1:S$100,MATCH($A230,'Coverage Indicators - Section D'!$A$1:$A$100,0))&lt;&gt;"",INDEX('Coverage Indicators - Section D'!S$1:S$100,MATCH($A230,'Coverage Indicators - Section D'!$A$1:$A$100,0)),""),"")</f>
        <v xml:space="preserve">94,08%
</v>
      </c>
      <c r="F243" s="94" t="str">
        <f>IFERROR(IF(INDEX('Coverage Indicators - Section D'!U$1:U$100,MATCH($A230,'Coverage Indicators - Section D'!$A$1:$A$100,0))&lt;&gt;"",FIXED(INDEX('Coverage Indicators - Section D'!U$1:U$100,MATCH($A230,'Coverage Indicators - Section D'!$A$1:$A$100,0))*100,2)&amp;"%",""),"")&amp;CHAR(10)&amp;IFERROR(IF(INDEX('Coverage Indicators - Section D'!V$1:V$100,MATCH($A230,'Coverage Indicators - Section D'!$A$1:$A$100,0))&lt;&gt;"",INDEX('Coverage Indicators - Section D'!V$1:V$100,MATCH($A230,'Coverage Indicators - Section D'!$A$1:$A$100,0)),""),"")</f>
        <v xml:space="preserve">94,94%
</v>
      </c>
      <c r="G243" s="94" t="str">
        <f ca="1">IFERROR(IF(INDEX('Coverage Indicators - Section D'!X$1:X$100,MATCH($A230,'Coverage Indicators - Section D'!$A$1:$A$100,0))&lt;&gt;"",FIXED(INDEX('Coverage Indicators - Section D'!X$1:X$100,MATCH($A230,'Coverage Indicators - Section D'!$A$1:$A$100,0))*100,2)&amp;"%",""),"")&amp;CHAR(10)&amp;IFERROR(IF(INDEX('Coverage Indicators - Section D'!Y$1:Y$100,MATCH($A230,'Coverage Indicators - Section D'!$A$1:$A$100,0))&lt;&gt;"",INDEX('Coverage Indicators - Section D'!Y$1:Y$100,MATCH($A230,'Coverage Indicators - Section D'!$A$1:$A$100,0)),""),"")</f>
        <v xml:space="preserve">
</v>
      </c>
      <c r="H243" s="94" t="str">
        <f ca="1">IFERROR(IF(INDEX('Coverage Indicators - Section D'!AA$1:AA$100,MATCH(A230,'Coverage Indicators - Section D'!$A$1:$A$100,0))&lt;&gt;"",FIXED(INDEX('Coverage Indicators - Section D'!AA$1:AA$100,MATCH($A230,'Coverage Indicators - Section D'!$A$1:$A$100,0))*100,2)&amp;"%",""),"")&amp;CHAR(10)&amp;IFERROR(IF(INDEX('Coverage Indicators - Section D'!AB$1:AB$100,MATCH($A230,'Coverage Indicators - Section D'!$A$1:$A$100,0))&lt;&gt;"",INDEX('Coverage Indicators - Section D'!AB$1:AB$100,MATCH($A230,'Coverage Indicators - Section D'!$A$1:$A$100,0)),""),"")</f>
        <v xml:space="preserve">
</v>
      </c>
      <c r="I243" s="94" t="str">
        <f ca="1">IFERROR(IF(INDEX('Coverage Indicators - Section D'!AD$1:AD$100,MATCH($A230,'Coverage Indicators - Section D'!$A$1:$A$100,0))&lt;&gt;"",FIXED(INDEX('Coverage Indicators - Section D'!AD$1:AD$100,MATCH($A230,'Coverage Indicators - Section D'!$A$1:$A$100,0))*100,2)&amp;"%",""),"")&amp;CHAR(10)&amp;IFERROR(IF(INDEX('Coverage Indicators - Section D'!AE$1:AE$100,MATCH($A230,'Coverage Indicators - Section D'!$A$1:$A$100,0))&lt;&gt;"",INDEX('Coverage Indicators - Section D'!AE$1:AE$100,MATCH($A230,'Coverage Indicators - Section D'!$A$1:$A$100,0)),""),"")</f>
        <v xml:space="preserve">
</v>
      </c>
      <c r="J243" s="94" t="str">
        <f ca="1">IFERROR(IF(INDEX('Coverage Indicators - Section D'!AG$1:AG$100,MATCH($A230,'Coverage Indicators - Section D'!$A$1:$A$100,0))&lt;&gt;"",FIXED(INDEX('Coverage Indicators - Section D'!AG$1:AG$100,MATCH($A230,'Coverage Indicators - Section D'!$A$1:$A$100,0))*100,2)&amp;"%",""),"")&amp;CHAR(10)&amp;IFERROR(IF(INDEX('Coverage Indicators - Section D'!AH$1:AH$100,MATCH($A230,'Coverage Indicators - Section D'!$A$1:$A$100,0))&lt;&gt;"",INDEX('Coverage Indicators - Section D'!AH$1:AH$100,MATCH($A230,'Coverage Indicators - Section D'!$A$1:$A$100,0)),""),"")</f>
        <v xml:space="preserve">
</v>
      </c>
      <c r="K243" s="94" t="str">
        <f ca="1">IFERROR(IF(INDEX('Coverage Indicators - Section D'!AJ$1:AJ$100,MATCH($A230,'Coverage Indicators - Section D'!$A$1:$A$100,0))&lt;&gt;"",FIXED(INDEX('Coverage Indicators - Section D'!AJ$1:AJ$100,MATCH($A230,'Coverage Indicators - Section D'!$A$1:$A$100,0))*100,2)&amp;"%",""),"")&amp;CHAR(10)&amp;IFERROR(IF(INDEX('Coverage Indicators - Section D'!AK$1:AK$100,MATCH($A230,'Coverage Indicators - Section D'!$A$1:$A$100,0))&lt;&gt;"",INDEX('Coverage Indicators - Section D'!AK$1:AK$100,MATCH($A230,'Coverage Indicators - Section D'!$A$1:$A$100,0)),""),"")</f>
        <v xml:space="preserve">
</v>
      </c>
      <c r="L243" s="86"/>
    </row>
    <row r="244" spans="1:12" ht="18.75" customHeight="1" x14ac:dyDescent="0.25">
      <c r="A244" s="667"/>
      <c r="B244" s="660" t="s">
        <v>176</v>
      </c>
      <c r="C244" s="661"/>
      <c r="D244" s="661"/>
      <c r="E244" s="661"/>
      <c r="F244" s="661"/>
      <c r="G244" s="661"/>
      <c r="H244" s="661"/>
      <c r="I244" s="661"/>
      <c r="J244" s="661"/>
      <c r="K244" s="662"/>
      <c r="L244" s="86"/>
    </row>
    <row r="245" spans="1:12" ht="18.75" customHeight="1" x14ac:dyDescent="0.25">
      <c r="A245" s="667"/>
      <c r="B245" s="669" t="str">
        <f>IFERROR(IF(INDEX('Coverage Indicators - Section D'!AL$1:AL$110,MATCH($A230,'Coverage Indicators - Section D'!$A$1:$A$110,0))&lt;&gt;0,INDEX('Coverage Indicators - Section D'!AL$1:AL$110,MATCH($A230,'Coverage Indicators - Section D'!$A$1:$A$110,0)),""),"")</f>
        <v>Numerator: The number of clients (UIC) who passed a rapid HIV testing in this reporting period (including pre and post counseling) or received referrals for HIV testing, and there is evidence that they received pre-test and post-test counseling, and were tested for HIV in the laboratory or rapid test for the reporting period. Denumerator: The number of program clients covered by the minimum package of services
Each quarter, different clients (UIC) must be tested, so the number of customers tested for quarters in total should give the total number of customers tested (UIC) for six months</v>
      </c>
      <c r="C245" s="670"/>
      <c r="D245" s="670"/>
      <c r="E245" s="670"/>
      <c r="F245" s="670"/>
      <c r="G245" s="670"/>
      <c r="H245" s="670"/>
      <c r="I245" s="670"/>
      <c r="J245" s="670"/>
      <c r="K245" s="671"/>
      <c r="L245" s="86"/>
    </row>
    <row r="246" spans="1:12" ht="18.75" customHeight="1" x14ac:dyDescent="0.25">
      <c r="A246" s="667"/>
      <c r="B246" s="672"/>
      <c r="C246" s="673"/>
      <c r="D246" s="673"/>
      <c r="E246" s="673"/>
      <c r="F246" s="673"/>
      <c r="G246" s="673"/>
      <c r="H246" s="673"/>
      <c r="I246" s="673"/>
      <c r="J246" s="673"/>
      <c r="K246" s="674"/>
      <c r="L246" s="86"/>
    </row>
    <row r="247" spans="1:12" ht="18.75" customHeight="1" x14ac:dyDescent="0.25">
      <c r="A247" s="667"/>
      <c r="B247" s="672"/>
      <c r="C247" s="673"/>
      <c r="D247" s="673"/>
      <c r="E247" s="673"/>
      <c r="F247" s="673"/>
      <c r="G247" s="673"/>
      <c r="H247" s="673"/>
      <c r="I247" s="673"/>
      <c r="J247" s="673"/>
      <c r="K247" s="674"/>
      <c r="L247" s="86"/>
    </row>
    <row r="248" spans="1:12" ht="18.75" customHeight="1" x14ac:dyDescent="0.25">
      <c r="A248" s="667"/>
      <c r="B248" s="672"/>
      <c r="C248" s="673"/>
      <c r="D248" s="673"/>
      <c r="E248" s="673"/>
      <c r="F248" s="673"/>
      <c r="G248" s="673"/>
      <c r="H248" s="673"/>
      <c r="I248" s="673"/>
      <c r="J248" s="673"/>
      <c r="K248" s="674"/>
      <c r="L248" s="86"/>
    </row>
    <row r="249" spans="1:12" ht="18.75" customHeight="1" x14ac:dyDescent="0.25">
      <c r="A249" s="667"/>
      <c r="B249" s="672"/>
      <c r="C249" s="673"/>
      <c r="D249" s="673"/>
      <c r="E249" s="673"/>
      <c r="F249" s="673"/>
      <c r="G249" s="673"/>
      <c r="H249" s="673"/>
      <c r="I249" s="673"/>
      <c r="J249" s="673"/>
      <c r="K249" s="674"/>
      <c r="L249" s="86"/>
    </row>
    <row r="250" spans="1:12" ht="18.75" customHeight="1" x14ac:dyDescent="0.25">
      <c r="A250" s="667"/>
      <c r="B250" s="672"/>
      <c r="C250" s="673"/>
      <c r="D250" s="673"/>
      <c r="E250" s="673"/>
      <c r="F250" s="673"/>
      <c r="G250" s="673"/>
      <c r="H250" s="673"/>
      <c r="I250" s="673"/>
      <c r="J250" s="673"/>
      <c r="K250" s="674"/>
      <c r="L250" s="86"/>
    </row>
    <row r="251" spans="1:12" ht="18.75" customHeight="1" x14ac:dyDescent="0.25">
      <c r="A251" s="667"/>
      <c r="B251" s="672"/>
      <c r="C251" s="673"/>
      <c r="D251" s="673"/>
      <c r="E251" s="673"/>
      <c r="F251" s="673"/>
      <c r="G251" s="673"/>
      <c r="H251" s="673"/>
      <c r="I251" s="673"/>
      <c r="J251" s="673"/>
      <c r="K251" s="674"/>
      <c r="L251" s="86"/>
    </row>
    <row r="252" spans="1:12" ht="18.75" customHeight="1" x14ac:dyDescent="0.25">
      <c r="A252" s="667"/>
      <c r="B252" s="672"/>
      <c r="C252" s="673"/>
      <c r="D252" s="673"/>
      <c r="E252" s="673"/>
      <c r="F252" s="673"/>
      <c r="G252" s="673"/>
      <c r="H252" s="673"/>
      <c r="I252" s="673"/>
      <c r="J252" s="673"/>
      <c r="K252" s="674"/>
      <c r="L252" s="86"/>
    </row>
    <row r="253" spans="1:12" ht="18.75" customHeight="1" x14ac:dyDescent="0.25">
      <c r="A253" s="667"/>
      <c r="B253" s="672"/>
      <c r="C253" s="673"/>
      <c r="D253" s="673"/>
      <c r="E253" s="673"/>
      <c r="F253" s="673"/>
      <c r="G253" s="673"/>
      <c r="H253" s="673"/>
      <c r="I253" s="673"/>
      <c r="J253" s="673"/>
      <c r="K253" s="674"/>
      <c r="L253" s="86"/>
    </row>
    <row r="254" spans="1:12" ht="18.75" customHeight="1" x14ac:dyDescent="0.25">
      <c r="A254" s="668"/>
      <c r="B254" s="675"/>
      <c r="C254" s="676"/>
      <c r="D254" s="676"/>
      <c r="E254" s="676"/>
      <c r="F254" s="676"/>
      <c r="G254" s="676"/>
      <c r="H254" s="676"/>
      <c r="I254" s="676"/>
      <c r="J254" s="676"/>
      <c r="K254" s="677"/>
      <c r="L254" s="86"/>
    </row>
    <row r="255" spans="1:12" ht="18.75" customHeight="1" x14ac:dyDescent="0.25">
      <c r="A255" s="660"/>
      <c r="B255" s="661"/>
      <c r="C255" s="661"/>
      <c r="D255" s="661"/>
      <c r="E255" s="661"/>
      <c r="F255" s="661"/>
      <c r="G255" s="661"/>
      <c r="H255" s="661"/>
      <c r="I255" s="661"/>
      <c r="J255" s="661"/>
      <c r="K255" s="662"/>
      <c r="L255" s="86"/>
    </row>
    <row r="257" spans="1:12" ht="18.75" customHeight="1" x14ac:dyDescent="0.25">
      <c r="A257" s="93" t="s">
        <v>4383</v>
      </c>
      <c r="B257" s="660" t="s">
        <v>1046</v>
      </c>
      <c r="C257" s="662"/>
      <c r="D257" s="663" t="str">
        <f>IFERROR(IF(INDEX('Coverage Indicators - Section D'!B$1:B$100,MATCH($A258,'Coverage Indicators - Section D'!$A$1:$A$100,0))&lt;&gt;0,INDEX('Coverage Indicators - Section D'!B$1:B$100,MATCH($A258,'Coverage Indicators - Section D'!$A$1:$A$100,0)),""),"")</f>
        <v>Differentiated HIV Testing Services</v>
      </c>
      <c r="E257" s="664"/>
      <c r="F257" s="664"/>
      <c r="G257" s="664"/>
      <c r="H257" s="664"/>
      <c r="I257" s="664"/>
      <c r="J257" s="664"/>
      <c r="K257" s="665"/>
      <c r="L257" s="86"/>
    </row>
    <row r="258" spans="1:12" ht="18.75" customHeight="1" x14ac:dyDescent="0.25">
      <c r="A258" s="666">
        <v>10</v>
      </c>
      <c r="B258" s="660" t="s">
        <v>738</v>
      </c>
      <c r="C258" s="661"/>
      <c r="D258" s="661"/>
      <c r="E258" s="661"/>
      <c r="F258" s="662"/>
      <c r="G258" s="660" t="s">
        <v>739</v>
      </c>
      <c r="H258" s="661"/>
      <c r="I258" s="661"/>
      <c r="J258" s="661"/>
      <c r="K258" s="662"/>
      <c r="L258" s="86"/>
    </row>
    <row r="259" spans="1:12" ht="18.75" customHeight="1" x14ac:dyDescent="0.25">
      <c r="A259" s="667"/>
      <c r="B259" s="669" t="str">
        <f>IFERROR(IF(INDEX('Coverage Indicators - Section D'!C$1:C$100,MATCH($A258,'Coverage Indicators - Section D'!$A$1:$A$100,0))&lt;&gt;0,INDEX('Coverage Indicators - Section D'!C$1:C$100,MATCH($A258,'Coverage Indicators - Section D'!$A$1:$A$100,0)),""),"")</f>
        <v>HTS-3f⁽ᴹ⁾ Number of people in prisons and other closed settings that have received an HIV test during the reporting period and know their results</v>
      </c>
      <c r="C259" s="670"/>
      <c r="D259" s="670"/>
      <c r="E259" s="670"/>
      <c r="F259" s="671"/>
      <c r="G259" s="669" t="str">
        <f>IFERROR(IF(INDEX('Coverage Indicators - Section D'!D$1:D$100,MATCH($A258,'Coverage Indicators - Section D'!$A$1:$A$100,0))&lt;&gt;0,INDEX('Coverage Indicators - Section D'!D$1:D$100,MATCH($A258,'Coverage Indicators - Section D'!$A$1:$A$100,0)),""),"")</f>
        <v/>
      </c>
      <c r="H259" s="670"/>
      <c r="I259" s="670"/>
      <c r="J259" s="670"/>
      <c r="K259" s="671"/>
      <c r="L259" s="86"/>
    </row>
    <row r="260" spans="1:12" ht="18.75" customHeight="1" x14ac:dyDescent="0.25">
      <c r="A260" s="667"/>
      <c r="B260" s="672"/>
      <c r="C260" s="673"/>
      <c r="D260" s="673"/>
      <c r="E260" s="673"/>
      <c r="F260" s="674"/>
      <c r="G260" s="672"/>
      <c r="H260" s="673"/>
      <c r="I260" s="673"/>
      <c r="J260" s="673"/>
      <c r="K260" s="674"/>
      <c r="L260" s="86"/>
    </row>
    <row r="261" spans="1:12" ht="18.75" customHeight="1" x14ac:dyDescent="0.25">
      <c r="A261" s="667"/>
      <c r="B261" s="675"/>
      <c r="C261" s="676"/>
      <c r="D261" s="676"/>
      <c r="E261" s="676"/>
      <c r="F261" s="677"/>
      <c r="G261" s="675"/>
      <c r="H261" s="676"/>
      <c r="I261" s="676"/>
      <c r="J261" s="676"/>
      <c r="K261" s="677"/>
      <c r="L261" s="86"/>
    </row>
    <row r="262" spans="1:12" ht="18.75" customHeight="1" x14ac:dyDescent="0.25">
      <c r="A262" s="667"/>
      <c r="B262" s="660" t="s">
        <v>742</v>
      </c>
      <c r="C262" s="661"/>
      <c r="D262" s="662"/>
      <c r="E262" s="660" t="s">
        <v>216</v>
      </c>
      <c r="F262" s="661"/>
      <c r="G262" s="662"/>
      <c r="H262" s="660" t="s">
        <v>127</v>
      </c>
      <c r="I262" s="661"/>
      <c r="J262" s="662"/>
      <c r="K262" s="93" t="s">
        <v>2175</v>
      </c>
      <c r="L262" s="86"/>
    </row>
    <row r="263" spans="1:12" ht="18.75" customHeight="1" x14ac:dyDescent="0.25">
      <c r="A263" s="667"/>
      <c r="B263" s="663" t="str">
        <f>IFERROR(IF(INDEX('Coverage Indicators - Section D'!I$9:I$68,MATCH($A258,'Coverage Indicators - Section D'!$A$9:$A$68,0))&lt;&gt;0,INDEX('Coverage Indicators - Section D'!I$9:I$68,MATCH($A258,'Coverage Indicators - Section D'!$A$9:$A$68,0)),""),"")</f>
        <v>Gender</v>
      </c>
      <c r="C263" s="664"/>
      <c r="D263" s="665"/>
      <c r="E263" s="663" t="str">
        <f>IFERROR(IF(INDEX('Coverage Indicators - Section D'!M$1:M$100,MATCH($A258,'Coverage Indicators - Section D'!$A$1:$A$100,0))&lt;&gt;0,INDEX('Coverage Indicators - Section D'!M$1:M$100,MATCH($A258,'Coverage Indicators - Section D'!$A$1:$A$100,0)),""),"")</f>
        <v/>
      </c>
      <c r="F263" s="664"/>
      <c r="G263" s="665"/>
      <c r="H263" s="663" t="str">
        <f>IFERROR(IF(INDEX('Coverage Indicators - Section D'!L$1:L$100,MATCH($A258,'Coverage Indicators - Section D'!$A$1:$A$100,0))&lt;&gt;0,INDEX('Coverage Indicators - Section D'!L$1:L$100,MATCH($A258,'Coverage Indicators - Section D'!$A$1:$A$100,0)),""),"")</f>
        <v/>
      </c>
      <c r="I263" s="664"/>
      <c r="J263" s="665"/>
      <c r="K263" s="94" t="str">
        <f>IFERROR(IF(INDEX('Coverage Indicators - Section D'!J$1:J$100,MATCH($A258,'Coverage Indicators - Section D'!$A$1:$A$100,0))&lt;&gt;0,INDEX('Coverage Indicators - Section D'!J$1:J$100,MATCH($A258,'Coverage Indicators - Section D'!$A$1:$A$100,0)),""),"")</f>
        <v>Yes</v>
      </c>
      <c r="L263" s="86"/>
    </row>
    <row r="264" spans="1:12" ht="18.75" customHeight="1" x14ac:dyDescent="0.25">
      <c r="A264" s="667"/>
      <c r="B264" s="660" t="s">
        <v>199</v>
      </c>
      <c r="C264" s="661"/>
      <c r="D264" s="662"/>
      <c r="E264" s="660" t="s">
        <v>4392</v>
      </c>
      <c r="F264" s="661"/>
      <c r="G264" s="662"/>
      <c r="H264" s="660" t="s">
        <v>120</v>
      </c>
      <c r="I264" s="661"/>
      <c r="J264" s="661"/>
      <c r="K264" s="662"/>
      <c r="L264" s="86"/>
    </row>
    <row r="265" spans="1:12" ht="18.75" customHeight="1" x14ac:dyDescent="0.25">
      <c r="A265" s="667"/>
      <c r="B265" s="669" t="str">
        <f>IFERROR(IF(INDEX('Coverage Indicators - Section D'!H$1:H$100,MATCH($A258,'Coverage Indicators - Section D'!$A$1:$A$100,0))&lt;&gt;0,INDEX('Coverage Indicators - Section D'!H$1:H$100,MATCH($A258,'Coverage Indicators - Section D'!$A$1:$A$100,0)),""),"")</f>
        <v xml:space="preserve">VCT register, consolidated table on SSES in Excel table </v>
      </c>
      <c r="C265" s="670"/>
      <c r="D265" s="671"/>
      <c r="E265" s="669" t="str">
        <f>IFERROR(IF(INDEX('Coverage Indicators - Section D'!L$1:L$100,MATCH($A258,'Coverage Indicators - Section D'!$A$1:$A$100,0)+1)&lt;&gt;0,INDEX('Coverage Indicators - Section D'!L$1:L$100,MATCH($A258,'Coverage Indicators - Section D'!$A$1:$A$100,0)+1),""),"")</f>
        <v>Geographic National, 100% of national program target</v>
      </c>
      <c r="F265" s="670"/>
      <c r="G265" s="671"/>
      <c r="H265" s="669" t="str">
        <f>IFERROR(IF(AND('Overview - Section A'!AS$1="Grant Making",OR(B259&lt;&gt;"",G259&lt;&gt;"")),Setup!I267,IF(INDEX('Coverage Indicators - Section D'!K$1:K$100,MATCH($A258,'Coverage Indicators - Section D'!$A$1:$A$100,0))&lt;&gt;0,INDEX('Coverage Indicators - Section D'!K$1:K$100,MATCH($A258,'Coverage Indicators - Section D'!$A$1:$A$100,0)),"")),"")</f>
        <v>United Nations Development Programme</v>
      </c>
      <c r="I265" s="670"/>
      <c r="J265" s="670"/>
      <c r="K265" s="671"/>
      <c r="L265" s="86"/>
    </row>
    <row r="266" spans="1:12" ht="18.75" customHeight="1" x14ac:dyDescent="0.25">
      <c r="A266" s="667"/>
      <c r="B266" s="675"/>
      <c r="C266" s="676"/>
      <c r="D266" s="677"/>
      <c r="E266" s="675"/>
      <c r="F266" s="676"/>
      <c r="G266" s="677"/>
      <c r="H266" s="675"/>
      <c r="I266" s="676"/>
      <c r="J266" s="676"/>
      <c r="K266" s="677"/>
      <c r="L266" s="86"/>
    </row>
    <row r="267" spans="1:12" ht="18.75" customHeight="1" x14ac:dyDescent="0.25">
      <c r="A267" s="667"/>
      <c r="B267" s="93"/>
      <c r="C267" s="93" t="s">
        <v>4384</v>
      </c>
      <c r="D267" s="660" t="s">
        <v>4385</v>
      </c>
      <c r="E267" s="661"/>
      <c r="F267" s="661"/>
      <c r="G267" s="661"/>
      <c r="H267" s="661"/>
      <c r="I267" s="661"/>
      <c r="J267" s="661"/>
      <c r="K267" s="662"/>
      <c r="L267" s="86"/>
    </row>
    <row r="268" spans="1:12" ht="18.75" customHeight="1" x14ac:dyDescent="0.25">
      <c r="A268" s="667"/>
      <c r="B268" s="93" t="s">
        <v>2559</v>
      </c>
      <c r="C268" s="94">
        <f>IFERROR(IF(INDEX('Coverage Indicators - Section D'!G$1:G$100,MATCH($A258,'Coverage Indicators - Section D'!$A$1:$A$100,0))&lt;&gt;0,INDEX('Coverage Indicators - Section D'!G$1:G$100,MATCH($A258,'Coverage Indicators - Section D'!$A$1:$A$100,0)),""),"")</f>
        <v>2022</v>
      </c>
      <c r="D268"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268"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268"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268"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268"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268"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268"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268"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268" s="86"/>
    </row>
    <row r="269" spans="1:12" s="97" customFormat="1" ht="18.75" customHeight="1" x14ac:dyDescent="0.25">
      <c r="A269" s="667"/>
      <c r="B269" s="93" t="s">
        <v>4386</v>
      </c>
      <c r="C269" s="95">
        <f>IFERROR(IF(INDEX('Coverage Indicators - Section D'!E$1:E$100,MATCH($A258,'Coverage Indicators - Section D'!$A$1:$A$100,0))&lt;&gt;"",INDEX('Coverage Indicators - Section D'!E$1:E$100,MATCH($A258,'Coverage Indicators - Section D'!$A$1:$A$100,0)),""),"")</f>
        <v>4422</v>
      </c>
      <c r="D269" s="95">
        <f>IFERROR(IF(INDEX('Coverage Indicators - Section D'!N$1:N$100,MATCH($A258,'Coverage Indicators - Section D'!$A$1:$A$100,0))&lt;&gt;"",INDEX('Coverage Indicators - Section D'!N$1:N$100,MATCH($A258,'Coverage Indicators - Section D'!$A$1:$A$100,0)),""),"")</f>
        <v>5338</v>
      </c>
      <c r="E269" s="95">
        <f>IFERROR(IF(INDEX('Coverage Indicators - Section D'!Q$1:Q$100,MATCH($A258,'Coverage Indicators - Section D'!$A$1:$A$100,0))&lt;&gt;"",INDEX('Coverage Indicators - Section D'!Q$1:Q$100,MATCH($A258,'Coverage Indicators - Section D'!$A$1:$A$100,0)),""),"")</f>
        <v>5652</v>
      </c>
      <c r="F269" s="95">
        <f>IFERROR(IF(INDEX('Coverage Indicators - Section D'!T$1:T$100,MATCH($A258,'Coverage Indicators - Section D'!$A$1:$A$100,0))&lt;&gt;"",INDEX('Coverage Indicators - Section D'!T$1:T$100,MATCH($A258,'Coverage Indicators - Section D'!$A$1:$A$100,0)),""),"")</f>
        <v>5966</v>
      </c>
      <c r="G269" s="95" t="str">
        <f>IFERROR(IF(INDEX('Coverage Indicators - Section D'!W$1:W$100,MATCH($A258,'Coverage Indicators - Section D'!$A$1:$A$100,0))&lt;&gt;"",INDEX('Coverage Indicators - Section D'!W$1:W$100,MATCH($A258,'Coverage Indicators - Section D'!$A$1:$A$100,0)),""),"")</f>
        <v/>
      </c>
      <c r="H269" s="95" t="str">
        <f>IFERROR(IF(INDEX('Coverage Indicators - Section D'!Z$1:Z$100,MATCH($A258,'Coverage Indicators - Section D'!$A$1:$A$100,0))&lt;&gt;"",INDEX('Coverage Indicators - Section D'!Z$1:Z$100,MATCH($A258,'Coverage Indicators - Section D'!$A$1:$A$100,0)),""),"")</f>
        <v/>
      </c>
      <c r="I269" s="95" t="str">
        <f>IFERROR(IF(INDEX('Coverage Indicators - Section D'!AC$1:AC$100,MATCH($A258,'Coverage Indicators - Section D'!$A$1:$A$100,0))&lt;&gt;"",INDEX('Coverage Indicators - Section D'!AC$1:AC$100,MATCH($A258,'Coverage Indicators - Section D'!$A$1:$A$100,0)),""),"")</f>
        <v/>
      </c>
      <c r="J269" s="95" t="str">
        <f>IFERROR(IF(INDEX('Coverage Indicators - Section D'!AF$1:AF$100,MATCH($A258,'Coverage Indicators - Section D'!$A$1:$A$100,0))&lt;&gt;"",INDEX('Coverage Indicators - Section D'!AF$1:AF$100,MATCH($A258,'Coverage Indicators - Section D'!$A$1:$A$100,0)),""),"")</f>
        <v/>
      </c>
      <c r="K269" s="95" t="str">
        <f>IFERROR(IF(INDEX('Coverage Indicators - Section D'!AI$1:AI$100,MATCH($A258,'Coverage Indicators - Section D'!$A$1:$A$100,0))&lt;&gt;"",INDEX('Coverage Indicators - Section D'!AI$1:AI$100,MATCH($A258,'Coverage Indicators - Section D'!$A$1:$A$100,0)),""),"")</f>
        <v/>
      </c>
      <c r="L269" s="96"/>
    </row>
    <row r="270" spans="1:12" s="100" customFormat="1" ht="18.75" customHeight="1" x14ac:dyDescent="0.25">
      <c r="A270" s="667"/>
      <c r="B270" s="93" t="s">
        <v>4387</v>
      </c>
      <c r="C270" s="98">
        <f>IFERROR(IF(INDEX('Coverage Indicators - Section D'!E$1:E$100,MATCH($A258,'Coverage Indicators - Section D'!$A$1:$A$100,0)+1)&lt;&gt;"",INDEX('Coverage Indicators - Section D'!E$1:E$100,MATCH($A258,'Coverage Indicators - Section D'!$A$1:$A$100,0)+1),""),"")</f>
        <v>6280</v>
      </c>
      <c r="D270" s="98">
        <f>IFERROR(IF(INDEX('Coverage Indicators - Section D'!N$1:N$100,MATCH($A258,'Coverage Indicators - Section D'!$A$1:$A$100,0)+1)&lt;&gt;"",INDEX('Coverage Indicators - Section D'!N$1:N$100,MATCH($A258,'Coverage Indicators - Section D'!$A$1:$A$100,0)+1),""),"")</f>
        <v>6280</v>
      </c>
      <c r="E270" s="98">
        <f>IFERROR(IF(INDEX('Coverage Indicators - Section D'!Q$1:Q$100,MATCH($A258,'Coverage Indicators - Section D'!$A$1:$A$100,0)+1)&lt;&gt;"",INDEX('Coverage Indicators - Section D'!Q$1:Q$100,MATCH($A258,'Coverage Indicators - Section D'!$A$1:$A$100,0)+1),""),"")</f>
        <v>6280</v>
      </c>
      <c r="F270" s="98">
        <f>IFERROR(IF(INDEX('Coverage Indicators - Section D'!T$1:T$100,MATCH($A258,'Coverage Indicators - Section D'!$A$1:$A$100,0)+1)&lt;&gt;"",INDEX('Coverage Indicators - Section D'!T$1:T$100,MATCH($A258,'Coverage Indicators - Section D'!$A$1:$A$100,0)+1),""),"")</f>
        <v>6280</v>
      </c>
      <c r="G270" s="98" t="str">
        <f>IFERROR(IF(INDEX('Coverage Indicators - Section D'!W$1:W$100,MATCH($A258,'Coverage Indicators - Section D'!$A$1:$A$100,0)+1)&lt;&gt;"",INDEX('Coverage Indicators - Section D'!W$1:W$100,MATCH($A258,'Coverage Indicators - Section D'!$A$1:$A$100,0)+1),""),"")</f>
        <v/>
      </c>
      <c r="H270" s="98" t="str">
        <f>IFERROR(IF(INDEX('Coverage Indicators - Section D'!Z$1:Z$100,MATCH($A258,'Coverage Indicators - Section D'!$A$1:$A$100,0)+1)&lt;&gt;"",INDEX('Coverage Indicators - Section D'!Z$1:Z$100,MATCH($A258,'Coverage Indicators - Section D'!$A$1:$A$100,0)+1),""),"")</f>
        <v/>
      </c>
      <c r="I270" s="98" t="str">
        <f>IFERROR(IF(INDEX('Coverage Indicators - Section D'!AC$1:AC$100,MATCH($A258,'Coverage Indicators - Section D'!$A$1:$A$100,0)+1)&lt;&gt;"",INDEX('Coverage Indicators - Section D'!AC$1:AC$100,MATCH($A258,'Coverage Indicators - Section D'!$A$1:$A$100,0)+1),""),"")</f>
        <v/>
      </c>
      <c r="J270" s="98" t="str">
        <f>IFERROR(IF(INDEX('Coverage Indicators - Section D'!AF$1:AF$100,MATCH($A258,'Coverage Indicators - Section D'!$A$1:$A$100,0)+1)&lt;&gt;"",INDEX('Coverage Indicators - Section D'!AF$1:AF$100,MATCH($A258,'Coverage Indicators - Section D'!$A$1:$A$100,0)+1),""),"")</f>
        <v/>
      </c>
      <c r="K270" s="98" t="str">
        <f>IFERROR(IF(INDEX('Coverage Indicators - Section D'!AI$1:AI$100,MATCH($A258,'Coverage Indicators - Section D'!$A$1:$A$100,0)+1)&lt;&gt;"",INDEX('Coverage Indicators - Section D'!AI$1:AI$100,MATCH($A258,'Coverage Indicators - Section D'!$A$1:$A$100,0)+1),""),"")</f>
        <v/>
      </c>
      <c r="L270" s="99"/>
    </row>
    <row r="271" spans="1:12" ht="18.75" customHeight="1" x14ac:dyDescent="0.25">
      <c r="A271" s="667"/>
      <c r="B271" s="93" t="s">
        <v>4388</v>
      </c>
      <c r="C271" s="94" t="str">
        <f ca="1">IFERROR(IF(INDEX('Coverage Indicators - Section D'!F$1:F$100,MATCH($A258,'Coverage Indicators - Section D'!$A$1:$A$100,0))&lt;&gt;"",FIXED(INDEX('Coverage Indicators - Section D'!F$1:F$100,MATCH($A258,'Coverage Indicators - Section D'!$A$1:$A$100,0))*100,2)&amp;"%",""),"")</f>
        <v>70,41%</v>
      </c>
      <c r="D271" s="94" t="str">
        <f>IFERROR(IF(INDEX('Coverage Indicators - Section D'!O$1:O$100,MATCH($A258,'Coverage Indicators - Section D'!$A$1:$A$100,0))&lt;&gt;"",FIXED(INDEX('Coverage Indicators - Section D'!O$1:O$100,MATCH($A258,'Coverage Indicators - Section D'!$A$1:$A$100,0))*100,2)&amp;"%",""),"")&amp;CHAR(10)&amp;IFERROR(IF(INDEX('Coverage Indicators - Section D'!P$1:P$100,MATCH($A258,'Coverage Indicators - Section D'!$A$1:$A$100,0))&lt;&gt;"",INDEX('Coverage Indicators - Section D'!P$1:P$100,MATCH($A258,'Coverage Indicators - Section D'!$A$1:$A$100,0)),""),"")</f>
        <v xml:space="preserve">85,00%
</v>
      </c>
      <c r="E271" s="94" t="str">
        <f>IFERROR(IF(INDEX('Coverage Indicators - Section D'!R$1:R$100,MATCH($A258,'Coverage Indicators - Section D'!$A$1:$A$100,0))&lt;&gt;"",FIXED(INDEX('Coverage Indicators - Section D'!R$1:R$100,MATCH($A258,'Coverage Indicators - Section D'!$A$1:$A$100,0))*100,2)&amp;"%",""),"")&amp;CHAR(10)&amp;IFERROR(IF(INDEX('Coverage Indicators - Section D'!S$1:S$100,MATCH($A258,'Coverage Indicators - Section D'!$A$1:$A$100,0))&lt;&gt;"",INDEX('Coverage Indicators - Section D'!S$1:S$100,MATCH($A258,'Coverage Indicators - Section D'!$A$1:$A$100,0)),""),"")</f>
        <v xml:space="preserve">90,00%
</v>
      </c>
      <c r="F271" s="94" t="str">
        <f>IFERROR(IF(INDEX('Coverage Indicators - Section D'!U$1:U$100,MATCH($A258,'Coverage Indicators - Section D'!$A$1:$A$100,0))&lt;&gt;"",FIXED(INDEX('Coverage Indicators - Section D'!U$1:U$100,MATCH($A258,'Coverage Indicators - Section D'!$A$1:$A$100,0))*100,2)&amp;"%",""),"")&amp;CHAR(10)&amp;IFERROR(IF(INDEX('Coverage Indicators - Section D'!V$1:V$100,MATCH($A258,'Coverage Indicators - Section D'!$A$1:$A$100,0))&lt;&gt;"",INDEX('Coverage Indicators - Section D'!V$1:V$100,MATCH($A258,'Coverage Indicators - Section D'!$A$1:$A$100,0)),""),"")</f>
        <v xml:space="preserve">95,00%
</v>
      </c>
      <c r="G271" s="94" t="str">
        <f ca="1">IFERROR(IF(INDEX('Coverage Indicators - Section D'!X$1:X$100,MATCH($A258,'Coverage Indicators - Section D'!$A$1:$A$100,0))&lt;&gt;"",FIXED(INDEX('Coverage Indicators - Section D'!X$1:X$100,MATCH($A258,'Coverage Indicators - Section D'!$A$1:$A$100,0))*100,2)&amp;"%",""),"")&amp;CHAR(10)&amp;IFERROR(IF(INDEX('Coverage Indicators - Section D'!Y$1:Y$100,MATCH($A258,'Coverage Indicators - Section D'!$A$1:$A$100,0))&lt;&gt;"",INDEX('Coverage Indicators - Section D'!Y$1:Y$100,MATCH($A258,'Coverage Indicators - Section D'!$A$1:$A$100,0)),""),"")</f>
        <v xml:space="preserve">
</v>
      </c>
      <c r="H271" s="94" t="str">
        <f ca="1">IFERROR(IF(INDEX('Coverage Indicators - Section D'!AA$1:AA$100,MATCH(A258,'Coverage Indicators - Section D'!$A$1:$A$100,0))&lt;&gt;"",FIXED(INDEX('Coverage Indicators - Section D'!AA$1:AA$100,MATCH($A258,'Coverage Indicators - Section D'!$A$1:$A$100,0))*100,2)&amp;"%",""),"")&amp;CHAR(10)&amp;IFERROR(IF(INDEX('Coverage Indicators - Section D'!AB$1:AB$100,MATCH($A258,'Coverage Indicators - Section D'!$A$1:$A$100,0))&lt;&gt;"",INDEX('Coverage Indicators - Section D'!AB$1:AB$100,MATCH($A258,'Coverage Indicators - Section D'!$A$1:$A$100,0)),""),"")</f>
        <v xml:space="preserve">
</v>
      </c>
      <c r="I271" s="94" t="str">
        <f ca="1">IFERROR(IF(INDEX('Coverage Indicators - Section D'!AD$1:AD$100,MATCH($A258,'Coverage Indicators - Section D'!$A$1:$A$100,0))&lt;&gt;"",FIXED(INDEX('Coverage Indicators - Section D'!AD$1:AD$100,MATCH($A258,'Coverage Indicators - Section D'!$A$1:$A$100,0))*100,2)&amp;"%",""),"")&amp;CHAR(10)&amp;IFERROR(IF(INDEX('Coverage Indicators - Section D'!AE$1:AE$100,MATCH($A258,'Coverage Indicators - Section D'!$A$1:$A$100,0))&lt;&gt;"",INDEX('Coverage Indicators - Section D'!AE$1:AE$100,MATCH($A258,'Coverage Indicators - Section D'!$A$1:$A$100,0)),""),"")</f>
        <v xml:space="preserve">
</v>
      </c>
      <c r="J271" s="94" t="str">
        <f ca="1">IFERROR(IF(INDEX('Coverage Indicators - Section D'!AG$1:AG$100,MATCH($A258,'Coverage Indicators - Section D'!$A$1:$A$100,0))&lt;&gt;"",FIXED(INDEX('Coverage Indicators - Section D'!AG$1:AG$100,MATCH($A258,'Coverage Indicators - Section D'!$A$1:$A$100,0))*100,2)&amp;"%",""),"")&amp;CHAR(10)&amp;IFERROR(IF(INDEX('Coverage Indicators - Section D'!AH$1:AH$100,MATCH($A258,'Coverage Indicators - Section D'!$A$1:$A$100,0))&lt;&gt;"",INDEX('Coverage Indicators - Section D'!AH$1:AH$100,MATCH($A258,'Coverage Indicators - Section D'!$A$1:$A$100,0)),""),"")</f>
        <v xml:space="preserve">
</v>
      </c>
      <c r="K271" s="94" t="str">
        <f ca="1">IFERROR(IF(INDEX('Coverage Indicators - Section D'!AJ$1:AJ$100,MATCH($A258,'Coverage Indicators - Section D'!$A$1:$A$100,0))&lt;&gt;"",FIXED(INDEX('Coverage Indicators - Section D'!AJ$1:AJ$100,MATCH($A258,'Coverage Indicators - Section D'!$A$1:$A$100,0))*100,2)&amp;"%",""),"")&amp;CHAR(10)&amp;IFERROR(IF(INDEX('Coverage Indicators - Section D'!AK$1:AK$100,MATCH($A258,'Coverage Indicators - Section D'!$A$1:$A$100,0))&lt;&gt;"",INDEX('Coverage Indicators - Section D'!AK$1:AK$100,MATCH($A258,'Coverage Indicators - Section D'!$A$1:$A$100,0)),""),"")</f>
        <v xml:space="preserve">
</v>
      </c>
      <c r="L271" s="86"/>
    </row>
    <row r="272" spans="1:12" ht="18.75" customHeight="1" x14ac:dyDescent="0.25">
      <c r="A272" s="667"/>
      <c r="B272" s="660" t="s">
        <v>176</v>
      </c>
      <c r="C272" s="661"/>
      <c r="D272" s="661"/>
      <c r="E272" s="661"/>
      <c r="F272" s="661"/>
      <c r="G272" s="661"/>
      <c r="H272" s="661"/>
      <c r="I272" s="661"/>
      <c r="J272" s="661"/>
      <c r="K272" s="662"/>
      <c r="L272" s="86"/>
    </row>
    <row r="273" spans="1:12" ht="18.75" customHeight="1" x14ac:dyDescent="0.25">
      <c r="A273" s="667"/>
      <c r="B273" s="669" t="str">
        <f>IFERROR(IF(INDEX('Coverage Indicators - Section D'!AL$1:AL$110,MATCH($A258,'Coverage Indicators - Section D'!$A$1:$A$110,0))&lt;&gt;0,INDEX('Coverage Indicators - Section D'!AL$1:AL$110,MATCH($A258,'Coverage Indicators - Section D'!$A$1:$A$110,0)),""),"")</f>
        <v>Numerator:The number of clients (UIN) who passed a rapid HIV testing in this reporting period (including pre and post counseling) or received referrals for HIV testing. Denumerator: The number of prison population                                                            Each quarter should be tested different clients ans the sum of tested cleints is the number of tested for the Semester. 
Every year  71% people in prison should be tested for HIV and know their results.</v>
      </c>
      <c r="C273" s="670"/>
      <c r="D273" s="670"/>
      <c r="E273" s="670"/>
      <c r="F273" s="670"/>
      <c r="G273" s="670"/>
      <c r="H273" s="670"/>
      <c r="I273" s="670"/>
      <c r="J273" s="670"/>
      <c r="K273" s="671"/>
      <c r="L273" s="86"/>
    </row>
    <row r="274" spans="1:12" ht="18.75" customHeight="1" x14ac:dyDescent="0.25">
      <c r="A274" s="667"/>
      <c r="B274" s="672"/>
      <c r="C274" s="673"/>
      <c r="D274" s="673"/>
      <c r="E274" s="673"/>
      <c r="F274" s="673"/>
      <c r="G274" s="673"/>
      <c r="H274" s="673"/>
      <c r="I274" s="673"/>
      <c r="J274" s="673"/>
      <c r="K274" s="674"/>
      <c r="L274" s="86"/>
    </row>
    <row r="275" spans="1:12" ht="18.75" customHeight="1" x14ac:dyDescent="0.25">
      <c r="A275" s="667"/>
      <c r="B275" s="672"/>
      <c r="C275" s="673"/>
      <c r="D275" s="673"/>
      <c r="E275" s="673"/>
      <c r="F275" s="673"/>
      <c r="G275" s="673"/>
      <c r="H275" s="673"/>
      <c r="I275" s="673"/>
      <c r="J275" s="673"/>
      <c r="K275" s="674"/>
      <c r="L275" s="86"/>
    </row>
    <row r="276" spans="1:12" ht="18.75" customHeight="1" x14ac:dyDescent="0.25">
      <c r="A276" s="667"/>
      <c r="B276" s="672"/>
      <c r="C276" s="673"/>
      <c r="D276" s="673"/>
      <c r="E276" s="673"/>
      <c r="F276" s="673"/>
      <c r="G276" s="673"/>
      <c r="H276" s="673"/>
      <c r="I276" s="673"/>
      <c r="J276" s="673"/>
      <c r="K276" s="674"/>
      <c r="L276" s="86"/>
    </row>
    <row r="277" spans="1:12" ht="18.75" customHeight="1" x14ac:dyDescent="0.25">
      <c r="A277" s="667"/>
      <c r="B277" s="672"/>
      <c r="C277" s="673"/>
      <c r="D277" s="673"/>
      <c r="E277" s="673"/>
      <c r="F277" s="673"/>
      <c r="G277" s="673"/>
      <c r="H277" s="673"/>
      <c r="I277" s="673"/>
      <c r="J277" s="673"/>
      <c r="K277" s="674"/>
      <c r="L277" s="86"/>
    </row>
    <row r="278" spans="1:12" ht="18.75" customHeight="1" x14ac:dyDescent="0.25">
      <c r="A278" s="667"/>
      <c r="B278" s="672"/>
      <c r="C278" s="673"/>
      <c r="D278" s="673"/>
      <c r="E278" s="673"/>
      <c r="F278" s="673"/>
      <c r="G278" s="673"/>
      <c r="H278" s="673"/>
      <c r="I278" s="673"/>
      <c r="J278" s="673"/>
      <c r="K278" s="674"/>
      <c r="L278" s="86"/>
    </row>
    <row r="279" spans="1:12" ht="18.75" customHeight="1" x14ac:dyDescent="0.25">
      <c r="A279" s="667"/>
      <c r="B279" s="672"/>
      <c r="C279" s="673"/>
      <c r="D279" s="673"/>
      <c r="E279" s="673"/>
      <c r="F279" s="673"/>
      <c r="G279" s="673"/>
      <c r="H279" s="673"/>
      <c r="I279" s="673"/>
      <c r="J279" s="673"/>
      <c r="K279" s="674"/>
      <c r="L279" s="86"/>
    </row>
    <row r="280" spans="1:12" ht="18.75" customHeight="1" x14ac:dyDescent="0.25">
      <c r="A280" s="667"/>
      <c r="B280" s="672"/>
      <c r="C280" s="673"/>
      <c r="D280" s="673"/>
      <c r="E280" s="673"/>
      <c r="F280" s="673"/>
      <c r="G280" s="673"/>
      <c r="H280" s="673"/>
      <c r="I280" s="673"/>
      <c r="J280" s="673"/>
      <c r="K280" s="674"/>
      <c r="L280" s="86"/>
    </row>
    <row r="281" spans="1:12" ht="18.75" customHeight="1" x14ac:dyDescent="0.25">
      <c r="A281" s="667"/>
      <c r="B281" s="672"/>
      <c r="C281" s="673"/>
      <c r="D281" s="673"/>
      <c r="E281" s="673"/>
      <c r="F281" s="673"/>
      <c r="G281" s="673"/>
      <c r="H281" s="673"/>
      <c r="I281" s="673"/>
      <c r="J281" s="673"/>
      <c r="K281" s="674"/>
      <c r="L281" s="86"/>
    </row>
    <row r="282" spans="1:12" ht="18.75" customHeight="1" x14ac:dyDescent="0.25">
      <c r="A282" s="668"/>
      <c r="B282" s="675"/>
      <c r="C282" s="676"/>
      <c r="D282" s="676"/>
      <c r="E282" s="676"/>
      <c r="F282" s="676"/>
      <c r="G282" s="676"/>
      <c r="H282" s="676"/>
      <c r="I282" s="676"/>
      <c r="J282" s="676"/>
      <c r="K282" s="677"/>
      <c r="L282" s="86"/>
    </row>
    <row r="283" spans="1:12" ht="18.75" customHeight="1" x14ac:dyDescent="0.25">
      <c r="A283" s="660"/>
      <c r="B283" s="661"/>
      <c r="C283" s="661"/>
      <c r="D283" s="661"/>
      <c r="E283" s="661"/>
      <c r="F283" s="661"/>
      <c r="G283" s="661"/>
      <c r="H283" s="661"/>
      <c r="I283" s="661"/>
      <c r="J283" s="661"/>
      <c r="K283" s="662"/>
      <c r="L283" s="86"/>
    </row>
    <row r="285" spans="1:12" ht="18.75" customHeight="1" x14ac:dyDescent="0.25">
      <c r="A285" s="93" t="s">
        <v>4383</v>
      </c>
      <c r="B285" s="660" t="s">
        <v>1046</v>
      </c>
      <c r="C285" s="662"/>
      <c r="D285" s="663" t="str">
        <f>IFERROR(IF(INDEX('Coverage Indicators - Section D'!B$1:B$100,MATCH($A286,'Coverage Indicators - Section D'!$A$1:$A$100,0))&lt;&gt;0,INDEX('Coverage Indicators - Section D'!B$1:B$100,MATCH($A286,'Coverage Indicators - Section D'!$A$1:$A$100,0)),""),"")</f>
        <v>Treatment, care and support</v>
      </c>
      <c r="E285" s="664"/>
      <c r="F285" s="664"/>
      <c r="G285" s="664"/>
      <c r="H285" s="664"/>
      <c r="I285" s="664"/>
      <c r="J285" s="664"/>
      <c r="K285" s="665"/>
      <c r="L285" s="86"/>
    </row>
    <row r="286" spans="1:12" ht="18.75" customHeight="1" x14ac:dyDescent="0.25">
      <c r="A286" s="666">
        <v>11</v>
      </c>
      <c r="B286" s="660" t="s">
        <v>738</v>
      </c>
      <c r="C286" s="661"/>
      <c r="D286" s="661"/>
      <c r="E286" s="661"/>
      <c r="F286" s="662"/>
      <c r="G286" s="660" t="s">
        <v>739</v>
      </c>
      <c r="H286" s="661"/>
      <c r="I286" s="661"/>
      <c r="J286" s="661"/>
      <c r="K286" s="662"/>
      <c r="L286" s="86"/>
    </row>
    <row r="287" spans="1:12" ht="18.75" customHeight="1" x14ac:dyDescent="0.25">
      <c r="A287" s="667"/>
      <c r="B287" s="669" t="str">
        <f>IFERROR(IF(INDEX('Coverage Indicators - Section D'!C$1:C$100,MATCH($A286,'Coverage Indicators - Section D'!$A$1:$A$100,0))&lt;&gt;0,INDEX('Coverage Indicators - Section D'!C$1:C$100,MATCH($A286,'Coverage Indicators - Section D'!$A$1:$A$100,0)),""),"")</f>
        <v>TCS-1.1⁽ᴹ⁾ Percentage of people on ART among all people living with HIV at the end of the reporting period</v>
      </c>
      <c r="C287" s="670"/>
      <c r="D287" s="670"/>
      <c r="E287" s="670"/>
      <c r="F287" s="671"/>
      <c r="G287" s="669" t="str">
        <f>IFERROR(IF(INDEX('Coverage Indicators - Section D'!D$1:D$100,MATCH($A286,'Coverage Indicators - Section D'!$A$1:$A$100,0))&lt;&gt;0,INDEX('Coverage Indicators - Section D'!D$1:D$100,MATCH($A286,'Coverage Indicators - Section D'!$A$1:$A$100,0)),""),"")</f>
        <v/>
      </c>
      <c r="H287" s="670"/>
      <c r="I287" s="670"/>
      <c r="J287" s="670"/>
      <c r="K287" s="671"/>
      <c r="L287" s="86"/>
    </row>
    <row r="288" spans="1:12" ht="18.75" customHeight="1" x14ac:dyDescent="0.25">
      <c r="A288" s="667"/>
      <c r="B288" s="672"/>
      <c r="C288" s="673"/>
      <c r="D288" s="673"/>
      <c r="E288" s="673"/>
      <c r="F288" s="674"/>
      <c r="G288" s="672"/>
      <c r="H288" s="673"/>
      <c r="I288" s="673"/>
      <c r="J288" s="673"/>
      <c r="K288" s="674"/>
      <c r="L288" s="86"/>
    </row>
    <row r="289" spans="1:12" ht="18.75" customHeight="1" x14ac:dyDescent="0.25">
      <c r="A289" s="667"/>
      <c r="B289" s="675"/>
      <c r="C289" s="676"/>
      <c r="D289" s="676"/>
      <c r="E289" s="676"/>
      <c r="F289" s="677"/>
      <c r="G289" s="675"/>
      <c r="H289" s="676"/>
      <c r="I289" s="676"/>
      <c r="J289" s="676"/>
      <c r="K289" s="677"/>
      <c r="L289" s="86"/>
    </row>
    <row r="290" spans="1:12" ht="18.75" customHeight="1" x14ac:dyDescent="0.25">
      <c r="A290" s="667"/>
      <c r="B290" s="660" t="s">
        <v>742</v>
      </c>
      <c r="C290" s="661"/>
      <c r="D290" s="662"/>
      <c r="E290" s="660" t="s">
        <v>216</v>
      </c>
      <c r="F290" s="661"/>
      <c r="G290" s="662"/>
      <c r="H290" s="660" t="s">
        <v>127</v>
      </c>
      <c r="I290" s="661"/>
      <c r="J290" s="662"/>
      <c r="K290" s="93" t="s">
        <v>2175</v>
      </c>
      <c r="L290" s="86"/>
    </row>
    <row r="291" spans="1:12" ht="18.75" customHeight="1" x14ac:dyDescent="0.25">
      <c r="A291" s="667"/>
      <c r="B291" s="663" t="str">
        <f>IFERROR(IF(INDEX('Coverage Indicators - Section D'!I$9:I$68,MATCH($A286,'Coverage Indicators - Section D'!$A$9:$A$68,0))&lt;&gt;0,INDEX('Coverage Indicators - Section D'!I$9:I$68,MATCH($A286,'Coverage Indicators - Section D'!$A$9:$A$68,0)),""),"")</f>
        <v>Gender</v>
      </c>
      <c r="C291" s="664"/>
      <c r="D291" s="665"/>
      <c r="E291" s="663" t="str">
        <f>IFERROR(IF(INDEX('Coverage Indicators - Section D'!M$1:M$100,MATCH($A286,'Coverage Indicators - Section D'!$A$1:$A$100,0))&lt;&gt;0,INDEX('Coverage Indicators - Section D'!M$1:M$100,MATCH($A286,'Coverage Indicators - Section D'!$A$1:$A$100,0)),""),"")</f>
        <v/>
      </c>
      <c r="F291" s="664"/>
      <c r="G291" s="665"/>
      <c r="H291" s="663" t="str">
        <f>IFERROR(IF(INDEX('Coverage Indicators - Section D'!L$1:L$100,MATCH($A286,'Coverage Indicators - Section D'!$A$1:$A$100,0))&lt;&gt;0,INDEX('Coverage Indicators - Section D'!L$1:L$100,MATCH($A286,'Coverage Indicators - Section D'!$A$1:$A$100,0)),""),"")</f>
        <v/>
      </c>
      <c r="I291" s="664"/>
      <c r="J291" s="665"/>
      <c r="K291" s="94" t="str">
        <f>IFERROR(IF(INDEX('Coverage Indicators - Section D'!J$1:J$100,MATCH($A286,'Coverage Indicators - Section D'!$A$1:$A$100,0))&lt;&gt;0,INDEX('Coverage Indicators - Section D'!J$1:J$100,MATCH($A286,'Coverage Indicators - Section D'!$A$1:$A$100,0)),""),"")</f>
        <v>Yes</v>
      </c>
      <c r="L291" s="86"/>
    </row>
    <row r="292" spans="1:12" ht="18.75" customHeight="1" x14ac:dyDescent="0.25">
      <c r="A292" s="667"/>
      <c r="B292" s="660" t="s">
        <v>199</v>
      </c>
      <c r="C292" s="661"/>
      <c r="D292" s="662"/>
      <c r="E292" s="660" t="s">
        <v>4392</v>
      </c>
      <c r="F292" s="661"/>
      <c r="G292" s="662"/>
      <c r="H292" s="660" t="s">
        <v>120</v>
      </c>
      <c r="I292" s="661"/>
      <c r="J292" s="661"/>
      <c r="K292" s="662"/>
      <c r="L292" s="86"/>
    </row>
    <row r="293" spans="1:12" ht="18.75" customHeight="1" x14ac:dyDescent="0.25">
      <c r="A293" s="667"/>
      <c r="B293" s="669" t="str">
        <f>IFERROR(IF(INDEX('Coverage Indicators - Section D'!H$1:H$100,MATCH($A286,'Coverage Indicators - Section D'!$A$1:$A$100,0))&lt;&gt;0,INDEX('Coverage Indicators - Section D'!H$1:H$100,MATCH($A286,'Coverage Indicators - Section D'!$A$1:$A$100,0)),""),"")</f>
        <v>Electronic HIV Case Tracking System and RCHV&amp;HIV report
and data from UNAIDS (Estimated Number on PLHIV)</v>
      </c>
      <c r="C293" s="670"/>
      <c r="D293" s="671"/>
      <c r="E293" s="669" t="str">
        <f>IFERROR(IF(INDEX('Coverage Indicators - Section D'!L$1:L$100,MATCH($A286,'Coverage Indicators - Section D'!$A$1:$A$100,0)+1)&lt;&gt;0,INDEX('Coverage Indicators - Section D'!L$1:L$100,MATCH($A286,'Coverage Indicators - Section D'!$A$1:$A$100,0)+1),""),"")</f>
        <v>Geographic National, 100% of national program target</v>
      </c>
      <c r="F293" s="670"/>
      <c r="G293" s="671"/>
      <c r="H293" s="669" t="str">
        <f>IFERROR(IF(AND('Overview - Section A'!AS$1="Grant Making",OR(B287&lt;&gt;"",G287&lt;&gt;"")),Setup!I295,IF(INDEX('Coverage Indicators - Section D'!K$1:K$100,MATCH($A286,'Coverage Indicators - Section D'!$A$1:$A$100,0))&lt;&gt;0,INDEX('Coverage Indicators - Section D'!K$1:K$100,MATCH($A286,'Coverage Indicators - Section D'!$A$1:$A$100,0)),"")),"")</f>
        <v>United Nations Development Programme</v>
      </c>
      <c r="I293" s="670"/>
      <c r="J293" s="670"/>
      <c r="K293" s="671"/>
      <c r="L293" s="86"/>
    </row>
    <row r="294" spans="1:12" ht="18.75" customHeight="1" x14ac:dyDescent="0.25">
      <c r="A294" s="667"/>
      <c r="B294" s="675"/>
      <c r="C294" s="676"/>
      <c r="D294" s="677"/>
      <c r="E294" s="675"/>
      <c r="F294" s="676"/>
      <c r="G294" s="677"/>
      <c r="H294" s="675"/>
      <c r="I294" s="676"/>
      <c r="J294" s="676"/>
      <c r="K294" s="677"/>
      <c r="L294" s="86"/>
    </row>
    <row r="295" spans="1:12" ht="18.75" customHeight="1" x14ac:dyDescent="0.25">
      <c r="A295" s="667"/>
      <c r="B295" s="93"/>
      <c r="C295" s="93" t="s">
        <v>4384</v>
      </c>
      <c r="D295" s="660" t="s">
        <v>4385</v>
      </c>
      <c r="E295" s="661"/>
      <c r="F295" s="661"/>
      <c r="G295" s="661"/>
      <c r="H295" s="661"/>
      <c r="I295" s="661"/>
      <c r="J295" s="661"/>
      <c r="K295" s="662"/>
      <c r="L295" s="86"/>
    </row>
    <row r="296" spans="1:12" ht="18.75" customHeight="1" x14ac:dyDescent="0.25">
      <c r="A296" s="667"/>
      <c r="B296" s="93" t="s">
        <v>2559</v>
      </c>
      <c r="C296" s="94">
        <f>IFERROR(IF(INDEX('Coverage Indicators - Section D'!G$1:G$100,MATCH($A286,'Coverage Indicators - Section D'!$A$1:$A$100,0))&lt;&gt;0,INDEX('Coverage Indicators - Section D'!G$1:G$100,MATCH($A286,'Coverage Indicators - Section D'!$A$1:$A$100,0)),""),"")</f>
        <v>2022</v>
      </c>
      <c r="D296"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296"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296"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296"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296"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296"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296"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296"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296" s="86"/>
    </row>
    <row r="297" spans="1:12" s="97" customFormat="1" ht="18.75" customHeight="1" x14ac:dyDescent="0.25">
      <c r="A297" s="667"/>
      <c r="B297" s="93" t="s">
        <v>4386</v>
      </c>
      <c r="C297" s="95">
        <f>IFERROR(IF(INDEX('Coverage Indicators - Section D'!E$1:E$100,MATCH($A286,'Coverage Indicators - Section D'!$A$1:$A$100,0))&lt;&gt;"",INDEX('Coverage Indicators - Section D'!E$1:E$100,MATCH($A286,'Coverage Indicators - Section D'!$A$1:$A$100,0)),""),"")</f>
        <v>5771</v>
      </c>
      <c r="D297" s="95">
        <f>IFERROR(IF(INDEX('Coverage Indicators - Section D'!N$1:N$100,MATCH($A286,'Coverage Indicators - Section D'!$A$1:$A$100,0))&lt;&gt;"",INDEX('Coverage Indicators - Section D'!N$1:N$100,MATCH($A286,'Coverage Indicators - Section D'!$A$1:$A$100,0)),""),"")</f>
        <v>7531</v>
      </c>
      <c r="E297" s="95">
        <f>IFERROR(IF(INDEX('Coverage Indicators - Section D'!Q$1:Q$100,MATCH($A286,'Coverage Indicators - Section D'!$A$1:$A$100,0))&lt;&gt;"",INDEX('Coverage Indicators - Section D'!Q$1:Q$100,MATCH($A286,'Coverage Indicators - Section D'!$A$1:$A$100,0)),""),"")</f>
        <v>8535</v>
      </c>
      <c r="F297" s="95">
        <f>IFERROR(IF(INDEX('Coverage Indicators - Section D'!T$1:T$100,MATCH($A286,'Coverage Indicators - Section D'!$A$1:$A$100,0))&lt;&gt;"",INDEX('Coverage Indicators - Section D'!T$1:T$100,MATCH($A286,'Coverage Indicators - Section D'!$A$1:$A$100,0)),""),"")</f>
        <v>9539</v>
      </c>
      <c r="G297" s="95" t="str">
        <f>IFERROR(IF(INDEX('Coverage Indicators - Section D'!W$1:W$100,MATCH($A286,'Coverage Indicators - Section D'!$A$1:$A$100,0))&lt;&gt;"",INDEX('Coverage Indicators - Section D'!W$1:W$100,MATCH($A286,'Coverage Indicators - Section D'!$A$1:$A$100,0)),""),"")</f>
        <v/>
      </c>
      <c r="H297" s="95" t="str">
        <f>IFERROR(IF(INDEX('Coverage Indicators - Section D'!Z$1:Z$100,MATCH($A286,'Coverage Indicators - Section D'!$A$1:$A$100,0))&lt;&gt;"",INDEX('Coverage Indicators - Section D'!Z$1:Z$100,MATCH($A286,'Coverage Indicators - Section D'!$A$1:$A$100,0)),""),"")</f>
        <v/>
      </c>
      <c r="I297" s="95" t="str">
        <f>IFERROR(IF(INDEX('Coverage Indicators - Section D'!AC$1:AC$100,MATCH($A286,'Coverage Indicators - Section D'!$A$1:$A$100,0))&lt;&gt;"",INDEX('Coverage Indicators - Section D'!AC$1:AC$100,MATCH($A286,'Coverage Indicators - Section D'!$A$1:$A$100,0)),""),"")</f>
        <v/>
      </c>
      <c r="J297" s="95" t="str">
        <f>IFERROR(IF(INDEX('Coverage Indicators - Section D'!AF$1:AF$100,MATCH($A286,'Coverage Indicators - Section D'!$A$1:$A$100,0))&lt;&gt;"",INDEX('Coverage Indicators - Section D'!AF$1:AF$100,MATCH($A286,'Coverage Indicators - Section D'!$A$1:$A$100,0)),""),"")</f>
        <v/>
      </c>
      <c r="K297" s="95" t="str">
        <f>IFERROR(IF(INDEX('Coverage Indicators - Section D'!AI$1:AI$100,MATCH($A286,'Coverage Indicators - Section D'!$A$1:$A$100,0))&lt;&gt;"",INDEX('Coverage Indicators - Section D'!AI$1:AI$100,MATCH($A286,'Coverage Indicators - Section D'!$A$1:$A$100,0)),""),"")</f>
        <v/>
      </c>
      <c r="L297" s="96"/>
    </row>
    <row r="298" spans="1:12" s="100" customFormat="1" ht="18.75" customHeight="1" x14ac:dyDescent="0.25">
      <c r="A298" s="667"/>
      <c r="B298" s="93" t="s">
        <v>4387</v>
      </c>
      <c r="C298" s="98">
        <f>IFERROR(IF(INDEX('Coverage Indicators - Section D'!E$1:E$100,MATCH($A286,'Coverage Indicators - Section D'!$A$1:$A$100,0)+1)&lt;&gt;"",INDEX('Coverage Indicators - Section D'!E$1:E$100,MATCH($A286,'Coverage Indicators - Section D'!$A$1:$A$100,0)+1),""),"")</f>
        <v>10000</v>
      </c>
      <c r="D298" s="98">
        <f>IFERROR(IF(INDEX('Coverage Indicators - Section D'!N$1:N$100,MATCH($A286,'Coverage Indicators - Section D'!$A$1:$A$100,0)+1)&lt;&gt;"",INDEX('Coverage Indicators - Section D'!N$1:N$100,MATCH($A286,'Coverage Indicators - Section D'!$A$1:$A$100,0)+1),""),"")</f>
        <v>10041</v>
      </c>
      <c r="E298" s="98">
        <f>IFERROR(IF(INDEX('Coverage Indicators - Section D'!Q$1:Q$100,MATCH($A286,'Coverage Indicators - Section D'!$A$1:$A$100,0)+1)&lt;&gt;"",INDEX('Coverage Indicators - Section D'!Q$1:Q$100,MATCH($A286,'Coverage Indicators - Section D'!$A$1:$A$100,0)+1),""),"")</f>
        <v>10041</v>
      </c>
      <c r="F298" s="98">
        <f>IFERROR(IF(INDEX('Coverage Indicators - Section D'!T$1:T$100,MATCH($A286,'Coverage Indicators - Section D'!$A$1:$A$100,0)+1)&lt;&gt;"",INDEX('Coverage Indicators - Section D'!T$1:T$100,MATCH($A286,'Coverage Indicators - Section D'!$A$1:$A$100,0)+1),""),"")</f>
        <v>10041</v>
      </c>
      <c r="G298" s="98" t="str">
        <f>IFERROR(IF(INDEX('Coverage Indicators - Section D'!W$1:W$100,MATCH($A286,'Coverage Indicators - Section D'!$A$1:$A$100,0)+1)&lt;&gt;"",INDEX('Coverage Indicators - Section D'!W$1:W$100,MATCH($A286,'Coverage Indicators - Section D'!$A$1:$A$100,0)+1),""),"")</f>
        <v/>
      </c>
      <c r="H298" s="98" t="str">
        <f>IFERROR(IF(INDEX('Coverage Indicators - Section D'!Z$1:Z$100,MATCH($A286,'Coverage Indicators - Section D'!$A$1:$A$100,0)+1)&lt;&gt;"",INDEX('Coverage Indicators - Section D'!Z$1:Z$100,MATCH($A286,'Coverage Indicators - Section D'!$A$1:$A$100,0)+1),""),"")</f>
        <v/>
      </c>
      <c r="I298" s="98" t="str">
        <f>IFERROR(IF(INDEX('Coverage Indicators - Section D'!AC$1:AC$100,MATCH($A286,'Coverage Indicators - Section D'!$A$1:$A$100,0)+1)&lt;&gt;"",INDEX('Coverage Indicators - Section D'!AC$1:AC$100,MATCH($A286,'Coverage Indicators - Section D'!$A$1:$A$100,0)+1),""),"")</f>
        <v/>
      </c>
      <c r="J298" s="98" t="str">
        <f>IFERROR(IF(INDEX('Coverage Indicators - Section D'!AF$1:AF$100,MATCH($A286,'Coverage Indicators - Section D'!$A$1:$A$100,0)+1)&lt;&gt;"",INDEX('Coverage Indicators - Section D'!AF$1:AF$100,MATCH($A286,'Coverage Indicators - Section D'!$A$1:$A$100,0)+1),""),"")</f>
        <v/>
      </c>
      <c r="K298" s="98" t="str">
        <f>IFERROR(IF(INDEX('Coverage Indicators - Section D'!AI$1:AI$100,MATCH($A286,'Coverage Indicators - Section D'!$A$1:$A$100,0)+1)&lt;&gt;"",INDEX('Coverage Indicators - Section D'!AI$1:AI$100,MATCH($A286,'Coverage Indicators - Section D'!$A$1:$A$100,0)+1),""),"")</f>
        <v/>
      </c>
      <c r="L298" s="99"/>
    </row>
    <row r="299" spans="1:12" ht="18.75" customHeight="1" x14ac:dyDescent="0.25">
      <c r="A299" s="667"/>
      <c r="B299" s="93" t="s">
        <v>4388</v>
      </c>
      <c r="C299" s="94" t="str">
        <f ca="1">IFERROR(IF(INDEX('Coverage Indicators - Section D'!F$1:F$100,MATCH($A286,'Coverage Indicators - Section D'!$A$1:$A$100,0))&lt;&gt;"",FIXED(INDEX('Coverage Indicators - Section D'!F$1:F$100,MATCH($A286,'Coverage Indicators - Section D'!$A$1:$A$100,0))*100,2)&amp;"%",""),"")</f>
        <v>57,71%</v>
      </c>
      <c r="D299" s="94" t="str">
        <f ca="1">IFERROR(IF(INDEX('Coverage Indicators - Section D'!O$1:O$100,MATCH($A286,'Coverage Indicators - Section D'!$A$1:$A$100,0))&lt;&gt;"",FIXED(INDEX('Coverage Indicators - Section D'!O$1:O$100,MATCH($A286,'Coverage Indicators - Section D'!$A$1:$A$100,0))*100,2)&amp;"%",""),"")&amp;CHAR(10)&amp;IFERROR(IF(INDEX('Coverage Indicators - Section D'!P$1:P$100,MATCH($A286,'Coverage Indicators - Section D'!$A$1:$A$100,0))&lt;&gt;"",INDEX('Coverage Indicators - Section D'!P$1:P$100,MATCH($A286,'Coverage Indicators - Section D'!$A$1:$A$100,0)),""),"")</f>
        <v xml:space="preserve">75,00%
</v>
      </c>
      <c r="E299" s="94" t="str">
        <f ca="1">IFERROR(IF(INDEX('Coverage Indicators - Section D'!R$1:R$100,MATCH($A286,'Coverage Indicators - Section D'!$A$1:$A$100,0))&lt;&gt;"",FIXED(INDEX('Coverage Indicators - Section D'!R$1:R$100,MATCH($A286,'Coverage Indicators - Section D'!$A$1:$A$100,0))*100,2)&amp;"%",""),"")&amp;CHAR(10)&amp;IFERROR(IF(INDEX('Coverage Indicators - Section D'!S$1:S$100,MATCH($A286,'Coverage Indicators - Section D'!$A$1:$A$100,0))&lt;&gt;"",INDEX('Coverage Indicators - Section D'!S$1:S$100,MATCH($A286,'Coverage Indicators - Section D'!$A$1:$A$100,0)),""),"")</f>
        <v xml:space="preserve">85,00%
</v>
      </c>
      <c r="F299" s="94" t="str">
        <f ca="1">IFERROR(IF(INDEX('Coverage Indicators - Section D'!U$1:U$100,MATCH($A286,'Coverage Indicators - Section D'!$A$1:$A$100,0))&lt;&gt;"",FIXED(INDEX('Coverage Indicators - Section D'!U$1:U$100,MATCH($A286,'Coverage Indicators - Section D'!$A$1:$A$100,0))*100,2)&amp;"%",""),"")&amp;CHAR(10)&amp;IFERROR(IF(INDEX('Coverage Indicators - Section D'!V$1:V$100,MATCH($A286,'Coverage Indicators - Section D'!$A$1:$A$100,0))&lt;&gt;"",INDEX('Coverage Indicators - Section D'!V$1:V$100,MATCH($A286,'Coverage Indicators - Section D'!$A$1:$A$100,0)),""),"")</f>
        <v xml:space="preserve">95,00%
</v>
      </c>
      <c r="G299" s="94" t="str">
        <f ca="1">IFERROR(IF(INDEX('Coverage Indicators - Section D'!X$1:X$100,MATCH($A286,'Coverage Indicators - Section D'!$A$1:$A$100,0))&lt;&gt;"",FIXED(INDEX('Coverage Indicators - Section D'!X$1:X$100,MATCH($A286,'Coverage Indicators - Section D'!$A$1:$A$100,0))*100,2)&amp;"%",""),"")&amp;CHAR(10)&amp;IFERROR(IF(INDEX('Coverage Indicators - Section D'!Y$1:Y$100,MATCH($A286,'Coverage Indicators - Section D'!$A$1:$A$100,0))&lt;&gt;"",INDEX('Coverage Indicators - Section D'!Y$1:Y$100,MATCH($A286,'Coverage Indicators - Section D'!$A$1:$A$100,0)),""),"")</f>
        <v xml:space="preserve">
</v>
      </c>
      <c r="H299" s="94" t="str">
        <f ca="1">IFERROR(IF(INDEX('Coverage Indicators - Section D'!AA$1:AA$100,MATCH(A286,'Coverage Indicators - Section D'!$A$1:$A$100,0))&lt;&gt;"",FIXED(INDEX('Coverage Indicators - Section D'!AA$1:AA$100,MATCH($A286,'Coverage Indicators - Section D'!$A$1:$A$100,0))*100,2)&amp;"%",""),"")&amp;CHAR(10)&amp;IFERROR(IF(INDEX('Coverage Indicators - Section D'!AB$1:AB$100,MATCH($A286,'Coverage Indicators - Section D'!$A$1:$A$100,0))&lt;&gt;"",INDEX('Coverage Indicators - Section D'!AB$1:AB$100,MATCH($A286,'Coverage Indicators - Section D'!$A$1:$A$100,0)),""),"")</f>
        <v xml:space="preserve">
</v>
      </c>
      <c r="I299" s="94" t="str">
        <f ca="1">IFERROR(IF(INDEX('Coverage Indicators - Section D'!AD$1:AD$100,MATCH($A286,'Coverage Indicators - Section D'!$A$1:$A$100,0))&lt;&gt;"",FIXED(INDEX('Coverage Indicators - Section D'!AD$1:AD$100,MATCH($A286,'Coverage Indicators - Section D'!$A$1:$A$100,0))*100,2)&amp;"%",""),"")&amp;CHAR(10)&amp;IFERROR(IF(INDEX('Coverage Indicators - Section D'!AE$1:AE$100,MATCH($A286,'Coverage Indicators - Section D'!$A$1:$A$100,0))&lt;&gt;"",INDEX('Coverage Indicators - Section D'!AE$1:AE$100,MATCH($A286,'Coverage Indicators - Section D'!$A$1:$A$100,0)),""),"")</f>
        <v xml:space="preserve">
</v>
      </c>
      <c r="J299" s="94" t="str">
        <f ca="1">IFERROR(IF(INDEX('Coverage Indicators - Section D'!AG$1:AG$100,MATCH($A286,'Coverage Indicators - Section D'!$A$1:$A$100,0))&lt;&gt;"",FIXED(INDEX('Coverage Indicators - Section D'!AG$1:AG$100,MATCH($A286,'Coverage Indicators - Section D'!$A$1:$A$100,0))*100,2)&amp;"%",""),"")&amp;CHAR(10)&amp;IFERROR(IF(INDEX('Coverage Indicators - Section D'!AH$1:AH$100,MATCH($A286,'Coverage Indicators - Section D'!$A$1:$A$100,0))&lt;&gt;"",INDEX('Coverage Indicators - Section D'!AH$1:AH$100,MATCH($A286,'Coverage Indicators - Section D'!$A$1:$A$100,0)),""),"")</f>
        <v xml:space="preserve">
</v>
      </c>
      <c r="K299" s="94" t="str">
        <f ca="1">IFERROR(IF(INDEX('Coverage Indicators - Section D'!AJ$1:AJ$100,MATCH($A286,'Coverage Indicators - Section D'!$A$1:$A$100,0))&lt;&gt;"",FIXED(INDEX('Coverage Indicators - Section D'!AJ$1:AJ$100,MATCH($A286,'Coverage Indicators - Section D'!$A$1:$A$100,0))*100,2)&amp;"%",""),"")&amp;CHAR(10)&amp;IFERROR(IF(INDEX('Coverage Indicators - Section D'!AK$1:AK$100,MATCH($A286,'Coverage Indicators - Section D'!$A$1:$A$100,0))&lt;&gt;"",INDEX('Coverage Indicators - Section D'!AK$1:AK$100,MATCH($A286,'Coverage Indicators - Section D'!$A$1:$A$100,0)),""),"")</f>
        <v xml:space="preserve">
</v>
      </c>
      <c r="L299" s="86"/>
    </row>
    <row r="300" spans="1:12" ht="18.75" customHeight="1" x14ac:dyDescent="0.25">
      <c r="A300" s="667"/>
      <c r="B300" s="660" t="s">
        <v>176</v>
      </c>
      <c r="C300" s="661"/>
      <c r="D300" s="661"/>
      <c r="E300" s="661"/>
      <c r="F300" s="661"/>
      <c r="G300" s="661"/>
      <c r="H300" s="661"/>
      <c r="I300" s="661"/>
      <c r="J300" s="661"/>
      <c r="K300" s="662"/>
      <c r="L300" s="86"/>
    </row>
    <row r="301" spans="1:12" ht="18.75" customHeight="1" x14ac:dyDescent="0.25">
      <c r="A301" s="667"/>
      <c r="B301" s="669" t="str">
        <f>IFERROR(IF(INDEX('Coverage Indicators - Section D'!AL$1:AL$110,MATCH($A286,'Coverage Indicators - Section D'!$A$1:$A$110,0))&lt;&gt;0,INDEX('Coverage Indicators - Section D'!AL$1:AL$110,MATCH($A286,'Coverage Indicators - Section D'!$A$1:$A$110,0)),""),"")</f>
        <v>Numerator: Number of people on ART at the end of the reporting period. 
Denominator: Estimated number of people living with HIV (data - generated by SPECTRUM) according to the UNAIDS (average numbers, pls refer to the link for more information: ahttp://aidsinfo.unaids.org/). The updated data according to the Spectrum on denominator will be provided in each reporting period. It is expected that all measures within the grant in support of HIV new cases identification and adherence to ART will allow country to achieve target 95.</v>
      </c>
      <c r="C301" s="670"/>
      <c r="D301" s="670"/>
      <c r="E301" s="670"/>
      <c r="F301" s="670"/>
      <c r="G301" s="670"/>
      <c r="H301" s="670"/>
      <c r="I301" s="670"/>
      <c r="J301" s="670"/>
      <c r="K301" s="671"/>
      <c r="L301" s="86"/>
    </row>
    <row r="302" spans="1:12" ht="18.75" customHeight="1" x14ac:dyDescent="0.25">
      <c r="A302" s="667"/>
      <c r="B302" s="672"/>
      <c r="C302" s="673"/>
      <c r="D302" s="673"/>
      <c r="E302" s="673"/>
      <c r="F302" s="673"/>
      <c r="G302" s="673"/>
      <c r="H302" s="673"/>
      <c r="I302" s="673"/>
      <c r="J302" s="673"/>
      <c r="K302" s="674"/>
      <c r="L302" s="86"/>
    </row>
    <row r="303" spans="1:12" ht="18.75" customHeight="1" x14ac:dyDescent="0.25">
      <c r="A303" s="667"/>
      <c r="B303" s="672"/>
      <c r="C303" s="673"/>
      <c r="D303" s="673"/>
      <c r="E303" s="673"/>
      <c r="F303" s="673"/>
      <c r="G303" s="673"/>
      <c r="H303" s="673"/>
      <c r="I303" s="673"/>
      <c r="J303" s="673"/>
      <c r="K303" s="674"/>
      <c r="L303" s="86"/>
    </row>
    <row r="304" spans="1:12" ht="18.75" customHeight="1" x14ac:dyDescent="0.25">
      <c r="A304" s="667"/>
      <c r="B304" s="672"/>
      <c r="C304" s="673"/>
      <c r="D304" s="673"/>
      <c r="E304" s="673"/>
      <c r="F304" s="673"/>
      <c r="G304" s="673"/>
      <c r="H304" s="673"/>
      <c r="I304" s="673"/>
      <c r="J304" s="673"/>
      <c r="K304" s="674"/>
      <c r="L304" s="86"/>
    </row>
    <row r="305" spans="1:12" ht="18.75" customHeight="1" x14ac:dyDescent="0.25">
      <c r="A305" s="667"/>
      <c r="B305" s="672"/>
      <c r="C305" s="673"/>
      <c r="D305" s="673"/>
      <c r="E305" s="673"/>
      <c r="F305" s="673"/>
      <c r="G305" s="673"/>
      <c r="H305" s="673"/>
      <c r="I305" s="673"/>
      <c r="J305" s="673"/>
      <c r="K305" s="674"/>
      <c r="L305" s="86"/>
    </row>
    <row r="306" spans="1:12" ht="18.75" customHeight="1" x14ac:dyDescent="0.25">
      <c r="A306" s="667"/>
      <c r="B306" s="672"/>
      <c r="C306" s="673"/>
      <c r="D306" s="673"/>
      <c r="E306" s="673"/>
      <c r="F306" s="673"/>
      <c r="G306" s="673"/>
      <c r="H306" s="673"/>
      <c r="I306" s="673"/>
      <c r="J306" s="673"/>
      <c r="K306" s="674"/>
      <c r="L306" s="86"/>
    </row>
    <row r="307" spans="1:12" ht="18.75" customHeight="1" x14ac:dyDescent="0.25">
      <c r="A307" s="667"/>
      <c r="B307" s="672"/>
      <c r="C307" s="673"/>
      <c r="D307" s="673"/>
      <c r="E307" s="673"/>
      <c r="F307" s="673"/>
      <c r="G307" s="673"/>
      <c r="H307" s="673"/>
      <c r="I307" s="673"/>
      <c r="J307" s="673"/>
      <c r="K307" s="674"/>
      <c r="L307" s="86"/>
    </row>
    <row r="308" spans="1:12" ht="18.75" customHeight="1" x14ac:dyDescent="0.25">
      <c r="A308" s="667"/>
      <c r="B308" s="672"/>
      <c r="C308" s="673"/>
      <c r="D308" s="673"/>
      <c r="E308" s="673"/>
      <c r="F308" s="673"/>
      <c r="G308" s="673"/>
      <c r="H308" s="673"/>
      <c r="I308" s="673"/>
      <c r="J308" s="673"/>
      <c r="K308" s="674"/>
      <c r="L308" s="86"/>
    </row>
    <row r="309" spans="1:12" ht="18.75" customHeight="1" x14ac:dyDescent="0.25">
      <c r="A309" s="667"/>
      <c r="B309" s="672"/>
      <c r="C309" s="673"/>
      <c r="D309" s="673"/>
      <c r="E309" s="673"/>
      <c r="F309" s="673"/>
      <c r="G309" s="673"/>
      <c r="H309" s="673"/>
      <c r="I309" s="673"/>
      <c r="J309" s="673"/>
      <c r="K309" s="674"/>
      <c r="L309" s="86"/>
    </row>
    <row r="310" spans="1:12" ht="18.75" customHeight="1" x14ac:dyDescent="0.25">
      <c r="A310" s="668"/>
      <c r="B310" s="675"/>
      <c r="C310" s="676"/>
      <c r="D310" s="676"/>
      <c r="E310" s="676"/>
      <c r="F310" s="676"/>
      <c r="G310" s="676"/>
      <c r="H310" s="676"/>
      <c r="I310" s="676"/>
      <c r="J310" s="676"/>
      <c r="K310" s="677"/>
      <c r="L310" s="86"/>
    </row>
    <row r="311" spans="1:12" ht="18.75" customHeight="1" x14ac:dyDescent="0.25">
      <c r="A311" s="660"/>
      <c r="B311" s="661"/>
      <c r="C311" s="661"/>
      <c r="D311" s="661"/>
      <c r="E311" s="661"/>
      <c r="F311" s="661"/>
      <c r="G311" s="661"/>
      <c r="H311" s="661"/>
      <c r="I311" s="661"/>
      <c r="J311" s="661"/>
      <c r="K311" s="662"/>
      <c r="L311" s="86"/>
    </row>
    <row r="313" spans="1:12" ht="18.75" customHeight="1" x14ac:dyDescent="0.25">
      <c r="A313" s="93" t="s">
        <v>4383</v>
      </c>
      <c r="B313" s="660" t="s">
        <v>1046</v>
      </c>
      <c r="C313" s="662"/>
      <c r="D313" s="663" t="str">
        <f>IFERROR(IF(INDEX('Coverage Indicators - Section D'!B$1:B$100,MATCH($A314,'Coverage Indicators - Section D'!$A$1:$A$100,0))&lt;&gt;0,INDEX('Coverage Indicators - Section D'!B$1:B$100,MATCH($A314,'Coverage Indicators - Section D'!$A$1:$A$100,0)),""),"")</f>
        <v>Treatment, care and support</v>
      </c>
      <c r="E313" s="664"/>
      <c r="F313" s="664"/>
      <c r="G313" s="664"/>
      <c r="H313" s="664"/>
      <c r="I313" s="664"/>
      <c r="J313" s="664"/>
      <c r="K313" s="665"/>
      <c r="L313" s="86"/>
    </row>
    <row r="314" spans="1:12" ht="18.75" customHeight="1" x14ac:dyDescent="0.25">
      <c r="A314" s="666">
        <v>12</v>
      </c>
      <c r="B314" s="660" t="s">
        <v>738</v>
      </c>
      <c r="C314" s="661"/>
      <c r="D314" s="661"/>
      <c r="E314" s="661"/>
      <c r="F314" s="662"/>
      <c r="G314" s="660" t="s">
        <v>739</v>
      </c>
      <c r="H314" s="661"/>
      <c r="I314" s="661"/>
      <c r="J314" s="661"/>
      <c r="K314" s="662"/>
      <c r="L314" s="86"/>
    </row>
    <row r="315" spans="1:12" ht="18.75" customHeight="1" x14ac:dyDescent="0.25">
      <c r="A315" s="667"/>
      <c r="B315" s="669" t="str">
        <f>IFERROR(IF(INDEX('Coverage Indicators - Section D'!C$1:C$100,MATCH($A314,'Coverage Indicators - Section D'!$A$1:$A$100,0))&lt;&gt;0,INDEX('Coverage Indicators - Section D'!C$1:C$100,MATCH($A314,'Coverage Indicators - Section D'!$A$1:$A$100,0)),""),"")</f>
        <v>TCS-1b⁽ᴹ⁾ Percentage of adults (15 and above) on ART among all adults living with HIV at the end of the reporting period</v>
      </c>
      <c r="C315" s="670"/>
      <c r="D315" s="670"/>
      <c r="E315" s="670"/>
      <c r="F315" s="671"/>
      <c r="G315" s="669" t="str">
        <f>IFERROR(IF(INDEX('Coverage Indicators - Section D'!D$1:D$100,MATCH($A314,'Coverage Indicators - Section D'!$A$1:$A$100,0))&lt;&gt;0,INDEX('Coverage Indicators - Section D'!D$1:D$100,MATCH($A314,'Coverage Indicators - Section D'!$A$1:$A$100,0)),""),"")</f>
        <v/>
      </c>
      <c r="H315" s="670"/>
      <c r="I315" s="670"/>
      <c r="J315" s="670"/>
      <c r="K315" s="671"/>
      <c r="L315" s="86"/>
    </row>
    <row r="316" spans="1:12" ht="18.75" customHeight="1" x14ac:dyDescent="0.25">
      <c r="A316" s="667"/>
      <c r="B316" s="672"/>
      <c r="C316" s="673"/>
      <c r="D316" s="673"/>
      <c r="E316" s="673"/>
      <c r="F316" s="674"/>
      <c r="G316" s="672"/>
      <c r="H316" s="673"/>
      <c r="I316" s="673"/>
      <c r="J316" s="673"/>
      <c r="K316" s="674"/>
      <c r="L316" s="86"/>
    </row>
    <row r="317" spans="1:12" ht="18.75" customHeight="1" x14ac:dyDescent="0.25">
      <c r="A317" s="667"/>
      <c r="B317" s="675"/>
      <c r="C317" s="676"/>
      <c r="D317" s="676"/>
      <c r="E317" s="676"/>
      <c r="F317" s="677"/>
      <c r="G317" s="675"/>
      <c r="H317" s="676"/>
      <c r="I317" s="676"/>
      <c r="J317" s="676"/>
      <c r="K317" s="677"/>
      <c r="L317" s="86"/>
    </row>
    <row r="318" spans="1:12" ht="18.75" customHeight="1" x14ac:dyDescent="0.25">
      <c r="A318" s="667"/>
      <c r="B318" s="660" t="s">
        <v>742</v>
      </c>
      <c r="C318" s="661"/>
      <c r="D318" s="662"/>
      <c r="E318" s="660" t="s">
        <v>216</v>
      </c>
      <c r="F318" s="661"/>
      <c r="G318" s="662"/>
      <c r="H318" s="660" t="s">
        <v>127</v>
      </c>
      <c r="I318" s="661"/>
      <c r="J318" s="662"/>
      <c r="K318" s="93" t="s">
        <v>2175</v>
      </c>
      <c r="L318" s="86"/>
    </row>
    <row r="319" spans="1:12" ht="18.75" customHeight="1" x14ac:dyDescent="0.25">
      <c r="A319" s="667"/>
      <c r="B319" s="663" t="str">
        <f>IFERROR(IF(INDEX('Coverage Indicators - Section D'!I$9:I$68,MATCH($A314,'Coverage Indicators - Section D'!$A$9:$A$68,0))&lt;&gt;0,INDEX('Coverage Indicators - Section D'!I$9:I$68,MATCH($A314,'Coverage Indicators - Section D'!$A$9:$A$68,0)),""),"")</f>
        <v>Gender</v>
      </c>
      <c r="C319" s="664"/>
      <c r="D319" s="665"/>
      <c r="E319" s="663" t="str">
        <f>IFERROR(IF(INDEX('Coverage Indicators - Section D'!M$1:M$100,MATCH($A314,'Coverage Indicators - Section D'!$A$1:$A$100,0))&lt;&gt;0,INDEX('Coverage Indicators - Section D'!M$1:M$100,MATCH($A314,'Coverage Indicators - Section D'!$A$1:$A$100,0)),""),"")</f>
        <v/>
      </c>
      <c r="F319" s="664"/>
      <c r="G319" s="665"/>
      <c r="H319" s="663" t="str">
        <f>IFERROR(IF(INDEX('Coverage Indicators - Section D'!L$1:L$100,MATCH($A314,'Coverage Indicators - Section D'!$A$1:$A$100,0))&lt;&gt;0,INDEX('Coverage Indicators - Section D'!L$1:L$100,MATCH($A314,'Coverage Indicators - Section D'!$A$1:$A$100,0)),""),"")</f>
        <v/>
      </c>
      <c r="I319" s="664"/>
      <c r="J319" s="665"/>
      <c r="K319" s="94" t="str">
        <f>IFERROR(IF(INDEX('Coverage Indicators - Section D'!J$1:J$100,MATCH($A314,'Coverage Indicators - Section D'!$A$1:$A$100,0))&lt;&gt;0,INDEX('Coverage Indicators - Section D'!J$1:J$100,MATCH($A314,'Coverage Indicators - Section D'!$A$1:$A$100,0)),""),"")</f>
        <v>Yes</v>
      </c>
      <c r="L319" s="86"/>
    </row>
    <row r="320" spans="1:12" ht="18.75" customHeight="1" x14ac:dyDescent="0.25">
      <c r="A320" s="667"/>
      <c r="B320" s="660" t="s">
        <v>199</v>
      </c>
      <c r="C320" s="661"/>
      <c r="D320" s="662"/>
      <c r="E320" s="660" t="s">
        <v>4392</v>
      </c>
      <c r="F320" s="661"/>
      <c r="G320" s="662"/>
      <c r="H320" s="660" t="s">
        <v>120</v>
      </c>
      <c r="I320" s="661"/>
      <c r="J320" s="661"/>
      <c r="K320" s="662"/>
      <c r="L320" s="86"/>
    </row>
    <row r="321" spans="1:12" ht="18.75" customHeight="1" x14ac:dyDescent="0.25">
      <c r="A321" s="667"/>
      <c r="B321" s="669" t="str">
        <f>IFERROR(IF(INDEX('Coverage Indicators - Section D'!H$1:H$100,MATCH($A314,'Coverage Indicators - Section D'!$A$1:$A$100,0))&lt;&gt;0,INDEX('Coverage Indicators - Section D'!H$1:H$100,MATCH($A314,'Coverage Indicators - Section D'!$A$1:$A$100,0)),""),"")</f>
        <v>Electronic HIV Case Tracking System and RCHV&amp;HIV report
and data from UNAIDS (Estimated Number on PLHIV)</v>
      </c>
      <c r="C321" s="670"/>
      <c r="D321" s="671"/>
      <c r="E321" s="669" t="str">
        <f>IFERROR(IF(INDEX('Coverage Indicators - Section D'!L$1:L$100,MATCH($A314,'Coverage Indicators - Section D'!$A$1:$A$100,0)+1)&lt;&gt;0,INDEX('Coverage Indicators - Section D'!L$1:L$100,MATCH($A314,'Coverage Indicators - Section D'!$A$1:$A$100,0)+1),""),"")</f>
        <v>Geographic National, 100% of national program target</v>
      </c>
      <c r="F321" s="670"/>
      <c r="G321" s="671"/>
      <c r="H321" s="669" t="str">
        <f>IFERROR(IF(AND('Overview - Section A'!AS$1="Grant Making",OR(B315&lt;&gt;"",G315&lt;&gt;"")),Setup!I323,IF(INDEX('Coverage Indicators - Section D'!K$1:K$100,MATCH($A314,'Coverage Indicators - Section D'!$A$1:$A$100,0))&lt;&gt;0,INDEX('Coverage Indicators - Section D'!K$1:K$100,MATCH($A314,'Coverage Indicators - Section D'!$A$1:$A$100,0)),"")),"")</f>
        <v>United Nations Development Programme</v>
      </c>
      <c r="I321" s="670"/>
      <c r="J321" s="670"/>
      <c r="K321" s="671"/>
      <c r="L321" s="86"/>
    </row>
    <row r="322" spans="1:12" ht="18.75" customHeight="1" x14ac:dyDescent="0.25">
      <c r="A322" s="667"/>
      <c r="B322" s="675"/>
      <c r="C322" s="676"/>
      <c r="D322" s="677"/>
      <c r="E322" s="675"/>
      <c r="F322" s="676"/>
      <c r="G322" s="677"/>
      <c r="H322" s="675"/>
      <c r="I322" s="676"/>
      <c r="J322" s="676"/>
      <c r="K322" s="677"/>
      <c r="L322" s="86"/>
    </row>
    <row r="323" spans="1:12" ht="18.75" customHeight="1" x14ac:dyDescent="0.25">
      <c r="A323" s="667"/>
      <c r="B323" s="93"/>
      <c r="C323" s="93" t="s">
        <v>4384</v>
      </c>
      <c r="D323" s="660" t="s">
        <v>4385</v>
      </c>
      <c r="E323" s="661"/>
      <c r="F323" s="661"/>
      <c r="G323" s="661"/>
      <c r="H323" s="661"/>
      <c r="I323" s="661"/>
      <c r="J323" s="661"/>
      <c r="K323" s="662"/>
      <c r="L323" s="86"/>
    </row>
    <row r="324" spans="1:12" ht="18.75" customHeight="1" x14ac:dyDescent="0.25">
      <c r="A324" s="667"/>
      <c r="B324" s="93" t="s">
        <v>2559</v>
      </c>
      <c r="C324" s="94">
        <f>IFERROR(IF(INDEX('Coverage Indicators - Section D'!G$1:G$100,MATCH($A314,'Coverage Indicators - Section D'!$A$1:$A$100,0))&lt;&gt;0,INDEX('Coverage Indicators - Section D'!G$1:G$100,MATCH($A314,'Coverage Indicators - Section D'!$A$1:$A$100,0)),""),"")</f>
        <v>2022</v>
      </c>
      <c r="D324"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324"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324"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324"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324"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324"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324"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324"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324" s="86"/>
    </row>
    <row r="325" spans="1:12" s="97" customFormat="1" ht="18.75" customHeight="1" x14ac:dyDescent="0.25">
      <c r="A325" s="667"/>
      <c r="B325" s="93" t="s">
        <v>4386</v>
      </c>
      <c r="C325" s="95">
        <f>IFERROR(IF(INDEX('Coverage Indicators - Section D'!E$1:E$100,MATCH($A314,'Coverage Indicators - Section D'!$A$1:$A$100,0))&lt;&gt;"",INDEX('Coverage Indicators - Section D'!E$1:E$100,MATCH($A314,'Coverage Indicators - Section D'!$A$1:$A$100,0)),""),"")</f>
        <v>5604</v>
      </c>
      <c r="D325" s="95" t="str">
        <f>IFERROR(IF(INDEX('Coverage Indicators - Section D'!N$1:N$100,MATCH($A314,'Coverage Indicators - Section D'!$A$1:$A$100,0))&lt;&gt;"",INDEX('Coverage Indicators - Section D'!N$1:N$100,MATCH($A314,'Coverage Indicators - Section D'!$A$1:$A$100,0)),""),"")</f>
        <v/>
      </c>
      <c r="E325" s="95" t="str">
        <f>IFERROR(IF(INDEX('Coverage Indicators - Section D'!Q$1:Q$100,MATCH($A314,'Coverage Indicators - Section D'!$A$1:$A$100,0))&lt;&gt;"",INDEX('Coverage Indicators - Section D'!Q$1:Q$100,MATCH($A314,'Coverage Indicators - Section D'!$A$1:$A$100,0)),""),"")</f>
        <v/>
      </c>
      <c r="F325" s="95" t="str">
        <f>IFERROR(IF(INDEX('Coverage Indicators - Section D'!T$1:T$100,MATCH($A314,'Coverage Indicators - Section D'!$A$1:$A$100,0))&lt;&gt;"",INDEX('Coverage Indicators - Section D'!T$1:T$100,MATCH($A314,'Coverage Indicators - Section D'!$A$1:$A$100,0)),""),"")</f>
        <v/>
      </c>
      <c r="G325" s="95" t="str">
        <f>IFERROR(IF(INDEX('Coverage Indicators - Section D'!W$1:W$100,MATCH($A314,'Coverage Indicators - Section D'!$A$1:$A$100,0))&lt;&gt;"",INDEX('Coverage Indicators - Section D'!W$1:W$100,MATCH($A314,'Coverage Indicators - Section D'!$A$1:$A$100,0)),""),"")</f>
        <v/>
      </c>
      <c r="H325" s="95" t="str">
        <f>IFERROR(IF(INDEX('Coverage Indicators - Section D'!Z$1:Z$100,MATCH($A314,'Coverage Indicators - Section D'!$A$1:$A$100,0))&lt;&gt;"",INDEX('Coverage Indicators - Section D'!Z$1:Z$100,MATCH($A314,'Coverage Indicators - Section D'!$A$1:$A$100,0)),""),"")</f>
        <v/>
      </c>
      <c r="I325" s="95" t="str">
        <f>IFERROR(IF(INDEX('Coverage Indicators - Section D'!AC$1:AC$100,MATCH($A314,'Coverage Indicators - Section D'!$A$1:$A$100,0))&lt;&gt;"",INDEX('Coverage Indicators - Section D'!AC$1:AC$100,MATCH($A314,'Coverage Indicators - Section D'!$A$1:$A$100,0)),""),"")</f>
        <v/>
      </c>
      <c r="J325" s="95" t="str">
        <f>IFERROR(IF(INDEX('Coverage Indicators - Section D'!AF$1:AF$100,MATCH($A314,'Coverage Indicators - Section D'!$A$1:$A$100,0))&lt;&gt;"",INDEX('Coverage Indicators - Section D'!AF$1:AF$100,MATCH($A314,'Coverage Indicators - Section D'!$A$1:$A$100,0)),""),"")</f>
        <v/>
      </c>
      <c r="K325" s="95" t="str">
        <f>IFERROR(IF(INDEX('Coverage Indicators - Section D'!AI$1:AI$100,MATCH($A314,'Coverage Indicators - Section D'!$A$1:$A$100,0))&lt;&gt;"",INDEX('Coverage Indicators - Section D'!AI$1:AI$100,MATCH($A314,'Coverage Indicators - Section D'!$A$1:$A$100,0)),""),"")</f>
        <v/>
      </c>
      <c r="L325" s="96"/>
    </row>
    <row r="326" spans="1:12" s="100" customFormat="1" ht="18.75" customHeight="1" x14ac:dyDescent="0.25">
      <c r="A326" s="667"/>
      <c r="B326" s="93" t="s">
        <v>4387</v>
      </c>
      <c r="C326" s="98">
        <f>IFERROR(IF(INDEX('Coverage Indicators - Section D'!E$1:E$100,MATCH($A314,'Coverage Indicators - Section D'!$A$1:$A$100,0)+1)&lt;&gt;"",INDEX('Coverage Indicators - Section D'!E$1:E$100,MATCH($A314,'Coverage Indicators - Section D'!$A$1:$A$100,0)+1),""),"")</f>
        <v>9600</v>
      </c>
      <c r="D326" s="98" t="str">
        <f>IFERROR(IF(INDEX('Coverage Indicators - Section D'!N$1:N$100,MATCH($A314,'Coverage Indicators - Section D'!$A$1:$A$100,0)+1)&lt;&gt;"",INDEX('Coverage Indicators - Section D'!N$1:N$100,MATCH($A314,'Coverage Indicators - Section D'!$A$1:$A$100,0)+1),""),"")</f>
        <v/>
      </c>
      <c r="E326" s="98" t="str">
        <f>IFERROR(IF(INDEX('Coverage Indicators - Section D'!Q$1:Q$100,MATCH($A314,'Coverage Indicators - Section D'!$A$1:$A$100,0)+1)&lt;&gt;"",INDEX('Coverage Indicators - Section D'!Q$1:Q$100,MATCH($A314,'Coverage Indicators - Section D'!$A$1:$A$100,0)+1),""),"")</f>
        <v/>
      </c>
      <c r="F326" s="98" t="str">
        <f>IFERROR(IF(INDEX('Coverage Indicators - Section D'!T$1:T$100,MATCH($A314,'Coverage Indicators - Section D'!$A$1:$A$100,0)+1)&lt;&gt;"",INDEX('Coverage Indicators - Section D'!T$1:T$100,MATCH($A314,'Coverage Indicators - Section D'!$A$1:$A$100,0)+1),""),"")</f>
        <v/>
      </c>
      <c r="G326" s="98" t="str">
        <f>IFERROR(IF(INDEX('Coverage Indicators - Section D'!W$1:W$100,MATCH($A314,'Coverage Indicators - Section D'!$A$1:$A$100,0)+1)&lt;&gt;"",INDEX('Coverage Indicators - Section D'!W$1:W$100,MATCH($A314,'Coverage Indicators - Section D'!$A$1:$A$100,0)+1),""),"")</f>
        <v/>
      </c>
      <c r="H326" s="98" t="str">
        <f>IFERROR(IF(INDEX('Coverage Indicators - Section D'!Z$1:Z$100,MATCH($A314,'Coverage Indicators - Section D'!$A$1:$A$100,0)+1)&lt;&gt;"",INDEX('Coverage Indicators - Section D'!Z$1:Z$100,MATCH($A314,'Coverage Indicators - Section D'!$A$1:$A$100,0)+1),""),"")</f>
        <v/>
      </c>
      <c r="I326" s="98" t="str">
        <f>IFERROR(IF(INDEX('Coverage Indicators - Section D'!AC$1:AC$100,MATCH($A314,'Coverage Indicators - Section D'!$A$1:$A$100,0)+1)&lt;&gt;"",INDEX('Coverage Indicators - Section D'!AC$1:AC$100,MATCH($A314,'Coverage Indicators - Section D'!$A$1:$A$100,0)+1),""),"")</f>
        <v/>
      </c>
      <c r="J326" s="98" t="str">
        <f>IFERROR(IF(INDEX('Coverage Indicators - Section D'!AF$1:AF$100,MATCH($A314,'Coverage Indicators - Section D'!$A$1:$A$100,0)+1)&lt;&gt;"",INDEX('Coverage Indicators - Section D'!AF$1:AF$100,MATCH($A314,'Coverage Indicators - Section D'!$A$1:$A$100,0)+1),""),"")</f>
        <v/>
      </c>
      <c r="K326" s="98" t="str">
        <f>IFERROR(IF(INDEX('Coverage Indicators - Section D'!AI$1:AI$100,MATCH($A314,'Coverage Indicators - Section D'!$A$1:$A$100,0)+1)&lt;&gt;"",INDEX('Coverage Indicators - Section D'!AI$1:AI$100,MATCH($A314,'Coverage Indicators - Section D'!$A$1:$A$100,0)+1),""),"")</f>
        <v/>
      </c>
      <c r="L326" s="99"/>
    </row>
    <row r="327" spans="1:12" ht="18.75" customHeight="1" x14ac:dyDescent="0.25">
      <c r="A327" s="667"/>
      <c r="B327" s="93" t="s">
        <v>4388</v>
      </c>
      <c r="C327" s="94" t="str">
        <f ca="1">IFERROR(IF(INDEX('Coverage Indicators - Section D'!F$1:F$100,MATCH($A314,'Coverage Indicators - Section D'!$A$1:$A$100,0))&lt;&gt;"",FIXED(INDEX('Coverage Indicators - Section D'!F$1:F$100,MATCH($A314,'Coverage Indicators - Section D'!$A$1:$A$100,0))*100,2)&amp;"%",""),"")</f>
        <v>58,38%</v>
      </c>
      <c r="D327" s="94" t="str">
        <f>IFERROR(IF(INDEX('Coverage Indicators - Section D'!O$1:O$100,MATCH($A314,'Coverage Indicators - Section D'!$A$1:$A$100,0))&lt;&gt;"",FIXED(INDEX('Coverage Indicators - Section D'!O$1:O$100,MATCH($A314,'Coverage Indicators - Section D'!$A$1:$A$100,0))*100,2)&amp;"%",""),"")&amp;CHAR(10)&amp;IFERROR(IF(INDEX('Coverage Indicators - Section D'!P$1:P$100,MATCH($A314,'Coverage Indicators - Section D'!$A$1:$A$100,0))&lt;&gt;"",INDEX('Coverage Indicators - Section D'!P$1:P$100,MATCH($A314,'Coverage Indicators - Section D'!$A$1:$A$100,0)),""),"")</f>
        <v xml:space="preserve">75,00%
</v>
      </c>
      <c r="E327" s="94" t="str">
        <f>IFERROR(IF(INDEX('Coverage Indicators - Section D'!R$1:R$100,MATCH($A314,'Coverage Indicators - Section D'!$A$1:$A$100,0))&lt;&gt;"",FIXED(INDEX('Coverage Indicators - Section D'!R$1:R$100,MATCH($A314,'Coverage Indicators - Section D'!$A$1:$A$100,0))*100,2)&amp;"%",""),"")&amp;CHAR(10)&amp;IFERROR(IF(INDEX('Coverage Indicators - Section D'!S$1:S$100,MATCH($A314,'Coverage Indicators - Section D'!$A$1:$A$100,0))&lt;&gt;"",INDEX('Coverage Indicators - Section D'!S$1:S$100,MATCH($A314,'Coverage Indicators - Section D'!$A$1:$A$100,0)),""),"")</f>
        <v xml:space="preserve">85,00%
</v>
      </c>
      <c r="F327" s="94" t="str">
        <f>IFERROR(IF(INDEX('Coverage Indicators - Section D'!U$1:U$100,MATCH($A314,'Coverage Indicators - Section D'!$A$1:$A$100,0))&lt;&gt;"",FIXED(INDEX('Coverage Indicators - Section D'!U$1:U$100,MATCH($A314,'Coverage Indicators - Section D'!$A$1:$A$100,0))*100,2)&amp;"%",""),"")&amp;CHAR(10)&amp;IFERROR(IF(INDEX('Coverage Indicators - Section D'!V$1:V$100,MATCH($A314,'Coverage Indicators - Section D'!$A$1:$A$100,0))&lt;&gt;"",INDEX('Coverage Indicators - Section D'!V$1:V$100,MATCH($A314,'Coverage Indicators - Section D'!$A$1:$A$100,0)),""),"")</f>
        <v xml:space="preserve">95,00%
</v>
      </c>
      <c r="G327" s="94" t="str">
        <f ca="1">IFERROR(IF(INDEX('Coverage Indicators - Section D'!X$1:X$100,MATCH($A314,'Coverage Indicators - Section D'!$A$1:$A$100,0))&lt;&gt;"",FIXED(INDEX('Coverage Indicators - Section D'!X$1:X$100,MATCH($A314,'Coverage Indicators - Section D'!$A$1:$A$100,0))*100,2)&amp;"%",""),"")&amp;CHAR(10)&amp;IFERROR(IF(INDEX('Coverage Indicators - Section D'!Y$1:Y$100,MATCH($A314,'Coverage Indicators - Section D'!$A$1:$A$100,0))&lt;&gt;"",INDEX('Coverage Indicators - Section D'!Y$1:Y$100,MATCH($A314,'Coverage Indicators - Section D'!$A$1:$A$100,0)),""),"")</f>
        <v xml:space="preserve">
</v>
      </c>
      <c r="H327" s="94" t="str">
        <f ca="1">IFERROR(IF(INDEX('Coverage Indicators - Section D'!AA$1:AA$100,MATCH(A314,'Coverage Indicators - Section D'!$A$1:$A$100,0))&lt;&gt;"",FIXED(INDEX('Coverage Indicators - Section D'!AA$1:AA$100,MATCH($A314,'Coverage Indicators - Section D'!$A$1:$A$100,0))*100,2)&amp;"%",""),"")&amp;CHAR(10)&amp;IFERROR(IF(INDEX('Coverage Indicators - Section D'!AB$1:AB$100,MATCH($A314,'Coverage Indicators - Section D'!$A$1:$A$100,0))&lt;&gt;"",INDEX('Coverage Indicators - Section D'!AB$1:AB$100,MATCH($A314,'Coverage Indicators - Section D'!$A$1:$A$100,0)),""),"")</f>
        <v xml:space="preserve">
</v>
      </c>
      <c r="I327" s="94" t="str">
        <f ca="1">IFERROR(IF(INDEX('Coverage Indicators - Section D'!AD$1:AD$100,MATCH($A314,'Coverage Indicators - Section D'!$A$1:$A$100,0))&lt;&gt;"",FIXED(INDEX('Coverage Indicators - Section D'!AD$1:AD$100,MATCH($A314,'Coverage Indicators - Section D'!$A$1:$A$100,0))*100,2)&amp;"%",""),"")&amp;CHAR(10)&amp;IFERROR(IF(INDEX('Coverage Indicators - Section D'!AE$1:AE$100,MATCH($A314,'Coverage Indicators - Section D'!$A$1:$A$100,0))&lt;&gt;"",INDEX('Coverage Indicators - Section D'!AE$1:AE$100,MATCH($A314,'Coverage Indicators - Section D'!$A$1:$A$100,0)),""),"")</f>
        <v xml:space="preserve">
</v>
      </c>
      <c r="J327" s="94" t="str">
        <f ca="1">IFERROR(IF(INDEX('Coverage Indicators - Section D'!AG$1:AG$100,MATCH($A314,'Coverage Indicators - Section D'!$A$1:$A$100,0))&lt;&gt;"",FIXED(INDEX('Coverage Indicators - Section D'!AG$1:AG$100,MATCH($A314,'Coverage Indicators - Section D'!$A$1:$A$100,0))*100,2)&amp;"%",""),"")&amp;CHAR(10)&amp;IFERROR(IF(INDEX('Coverage Indicators - Section D'!AH$1:AH$100,MATCH($A314,'Coverage Indicators - Section D'!$A$1:$A$100,0))&lt;&gt;"",INDEX('Coverage Indicators - Section D'!AH$1:AH$100,MATCH($A314,'Coverage Indicators - Section D'!$A$1:$A$100,0)),""),"")</f>
        <v xml:space="preserve">
</v>
      </c>
      <c r="K327" s="94" t="str">
        <f ca="1">IFERROR(IF(INDEX('Coverage Indicators - Section D'!AJ$1:AJ$100,MATCH($A314,'Coverage Indicators - Section D'!$A$1:$A$100,0))&lt;&gt;"",FIXED(INDEX('Coverage Indicators - Section D'!AJ$1:AJ$100,MATCH($A314,'Coverage Indicators - Section D'!$A$1:$A$100,0))*100,2)&amp;"%",""),"")&amp;CHAR(10)&amp;IFERROR(IF(INDEX('Coverage Indicators - Section D'!AK$1:AK$100,MATCH($A314,'Coverage Indicators - Section D'!$A$1:$A$100,0))&lt;&gt;"",INDEX('Coverage Indicators - Section D'!AK$1:AK$100,MATCH($A314,'Coverage Indicators - Section D'!$A$1:$A$100,0)),""),"")</f>
        <v xml:space="preserve">
</v>
      </c>
      <c r="L327" s="86"/>
    </row>
    <row r="328" spans="1:12" ht="18.75" customHeight="1" x14ac:dyDescent="0.25">
      <c r="A328" s="667"/>
      <c r="B328" s="660" t="s">
        <v>176</v>
      </c>
      <c r="C328" s="661"/>
      <c r="D328" s="661"/>
      <c r="E328" s="661"/>
      <c r="F328" s="661"/>
      <c r="G328" s="661"/>
      <c r="H328" s="661"/>
      <c r="I328" s="661"/>
      <c r="J328" s="661"/>
      <c r="K328" s="662"/>
      <c r="L328" s="86"/>
    </row>
    <row r="329" spans="1:12" ht="18.75" customHeight="1" x14ac:dyDescent="0.25">
      <c r="A329" s="667"/>
      <c r="B329" s="669" t="str">
        <f>IFERROR(IF(INDEX('Coverage Indicators - Section D'!AL$1:AL$110,MATCH($A314,'Coverage Indicators - Section D'!$A$1:$A$110,0))&lt;&gt;0,INDEX('Coverage Indicators - Section D'!AL$1:AL$110,MATCH($A314,'Coverage Indicators - Section D'!$A$1:$A$110,0)),""),"")</f>
        <v>Numerator: Number of adults (15 and above) on ART at the end of the reporting period. 
Denominator: Estimated number of adults (15 and above) living with HIV (data - generated by SPECTRUM) according to the UNAIDS (average numbers, pls refer to the link for more information: ahttp://aidsinfo.unaids.org/). The updated data according to the Spectrum on denominator will be provided in each reporting period. It is expected that all measures within the grant in support of HIV new cases identification and adherence to ART will allow country to achieve target 95.</v>
      </c>
      <c r="C329" s="670"/>
      <c r="D329" s="670"/>
      <c r="E329" s="670"/>
      <c r="F329" s="670"/>
      <c r="G329" s="670"/>
      <c r="H329" s="670"/>
      <c r="I329" s="670"/>
      <c r="J329" s="670"/>
      <c r="K329" s="671"/>
      <c r="L329" s="86"/>
    </row>
    <row r="330" spans="1:12" ht="18.75" customHeight="1" x14ac:dyDescent="0.25">
      <c r="A330" s="667"/>
      <c r="B330" s="672"/>
      <c r="C330" s="673"/>
      <c r="D330" s="673"/>
      <c r="E330" s="673"/>
      <c r="F330" s="673"/>
      <c r="G330" s="673"/>
      <c r="H330" s="673"/>
      <c r="I330" s="673"/>
      <c r="J330" s="673"/>
      <c r="K330" s="674"/>
      <c r="L330" s="86"/>
    </row>
    <row r="331" spans="1:12" ht="18.75" customHeight="1" x14ac:dyDescent="0.25">
      <c r="A331" s="667"/>
      <c r="B331" s="672"/>
      <c r="C331" s="673"/>
      <c r="D331" s="673"/>
      <c r="E331" s="673"/>
      <c r="F331" s="673"/>
      <c r="G331" s="673"/>
      <c r="H331" s="673"/>
      <c r="I331" s="673"/>
      <c r="J331" s="673"/>
      <c r="K331" s="674"/>
      <c r="L331" s="86"/>
    </row>
    <row r="332" spans="1:12" ht="18.75" customHeight="1" x14ac:dyDescent="0.25">
      <c r="A332" s="667"/>
      <c r="B332" s="672"/>
      <c r="C332" s="673"/>
      <c r="D332" s="673"/>
      <c r="E332" s="673"/>
      <c r="F332" s="673"/>
      <c r="G332" s="673"/>
      <c r="H332" s="673"/>
      <c r="I332" s="673"/>
      <c r="J332" s="673"/>
      <c r="K332" s="674"/>
      <c r="L332" s="86"/>
    </row>
    <row r="333" spans="1:12" ht="18.75" customHeight="1" x14ac:dyDescent="0.25">
      <c r="A333" s="667"/>
      <c r="B333" s="672"/>
      <c r="C333" s="673"/>
      <c r="D333" s="673"/>
      <c r="E333" s="673"/>
      <c r="F333" s="673"/>
      <c r="G333" s="673"/>
      <c r="H333" s="673"/>
      <c r="I333" s="673"/>
      <c r="J333" s="673"/>
      <c r="K333" s="674"/>
      <c r="L333" s="86"/>
    </row>
    <row r="334" spans="1:12" ht="18.75" customHeight="1" x14ac:dyDescent="0.25">
      <c r="A334" s="667"/>
      <c r="B334" s="672"/>
      <c r="C334" s="673"/>
      <c r="D334" s="673"/>
      <c r="E334" s="673"/>
      <c r="F334" s="673"/>
      <c r="G334" s="673"/>
      <c r="H334" s="673"/>
      <c r="I334" s="673"/>
      <c r="J334" s="673"/>
      <c r="K334" s="674"/>
      <c r="L334" s="86"/>
    </row>
    <row r="335" spans="1:12" ht="18.75" customHeight="1" x14ac:dyDescent="0.25">
      <c r="A335" s="667"/>
      <c r="B335" s="672"/>
      <c r="C335" s="673"/>
      <c r="D335" s="673"/>
      <c r="E335" s="673"/>
      <c r="F335" s="673"/>
      <c r="G335" s="673"/>
      <c r="H335" s="673"/>
      <c r="I335" s="673"/>
      <c r="J335" s="673"/>
      <c r="K335" s="674"/>
      <c r="L335" s="86"/>
    </row>
    <row r="336" spans="1:12" ht="18.75" customHeight="1" x14ac:dyDescent="0.25">
      <c r="A336" s="667"/>
      <c r="B336" s="672"/>
      <c r="C336" s="673"/>
      <c r="D336" s="673"/>
      <c r="E336" s="673"/>
      <c r="F336" s="673"/>
      <c r="G336" s="673"/>
      <c r="H336" s="673"/>
      <c r="I336" s="673"/>
      <c r="J336" s="673"/>
      <c r="K336" s="674"/>
      <c r="L336" s="86"/>
    </row>
    <row r="337" spans="1:12" ht="18.75" customHeight="1" x14ac:dyDescent="0.25">
      <c r="A337" s="667"/>
      <c r="B337" s="672"/>
      <c r="C337" s="673"/>
      <c r="D337" s="673"/>
      <c r="E337" s="673"/>
      <c r="F337" s="673"/>
      <c r="G337" s="673"/>
      <c r="H337" s="673"/>
      <c r="I337" s="673"/>
      <c r="J337" s="673"/>
      <c r="K337" s="674"/>
      <c r="L337" s="86"/>
    </row>
    <row r="338" spans="1:12" ht="18.75" customHeight="1" x14ac:dyDescent="0.25">
      <c r="A338" s="668"/>
      <c r="B338" s="675"/>
      <c r="C338" s="676"/>
      <c r="D338" s="676"/>
      <c r="E338" s="676"/>
      <c r="F338" s="676"/>
      <c r="G338" s="676"/>
      <c r="H338" s="676"/>
      <c r="I338" s="676"/>
      <c r="J338" s="676"/>
      <c r="K338" s="677"/>
      <c r="L338" s="86"/>
    </row>
    <row r="339" spans="1:12" ht="18.75" customHeight="1" x14ac:dyDescent="0.25">
      <c r="A339" s="660"/>
      <c r="B339" s="661"/>
      <c r="C339" s="661"/>
      <c r="D339" s="661"/>
      <c r="E339" s="661"/>
      <c r="F339" s="661"/>
      <c r="G339" s="661"/>
      <c r="H339" s="661"/>
      <c r="I339" s="661"/>
      <c r="J339" s="661"/>
      <c r="K339" s="662"/>
      <c r="L339" s="86"/>
    </row>
    <row r="341" spans="1:12" ht="18.75" customHeight="1" x14ac:dyDescent="0.25">
      <c r="A341" s="93" t="s">
        <v>4383</v>
      </c>
      <c r="B341" s="660" t="s">
        <v>1046</v>
      </c>
      <c r="C341" s="662"/>
      <c r="D341" s="663" t="str">
        <f>IFERROR(IF(INDEX('Coverage Indicators - Section D'!B$1:B$100,MATCH($A342,'Coverage Indicators - Section D'!$A$1:$A$100,0))&lt;&gt;0,INDEX('Coverage Indicators - Section D'!B$1:B$100,MATCH($A342,'Coverage Indicators - Section D'!$A$1:$A$100,0)),""),"")</f>
        <v>Treatment, care and support</v>
      </c>
      <c r="E341" s="664"/>
      <c r="F341" s="664"/>
      <c r="G341" s="664"/>
      <c r="H341" s="664"/>
      <c r="I341" s="664"/>
      <c r="J341" s="664"/>
      <c r="K341" s="665"/>
      <c r="L341" s="86"/>
    </row>
    <row r="342" spans="1:12" ht="18.75" customHeight="1" x14ac:dyDescent="0.25">
      <c r="A342" s="666">
        <v>13</v>
      </c>
      <c r="B342" s="660" t="s">
        <v>738</v>
      </c>
      <c r="C342" s="661"/>
      <c r="D342" s="661"/>
      <c r="E342" s="661"/>
      <c r="F342" s="662"/>
      <c r="G342" s="660" t="s">
        <v>739</v>
      </c>
      <c r="H342" s="661"/>
      <c r="I342" s="661"/>
      <c r="J342" s="661"/>
      <c r="K342" s="662"/>
      <c r="L342" s="86"/>
    </row>
    <row r="343" spans="1:12" ht="18.75" customHeight="1" x14ac:dyDescent="0.25">
      <c r="A343" s="667"/>
      <c r="B343" s="669" t="str">
        <f>IFERROR(IF(INDEX('Coverage Indicators - Section D'!C$1:C$100,MATCH($A342,'Coverage Indicators - Section D'!$A$1:$A$100,0))&lt;&gt;0,INDEX('Coverage Indicators - Section D'!C$1:C$100,MATCH($A342,'Coverage Indicators - Section D'!$A$1:$A$100,0)),""),"")</f>
        <v>TCS-1c⁽ᴹ⁾ Percentage of children (under 15) on ART among all children living with HIV at the end of the reporting period</v>
      </c>
      <c r="C343" s="670"/>
      <c r="D343" s="670"/>
      <c r="E343" s="670"/>
      <c r="F343" s="671"/>
      <c r="G343" s="669" t="str">
        <f>IFERROR(IF(INDEX('Coverage Indicators - Section D'!D$1:D$100,MATCH($A342,'Coverage Indicators - Section D'!$A$1:$A$100,0))&lt;&gt;0,INDEX('Coverage Indicators - Section D'!D$1:D$100,MATCH($A342,'Coverage Indicators - Section D'!$A$1:$A$100,0)),""),"")</f>
        <v/>
      </c>
      <c r="H343" s="670"/>
      <c r="I343" s="670"/>
      <c r="J343" s="670"/>
      <c r="K343" s="671"/>
      <c r="L343" s="86"/>
    </row>
    <row r="344" spans="1:12" ht="18.75" customHeight="1" x14ac:dyDescent="0.25">
      <c r="A344" s="667"/>
      <c r="B344" s="672"/>
      <c r="C344" s="673"/>
      <c r="D344" s="673"/>
      <c r="E344" s="673"/>
      <c r="F344" s="674"/>
      <c r="G344" s="672"/>
      <c r="H344" s="673"/>
      <c r="I344" s="673"/>
      <c r="J344" s="673"/>
      <c r="K344" s="674"/>
      <c r="L344" s="86"/>
    </row>
    <row r="345" spans="1:12" ht="18.75" customHeight="1" x14ac:dyDescent="0.25">
      <c r="A345" s="667"/>
      <c r="B345" s="675"/>
      <c r="C345" s="676"/>
      <c r="D345" s="676"/>
      <c r="E345" s="676"/>
      <c r="F345" s="677"/>
      <c r="G345" s="675"/>
      <c r="H345" s="676"/>
      <c r="I345" s="676"/>
      <c r="J345" s="676"/>
      <c r="K345" s="677"/>
      <c r="L345" s="86"/>
    </row>
    <row r="346" spans="1:12" ht="18.75" customHeight="1" x14ac:dyDescent="0.25">
      <c r="A346" s="667"/>
      <c r="B346" s="660" t="s">
        <v>742</v>
      </c>
      <c r="C346" s="661"/>
      <c r="D346" s="662"/>
      <c r="E346" s="660" t="s">
        <v>216</v>
      </c>
      <c r="F346" s="661"/>
      <c r="G346" s="662"/>
      <c r="H346" s="660" t="s">
        <v>127</v>
      </c>
      <c r="I346" s="661"/>
      <c r="J346" s="662"/>
      <c r="K346" s="93" t="s">
        <v>2175</v>
      </c>
      <c r="L346" s="86"/>
    </row>
    <row r="347" spans="1:12" ht="18.75" customHeight="1" x14ac:dyDescent="0.25">
      <c r="A347" s="667"/>
      <c r="B347" s="663" t="str">
        <f>IFERROR(IF(INDEX('Coverage Indicators - Section D'!I$9:I$68,MATCH($A342,'Coverage Indicators - Section D'!$A$9:$A$68,0))&lt;&gt;0,INDEX('Coverage Indicators - Section D'!I$9:I$68,MATCH($A342,'Coverage Indicators - Section D'!$A$9:$A$68,0)),""),"")</f>
        <v>Gender</v>
      </c>
      <c r="C347" s="664"/>
      <c r="D347" s="665"/>
      <c r="E347" s="663" t="str">
        <f>IFERROR(IF(INDEX('Coverage Indicators - Section D'!M$1:M$100,MATCH($A342,'Coverage Indicators - Section D'!$A$1:$A$100,0))&lt;&gt;0,INDEX('Coverage Indicators - Section D'!M$1:M$100,MATCH($A342,'Coverage Indicators - Section D'!$A$1:$A$100,0)),""),"")</f>
        <v/>
      </c>
      <c r="F347" s="664"/>
      <c r="G347" s="665"/>
      <c r="H347" s="663" t="str">
        <f>IFERROR(IF(INDEX('Coverage Indicators - Section D'!L$1:L$100,MATCH($A342,'Coverage Indicators - Section D'!$A$1:$A$100,0))&lt;&gt;0,INDEX('Coverage Indicators - Section D'!L$1:L$100,MATCH($A342,'Coverage Indicators - Section D'!$A$1:$A$100,0)),""),"")</f>
        <v/>
      </c>
      <c r="I347" s="664"/>
      <c r="J347" s="665"/>
      <c r="K347" s="94" t="str">
        <f>IFERROR(IF(INDEX('Coverage Indicators - Section D'!J$1:J$100,MATCH($A342,'Coverage Indicators - Section D'!$A$1:$A$100,0))&lt;&gt;0,INDEX('Coverage Indicators - Section D'!J$1:J$100,MATCH($A342,'Coverage Indicators - Section D'!$A$1:$A$100,0)),""),"")</f>
        <v>Yes</v>
      </c>
      <c r="L347" s="86"/>
    </row>
    <row r="348" spans="1:12" ht="18.75" customHeight="1" x14ac:dyDescent="0.25">
      <c r="A348" s="667"/>
      <c r="B348" s="660" t="s">
        <v>199</v>
      </c>
      <c r="C348" s="661"/>
      <c r="D348" s="662"/>
      <c r="E348" s="660" t="s">
        <v>4392</v>
      </c>
      <c r="F348" s="661"/>
      <c r="G348" s="662"/>
      <c r="H348" s="660" t="s">
        <v>120</v>
      </c>
      <c r="I348" s="661"/>
      <c r="J348" s="661"/>
      <c r="K348" s="662"/>
      <c r="L348" s="86"/>
    </row>
    <row r="349" spans="1:12" ht="18.75" customHeight="1" x14ac:dyDescent="0.25">
      <c r="A349" s="667"/>
      <c r="B349" s="669" t="str">
        <f>IFERROR(IF(INDEX('Coverage Indicators - Section D'!H$1:H$100,MATCH($A342,'Coverage Indicators - Section D'!$A$1:$A$100,0))&lt;&gt;0,INDEX('Coverage Indicators - Section D'!H$1:H$100,MATCH($A342,'Coverage Indicators - Section D'!$A$1:$A$100,0)),""),"")</f>
        <v>Electronic HIV Case Tracking System and RCHV&amp;HIV report
and data from UNAIDS (Estimated Number on PLHIV)</v>
      </c>
      <c r="C349" s="670"/>
      <c r="D349" s="671"/>
      <c r="E349" s="669" t="str">
        <f>IFERROR(IF(INDEX('Coverage Indicators - Section D'!L$1:L$100,MATCH($A342,'Coverage Indicators - Section D'!$A$1:$A$100,0)+1)&lt;&gt;0,INDEX('Coverage Indicators - Section D'!L$1:L$100,MATCH($A342,'Coverage Indicators - Section D'!$A$1:$A$100,0)+1),""),"")</f>
        <v>Geographic National, 100% of national program target</v>
      </c>
      <c r="F349" s="670"/>
      <c r="G349" s="671"/>
      <c r="H349" s="669" t="str">
        <f>IFERROR(IF(AND('Overview - Section A'!AS$1="Grant Making",OR(B343&lt;&gt;"",G343&lt;&gt;"")),Setup!I351,IF(INDEX('Coverage Indicators - Section D'!K$1:K$100,MATCH($A342,'Coverage Indicators - Section D'!$A$1:$A$100,0))&lt;&gt;0,INDEX('Coverage Indicators - Section D'!K$1:K$100,MATCH($A342,'Coverage Indicators - Section D'!$A$1:$A$100,0)),"")),"")</f>
        <v>United Nations Development Programme</v>
      </c>
      <c r="I349" s="670"/>
      <c r="J349" s="670"/>
      <c r="K349" s="671"/>
      <c r="L349" s="86"/>
    </row>
    <row r="350" spans="1:12" ht="18.75" customHeight="1" x14ac:dyDescent="0.25">
      <c r="A350" s="667"/>
      <c r="B350" s="675"/>
      <c r="C350" s="676"/>
      <c r="D350" s="677"/>
      <c r="E350" s="675"/>
      <c r="F350" s="676"/>
      <c r="G350" s="677"/>
      <c r="H350" s="675"/>
      <c r="I350" s="676"/>
      <c r="J350" s="676"/>
      <c r="K350" s="677"/>
      <c r="L350" s="86"/>
    </row>
    <row r="351" spans="1:12" ht="18.75" customHeight="1" x14ac:dyDescent="0.25">
      <c r="A351" s="667"/>
      <c r="B351" s="93"/>
      <c r="C351" s="93" t="s">
        <v>4384</v>
      </c>
      <c r="D351" s="660" t="s">
        <v>4385</v>
      </c>
      <c r="E351" s="661"/>
      <c r="F351" s="661"/>
      <c r="G351" s="661"/>
      <c r="H351" s="661"/>
      <c r="I351" s="661"/>
      <c r="J351" s="661"/>
      <c r="K351" s="662"/>
      <c r="L351" s="86"/>
    </row>
    <row r="352" spans="1:12" ht="18.75" customHeight="1" x14ac:dyDescent="0.25">
      <c r="A352" s="667"/>
      <c r="B352" s="93" t="s">
        <v>2559</v>
      </c>
      <c r="C352" s="94">
        <f>IFERROR(IF(INDEX('Coverage Indicators - Section D'!G$1:G$100,MATCH($A342,'Coverage Indicators - Section D'!$A$1:$A$100,0))&lt;&gt;0,INDEX('Coverage Indicators - Section D'!G$1:G$100,MATCH($A342,'Coverage Indicators - Section D'!$A$1:$A$100,0)),""),"")</f>
        <v>2022</v>
      </c>
      <c r="D352"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352"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352"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352"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352"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352"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352"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352"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352" s="86"/>
    </row>
    <row r="353" spans="1:12" s="97" customFormat="1" ht="18.75" customHeight="1" x14ac:dyDescent="0.25">
      <c r="A353" s="667"/>
      <c r="B353" s="93" t="s">
        <v>4386</v>
      </c>
      <c r="C353" s="95">
        <f>IFERROR(IF(INDEX('Coverage Indicators - Section D'!E$1:E$100,MATCH($A342,'Coverage Indicators - Section D'!$A$1:$A$100,0))&lt;&gt;"",INDEX('Coverage Indicators - Section D'!E$1:E$100,MATCH($A342,'Coverage Indicators - Section D'!$A$1:$A$100,0)),""),"")</f>
        <v>167</v>
      </c>
      <c r="D353" s="95" t="str">
        <f>IFERROR(IF(INDEX('Coverage Indicators - Section D'!N$1:N$100,MATCH($A342,'Coverage Indicators - Section D'!$A$1:$A$100,0))&lt;&gt;"",INDEX('Coverage Indicators - Section D'!N$1:N$100,MATCH($A342,'Coverage Indicators - Section D'!$A$1:$A$100,0)),""),"")</f>
        <v/>
      </c>
      <c r="E353" s="95" t="str">
        <f>IFERROR(IF(INDEX('Coverage Indicators - Section D'!Q$1:Q$100,MATCH($A342,'Coverage Indicators - Section D'!$A$1:$A$100,0))&lt;&gt;"",INDEX('Coverage Indicators - Section D'!Q$1:Q$100,MATCH($A342,'Coverage Indicators - Section D'!$A$1:$A$100,0)),""),"")</f>
        <v/>
      </c>
      <c r="F353" s="95" t="str">
        <f>IFERROR(IF(INDEX('Coverage Indicators - Section D'!T$1:T$100,MATCH($A342,'Coverage Indicators - Section D'!$A$1:$A$100,0))&lt;&gt;"",INDEX('Coverage Indicators - Section D'!T$1:T$100,MATCH($A342,'Coverage Indicators - Section D'!$A$1:$A$100,0)),""),"")</f>
        <v/>
      </c>
      <c r="G353" s="95" t="str">
        <f>IFERROR(IF(INDEX('Coverage Indicators - Section D'!W$1:W$100,MATCH($A342,'Coverage Indicators - Section D'!$A$1:$A$100,0))&lt;&gt;"",INDEX('Coverage Indicators - Section D'!W$1:W$100,MATCH($A342,'Coverage Indicators - Section D'!$A$1:$A$100,0)),""),"")</f>
        <v/>
      </c>
      <c r="H353" s="95" t="str">
        <f>IFERROR(IF(INDEX('Coverage Indicators - Section D'!Z$1:Z$100,MATCH($A342,'Coverage Indicators - Section D'!$A$1:$A$100,0))&lt;&gt;"",INDEX('Coverage Indicators - Section D'!Z$1:Z$100,MATCH($A342,'Coverage Indicators - Section D'!$A$1:$A$100,0)),""),"")</f>
        <v/>
      </c>
      <c r="I353" s="95" t="str">
        <f>IFERROR(IF(INDEX('Coverage Indicators - Section D'!AC$1:AC$100,MATCH($A342,'Coverage Indicators - Section D'!$A$1:$A$100,0))&lt;&gt;"",INDEX('Coverage Indicators - Section D'!AC$1:AC$100,MATCH($A342,'Coverage Indicators - Section D'!$A$1:$A$100,0)),""),"")</f>
        <v/>
      </c>
      <c r="J353" s="95" t="str">
        <f>IFERROR(IF(INDEX('Coverage Indicators - Section D'!AF$1:AF$100,MATCH($A342,'Coverage Indicators - Section D'!$A$1:$A$100,0))&lt;&gt;"",INDEX('Coverage Indicators - Section D'!AF$1:AF$100,MATCH($A342,'Coverage Indicators - Section D'!$A$1:$A$100,0)),""),"")</f>
        <v/>
      </c>
      <c r="K353" s="95" t="str">
        <f>IFERROR(IF(INDEX('Coverage Indicators - Section D'!AI$1:AI$100,MATCH($A342,'Coverage Indicators - Section D'!$A$1:$A$100,0))&lt;&gt;"",INDEX('Coverage Indicators - Section D'!AI$1:AI$100,MATCH($A342,'Coverage Indicators - Section D'!$A$1:$A$100,0)),""),"")</f>
        <v/>
      </c>
      <c r="L353" s="96"/>
    </row>
    <row r="354" spans="1:12" s="100" customFormat="1" ht="18.75" customHeight="1" x14ac:dyDescent="0.25">
      <c r="A354" s="667"/>
      <c r="B354" s="93" t="s">
        <v>4387</v>
      </c>
      <c r="C354" s="98">
        <f>IFERROR(IF(INDEX('Coverage Indicators - Section D'!E$1:E$100,MATCH($A342,'Coverage Indicators - Section D'!$A$1:$A$100,0)+1)&lt;&gt;"",INDEX('Coverage Indicators - Section D'!E$1:E$100,MATCH($A342,'Coverage Indicators - Section D'!$A$1:$A$100,0)+1),""),"")</f>
        <v>400</v>
      </c>
      <c r="D354" s="98" t="str">
        <f>IFERROR(IF(INDEX('Coverage Indicators - Section D'!N$1:N$100,MATCH($A342,'Coverage Indicators - Section D'!$A$1:$A$100,0)+1)&lt;&gt;"",INDEX('Coverage Indicators - Section D'!N$1:N$100,MATCH($A342,'Coverage Indicators - Section D'!$A$1:$A$100,0)+1),""),"")</f>
        <v/>
      </c>
      <c r="E354" s="98" t="str">
        <f>IFERROR(IF(INDEX('Coverage Indicators - Section D'!Q$1:Q$100,MATCH($A342,'Coverage Indicators - Section D'!$A$1:$A$100,0)+1)&lt;&gt;"",INDEX('Coverage Indicators - Section D'!Q$1:Q$100,MATCH($A342,'Coverage Indicators - Section D'!$A$1:$A$100,0)+1),""),"")</f>
        <v/>
      </c>
      <c r="F354" s="98" t="str">
        <f>IFERROR(IF(INDEX('Coverage Indicators - Section D'!T$1:T$100,MATCH($A342,'Coverage Indicators - Section D'!$A$1:$A$100,0)+1)&lt;&gt;"",INDEX('Coverage Indicators - Section D'!T$1:T$100,MATCH($A342,'Coverage Indicators - Section D'!$A$1:$A$100,0)+1),""),"")</f>
        <v/>
      </c>
      <c r="G354" s="98" t="str">
        <f>IFERROR(IF(INDEX('Coverage Indicators - Section D'!W$1:W$100,MATCH($A342,'Coverage Indicators - Section D'!$A$1:$A$100,0)+1)&lt;&gt;"",INDEX('Coverage Indicators - Section D'!W$1:W$100,MATCH($A342,'Coverage Indicators - Section D'!$A$1:$A$100,0)+1),""),"")</f>
        <v/>
      </c>
      <c r="H354" s="98" t="str">
        <f>IFERROR(IF(INDEX('Coverage Indicators - Section D'!Z$1:Z$100,MATCH($A342,'Coverage Indicators - Section D'!$A$1:$A$100,0)+1)&lt;&gt;"",INDEX('Coverage Indicators - Section D'!Z$1:Z$100,MATCH($A342,'Coverage Indicators - Section D'!$A$1:$A$100,0)+1),""),"")</f>
        <v/>
      </c>
      <c r="I354" s="98" t="str">
        <f>IFERROR(IF(INDEX('Coverage Indicators - Section D'!AC$1:AC$100,MATCH($A342,'Coverage Indicators - Section D'!$A$1:$A$100,0)+1)&lt;&gt;"",INDEX('Coverage Indicators - Section D'!AC$1:AC$100,MATCH($A342,'Coverage Indicators - Section D'!$A$1:$A$100,0)+1),""),"")</f>
        <v/>
      </c>
      <c r="J354" s="98" t="str">
        <f>IFERROR(IF(INDEX('Coverage Indicators - Section D'!AF$1:AF$100,MATCH($A342,'Coverage Indicators - Section D'!$A$1:$A$100,0)+1)&lt;&gt;"",INDEX('Coverage Indicators - Section D'!AF$1:AF$100,MATCH($A342,'Coverage Indicators - Section D'!$A$1:$A$100,0)+1),""),"")</f>
        <v/>
      </c>
      <c r="K354" s="98" t="str">
        <f>IFERROR(IF(INDEX('Coverage Indicators - Section D'!AI$1:AI$100,MATCH($A342,'Coverage Indicators - Section D'!$A$1:$A$100,0)+1)&lt;&gt;"",INDEX('Coverage Indicators - Section D'!AI$1:AI$100,MATCH($A342,'Coverage Indicators - Section D'!$A$1:$A$100,0)+1),""),"")</f>
        <v/>
      </c>
      <c r="L354" s="99"/>
    </row>
    <row r="355" spans="1:12" ht="18.75" customHeight="1" x14ac:dyDescent="0.25">
      <c r="A355" s="667"/>
      <c r="B355" s="93" t="s">
        <v>4388</v>
      </c>
      <c r="C355" s="94" t="str">
        <f ca="1">IFERROR(IF(INDEX('Coverage Indicators - Section D'!F$1:F$100,MATCH($A342,'Coverage Indicators - Section D'!$A$1:$A$100,0))&lt;&gt;"",FIXED(INDEX('Coverage Indicators - Section D'!F$1:F$100,MATCH($A342,'Coverage Indicators - Section D'!$A$1:$A$100,0))*100,2)&amp;"%",""),"")</f>
        <v>41,75%</v>
      </c>
      <c r="D355" s="94" t="str">
        <f>IFERROR(IF(INDEX('Coverage Indicators - Section D'!O$1:O$100,MATCH($A342,'Coverage Indicators - Section D'!$A$1:$A$100,0))&lt;&gt;"",FIXED(INDEX('Coverage Indicators - Section D'!O$1:O$100,MATCH($A342,'Coverage Indicators - Section D'!$A$1:$A$100,0))*100,2)&amp;"%",""),"")&amp;CHAR(10)&amp;IFERROR(IF(INDEX('Coverage Indicators - Section D'!P$1:P$100,MATCH($A342,'Coverage Indicators - Section D'!$A$1:$A$100,0))&lt;&gt;"",INDEX('Coverage Indicators - Section D'!P$1:P$100,MATCH($A342,'Coverage Indicators - Section D'!$A$1:$A$100,0)),""),"")</f>
        <v xml:space="preserve">75,00%
</v>
      </c>
      <c r="E355" s="94" t="str">
        <f>IFERROR(IF(INDEX('Coverage Indicators - Section D'!R$1:R$100,MATCH($A342,'Coverage Indicators - Section D'!$A$1:$A$100,0))&lt;&gt;"",FIXED(INDEX('Coverage Indicators - Section D'!R$1:R$100,MATCH($A342,'Coverage Indicators - Section D'!$A$1:$A$100,0))*100,2)&amp;"%",""),"")&amp;CHAR(10)&amp;IFERROR(IF(INDEX('Coverage Indicators - Section D'!S$1:S$100,MATCH($A342,'Coverage Indicators - Section D'!$A$1:$A$100,0))&lt;&gt;"",INDEX('Coverage Indicators - Section D'!S$1:S$100,MATCH($A342,'Coverage Indicators - Section D'!$A$1:$A$100,0)),""),"")</f>
        <v xml:space="preserve">85,00%
</v>
      </c>
      <c r="F355" s="94" t="str">
        <f>IFERROR(IF(INDEX('Coverage Indicators - Section D'!U$1:U$100,MATCH($A342,'Coverage Indicators - Section D'!$A$1:$A$100,0))&lt;&gt;"",FIXED(INDEX('Coverage Indicators - Section D'!U$1:U$100,MATCH($A342,'Coverage Indicators - Section D'!$A$1:$A$100,0))*100,2)&amp;"%",""),"")&amp;CHAR(10)&amp;IFERROR(IF(INDEX('Coverage Indicators - Section D'!V$1:V$100,MATCH($A342,'Coverage Indicators - Section D'!$A$1:$A$100,0))&lt;&gt;"",INDEX('Coverage Indicators - Section D'!V$1:V$100,MATCH($A342,'Coverage Indicators - Section D'!$A$1:$A$100,0)),""),"")</f>
        <v xml:space="preserve">95,00%
</v>
      </c>
      <c r="G355" s="94" t="str">
        <f ca="1">IFERROR(IF(INDEX('Coverage Indicators - Section D'!X$1:X$100,MATCH($A342,'Coverage Indicators - Section D'!$A$1:$A$100,0))&lt;&gt;"",FIXED(INDEX('Coverage Indicators - Section D'!X$1:X$100,MATCH($A342,'Coverage Indicators - Section D'!$A$1:$A$100,0))*100,2)&amp;"%",""),"")&amp;CHAR(10)&amp;IFERROR(IF(INDEX('Coverage Indicators - Section D'!Y$1:Y$100,MATCH($A342,'Coverage Indicators - Section D'!$A$1:$A$100,0))&lt;&gt;"",INDEX('Coverage Indicators - Section D'!Y$1:Y$100,MATCH($A342,'Coverage Indicators - Section D'!$A$1:$A$100,0)),""),"")</f>
        <v xml:space="preserve">
</v>
      </c>
      <c r="H355" s="94" t="str">
        <f ca="1">IFERROR(IF(INDEX('Coverage Indicators - Section D'!AA$1:AA$100,MATCH(A342,'Coverage Indicators - Section D'!$A$1:$A$100,0))&lt;&gt;"",FIXED(INDEX('Coverage Indicators - Section D'!AA$1:AA$100,MATCH($A342,'Coverage Indicators - Section D'!$A$1:$A$100,0))*100,2)&amp;"%",""),"")&amp;CHAR(10)&amp;IFERROR(IF(INDEX('Coverage Indicators - Section D'!AB$1:AB$100,MATCH($A342,'Coverage Indicators - Section D'!$A$1:$A$100,0))&lt;&gt;"",INDEX('Coverage Indicators - Section D'!AB$1:AB$100,MATCH($A342,'Coverage Indicators - Section D'!$A$1:$A$100,0)),""),"")</f>
        <v xml:space="preserve">
</v>
      </c>
      <c r="I355" s="94" t="str">
        <f ca="1">IFERROR(IF(INDEX('Coverage Indicators - Section D'!AD$1:AD$100,MATCH($A342,'Coverage Indicators - Section D'!$A$1:$A$100,0))&lt;&gt;"",FIXED(INDEX('Coverage Indicators - Section D'!AD$1:AD$100,MATCH($A342,'Coverage Indicators - Section D'!$A$1:$A$100,0))*100,2)&amp;"%",""),"")&amp;CHAR(10)&amp;IFERROR(IF(INDEX('Coverage Indicators - Section D'!AE$1:AE$100,MATCH($A342,'Coverage Indicators - Section D'!$A$1:$A$100,0))&lt;&gt;"",INDEX('Coverage Indicators - Section D'!AE$1:AE$100,MATCH($A342,'Coverage Indicators - Section D'!$A$1:$A$100,0)),""),"")</f>
        <v xml:space="preserve">
</v>
      </c>
      <c r="J355" s="94" t="str">
        <f ca="1">IFERROR(IF(INDEX('Coverage Indicators - Section D'!AG$1:AG$100,MATCH($A342,'Coverage Indicators - Section D'!$A$1:$A$100,0))&lt;&gt;"",FIXED(INDEX('Coverage Indicators - Section D'!AG$1:AG$100,MATCH($A342,'Coverage Indicators - Section D'!$A$1:$A$100,0))*100,2)&amp;"%",""),"")&amp;CHAR(10)&amp;IFERROR(IF(INDEX('Coverage Indicators - Section D'!AH$1:AH$100,MATCH($A342,'Coverage Indicators - Section D'!$A$1:$A$100,0))&lt;&gt;"",INDEX('Coverage Indicators - Section D'!AH$1:AH$100,MATCH($A342,'Coverage Indicators - Section D'!$A$1:$A$100,0)),""),"")</f>
        <v xml:space="preserve">
</v>
      </c>
      <c r="K355" s="94" t="str">
        <f ca="1">IFERROR(IF(INDEX('Coverage Indicators - Section D'!AJ$1:AJ$100,MATCH($A342,'Coverage Indicators - Section D'!$A$1:$A$100,0))&lt;&gt;"",FIXED(INDEX('Coverage Indicators - Section D'!AJ$1:AJ$100,MATCH($A342,'Coverage Indicators - Section D'!$A$1:$A$100,0))*100,2)&amp;"%",""),"")&amp;CHAR(10)&amp;IFERROR(IF(INDEX('Coverage Indicators - Section D'!AK$1:AK$100,MATCH($A342,'Coverage Indicators - Section D'!$A$1:$A$100,0))&lt;&gt;"",INDEX('Coverage Indicators - Section D'!AK$1:AK$100,MATCH($A342,'Coverage Indicators - Section D'!$A$1:$A$100,0)),""),"")</f>
        <v xml:space="preserve">
</v>
      </c>
      <c r="L355" s="86"/>
    </row>
    <row r="356" spans="1:12" ht="18.75" customHeight="1" x14ac:dyDescent="0.25">
      <c r="A356" s="667"/>
      <c r="B356" s="660" t="s">
        <v>176</v>
      </c>
      <c r="C356" s="661"/>
      <c r="D356" s="661"/>
      <c r="E356" s="661"/>
      <c r="F356" s="661"/>
      <c r="G356" s="661"/>
      <c r="H356" s="661"/>
      <c r="I356" s="661"/>
      <c r="J356" s="661"/>
      <c r="K356" s="662"/>
      <c r="L356" s="86"/>
    </row>
    <row r="357" spans="1:12" ht="18.75" customHeight="1" x14ac:dyDescent="0.25">
      <c r="A357" s="667"/>
      <c r="B357" s="669" t="str">
        <f>IFERROR(IF(INDEX('Coverage Indicators - Section D'!AL$1:AL$110,MATCH($A342,'Coverage Indicators - Section D'!$A$1:$A$110,0))&lt;&gt;0,INDEX('Coverage Indicators - Section D'!AL$1:AL$110,MATCH($A342,'Coverage Indicators - Section D'!$A$1:$A$110,0)),""),"")</f>
        <v>Numerator: Number of children (under 15) ART at the end of the reporting period. 
Denominator: Estimated number of children (under 15) living with HIV (data - generated by SPECTRUM) according to the UNAIDS (average numbers, pls refer to the link for more information: ahttp://aidsinfo.unaids.org/). The updated data according to the Spectrum on denominator will be provided in each reporting period. It is expected that all measures within the grant in support of HIV new cases identification and adherence to ART will allow country to achieve target 95.</v>
      </c>
      <c r="C357" s="670"/>
      <c r="D357" s="670"/>
      <c r="E357" s="670"/>
      <c r="F357" s="670"/>
      <c r="G357" s="670"/>
      <c r="H357" s="670"/>
      <c r="I357" s="670"/>
      <c r="J357" s="670"/>
      <c r="K357" s="671"/>
      <c r="L357" s="86"/>
    </row>
    <row r="358" spans="1:12" ht="18.75" customHeight="1" x14ac:dyDescent="0.25">
      <c r="A358" s="667"/>
      <c r="B358" s="672"/>
      <c r="C358" s="673"/>
      <c r="D358" s="673"/>
      <c r="E358" s="673"/>
      <c r="F358" s="673"/>
      <c r="G358" s="673"/>
      <c r="H358" s="673"/>
      <c r="I358" s="673"/>
      <c r="J358" s="673"/>
      <c r="K358" s="674"/>
      <c r="L358" s="86"/>
    </row>
    <row r="359" spans="1:12" ht="18.75" customHeight="1" x14ac:dyDescent="0.25">
      <c r="A359" s="667"/>
      <c r="B359" s="672"/>
      <c r="C359" s="673"/>
      <c r="D359" s="673"/>
      <c r="E359" s="673"/>
      <c r="F359" s="673"/>
      <c r="G359" s="673"/>
      <c r="H359" s="673"/>
      <c r="I359" s="673"/>
      <c r="J359" s="673"/>
      <c r="K359" s="674"/>
      <c r="L359" s="86"/>
    </row>
    <row r="360" spans="1:12" ht="18.75" customHeight="1" x14ac:dyDescent="0.25">
      <c r="A360" s="667"/>
      <c r="B360" s="672"/>
      <c r="C360" s="673"/>
      <c r="D360" s="673"/>
      <c r="E360" s="673"/>
      <c r="F360" s="673"/>
      <c r="G360" s="673"/>
      <c r="H360" s="673"/>
      <c r="I360" s="673"/>
      <c r="J360" s="673"/>
      <c r="K360" s="674"/>
      <c r="L360" s="86"/>
    </row>
    <row r="361" spans="1:12" ht="18.75" customHeight="1" x14ac:dyDescent="0.25">
      <c r="A361" s="667"/>
      <c r="B361" s="672"/>
      <c r="C361" s="673"/>
      <c r="D361" s="673"/>
      <c r="E361" s="673"/>
      <c r="F361" s="673"/>
      <c r="G361" s="673"/>
      <c r="H361" s="673"/>
      <c r="I361" s="673"/>
      <c r="J361" s="673"/>
      <c r="K361" s="674"/>
      <c r="L361" s="86"/>
    </row>
    <row r="362" spans="1:12" ht="18.75" customHeight="1" x14ac:dyDescent="0.25">
      <c r="A362" s="667"/>
      <c r="B362" s="672"/>
      <c r="C362" s="673"/>
      <c r="D362" s="673"/>
      <c r="E362" s="673"/>
      <c r="F362" s="673"/>
      <c r="G362" s="673"/>
      <c r="H362" s="673"/>
      <c r="I362" s="673"/>
      <c r="J362" s="673"/>
      <c r="K362" s="674"/>
      <c r="L362" s="86"/>
    </row>
    <row r="363" spans="1:12" ht="18.75" customHeight="1" x14ac:dyDescent="0.25">
      <c r="A363" s="667"/>
      <c r="B363" s="672"/>
      <c r="C363" s="673"/>
      <c r="D363" s="673"/>
      <c r="E363" s="673"/>
      <c r="F363" s="673"/>
      <c r="G363" s="673"/>
      <c r="H363" s="673"/>
      <c r="I363" s="673"/>
      <c r="J363" s="673"/>
      <c r="K363" s="674"/>
      <c r="L363" s="86"/>
    </row>
    <row r="364" spans="1:12" ht="18.75" customHeight="1" x14ac:dyDescent="0.25">
      <c r="A364" s="667"/>
      <c r="B364" s="672"/>
      <c r="C364" s="673"/>
      <c r="D364" s="673"/>
      <c r="E364" s="673"/>
      <c r="F364" s="673"/>
      <c r="G364" s="673"/>
      <c r="H364" s="673"/>
      <c r="I364" s="673"/>
      <c r="J364" s="673"/>
      <c r="K364" s="674"/>
      <c r="L364" s="86"/>
    </row>
    <row r="365" spans="1:12" ht="18.75" customHeight="1" x14ac:dyDescent="0.25">
      <c r="A365" s="667"/>
      <c r="B365" s="672"/>
      <c r="C365" s="673"/>
      <c r="D365" s="673"/>
      <c r="E365" s="673"/>
      <c r="F365" s="673"/>
      <c r="G365" s="673"/>
      <c r="H365" s="673"/>
      <c r="I365" s="673"/>
      <c r="J365" s="673"/>
      <c r="K365" s="674"/>
      <c r="L365" s="86"/>
    </row>
    <row r="366" spans="1:12" ht="18.75" customHeight="1" x14ac:dyDescent="0.25">
      <c r="A366" s="668"/>
      <c r="B366" s="675"/>
      <c r="C366" s="676"/>
      <c r="D366" s="676"/>
      <c r="E366" s="676"/>
      <c r="F366" s="676"/>
      <c r="G366" s="676"/>
      <c r="H366" s="676"/>
      <c r="I366" s="676"/>
      <c r="J366" s="676"/>
      <c r="K366" s="677"/>
      <c r="L366" s="86"/>
    </row>
    <row r="367" spans="1:12" ht="18.75" customHeight="1" x14ac:dyDescent="0.25">
      <c r="A367" s="660"/>
      <c r="B367" s="661"/>
      <c r="C367" s="661"/>
      <c r="D367" s="661"/>
      <c r="E367" s="661"/>
      <c r="F367" s="661"/>
      <c r="G367" s="661"/>
      <c r="H367" s="661"/>
      <c r="I367" s="661"/>
      <c r="J367" s="661"/>
      <c r="K367" s="662"/>
      <c r="L367" s="86"/>
    </row>
    <row r="369" spans="1:12" ht="18.75" customHeight="1" x14ac:dyDescent="0.25">
      <c r="A369" s="93" t="s">
        <v>4383</v>
      </c>
      <c r="B369" s="660" t="s">
        <v>1046</v>
      </c>
      <c r="C369" s="662"/>
      <c r="D369" s="663" t="str">
        <f>IFERROR(IF(INDEX('Coverage Indicators - Section D'!B$1:B$100,MATCH($A370,'Coverage Indicators - Section D'!$A$1:$A$100,0))&lt;&gt;0,INDEX('Coverage Indicators - Section D'!B$1:B$100,MATCH($A370,'Coverage Indicators - Section D'!$A$1:$A$100,0)),""),"")</f>
        <v>TB/HIV</v>
      </c>
      <c r="E369" s="664"/>
      <c r="F369" s="664"/>
      <c r="G369" s="664"/>
      <c r="H369" s="664"/>
      <c r="I369" s="664"/>
      <c r="J369" s="664"/>
      <c r="K369" s="665"/>
      <c r="L369" s="86"/>
    </row>
    <row r="370" spans="1:12" ht="18.75" customHeight="1" x14ac:dyDescent="0.25">
      <c r="A370" s="666">
        <v>14</v>
      </c>
      <c r="B370" s="660" t="s">
        <v>738</v>
      </c>
      <c r="C370" s="661"/>
      <c r="D370" s="661"/>
      <c r="E370" s="661"/>
      <c r="F370" s="662"/>
      <c r="G370" s="660" t="s">
        <v>739</v>
      </c>
      <c r="H370" s="661"/>
      <c r="I370" s="661"/>
      <c r="J370" s="661"/>
      <c r="K370" s="662"/>
      <c r="L370" s="86"/>
    </row>
    <row r="371" spans="1:12" ht="18.75" customHeight="1" x14ac:dyDescent="0.25">
      <c r="A371" s="667"/>
      <c r="B371" s="669" t="str">
        <f>IFERROR(IF(INDEX('Coverage Indicators - Section D'!C$1:C$100,MATCH($A370,'Coverage Indicators - Section D'!$A$1:$A$100,0))&lt;&gt;0,INDEX('Coverage Indicators - Section D'!C$1:C$100,MATCH($A370,'Coverage Indicators - Section D'!$A$1:$A$100,0)),""),"")</f>
        <v>TB/HIV-6⁽ᴹ⁾ Percentage of HIV-positive new and relapse TB patients on ART during TB treatment</v>
      </c>
      <c r="C371" s="670"/>
      <c r="D371" s="670"/>
      <c r="E371" s="670"/>
      <c r="F371" s="671"/>
      <c r="G371" s="669" t="str">
        <f>IFERROR(IF(INDEX('Coverage Indicators - Section D'!D$1:D$100,MATCH($A370,'Coverage Indicators - Section D'!$A$1:$A$100,0))&lt;&gt;0,INDEX('Coverage Indicators - Section D'!D$1:D$100,MATCH($A370,'Coverage Indicators - Section D'!$A$1:$A$100,0)),""),"")</f>
        <v/>
      </c>
      <c r="H371" s="670"/>
      <c r="I371" s="670"/>
      <c r="J371" s="670"/>
      <c r="K371" s="671"/>
      <c r="L371" s="86"/>
    </row>
    <row r="372" spans="1:12" ht="18.75" customHeight="1" x14ac:dyDescent="0.25">
      <c r="A372" s="667"/>
      <c r="B372" s="672"/>
      <c r="C372" s="673"/>
      <c r="D372" s="673"/>
      <c r="E372" s="673"/>
      <c r="F372" s="674"/>
      <c r="G372" s="672"/>
      <c r="H372" s="673"/>
      <c r="I372" s="673"/>
      <c r="J372" s="673"/>
      <c r="K372" s="674"/>
      <c r="L372" s="86"/>
    </row>
    <row r="373" spans="1:12" ht="18.75" customHeight="1" x14ac:dyDescent="0.25">
      <c r="A373" s="667"/>
      <c r="B373" s="675"/>
      <c r="C373" s="676"/>
      <c r="D373" s="676"/>
      <c r="E373" s="676"/>
      <c r="F373" s="677"/>
      <c r="G373" s="675"/>
      <c r="H373" s="676"/>
      <c r="I373" s="676"/>
      <c r="J373" s="676"/>
      <c r="K373" s="677"/>
      <c r="L373" s="86"/>
    </row>
    <row r="374" spans="1:12" ht="18.75" customHeight="1" x14ac:dyDescent="0.25">
      <c r="A374" s="667"/>
      <c r="B374" s="660" t="s">
        <v>742</v>
      </c>
      <c r="C374" s="661"/>
      <c r="D374" s="662"/>
      <c r="E374" s="660" t="s">
        <v>216</v>
      </c>
      <c r="F374" s="661"/>
      <c r="G374" s="662"/>
      <c r="H374" s="660" t="s">
        <v>127</v>
      </c>
      <c r="I374" s="661"/>
      <c r="J374" s="662"/>
      <c r="K374" s="93" t="s">
        <v>2175</v>
      </c>
      <c r="L374" s="86"/>
    </row>
    <row r="375" spans="1:12" ht="18.75" customHeight="1" x14ac:dyDescent="0.25">
      <c r="A375" s="667"/>
      <c r="B375" s="663" t="str">
        <f>IFERROR(IF(INDEX('Coverage Indicators - Section D'!I$9:I$68,MATCH($A370,'Coverage Indicators - Section D'!$A$9:$A$68,0))&lt;&gt;0,INDEX('Coverage Indicators - Section D'!I$9:I$68,MATCH($A370,'Coverage Indicators - Section D'!$A$9:$A$68,0)),""),"")</f>
        <v>Gender,Age</v>
      </c>
      <c r="C375" s="664"/>
      <c r="D375" s="665"/>
      <c r="E375" s="663" t="str">
        <f>IFERROR(IF(INDEX('Coverage Indicators - Section D'!M$1:M$100,MATCH($A370,'Coverage Indicators - Section D'!$A$1:$A$100,0))&lt;&gt;0,INDEX('Coverage Indicators - Section D'!M$1:M$100,MATCH($A370,'Coverage Indicators - Section D'!$A$1:$A$100,0)),""),"")</f>
        <v/>
      </c>
      <c r="F375" s="664"/>
      <c r="G375" s="665"/>
      <c r="H375" s="663" t="str">
        <f>IFERROR(IF(INDEX('Coverage Indicators - Section D'!L$1:L$100,MATCH($A370,'Coverage Indicators - Section D'!$A$1:$A$100,0))&lt;&gt;0,INDEX('Coverage Indicators - Section D'!L$1:L$100,MATCH($A370,'Coverage Indicators - Section D'!$A$1:$A$100,0)),""),"")</f>
        <v/>
      </c>
      <c r="I375" s="664"/>
      <c r="J375" s="665"/>
      <c r="K375" s="94" t="str">
        <f>IFERROR(IF(INDEX('Coverage Indicators - Section D'!J$1:J$100,MATCH($A370,'Coverage Indicators - Section D'!$A$1:$A$100,0))&lt;&gt;0,INDEX('Coverage Indicators - Section D'!J$1:J$100,MATCH($A370,'Coverage Indicators - Section D'!$A$1:$A$100,0)),""),"")</f>
        <v>Yes</v>
      </c>
      <c r="L375" s="86"/>
    </row>
    <row r="376" spans="1:12" ht="18.75" customHeight="1" x14ac:dyDescent="0.25">
      <c r="A376" s="667"/>
      <c r="B376" s="660" t="s">
        <v>199</v>
      </c>
      <c r="C376" s="661"/>
      <c r="D376" s="662"/>
      <c r="E376" s="660" t="s">
        <v>4392</v>
      </c>
      <c r="F376" s="661"/>
      <c r="G376" s="662"/>
      <c r="H376" s="660" t="s">
        <v>120</v>
      </c>
      <c r="I376" s="661"/>
      <c r="J376" s="661"/>
      <c r="K376" s="662"/>
      <c r="L376" s="86"/>
    </row>
    <row r="377" spans="1:12" ht="18.75" customHeight="1" x14ac:dyDescent="0.25">
      <c r="A377" s="667"/>
      <c r="B377" s="669" t="str">
        <f>IFERROR(IF(INDEX('Coverage Indicators - Section D'!H$1:H$100,MATCH($A370,'Coverage Indicators - Section D'!$A$1:$A$100,0))&lt;&gt;0,INDEX('Coverage Indicators - Section D'!H$1:H$100,MATCH($A370,'Coverage Indicators - Section D'!$A$1:$A$100,0)),""),"")</f>
        <v>Electronic HIV Case Tracking System and RCHV&amp;HIV report
and data from UNAIDS (Estimated Number on PLHIV)</v>
      </c>
      <c r="C377" s="670"/>
      <c r="D377" s="671"/>
      <c r="E377" s="669" t="str">
        <f>IFERROR(IF(INDEX('Coverage Indicators - Section D'!L$1:L$100,MATCH($A370,'Coverage Indicators - Section D'!$A$1:$A$100,0)+1)&lt;&gt;0,INDEX('Coverage Indicators - Section D'!L$1:L$100,MATCH($A370,'Coverage Indicators - Section D'!$A$1:$A$100,0)+1),""),"")</f>
        <v>Geographic National, 100% of national program target</v>
      </c>
      <c r="F377" s="670"/>
      <c r="G377" s="671"/>
      <c r="H377" s="669" t="str">
        <f>IFERROR(IF(AND('Overview - Section A'!AS$1="Grant Making",OR(B371&lt;&gt;"",G371&lt;&gt;"")),Setup!I379,IF(INDEX('Coverage Indicators - Section D'!K$1:K$100,MATCH($A370,'Coverage Indicators - Section D'!$A$1:$A$100,0))&lt;&gt;0,INDEX('Coverage Indicators - Section D'!K$1:K$100,MATCH($A370,'Coverage Indicators - Section D'!$A$1:$A$100,0)),"")),"")</f>
        <v>United Nations Development Programme</v>
      </c>
      <c r="I377" s="670"/>
      <c r="J377" s="670"/>
      <c r="K377" s="671"/>
      <c r="L377" s="86"/>
    </row>
    <row r="378" spans="1:12" ht="18.75" customHeight="1" x14ac:dyDescent="0.25">
      <c r="A378" s="667"/>
      <c r="B378" s="675"/>
      <c r="C378" s="676"/>
      <c r="D378" s="677"/>
      <c r="E378" s="675"/>
      <c r="F378" s="676"/>
      <c r="G378" s="677"/>
      <c r="H378" s="675"/>
      <c r="I378" s="676"/>
      <c r="J378" s="676"/>
      <c r="K378" s="677"/>
      <c r="L378" s="86"/>
    </row>
    <row r="379" spans="1:12" ht="18.75" customHeight="1" x14ac:dyDescent="0.25">
      <c r="A379" s="667"/>
      <c r="B379" s="93"/>
      <c r="C379" s="93" t="s">
        <v>4384</v>
      </c>
      <c r="D379" s="660" t="s">
        <v>4385</v>
      </c>
      <c r="E379" s="661"/>
      <c r="F379" s="661"/>
      <c r="G379" s="661"/>
      <c r="H379" s="661"/>
      <c r="I379" s="661"/>
      <c r="J379" s="661"/>
      <c r="K379" s="662"/>
      <c r="L379" s="86"/>
    </row>
    <row r="380" spans="1:12" ht="18.75" customHeight="1" x14ac:dyDescent="0.25">
      <c r="A380" s="667"/>
      <c r="B380" s="93" t="s">
        <v>2559</v>
      </c>
      <c r="C380" s="94">
        <f>IFERROR(IF(INDEX('Coverage Indicators - Section D'!G$1:G$100,MATCH($A370,'Coverage Indicators - Section D'!$A$1:$A$100,0))&lt;&gt;0,INDEX('Coverage Indicators - Section D'!G$1:G$100,MATCH($A370,'Coverage Indicators - Section D'!$A$1:$A$100,0)),""),"")</f>
        <v>2022</v>
      </c>
      <c r="D380"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380"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380"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380"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380"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380"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380"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380"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380" s="86"/>
    </row>
    <row r="381" spans="1:12" s="97" customFormat="1" ht="18.75" customHeight="1" x14ac:dyDescent="0.25">
      <c r="A381" s="667"/>
      <c r="B381" s="93" t="s">
        <v>4386</v>
      </c>
      <c r="C381" s="95">
        <f>IFERROR(IF(INDEX('Coverage Indicators - Section D'!E$1:E$100,MATCH($A370,'Coverage Indicators - Section D'!$A$1:$A$100,0))&lt;&gt;"",INDEX('Coverage Indicators - Section D'!E$1:E$100,MATCH($A370,'Coverage Indicators - Section D'!$A$1:$A$100,0)),""),"")</f>
        <v>139</v>
      </c>
      <c r="D381" s="95" t="str">
        <f>IFERROR(IF(INDEX('Coverage Indicators - Section D'!N$1:N$100,MATCH($A370,'Coverage Indicators - Section D'!$A$1:$A$100,0))&lt;&gt;"",INDEX('Coverage Indicators - Section D'!N$1:N$100,MATCH($A370,'Coverage Indicators - Section D'!$A$1:$A$100,0)),""),"")</f>
        <v/>
      </c>
      <c r="E381" s="95" t="str">
        <f>IFERROR(IF(INDEX('Coverage Indicators - Section D'!Q$1:Q$100,MATCH($A370,'Coverage Indicators - Section D'!$A$1:$A$100,0))&lt;&gt;"",INDEX('Coverage Indicators - Section D'!Q$1:Q$100,MATCH($A370,'Coverage Indicators - Section D'!$A$1:$A$100,0)),""),"")</f>
        <v/>
      </c>
      <c r="F381" s="95" t="str">
        <f>IFERROR(IF(INDEX('Coverage Indicators - Section D'!T$1:T$100,MATCH($A370,'Coverage Indicators - Section D'!$A$1:$A$100,0))&lt;&gt;"",INDEX('Coverage Indicators - Section D'!T$1:T$100,MATCH($A370,'Coverage Indicators - Section D'!$A$1:$A$100,0)),""),"")</f>
        <v/>
      </c>
      <c r="G381" s="95" t="str">
        <f>IFERROR(IF(INDEX('Coverage Indicators - Section D'!W$1:W$100,MATCH($A370,'Coverage Indicators - Section D'!$A$1:$A$100,0))&lt;&gt;"",INDEX('Coverage Indicators - Section D'!W$1:W$100,MATCH($A370,'Coverage Indicators - Section D'!$A$1:$A$100,0)),""),"")</f>
        <v/>
      </c>
      <c r="H381" s="95" t="str">
        <f>IFERROR(IF(INDEX('Coverage Indicators - Section D'!Z$1:Z$100,MATCH($A370,'Coverage Indicators - Section D'!$A$1:$A$100,0))&lt;&gt;"",INDEX('Coverage Indicators - Section D'!Z$1:Z$100,MATCH($A370,'Coverage Indicators - Section D'!$A$1:$A$100,0)),""),"")</f>
        <v/>
      </c>
      <c r="I381" s="95" t="str">
        <f>IFERROR(IF(INDEX('Coverage Indicators - Section D'!AC$1:AC$100,MATCH($A370,'Coverage Indicators - Section D'!$A$1:$A$100,0))&lt;&gt;"",INDEX('Coverage Indicators - Section D'!AC$1:AC$100,MATCH($A370,'Coverage Indicators - Section D'!$A$1:$A$100,0)),""),"")</f>
        <v/>
      </c>
      <c r="J381" s="95" t="str">
        <f>IFERROR(IF(INDEX('Coverage Indicators - Section D'!AF$1:AF$100,MATCH($A370,'Coverage Indicators - Section D'!$A$1:$A$100,0))&lt;&gt;"",INDEX('Coverage Indicators - Section D'!AF$1:AF$100,MATCH($A370,'Coverage Indicators - Section D'!$A$1:$A$100,0)),""),"")</f>
        <v/>
      </c>
      <c r="K381" s="95" t="str">
        <f>IFERROR(IF(INDEX('Coverage Indicators - Section D'!AI$1:AI$100,MATCH($A370,'Coverage Indicators - Section D'!$A$1:$A$100,0))&lt;&gt;"",INDEX('Coverage Indicators - Section D'!AI$1:AI$100,MATCH($A370,'Coverage Indicators - Section D'!$A$1:$A$100,0)),""),"")</f>
        <v/>
      </c>
      <c r="L381" s="96"/>
    </row>
    <row r="382" spans="1:12" s="100" customFormat="1" ht="18.75" customHeight="1" x14ac:dyDescent="0.25">
      <c r="A382" s="667"/>
      <c r="B382" s="93" t="s">
        <v>4387</v>
      </c>
      <c r="C382" s="98">
        <f>IFERROR(IF(INDEX('Coverage Indicators - Section D'!E$1:E$100,MATCH($A370,'Coverage Indicators - Section D'!$A$1:$A$100,0)+1)&lt;&gt;"",INDEX('Coverage Indicators - Section D'!E$1:E$100,MATCH($A370,'Coverage Indicators - Section D'!$A$1:$A$100,0)+1),""),"")</f>
        <v>144</v>
      </c>
      <c r="D382" s="98" t="str">
        <f>IFERROR(IF(INDEX('Coverage Indicators - Section D'!N$1:N$100,MATCH($A370,'Coverage Indicators - Section D'!$A$1:$A$100,0)+1)&lt;&gt;"",INDEX('Coverage Indicators - Section D'!N$1:N$100,MATCH($A370,'Coverage Indicators - Section D'!$A$1:$A$100,0)+1),""),"")</f>
        <v/>
      </c>
      <c r="E382" s="98" t="str">
        <f>IFERROR(IF(INDEX('Coverage Indicators - Section D'!Q$1:Q$100,MATCH($A370,'Coverage Indicators - Section D'!$A$1:$A$100,0)+1)&lt;&gt;"",INDEX('Coverage Indicators - Section D'!Q$1:Q$100,MATCH($A370,'Coverage Indicators - Section D'!$A$1:$A$100,0)+1),""),"")</f>
        <v/>
      </c>
      <c r="F382" s="98" t="str">
        <f>IFERROR(IF(INDEX('Coverage Indicators - Section D'!T$1:T$100,MATCH($A370,'Coverage Indicators - Section D'!$A$1:$A$100,0)+1)&lt;&gt;"",INDEX('Coverage Indicators - Section D'!T$1:T$100,MATCH($A370,'Coverage Indicators - Section D'!$A$1:$A$100,0)+1),""),"")</f>
        <v/>
      </c>
      <c r="G382" s="98" t="str">
        <f>IFERROR(IF(INDEX('Coverage Indicators - Section D'!W$1:W$100,MATCH($A370,'Coverage Indicators - Section D'!$A$1:$A$100,0)+1)&lt;&gt;"",INDEX('Coverage Indicators - Section D'!W$1:W$100,MATCH($A370,'Coverage Indicators - Section D'!$A$1:$A$100,0)+1),""),"")</f>
        <v/>
      </c>
      <c r="H382" s="98" t="str">
        <f>IFERROR(IF(INDEX('Coverage Indicators - Section D'!Z$1:Z$100,MATCH($A370,'Coverage Indicators - Section D'!$A$1:$A$100,0)+1)&lt;&gt;"",INDEX('Coverage Indicators - Section D'!Z$1:Z$100,MATCH($A370,'Coverage Indicators - Section D'!$A$1:$A$100,0)+1),""),"")</f>
        <v/>
      </c>
      <c r="I382" s="98" t="str">
        <f>IFERROR(IF(INDEX('Coverage Indicators - Section D'!AC$1:AC$100,MATCH($A370,'Coverage Indicators - Section D'!$A$1:$A$100,0)+1)&lt;&gt;"",INDEX('Coverage Indicators - Section D'!AC$1:AC$100,MATCH($A370,'Coverage Indicators - Section D'!$A$1:$A$100,0)+1),""),"")</f>
        <v/>
      </c>
      <c r="J382" s="98" t="str">
        <f>IFERROR(IF(INDEX('Coverage Indicators - Section D'!AF$1:AF$100,MATCH($A370,'Coverage Indicators - Section D'!$A$1:$A$100,0)+1)&lt;&gt;"",INDEX('Coverage Indicators - Section D'!AF$1:AF$100,MATCH($A370,'Coverage Indicators - Section D'!$A$1:$A$100,0)+1),""),"")</f>
        <v/>
      </c>
      <c r="K382" s="98" t="str">
        <f>IFERROR(IF(INDEX('Coverage Indicators - Section D'!AI$1:AI$100,MATCH($A370,'Coverage Indicators - Section D'!$A$1:$A$100,0)+1)&lt;&gt;"",INDEX('Coverage Indicators - Section D'!AI$1:AI$100,MATCH($A370,'Coverage Indicators - Section D'!$A$1:$A$100,0)+1),""),"")</f>
        <v/>
      </c>
      <c r="L382" s="99"/>
    </row>
    <row r="383" spans="1:12" ht="18.75" customHeight="1" x14ac:dyDescent="0.25">
      <c r="A383" s="667"/>
      <c r="B383" s="93" t="s">
        <v>4388</v>
      </c>
      <c r="C383" s="94" t="str">
        <f ca="1">IFERROR(IF(INDEX('Coverage Indicators - Section D'!F$1:F$100,MATCH($A370,'Coverage Indicators - Section D'!$A$1:$A$100,0))&lt;&gt;"",FIXED(INDEX('Coverage Indicators - Section D'!F$1:F$100,MATCH($A370,'Coverage Indicators - Section D'!$A$1:$A$100,0))*100,2)&amp;"%",""),"")</f>
        <v>96,53%</v>
      </c>
      <c r="D383" s="94" t="str">
        <f>IFERROR(IF(INDEX('Coverage Indicators - Section D'!O$1:O$100,MATCH($A370,'Coverage Indicators - Section D'!$A$1:$A$100,0))&lt;&gt;"",FIXED(INDEX('Coverage Indicators - Section D'!O$1:O$100,MATCH($A370,'Coverage Indicators - Section D'!$A$1:$A$100,0))*100,2)&amp;"%",""),"")&amp;CHAR(10)&amp;IFERROR(IF(INDEX('Coverage Indicators - Section D'!P$1:P$100,MATCH($A370,'Coverage Indicators - Section D'!$A$1:$A$100,0))&lt;&gt;"",INDEX('Coverage Indicators - Section D'!P$1:P$100,MATCH($A370,'Coverage Indicators - Section D'!$A$1:$A$100,0)),""),"")</f>
        <v xml:space="preserve">97,00%
</v>
      </c>
      <c r="E383" s="94" t="str">
        <f>IFERROR(IF(INDEX('Coverage Indicators - Section D'!R$1:R$100,MATCH($A370,'Coverage Indicators - Section D'!$A$1:$A$100,0))&lt;&gt;"",FIXED(INDEX('Coverage Indicators - Section D'!R$1:R$100,MATCH($A370,'Coverage Indicators - Section D'!$A$1:$A$100,0))*100,2)&amp;"%",""),"")&amp;CHAR(10)&amp;IFERROR(IF(INDEX('Coverage Indicators - Section D'!S$1:S$100,MATCH($A370,'Coverage Indicators - Section D'!$A$1:$A$100,0))&lt;&gt;"",INDEX('Coverage Indicators - Section D'!S$1:S$100,MATCH($A370,'Coverage Indicators - Section D'!$A$1:$A$100,0)),""),"")</f>
        <v xml:space="preserve">98,00%
</v>
      </c>
      <c r="F383" s="94" t="str">
        <f>IFERROR(IF(INDEX('Coverage Indicators - Section D'!U$1:U$100,MATCH($A370,'Coverage Indicators - Section D'!$A$1:$A$100,0))&lt;&gt;"",FIXED(INDEX('Coverage Indicators - Section D'!U$1:U$100,MATCH($A370,'Coverage Indicators - Section D'!$A$1:$A$100,0))*100,2)&amp;"%",""),"")&amp;CHAR(10)&amp;IFERROR(IF(INDEX('Coverage Indicators - Section D'!V$1:V$100,MATCH($A370,'Coverage Indicators - Section D'!$A$1:$A$100,0))&lt;&gt;"",INDEX('Coverage Indicators - Section D'!V$1:V$100,MATCH($A370,'Coverage Indicators - Section D'!$A$1:$A$100,0)),""),"")</f>
        <v xml:space="preserve">99,00%
</v>
      </c>
      <c r="G383" s="94" t="str">
        <f ca="1">IFERROR(IF(INDEX('Coverage Indicators - Section D'!X$1:X$100,MATCH($A370,'Coverage Indicators - Section D'!$A$1:$A$100,0))&lt;&gt;"",FIXED(INDEX('Coverage Indicators - Section D'!X$1:X$100,MATCH($A370,'Coverage Indicators - Section D'!$A$1:$A$100,0))*100,2)&amp;"%",""),"")&amp;CHAR(10)&amp;IFERROR(IF(INDEX('Coverage Indicators - Section D'!Y$1:Y$100,MATCH($A370,'Coverage Indicators - Section D'!$A$1:$A$100,0))&lt;&gt;"",INDEX('Coverage Indicators - Section D'!Y$1:Y$100,MATCH($A370,'Coverage Indicators - Section D'!$A$1:$A$100,0)),""),"")</f>
        <v xml:space="preserve">
</v>
      </c>
      <c r="H383" s="94" t="str">
        <f ca="1">IFERROR(IF(INDEX('Coverage Indicators - Section D'!AA$1:AA$100,MATCH(A370,'Coverage Indicators - Section D'!$A$1:$A$100,0))&lt;&gt;"",FIXED(INDEX('Coverage Indicators - Section D'!AA$1:AA$100,MATCH($A370,'Coverage Indicators - Section D'!$A$1:$A$100,0))*100,2)&amp;"%",""),"")&amp;CHAR(10)&amp;IFERROR(IF(INDEX('Coverage Indicators - Section D'!AB$1:AB$100,MATCH($A370,'Coverage Indicators - Section D'!$A$1:$A$100,0))&lt;&gt;"",INDEX('Coverage Indicators - Section D'!AB$1:AB$100,MATCH($A370,'Coverage Indicators - Section D'!$A$1:$A$100,0)),""),"")</f>
        <v xml:space="preserve">
</v>
      </c>
      <c r="I383" s="94" t="str">
        <f ca="1">IFERROR(IF(INDEX('Coverage Indicators - Section D'!AD$1:AD$100,MATCH($A370,'Coverage Indicators - Section D'!$A$1:$A$100,0))&lt;&gt;"",FIXED(INDEX('Coverage Indicators - Section D'!AD$1:AD$100,MATCH($A370,'Coverage Indicators - Section D'!$A$1:$A$100,0))*100,2)&amp;"%",""),"")&amp;CHAR(10)&amp;IFERROR(IF(INDEX('Coverage Indicators - Section D'!AE$1:AE$100,MATCH($A370,'Coverage Indicators - Section D'!$A$1:$A$100,0))&lt;&gt;"",INDEX('Coverage Indicators - Section D'!AE$1:AE$100,MATCH($A370,'Coverage Indicators - Section D'!$A$1:$A$100,0)),""),"")</f>
        <v xml:space="preserve">
</v>
      </c>
      <c r="J383" s="94" t="str">
        <f ca="1">IFERROR(IF(INDEX('Coverage Indicators - Section D'!AG$1:AG$100,MATCH($A370,'Coverage Indicators - Section D'!$A$1:$A$100,0))&lt;&gt;"",FIXED(INDEX('Coverage Indicators - Section D'!AG$1:AG$100,MATCH($A370,'Coverage Indicators - Section D'!$A$1:$A$100,0))*100,2)&amp;"%",""),"")&amp;CHAR(10)&amp;IFERROR(IF(INDEX('Coverage Indicators - Section D'!AH$1:AH$100,MATCH($A370,'Coverage Indicators - Section D'!$A$1:$A$100,0))&lt;&gt;"",INDEX('Coverage Indicators - Section D'!AH$1:AH$100,MATCH($A370,'Coverage Indicators - Section D'!$A$1:$A$100,0)),""),"")</f>
        <v xml:space="preserve">
</v>
      </c>
      <c r="K383" s="94" t="str">
        <f ca="1">IFERROR(IF(INDEX('Coverage Indicators - Section D'!AJ$1:AJ$100,MATCH($A370,'Coverage Indicators - Section D'!$A$1:$A$100,0))&lt;&gt;"",FIXED(INDEX('Coverage Indicators - Section D'!AJ$1:AJ$100,MATCH($A370,'Coverage Indicators - Section D'!$A$1:$A$100,0))*100,2)&amp;"%",""),"")&amp;CHAR(10)&amp;IFERROR(IF(INDEX('Coverage Indicators - Section D'!AK$1:AK$100,MATCH($A370,'Coverage Indicators - Section D'!$A$1:$A$100,0))&lt;&gt;"",INDEX('Coverage Indicators - Section D'!AK$1:AK$100,MATCH($A370,'Coverage Indicators - Section D'!$A$1:$A$100,0)),""),"")</f>
        <v xml:space="preserve">
</v>
      </c>
      <c r="L383" s="86"/>
    </row>
    <row r="384" spans="1:12" ht="18.75" customHeight="1" x14ac:dyDescent="0.25">
      <c r="A384" s="667"/>
      <c r="B384" s="660" t="s">
        <v>176</v>
      </c>
      <c r="C384" s="661"/>
      <c r="D384" s="661"/>
      <c r="E384" s="661"/>
      <c r="F384" s="661"/>
      <c r="G384" s="661"/>
      <c r="H384" s="661"/>
      <c r="I384" s="661"/>
      <c r="J384" s="661"/>
      <c r="K384" s="662"/>
      <c r="L384" s="86"/>
    </row>
    <row r="385" spans="1:12" ht="18.75" customHeight="1" x14ac:dyDescent="0.25">
      <c r="A385" s="667"/>
      <c r="B385" s="669" t="str">
        <f>IFERROR(IF(INDEX('Coverage Indicators - Section D'!AL$1:AL$110,MATCH($A370,'Coverage Indicators - Section D'!$A$1:$A$110,0))&lt;&gt;0,INDEX('Coverage Indicators - Section D'!AL$1:AL$110,MATCH($A370,'Coverage Indicators - Section D'!$A$1:$A$110,0)),""),"")</f>
        <v xml:space="preserve">Numerator: Number of HIV-positive new and relapsed TB patients started on TB treatment during the reporting period who are already on ART or who start on ART during TB treatment. 
Denominator: Number of HIV-positive new and relapsed TB patients registered during the reporting period. The indicator is linked to percentage and absolute numbers will be provided when 
reporting results. </v>
      </c>
      <c r="C385" s="670"/>
      <c r="D385" s="670"/>
      <c r="E385" s="670"/>
      <c r="F385" s="670"/>
      <c r="G385" s="670"/>
      <c r="H385" s="670"/>
      <c r="I385" s="670"/>
      <c r="J385" s="670"/>
      <c r="K385" s="671"/>
      <c r="L385" s="86"/>
    </row>
    <row r="386" spans="1:12" ht="18.75" customHeight="1" x14ac:dyDescent="0.25">
      <c r="A386" s="667"/>
      <c r="B386" s="672"/>
      <c r="C386" s="673"/>
      <c r="D386" s="673"/>
      <c r="E386" s="673"/>
      <c r="F386" s="673"/>
      <c r="G386" s="673"/>
      <c r="H386" s="673"/>
      <c r="I386" s="673"/>
      <c r="J386" s="673"/>
      <c r="K386" s="674"/>
      <c r="L386" s="86"/>
    </row>
    <row r="387" spans="1:12" ht="18.75" customHeight="1" x14ac:dyDescent="0.25">
      <c r="A387" s="667"/>
      <c r="B387" s="672"/>
      <c r="C387" s="673"/>
      <c r="D387" s="673"/>
      <c r="E387" s="673"/>
      <c r="F387" s="673"/>
      <c r="G387" s="673"/>
      <c r="H387" s="673"/>
      <c r="I387" s="673"/>
      <c r="J387" s="673"/>
      <c r="K387" s="674"/>
      <c r="L387" s="86"/>
    </row>
    <row r="388" spans="1:12" ht="18.75" customHeight="1" x14ac:dyDescent="0.25">
      <c r="A388" s="667"/>
      <c r="B388" s="672"/>
      <c r="C388" s="673"/>
      <c r="D388" s="673"/>
      <c r="E388" s="673"/>
      <c r="F388" s="673"/>
      <c r="G388" s="673"/>
      <c r="H388" s="673"/>
      <c r="I388" s="673"/>
      <c r="J388" s="673"/>
      <c r="K388" s="674"/>
      <c r="L388" s="86"/>
    </row>
    <row r="389" spans="1:12" ht="18.75" customHeight="1" x14ac:dyDescent="0.25">
      <c r="A389" s="667"/>
      <c r="B389" s="672"/>
      <c r="C389" s="673"/>
      <c r="D389" s="673"/>
      <c r="E389" s="673"/>
      <c r="F389" s="673"/>
      <c r="G389" s="673"/>
      <c r="H389" s="673"/>
      <c r="I389" s="673"/>
      <c r="J389" s="673"/>
      <c r="K389" s="674"/>
      <c r="L389" s="86"/>
    </row>
    <row r="390" spans="1:12" ht="18.75" customHeight="1" x14ac:dyDescent="0.25">
      <c r="A390" s="667"/>
      <c r="B390" s="672"/>
      <c r="C390" s="673"/>
      <c r="D390" s="673"/>
      <c r="E390" s="673"/>
      <c r="F390" s="673"/>
      <c r="G390" s="673"/>
      <c r="H390" s="673"/>
      <c r="I390" s="673"/>
      <c r="J390" s="673"/>
      <c r="K390" s="674"/>
      <c r="L390" s="86"/>
    </row>
    <row r="391" spans="1:12" ht="18.75" customHeight="1" x14ac:dyDescent="0.25">
      <c r="A391" s="667"/>
      <c r="B391" s="672"/>
      <c r="C391" s="673"/>
      <c r="D391" s="673"/>
      <c r="E391" s="673"/>
      <c r="F391" s="673"/>
      <c r="G391" s="673"/>
      <c r="H391" s="673"/>
      <c r="I391" s="673"/>
      <c r="J391" s="673"/>
      <c r="K391" s="674"/>
      <c r="L391" s="86"/>
    </row>
    <row r="392" spans="1:12" ht="18.75" customHeight="1" x14ac:dyDescent="0.25">
      <c r="A392" s="667"/>
      <c r="B392" s="672"/>
      <c r="C392" s="673"/>
      <c r="D392" s="673"/>
      <c r="E392" s="673"/>
      <c r="F392" s="673"/>
      <c r="G392" s="673"/>
      <c r="H392" s="673"/>
      <c r="I392" s="673"/>
      <c r="J392" s="673"/>
      <c r="K392" s="674"/>
      <c r="L392" s="86"/>
    </row>
    <row r="393" spans="1:12" ht="18.75" customHeight="1" x14ac:dyDescent="0.25">
      <c r="A393" s="667"/>
      <c r="B393" s="672"/>
      <c r="C393" s="673"/>
      <c r="D393" s="673"/>
      <c r="E393" s="673"/>
      <c r="F393" s="673"/>
      <c r="G393" s="673"/>
      <c r="H393" s="673"/>
      <c r="I393" s="673"/>
      <c r="J393" s="673"/>
      <c r="K393" s="674"/>
      <c r="L393" s="86"/>
    </row>
    <row r="394" spans="1:12" ht="18.75" customHeight="1" x14ac:dyDescent="0.25">
      <c r="A394" s="668"/>
      <c r="B394" s="675"/>
      <c r="C394" s="676"/>
      <c r="D394" s="676"/>
      <c r="E394" s="676"/>
      <c r="F394" s="676"/>
      <c r="G394" s="676"/>
      <c r="H394" s="676"/>
      <c r="I394" s="676"/>
      <c r="J394" s="676"/>
      <c r="K394" s="677"/>
      <c r="L394" s="86"/>
    </row>
    <row r="395" spans="1:12" ht="18.75" customHeight="1" x14ac:dyDescent="0.25">
      <c r="A395" s="660"/>
      <c r="B395" s="661"/>
      <c r="C395" s="661"/>
      <c r="D395" s="661"/>
      <c r="E395" s="661"/>
      <c r="F395" s="661"/>
      <c r="G395" s="661"/>
      <c r="H395" s="661"/>
      <c r="I395" s="661"/>
      <c r="J395" s="661"/>
      <c r="K395" s="662"/>
      <c r="L395" s="86"/>
    </row>
    <row r="397" spans="1:12" ht="18.75" customHeight="1" x14ac:dyDescent="0.25">
      <c r="A397" s="93" t="s">
        <v>4383</v>
      </c>
      <c r="B397" s="660" t="s">
        <v>1046</v>
      </c>
      <c r="C397" s="662"/>
      <c r="D397" s="663" t="str">
        <f>IFERROR(IF(INDEX('Coverage Indicators - Section D'!B$1:B$100,MATCH($A398,'Coverage Indicators - Section D'!$A$1:$A$100,0))&lt;&gt;0,INDEX('Coverage Indicators - Section D'!B$1:B$100,MATCH($A398,'Coverage Indicators - Section D'!$A$1:$A$100,0)),""),"")</f>
        <v>Prevention package for people who use drugs (PUD) and their sexual partners</v>
      </c>
      <c r="E397" s="664"/>
      <c r="F397" s="664"/>
      <c r="G397" s="664"/>
      <c r="H397" s="664"/>
      <c r="I397" s="664"/>
      <c r="J397" s="664"/>
      <c r="K397" s="665"/>
      <c r="L397" s="86"/>
    </row>
    <row r="398" spans="1:12" ht="18.75" customHeight="1" x14ac:dyDescent="0.25">
      <c r="A398" s="666">
        <v>15</v>
      </c>
      <c r="B398" s="660" t="s">
        <v>738</v>
      </c>
      <c r="C398" s="661"/>
      <c r="D398" s="661"/>
      <c r="E398" s="661"/>
      <c r="F398" s="662"/>
      <c r="G398" s="660" t="s">
        <v>739</v>
      </c>
      <c r="H398" s="661"/>
      <c r="I398" s="661"/>
      <c r="J398" s="661"/>
      <c r="K398" s="662"/>
      <c r="L398" s="86"/>
    </row>
    <row r="399" spans="1:12" ht="18.75" customHeight="1" x14ac:dyDescent="0.25">
      <c r="A399" s="667"/>
      <c r="B399" s="669" t="str">
        <f>IFERROR(IF(INDEX('Coverage Indicators - Section D'!C$1:C$100,MATCH($A398,'Coverage Indicators - Section D'!$A$1:$A$100,0))&lt;&gt;0,INDEX('Coverage Indicators - Section D'!C$1:C$100,MATCH($A398,'Coverage Indicators - Section D'!$A$1:$A$100,0)),""),"")</f>
        <v>KP-8 Percentage of people who inject drugs receiving opioid substitution therapy</v>
      </c>
      <c r="C399" s="670"/>
      <c r="D399" s="670"/>
      <c r="E399" s="670"/>
      <c r="F399" s="671"/>
      <c r="G399" s="669" t="str">
        <f>IFERROR(IF(INDEX('Coverage Indicators - Section D'!D$1:D$100,MATCH($A398,'Coverage Indicators - Section D'!$A$1:$A$100,0))&lt;&gt;0,INDEX('Coverage Indicators - Section D'!D$1:D$100,MATCH($A398,'Coverage Indicators - Section D'!$A$1:$A$100,0)),""),"")</f>
        <v/>
      </c>
      <c r="H399" s="670"/>
      <c r="I399" s="670"/>
      <c r="J399" s="670"/>
      <c r="K399" s="671"/>
      <c r="L399" s="86"/>
    </row>
    <row r="400" spans="1:12" ht="18.75" customHeight="1" x14ac:dyDescent="0.25">
      <c r="A400" s="667"/>
      <c r="B400" s="672"/>
      <c r="C400" s="673"/>
      <c r="D400" s="673"/>
      <c r="E400" s="673"/>
      <c r="F400" s="674"/>
      <c r="G400" s="672"/>
      <c r="H400" s="673"/>
      <c r="I400" s="673"/>
      <c r="J400" s="673"/>
      <c r="K400" s="674"/>
      <c r="L400" s="86"/>
    </row>
    <row r="401" spans="1:12" ht="18.75" customHeight="1" x14ac:dyDescent="0.25">
      <c r="A401" s="667"/>
      <c r="B401" s="675"/>
      <c r="C401" s="676"/>
      <c r="D401" s="676"/>
      <c r="E401" s="676"/>
      <c r="F401" s="677"/>
      <c r="G401" s="675"/>
      <c r="H401" s="676"/>
      <c r="I401" s="676"/>
      <c r="J401" s="676"/>
      <c r="K401" s="677"/>
      <c r="L401" s="86"/>
    </row>
    <row r="402" spans="1:12" ht="18.75" customHeight="1" x14ac:dyDescent="0.25">
      <c r="A402" s="667"/>
      <c r="B402" s="660" t="s">
        <v>742</v>
      </c>
      <c r="C402" s="661"/>
      <c r="D402" s="662"/>
      <c r="E402" s="660" t="s">
        <v>216</v>
      </c>
      <c r="F402" s="661"/>
      <c r="G402" s="662"/>
      <c r="H402" s="660" t="s">
        <v>127</v>
      </c>
      <c r="I402" s="661"/>
      <c r="J402" s="662"/>
      <c r="K402" s="93" t="s">
        <v>2175</v>
      </c>
      <c r="L402" s="86"/>
    </row>
    <row r="403" spans="1:12" ht="18.75" customHeight="1" x14ac:dyDescent="0.25">
      <c r="A403" s="667"/>
      <c r="B403" s="663" t="str">
        <f>IFERROR(IF(INDEX('Coverage Indicators - Section D'!I$9:I$68,MATCH($A398,'Coverage Indicators - Section D'!$A$9:$A$68,0))&lt;&gt;0,INDEX('Coverage Indicators - Section D'!I$9:I$68,MATCH($A398,'Coverage Indicators - Section D'!$A$9:$A$68,0)),""),"")</f>
        <v>Gender,Age</v>
      </c>
      <c r="C403" s="664"/>
      <c r="D403" s="665"/>
      <c r="E403" s="663" t="str">
        <f>IFERROR(IF(INDEX('Coverage Indicators - Section D'!M$1:M$100,MATCH($A398,'Coverage Indicators - Section D'!$A$1:$A$100,0))&lt;&gt;0,INDEX('Coverage Indicators - Section D'!M$1:M$100,MATCH($A398,'Coverage Indicators - Section D'!$A$1:$A$100,0)),""),"")</f>
        <v/>
      </c>
      <c r="F403" s="664"/>
      <c r="G403" s="665"/>
      <c r="H403" s="663" t="str">
        <f>IFERROR(IF(INDEX('Coverage Indicators - Section D'!L$1:L$100,MATCH($A398,'Coverage Indicators - Section D'!$A$1:$A$100,0))&lt;&gt;0,INDEX('Coverage Indicators - Section D'!L$1:L$100,MATCH($A398,'Coverage Indicators - Section D'!$A$1:$A$100,0)),""),"")</f>
        <v/>
      </c>
      <c r="I403" s="664"/>
      <c r="J403" s="665"/>
      <c r="K403" s="94" t="str">
        <f>IFERROR(IF(INDEX('Coverage Indicators - Section D'!J$1:J$100,MATCH($A398,'Coverage Indicators - Section D'!$A$1:$A$100,0))&lt;&gt;0,INDEX('Coverage Indicators - Section D'!J$1:J$100,MATCH($A398,'Coverage Indicators - Section D'!$A$1:$A$100,0)),""),"")</f>
        <v>Yes</v>
      </c>
      <c r="L403" s="86"/>
    </row>
    <row r="404" spans="1:12" ht="18.75" customHeight="1" x14ac:dyDescent="0.25">
      <c r="A404" s="667"/>
      <c r="B404" s="660" t="s">
        <v>199</v>
      </c>
      <c r="C404" s="661"/>
      <c r="D404" s="662"/>
      <c r="E404" s="660" t="s">
        <v>4392</v>
      </c>
      <c r="F404" s="661"/>
      <c r="G404" s="662"/>
      <c r="H404" s="660" t="s">
        <v>120</v>
      </c>
      <c r="I404" s="661"/>
      <c r="J404" s="661"/>
      <c r="K404" s="662"/>
      <c r="L404" s="86"/>
    </row>
    <row r="405" spans="1:12" ht="18.75" customHeight="1" x14ac:dyDescent="0.25">
      <c r="A405" s="667"/>
      <c r="B405" s="669" t="str">
        <f>IFERROR(IF(INDEX('Coverage Indicators - Section D'!H$1:H$100,MATCH($A398,'Coverage Indicators - Section D'!$A$1:$A$100,0))&lt;&gt;0,INDEX('Coverage Indicators - Section D'!H$1:H$100,MATCH($A398,'Coverage Indicators - Section D'!$A$1:$A$100,0)),""),"")</f>
        <v xml:space="preserve">VCT register, consolidated table on SSES in Excel table </v>
      </c>
      <c r="C405" s="670"/>
      <c r="D405" s="671"/>
      <c r="E405" s="669" t="str">
        <f>IFERROR(IF(INDEX('Coverage Indicators - Section D'!L$1:L$100,MATCH($A398,'Coverage Indicators - Section D'!$A$1:$A$100,0)+1)&lt;&gt;0,INDEX('Coverage Indicators - Section D'!L$1:L$100,MATCH($A398,'Coverage Indicators - Section D'!$A$1:$A$100,0)+1),""),"")</f>
        <v>Geographic National, 100% of national program target</v>
      </c>
      <c r="F405" s="670"/>
      <c r="G405" s="671"/>
      <c r="H405" s="669" t="str">
        <f>IFERROR(IF(AND('Overview - Section A'!AS$1="Grant Making",OR(B399&lt;&gt;"",G399&lt;&gt;"")),Setup!I407,IF(INDEX('Coverage Indicators - Section D'!K$1:K$100,MATCH($A398,'Coverage Indicators - Section D'!$A$1:$A$100,0))&lt;&gt;0,INDEX('Coverage Indicators - Section D'!K$1:K$100,MATCH($A398,'Coverage Indicators - Section D'!$A$1:$A$100,0)),"")),"")</f>
        <v>United Nations Development Programme</v>
      </c>
      <c r="I405" s="670"/>
      <c r="J405" s="670"/>
      <c r="K405" s="671"/>
      <c r="L405" s="86"/>
    </row>
    <row r="406" spans="1:12" ht="18.75" customHeight="1" x14ac:dyDescent="0.25">
      <c r="A406" s="667"/>
      <c r="B406" s="675"/>
      <c r="C406" s="676"/>
      <c r="D406" s="677"/>
      <c r="E406" s="675"/>
      <c r="F406" s="676"/>
      <c r="G406" s="677"/>
      <c r="H406" s="675"/>
      <c r="I406" s="676"/>
      <c r="J406" s="676"/>
      <c r="K406" s="677"/>
      <c r="L406" s="86"/>
    </row>
    <row r="407" spans="1:12" ht="18.75" customHeight="1" x14ac:dyDescent="0.25">
      <c r="A407" s="667"/>
      <c r="B407" s="93"/>
      <c r="C407" s="93" t="s">
        <v>4384</v>
      </c>
      <c r="D407" s="660" t="s">
        <v>4385</v>
      </c>
      <c r="E407" s="661"/>
      <c r="F407" s="661"/>
      <c r="G407" s="661"/>
      <c r="H407" s="661"/>
      <c r="I407" s="661"/>
      <c r="J407" s="661"/>
      <c r="K407" s="662"/>
      <c r="L407" s="86"/>
    </row>
    <row r="408" spans="1:12" ht="18.75" customHeight="1" x14ac:dyDescent="0.25">
      <c r="A408" s="667"/>
      <c r="B408" s="93" t="s">
        <v>2559</v>
      </c>
      <c r="C408" s="94">
        <f>IFERROR(IF(INDEX('Coverage Indicators - Section D'!G$1:G$100,MATCH($A398,'Coverage Indicators - Section D'!$A$1:$A$100,0))&lt;&gt;0,INDEX('Coverage Indicators - Section D'!G$1:G$100,MATCH($A398,'Coverage Indicators - Section D'!$A$1:$A$100,0)),""),"")</f>
        <v>2022</v>
      </c>
      <c r="D408"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408"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408"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408"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408"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408"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408"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408"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408" s="86"/>
    </row>
    <row r="409" spans="1:12" s="97" customFormat="1" ht="18.75" customHeight="1" x14ac:dyDescent="0.25">
      <c r="A409" s="667"/>
      <c r="B409" s="93" t="s">
        <v>4386</v>
      </c>
      <c r="C409" s="95">
        <f>IFERROR(IF(INDEX('Coverage Indicators - Section D'!E$1:E$100,MATCH($A398,'Coverage Indicators - Section D'!$A$1:$A$100,0))&lt;&gt;"",INDEX('Coverage Indicators - Section D'!E$1:E$100,MATCH($A398,'Coverage Indicators - Section D'!$A$1:$A$100,0)),""),"")</f>
        <v>791</v>
      </c>
      <c r="D409" s="95">
        <f>IFERROR(IF(INDEX('Coverage Indicators - Section D'!N$1:N$100,MATCH($A398,'Coverage Indicators - Section D'!$A$1:$A$100,0))&lt;&gt;"",INDEX('Coverage Indicators - Section D'!N$1:N$100,MATCH($A398,'Coverage Indicators - Section D'!$A$1:$A$100,0)),""),"")</f>
        <v>800</v>
      </c>
      <c r="E409" s="95">
        <f>IFERROR(IF(INDEX('Coverage Indicators - Section D'!Q$1:Q$100,MATCH($A398,'Coverage Indicators - Section D'!$A$1:$A$100,0))&lt;&gt;"",INDEX('Coverage Indicators - Section D'!Q$1:Q$100,MATCH($A398,'Coverage Indicators - Section D'!$A$1:$A$100,0)),""),"")</f>
        <v>825</v>
      </c>
      <c r="F409" s="95">
        <f>IFERROR(IF(INDEX('Coverage Indicators - Section D'!T$1:T$100,MATCH($A398,'Coverage Indicators - Section D'!$A$1:$A$100,0))&lt;&gt;"",INDEX('Coverage Indicators - Section D'!T$1:T$100,MATCH($A398,'Coverage Indicators - Section D'!$A$1:$A$100,0)),""),"")</f>
        <v>850</v>
      </c>
      <c r="G409" s="95" t="str">
        <f>IFERROR(IF(INDEX('Coverage Indicators - Section D'!W$1:W$100,MATCH($A398,'Coverage Indicators - Section D'!$A$1:$A$100,0))&lt;&gt;"",INDEX('Coverage Indicators - Section D'!W$1:W$100,MATCH($A398,'Coverage Indicators - Section D'!$A$1:$A$100,0)),""),"")</f>
        <v/>
      </c>
      <c r="H409" s="95" t="str">
        <f>IFERROR(IF(INDEX('Coverage Indicators - Section D'!Z$1:Z$100,MATCH($A398,'Coverage Indicators - Section D'!$A$1:$A$100,0))&lt;&gt;"",INDEX('Coverage Indicators - Section D'!Z$1:Z$100,MATCH($A398,'Coverage Indicators - Section D'!$A$1:$A$100,0)),""),"")</f>
        <v/>
      </c>
      <c r="I409" s="95" t="str">
        <f>IFERROR(IF(INDEX('Coverage Indicators - Section D'!AC$1:AC$100,MATCH($A398,'Coverage Indicators - Section D'!$A$1:$A$100,0))&lt;&gt;"",INDEX('Coverage Indicators - Section D'!AC$1:AC$100,MATCH($A398,'Coverage Indicators - Section D'!$A$1:$A$100,0)),""),"")</f>
        <v/>
      </c>
      <c r="J409" s="95" t="str">
        <f>IFERROR(IF(INDEX('Coverage Indicators - Section D'!AF$1:AF$100,MATCH($A398,'Coverage Indicators - Section D'!$A$1:$A$100,0))&lt;&gt;"",INDEX('Coverage Indicators - Section D'!AF$1:AF$100,MATCH($A398,'Coverage Indicators - Section D'!$A$1:$A$100,0)),""),"")</f>
        <v/>
      </c>
      <c r="K409" s="95" t="str">
        <f>IFERROR(IF(INDEX('Coverage Indicators - Section D'!AI$1:AI$100,MATCH($A398,'Coverage Indicators - Section D'!$A$1:$A$100,0))&lt;&gt;"",INDEX('Coverage Indicators - Section D'!AI$1:AI$100,MATCH($A398,'Coverage Indicators - Section D'!$A$1:$A$100,0)),""),"")</f>
        <v/>
      </c>
      <c r="L409" s="96"/>
    </row>
    <row r="410" spans="1:12" s="100" customFormat="1" ht="18.75" customHeight="1" x14ac:dyDescent="0.25">
      <c r="A410" s="667"/>
      <c r="B410" s="93" t="s">
        <v>4387</v>
      </c>
      <c r="C410" s="98">
        <f>IFERROR(IF(INDEX('Coverage Indicators - Section D'!E$1:E$100,MATCH($A398,'Coverage Indicators - Section D'!$A$1:$A$100,0)+1)&lt;&gt;"",INDEX('Coverage Indicators - Section D'!E$1:E$100,MATCH($A398,'Coverage Indicators - Section D'!$A$1:$A$100,0)+1),""),"")</f>
        <v>16500</v>
      </c>
      <c r="D410" s="98">
        <f>IFERROR(IF(INDEX('Coverage Indicators - Section D'!N$1:N$100,MATCH($A398,'Coverage Indicators - Section D'!$A$1:$A$100,0)+1)&lt;&gt;"",INDEX('Coverage Indicators - Section D'!N$1:N$100,MATCH($A398,'Coverage Indicators - Section D'!$A$1:$A$100,0)+1),""),"")</f>
        <v>16500</v>
      </c>
      <c r="E410" s="98">
        <f>IFERROR(IF(INDEX('Coverage Indicators - Section D'!Q$1:Q$100,MATCH($A398,'Coverage Indicators - Section D'!$A$1:$A$100,0)+1)&lt;&gt;"",INDEX('Coverage Indicators - Section D'!Q$1:Q$100,MATCH($A398,'Coverage Indicators - Section D'!$A$1:$A$100,0)+1),""),"")</f>
        <v>16500</v>
      </c>
      <c r="F410" s="98">
        <f>IFERROR(IF(INDEX('Coverage Indicators - Section D'!T$1:T$100,MATCH($A398,'Coverage Indicators - Section D'!$A$1:$A$100,0)+1)&lt;&gt;"",INDEX('Coverage Indicators - Section D'!T$1:T$100,MATCH($A398,'Coverage Indicators - Section D'!$A$1:$A$100,0)+1),""),"")</f>
        <v>16500</v>
      </c>
      <c r="G410" s="98" t="str">
        <f>IFERROR(IF(INDEX('Coverage Indicators - Section D'!W$1:W$100,MATCH($A398,'Coverage Indicators - Section D'!$A$1:$A$100,0)+1)&lt;&gt;"",INDEX('Coverage Indicators - Section D'!W$1:W$100,MATCH($A398,'Coverage Indicators - Section D'!$A$1:$A$100,0)+1),""),"")</f>
        <v/>
      </c>
      <c r="H410" s="98" t="str">
        <f>IFERROR(IF(INDEX('Coverage Indicators - Section D'!Z$1:Z$100,MATCH($A398,'Coverage Indicators - Section D'!$A$1:$A$100,0)+1)&lt;&gt;"",INDEX('Coverage Indicators - Section D'!Z$1:Z$100,MATCH($A398,'Coverage Indicators - Section D'!$A$1:$A$100,0)+1),""),"")</f>
        <v/>
      </c>
      <c r="I410" s="98" t="str">
        <f>IFERROR(IF(INDEX('Coverage Indicators - Section D'!AC$1:AC$100,MATCH($A398,'Coverage Indicators - Section D'!$A$1:$A$100,0)+1)&lt;&gt;"",INDEX('Coverage Indicators - Section D'!AC$1:AC$100,MATCH($A398,'Coverage Indicators - Section D'!$A$1:$A$100,0)+1),""),"")</f>
        <v/>
      </c>
      <c r="J410" s="98" t="str">
        <f>IFERROR(IF(INDEX('Coverage Indicators - Section D'!AF$1:AF$100,MATCH($A398,'Coverage Indicators - Section D'!$A$1:$A$100,0)+1)&lt;&gt;"",INDEX('Coverage Indicators - Section D'!AF$1:AF$100,MATCH($A398,'Coverage Indicators - Section D'!$A$1:$A$100,0)+1),""),"")</f>
        <v/>
      </c>
      <c r="K410" s="98" t="str">
        <f>IFERROR(IF(INDEX('Coverage Indicators - Section D'!AI$1:AI$100,MATCH($A398,'Coverage Indicators - Section D'!$A$1:$A$100,0)+1)&lt;&gt;"",INDEX('Coverage Indicators - Section D'!AI$1:AI$100,MATCH($A398,'Coverage Indicators - Section D'!$A$1:$A$100,0)+1),""),"")</f>
        <v/>
      </c>
      <c r="L410" s="99"/>
    </row>
    <row r="411" spans="1:12" ht="18.75" customHeight="1" x14ac:dyDescent="0.25">
      <c r="A411" s="667"/>
      <c r="B411" s="93" t="s">
        <v>4388</v>
      </c>
      <c r="C411" s="94" t="str">
        <f ca="1">IFERROR(IF(INDEX('Coverage Indicators - Section D'!F$1:F$100,MATCH($A398,'Coverage Indicators - Section D'!$A$1:$A$100,0))&lt;&gt;"",FIXED(INDEX('Coverage Indicators - Section D'!F$1:F$100,MATCH($A398,'Coverage Indicators - Section D'!$A$1:$A$100,0))*100,2)&amp;"%",""),"")</f>
        <v>4,79%</v>
      </c>
      <c r="D411" s="94" t="str">
        <f ca="1">IFERROR(IF(INDEX('Coverage Indicators - Section D'!O$1:O$100,MATCH($A398,'Coverage Indicators - Section D'!$A$1:$A$100,0))&lt;&gt;"",FIXED(INDEX('Coverage Indicators - Section D'!O$1:O$100,MATCH($A398,'Coverage Indicators - Section D'!$A$1:$A$100,0))*100,2)&amp;"%",""),"")&amp;CHAR(10)&amp;IFERROR(IF(INDEX('Coverage Indicators - Section D'!P$1:P$100,MATCH($A398,'Coverage Indicators - Section D'!$A$1:$A$100,0))&lt;&gt;"",INDEX('Coverage Indicators - Section D'!P$1:P$100,MATCH($A398,'Coverage Indicators - Section D'!$A$1:$A$100,0)),""),"")</f>
        <v xml:space="preserve">4,85%
</v>
      </c>
      <c r="E411" s="94" t="str">
        <f ca="1">IFERROR(IF(INDEX('Coverage Indicators - Section D'!R$1:R$100,MATCH($A398,'Coverage Indicators - Section D'!$A$1:$A$100,0))&lt;&gt;"",FIXED(INDEX('Coverage Indicators - Section D'!R$1:R$100,MATCH($A398,'Coverage Indicators - Section D'!$A$1:$A$100,0))*100,2)&amp;"%",""),"")&amp;CHAR(10)&amp;IFERROR(IF(INDEX('Coverage Indicators - Section D'!S$1:S$100,MATCH($A398,'Coverage Indicators - Section D'!$A$1:$A$100,0))&lt;&gt;"",INDEX('Coverage Indicators - Section D'!S$1:S$100,MATCH($A398,'Coverage Indicators - Section D'!$A$1:$A$100,0)),""),"")</f>
        <v xml:space="preserve">5,00%
</v>
      </c>
      <c r="F411" s="94" t="str">
        <f ca="1">IFERROR(IF(INDEX('Coverage Indicators - Section D'!U$1:U$100,MATCH($A398,'Coverage Indicators - Section D'!$A$1:$A$100,0))&lt;&gt;"",FIXED(INDEX('Coverage Indicators - Section D'!U$1:U$100,MATCH($A398,'Coverage Indicators - Section D'!$A$1:$A$100,0))*100,2)&amp;"%",""),"")&amp;CHAR(10)&amp;IFERROR(IF(INDEX('Coverage Indicators - Section D'!V$1:V$100,MATCH($A398,'Coverage Indicators - Section D'!$A$1:$A$100,0))&lt;&gt;"",INDEX('Coverage Indicators - Section D'!V$1:V$100,MATCH($A398,'Coverage Indicators - Section D'!$A$1:$A$100,0)),""),"")</f>
        <v xml:space="preserve">5,15%
</v>
      </c>
      <c r="G411" s="94" t="str">
        <f ca="1">IFERROR(IF(INDEX('Coverage Indicators - Section D'!X$1:X$100,MATCH($A398,'Coverage Indicators - Section D'!$A$1:$A$100,0))&lt;&gt;"",FIXED(INDEX('Coverage Indicators - Section D'!X$1:X$100,MATCH($A398,'Coverage Indicators - Section D'!$A$1:$A$100,0))*100,2)&amp;"%",""),"")&amp;CHAR(10)&amp;IFERROR(IF(INDEX('Coverage Indicators - Section D'!Y$1:Y$100,MATCH($A398,'Coverage Indicators - Section D'!$A$1:$A$100,0))&lt;&gt;"",INDEX('Coverage Indicators - Section D'!Y$1:Y$100,MATCH($A398,'Coverage Indicators - Section D'!$A$1:$A$100,0)),""),"")</f>
        <v xml:space="preserve">
</v>
      </c>
      <c r="H411" s="94" t="str">
        <f ca="1">IFERROR(IF(INDEX('Coverage Indicators - Section D'!AA$1:AA$100,MATCH(A398,'Coverage Indicators - Section D'!$A$1:$A$100,0))&lt;&gt;"",FIXED(INDEX('Coverage Indicators - Section D'!AA$1:AA$100,MATCH($A398,'Coverage Indicators - Section D'!$A$1:$A$100,0))*100,2)&amp;"%",""),"")&amp;CHAR(10)&amp;IFERROR(IF(INDEX('Coverage Indicators - Section D'!AB$1:AB$100,MATCH($A398,'Coverage Indicators - Section D'!$A$1:$A$100,0))&lt;&gt;"",INDEX('Coverage Indicators - Section D'!AB$1:AB$100,MATCH($A398,'Coverage Indicators - Section D'!$A$1:$A$100,0)),""),"")</f>
        <v xml:space="preserve">
</v>
      </c>
      <c r="I411" s="94" t="str">
        <f ca="1">IFERROR(IF(INDEX('Coverage Indicators - Section D'!AD$1:AD$100,MATCH($A398,'Coverage Indicators - Section D'!$A$1:$A$100,0))&lt;&gt;"",FIXED(INDEX('Coverage Indicators - Section D'!AD$1:AD$100,MATCH($A398,'Coverage Indicators - Section D'!$A$1:$A$100,0))*100,2)&amp;"%",""),"")&amp;CHAR(10)&amp;IFERROR(IF(INDEX('Coverage Indicators - Section D'!AE$1:AE$100,MATCH($A398,'Coverage Indicators - Section D'!$A$1:$A$100,0))&lt;&gt;"",INDEX('Coverage Indicators - Section D'!AE$1:AE$100,MATCH($A398,'Coverage Indicators - Section D'!$A$1:$A$100,0)),""),"")</f>
        <v xml:space="preserve">
</v>
      </c>
      <c r="J411" s="94" t="str">
        <f ca="1">IFERROR(IF(INDEX('Coverage Indicators - Section D'!AG$1:AG$100,MATCH($A398,'Coverage Indicators - Section D'!$A$1:$A$100,0))&lt;&gt;"",FIXED(INDEX('Coverage Indicators - Section D'!AG$1:AG$100,MATCH($A398,'Coverage Indicators - Section D'!$A$1:$A$100,0))*100,2)&amp;"%",""),"")&amp;CHAR(10)&amp;IFERROR(IF(INDEX('Coverage Indicators - Section D'!AH$1:AH$100,MATCH($A398,'Coverage Indicators - Section D'!$A$1:$A$100,0))&lt;&gt;"",INDEX('Coverage Indicators - Section D'!AH$1:AH$100,MATCH($A398,'Coverage Indicators - Section D'!$A$1:$A$100,0)),""),"")</f>
        <v xml:space="preserve">
</v>
      </c>
      <c r="K411" s="94" t="str">
        <f ca="1">IFERROR(IF(INDEX('Coverage Indicators - Section D'!AJ$1:AJ$100,MATCH($A398,'Coverage Indicators - Section D'!$A$1:$A$100,0))&lt;&gt;"",FIXED(INDEX('Coverage Indicators - Section D'!AJ$1:AJ$100,MATCH($A398,'Coverage Indicators - Section D'!$A$1:$A$100,0))*100,2)&amp;"%",""),"")&amp;CHAR(10)&amp;IFERROR(IF(INDEX('Coverage Indicators - Section D'!AK$1:AK$100,MATCH($A398,'Coverage Indicators - Section D'!$A$1:$A$100,0))&lt;&gt;"",INDEX('Coverage Indicators - Section D'!AK$1:AK$100,MATCH($A398,'Coverage Indicators - Section D'!$A$1:$A$100,0)),""),"")</f>
        <v xml:space="preserve">
</v>
      </c>
      <c r="L411" s="86"/>
    </row>
    <row r="412" spans="1:12" ht="18.75" customHeight="1" x14ac:dyDescent="0.25">
      <c r="A412" s="667"/>
      <c r="B412" s="660" t="s">
        <v>176</v>
      </c>
      <c r="C412" s="661"/>
      <c r="D412" s="661"/>
      <c r="E412" s="661"/>
      <c r="F412" s="661"/>
      <c r="G412" s="661"/>
      <c r="H412" s="661"/>
      <c r="I412" s="661"/>
      <c r="J412" s="661"/>
      <c r="K412" s="662"/>
      <c r="L412" s="86"/>
    </row>
    <row r="413" spans="1:12" ht="18.75" customHeight="1" x14ac:dyDescent="0.25">
      <c r="A413" s="667"/>
      <c r="B413" s="669" t="str">
        <f>IFERROR(IF(INDEX('Coverage Indicators - Section D'!AL$1:AL$110,MATCH($A398,'Coverage Indicators - Section D'!$A$1:$A$110,0))&lt;&gt;0,INDEX('Coverage Indicators - Section D'!AL$1:AL$110,MATCH($A398,'Coverage Indicators - Section D'!$A$1:$A$110,0)),""),"")</f>
        <v xml:space="preserve">Numerator: Number of people who inject drugs and are receiving opioid substitution therapy at a specified date                                                     Denominator: Estimated number of opioid-dependent people who inject drugs in the targeted area.                                                                      About 5% of PWID in the country are in the OST program each year. Given that the drug scene in the country is changing and new substance users are emerging, the number of OST participants is decreasing from year to year. The results for 2022 are taken as a baseline. </v>
      </c>
      <c r="C413" s="670"/>
      <c r="D413" s="670"/>
      <c r="E413" s="670"/>
      <c r="F413" s="670"/>
      <c r="G413" s="670"/>
      <c r="H413" s="670"/>
      <c r="I413" s="670"/>
      <c r="J413" s="670"/>
      <c r="K413" s="671"/>
      <c r="L413" s="86"/>
    </row>
    <row r="414" spans="1:12" ht="18.75" customHeight="1" x14ac:dyDescent="0.25">
      <c r="A414" s="667"/>
      <c r="B414" s="672"/>
      <c r="C414" s="673"/>
      <c r="D414" s="673"/>
      <c r="E414" s="673"/>
      <c r="F414" s="673"/>
      <c r="G414" s="673"/>
      <c r="H414" s="673"/>
      <c r="I414" s="673"/>
      <c r="J414" s="673"/>
      <c r="K414" s="674"/>
      <c r="L414" s="86"/>
    </row>
    <row r="415" spans="1:12" ht="18.75" customHeight="1" x14ac:dyDescent="0.25">
      <c r="A415" s="667"/>
      <c r="B415" s="672"/>
      <c r="C415" s="673"/>
      <c r="D415" s="673"/>
      <c r="E415" s="673"/>
      <c r="F415" s="673"/>
      <c r="G415" s="673"/>
      <c r="H415" s="673"/>
      <c r="I415" s="673"/>
      <c r="J415" s="673"/>
      <c r="K415" s="674"/>
      <c r="L415" s="86"/>
    </row>
    <row r="416" spans="1:12" ht="18.75" customHeight="1" x14ac:dyDescent="0.25">
      <c r="A416" s="667"/>
      <c r="B416" s="672"/>
      <c r="C416" s="673"/>
      <c r="D416" s="673"/>
      <c r="E416" s="673"/>
      <c r="F416" s="673"/>
      <c r="G416" s="673"/>
      <c r="H416" s="673"/>
      <c r="I416" s="673"/>
      <c r="J416" s="673"/>
      <c r="K416" s="674"/>
      <c r="L416" s="86"/>
    </row>
    <row r="417" spans="1:12" ht="18.75" customHeight="1" x14ac:dyDescent="0.25">
      <c r="A417" s="667"/>
      <c r="B417" s="672"/>
      <c r="C417" s="673"/>
      <c r="D417" s="673"/>
      <c r="E417" s="673"/>
      <c r="F417" s="673"/>
      <c r="G417" s="673"/>
      <c r="H417" s="673"/>
      <c r="I417" s="673"/>
      <c r="J417" s="673"/>
      <c r="K417" s="674"/>
      <c r="L417" s="86"/>
    </row>
    <row r="418" spans="1:12" ht="18.75" customHeight="1" x14ac:dyDescent="0.25">
      <c r="A418" s="667"/>
      <c r="B418" s="672"/>
      <c r="C418" s="673"/>
      <c r="D418" s="673"/>
      <c r="E418" s="673"/>
      <c r="F418" s="673"/>
      <c r="G418" s="673"/>
      <c r="H418" s="673"/>
      <c r="I418" s="673"/>
      <c r="J418" s="673"/>
      <c r="K418" s="674"/>
      <c r="L418" s="86"/>
    </row>
    <row r="419" spans="1:12" ht="18.75" customHeight="1" x14ac:dyDescent="0.25">
      <c r="A419" s="667"/>
      <c r="B419" s="672"/>
      <c r="C419" s="673"/>
      <c r="D419" s="673"/>
      <c r="E419" s="673"/>
      <c r="F419" s="673"/>
      <c r="G419" s="673"/>
      <c r="H419" s="673"/>
      <c r="I419" s="673"/>
      <c r="J419" s="673"/>
      <c r="K419" s="674"/>
      <c r="L419" s="86"/>
    </row>
    <row r="420" spans="1:12" ht="18.75" customHeight="1" x14ac:dyDescent="0.25">
      <c r="A420" s="667"/>
      <c r="B420" s="672"/>
      <c r="C420" s="673"/>
      <c r="D420" s="673"/>
      <c r="E420" s="673"/>
      <c r="F420" s="673"/>
      <c r="G420" s="673"/>
      <c r="H420" s="673"/>
      <c r="I420" s="673"/>
      <c r="J420" s="673"/>
      <c r="K420" s="674"/>
      <c r="L420" s="86"/>
    </row>
    <row r="421" spans="1:12" ht="18.75" customHeight="1" x14ac:dyDescent="0.25">
      <c r="A421" s="667"/>
      <c r="B421" s="672"/>
      <c r="C421" s="673"/>
      <c r="D421" s="673"/>
      <c r="E421" s="673"/>
      <c r="F421" s="673"/>
      <c r="G421" s="673"/>
      <c r="H421" s="673"/>
      <c r="I421" s="673"/>
      <c r="J421" s="673"/>
      <c r="K421" s="674"/>
      <c r="L421" s="86"/>
    </row>
    <row r="422" spans="1:12" ht="18.75" customHeight="1" x14ac:dyDescent="0.25">
      <c r="A422" s="668"/>
      <c r="B422" s="675"/>
      <c r="C422" s="676"/>
      <c r="D422" s="676"/>
      <c r="E422" s="676"/>
      <c r="F422" s="676"/>
      <c r="G422" s="676"/>
      <c r="H422" s="676"/>
      <c r="I422" s="676"/>
      <c r="J422" s="676"/>
      <c r="K422" s="677"/>
      <c r="L422" s="86"/>
    </row>
    <row r="423" spans="1:12" ht="18.75" customHeight="1" x14ac:dyDescent="0.25">
      <c r="A423" s="660"/>
      <c r="B423" s="661"/>
      <c r="C423" s="661"/>
      <c r="D423" s="661"/>
      <c r="E423" s="661"/>
      <c r="F423" s="661"/>
      <c r="G423" s="661"/>
      <c r="H423" s="661"/>
      <c r="I423" s="661"/>
      <c r="J423" s="661"/>
      <c r="K423" s="662"/>
      <c r="L423" s="86"/>
    </row>
    <row r="425" spans="1:12" ht="18.75" customHeight="1" x14ac:dyDescent="0.25">
      <c r="A425" s="93" t="s">
        <v>4383</v>
      </c>
      <c r="B425" s="660" t="s">
        <v>1046</v>
      </c>
      <c r="C425" s="662"/>
      <c r="D425" s="663" t="str">
        <f>IFERROR(IF(INDEX('Coverage Indicators - Section D'!B$1:B$100,MATCH($A426,'Coverage Indicators - Section D'!$A$1:$A$100,0))&lt;&gt;0,INDEX('Coverage Indicators - Section D'!B$1:B$100,MATCH($A426,'Coverage Indicators - Section D'!$A$1:$A$100,0)),""),"")</f>
        <v>Differentiated HIV Testing Services</v>
      </c>
      <c r="E425" s="664"/>
      <c r="F425" s="664"/>
      <c r="G425" s="664"/>
      <c r="H425" s="664"/>
      <c r="I425" s="664"/>
      <c r="J425" s="664"/>
      <c r="K425" s="665"/>
      <c r="L425" s="86"/>
    </row>
    <row r="426" spans="1:12" ht="18.75" customHeight="1" x14ac:dyDescent="0.25">
      <c r="A426" s="666">
        <v>16</v>
      </c>
      <c r="B426" s="660" t="s">
        <v>738</v>
      </c>
      <c r="C426" s="661"/>
      <c r="D426" s="661"/>
      <c r="E426" s="661"/>
      <c r="F426" s="662"/>
      <c r="G426" s="660" t="s">
        <v>739</v>
      </c>
      <c r="H426" s="661"/>
      <c r="I426" s="661"/>
      <c r="J426" s="661"/>
      <c r="K426" s="662"/>
      <c r="L426" s="86"/>
    </row>
    <row r="427" spans="1:12" ht="18.75" customHeight="1" x14ac:dyDescent="0.25">
      <c r="A427" s="667"/>
      <c r="B427" s="669" t="str">
        <f>IFERROR(IF(INDEX('Coverage Indicators - Section D'!C$1:C$100,MATCH($A426,'Coverage Indicators - Section D'!$A$1:$A$100,0))&lt;&gt;0,INDEX('Coverage Indicators - Section D'!C$1:C$100,MATCH($A426,'Coverage Indicators - Section D'!$A$1:$A$100,0)),""),"")</f>
        <v>HTS-5 Percentage of people newly diagnosed with HIV initiated on ART</v>
      </c>
      <c r="C427" s="670"/>
      <c r="D427" s="670"/>
      <c r="E427" s="670"/>
      <c r="F427" s="671"/>
      <c r="G427" s="669" t="str">
        <f>IFERROR(IF(INDEX('Coverage Indicators - Section D'!D$1:D$100,MATCH($A426,'Coverage Indicators - Section D'!$A$1:$A$100,0))&lt;&gt;0,INDEX('Coverage Indicators - Section D'!D$1:D$100,MATCH($A426,'Coverage Indicators - Section D'!$A$1:$A$100,0)),""),"")</f>
        <v/>
      </c>
      <c r="H427" s="670"/>
      <c r="I427" s="670"/>
      <c r="J427" s="670"/>
      <c r="K427" s="671"/>
      <c r="L427" s="86"/>
    </row>
    <row r="428" spans="1:12" ht="18.75" customHeight="1" x14ac:dyDescent="0.25">
      <c r="A428" s="667"/>
      <c r="B428" s="672"/>
      <c r="C428" s="673"/>
      <c r="D428" s="673"/>
      <c r="E428" s="673"/>
      <c r="F428" s="674"/>
      <c r="G428" s="672"/>
      <c r="H428" s="673"/>
      <c r="I428" s="673"/>
      <c r="J428" s="673"/>
      <c r="K428" s="674"/>
      <c r="L428" s="86"/>
    </row>
    <row r="429" spans="1:12" ht="18.75" customHeight="1" x14ac:dyDescent="0.25">
      <c r="A429" s="667"/>
      <c r="B429" s="675"/>
      <c r="C429" s="676"/>
      <c r="D429" s="676"/>
      <c r="E429" s="676"/>
      <c r="F429" s="677"/>
      <c r="G429" s="675"/>
      <c r="H429" s="676"/>
      <c r="I429" s="676"/>
      <c r="J429" s="676"/>
      <c r="K429" s="677"/>
      <c r="L429" s="86"/>
    </row>
    <row r="430" spans="1:12" ht="18.75" customHeight="1" x14ac:dyDescent="0.25">
      <c r="A430" s="667"/>
      <c r="B430" s="660" t="s">
        <v>742</v>
      </c>
      <c r="C430" s="661"/>
      <c r="D430" s="662"/>
      <c r="E430" s="660" t="s">
        <v>216</v>
      </c>
      <c r="F430" s="661"/>
      <c r="G430" s="662"/>
      <c r="H430" s="660" t="s">
        <v>127</v>
      </c>
      <c r="I430" s="661"/>
      <c r="J430" s="662"/>
      <c r="K430" s="93" t="s">
        <v>2175</v>
      </c>
      <c r="L430" s="86"/>
    </row>
    <row r="431" spans="1:12" ht="18.75" customHeight="1" x14ac:dyDescent="0.25">
      <c r="A431" s="667"/>
      <c r="B431" s="663" t="str">
        <f>IFERROR(IF(INDEX('Coverage Indicators - Section D'!I$9:I$68,MATCH($A426,'Coverage Indicators - Section D'!$A$9:$A$68,0))&lt;&gt;0,INDEX('Coverage Indicators - Section D'!I$9:I$68,MATCH($A426,'Coverage Indicators - Section D'!$A$9:$A$68,0)),""),"")</f>
        <v>Gender | Age,Age</v>
      </c>
      <c r="C431" s="664"/>
      <c r="D431" s="665"/>
      <c r="E431" s="663" t="str">
        <f>IFERROR(IF(INDEX('Coverage Indicators - Section D'!M$1:M$100,MATCH($A426,'Coverage Indicators - Section D'!$A$1:$A$100,0))&lt;&gt;0,INDEX('Coverage Indicators - Section D'!M$1:M$100,MATCH($A426,'Coverage Indicators - Section D'!$A$1:$A$100,0)),""),"")</f>
        <v/>
      </c>
      <c r="F431" s="664"/>
      <c r="G431" s="665"/>
      <c r="H431" s="663" t="str">
        <f>IFERROR(IF(INDEX('Coverage Indicators - Section D'!L$1:L$100,MATCH($A426,'Coverage Indicators - Section D'!$A$1:$A$100,0))&lt;&gt;0,INDEX('Coverage Indicators - Section D'!L$1:L$100,MATCH($A426,'Coverage Indicators - Section D'!$A$1:$A$100,0)),""),"")</f>
        <v/>
      </c>
      <c r="I431" s="664"/>
      <c r="J431" s="665"/>
      <c r="K431" s="94" t="str">
        <f>IFERROR(IF(INDEX('Coverage Indicators - Section D'!J$1:J$100,MATCH($A426,'Coverage Indicators - Section D'!$A$1:$A$100,0))&lt;&gt;0,INDEX('Coverage Indicators - Section D'!J$1:J$100,MATCH($A426,'Coverage Indicators - Section D'!$A$1:$A$100,0)),""),"")</f>
        <v>Yes</v>
      </c>
      <c r="L431" s="86"/>
    </row>
    <row r="432" spans="1:12" ht="18.75" customHeight="1" x14ac:dyDescent="0.25">
      <c r="A432" s="667"/>
      <c r="B432" s="660" t="s">
        <v>199</v>
      </c>
      <c r="C432" s="661"/>
      <c r="D432" s="662"/>
      <c r="E432" s="660" t="s">
        <v>4392</v>
      </c>
      <c r="F432" s="661"/>
      <c r="G432" s="662"/>
      <c r="H432" s="660" t="s">
        <v>120</v>
      </c>
      <c r="I432" s="661"/>
      <c r="J432" s="661"/>
      <c r="K432" s="662"/>
      <c r="L432" s="86"/>
    </row>
    <row r="433" spans="1:12" ht="18.75" customHeight="1" x14ac:dyDescent="0.25">
      <c r="A433" s="667"/>
      <c r="B433" s="669" t="str">
        <f>IFERROR(IF(INDEX('Coverage Indicators - Section D'!H$1:H$100,MATCH($A426,'Coverage Indicators - Section D'!$A$1:$A$100,0))&lt;&gt;0,INDEX('Coverage Indicators - Section D'!H$1:H$100,MATCH($A426,'Coverage Indicators - Section D'!$A$1:$A$100,0)),""),"")</f>
        <v>Electronic HIV Case Tracking System and RCHV&amp;HIV report
and data from UNAIDS (Estimated Number on PLHIV)</v>
      </c>
      <c r="C433" s="670"/>
      <c r="D433" s="671"/>
      <c r="E433" s="669" t="str">
        <f>IFERROR(IF(INDEX('Coverage Indicators - Section D'!L$1:L$100,MATCH($A426,'Coverage Indicators - Section D'!$A$1:$A$100,0)+1)&lt;&gt;0,INDEX('Coverage Indicators - Section D'!L$1:L$100,MATCH($A426,'Coverage Indicators - Section D'!$A$1:$A$100,0)+1),""),"")</f>
        <v>Geographic National, 100% of national program target</v>
      </c>
      <c r="F433" s="670"/>
      <c r="G433" s="671"/>
      <c r="H433" s="669" t="str">
        <f>IFERROR(IF(AND('Overview - Section A'!AS$1="Grant Making",OR(B427&lt;&gt;"",G427&lt;&gt;"")),Setup!I435,IF(INDEX('Coverage Indicators - Section D'!K$1:K$100,MATCH($A426,'Coverage Indicators - Section D'!$A$1:$A$100,0))&lt;&gt;0,INDEX('Coverage Indicators - Section D'!K$1:K$100,MATCH($A426,'Coverage Indicators - Section D'!$A$1:$A$100,0)),"")),"")</f>
        <v>United Nations Development Programme</v>
      </c>
      <c r="I433" s="670"/>
      <c r="J433" s="670"/>
      <c r="K433" s="671"/>
      <c r="L433" s="86"/>
    </row>
    <row r="434" spans="1:12" ht="18.75" customHeight="1" x14ac:dyDescent="0.25">
      <c r="A434" s="667"/>
      <c r="B434" s="675"/>
      <c r="C434" s="676"/>
      <c r="D434" s="677"/>
      <c r="E434" s="675"/>
      <c r="F434" s="676"/>
      <c r="G434" s="677"/>
      <c r="H434" s="675"/>
      <c r="I434" s="676"/>
      <c r="J434" s="676"/>
      <c r="K434" s="677"/>
      <c r="L434" s="86"/>
    </row>
    <row r="435" spans="1:12" ht="18.75" customHeight="1" x14ac:dyDescent="0.25">
      <c r="A435" s="667"/>
      <c r="B435" s="93"/>
      <c r="C435" s="93" t="s">
        <v>4384</v>
      </c>
      <c r="D435" s="660" t="s">
        <v>4385</v>
      </c>
      <c r="E435" s="661"/>
      <c r="F435" s="661"/>
      <c r="G435" s="661"/>
      <c r="H435" s="661"/>
      <c r="I435" s="661"/>
      <c r="J435" s="661"/>
      <c r="K435" s="662"/>
      <c r="L435" s="86"/>
    </row>
    <row r="436" spans="1:12" ht="18.75" customHeight="1" x14ac:dyDescent="0.25">
      <c r="A436" s="667"/>
      <c r="B436" s="93" t="s">
        <v>2559</v>
      </c>
      <c r="C436" s="94">
        <f>IFERROR(IF(INDEX('Coverage Indicators - Section D'!G$1:G$100,MATCH($A426,'Coverage Indicators - Section D'!$A$1:$A$100,0))&lt;&gt;0,INDEX('Coverage Indicators - Section D'!G$1:G$100,MATCH($A426,'Coverage Indicators - Section D'!$A$1:$A$100,0)),""),"")</f>
        <v>2022</v>
      </c>
      <c r="D436"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436"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436"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436"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436"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436"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436"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436"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436" s="86"/>
    </row>
    <row r="437" spans="1:12" s="97" customFormat="1" ht="18.75" customHeight="1" x14ac:dyDescent="0.25">
      <c r="A437" s="667"/>
      <c r="B437" s="93" t="s">
        <v>4386</v>
      </c>
      <c r="C437" s="95">
        <f>IFERROR(IF(INDEX('Coverage Indicators - Section D'!E$1:E$100,MATCH($A426,'Coverage Indicators - Section D'!$A$1:$A$100,0))&lt;&gt;"",INDEX('Coverage Indicators - Section D'!E$1:E$100,MATCH($A426,'Coverage Indicators - Section D'!$A$1:$A$100,0)),""),"")</f>
        <v>894</v>
      </c>
      <c r="D437" s="95" t="str">
        <f>IFERROR(IF(INDEX('Coverage Indicators - Section D'!N$1:N$100,MATCH($A426,'Coverage Indicators - Section D'!$A$1:$A$100,0))&lt;&gt;"",INDEX('Coverage Indicators - Section D'!N$1:N$100,MATCH($A426,'Coverage Indicators - Section D'!$A$1:$A$100,0)),""),"")</f>
        <v/>
      </c>
      <c r="E437" s="95" t="str">
        <f>IFERROR(IF(INDEX('Coverage Indicators - Section D'!Q$1:Q$100,MATCH($A426,'Coverage Indicators - Section D'!$A$1:$A$100,0))&lt;&gt;"",INDEX('Coverage Indicators - Section D'!Q$1:Q$100,MATCH($A426,'Coverage Indicators - Section D'!$A$1:$A$100,0)),""),"")</f>
        <v/>
      </c>
      <c r="F437" s="95" t="str">
        <f>IFERROR(IF(INDEX('Coverage Indicators - Section D'!T$1:T$100,MATCH($A426,'Coverage Indicators - Section D'!$A$1:$A$100,0))&lt;&gt;"",INDEX('Coverage Indicators - Section D'!T$1:T$100,MATCH($A426,'Coverage Indicators - Section D'!$A$1:$A$100,0)),""),"")</f>
        <v/>
      </c>
      <c r="G437" s="95" t="str">
        <f>IFERROR(IF(INDEX('Coverage Indicators - Section D'!W$1:W$100,MATCH($A426,'Coverage Indicators - Section D'!$A$1:$A$100,0))&lt;&gt;"",INDEX('Coverage Indicators - Section D'!W$1:W$100,MATCH($A426,'Coverage Indicators - Section D'!$A$1:$A$100,0)),""),"")</f>
        <v/>
      </c>
      <c r="H437" s="95" t="str">
        <f>IFERROR(IF(INDEX('Coverage Indicators - Section D'!Z$1:Z$100,MATCH($A426,'Coverage Indicators - Section D'!$A$1:$A$100,0))&lt;&gt;"",INDEX('Coverage Indicators - Section D'!Z$1:Z$100,MATCH($A426,'Coverage Indicators - Section D'!$A$1:$A$100,0)),""),"")</f>
        <v/>
      </c>
      <c r="I437" s="95" t="str">
        <f>IFERROR(IF(INDEX('Coverage Indicators - Section D'!AC$1:AC$100,MATCH($A426,'Coverage Indicators - Section D'!$A$1:$A$100,0))&lt;&gt;"",INDEX('Coverage Indicators - Section D'!AC$1:AC$100,MATCH($A426,'Coverage Indicators - Section D'!$A$1:$A$100,0)),""),"")</f>
        <v/>
      </c>
      <c r="J437" s="95" t="str">
        <f>IFERROR(IF(INDEX('Coverage Indicators - Section D'!AF$1:AF$100,MATCH($A426,'Coverage Indicators - Section D'!$A$1:$A$100,0))&lt;&gt;"",INDEX('Coverage Indicators - Section D'!AF$1:AF$100,MATCH($A426,'Coverage Indicators - Section D'!$A$1:$A$100,0)),""),"")</f>
        <v/>
      </c>
      <c r="K437" s="95" t="str">
        <f>IFERROR(IF(INDEX('Coverage Indicators - Section D'!AI$1:AI$100,MATCH($A426,'Coverage Indicators - Section D'!$A$1:$A$100,0))&lt;&gt;"",INDEX('Coverage Indicators - Section D'!AI$1:AI$100,MATCH($A426,'Coverage Indicators - Section D'!$A$1:$A$100,0)),""),"")</f>
        <v/>
      </c>
      <c r="L437" s="96"/>
    </row>
    <row r="438" spans="1:12" s="100" customFormat="1" ht="18.75" customHeight="1" x14ac:dyDescent="0.25">
      <c r="A438" s="667"/>
      <c r="B438" s="93" t="s">
        <v>4387</v>
      </c>
      <c r="C438" s="98">
        <f>IFERROR(IF(INDEX('Coverage Indicators - Section D'!E$1:E$100,MATCH($A426,'Coverage Indicators - Section D'!$A$1:$A$100,0)+1)&lt;&gt;"",INDEX('Coverage Indicators - Section D'!E$1:E$100,MATCH($A426,'Coverage Indicators - Section D'!$A$1:$A$100,0)+1),""),"")</f>
        <v>971</v>
      </c>
      <c r="D438" s="98" t="str">
        <f>IFERROR(IF(INDEX('Coverage Indicators - Section D'!N$1:N$100,MATCH($A426,'Coverage Indicators - Section D'!$A$1:$A$100,0)+1)&lt;&gt;"",INDEX('Coverage Indicators - Section D'!N$1:N$100,MATCH($A426,'Coverage Indicators - Section D'!$A$1:$A$100,0)+1),""),"")</f>
        <v/>
      </c>
      <c r="E438" s="98" t="str">
        <f>IFERROR(IF(INDEX('Coverage Indicators - Section D'!Q$1:Q$100,MATCH($A426,'Coverage Indicators - Section D'!$A$1:$A$100,0)+1)&lt;&gt;"",INDEX('Coverage Indicators - Section D'!Q$1:Q$100,MATCH($A426,'Coverage Indicators - Section D'!$A$1:$A$100,0)+1),""),"")</f>
        <v/>
      </c>
      <c r="F438" s="98" t="str">
        <f>IFERROR(IF(INDEX('Coverage Indicators - Section D'!T$1:T$100,MATCH($A426,'Coverage Indicators - Section D'!$A$1:$A$100,0)+1)&lt;&gt;"",INDEX('Coverage Indicators - Section D'!T$1:T$100,MATCH($A426,'Coverage Indicators - Section D'!$A$1:$A$100,0)+1),""),"")</f>
        <v/>
      </c>
      <c r="G438" s="98" t="str">
        <f>IFERROR(IF(INDEX('Coverage Indicators - Section D'!W$1:W$100,MATCH($A426,'Coverage Indicators - Section D'!$A$1:$A$100,0)+1)&lt;&gt;"",INDEX('Coverage Indicators - Section D'!W$1:W$100,MATCH($A426,'Coverage Indicators - Section D'!$A$1:$A$100,0)+1),""),"")</f>
        <v/>
      </c>
      <c r="H438" s="98" t="str">
        <f>IFERROR(IF(INDEX('Coverage Indicators - Section D'!Z$1:Z$100,MATCH($A426,'Coverage Indicators - Section D'!$A$1:$A$100,0)+1)&lt;&gt;"",INDEX('Coverage Indicators - Section D'!Z$1:Z$100,MATCH($A426,'Coverage Indicators - Section D'!$A$1:$A$100,0)+1),""),"")</f>
        <v/>
      </c>
      <c r="I438" s="98" t="str">
        <f>IFERROR(IF(INDEX('Coverage Indicators - Section D'!AC$1:AC$100,MATCH($A426,'Coverage Indicators - Section D'!$A$1:$A$100,0)+1)&lt;&gt;"",INDEX('Coverage Indicators - Section D'!AC$1:AC$100,MATCH($A426,'Coverage Indicators - Section D'!$A$1:$A$100,0)+1),""),"")</f>
        <v/>
      </c>
      <c r="J438" s="98" t="str">
        <f>IFERROR(IF(INDEX('Coverage Indicators - Section D'!AF$1:AF$100,MATCH($A426,'Coverage Indicators - Section D'!$A$1:$A$100,0)+1)&lt;&gt;"",INDEX('Coverage Indicators - Section D'!AF$1:AF$100,MATCH($A426,'Coverage Indicators - Section D'!$A$1:$A$100,0)+1),""),"")</f>
        <v/>
      </c>
      <c r="K438" s="98" t="str">
        <f>IFERROR(IF(INDEX('Coverage Indicators - Section D'!AI$1:AI$100,MATCH($A426,'Coverage Indicators - Section D'!$A$1:$A$100,0)+1)&lt;&gt;"",INDEX('Coverage Indicators - Section D'!AI$1:AI$100,MATCH($A426,'Coverage Indicators - Section D'!$A$1:$A$100,0)+1),""),"")</f>
        <v/>
      </c>
      <c r="L438" s="99"/>
    </row>
    <row r="439" spans="1:12" ht="18.75" customHeight="1" x14ac:dyDescent="0.25">
      <c r="A439" s="667"/>
      <c r="B439" s="93" t="s">
        <v>4388</v>
      </c>
      <c r="C439" s="94" t="str">
        <f ca="1">IFERROR(IF(INDEX('Coverage Indicators - Section D'!F$1:F$100,MATCH($A426,'Coverage Indicators - Section D'!$A$1:$A$100,0))&lt;&gt;"",FIXED(INDEX('Coverage Indicators - Section D'!F$1:F$100,MATCH($A426,'Coverage Indicators - Section D'!$A$1:$A$100,0))*100,2)&amp;"%",""),"")</f>
        <v>92,07%</v>
      </c>
      <c r="D439" s="94" t="str">
        <f>IFERROR(IF(INDEX('Coverage Indicators - Section D'!O$1:O$100,MATCH($A426,'Coverage Indicators - Section D'!$A$1:$A$100,0))&lt;&gt;"",FIXED(INDEX('Coverage Indicators - Section D'!O$1:O$100,MATCH($A426,'Coverage Indicators - Section D'!$A$1:$A$100,0))*100,2)&amp;"%",""),"")&amp;CHAR(10)&amp;IFERROR(IF(INDEX('Coverage Indicators - Section D'!P$1:P$100,MATCH($A426,'Coverage Indicators - Section D'!$A$1:$A$100,0))&lt;&gt;"",INDEX('Coverage Indicators - Section D'!P$1:P$100,MATCH($A426,'Coverage Indicators - Section D'!$A$1:$A$100,0)),""),"")</f>
        <v xml:space="preserve">95,00%
</v>
      </c>
      <c r="E439" s="94" t="str">
        <f>IFERROR(IF(INDEX('Coverage Indicators - Section D'!R$1:R$100,MATCH($A426,'Coverage Indicators - Section D'!$A$1:$A$100,0))&lt;&gt;"",FIXED(INDEX('Coverage Indicators - Section D'!R$1:R$100,MATCH($A426,'Coverage Indicators - Section D'!$A$1:$A$100,0))*100,2)&amp;"%",""),"")&amp;CHAR(10)&amp;IFERROR(IF(INDEX('Coverage Indicators - Section D'!S$1:S$100,MATCH($A426,'Coverage Indicators - Section D'!$A$1:$A$100,0))&lt;&gt;"",INDEX('Coverage Indicators - Section D'!S$1:S$100,MATCH($A426,'Coverage Indicators - Section D'!$A$1:$A$100,0)),""),"")</f>
        <v xml:space="preserve">95,00%
</v>
      </c>
      <c r="F439" s="94" t="str">
        <f>IFERROR(IF(INDEX('Coverage Indicators - Section D'!U$1:U$100,MATCH($A426,'Coverage Indicators - Section D'!$A$1:$A$100,0))&lt;&gt;"",FIXED(INDEX('Coverage Indicators - Section D'!U$1:U$100,MATCH($A426,'Coverage Indicators - Section D'!$A$1:$A$100,0))*100,2)&amp;"%",""),"")&amp;CHAR(10)&amp;IFERROR(IF(INDEX('Coverage Indicators - Section D'!V$1:V$100,MATCH($A426,'Coverage Indicators - Section D'!$A$1:$A$100,0))&lt;&gt;"",INDEX('Coverage Indicators - Section D'!V$1:V$100,MATCH($A426,'Coverage Indicators - Section D'!$A$1:$A$100,0)),""),"")</f>
        <v xml:space="preserve">95,00%
</v>
      </c>
      <c r="G439" s="94" t="str">
        <f ca="1">IFERROR(IF(INDEX('Coverage Indicators - Section D'!X$1:X$100,MATCH($A426,'Coverage Indicators - Section D'!$A$1:$A$100,0))&lt;&gt;"",FIXED(INDEX('Coverage Indicators - Section D'!X$1:X$100,MATCH($A426,'Coverage Indicators - Section D'!$A$1:$A$100,0))*100,2)&amp;"%",""),"")&amp;CHAR(10)&amp;IFERROR(IF(INDEX('Coverage Indicators - Section D'!Y$1:Y$100,MATCH($A426,'Coverage Indicators - Section D'!$A$1:$A$100,0))&lt;&gt;"",INDEX('Coverage Indicators - Section D'!Y$1:Y$100,MATCH($A426,'Coverage Indicators - Section D'!$A$1:$A$100,0)),""),"")</f>
        <v xml:space="preserve">
</v>
      </c>
      <c r="H439" s="94" t="str">
        <f ca="1">IFERROR(IF(INDEX('Coverage Indicators - Section D'!AA$1:AA$100,MATCH(A426,'Coverage Indicators - Section D'!$A$1:$A$100,0))&lt;&gt;"",FIXED(INDEX('Coverage Indicators - Section D'!AA$1:AA$100,MATCH($A426,'Coverage Indicators - Section D'!$A$1:$A$100,0))*100,2)&amp;"%",""),"")&amp;CHAR(10)&amp;IFERROR(IF(INDEX('Coverage Indicators - Section D'!AB$1:AB$100,MATCH($A426,'Coverage Indicators - Section D'!$A$1:$A$100,0))&lt;&gt;"",INDEX('Coverage Indicators - Section D'!AB$1:AB$100,MATCH($A426,'Coverage Indicators - Section D'!$A$1:$A$100,0)),""),"")</f>
        <v xml:space="preserve">
</v>
      </c>
      <c r="I439" s="94" t="str">
        <f ca="1">IFERROR(IF(INDEX('Coverage Indicators - Section D'!AD$1:AD$100,MATCH($A426,'Coverage Indicators - Section D'!$A$1:$A$100,0))&lt;&gt;"",FIXED(INDEX('Coverage Indicators - Section D'!AD$1:AD$100,MATCH($A426,'Coverage Indicators - Section D'!$A$1:$A$100,0))*100,2)&amp;"%",""),"")&amp;CHAR(10)&amp;IFERROR(IF(INDEX('Coverage Indicators - Section D'!AE$1:AE$100,MATCH($A426,'Coverage Indicators - Section D'!$A$1:$A$100,0))&lt;&gt;"",INDEX('Coverage Indicators - Section D'!AE$1:AE$100,MATCH($A426,'Coverage Indicators - Section D'!$A$1:$A$100,0)),""),"")</f>
        <v xml:space="preserve">
</v>
      </c>
      <c r="J439" s="94" t="str">
        <f ca="1">IFERROR(IF(INDEX('Coverage Indicators - Section D'!AG$1:AG$100,MATCH($A426,'Coverage Indicators - Section D'!$A$1:$A$100,0))&lt;&gt;"",FIXED(INDEX('Coverage Indicators - Section D'!AG$1:AG$100,MATCH($A426,'Coverage Indicators - Section D'!$A$1:$A$100,0))*100,2)&amp;"%",""),"")&amp;CHAR(10)&amp;IFERROR(IF(INDEX('Coverage Indicators - Section D'!AH$1:AH$100,MATCH($A426,'Coverage Indicators - Section D'!$A$1:$A$100,0))&lt;&gt;"",INDEX('Coverage Indicators - Section D'!AH$1:AH$100,MATCH($A426,'Coverage Indicators - Section D'!$A$1:$A$100,0)),""),"")</f>
        <v xml:space="preserve">
</v>
      </c>
      <c r="K439" s="94" t="str">
        <f ca="1">IFERROR(IF(INDEX('Coverage Indicators - Section D'!AJ$1:AJ$100,MATCH($A426,'Coverage Indicators - Section D'!$A$1:$A$100,0))&lt;&gt;"",FIXED(INDEX('Coverage Indicators - Section D'!AJ$1:AJ$100,MATCH($A426,'Coverage Indicators - Section D'!$A$1:$A$100,0))*100,2)&amp;"%",""),"")&amp;CHAR(10)&amp;IFERROR(IF(INDEX('Coverage Indicators - Section D'!AK$1:AK$100,MATCH($A426,'Coverage Indicators - Section D'!$A$1:$A$100,0))&lt;&gt;"",INDEX('Coverage Indicators - Section D'!AK$1:AK$100,MATCH($A426,'Coverage Indicators - Section D'!$A$1:$A$100,0)),""),"")</f>
        <v xml:space="preserve">
</v>
      </c>
      <c r="L439" s="86"/>
    </row>
    <row r="440" spans="1:12" ht="18.75" customHeight="1" x14ac:dyDescent="0.25">
      <c r="A440" s="667"/>
      <c r="B440" s="660" t="s">
        <v>176</v>
      </c>
      <c r="C440" s="661"/>
      <c r="D440" s="661"/>
      <c r="E440" s="661"/>
      <c r="F440" s="661"/>
      <c r="G440" s="661"/>
      <c r="H440" s="661"/>
      <c r="I440" s="661"/>
      <c r="J440" s="661"/>
      <c r="K440" s="662"/>
      <c r="L440" s="86"/>
    </row>
    <row r="441" spans="1:12" ht="18.75" customHeight="1" x14ac:dyDescent="0.25">
      <c r="A441" s="667"/>
      <c r="B441" s="669" t="str">
        <f>IFERROR(IF(INDEX('Coverage Indicators - Section D'!AL$1:AL$110,MATCH($A426,'Coverage Indicators - Section D'!$A$1:$A$110,0))&lt;&gt;0,INDEX('Coverage Indicators - Section D'!AL$1:AL$110,MATCH($A426,'Coverage Indicators - Section D'!$A$1:$A$110,0)),""),"")</f>
        <v xml:space="preserve">Numerator: Number of people newly diagnosed with HIV during the reporting period who started ART. Initiation on ART will be measured for treatment initiation- 30 days of diagnosis. Thus, people newly diagnosed with HIV should start treatment within 30 days after they are diagnosed. Denominator: Number of people 
newly diagnosed with HIV during the reporting period. Denominator will include number of people newly diagnosed with HIV during the reporting period who already have 30 days of diagnosis. 
Disaggregated reporting by time period after diagnosis (30 days) provides an indication of the quality of care with respect to national guidelines on when treatment should be started. This indicator will be reported on annual basis. </v>
      </c>
      <c r="C441" s="670"/>
      <c r="D441" s="670"/>
      <c r="E441" s="670"/>
      <c r="F441" s="670"/>
      <c r="G441" s="670"/>
      <c r="H441" s="670"/>
      <c r="I441" s="670"/>
      <c r="J441" s="670"/>
      <c r="K441" s="671"/>
      <c r="L441" s="86"/>
    </row>
    <row r="442" spans="1:12" ht="18.75" customHeight="1" x14ac:dyDescent="0.25">
      <c r="A442" s="667"/>
      <c r="B442" s="672"/>
      <c r="C442" s="673"/>
      <c r="D442" s="673"/>
      <c r="E442" s="673"/>
      <c r="F442" s="673"/>
      <c r="G442" s="673"/>
      <c r="H442" s="673"/>
      <c r="I442" s="673"/>
      <c r="J442" s="673"/>
      <c r="K442" s="674"/>
      <c r="L442" s="86"/>
    </row>
    <row r="443" spans="1:12" ht="18.75" customHeight="1" x14ac:dyDescent="0.25">
      <c r="A443" s="667"/>
      <c r="B443" s="672"/>
      <c r="C443" s="673"/>
      <c r="D443" s="673"/>
      <c r="E443" s="673"/>
      <c r="F443" s="673"/>
      <c r="G443" s="673"/>
      <c r="H443" s="673"/>
      <c r="I443" s="673"/>
      <c r="J443" s="673"/>
      <c r="K443" s="674"/>
      <c r="L443" s="86"/>
    </row>
    <row r="444" spans="1:12" ht="18.75" customHeight="1" x14ac:dyDescent="0.25">
      <c r="A444" s="667"/>
      <c r="B444" s="672"/>
      <c r="C444" s="673"/>
      <c r="D444" s="673"/>
      <c r="E444" s="673"/>
      <c r="F444" s="673"/>
      <c r="G444" s="673"/>
      <c r="H444" s="673"/>
      <c r="I444" s="673"/>
      <c r="J444" s="673"/>
      <c r="K444" s="674"/>
      <c r="L444" s="86"/>
    </row>
    <row r="445" spans="1:12" ht="18.75" customHeight="1" x14ac:dyDescent="0.25">
      <c r="A445" s="667"/>
      <c r="B445" s="672"/>
      <c r="C445" s="673"/>
      <c r="D445" s="673"/>
      <c r="E445" s="673"/>
      <c r="F445" s="673"/>
      <c r="G445" s="673"/>
      <c r="H445" s="673"/>
      <c r="I445" s="673"/>
      <c r="J445" s="673"/>
      <c r="K445" s="674"/>
      <c r="L445" s="86"/>
    </row>
    <row r="446" spans="1:12" ht="18.75" customHeight="1" x14ac:dyDescent="0.25">
      <c r="A446" s="667"/>
      <c r="B446" s="672"/>
      <c r="C446" s="673"/>
      <c r="D446" s="673"/>
      <c r="E446" s="673"/>
      <c r="F446" s="673"/>
      <c r="G446" s="673"/>
      <c r="H446" s="673"/>
      <c r="I446" s="673"/>
      <c r="J446" s="673"/>
      <c r="K446" s="674"/>
      <c r="L446" s="86"/>
    </row>
    <row r="447" spans="1:12" ht="18.75" customHeight="1" x14ac:dyDescent="0.25">
      <c r="A447" s="667"/>
      <c r="B447" s="672"/>
      <c r="C447" s="673"/>
      <c r="D447" s="673"/>
      <c r="E447" s="673"/>
      <c r="F447" s="673"/>
      <c r="G447" s="673"/>
      <c r="H447" s="673"/>
      <c r="I447" s="673"/>
      <c r="J447" s="673"/>
      <c r="K447" s="674"/>
      <c r="L447" s="86"/>
    </row>
    <row r="448" spans="1:12" ht="18.75" customHeight="1" x14ac:dyDescent="0.25">
      <c r="A448" s="667"/>
      <c r="B448" s="672"/>
      <c r="C448" s="673"/>
      <c r="D448" s="673"/>
      <c r="E448" s="673"/>
      <c r="F448" s="673"/>
      <c r="G448" s="673"/>
      <c r="H448" s="673"/>
      <c r="I448" s="673"/>
      <c r="J448" s="673"/>
      <c r="K448" s="674"/>
      <c r="L448" s="86"/>
    </row>
    <row r="449" spans="1:12" ht="18.75" customHeight="1" x14ac:dyDescent="0.25">
      <c r="A449" s="667"/>
      <c r="B449" s="672"/>
      <c r="C449" s="673"/>
      <c r="D449" s="673"/>
      <c r="E449" s="673"/>
      <c r="F449" s="673"/>
      <c r="G449" s="673"/>
      <c r="H449" s="673"/>
      <c r="I449" s="673"/>
      <c r="J449" s="673"/>
      <c r="K449" s="674"/>
      <c r="L449" s="86"/>
    </row>
    <row r="450" spans="1:12" ht="18.75" customHeight="1" x14ac:dyDescent="0.25">
      <c r="A450" s="668"/>
      <c r="B450" s="675"/>
      <c r="C450" s="676"/>
      <c r="D450" s="676"/>
      <c r="E450" s="676"/>
      <c r="F450" s="676"/>
      <c r="G450" s="676"/>
      <c r="H450" s="676"/>
      <c r="I450" s="676"/>
      <c r="J450" s="676"/>
      <c r="K450" s="677"/>
      <c r="L450" s="86"/>
    </row>
    <row r="451" spans="1:12" ht="18.75" customHeight="1" x14ac:dyDescent="0.25">
      <c r="A451" s="660"/>
      <c r="B451" s="661"/>
      <c r="C451" s="661"/>
      <c r="D451" s="661"/>
      <c r="E451" s="661"/>
      <c r="F451" s="661"/>
      <c r="G451" s="661"/>
      <c r="H451" s="661"/>
      <c r="I451" s="661"/>
      <c r="J451" s="661"/>
      <c r="K451" s="662"/>
      <c r="L451" s="86"/>
    </row>
    <row r="453" spans="1:12" ht="18.75" customHeight="1" x14ac:dyDescent="0.25">
      <c r="A453" s="93" t="s">
        <v>4383</v>
      </c>
      <c r="B453" s="660" t="s">
        <v>1046</v>
      </c>
      <c r="C453" s="662"/>
      <c r="D453" s="663" t="str">
        <f>IFERROR(IF(INDEX('Coverage Indicators - Section D'!B$1:B$100,MATCH($A454,'Coverage Indicators - Section D'!$A$1:$A$100,0))&lt;&gt;0,INDEX('Coverage Indicators - Section D'!B$1:B$100,MATCH($A454,'Coverage Indicators - Section D'!$A$1:$A$100,0)),""),"")</f>
        <v>TB/HIV</v>
      </c>
      <c r="E453" s="664"/>
      <c r="F453" s="664"/>
      <c r="G453" s="664"/>
      <c r="H453" s="664"/>
      <c r="I453" s="664"/>
      <c r="J453" s="664"/>
      <c r="K453" s="665"/>
      <c r="L453" s="86"/>
    </row>
    <row r="454" spans="1:12" ht="18.75" customHeight="1" x14ac:dyDescent="0.25">
      <c r="A454" s="666">
        <v>17</v>
      </c>
      <c r="B454" s="660" t="s">
        <v>738</v>
      </c>
      <c r="C454" s="661"/>
      <c r="D454" s="661"/>
      <c r="E454" s="661"/>
      <c r="F454" s="662"/>
      <c r="G454" s="660" t="s">
        <v>739</v>
      </c>
      <c r="H454" s="661"/>
      <c r="I454" s="661"/>
      <c r="J454" s="661"/>
      <c r="K454" s="662"/>
      <c r="L454" s="86"/>
    </row>
    <row r="455" spans="1:12" ht="18.75" customHeight="1" x14ac:dyDescent="0.25">
      <c r="A455" s="667"/>
      <c r="B455" s="669" t="str">
        <f>IFERROR(IF(INDEX('Coverage Indicators - Section D'!C$1:C$100,MATCH($A454,'Coverage Indicators - Section D'!$A$1:$A$100,0))&lt;&gt;0,INDEX('Coverage Indicators - Section D'!C$1:C$100,MATCH($A454,'Coverage Indicators - Section D'!$A$1:$A$100,0)),""),"")</f>
        <v>TB/HIV-7.1 Percentage of people living with HIV currently enrolled on antiretroviral therapy who started TB preventive treatment (TPT) during the reporting period</v>
      </c>
      <c r="C455" s="670"/>
      <c r="D455" s="670"/>
      <c r="E455" s="670"/>
      <c r="F455" s="671"/>
      <c r="G455" s="669" t="str">
        <f>IFERROR(IF(INDEX('Coverage Indicators - Section D'!D$1:D$100,MATCH($A454,'Coverage Indicators - Section D'!$A$1:$A$100,0))&lt;&gt;0,INDEX('Coverage Indicators - Section D'!D$1:D$100,MATCH($A454,'Coverage Indicators - Section D'!$A$1:$A$100,0)),""),"")</f>
        <v/>
      </c>
      <c r="H455" s="670"/>
      <c r="I455" s="670"/>
      <c r="J455" s="670"/>
      <c r="K455" s="671"/>
      <c r="L455" s="86"/>
    </row>
    <row r="456" spans="1:12" ht="18.75" customHeight="1" x14ac:dyDescent="0.25">
      <c r="A456" s="667"/>
      <c r="B456" s="672"/>
      <c r="C456" s="673"/>
      <c r="D456" s="673"/>
      <c r="E456" s="673"/>
      <c r="F456" s="674"/>
      <c r="G456" s="672"/>
      <c r="H456" s="673"/>
      <c r="I456" s="673"/>
      <c r="J456" s="673"/>
      <c r="K456" s="674"/>
      <c r="L456" s="86"/>
    </row>
    <row r="457" spans="1:12" ht="18.75" customHeight="1" x14ac:dyDescent="0.25">
      <c r="A457" s="667"/>
      <c r="B457" s="675"/>
      <c r="C457" s="676"/>
      <c r="D457" s="676"/>
      <c r="E457" s="676"/>
      <c r="F457" s="677"/>
      <c r="G457" s="675"/>
      <c r="H457" s="676"/>
      <c r="I457" s="676"/>
      <c r="J457" s="676"/>
      <c r="K457" s="677"/>
      <c r="L457" s="86"/>
    </row>
    <row r="458" spans="1:12" ht="18.75" customHeight="1" x14ac:dyDescent="0.25">
      <c r="A458" s="667"/>
      <c r="B458" s="660" t="s">
        <v>742</v>
      </c>
      <c r="C458" s="661"/>
      <c r="D458" s="662"/>
      <c r="E458" s="660" t="s">
        <v>216</v>
      </c>
      <c r="F458" s="661"/>
      <c r="G458" s="662"/>
      <c r="H458" s="660" t="s">
        <v>127</v>
      </c>
      <c r="I458" s="661"/>
      <c r="J458" s="662"/>
      <c r="K458" s="93" t="s">
        <v>2175</v>
      </c>
      <c r="L458" s="86"/>
    </row>
    <row r="459" spans="1:12" ht="18.75" customHeight="1" x14ac:dyDescent="0.25">
      <c r="A459" s="667"/>
      <c r="B459" s="663" t="str">
        <f>IFERROR(IF(INDEX('Coverage Indicators - Section D'!I$9:I$68,MATCH($A454,'Coverage Indicators - Section D'!$A$9:$A$68,0))&lt;&gt;0,INDEX('Coverage Indicators - Section D'!I$9:I$68,MATCH($A454,'Coverage Indicators - Section D'!$A$9:$A$68,0)),""),"")</f>
        <v>Gender,TPT regimen,Age</v>
      </c>
      <c r="C459" s="664"/>
      <c r="D459" s="665"/>
      <c r="E459" s="663" t="str">
        <f>IFERROR(IF(INDEX('Coverage Indicators - Section D'!M$1:M$100,MATCH($A454,'Coverage Indicators - Section D'!$A$1:$A$100,0))&lt;&gt;0,INDEX('Coverage Indicators - Section D'!M$1:M$100,MATCH($A454,'Coverage Indicators - Section D'!$A$1:$A$100,0)),""),"")</f>
        <v/>
      </c>
      <c r="F459" s="664"/>
      <c r="G459" s="665"/>
      <c r="H459" s="663" t="str">
        <f>IFERROR(IF(INDEX('Coverage Indicators - Section D'!L$1:L$100,MATCH($A454,'Coverage Indicators - Section D'!$A$1:$A$100,0))&lt;&gt;0,INDEX('Coverage Indicators - Section D'!L$1:L$100,MATCH($A454,'Coverage Indicators - Section D'!$A$1:$A$100,0)),""),"")</f>
        <v/>
      </c>
      <c r="I459" s="664"/>
      <c r="J459" s="665"/>
      <c r="K459" s="94" t="str">
        <f>IFERROR(IF(INDEX('Coverage Indicators - Section D'!J$1:J$100,MATCH($A454,'Coverage Indicators - Section D'!$A$1:$A$100,0))&lt;&gt;0,INDEX('Coverage Indicators - Section D'!J$1:J$100,MATCH($A454,'Coverage Indicators - Section D'!$A$1:$A$100,0)),""),"")</f>
        <v>Yes</v>
      </c>
      <c r="L459" s="86"/>
    </row>
    <row r="460" spans="1:12" ht="18.75" customHeight="1" x14ac:dyDescent="0.25">
      <c r="A460" s="667"/>
      <c r="B460" s="660" t="s">
        <v>199</v>
      </c>
      <c r="C460" s="661"/>
      <c r="D460" s="662"/>
      <c r="E460" s="660" t="s">
        <v>4392</v>
      </c>
      <c r="F460" s="661"/>
      <c r="G460" s="662"/>
      <c r="H460" s="660" t="s">
        <v>120</v>
      </c>
      <c r="I460" s="661"/>
      <c r="J460" s="661"/>
      <c r="K460" s="662"/>
      <c r="L460" s="86"/>
    </row>
    <row r="461" spans="1:12" ht="18.75" customHeight="1" x14ac:dyDescent="0.25">
      <c r="A461" s="667"/>
      <c r="B461" s="669" t="str">
        <f>IFERROR(IF(INDEX('Coverage Indicators - Section D'!H$1:H$100,MATCH($A454,'Coverage Indicators - Section D'!$A$1:$A$100,0))&lt;&gt;0,INDEX('Coverage Indicators - Section D'!H$1:H$100,MATCH($A454,'Coverage Indicators - Section D'!$A$1:$A$100,0)),""),"")</f>
        <v>Electronic HIV Case Tracking System and RCHV&amp;HIV report</v>
      </c>
      <c r="C461" s="670"/>
      <c r="D461" s="671"/>
      <c r="E461" s="669" t="str">
        <f>IFERROR(IF(INDEX('Coverage Indicators - Section D'!L$1:L$100,MATCH($A454,'Coverage Indicators - Section D'!$A$1:$A$100,0)+1)&lt;&gt;0,INDEX('Coverage Indicators - Section D'!L$1:L$100,MATCH($A454,'Coverage Indicators - Section D'!$A$1:$A$100,0)+1),""),"")</f>
        <v>Geographic National, 100% of national program target</v>
      </c>
      <c r="F461" s="670"/>
      <c r="G461" s="671"/>
      <c r="H461" s="669" t="str">
        <f>IFERROR(IF(AND('Overview - Section A'!AS$1="Grant Making",OR(B455&lt;&gt;"",G455&lt;&gt;"")),Setup!I463,IF(INDEX('Coverage Indicators - Section D'!K$1:K$100,MATCH($A454,'Coverage Indicators - Section D'!$A$1:$A$100,0))&lt;&gt;0,INDEX('Coverage Indicators - Section D'!K$1:K$100,MATCH($A454,'Coverage Indicators - Section D'!$A$1:$A$100,0)),"")),"")</f>
        <v>United Nations Development Programme</v>
      </c>
      <c r="I461" s="670"/>
      <c r="J461" s="670"/>
      <c r="K461" s="671"/>
      <c r="L461" s="86"/>
    </row>
    <row r="462" spans="1:12" ht="18.75" customHeight="1" x14ac:dyDescent="0.25">
      <c r="A462" s="667"/>
      <c r="B462" s="675"/>
      <c r="C462" s="676"/>
      <c r="D462" s="677"/>
      <c r="E462" s="675"/>
      <c r="F462" s="676"/>
      <c r="G462" s="677"/>
      <c r="H462" s="675"/>
      <c r="I462" s="676"/>
      <c r="J462" s="676"/>
      <c r="K462" s="677"/>
      <c r="L462" s="86"/>
    </row>
    <row r="463" spans="1:12" ht="18.75" customHeight="1" x14ac:dyDescent="0.25">
      <c r="A463" s="667"/>
      <c r="B463" s="93"/>
      <c r="C463" s="93" t="s">
        <v>4384</v>
      </c>
      <c r="D463" s="660" t="s">
        <v>4385</v>
      </c>
      <c r="E463" s="661"/>
      <c r="F463" s="661"/>
      <c r="G463" s="661"/>
      <c r="H463" s="661"/>
      <c r="I463" s="661"/>
      <c r="J463" s="661"/>
      <c r="K463" s="662"/>
      <c r="L463" s="86"/>
    </row>
    <row r="464" spans="1:12" ht="18.75" customHeight="1" x14ac:dyDescent="0.25">
      <c r="A464" s="667"/>
      <c r="B464" s="93" t="s">
        <v>2559</v>
      </c>
      <c r="C464" s="94">
        <f>IFERROR(IF(INDEX('Coverage Indicators - Section D'!G$1:G$100,MATCH($A454,'Coverage Indicators - Section D'!$A$1:$A$100,0))&lt;&gt;0,INDEX('Coverage Indicators - Section D'!G$1:G$100,MATCH($A454,'Coverage Indicators - Section D'!$A$1:$A$100,0)),""),"")</f>
        <v>2022</v>
      </c>
      <c r="D464"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464"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464"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464"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464"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464"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464"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464"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464" s="86"/>
    </row>
    <row r="465" spans="1:12" s="97" customFormat="1" ht="18.75" customHeight="1" x14ac:dyDescent="0.25">
      <c r="A465" s="667"/>
      <c r="B465" s="93" t="s">
        <v>4386</v>
      </c>
      <c r="C465" s="95">
        <f>IFERROR(IF(INDEX('Coverage Indicators - Section D'!E$1:E$100,MATCH($A454,'Coverage Indicators - Section D'!$A$1:$A$100,0))&lt;&gt;"",INDEX('Coverage Indicators - Section D'!E$1:E$100,MATCH($A454,'Coverage Indicators - Section D'!$A$1:$A$100,0)),""),"")</f>
        <v>336</v>
      </c>
      <c r="D465" s="95" t="str">
        <f>IFERROR(IF(INDEX('Coverage Indicators - Section D'!N$1:N$100,MATCH($A454,'Coverage Indicators - Section D'!$A$1:$A$100,0))&lt;&gt;"",INDEX('Coverage Indicators - Section D'!N$1:N$100,MATCH($A454,'Coverage Indicators - Section D'!$A$1:$A$100,0)),""),"")</f>
        <v/>
      </c>
      <c r="E465" s="95" t="str">
        <f>IFERROR(IF(INDEX('Coverage Indicators - Section D'!Q$1:Q$100,MATCH($A454,'Coverage Indicators - Section D'!$A$1:$A$100,0))&lt;&gt;"",INDEX('Coverage Indicators - Section D'!Q$1:Q$100,MATCH($A454,'Coverage Indicators - Section D'!$A$1:$A$100,0)),""),"")</f>
        <v/>
      </c>
      <c r="F465" s="95" t="str">
        <f>IFERROR(IF(INDEX('Coverage Indicators - Section D'!T$1:T$100,MATCH($A454,'Coverage Indicators - Section D'!$A$1:$A$100,0))&lt;&gt;"",INDEX('Coverage Indicators - Section D'!T$1:T$100,MATCH($A454,'Coverage Indicators - Section D'!$A$1:$A$100,0)),""),"")</f>
        <v/>
      </c>
      <c r="G465" s="95" t="str">
        <f>IFERROR(IF(INDEX('Coverage Indicators - Section D'!W$1:W$100,MATCH($A454,'Coverage Indicators - Section D'!$A$1:$A$100,0))&lt;&gt;"",INDEX('Coverage Indicators - Section D'!W$1:W$100,MATCH($A454,'Coverage Indicators - Section D'!$A$1:$A$100,0)),""),"")</f>
        <v/>
      </c>
      <c r="H465" s="95" t="str">
        <f>IFERROR(IF(INDEX('Coverage Indicators - Section D'!Z$1:Z$100,MATCH($A454,'Coverage Indicators - Section D'!$A$1:$A$100,0))&lt;&gt;"",INDEX('Coverage Indicators - Section D'!Z$1:Z$100,MATCH($A454,'Coverage Indicators - Section D'!$A$1:$A$100,0)),""),"")</f>
        <v/>
      </c>
      <c r="I465" s="95" t="str">
        <f>IFERROR(IF(INDEX('Coverage Indicators - Section D'!AC$1:AC$100,MATCH($A454,'Coverage Indicators - Section D'!$A$1:$A$100,0))&lt;&gt;"",INDEX('Coverage Indicators - Section D'!AC$1:AC$100,MATCH($A454,'Coverage Indicators - Section D'!$A$1:$A$100,0)),""),"")</f>
        <v/>
      </c>
      <c r="J465" s="95" t="str">
        <f>IFERROR(IF(INDEX('Coverage Indicators - Section D'!AF$1:AF$100,MATCH($A454,'Coverage Indicators - Section D'!$A$1:$A$100,0))&lt;&gt;"",INDEX('Coverage Indicators - Section D'!AF$1:AF$100,MATCH($A454,'Coverage Indicators - Section D'!$A$1:$A$100,0)),""),"")</f>
        <v/>
      </c>
      <c r="K465" s="95" t="str">
        <f>IFERROR(IF(INDEX('Coverage Indicators - Section D'!AI$1:AI$100,MATCH($A454,'Coverage Indicators - Section D'!$A$1:$A$100,0))&lt;&gt;"",INDEX('Coverage Indicators - Section D'!AI$1:AI$100,MATCH($A454,'Coverage Indicators - Section D'!$A$1:$A$100,0)),""),"")</f>
        <v/>
      </c>
      <c r="L465" s="96"/>
    </row>
    <row r="466" spans="1:12" s="100" customFormat="1" ht="18.75" customHeight="1" x14ac:dyDescent="0.25">
      <c r="A466" s="667"/>
      <c r="B466" s="93" t="s">
        <v>4387</v>
      </c>
      <c r="C466" s="98">
        <f>IFERROR(IF(INDEX('Coverage Indicators - Section D'!E$1:E$100,MATCH($A454,'Coverage Indicators - Section D'!$A$1:$A$100,0)+1)&lt;&gt;"",INDEX('Coverage Indicators - Section D'!E$1:E$100,MATCH($A454,'Coverage Indicators - Section D'!$A$1:$A$100,0)+1),""),"")</f>
        <v>800</v>
      </c>
      <c r="D466" s="98" t="str">
        <f>IFERROR(IF(INDEX('Coverage Indicators - Section D'!N$1:N$100,MATCH($A454,'Coverage Indicators - Section D'!$A$1:$A$100,0)+1)&lt;&gt;"",INDEX('Coverage Indicators - Section D'!N$1:N$100,MATCH($A454,'Coverage Indicators - Section D'!$A$1:$A$100,0)+1),""),"")</f>
        <v/>
      </c>
      <c r="E466" s="98" t="str">
        <f>IFERROR(IF(INDEX('Coverage Indicators - Section D'!Q$1:Q$100,MATCH($A454,'Coverage Indicators - Section D'!$A$1:$A$100,0)+1)&lt;&gt;"",INDEX('Coverage Indicators - Section D'!Q$1:Q$100,MATCH($A454,'Coverage Indicators - Section D'!$A$1:$A$100,0)+1),""),"")</f>
        <v/>
      </c>
      <c r="F466" s="98" t="str">
        <f>IFERROR(IF(INDEX('Coverage Indicators - Section D'!T$1:T$100,MATCH($A454,'Coverage Indicators - Section D'!$A$1:$A$100,0)+1)&lt;&gt;"",INDEX('Coverage Indicators - Section D'!T$1:T$100,MATCH($A454,'Coverage Indicators - Section D'!$A$1:$A$100,0)+1),""),"")</f>
        <v/>
      </c>
      <c r="G466" s="98" t="str">
        <f>IFERROR(IF(INDEX('Coverage Indicators - Section D'!W$1:W$100,MATCH($A454,'Coverage Indicators - Section D'!$A$1:$A$100,0)+1)&lt;&gt;"",INDEX('Coverage Indicators - Section D'!W$1:W$100,MATCH($A454,'Coverage Indicators - Section D'!$A$1:$A$100,0)+1),""),"")</f>
        <v/>
      </c>
      <c r="H466" s="98" t="str">
        <f>IFERROR(IF(INDEX('Coverage Indicators - Section D'!Z$1:Z$100,MATCH($A454,'Coverage Indicators - Section D'!$A$1:$A$100,0)+1)&lt;&gt;"",INDEX('Coverage Indicators - Section D'!Z$1:Z$100,MATCH($A454,'Coverage Indicators - Section D'!$A$1:$A$100,0)+1),""),"")</f>
        <v/>
      </c>
      <c r="I466" s="98" t="str">
        <f>IFERROR(IF(INDEX('Coverage Indicators - Section D'!AC$1:AC$100,MATCH($A454,'Coverage Indicators - Section D'!$A$1:$A$100,0)+1)&lt;&gt;"",INDEX('Coverage Indicators - Section D'!AC$1:AC$100,MATCH($A454,'Coverage Indicators - Section D'!$A$1:$A$100,0)+1),""),"")</f>
        <v/>
      </c>
      <c r="J466" s="98" t="str">
        <f>IFERROR(IF(INDEX('Coverage Indicators - Section D'!AF$1:AF$100,MATCH($A454,'Coverage Indicators - Section D'!$A$1:$A$100,0)+1)&lt;&gt;"",INDEX('Coverage Indicators - Section D'!AF$1:AF$100,MATCH($A454,'Coverage Indicators - Section D'!$A$1:$A$100,0)+1),""),"")</f>
        <v/>
      </c>
      <c r="K466" s="98" t="str">
        <f>IFERROR(IF(INDEX('Coverage Indicators - Section D'!AI$1:AI$100,MATCH($A454,'Coverage Indicators - Section D'!$A$1:$A$100,0)+1)&lt;&gt;"",INDEX('Coverage Indicators - Section D'!AI$1:AI$100,MATCH($A454,'Coverage Indicators - Section D'!$A$1:$A$100,0)+1),""),"")</f>
        <v/>
      </c>
      <c r="L466" s="99"/>
    </row>
    <row r="467" spans="1:12" ht="18.75" customHeight="1" x14ac:dyDescent="0.25">
      <c r="A467" s="667"/>
      <c r="B467" s="93" t="s">
        <v>4388</v>
      </c>
      <c r="C467" s="94" t="str">
        <f ca="1">IFERROR(IF(INDEX('Coverage Indicators - Section D'!F$1:F$100,MATCH($A454,'Coverage Indicators - Section D'!$A$1:$A$100,0))&lt;&gt;"",FIXED(INDEX('Coverage Indicators - Section D'!F$1:F$100,MATCH($A454,'Coverage Indicators - Section D'!$A$1:$A$100,0))*100,2)&amp;"%",""),"")</f>
        <v>42,00%</v>
      </c>
      <c r="D467" s="94" t="str">
        <f>IFERROR(IF(INDEX('Coverage Indicators - Section D'!O$1:O$100,MATCH($A454,'Coverage Indicators - Section D'!$A$1:$A$100,0))&lt;&gt;"",FIXED(INDEX('Coverage Indicators - Section D'!O$1:O$100,MATCH($A454,'Coverage Indicators - Section D'!$A$1:$A$100,0))*100,2)&amp;"%",""),"")&amp;CHAR(10)&amp;IFERROR(IF(INDEX('Coverage Indicators - Section D'!P$1:P$100,MATCH($A454,'Coverage Indicators - Section D'!$A$1:$A$100,0))&lt;&gt;"",INDEX('Coverage Indicators - Section D'!P$1:P$100,MATCH($A454,'Coverage Indicators - Section D'!$A$1:$A$100,0)),""),"")</f>
        <v xml:space="preserve">43,00%
</v>
      </c>
      <c r="E467" s="94" t="str">
        <f>IFERROR(IF(INDEX('Coverage Indicators - Section D'!R$1:R$100,MATCH($A454,'Coverage Indicators - Section D'!$A$1:$A$100,0))&lt;&gt;"",FIXED(INDEX('Coverage Indicators - Section D'!R$1:R$100,MATCH($A454,'Coverage Indicators - Section D'!$A$1:$A$100,0))*100,2)&amp;"%",""),"")&amp;CHAR(10)&amp;IFERROR(IF(INDEX('Coverage Indicators - Section D'!S$1:S$100,MATCH($A454,'Coverage Indicators - Section D'!$A$1:$A$100,0))&lt;&gt;"",INDEX('Coverage Indicators - Section D'!S$1:S$100,MATCH($A454,'Coverage Indicators - Section D'!$A$1:$A$100,0)),""),"")</f>
        <v xml:space="preserve">44,00%
</v>
      </c>
      <c r="F467" s="94" t="str">
        <f>IFERROR(IF(INDEX('Coverage Indicators - Section D'!U$1:U$100,MATCH($A454,'Coverage Indicators - Section D'!$A$1:$A$100,0))&lt;&gt;"",FIXED(INDEX('Coverage Indicators - Section D'!U$1:U$100,MATCH($A454,'Coverage Indicators - Section D'!$A$1:$A$100,0))*100,2)&amp;"%",""),"")&amp;CHAR(10)&amp;IFERROR(IF(INDEX('Coverage Indicators - Section D'!V$1:V$100,MATCH($A454,'Coverage Indicators - Section D'!$A$1:$A$100,0))&lt;&gt;"",INDEX('Coverage Indicators - Section D'!V$1:V$100,MATCH($A454,'Coverage Indicators - Section D'!$A$1:$A$100,0)),""),"")</f>
        <v xml:space="preserve">45,00%
</v>
      </c>
      <c r="G467" s="94" t="str">
        <f ca="1">IFERROR(IF(INDEX('Coverage Indicators - Section D'!X$1:X$100,MATCH($A454,'Coverage Indicators - Section D'!$A$1:$A$100,0))&lt;&gt;"",FIXED(INDEX('Coverage Indicators - Section D'!X$1:X$100,MATCH($A454,'Coverage Indicators - Section D'!$A$1:$A$100,0))*100,2)&amp;"%",""),"")&amp;CHAR(10)&amp;IFERROR(IF(INDEX('Coverage Indicators - Section D'!Y$1:Y$100,MATCH($A454,'Coverage Indicators - Section D'!$A$1:$A$100,0))&lt;&gt;"",INDEX('Coverage Indicators - Section D'!Y$1:Y$100,MATCH($A454,'Coverage Indicators - Section D'!$A$1:$A$100,0)),""),"")</f>
        <v xml:space="preserve">
</v>
      </c>
      <c r="H467" s="94" t="str">
        <f ca="1">IFERROR(IF(INDEX('Coverage Indicators - Section D'!AA$1:AA$100,MATCH(A454,'Coverage Indicators - Section D'!$A$1:$A$100,0))&lt;&gt;"",FIXED(INDEX('Coverage Indicators - Section D'!AA$1:AA$100,MATCH($A454,'Coverage Indicators - Section D'!$A$1:$A$100,0))*100,2)&amp;"%",""),"")&amp;CHAR(10)&amp;IFERROR(IF(INDEX('Coverage Indicators - Section D'!AB$1:AB$100,MATCH($A454,'Coverage Indicators - Section D'!$A$1:$A$100,0))&lt;&gt;"",INDEX('Coverage Indicators - Section D'!AB$1:AB$100,MATCH($A454,'Coverage Indicators - Section D'!$A$1:$A$100,0)),""),"")</f>
        <v xml:space="preserve">
</v>
      </c>
      <c r="I467" s="94" t="str">
        <f ca="1">IFERROR(IF(INDEX('Coverage Indicators - Section D'!AD$1:AD$100,MATCH($A454,'Coverage Indicators - Section D'!$A$1:$A$100,0))&lt;&gt;"",FIXED(INDEX('Coverage Indicators - Section D'!AD$1:AD$100,MATCH($A454,'Coverage Indicators - Section D'!$A$1:$A$100,0))*100,2)&amp;"%",""),"")&amp;CHAR(10)&amp;IFERROR(IF(INDEX('Coverage Indicators - Section D'!AE$1:AE$100,MATCH($A454,'Coverage Indicators - Section D'!$A$1:$A$100,0))&lt;&gt;"",INDEX('Coverage Indicators - Section D'!AE$1:AE$100,MATCH($A454,'Coverage Indicators - Section D'!$A$1:$A$100,0)),""),"")</f>
        <v xml:space="preserve">
</v>
      </c>
      <c r="J467" s="94" t="str">
        <f ca="1">IFERROR(IF(INDEX('Coverage Indicators - Section D'!AG$1:AG$100,MATCH($A454,'Coverage Indicators - Section D'!$A$1:$A$100,0))&lt;&gt;"",FIXED(INDEX('Coverage Indicators - Section D'!AG$1:AG$100,MATCH($A454,'Coverage Indicators - Section D'!$A$1:$A$100,0))*100,2)&amp;"%",""),"")&amp;CHAR(10)&amp;IFERROR(IF(INDEX('Coverage Indicators - Section D'!AH$1:AH$100,MATCH($A454,'Coverage Indicators - Section D'!$A$1:$A$100,0))&lt;&gt;"",INDEX('Coverage Indicators - Section D'!AH$1:AH$100,MATCH($A454,'Coverage Indicators - Section D'!$A$1:$A$100,0)),""),"")</f>
        <v xml:space="preserve">
</v>
      </c>
      <c r="K467" s="94" t="str">
        <f ca="1">IFERROR(IF(INDEX('Coverage Indicators - Section D'!AJ$1:AJ$100,MATCH($A454,'Coverage Indicators - Section D'!$A$1:$A$100,0))&lt;&gt;"",FIXED(INDEX('Coverage Indicators - Section D'!AJ$1:AJ$100,MATCH($A454,'Coverage Indicators - Section D'!$A$1:$A$100,0))*100,2)&amp;"%",""),"")&amp;CHAR(10)&amp;IFERROR(IF(INDEX('Coverage Indicators - Section D'!AK$1:AK$100,MATCH($A454,'Coverage Indicators - Section D'!$A$1:$A$100,0))&lt;&gt;"",INDEX('Coverage Indicators - Section D'!AK$1:AK$100,MATCH($A454,'Coverage Indicators - Section D'!$A$1:$A$100,0)),""),"")</f>
        <v xml:space="preserve">
</v>
      </c>
      <c r="L467" s="86"/>
    </row>
    <row r="468" spans="1:12" ht="18.75" customHeight="1" x14ac:dyDescent="0.25">
      <c r="A468" s="667"/>
      <c r="B468" s="660" t="s">
        <v>176</v>
      </c>
      <c r="C468" s="661"/>
      <c r="D468" s="661"/>
      <c r="E468" s="661"/>
      <c r="F468" s="661"/>
      <c r="G468" s="661"/>
      <c r="H468" s="661"/>
      <c r="I468" s="661"/>
      <c r="J468" s="661"/>
      <c r="K468" s="662"/>
      <c r="L468" s="86"/>
    </row>
    <row r="469" spans="1:12" ht="18.75" customHeight="1" x14ac:dyDescent="0.25">
      <c r="A469" s="667"/>
      <c r="B469" s="669" t="str">
        <f>IFERROR(IF(INDEX('Coverage Indicators - Section D'!AL$1:AL$110,MATCH($A454,'Coverage Indicators - Section D'!$A$1:$A$110,0))&lt;&gt;0,INDEX('Coverage Indicators - Section D'!AL$1:AL$110,MATCH($A454,'Coverage Indicators - Section D'!$A$1:$A$110,0)),""),"")</f>
        <v>This indicator is new, we have not previously reported on it. In the country about 45% of PLHIV on ART receive preventive TB treatment annually. According to the clinical protocol, preventive TB treatment is given to newly diagnosed PLHIV or for clinical indications. Denominator, the number of PLHIV who started ART and do not have active tuberculosis.</v>
      </c>
      <c r="C469" s="670"/>
      <c r="D469" s="670"/>
      <c r="E469" s="670"/>
      <c r="F469" s="670"/>
      <c r="G469" s="670"/>
      <c r="H469" s="670"/>
      <c r="I469" s="670"/>
      <c r="J469" s="670"/>
      <c r="K469" s="671"/>
      <c r="L469" s="86"/>
    </row>
    <row r="470" spans="1:12" ht="18.75" customHeight="1" x14ac:dyDescent="0.25">
      <c r="A470" s="667"/>
      <c r="B470" s="672"/>
      <c r="C470" s="673"/>
      <c r="D470" s="673"/>
      <c r="E470" s="673"/>
      <c r="F470" s="673"/>
      <c r="G470" s="673"/>
      <c r="H470" s="673"/>
      <c r="I470" s="673"/>
      <c r="J470" s="673"/>
      <c r="K470" s="674"/>
      <c r="L470" s="86"/>
    </row>
    <row r="471" spans="1:12" ht="18.75" customHeight="1" x14ac:dyDescent="0.25">
      <c r="A471" s="667"/>
      <c r="B471" s="672"/>
      <c r="C471" s="673"/>
      <c r="D471" s="673"/>
      <c r="E471" s="673"/>
      <c r="F471" s="673"/>
      <c r="G471" s="673"/>
      <c r="H471" s="673"/>
      <c r="I471" s="673"/>
      <c r="J471" s="673"/>
      <c r="K471" s="674"/>
      <c r="L471" s="86"/>
    </row>
    <row r="472" spans="1:12" ht="18.75" customHeight="1" x14ac:dyDescent="0.25">
      <c r="A472" s="667"/>
      <c r="B472" s="672"/>
      <c r="C472" s="673"/>
      <c r="D472" s="673"/>
      <c r="E472" s="673"/>
      <c r="F472" s="673"/>
      <c r="G472" s="673"/>
      <c r="H472" s="673"/>
      <c r="I472" s="673"/>
      <c r="J472" s="673"/>
      <c r="K472" s="674"/>
      <c r="L472" s="86"/>
    </row>
    <row r="473" spans="1:12" ht="18.75" customHeight="1" x14ac:dyDescent="0.25">
      <c r="A473" s="667"/>
      <c r="B473" s="672"/>
      <c r="C473" s="673"/>
      <c r="D473" s="673"/>
      <c r="E473" s="673"/>
      <c r="F473" s="673"/>
      <c r="G473" s="673"/>
      <c r="H473" s="673"/>
      <c r="I473" s="673"/>
      <c r="J473" s="673"/>
      <c r="K473" s="674"/>
      <c r="L473" s="86"/>
    </row>
    <row r="474" spans="1:12" ht="18.75" customHeight="1" x14ac:dyDescent="0.25">
      <c r="A474" s="667"/>
      <c r="B474" s="672"/>
      <c r="C474" s="673"/>
      <c r="D474" s="673"/>
      <c r="E474" s="673"/>
      <c r="F474" s="673"/>
      <c r="G474" s="673"/>
      <c r="H474" s="673"/>
      <c r="I474" s="673"/>
      <c r="J474" s="673"/>
      <c r="K474" s="674"/>
      <c r="L474" s="86"/>
    </row>
    <row r="475" spans="1:12" ht="18.75" customHeight="1" x14ac:dyDescent="0.25">
      <c r="A475" s="667"/>
      <c r="B475" s="672"/>
      <c r="C475" s="673"/>
      <c r="D475" s="673"/>
      <c r="E475" s="673"/>
      <c r="F475" s="673"/>
      <c r="G475" s="673"/>
      <c r="H475" s="673"/>
      <c r="I475" s="673"/>
      <c r="J475" s="673"/>
      <c r="K475" s="674"/>
      <c r="L475" s="86"/>
    </row>
    <row r="476" spans="1:12" ht="18.75" customHeight="1" x14ac:dyDescent="0.25">
      <c r="A476" s="667"/>
      <c r="B476" s="672"/>
      <c r="C476" s="673"/>
      <c r="D476" s="673"/>
      <c r="E476" s="673"/>
      <c r="F476" s="673"/>
      <c r="G476" s="673"/>
      <c r="H476" s="673"/>
      <c r="I476" s="673"/>
      <c r="J476" s="673"/>
      <c r="K476" s="674"/>
      <c r="L476" s="86"/>
    </row>
    <row r="477" spans="1:12" ht="18.75" customHeight="1" x14ac:dyDescent="0.25">
      <c r="A477" s="667"/>
      <c r="B477" s="672"/>
      <c r="C477" s="673"/>
      <c r="D477" s="673"/>
      <c r="E477" s="673"/>
      <c r="F477" s="673"/>
      <c r="G477" s="673"/>
      <c r="H477" s="673"/>
      <c r="I477" s="673"/>
      <c r="J477" s="673"/>
      <c r="K477" s="674"/>
      <c r="L477" s="86"/>
    </row>
    <row r="478" spans="1:12" ht="18.75" customHeight="1" x14ac:dyDescent="0.25">
      <c r="A478" s="668"/>
      <c r="B478" s="675"/>
      <c r="C478" s="676"/>
      <c r="D478" s="676"/>
      <c r="E478" s="676"/>
      <c r="F478" s="676"/>
      <c r="G478" s="676"/>
      <c r="H478" s="676"/>
      <c r="I478" s="676"/>
      <c r="J478" s="676"/>
      <c r="K478" s="677"/>
      <c r="L478" s="86"/>
    </row>
    <row r="479" spans="1:12" ht="18.75" customHeight="1" x14ac:dyDescent="0.25">
      <c r="A479" s="660"/>
      <c r="B479" s="661"/>
      <c r="C479" s="661"/>
      <c r="D479" s="661"/>
      <c r="E479" s="661"/>
      <c r="F479" s="661"/>
      <c r="G479" s="661"/>
      <c r="H479" s="661"/>
      <c r="I479" s="661"/>
      <c r="J479" s="661"/>
      <c r="K479" s="662"/>
      <c r="L479" s="86"/>
    </row>
    <row r="481" spans="1:12" ht="18.75" customHeight="1" x14ac:dyDescent="0.25">
      <c r="A481" s="93" t="s">
        <v>4383</v>
      </c>
      <c r="B481" s="660" t="s">
        <v>1046</v>
      </c>
      <c r="C481" s="662"/>
      <c r="D481" s="663" t="str">
        <f>IFERROR(IF(INDEX('Coverage Indicators - Section D'!B$1:B$100,MATCH($A482,'Coverage Indicators - Section D'!$A$1:$A$100,0))&lt;&gt;0,INDEX('Coverage Indicators - Section D'!B$1:B$100,MATCH($A482,'Coverage Indicators - Section D'!$A$1:$A$100,0)),""),"")</f>
        <v>Differentiated HIV Testing Services</v>
      </c>
      <c r="E481" s="664"/>
      <c r="F481" s="664"/>
      <c r="G481" s="664"/>
      <c r="H481" s="664"/>
      <c r="I481" s="664"/>
      <c r="J481" s="664"/>
      <c r="K481" s="665"/>
      <c r="L481" s="86"/>
    </row>
    <row r="482" spans="1:12" ht="18.75" customHeight="1" x14ac:dyDescent="0.25">
      <c r="A482" s="666">
        <v>18</v>
      </c>
      <c r="B482" s="660" t="s">
        <v>738</v>
      </c>
      <c r="C482" s="661"/>
      <c r="D482" s="661"/>
      <c r="E482" s="661"/>
      <c r="F482" s="662"/>
      <c r="G482" s="660" t="s">
        <v>739</v>
      </c>
      <c r="H482" s="661"/>
      <c r="I482" s="661"/>
      <c r="J482" s="661"/>
      <c r="K482" s="662"/>
      <c r="L482" s="86"/>
    </row>
    <row r="483" spans="1:12" ht="18.75" customHeight="1" x14ac:dyDescent="0.25">
      <c r="A483" s="667"/>
      <c r="B483" s="669" t="str">
        <f>IFERROR(IF(INDEX('Coverage Indicators - Section D'!C$1:C$100,MATCH($A482,'Coverage Indicators - Section D'!$A$1:$A$100,0))&lt;&gt;0,INDEX('Coverage Indicators - Section D'!C$1:C$100,MATCH($A482,'Coverage Indicators - Section D'!$A$1:$A$100,0)),""),"")</f>
        <v>HTS-6 Number of individual HIV self-test kits distributed</v>
      </c>
      <c r="C483" s="670"/>
      <c r="D483" s="670"/>
      <c r="E483" s="670"/>
      <c r="F483" s="671"/>
      <c r="G483" s="669" t="str">
        <f>IFERROR(IF(INDEX('Coverage Indicators - Section D'!D$1:D$100,MATCH($A482,'Coverage Indicators - Section D'!$A$1:$A$100,0))&lt;&gt;0,INDEX('Coverage Indicators - Section D'!D$1:D$100,MATCH($A482,'Coverage Indicators - Section D'!$A$1:$A$100,0)),""),"")</f>
        <v/>
      </c>
      <c r="H483" s="670"/>
      <c r="I483" s="670"/>
      <c r="J483" s="670"/>
      <c r="K483" s="671"/>
      <c r="L483" s="86"/>
    </row>
    <row r="484" spans="1:12" ht="18.75" customHeight="1" x14ac:dyDescent="0.25">
      <c r="A484" s="667"/>
      <c r="B484" s="672"/>
      <c r="C484" s="673"/>
      <c r="D484" s="673"/>
      <c r="E484" s="673"/>
      <c r="F484" s="674"/>
      <c r="G484" s="672"/>
      <c r="H484" s="673"/>
      <c r="I484" s="673"/>
      <c r="J484" s="673"/>
      <c r="K484" s="674"/>
      <c r="L484" s="86"/>
    </row>
    <row r="485" spans="1:12" ht="18.75" customHeight="1" x14ac:dyDescent="0.25">
      <c r="A485" s="667"/>
      <c r="B485" s="675"/>
      <c r="C485" s="676"/>
      <c r="D485" s="676"/>
      <c r="E485" s="676"/>
      <c r="F485" s="677"/>
      <c r="G485" s="675"/>
      <c r="H485" s="676"/>
      <c r="I485" s="676"/>
      <c r="J485" s="676"/>
      <c r="K485" s="677"/>
      <c r="L485" s="86"/>
    </row>
    <row r="486" spans="1:12" ht="18.75" customHeight="1" x14ac:dyDescent="0.25">
      <c r="A486" s="667"/>
      <c r="B486" s="660" t="s">
        <v>742</v>
      </c>
      <c r="C486" s="661"/>
      <c r="D486" s="662"/>
      <c r="E486" s="660" t="s">
        <v>216</v>
      </c>
      <c r="F486" s="661"/>
      <c r="G486" s="662"/>
      <c r="H486" s="660" t="s">
        <v>127</v>
      </c>
      <c r="I486" s="661"/>
      <c r="J486" s="662"/>
      <c r="K486" s="93" t="s">
        <v>2175</v>
      </c>
      <c r="L486" s="86"/>
    </row>
    <row r="487" spans="1:12" ht="18.75" customHeight="1" x14ac:dyDescent="0.25">
      <c r="A487" s="667"/>
      <c r="B487" s="663" t="str">
        <f>IFERROR(IF(INDEX('Coverage Indicators - Section D'!I$9:I$68,MATCH($A482,'Coverage Indicators - Section D'!$A$9:$A$68,0))&lt;&gt;0,INDEX('Coverage Indicators - Section D'!I$9:I$68,MATCH($A482,'Coverage Indicators - Section D'!$A$9:$A$68,0)),""),"")</f>
        <v/>
      </c>
      <c r="C487" s="664"/>
      <c r="D487" s="665"/>
      <c r="E487" s="663" t="str">
        <f>IFERROR(IF(INDEX('Coverage Indicators - Section D'!M$1:M$100,MATCH($A482,'Coverage Indicators - Section D'!$A$1:$A$100,0))&lt;&gt;0,INDEX('Coverage Indicators - Section D'!M$1:M$100,MATCH($A482,'Coverage Indicators - Section D'!$A$1:$A$100,0)),""),"")</f>
        <v/>
      </c>
      <c r="F487" s="664"/>
      <c r="G487" s="665"/>
      <c r="H487" s="663" t="str">
        <f>IFERROR(IF(INDEX('Coverage Indicators - Section D'!L$1:L$100,MATCH($A482,'Coverage Indicators - Section D'!$A$1:$A$100,0))&lt;&gt;0,INDEX('Coverage Indicators - Section D'!L$1:L$100,MATCH($A482,'Coverage Indicators - Section D'!$A$1:$A$100,0)),""),"")</f>
        <v/>
      </c>
      <c r="I487" s="664"/>
      <c r="J487" s="665"/>
      <c r="K487" s="94" t="str">
        <f>IFERROR(IF(INDEX('Coverage Indicators - Section D'!J$1:J$100,MATCH($A482,'Coverage Indicators - Section D'!$A$1:$A$100,0))&lt;&gt;0,INDEX('Coverage Indicators - Section D'!J$1:J$100,MATCH($A482,'Coverage Indicators - Section D'!$A$1:$A$100,0)),""),"")</f>
        <v>Yes</v>
      </c>
      <c r="L487" s="86"/>
    </row>
    <row r="488" spans="1:12" ht="18.75" customHeight="1" x14ac:dyDescent="0.25">
      <c r="A488" s="667"/>
      <c r="B488" s="660" t="s">
        <v>199</v>
      </c>
      <c r="C488" s="661"/>
      <c r="D488" s="662"/>
      <c r="E488" s="660" t="s">
        <v>4392</v>
      </c>
      <c r="F488" s="661"/>
      <c r="G488" s="662"/>
      <c r="H488" s="660" t="s">
        <v>120</v>
      </c>
      <c r="I488" s="661"/>
      <c r="J488" s="661"/>
      <c r="K488" s="662"/>
      <c r="L488" s="86"/>
    </row>
    <row r="489" spans="1:12" ht="18.75" customHeight="1" x14ac:dyDescent="0.25">
      <c r="A489" s="667"/>
      <c r="B489" s="669" t="str">
        <f>IFERROR(IF(INDEX('Coverage Indicators - Section D'!H$1:H$100,MATCH($A482,'Coverage Indicators - Section D'!$A$1:$A$100,0))&lt;&gt;0,INDEX('Coverage Indicators - Section D'!H$1:H$100,MATCH($A482,'Coverage Indicators - Section D'!$A$1:$A$100,0)),""),"")</f>
        <v>Administrative reports</v>
      </c>
      <c r="C489" s="670"/>
      <c r="D489" s="671"/>
      <c r="E489" s="669" t="str">
        <f>IFERROR(IF(INDEX('Coverage Indicators - Section D'!L$1:L$100,MATCH($A482,'Coverage Indicators - Section D'!$A$1:$A$100,0)+1)&lt;&gt;0,INDEX('Coverage Indicators - Section D'!L$1:L$100,MATCH($A482,'Coverage Indicators - Section D'!$A$1:$A$100,0)+1),""),"")</f>
        <v>Geographic Subnational, 100% of national program target</v>
      </c>
      <c r="F489" s="670"/>
      <c r="G489" s="671"/>
      <c r="H489" s="669" t="str">
        <f>IFERROR(IF(AND('Overview - Section A'!AS$1="Grant Making",OR(B483&lt;&gt;"",G483&lt;&gt;"")),Setup!I491,IF(INDEX('Coverage Indicators - Section D'!K$1:K$100,MATCH($A482,'Coverage Indicators - Section D'!$A$1:$A$100,0))&lt;&gt;0,INDEX('Coverage Indicators - Section D'!K$1:K$100,MATCH($A482,'Coverage Indicators - Section D'!$A$1:$A$100,0)),"")),"")</f>
        <v>United Nations Development Programme</v>
      </c>
      <c r="I489" s="670"/>
      <c r="J489" s="670"/>
      <c r="K489" s="671"/>
      <c r="L489" s="86"/>
    </row>
    <row r="490" spans="1:12" ht="18.75" customHeight="1" x14ac:dyDescent="0.25">
      <c r="A490" s="667"/>
      <c r="B490" s="675"/>
      <c r="C490" s="676"/>
      <c r="D490" s="677"/>
      <c r="E490" s="675"/>
      <c r="F490" s="676"/>
      <c r="G490" s="677"/>
      <c r="H490" s="675"/>
      <c r="I490" s="676"/>
      <c r="J490" s="676"/>
      <c r="K490" s="677"/>
      <c r="L490" s="86"/>
    </row>
    <row r="491" spans="1:12" ht="18.75" customHeight="1" x14ac:dyDescent="0.25">
      <c r="A491" s="667"/>
      <c r="B491" s="93"/>
      <c r="C491" s="93" t="s">
        <v>4384</v>
      </c>
      <c r="D491" s="660" t="s">
        <v>4385</v>
      </c>
      <c r="E491" s="661"/>
      <c r="F491" s="661"/>
      <c r="G491" s="661"/>
      <c r="H491" s="661"/>
      <c r="I491" s="661"/>
      <c r="J491" s="661"/>
      <c r="K491" s="662"/>
      <c r="L491" s="86"/>
    </row>
    <row r="492" spans="1:12" ht="18.75" customHeight="1" x14ac:dyDescent="0.25">
      <c r="A492" s="667"/>
      <c r="B492" s="93" t="s">
        <v>2559</v>
      </c>
      <c r="C492" s="94" t="str">
        <f>IFERROR(IF(INDEX('Coverage Indicators - Section D'!G$1:G$100,MATCH($A482,'Coverage Indicators - Section D'!$A$1:$A$100,0))&lt;&gt;0,INDEX('Coverage Indicators - Section D'!G$1:G$100,MATCH($A482,'Coverage Indicators - Section D'!$A$1:$A$100,0)),""),"")</f>
        <v/>
      </c>
      <c r="D492"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492"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492"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492"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492"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492"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492"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492"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492" s="86"/>
    </row>
    <row r="493" spans="1:12" s="97" customFormat="1" ht="18.75" customHeight="1" x14ac:dyDescent="0.25">
      <c r="A493" s="667"/>
      <c r="B493" s="93" t="s">
        <v>4386</v>
      </c>
      <c r="C493" s="95">
        <f>IFERROR(IF(INDEX('Coverage Indicators - Section D'!E$1:E$100,MATCH($A482,'Coverage Indicators - Section D'!$A$1:$A$100,0))&lt;&gt;"",INDEX('Coverage Indicators - Section D'!E$1:E$100,MATCH($A482,'Coverage Indicators - Section D'!$A$1:$A$100,0)),""),"")</f>
        <v>0</v>
      </c>
      <c r="D493" s="95">
        <f>IFERROR(IF(INDEX('Coverage Indicators - Section D'!N$1:N$100,MATCH($A482,'Coverage Indicators - Section D'!$A$1:$A$100,0))&lt;&gt;"",INDEX('Coverage Indicators - Section D'!N$1:N$100,MATCH($A482,'Coverage Indicators - Section D'!$A$1:$A$100,0)),""),"")</f>
        <v>3300</v>
      </c>
      <c r="E493" s="95">
        <f>IFERROR(IF(INDEX('Coverage Indicators - Section D'!Q$1:Q$100,MATCH($A482,'Coverage Indicators - Section D'!$A$1:$A$100,0))&lt;&gt;"",INDEX('Coverage Indicators - Section D'!Q$1:Q$100,MATCH($A482,'Coverage Indicators - Section D'!$A$1:$A$100,0)),""),"")</f>
        <v>4300</v>
      </c>
      <c r="F493" s="95">
        <f>IFERROR(IF(INDEX('Coverage Indicators - Section D'!T$1:T$100,MATCH($A482,'Coverage Indicators - Section D'!$A$1:$A$100,0))&lt;&gt;"",INDEX('Coverage Indicators - Section D'!T$1:T$100,MATCH($A482,'Coverage Indicators - Section D'!$A$1:$A$100,0)),""),"")</f>
        <v>5300</v>
      </c>
      <c r="G493" s="95" t="str">
        <f>IFERROR(IF(INDEX('Coverage Indicators - Section D'!W$1:W$100,MATCH($A482,'Coverage Indicators - Section D'!$A$1:$A$100,0))&lt;&gt;"",INDEX('Coverage Indicators - Section D'!W$1:W$100,MATCH($A482,'Coverage Indicators - Section D'!$A$1:$A$100,0)),""),"")</f>
        <v/>
      </c>
      <c r="H493" s="95" t="str">
        <f>IFERROR(IF(INDEX('Coverage Indicators - Section D'!Z$1:Z$100,MATCH($A482,'Coverage Indicators - Section D'!$A$1:$A$100,0))&lt;&gt;"",INDEX('Coverage Indicators - Section D'!Z$1:Z$100,MATCH($A482,'Coverage Indicators - Section D'!$A$1:$A$100,0)),""),"")</f>
        <v/>
      </c>
      <c r="I493" s="95" t="str">
        <f>IFERROR(IF(INDEX('Coverage Indicators - Section D'!AC$1:AC$100,MATCH($A482,'Coverage Indicators - Section D'!$A$1:$A$100,0))&lt;&gt;"",INDEX('Coverage Indicators - Section D'!AC$1:AC$100,MATCH($A482,'Coverage Indicators - Section D'!$A$1:$A$100,0)),""),"")</f>
        <v/>
      </c>
      <c r="J493" s="95" t="str">
        <f>IFERROR(IF(INDEX('Coverage Indicators - Section D'!AF$1:AF$100,MATCH($A482,'Coverage Indicators - Section D'!$A$1:$A$100,0))&lt;&gt;"",INDEX('Coverage Indicators - Section D'!AF$1:AF$100,MATCH($A482,'Coverage Indicators - Section D'!$A$1:$A$100,0)),""),"")</f>
        <v/>
      </c>
      <c r="K493" s="95" t="str">
        <f>IFERROR(IF(INDEX('Coverage Indicators - Section D'!AI$1:AI$100,MATCH($A482,'Coverage Indicators - Section D'!$A$1:$A$100,0))&lt;&gt;"",INDEX('Coverage Indicators - Section D'!AI$1:AI$100,MATCH($A482,'Coverage Indicators - Section D'!$A$1:$A$100,0)),""),"")</f>
        <v/>
      </c>
      <c r="L493" s="96"/>
    </row>
    <row r="494" spans="1:12" s="100" customFormat="1" ht="18.75" customHeight="1" x14ac:dyDescent="0.25">
      <c r="A494" s="667"/>
      <c r="B494" s="93" t="s">
        <v>4387</v>
      </c>
      <c r="C494" s="98">
        <f>IFERROR(IF(INDEX('Coverage Indicators - Section D'!E$1:E$100,MATCH($A482,'Coverage Indicators - Section D'!$A$1:$A$100,0)+1)&lt;&gt;"",INDEX('Coverage Indicators - Section D'!E$1:E$100,MATCH($A482,'Coverage Indicators - Section D'!$A$1:$A$100,0)+1),""),"")</f>
        <v>0</v>
      </c>
      <c r="D494" s="98" t="str">
        <f>IFERROR(IF(INDEX('Coverage Indicators - Section D'!N$1:N$100,MATCH($A482,'Coverage Indicators - Section D'!$A$1:$A$100,0)+1)&lt;&gt;"",INDEX('Coverage Indicators - Section D'!N$1:N$100,MATCH($A482,'Coverage Indicators - Section D'!$A$1:$A$100,0)+1),""),"")</f>
        <v/>
      </c>
      <c r="E494" s="98" t="str">
        <f>IFERROR(IF(INDEX('Coverage Indicators - Section D'!Q$1:Q$100,MATCH($A482,'Coverage Indicators - Section D'!$A$1:$A$100,0)+1)&lt;&gt;"",INDEX('Coverage Indicators - Section D'!Q$1:Q$100,MATCH($A482,'Coverage Indicators - Section D'!$A$1:$A$100,0)+1),""),"")</f>
        <v/>
      </c>
      <c r="F494" s="98" t="str">
        <f>IFERROR(IF(INDEX('Coverage Indicators - Section D'!T$1:T$100,MATCH($A482,'Coverage Indicators - Section D'!$A$1:$A$100,0)+1)&lt;&gt;"",INDEX('Coverage Indicators - Section D'!T$1:T$100,MATCH($A482,'Coverage Indicators - Section D'!$A$1:$A$100,0)+1),""),"")</f>
        <v/>
      </c>
      <c r="G494" s="98" t="str">
        <f>IFERROR(IF(INDEX('Coverage Indicators - Section D'!W$1:W$100,MATCH($A482,'Coverage Indicators - Section D'!$A$1:$A$100,0)+1)&lt;&gt;"",INDEX('Coverage Indicators - Section D'!W$1:W$100,MATCH($A482,'Coverage Indicators - Section D'!$A$1:$A$100,0)+1),""),"")</f>
        <v/>
      </c>
      <c r="H494" s="98" t="str">
        <f>IFERROR(IF(INDEX('Coverage Indicators - Section D'!Z$1:Z$100,MATCH($A482,'Coverage Indicators - Section D'!$A$1:$A$100,0)+1)&lt;&gt;"",INDEX('Coverage Indicators - Section D'!Z$1:Z$100,MATCH($A482,'Coverage Indicators - Section D'!$A$1:$A$100,0)+1),""),"")</f>
        <v/>
      </c>
      <c r="I494" s="98" t="str">
        <f>IFERROR(IF(INDEX('Coverage Indicators - Section D'!AC$1:AC$100,MATCH($A482,'Coverage Indicators - Section D'!$A$1:$A$100,0)+1)&lt;&gt;"",INDEX('Coverage Indicators - Section D'!AC$1:AC$100,MATCH($A482,'Coverage Indicators - Section D'!$A$1:$A$100,0)+1),""),"")</f>
        <v/>
      </c>
      <c r="J494" s="98" t="str">
        <f>IFERROR(IF(INDEX('Coverage Indicators - Section D'!AF$1:AF$100,MATCH($A482,'Coverage Indicators - Section D'!$A$1:$A$100,0)+1)&lt;&gt;"",INDEX('Coverage Indicators - Section D'!AF$1:AF$100,MATCH($A482,'Coverage Indicators - Section D'!$A$1:$A$100,0)+1),""),"")</f>
        <v/>
      </c>
      <c r="K494" s="98" t="str">
        <f>IFERROR(IF(INDEX('Coverage Indicators - Section D'!AI$1:AI$100,MATCH($A482,'Coverage Indicators - Section D'!$A$1:$A$100,0)+1)&lt;&gt;"",INDEX('Coverage Indicators - Section D'!AI$1:AI$100,MATCH($A482,'Coverage Indicators - Section D'!$A$1:$A$100,0)+1),""),"")</f>
        <v/>
      </c>
      <c r="L494" s="99"/>
    </row>
    <row r="495" spans="1:12" ht="18.75" customHeight="1" x14ac:dyDescent="0.25">
      <c r="A495" s="667"/>
      <c r="B495" s="93" t="s">
        <v>4388</v>
      </c>
      <c r="C495" s="94" t="str">
        <f>IFERROR(IF(INDEX('Coverage Indicators - Section D'!F$1:F$100,MATCH($A482,'Coverage Indicators - Section D'!$A$1:$A$100,0))&lt;&gt;"",FIXED(INDEX('Coverage Indicators - Section D'!F$1:F$100,MATCH($A482,'Coverage Indicators - Section D'!$A$1:$A$100,0))*100,2)&amp;"%",""),"")</f>
        <v>0,00%</v>
      </c>
      <c r="D495" s="94" t="str">
        <f>IFERROR(IF(INDEX('Coverage Indicators - Section D'!O$1:O$100,MATCH($A482,'Coverage Indicators - Section D'!$A$1:$A$100,0))&lt;&gt;"",FIXED(INDEX('Coverage Indicators - Section D'!O$1:O$100,MATCH($A482,'Coverage Indicators - Section D'!$A$1:$A$100,0))*100,2)&amp;"%",""),"")&amp;CHAR(10)&amp;IFERROR(IF(INDEX('Coverage Indicators - Section D'!P$1:P$100,MATCH($A482,'Coverage Indicators - Section D'!$A$1:$A$100,0))&lt;&gt;"",INDEX('Coverage Indicators - Section D'!P$1:P$100,MATCH($A482,'Coverage Indicators - Section D'!$A$1:$A$100,0)),""),"")</f>
        <v xml:space="preserve">
</v>
      </c>
      <c r="E495" s="94" t="str">
        <f ca="1">IFERROR(IF(INDEX('Coverage Indicators - Section D'!R$1:R$100,MATCH($A482,'Coverage Indicators - Section D'!$A$1:$A$100,0))&lt;&gt;"",FIXED(INDEX('Coverage Indicators - Section D'!R$1:R$100,MATCH($A482,'Coverage Indicators - Section D'!$A$1:$A$100,0))*100,2)&amp;"%",""),"")&amp;CHAR(10)&amp;IFERROR(IF(INDEX('Coverage Indicators - Section D'!S$1:S$100,MATCH($A482,'Coverage Indicators - Section D'!$A$1:$A$100,0))&lt;&gt;"",INDEX('Coverage Indicators - Section D'!S$1:S$100,MATCH($A482,'Coverage Indicators - Section D'!$A$1:$A$100,0)),""),"")</f>
        <v xml:space="preserve">
</v>
      </c>
      <c r="F495" s="94" t="str">
        <f ca="1">IFERROR(IF(INDEX('Coverage Indicators - Section D'!U$1:U$100,MATCH($A482,'Coverage Indicators - Section D'!$A$1:$A$100,0))&lt;&gt;"",FIXED(INDEX('Coverage Indicators - Section D'!U$1:U$100,MATCH($A482,'Coverage Indicators - Section D'!$A$1:$A$100,0))*100,2)&amp;"%",""),"")&amp;CHAR(10)&amp;IFERROR(IF(INDEX('Coverage Indicators - Section D'!V$1:V$100,MATCH($A482,'Coverage Indicators - Section D'!$A$1:$A$100,0))&lt;&gt;"",INDEX('Coverage Indicators - Section D'!V$1:V$100,MATCH($A482,'Coverage Indicators - Section D'!$A$1:$A$100,0)),""),"")</f>
        <v xml:space="preserve">
</v>
      </c>
      <c r="G495" s="94" t="str">
        <f ca="1">IFERROR(IF(INDEX('Coverage Indicators - Section D'!X$1:X$100,MATCH($A482,'Coverage Indicators - Section D'!$A$1:$A$100,0))&lt;&gt;"",FIXED(INDEX('Coverage Indicators - Section D'!X$1:X$100,MATCH($A482,'Coverage Indicators - Section D'!$A$1:$A$100,0))*100,2)&amp;"%",""),"")&amp;CHAR(10)&amp;IFERROR(IF(INDEX('Coverage Indicators - Section D'!Y$1:Y$100,MATCH($A482,'Coverage Indicators - Section D'!$A$1:$A$100,0))&lt;&gt;"",INDEX('Coverage Indicators - Section D'!Y$1:Y$100,MATCH($A482,'Coverage Indicators - Section D'!$A$1:$A$100,0)),""),"")</f>
        <v xml:space="preserve">
</v>
      </c>
      <c r="H495" s="94" t="str">
        <f ca="1">IFERROR(IF(INDEX('Coverage Indicators - Section D'!AA$1:AA$100,MATCH(A482,'Coverage Indicators - Section D'!$A$1:$A$100,0))&lt;&gt;"",FIXED(INDEX('Coverage Indicators - Section D'!AA$1:AA$100,MATCH($A482,'Coverage Indicators - Section D'!$A$1:$A$100,0))*100,2)&amp;"%",""),"")&amp;CHAR(10)&amp;IFERROR(IF(INDEX('Coverage Indicators - Section D'!AB$1:AB$100,MATCH($A482,'Coverage Indicators - Section D'!$A$1:$A$100,0))&lt;&gt;"",INDEX('Coverage Indicators - Section D'!AB$1:AB$100,MATCH($A482,'Coverage Indicators - Section D'!$A$1:$A$100,0)),""),"")</f>
        <v xml:space="preserve">
</v>
      </c>
      <c r="I495" s="94" t="str">
        <f ca="1">IFERROR(IF(INDEX('Coverage Indicators - Section D'!AD$1:AD$100,MATCH($A482,'Coverage Indicators - Section D'!$A$1:$A$100,0))&lt;&gt;"",FIXED(INDEX('Coverage Indicators - Section D'!AD$1:AD$100,MATCH($A482,'Coverage Indicators - Section D'!$A$1:$A$100,0))*100,2)&amp;"%",""),"")&amp;CHAR(10)&amp;IFERROR(IF(INDEX('Coverage Indicators - Section D'!AE$1:AE$100,MATCH($A482,'Coverage Indicators - Section D'!$A$1:$A$100,0))&lt;&gt;"",INDEX('Coverage Indicators - Section D'!AE$1:AE$100,MATCH($A482,'Coverage Indicators - Section D'!$A$1:$A$100,0)),""),"")</f>
        <v xml:space="preserve">
</v>
      </c>
      <c r="J495" s="94" t="str">
        <f ca="1">IFERROR(IF(INDEX('Coverage Indicators - Section D'!AG$1:AG$100,MATCH($A482,'Coverage Indicators - Section D'!$A$1:$A$100,0))&lt;&gt;"",FIXED(INDEX('Coverage Indicators - Section D'!AG$1:AG$100,MATCH($A482,'Coverage Indicators - Section D'!$A$1:$A$100,0))*100,2)&amp;"%",""),"")&amp;CHAR(10)&amp;IFERROR(IF(INDEX('Coverage Indicators - Section D'!AH$1:AH$100,MATCH($A482,'Coverage Indicators - Section D'!$A$1:$A$100,0))&lt;&gt;"",INDEX('Coverage Indicators - Section D'!AH$1:AH$100,MATCH($A482,'Coverage Indicators - Section D'!$A$1:$A$100,0)),""),"")</f>
        <v xml:space="preserve">
</v>
      </c>
      <c r="K495" s="94" t="str">
        <f ca="1">IFERROR(IF(INDEX('Coverage Indicators - Section D'!AJ$1:AJ$100,MATCH($A482,'Coverage Indicators - Section D'!$A$1:$A$100,0))&lt;&gt;"",FIXED(INDEX('Coverage Indicators - Section D'!AJ$1:AJ$100,MATCH($A482,'Coverage Indicators - Section D'!$A$1:$A$100,0))*100,2)&amp;"%",""),"")&amp;CHAR(10)&amp;IFERROR(IF(INDEX('Coverage Indicators - Section D'!AK$1:AK$100,MATCH($A482,'Coverage Indicators - Section D'!$A$1:$A$100,0))&lt;&gt;"",INDEX('Coverage Indicators - Section D'!AK$1:AK$100,MATCH($A482,'Coverage Indicators - Section D'!$A$1:$A$100,0)),""),"")</f>
        <v xml:space="preserve">
</v>
      </c>
      <c r="L495" s="86"/>
    </row>
    <row r="496" spans="1:12" ht="18.75" customHeight="1" x14ac:dyDescent="0.25">
      <c r="A496" s="667"/>
      <c r="B496" s="660" t="s">
        <v>176</v>
      </c>
      <c r="C496" s="661"/>
      <c r="D496" s="661"/>
      <c r="E496" s="661"/>
      <c r="F496" s="661"/>
      <c r="G496" s="661"/>
      <c r="H496" s="661"/>
      <c r="I496" s="661"/>
      <c r="J496" s="661"/>
      <c r="K496" s="662"/>
      <c r="L496" s="86"/>
    </row>
    <row r="497" spans="1:12" ht="18.75" customHeight="1" x14ac:dyDescent="0.25">
      <c r="A497" s="667"/>
      <c r="B497" s="669" t="str">
        <f>IFERROR(IF(INDEX('Coverage Indicators - Section D'!AL$1:AL$110,MATCH($A482,'Coverage Indicators - Section D'!$A$1:$A$110,0))&lt;&gt;0,INDEX('Coverage Indicators - Section D'!AL$1:AL$110,MATCH($A482,'Coverage Indicators - Section D'!$A$1:$A$110,0)),""),"")</f>
        <v>In the previous cycle, the self-test service was not available. For the next cycle 2024-2026, it is planned to cover part of the clients of preventive programs through the online platform. Since the indicator is new, 80-90% of coverage through the online platform is planned to be covered by self-testing.</v>
      </c>
      <c r="C497" s="670"/>
      <c r="D497" s="670"/>
      <c r="E497" s="670"/>
      <c r="F497" s="670"/>
      <c r="G497" s="670"/>
      <c r="H497" s="670"/>
      <c r="I497" s="670"/>
      <c r="J497" s="670"/>
      <c r="K497" s="671"/>
      <c r="L497" s="86"/>
    </row>
    <row r="498" spans="1:12" ht="18.75" customHeight="1" x14ac:dyDescent="0.25">
      <c r="A498" s="667"/>
      <c r="B498" s="672"/>
      <c r="C498" s="673"/>
      <c r="D498" s="673"/>
      <c r="E498" s="673"/>
      <c r="F498" s="673"/>
      <c r="G498" s="673"/>
      <c r="H498" s="673"/>
      <c r="I498" s="673"/>
      <c r="J498" s="673"/>
      <c r="K498" s="674"/>
      <c r="L498" s="86"/>
    </row>
    <row r="499" spans="1:12" ht="18.75" customHeight="1" x14ac:dyDescent="0.25">
      <c r="A499" s="667"/>
      <c r="B499" s="672"/>
      <c r="C499" s="673"/>
      <c r="D499" s="673"/>
      <c r="E499" s="673"/>
      <c r="F499" s="673"/>
      <c r="G499" s="673"/>
      <c r="H499" s="673"/>
      <c r="I499" s="673"/>
      <c r="J499" s="673"/>
      <c r="K499" s="674"/>
      <c r="L499" s="86"/>
    </row>
    <row r="500" spans="1:12" ht="18.75" customHeight="1" x14ac:dyDescent="0.25">
      <c r="A500" s="667"/>
      <c r="B500" s="672"/>
      <c r="C500" s="673"/>
      <c r="D500" s="673"/>
      <c r="E500" s="673"/>
      <c r="F500" s="673"/>
      <c r="G500" s="673"/>
      <c r="H500" s="673"/>
      <c r="I500" s="673"/>
      <c r="J500" s="673"/>
      <c r="K500" s="674"/>
      <c r="L500" s="86"/>
    </row>
    <row r="501" spans="1:12" ht="18.75" customHeight="1" x14ac:dyDescent="0.25">
      <c r="A501" s="667"/>
      <c r="B501" s="672"/>
      <c r="C501" s="673"/>
      <c r="D501" s="673"/>
      <c r="E501" s="673"/>
      <c r="F501" s="673"/>
      <c r="G501" s="673"/>
      <c r="H501" s="673"/>
      <c r="I501" s="673"/>
      <c r="J501" s="673"/>
      <c r="K501" s="674"/>
      <c r="L501" s="86"/>
    </row>
    <row r="502" spans="1:12" ht="18.75" customHeight="1" x14ac:dyDescent="0.25">
      <c r="A502" s="667"/>
      <c r="B502" s="672"/>
      <c r="C502" s="673"/>
      <c r="D502" s="673"/>
      <c r="E502" s="673"/>
      <c r="F502" s="673"/>
      <c r="G502" s="673"/>
      <c r="H502" s="673"/>
      <c r="I502" s="673"/>
      <c r="J502" s="673"/>
      <c r="K502" s="674"/>
      <c r="L502" s="86"/>
    </row>
    <row r="503" spans="1:12" ht="18.75" customHeight="1" x14ac:dyDescent="0.25">
      <c r="A503" s="667"/>
      <c r="B503" s="672"/>
      <c r="C503" s="673"/>
      <c r="D503" s="673"/>
      <c r="E503" s="673"/>
      <c r="F503" s="673"/>
      <c r="G503" s="673"/>
      <c r="H503" s="673"/>
      <c r="I503" s="673"/>
      <c r="J503" s="673"/>
      <c r="K503" s="674"/>
      <c r="L503" s="86"/>
    </row>
    <row r="504" spans="1:12" ht="18.75" customHeight="1" x14ac:dyDescent="0.25">
      <c r="A504" s="667"/>
      <c r="B504" s="672"/>
      <c r="C504" s="673"/>
      <c r="D504" s="673"/>
      <c r="E504" s="673"/>
      <c r="F504" s="673"/>
      <c r="G504" s="673"/>
      <c r="H504" s="673"/>
      <c r="I504" s="673"/>
      <c r="J504" s="673"/>
      <c r="K504" s="674"/>
      <c r="L504" s="86"/>
    </row>
    <row r="505" spans="1:12" ht="18.75" customHeight="1" x14ac:dyDescent="0.25">
      <c r="A505" s="667"/>
      <c r="B505" s="672"/>
      <c r="C505" s="673"/>
      <c r="D505" s="673"/>
      <c r="E505" s="673"/>
      <c r="F505" s="673"/>
      <c r="G505" s="673"/>
      <c r="H505" s="673"/>
      <c r="I505" s="673"/>
      <c r="J505" s="673"/>
      <c r="K505" s="674"/>
      <c r="L505" s="86"/>
    </row>
    <row r="506" spans="1:12" ht="18.75" customHeight="1" x14ac:dyDescent="0.25">
      <c r="A506" s="668"/>
      <c r="B506" s="675"/>
      <c r="C506" s="676"/>
      <c r="D506" s="676"/>
      <c r="E506" s="676"/>
      <c r="F506" s="676"/>
      <c r="G506" s="676"/>
      <c r="H506" s="676"/>
      <c r="I506" s="676"/>
      <c r="J506" s="676"/>
      <c r="K506" s="677"/>
      <c r="L506" s="86"/>
    </row>
    <row r="507" spans="1:12" ht="18.75" customHeight="1" x14ac:dyDescent="0.25">
      <c r="A507" s="660"/>
      <c r="B507" s="661"/>
      <c r="C507" s="661"/>
      <c r="D507" s="661"/>
      <c r="E507" s="661"/>
      <c r="F507" s="661"/>
      <c r="G507" s="661"/>
      <c r="H507" s="661"/>
      <c r="I507" s="661"/>
      <c r="J507" s="661"/>
      <c r="K507" s="662"/>
      <c r="L507" s="86"/>
    </row>
    <row r="509" spans="1:12" ht="18.75" customHeight="1" x14ac:dyDescent="0.25">
      <c r="A509" s="93" t="s">
        <v>4383</v>
      </c>
      <c r="B509" s="660" t="s">
        <v>1046</v>
      </c>
      <c r="C509" s="662"/>
      <c r="D509" s="663" t="str">
        <f>IFERROR(IF(INDEX('Coverage Indicators - Section D'!B$1:B$100,MATCH($A510,'Coverage Indicators - Section D'!$A$1:$A$100,0))&lt;&gt;0,INDEX('Coverage Indicators - Section D'!B$1:B$100,MATCH($A510,'Coverage Indicators - Section D'!$A$1:$A$100,0)),""),"")</f>
        <v>Treatment, Care and Support</v>
      </c>
      <c r="E509" s="664"/>
      <c r="F509" s="664"/>
      <c r="G509" s="664"/>
      <c r="H509" s="664"/>
      <c r="I509" s="664"/>
      <c r="J509" s="664"/>
      <c r="K509" s="665"/>
      <c r="L509" s="86"/>
    </row>
    <row r="510" spans="1:12" ht="18.75" customHeight="1" x14ac:dyDescent="0.25">
      <c r="A510" s="666">
        <v>19</v>
      </c>
      <c r="B510" s="660" t="s">
        <v>738</v>
      </c>
      <c r="C510" s="661"/>
      <c r="D510" s="661"/>
      <c r="E510" s="661"/>
      <c r="F510" s="662"/>
      <c r="G510" s="660" t="s">
        <v>739</v>
      </c>
      <c r="H510" s="661"/>
      <c r="I510" s="661"/>
      <c r="J510" s="661"/>
      <c r="K510" s="662"/>
      <c r="L510" s="86"/>
    </row>
    <row r="511" spans="1:12" ht="18.75" customHeight="1" x14ac:dyDescent="0.25">
      <c r="A511" s="667"/>
      <c r="B511" s="669" t="str">
        <f>IFERROR(IF(INDEX('Coverage Indicators - Section D'!C$1:C$100,MATCH($A510,'Coverage Indicators - Section D'!$A$1:$A$100,0))&lt;&gt;0,INDEX('Coverage Indicators - Section D'!C$1:C$100,MATCH($A510,'Coverage Indicators - Section D'!$A$1:$A$100,0)),""),"")</f>
        <v>TCS-9 Percentage of people living with HIV and currently on antiretroviral therapy who are receiving multi month dispensing of antiretroviral medicine</v>
      </c>
      <c r="C511" s="670"/>
      <c r="D511" s="670"/>
      <c r="E511" s="670"/>
      <c r="F511" s="671"/>
      <c r="G511" s="669" t="str">
        <f>IFERROR(IF(INDEX('Coverage Indicators - Section D'!D$1:D$100,MATCH($A510,'Coverage Indicators - Section D'!$A$1:$A$100,0))&lt;&gt;0,INDEX('Coverage Indicators - Section D'!D$1:D$100,MATCH($A510,'Coverage Indicators - Section D'!$A$1:$A$100,0)),""),"")</f>
        <v/>
      </c>
      <c r="H511" s="670"/>
      <c r="I511" s="670"/>
      <c r="J511" s="670"/>
      <c r="K511" s="671"/>
      <c r="L511" s="86"/>
    </row>
    <row r="512" spans="1:12" ht="18.75" customHeight="1" x14ac:dyDescent="0.25">
      <c r="A512" s="667"/>
      <c r="B512" s="672"/>
      <c r="C512" s="673"/>
      <c r="D512" s="673"/>
      <c r="E512" s="673"/>
      <c r="F512" s="674"/>
      <c r="G512" s="672"/>
      <c r="H512" s="673"/>
      <c r="I512" s="673"/>
      <c r="J512" s="673"/>
      <c r="K512" s="674"/>
      <c r="L512" s="86"/>
    </row>
    <row r="513" spans="1:12" ht="18.75" customHeight="1" x14ac:dyDescent="0.25">
      <c r="A513" s="667"/>
      <c r="B513" s="675"/>
      <c r="C513" s="676"/>
      <c r="D513" s="676"/>
      <c r="E513" s="676"/>
      <c r="F513" s="677"/>
      <c r="G513" s="675"/>
      <c r="H513" s="676"/>
      <c r="I513" s="676"/>
      <c r="J513" s="676"/>
      <c r="K513" s="677"/>
      <c r="L513" s="86"/>
    </row>
    <row r="514" spans="1:12" ht="18.75" customHeight="1" x14ac:dyDescent="0.25">
      <c r="A514" s="667"/>
      <c r="B514" s="660" t="s">
        <v>742</v>
      </c>
      <c r="C514" s="661"/>
      <c r="D514" s="662"/>
      <c r="E514" s="660" t="s">
        <v>216</v>
      </c>
      <c r="F514" s="661"/>
      <c r="G514" s="662"/>
      <c r="H514" s="660" t="s">
        <v>127</v>
      </c>
      <c r="I514" s="661"/>
      <c r="J514" s="662"/>
      <c r="K514" s="93" t="s">
        <v>2175</v>
      </c>
      <c r="L514" s="86"/>
    </row>
    <row r="515" spans="1:12" ht="18.75" customHeight="1" x14ac:dyDescent="0.25">
      <c r="A515" s="667"/>
      <c r="B515" s="663" t="str">
        <f>IFERROR(IF(INDEX('Coverage Indicators - Section D'!I$9:I$68,MATCH($A510,'Coverage Indicators - Section D'!$A$9:$A$68,0))&lt;&gt;0,INDEX('Coverage Indicators - Section D'!I$9:I$68,MATCH($A510,'Coverage Indicators - Section D'!$A$9:$A$68,0)),""),"")</f>
        <v>Gender | Age,Age</v>
      </c>
      <c r="C515" s="664"/>
      <c r="D515" s="665"/>
      <c r="E515" s="663" t="str">
        <f>IFERROR(IF(INDEX('Coverage Indicators - Section D'!M$1:M$100,MATCH($A510,'Coverage Indicators - Section D'!$A$1:$A$100,0))&lt;&gt;0,INDEX('Coverage Indicators - Section D'!M$1:M$100,MATCH($A510,'Coverage Indicators - Section D'!$A$1:$A$100,0)),""),"")</f>
        <v/>
      </c>
      <c r="F515" s="664"/>
      <c r="G515" s="665"/>
      <c r="H515" s="663" t="str">
        <f>IFERROR(IF(INDEX('Coverage Indicators - Section D'!L$1:L$100,MATCH($A510,'Coverage Indicators - Section D'!$A$1:$A$100,0))&lt;&gt;0,INDEX('Coverage Indicators - Section D'!L$1:L$100,MATCH($A510,'Coverage Indicators - Section D'!$A$1:$A$100,0)),""),"")</f>
        <v/>
      </c>
      <c r="I515" s="664"/>
      <c r="J515" s="665"/>
      <c r="K515" s="94" t="str">
        <f>IFERROR(IF(INDEX('Coverage Indicators - Section D'!J$1:J$100,MATCH($A510,'Coverage Indicators - Section D'!$A$1:$A$100,0))&lt;&gt;0,INDEX('Coverage Indicators - Section D'!J$1:J$100,MATCH($A510,'Coverage Indicators - Section D'!$A$1:$A$100,0)),""),"")</f>
        <v>Yes</v>
      </c>
      <c r="L515" s="86"/>
    </row>
    <row r="516" spans="1:12" ht="18.75" customHeight="1" x14ac:dyDescent="0.25">
      <c r="A516" s="667"/>
      <c r="B516" s="660" t="s">
        <v>199</v>
      </c>
      <c r="C516" s="661"/>
      <c r="D516" s="662"/>
      <c r="E516" s="660" t="s">
        <v>4392</v>
      </c>
      <c r="F516" s="661"/>
      <c r="G516" s="662"/>
      <c r="H516" s="660" t="s">
        <v>120</v>
      </c>
      <c r="I516" s="661"/>
      <c r="J516" s="661"/>
      <c r="K516" s="662"/>
      <c r="L516" s="86"/>
    </row>
    <row r="517" spans="1:12" ht="18.75" customHeight="1" x14ac:dyDescent="0.25">
      <c r="A517" s="667"/>
      <c r="B517" s="669" t="str">
        <f>IFERROR(IF(INDEX('Coverage Indicators - Section D'!H$1:H$100,MATCH($A510,'Coverage Indicators - Section D'!$A$1:$A$100,0))&lt;&gt;0,INDEX('Coverage Indicators - Section D'!H$1:H$100,MATCH($A510,'Coverage Indicators - Section D'!$A$1:$A$100,0)),""),"")</f>
        <v>Electronic HIV Case Tracking System and RCHV&amp;HIV report</v>
      </c>
      <c r="C517" s="670"/>
      <c r="D517" s="671"/>
      <c r="E517" s="669" t="str">
        <f>IFERROR(IF(INDEX('Coverage Indicators - Section D'!L$1:L$100,MATCH($A510,'Coverage Indicators - Section D'!$A$1:$A$100,0)+1)&lt;&gt;0,INDEX('Coverage Indicators - Section D'!L$1:L$100,MATCH($A510,'Coverage Indicators - Section D'!$A$1:$A$100,0)+1),""),"")</f>
        <v>Geographic Subnational, 100% of national program target</v>
      </c>
      <c r="F517" s="670"/>
      <c r="G517" s="671"/>
      <c r="H517" s="669" t="str">
        <f>IFERROR(IF(AND('Overview - Section A'!AS$1="Grant Making",OR(B511&lt;&gt;"",G511&lt;&gt;"")),Setup!I519,IF(INDEX('Coverage Indicators - Section D'!K$1:K$100,MATCH($A510,'Coverage Indicators - Section D'!$A$1:$A$100,0))&lt;&gt;0,INDEX('Coverage Indicators - Section D'!K$1:K$100,MATCH($A510,'Coverage Indicators - Section D'!$A$1:$A$100,0)),"")),"")</f>
        <v>United Nations Development Programme</v>
      </c>
      <c r="I517" s="670"/>
      <c r="J517" s="670"/>
      <c r="K517" s="671"/>
      <c r="L517" s="86"/>
    </row>
    <row r="518" spans="1:12" ht="18.75" customHeight="1" x14ac:dyDescent="0.25">
      <c r="A518" s="667"/>
      <c r="B518" s="675"/>
      <c r="C518" s="676"/>
      <c r="D518" s="677"/>
      <c r="E518" s="675"/>
      <c r="F518" s="676"/>
      <c r="G518" s="677"/>
      <c r="H518" s="675"/>
      <c r="I518" s="676"/>
      <c r="J518" s="676"/>
      <c r="K518" s="677"/>
      <c r="L518" s="86"/>
    </row>
    <row r="519" spans="1:12" ht="18.75" customHeight="1" x14ac:dyDescent="0.25">
      <c r="A519" s="667"/>
      <c r="B519" s="93"/>
      <c r="C519" s="93" t="s">
        <v>4384</v>
      </c>
      <c r="D519" s="660" t="s">
        <v>4385</v>
      </c>
      <c r="E519" s="661"/>
      <c r="F519" s="661"/>
      <c r="G519" s="661"/>
      <c r="H519" s="661"/>
      <c r="I519" s="661"/>
      <c r="J519" s="661"/>
      <c r="K519" s="662"/>
      <c r="L519" s="86"/>
    </row>
    <row r="520" spans="1:12" ht="18.75" customHeight="1" x14ac:dyDescent="0.25">
      <c r="A520" s="667"/>
      <c r="B520" s="93" t="s">
        <v>2559</v>
      </c>
      <c r="C520" s="94">
        <f>IFERROR(IF(INDEX('Coverage Indicators - Section D'!G$1:G$100,MATCH($A510,'Coverage Indicators - Section D'!$A$1:$A$100,0))&lt;&gt;0,INDEX('Coverage Indicators - Section D'!G$1:G$100,MATCH($A510,'Coverage Indicators - Section D'!$A$1:$A$100,0)),""),"")</f>
        <v>2022</v>
      </c>
      <c r="D520"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520"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520"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520"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520"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520"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520"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520"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520" s="86"/>
    </row>
    <row r="521" spans="1:12" s="97" customFormat="1" ht="18.75" customHeight="1" x14ac:dyDescent="0.25">
      <c r="A521" s="667"/>
      <c r="B521" s="93" t="s">
        <v>4386</v>
      </c>
      <c r="C521" s="95">
        <f>IFERROR(IF(INDEX('Coverage Indicators - Section D'!E$1:E$100,MATCH($A510,'Coverage Indicators - Section D'!$A$1:$A$100,0))&lt;&gt;"",INDEX('Coverage Indicators - Section D'!E$1:E$100,MATCH($A510,'Coverage Indicators - Section D'!$A$1:$A$100,0)),""),"")</f>
        <v>4307</v>
      </c>
      <c r="D521" s="95" t="str">
        <f>IFERROR(IF(INDEX('Coverage Indicators - Section D'!N$1:N$100,MATCH($A510,'Coverage Indicators - Section D'!$A$1:$A$100,0))&lt;&gt;"",INDEX('Coverage Indicators - Section D'!N$1:N$100,MATCH($A510,'Coverage Indicators - Section D'!$A$1:$A$100,0)),""),"")</f>
        <v/>
      </c>
      <c r="E521" s="95" t="str">
        <f>IFERROR(IF(INDEX('Coverage Indicators - Section D'!Q$1:Q$100,MATCH($A510,'Coverage Indicators - Section D'!$A$1:$A$100,0))&lt;&gt;"",INDEX('Coverage Indicators - Section D'!Q$1:Q$100,MATCH($A510,'Coverage Indicators - Section D'!$A$1:$A$100,0)),""),"")</f>
        <v/>
      </c>
      <c r="F521" s="95" t="str">
        <f>IFERROR(IF(INDEX('Coverage Indicators - Section D'!T$1:T$100,MATCH($A510,'Coverage Indicators - Section D'!$A$1:$A$100,0))&lt;&gt;"",INDEX('Coverage Indicators - Section D'!T$1:T$100,MATCH($A510,'Coverage Indicators - Section D'!$A$1:$A$100,0)),""),"")</f>
        <v/>
      </c>
      <c r="G521" s="95" t="str">
        <f>IFERROR(IF(INDEX('Coverage Indicators - Section D'!W$1:W$100,MATCH($A510,'Coverage Indicators - Section D'!$A$1:$A$100,0))&lt;&gt;"",INDEX('Coverage Indicators - Section D'!W$1:W$100,MATCH($A510,'Coverage Indicators - Section D'!$A$1:$A$100,0)),""),"")</f>
        <v/>
      </c>
      <c r="H521" s="95" t="str">
        <f>IFERROR(IF(INDEX('Coverage Indicators - Section D'!Z$1:Z$100,MATCH($A510,'Coverage Indicators - Section D'!$A$1:$A$100,0))&lt;&gt;"",INDEX('Coverage Indicators - Section D'!Z$1:Z$100,MATCH($A510,'Coverage Indicators - Section D'!$A$1:$A$100,0)),""),"")</f>
        <v/>
      </c>
      <c r="I521" s="95" t="str">
        <f>IFERROR(IF(INDEX('Coverage Indicators - Section D'!AC$1:AC$100,MATCH($A510,'Coverage Indicators - Section D'!$A$1:$A$100,0))&lt;&gt;"",INDEX('Coverage Indicators - Section D'!AC$1:AC$100,MATCH($A510,'Coverage Indicators - Section D'!$A$1:$A$100,0)),""),"")</f>
        <v/>
      </c>
      <c r="J521" s="95" t="str">
        <f>IFERROR(IF(INDEX('Coverage Indicators - Section D'!AF$1:AF$100,MATCH($A510,'Coverage Indicators - Section D'!$A$1:$A$100,0))&lt;&gt;"",INDEX('Coverage Indicators - Section D'!AF$1:AF$100,MATCH($A510,'Coverage Indicators - Section D'!$A$1:$A$100,0)),""),"")</f>
        <v/>
      </c>
      <c r="K521" s="95" t="str">
        <f>IFERROR(IF(INDEX('Coverage Indicators - Section D'!AI$1:AI$100,MATCH($A510,'Coverage Indicators - Section D'!$A$1:$A$100,0))&lt;&gt;"",INDEX('Coverage Indicators - Section D'!AI$1:AI$100,MATCH($A510,'Coverage Indicators - Section D'!$A$1:$A$100,0)),""),"")</f>
        <v/>
      </c>
      <c r="L521" s="96"/>
    </row>
    <row r="522" spans="1:12" s="100" customFormat="1" ht="18.75" customHeight="1" x14ac:dyDescent="0.25">
      <c r="A522" s="667"/>
      <c r="B522" s="93" t="s">
        <v>4387</v>
      </c>
      <c r="C522" s="98">
        <f>IFERROR(IF(INDEX('Coverage Indicators - Section D'!E$1:E$100,MATCH($A510,'Coverage Indicators - Section D'!$A$1:$A$100,0)+1)&lt;&gt;"",INDEX('Coverage Indicators - Section D'!E$1:E$100,MATCH($A510,'Coverage Indicators - Section D'!$A$1:$A$100,0)+1),""),"")</f>
        <v>5771</v>
      </c>
      <c r="D522" s="98" t="str">
        <f>IFERROR(IF(INDEX('Coverage Indicators - Section D'!N$1:N$100,MATCH($A510,'Coverage Indicators - Section D'!$A$1:$A$100,0)+1)&lt;&gt;"",INDEX('Coverage Indicators - Section D'!N$1:N$100,MATCH($A510,'Coverage Indicators - Section D'!$A$1:$A$100,0)+1),""),"")</f>
        <v/>
      </c>
      <c r="E522" s="98" t="str">
        <f>IFERROR(IF(INDEX('Coverage Indicators - Section D'!Q$1:Q$100,MATCH($A510,'Coverage Indicators - Section D'!$A$1:$A$100,0)+1)&lt;&gt;"",INDEX('Coverage Indicators - Section D'!Q$1:Q$100,MATCH($A510,'Coverage Indicators - Section D'!$A$1:$A$100,0)+1),""),"")</f>
        <v/>
      </c>
      <c r="F522" s="98" t="str">
        <f>IFERROR(IF(INDEX('Coverage Indicators - Section D'!T$1:T$100,MATCH($A510,'Coverage Indicators - Section D'!$A$1:$A$100,0)+1)&lt;&gt;"",INDEX('Coverage Indicators - Section D'!T$1:T$100,MATCH($A510,'Coverage Indicators - Section D'!$A$1:$A$100,0)+1),""),"")</f>
        <v/>
      </c>
      <c r="G522" s="98" t="str">
        <f>IFERROR(IF(INDEX('Coverage Indicators - Section D'!W$1:W$100,MATCH($A510,'Coverage Indicators - Section D'!$A$1:$A$100,0)+1)&lt;&gt;"",INDEX('Coverage Indicators - Section D'!W$1:W$100,MATCH($A510,'Coverage Indicators - Section D'!$A$1:$A$100,0)+1),""),"")</f>
        <v/>
      </c>
      <c r="H522" s="98" t="str">
        <f>IFERROR(IF(INDEX('Coverage Indicators - Section D'!Z$1:Z$100,MATCH($A510,'Coverage Indicators - Section D'!$A$1:$A$100,0)+1)&lt;&gt;"",INDEX('Coverage Indicators - Section D'!Z$1:Z$100,MATCH($A510,'Coverage Indicators - Section D'!$A$1:$A$100,0)+1),""),"")</f>
        <v/>
      </c>
      <c r="I522" s="98" t="str">
        <f>IFERROR(IF(INDEX('Coverage Indicators - Section D'!AC$1:AC$100,MATCH($A510,'Coverage Indicators - Section D'!$A$1:$A$100,0)+1)&lt;&gt;"",INDEX('Coverage Indicators - Section D'!AC$1:AC$100,MATCH($A510,'Coverage Indicators - Section D'!$A$1:$A$100,0)+1),""),"")</f>
        <v/>
      </c>
      <c r="J522" s="98" t="str">
        <f>IFERROR(IF(INDEX('Coverage Indicators - Section D'!AF$1:AF$100,MATCH($A510,'Coverage Indicators - Section D'!$A$1:$A$100,0)+1)&lt;&gt;"",INDEX('Coverage Indicators - Section D'!AF$1:AF$100,MATCH($A510,'Coverage Indicators - Section D'!$A$1:$A$100,0)+1),""),"")</f>
        <v/>
      </c>
      <c r="K522" s="98" t="str">
        <f>IFERROR(IF(INDEX('Coverage Indicators - Section D'!AI$1:AI$100,MATCH($A510,'Coverage Indicators - Section D'!$A$1:$A$100,0)+1)&lt;&gt;"",INDEX('Coverage Indicators - Section D'!AI$1:AI$100,MATCH($A510,'Coverage Indicators - Section D'!$A$1:$A$100,0)+1),""),"")</f>
        <v/>
      </c>
      <c r="L522" s="99"/>
    </row>
    <row r="523" spans="1:12" ht="18.75" customHeight="1" x14ac:dyDescent="0.25">
      <c r="A523" s="667"/>
      <c r="B523" s="93" t="s">
        <v>4388</v>
      </c>
      <c r="C523" s="94" t="str">
        <f ca="1">IFERROR(IF(INDEX('Coverage Indicators - Section D'!F$1:F$100,MATCH($A510,'Coverage Indicators - Section D'!$A$1:$A$100,0))&lt;&gt;"",FIXED(INDEX('Coverage Indicators - Section D'!F$1:F$100,MATCH($A510,'Coverage Indicators - Section D'!$A$1:$A$100,0))*100,2)&amp;"%",""),"")</f>
        <v>74,63%</v>
      </c>
      <c r="D523" s="94" t="str">
        <f>IFERROR(IF(INDEX('Coverage Indicators - Section D'!O$1:O$100,MATCH($A510,'Coverage Indicators - Section D'!$A$1:$A$100,0))&lt;&gt;"",FIXED(INDEX('Coverage Indicators - Section D'!O$1:O$100,MATCH($A510,'Coverage Indicators - Section D'!$A$1:$A$100,0))*100,2)&amp;"%",""),"")&amp;CHAR(10)&amp;IFERROR(IF(INDEX('Coverage Indicators - Section D'!P$1:P$100,MATCH($A510,'Coverage Indicators - Section D'!$A$1:$A$100,0))&lt;&gt;"",INDEX('Coverage Indicators - Section D'!P$1:P$100,MATCH($A510,'Coverage Indicators - Section D'!$A$1:$A$100,0)),""),"")</f>
        <v xml:space="preserve">75,00%
</v>
      </c>
      <c r="E523" s="94" t="str">
        <f>IFERROR(IF(INDEX('Coverage Indicators - Section D'!R$1:R$100,MATCH($A510,'Coverage Indicators - Section D'!$A$1:$A$100,0))&lt;&gt;"",FIXED(INDEX('Coverage Indicators - Section D'!R$1:R$100,MATCH($A510,'Coverage Indicators - Section D'!$A$1:$A$100,0))*100,2)&amp;"%",""),"")&amp;CHAR(10)&amp;IFERROR(IF(INDEX('Coverage Indicators - Section D'!S$1:S$100,MATCH($A510,'Coverage Indicators - Section D'!$A$1:$A$100,0))&lt;&gt;"",INDEX('Coverage Indicators - Section D'!S$1:S$100,MATCH($A510,'Coverage Indicators - Section D'!$A$1:$A$100,0)),""),"")</f>
        <v xml:space="preserve">80,00%
</v>
      </c>
      <c r="F523" s="94" t="str">
        <f>IFERROR(IF(INDEX('Coverage Indicators - Section D'!U$1:U$100,MATCH($A510,'Coverage Indicators - Section D'!$A$1:$A$100,0))&lt;&gt;"",FIXED(INDEX('Coverage Indicators - Section D'!U$1:U$100,MATCH($A510,'Coverage Indicators - Section D'!$A$1:$A$100,0))*100,2)&amp;"%",""),"")&amp;CHAR(10)&amp;IFERROR(IF(INDEX('Coverage Indicators - Section D'!V$1:V$100,MATCH($A510,'Coverage Indicators - Section D'!$A$1:$A$100,0))&lt;&gt;"",INDEX('Coverage Indicators - Section D'!V$1:V$100,MATCH($A510,'Coverage Indicators - Section D'!$A$1:$A$100,0)),""),"")</f>
        <v xml:space="preserve">85,00%
</v>
      </c>
      <c r="G523" s="94" t="str">
        <f ca="1">IFERROR(IF(INDEX('Coverage Indicators - Section D'!X$1:X$100,MATCH($A510,'Coverage Indicators - Section D'!$A$1:$A$100,0))&lt;&gt;"",FIXED(INDEX('Coverage Indicators - Section D'!X$1:X$100,MATCH($A510,'Coverage Indicators - Section D'!$A$1:$A$100,0))*100,2)&amp;"%",""),"")&amp;CHAR(10)&amp;IFERROR(IF(INDEX('Coverage Indicators - Section D'!Y$1:Y$100,MATCH($A510,'Coverage Indicators - Section D'!$A$1:$A$100,0))&lt;&gt;"",INDEX('Coverage Indicators - Section D'!Y$1:Y$100,MATCH($A510,'Coverage Indicators - Section D'!$A$1:$A$100,0)),""),"")</f>
        <v xml:space="preserve">
</v>
      </c>
      <c r="H523" s="94" t="str">
        <f ca="1">IFERROR(IF(INDEX('Coverage Indicators - Section D'!AA$1:AA$100,MATCH(A510,'Coverage Indicators - Section D'!$A$1:$A$100,0))&lt;&gt;"",FIXED(INDEX('Coverage Indicators - Section D'!AA$1:AA$100,MATCH($A510,'Coverage Indicators - Section D'!$A$1:$A$100,0))*100,2)&amp;"%",""),"")&amp;CHAR(10)&amp;IFERROR(IF(INDEX('Coverage Indicators - Section D'!AB$1:AB$100,MATCH($A510,'Coverage Indicators - Section D'!$A$1:$A$100,0))&lt;&gt;"",INDEX('Coverage Indicators - Section D'!AB$1:AB$100,MATCH($A510,'Coverage Indicators - Section D'!$A$1:$A$100,0)),""),"")</f>
        <v xml:space="preserve">
</v>
      </c>
      <c r="I523" s="94" t="str">
        <f ca="1">IFERROR(IF(INDEX('Coverage Indicators - Section D'!AD$1:AD$100,MATCH($A510,'Coverage Indicators - Section D'!$A$1:$A$100,0))&lt;&gt;"",FIXED(INDEX('Coverage Indicators - Section D'!AD$1:AD$100,MATCH($A510,'Coverage Indicators - Section D'!$A$1:$A$100,0))*100,2)&amp;"%",""),"")&amp;CHAR(10)&amp;IFERROR(IF(INDEX('Coverage Indicators - Section D'!AE$1:AE$100,MATCH($A510,'Coverage Indicators - Section D'!$A$1:$A$100,0))&lt;&gt;"",INDEX('Coverage Indicators - Section D'!AE$1:AE$100,MATCH($A510,'Coverage Indicators - Section D'!$A$1:$A$100,0)),""),"")</f>
        <v xml:space="preserve">
</v>
      </c>
      <c r="J523" s="94" t="str">
        <f ca="1">IFERROR(IF(INDEX('Coverage Indicators - Section D'!AG$1:AG$100,MATCH($A510,'Coverage Indicators - Section D'!$A$1:$A$100,0))&lt;&gt;"",FIXED(INDEX('Coverage Indicators - Section D'!AG$1:AG$100,MATCH($A510,'Coverage Indicators - Section D'!$A$1:$A$100,0))*100,2)&amp;"%",""),"")&amp;CHAR(10)&amp;IFERROR(IF(INDEX('Coverage Indicators - Section D'!AH$1:AH$100,MATCH($A510,'Coverage Indicators - Section D'!$A$1:$A$100,0))&lt;&gt;"",INDEX('Coverage Indicators - Section D'!AH$1:AH$100,MATCH($A510,'Coverage Indicators - Section D'!$A$1:$A$100,0)),""),"")</f>
        <v xml:space="preserve">
</v>
      </c>
      <c r="K523" s="94" t="str">
        <f ca="1">IFERROR(IF(INDEX('Coverage Indicators - Section D'!AJ$1:AJ$100,MATCH($A510,'Coverage Indicators - Section D'!$A$1:$A$100,0))&lt;&gt;"",FIXED(INDEX('Coverage Indicators - Section D'!AJ$1:AJ$100,MATCH($A510,'Coverage Indicators - Section D'!$A$1:$A$100,0))*100,2)&amp;"%",""),"")&amp;CHAR(10)&amp;IFERROR(IF(INDEX('Coverage Indicators - Section D'!AK$1:AK$100,MATCH($A510,'Coverage Indicators - Section D'!$A$1:$A$100,0))&lt;&gt;"",INDEX('Coverage Indicators - Section D'!AK$1:AK$100,MATCH($A510,'Coverage Indicators - Section D'!$A$1:$A$100,0)),""),"")</f>
        <v xml:space="preserve">
</v>
      </c>
      <c r="L523" s="86"/>
    </row>
    <row r="524" spans="1:12" ht="18.75" customHeight="1" x14ac:dyDescent="0.25">
      <c r="A524" s="667"/>
      <c r="B524" s="660" t="s">
        <v>176</v>
      </c>
      <c r="C524" s="661"/>
      <c r="D524" s="661"/>
      <c r="E524" s="661"/>
      <c r="F524" s="661"/>
      <c r="G524" s="661"/>
      <c r="H524" s="661"/>
      <c r="I524" s="661"/>
      <c r="J524" s="661"/>
      <c r="K524" s="662"/>
      <c r="L524" s="86"/>
    </row>
    <row r="525" spans="1:12" ht="18.75" customHeight="1" x14ac:dyDescent="0.25">
      <c r="A525" s="667"/>
      <c r="B525" s="669" t="str">
        <f>IFERROR(IF(INDEX('Coverage Indicators - Section D'!AL$1:AL$110,MATCH($A510,'Coverage Indicators - Section D'!$A$1:$A$110,0))&lt;&gt;0,INDEX('Coverage Indicators - Section D'!AL$1:AL$110,MATCH($A510,'Coverage Indicators - Section D'!$A$1:$A$110,0)),""),"")</f>
        <v>Аs a baseline, the results for 2022 are taken.                                    Numerator: Number of people living with HIV and currently on ART who received 3 – 5 or &gt;6 months of ARV medicine at their most recent ARV medicine pick-up                                                                          Denominator: Number of people living with HIV and currently on ART</v>
      </c>
      <c r="C525" s="670"/>
      <c r="D525" s="670"/>
      <c r="E525" s="670"/>
      <c r="F525" s="670"/>
      <c r="G525" s="670"/>
      <c r="H525" s="670"/>
      <c r="I525" s="670"/>
      <c r="J525" s="670"/>
      <c r="K525" s="671"/>
      <c r="L525" s="86"/>
    </row>
    <row r="526" spans="1:12" ht="18.75" customHeight="1" x14ac:dyDescent="0.25">
      <c r="A526" s="667"/>
      <c r="B526" s="672"/>
      <c r="C526" s="673"/>
      <c r="D526" s="673"/>
      <c r="E526" s="673"/>
      <c r="F526" s="673"/>
      <c r="G526" s="673"/>
      <c r="H526" s="673"/>
      <c r="I526" s="673"/>
      <c r="J526" s="673"/>
      <c r="K526" s="674"/>
      <c r="L526" s="86"/>
    </row>
    <row r="527" spans="1:12" ht="18.75" customHeight="1" x14ac:dyDescent="0.25">
      <c r="A527" s="667"/>
      <c r="B527" s="672"/>
      <c r="C527" s="673"/>
      <c r="D527" s="673"/>
      <c r="E527" s="673"/>
      <c r="F527" s="673"/>
      <c r="G527" s="673"/>
      <c r="H527" s="673"/>
      <c r="I527" s="673"/>
      <c r="J527" s="673"/>
      <c r="K527" s="674"/>
      <c r="L527" s="86"/>
    </row>
    <row r="528" spans="1:12" ht="18.75" customHeight="1" x14ac:dyDescent="0.25">
      <c r="A528" s="667"/>
      <c r="B528" s="672"/>
      <c r="C528" s="673"/>
      <c r="D528" s="673"/>
      <c r="E528" s="673"/>
      <c r="F528" s="673"/>
      <c r="G528" s="673"/>
      <c r="H528" s="673"/>
      <c r="I528" s="673"/>
      <c r="J528" s="673"/>
      <c r="K528" s="674"/>
      <c r="L528" s="86"/>
    </row>
    <row r="529" spans="1:12" ht="18.75" customHeight="1" x14ac:dyDescent="0.25">
      <c r="A529" s="667"/>
      <c r="B529" s="672"/>
      <c r="C529" s="673"/>
      <c r="D529" s="673"/>
      <c r="E529" s="673"/>
      <c r="F529" s="673"/>
      <c r="G529" s="673"/>
      <c r="H529" s="673"/>
      <c r="I529" s="673"/>
      <c r="J529" s="673"/>
      <c r="K529" s="674"/>
      <c r="L529" s="86"/>
    </row>
    <row r="530" spans="1:12" ht="18.75" customHeight="1" x14ac:dyDescent="0.25">
      <c r="A530" s="667"/>
      <c r="B530" s="672"/>
      <c r="C530" s="673"/>
      <c r="D530" s="673"/>
      <c r="E530" s="673"/>
      <c r="F530" s="673"/>
      <c r="G530" s="673"/>
      <c r="H530" s="673"/>
      <c r="I530" s="673"/>
      <c r="J530" s="673"/>
      <c r="K530" s="674"/>
      <c r="L530" s="86"/>
    </row>
    <row r="531" spans="1:12" ht="18.75" customHeight="1" x14ac:dyDescent="0.25">
      <c r="A531" s="667"/>
      <c r="B531" s="672"/>
      <c r="C531" s="673"/>
      <c r="D531" s="673"/>
      <c r="E531" s="673"/>
      <c r="F531" s="673"/>
      <c r="G531" s="673"/>
      <c r="H531" s="673"/>
      <c r="I531" s="673"/>
      <c r="J531" s="673"/>
      <c r="K531" s="674"/>
      <c r="L531" s="86"/>
    </row>
    <row r="532" spans="1:12" ht="18.75" customHeight="1" x14ac:dyDescent="0.25">
      <c r="A532" s="667"/>
      <c r="B532" s="672"/>
      <c r="C532" s="673"/>
      <c r="D532" s="673"/>
      <c r="E532" s="673"/>
      <c r="F532" s="673"/>
      <c r="G532" s="673"/>
      <c r="H532" s="673"/>
      <c r="I532" s="673"/>
      <c r="J532" s="673"/>
      <c r="K532" s="674"/>
      <c r="L532" s="86"/>
    </row>
    <row r="533" spans="1:12" ht="18.75" customHeight="1" x14ac:dyDescent="0.25">
      <c r="A533" s="667"/>
      <c r="B533" s="672"/>
      <c r="C533" s="673"/>
      <c r="D533" s="673"/>
      <c r="E533" s="673"/>
      <c r="F533" s="673"/>
      <c r="G533" s="673"/>
      <c r="H533" s="673"/>
      <c r="I533" s="673"/>
      <c r="J533" s="673"/>
      <c r="K533" s="674"/>
      <c r="L533" s="86"/>
    </row>
    <row r="534" spans="1:12" ht="18.75" customHeight="1" x14ac:dyDescent="0.25">
      <c r="A534" s="668"/>
      <c r="B534" s="675"/>
      <c r="C534" s="676"/>
      <c r="D534" s="676"/>
      <c r="E534" s="676"/>
      <c r="F534" s="676"/>
      <c r="G534" s="676"/>
      <c r="H534" s="676"/>
      <c r="I534" s="676"/>
      <c r="J534" s="676"/>
      <c r="K534" s="677"/>
      <c r="L534" s="86"/>
    </row>
    <row r="535" spans="1:12" ht="18.75" customHeight="1" x14ac:dyDescent="0.25">
      <c r="A535" s="660"/>
      <c r="B535" s="661"/>
      <c r="C535" s="661"/>
      <c r="D535" s="661"/>
      <c r="E535" s="661"/>
      <c r="F535" s="661"/>
      <c r="G535" s="661"/>
      <c r="H535" s="661"/>
      <c r="I535" s="661"/>
      <c r="J535" s="661"/>
      <c r="K535" s="662"/>
      <c r="L535" s="86"/>
    </row>
    <row r="537" spans="1:12" ht="18.75" customHeight="1" x14ac:dyDescent="0.25">
      <c r="A537" s="93" t="s">
        <v>4383</v>
      </c>
      <c r="B537" s="660" t="s">
        <v>1046</v>
      </c>
      <c r="C537" s="662"/>
      <c r="D537" s="663" t="str">
        <f>IFERROR(IF(INDEX('Coverage Indicators - Section D'!B$1:B$100,MATCH($A538,'Coverage Indicators - Section D'!$A$1:$A$100,0))&lt;&gt;0,INDEX('Coverage Indicators - Section D'!B$1:B$100,MATCH($A538,'Coverage Indicators - Section D'!$A$1:$A$100,0)),""),"")</f>
        <v>Drug-resistant (DR)-TB diagnosis, treatment and care</v>
      </c>
      <c r="E537" s="664"/>
      <c r="F537" s="664"/>
      <c r="G537" s="664"/>
      <c r="H537" s="664"/>
      <c r="I537" s="664"/>
      <c r="J537" s="664"/>
      <c r="K537" s="665"/>
      <c r="L537" s="86"/>
    </row>
    <row r="538" spans="1:12" ht="18.75" customHeight="1" x14ac:dyDescent="0.25">
      <c r="A538" s="666">
        <v>20</v>
      </c>
      <c r="B538" s="660" t="s">
        <v>738</v>
      </c>
      <c r="C538" s="661"/>
      <c r="D538" s="661"/>
      <c r="E538" s="661"/>
      <c r="F538" s="662"/>
      <c r="G538" s="660" t="s">
        <v>739</v>
      </c>
      <c r="H538" s="661"/>
      <c r="I538" s="661"/>
      <c r="J538" s="661"/>
      <c r="K538" s="662"/>
      <c r="L538" s="86"/>
    </row>
    <row r="539" spans="1:12" ht="18.75" customHeight="1" x14ac:dyDescent="0.25">
      <c r="A539" s="667"/>
      <c r="B539" s="669" t="str">
        <f>IFERROR(IF(INDEX('Coverage Indicators - Section D'!C$1:C$100,MATCH($A538,'Coverage Indicators - Section D'!$A$1:$A$100,0))&lt;&gt;0,INDEX('Coverage Indicators - Section D'!C$1:C$100,MATCH($A538,'Coverage Indicators - Section D'!$A$1:$A$100,0)),""),"")</f>
        <v>DRTB-2⁽ᴹ⁾ Number of people with confirmed RR-TB and/or MDR-TB notified</v>
      </c>
      <c r="C539" s="670"/>
      <c r="D539" s="670"/>
      <c r="E539" s="670"/>
      <c r="F539" s="671"/>
      <c r="G539" s="669" t="str">
        <f>IFERROR(IF(INDEX('Coverage Indicators - Section D'!D$1:D$100,MATCH($A538,'Coverage Indicators - Section D'!$A$1:$A$100,0))&lt;&gt;0,INDEX('Coverage Indicators - Section D'!D$1:D$100,MATCH($A538,'Coverage Indicators - Section D'!$A$1:$A$100,0)),""),"")</f>
        <v/>
      </c>
      <c r="H539" s="670"/>
      <c r="I539" s="670"/>
      <c r="J539" s="670"/>
      <c r="K539" s="671"/>
      <c r="L539" s="86"/>
    </row>
    <row r="540" spans="1:12" ht="18.75" customHeight="1" x14ac:dyDescent="0.25">
      <c r="A540" s="667"/>
      <c r="B540" s="672"/>
      <c r="C540" s="673"/>
      <c r="D540" s="673"/>
      <c r="E540" s="673"/>
      <c r="F540" s="674"/>
      <c r="G540" s="672"/>
      <c r="H540" s="673"/>
      <c r="I540" s="673"/>
      <c r="J540" s="673"/>
      <c r="K540" s="674"/>
      <c r="L540" s="86"/>
    </row>
    <row r="541" spans="1:12" ht="18.75" customHeight="1" x14ac:dyDescent="0.25">
      <c r="A541" s="667"/>
      <c r="B541" s="675"/>
      <c r="C541" s="676"/>
      <c r="D541" s="676"/>
      <c r="E541" s="676"/>
      <c r="F541" s="677"/>
      <c r="G541" s="675"/>
      <c r="H541" s="676"/>
      <c r="I541" s="676"/>
      <c r="J541" s="676"/>
      <c r="K541" s="677"/>
      <c r="L541" s="86"/>
    </row>
    <row r="542" spans="1:12" ht="18.75" customHeight="1" x14ac:dyDescent="0.25">
      <c r="A542" s="667"/>
      <c r="B542" s="660" t="s">
        <v>742</v>
      </c>
      <c r="C542" s="661"/>
      <c r="D542" s="662"/>
      <c r="E542" s="660" t="s">
        <v>216</v>
      </c>
      <c r="F542" s="661"/>
      <c r="G542" s="662"/>
      <c r="H542" s="660" t="s">
        <v>127</v>
      </c>
      <c r="I542" s="661"/>
      <c r="J542" s="662"/>
      <c r="K542" s="93" t="s">
        <v>2175</v>
      </c>
      <c r="L542" s="86"/>
    </row>
    <row r="543" spans="1:12" ht="18.75" customHeight="1" x14ac:dyDescent="0.25">
      <c r="A543" s="667"/>
      <c r="B543" s="663" t="str">
        <f>IFERROR(IF(INDEX('Coverage Indicators - Section D'!I$9:I$68,MATCH($A538,'Coverage Indicators - Section D'!$A$9:$A$68,0))&lt;&gt;0,INDEX('Coverage Indicators - Section D'!I$9:I$68,MATCH($A538,'Coverage Indicators - Section D'!$A$9:$A$68,0)),""),"")</f>
        <v>HIV status,Gender,Age</v>
      </c>
      <c r="C543" s="664"/>
      <c r="D543" s="665"/>
      <c r="E543" s="663" t="str">
        <f>IFERROR(IF(INDEX('Coverage Indicators - Section D'!M$1:M$100,MATCH($A538,'Coverage Indicators - Section D'!$A$1:$A$100,0))&lt;&gt;0,INDEX('Coverage Indicators - Section D'!M$1:M$100,MATCH($A538,'Coverage Indicators - Section D'!$A$1:$A$100,0)),""),"")</f>
        <v>Non cumulative</v>
      </c>
      <c r="F543" s="664"/>
      <c r="G543" s="665"/>
      <c r="H543" s="663" t="str">
        <f>IFERROR(IF(INDEX('Coverage Indicators - Section D'!L$1:L$100,MATCH($A538,'Coverage Indicators - Section D'!$A$1:$A$100,0))&lt;&gt;0,INDEX('Coverage Indicators - Section D'!L$1:L$100,MATCH($A538,'Coverage Indicators - Section D'!$A$1:$A$100,0)),""),"")</f>
        <v>Kyrgyzstan</v>
      </c>
      <c r="I543" s="664"/>
      <c r="J543" s="665"/>
      <c r="K543" s="94" t="str">
        <f>IFERROR(IF(INDEX('Coverage Indicators - Section D'!J$1:J$100,MATCH($A538,'Coverage Indicators - Section D'!$A$1:$A$100,0))&lt;&gt;0,INDEX('Coverage Indicators - Section D'!J$1:J$100,MATCH($A538,'Coverage Indicators - Section D'!$A$1:$A$100,0)),""),"")</f>
        <v>Yes</v>
      </c>
      <c r="L543" s="86"/>
    </row>
    <row r="544" spans="1:12" ht="18.75" customHeight="1" x14ac:dyDescent="0.25">
      <c r="A544" s="667"/>
      <c r="B544" s="660" t="s">
        <v>199</v>
      </c>
      <c r="C544" s="661"/>
      <c r="D544" s="662"/>
      <c r="E544" s="660" t="s">
        <v>4392</v>
      </c>
      <c r="F544" s="661"/>
      <c r="G544" s="662"/>
      <c r="H544" s="660" t="s">
        <v>120</v>
      </c>
      <c r="I544" s="661"/>
      <c r="J544" s="661"/>
      <c r="K544" s="662"/>
      <c r="L544" s="86"/>
    </row>
    <row r="545" spans="1:12" ht="18.75" customHeight="1" x14ac:dyDescent="0.25">
      <c r="A545" s="667"/>
      <c r="B545" s="669" t="str">
        <f>IFERROR(IF(INDEX('Coverage Indicators - Section D'!H$1:H$100,MATCH($A538,'Coverage Indicators - Section D'!$A$1:$A$100,0))&lt;&gt;0,INDEX('Coverage Indicators - Section D'!H$1:H$100,MATCH($A538,'Coverage Indicators - Section D'!$A$1:$A$100,0)),""),"")</f>
        <v>The report of the National TB center</v>
      </c>
      <c r="C545" s="670"/>
      <c r="D545" s="671"/>
      <c r="E545" s="669" t="str">
        <f>IFERROR(IF(INDEX('Coverage Indicators - Section D'!L$1:L$100,MATCH($A538,'Coverage Indicators - Section D'!$A$1:$A$100,0)+1)&lt;&gt;0,INDEX('Coverage Indicators - Section D'!L$1:L$100,MATCH($A538,'Coverage Indicators - Section D'!$A$1:$A$100,0)+1),""),"")</f>
        <v>Geographic Subnational, 100% of national program target</v>
      </c>
      <c r="F545" s="670"/>
      <c r="G545" s="671"/>
      <c r="H545" s="669" t="str">
        <f>IFERROR(IF(AND('Overview - Section A'!AS$1="Grant Making",OR(B539&lt;&gt;"",G539&lt;&gt;"")),Setup!I547,IF(INDEX('Coverage Indicators - Section D'!K$1:K$100,MATCH($A538,'Coverage Indicators - Section D'!$A$1:$A$100,0))&lt;&gt;0,INDEX('Coverage Indicators - Section D'!K$1:K$100,MATCH($A538,'Coverage Indicators - Section D'!$A$1:$A$100,0)),"")),"")</f>
        <v>United Nations Development Programme</v>
      </c>
      <c r="I545" s="670"/>
      <c r="J545" s="670"/>
      <c r="K545" s="671"/>
      <c r="L545" s="86"/>
    </row>
    <row r="546" spans="1:12" ht="18.75" customHeight="1" x14ac:dyDescent="0.25">
      <c r="A546" s="667"/>
      <c r="B546" s="675"/>
      <c r="C546" s="676"/>
      <c r="D546" s="677"/>
      <c r="E546" s="675"/>
      <c r="F546" s="676"/>
      <c r="G546" s="677"/>
      <c r="H546" s="675"/>
      <c r="I546" s="676"/>
      <c r="J546" s="676"/>
      <c r="K546" s="677"/>
      <c r="L546" s="86"/>
    </row>
    <row r="547" spans="1:12" ht="18.75" customHeight="1" x14ac:dyDescent="0.25">
      <c r="A547" s="667"/>
      <c r="B547" s="93"/>
      <c r="C547" s="93" t="s">
        <v>4384</v>
      </c>
      <c r="D547" s="660" t="s">
        <v>4385</v>
      </c>
      <c r="E547" s="661"/>
      <c r="F547" s="661"/>
      <c r="G547" s="661"/>
      <c r="H547" s="661"/>
      <c r="I547" s="661"/>
      <c r="J547" s="661"/>
      <c r="K547" s="662"/>
      <c r="L547" s="86"/>
    </row>
    <row r="548" spans="1:12" ht="18.75" customHeight="1" x14ac:dyDescent="0.25">
      <c r="A548" s="667"/>
      <c r="B548" s="93" t="s">
        <v>2559</v>
      </c>
      <c r="C548" s="94">
        <f>IFERROR(IF(INDEX('Coverage Indicators - Section D'!G$1:G$100,MATCH($A538,'Coverage Indicators - Section D'!$A$1:$A$100,0))&lt;&gt;0,INDEX('Coverage Indicators - Section D'!G$1:G$100,MATCH($A538,'Coverage Indicators - Section D'!$A$1:$A$100,0)),""),"")</f>
        <v>2021</v>
      </c>
      <c r="D548"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548"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548"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548"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548"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548"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548"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548"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548" s="86"/>
    </row>
    <row r="549" spans="1:12" s="97" customFormat="1" ht="18.75" customHeight="1" x14ac:dyDescent="0.25">
      <c r="A549" s="667"/>
      <c r="B549" s="93" t="s">
        <v>4386</v>
      </c>
      <c r="C549" s="95">
        <f>IFERROR(IF(INDEX('Coverage Indicators - Section D'!E$1:E$100,MATCH($A538,'Coverage Indicators - Section D'!$A$1:$A$100,0))&lt;&gt;"",INDEX('Coverage Indicators - Section D'!E$1:E$100,MATCH($A538,'Coverage Indicators - Section D'!$A$1:$A$100,0)),""),"")</f>
        <v>918</v>
      </c>
      <c r="D549" s="95">
        <f>IFERROR(IF(INDEX('Coverage Indicators - Section D'!N$1:N$100,MATCH($A538,'Coverage Indicators - Section D'!$A$1:$A$100,0))&lt;&gt;"",INDEX('Coverage Indicators - Section D'!N$1:N$100,MATCH($A538,'Coverage Indicators - Section D'!$A$1:$A$100,0)),""),"")</f>
        <v>1150</v>
      </c>
      <c r="E549" s="95">
        <f>IFERROR(IF(INDEX('Coverage Indicators - Section D'!Q$1:Q$100,MATCH($A538,'Coverage Indicators - Section D'!$A$1:$A$100,0))&lt;&gt;"",INDEX('Coverage Indicators - Section D'!Q$1:Q$100,MATCH($A538,'Coverage Indicators - Section D'!$A$1:$A$100,0)),""),"")</f>
        <v>1200</v>
      </c>
      <c r="F549" s="95">
        <f>IFERROR(IF(INDEX('Coverage Indicators - Section D'!T$1:T$100,MATCH($A538,'Coverage Indicators - Section D'!$A$1:$A$100,0))&lt;&gt;"",INDEX('Coverage Indicators - Section D'!T$1:T$100,MATCH($A538,'Coverage Indicators - Section D'!$A$1:$A$100,0)),""),"")</f>
        <v>1250</v>
      </c>
      <c r="G549" s="95" t="str">
        <f>IFERROR(IF(INDEX('Coverage Indicators - Section D'!W$1:W$100,MATCH($A538,'Coverage Indicators - Section D'!$A$1:$A$100,0))&lt;&gt;"",INDEX('Coverage Indicators - Section D'!W$1:W$100,MATCH($A538,'Coverage Indicators - Section D'!$A$1:$A$100,0)),""),"")</f>
        <v/>
      </c>
      <c r="H549" s="95" t="str">
        <f>IFERROR(IF(INDEX('Coverage Indicators - Section D'!Z$1:Z$100,MATCH($A538,'Coverage Indicators - Section D'!$A$1:$A$100,0))&lt;&gt;"",INDEX('Coverage Indicators - Section D'!Z$1:Z$100,MATCH($A538,'Coverage Indicators - Section D'!$A$1:$A$100,0)),""),"")</f>
        <v/>
      </c>
      <c r="I549" s="95" t="str">
        <f>IFERROR(IF(INDEX('Coverage Indicators - Section D'!AC$1:AC$100,MATCH($A538,'Coverage Indicators - Section D'!$A$1:$A$100,0))&lt;&gt;"",INDEX('Coverage Indicators - Section D'!AC$1:AC$100,MATCH($A538,'Coverage Indicators - Section D'!$A$1:$A$100,0)),""),"")</f>
        <v/>
      </c>
      <c r="J549" s="95" t="str">
        <f>IFERROR(IF(INDEX('Coverage Indicators - Section D'!AF$1:AF$100,MATCH($A538,'Coverage Indicators - Section D'!$A$1:$A$100,0))&lt;&gt;"",INDEX('Coverage Indicators - Section D'!AF$1:AF$100,MATCH($A538,'Coverage Indicators - Section D'!$A$1:$A$100,0)),""),"")</f>
        <v/>
      </c>
      <c r="K549" s="95" t="str">
        <f>IFERROR(IF(INDEX('Coverage Indicators - Section D'!AI$1:AI$100,MATCH($A538,'Coverage Indicators - Section D'!$A$1:$A$100,0))&lt;&gt;"",INDEX('Coverage Indicators - Section D'!AI$1:AI$100,MATCH($A538,'Coverage Indicators - Section D'!$A$1:$A$100,0)),""),"")</f>
        <v/>
      </c>
      <c r="L549" s="96"/>
    </row>
    <row r="550" spans="1:12" s="100" customFormat="1" ht="18.75" customHeight="1" x14ac:dyDescent="0.25">
      <c r="A550" s="667"/>
      <c r="B550" s="93" t="s">
        <v>4387</v>
      </c>
      <c r="C550" s="98" t="str">
        <f>IFERROR(IF(INDEX('Coverage Indicators - Section D'!E$1:E$100,MATCH($A538,'Coverage Indicators - Section D'!$A$1:$A$100,0)+1)&lt;&gt;"",INDEX('Coverage Indicators - Section D'!E$1:E$100,MATCH($A538,'Coverage Indicators - Section D'!$A$1:$A$100,0)+1),""),"")</f>
        <v/>
      </c>
      <c r="D550" s="98" t="str">
        <f>IFERROR(IF(INDEX('Coverage Indicators - Section D'!N$1:N$100,MATCH($A538,'Coverage Indicators - Section D'!$A$1:$A$100,0)+1)&lt;&gt;"",INDEX('Coverage Indicators - Section D'!N$1:N$100,MATCH($A538,'Coverage Indicators - Section D'!$A$1:$A$100,0)+1),""),"")</f>
        <v/>
      </c>
      <c r="E550" s="98" t="str">
        <f>IFERROR(IF(INDEX('Coverage Indicators - Section D'!Q$1:Q$100,MATCH($A538,'Coverage Indicators - Section D'!$A$1:$A$100,0)+1)&lt;&gt;"",INDEX('Coverage Indicators - Section D'!Q$1:Q$100,MATCH($A538,'Coverage Indicators - Section D'!$A$1:$A$100,0)+1),""),"")</f>
        <v/>
      </c>
      <c r="F550" s="98" t="str">
        <f>IFERROR(IF(INDEX('Coverage Indicators - Section D'!T$1:T$100,MATCH($A538,'Coverage Indicators - Section D'!$A$1:$A$100,0)+1)&lt;&gt;"",INDEX('Coverage Indicators - Section D'!T$1:T$100,MATCH($A538,'Coverage Indicators - Section D'!$A$1:$A$100,0)+1),""),"")</f>
        <v/>
      </c>
      <c r="G550" s="98" t="str">
        <f>IFERROR(IF(INDEX('Coverage Indicators - Section D'!W$1:W$100,MATCH($A538,'Coverage Indicators - Section D'!$A$1:$A$100,0)+1)&lt;&gt;"",INDEX('Coverage Indicators - Section D'!W$1:W$100,MATCH($A538,'Coverage Indicators - Section D'!$A$1:$A$100,0)+1),""),"")</f>
        <v/>
      </c>
      <c r="H550" s="98" t="str">
        <f>IFERROR(IF(INDEX('Coverage Indicators - Section D'!Z$1:Z$100,MATCH($A538,'Coverage Indicators - Section D'!$A$1:$A$100,0)+1)&lt;&gt;"",INDEX('Coverage Indicators - Section D'!Z$1:Z$100,MATCH($A538,'Coverage Indicators - Section D'!$A$1:$A$100,0)+1),""),"")</f>
        <v/>
      </c>
      <c r="I550" s="98" t="str">
        <f>IFERROR(IF(INDEX('Coverage Indicators - Section D'!AC$1:AC$100,MATCH($A538,'Coverage Indicators - Section D'!$A$1:$A$100,0)+1)&lt;&gt;"",INDEX('Coverage Indicators - Section D'!AC$1:AC$100,MATCH($A538,'Coverage Indicators - Section D'!$A$1:$A$100,0)+1),""),"")</f>
        <v/>
      </c>
      <c r="J550" s="98" t="str">
        <f>IFERROR(IF(INDEX('Coverage Indicators - Section D'!AF$1:AF$100,MATCH($A538,'Coverage Indicators - Section D'!$A$1:$A$100,0)+1)&lt;&gt;"",INDEX('Coverage Indicators - Section D'!AF$1:AF$100,MATCH($A538,'Coverage Indicators - Section D'!$A$1:$A$100,0)+1),""),"")</f>
        <v/>
      </c>
      <c r="K550" s="98" t="str">
        <f>IFERROR(IF(INDEX('Coverage Indicators - Section D'!AI$1:AI$100,MATCH($A538,'Coverage Indicators - Section D'!$A$1:$A$100,0)+1)&lt;&gt;"",INDEX('Coverage Indicators - Section D'!AI$1:AI$100,MATCH($A538,'Coverage Indicators - Section D'!$A$1:$A$100,0)+1),""),"")</f>
        <v/>
      </c>
      <c r="L550" s="99"/>
    </row>
    <row r="551" spans="1:12" ht="18.75" customHeight="1" x14ac:dyDescent="0.25">
      <c r="A551" s="667"/>
      <c r="B551" s="93" t="s">
        <v>4388</v>
      </c>
      <c r="C551" s="94" t="str">
        <f ca="1">IFERROR(IF(INDEX('Coverage Indicators - Section D'!F$1:F$100,MATCH($A538,'Coverage Indicators - Section D'!$A$1:$A$100,0))&lt;&gt;"",FIXED(INDEX('Coverage Indicators - Section D'!F$1:F$100,MATCH($A538,'Coverage Indicators - Section D'!$A$1:$A$100,0))*100,2)&amp;"%",""),"")</f>
        <v/>
      </c>
      <c r="D551" s="94" t="str">
        <f ca="1">IFERROR(IF(INDEX('Coverage Indicators - Section D'!O$1:O$100,MATCH($A538,'Coverage Indicators - Section D'!$A$1:$A$100,0))&lt;&gt;"",FIXED(INDEX('Coverage Indicators - Section D'!O$1:O$100,MATCH($A538,'Coverage Indicators - Section D'!$A$1:$A$100,0))*100,2)&amp;"%",""),"")&amp;CHAR(10)&amp;IFERROR(IF(INDEX('Coverage Indicators - Section D'!P$1:P$100,MATCH($A538,'Coverage Indicators - Section D'!$A$1:$A$100,0))&lt;&gt;"",INDEX('Coverage Indicators - Section D'!P$1:P$100,MATCH($A538,'Coverage Indicators - Section D'!$A$1:$A$100,0)),""),"")</f>
        <v xml:space="preserve">
</v>
      </c>
      <c r="E551" s="94" t="str">
        <f ca="1">IFERROR(IF(INDEX('Coverage Indicators - Section D'!R$1:R$100,MATCH($A538,'Coverage Indicators - Section D'!$A$1:$A$100,0))&lt;&gt;"",FIXED(INDEX('Coverage Indicators - Section D'!R$1:R$100,MATCH($A538,'Coverage Indicators - Section D'!$A$1:$A$100,0))*100,2)&amp;"%",""),"")&amp;CHAR(10)&amp;IFERROR(IF(INDEX('Coverage Indicators - Section D'!S$1:S$100,MATCH($A538,'Coverage Indicators - Section D'!$A$1:$A$100,0))&lt;&gt;"",INDEX('Coverage Indicators - Section D'!S$1:S$100,MATCH($A538,'Coverage Indicators - Section D'!$A$1:$A$100,0)),""),"")</f>
        <v xml:space="preserve">
</v>
      </c>
      <c r="F551" s="94" t="str">
        <f ca="1">IFERROR(IF(INDEX('Coverage Indicators - Section D'!U$1:U$100,MATCH($A538,'Coverage Indicators - Section D'!$A$1:$A$100,0))&lt;&gt;"",FIXED(INDEX('Coverage Indicators - Section D'!U$1:U$100,MATCH($A538,'Coverage Indicators - Section D'!$A$1:$A$100,0))*100,2)&amp;"%",""),"")&amp;CHAR(10)&amp;IFERROR(IF(INDEX('Coverage Indicators - Section D'!V$1:V$100,MATCH($A538,'Coverage Indicators - Section D'!$A$1:$A$100,0))&lt;&gt;"",INDEX('Coverage Indicators - Section D'!V$1:V$100,MATCH($A538,'Coverage Indicators - Section D'!$A$1:$A$100,0)),""),"")</f>
        <v xml:space="preserve">
</v>
      </c>
      <c r="G551" s="94" t="str">
        <f ca="1">IFERROR(IF(INDEX('Coverage Indicators - Section D'!X$1:X$100,MATCH($A538,'Coverage Indicators - Section D'!$A$1:$A$100,0))&lt;&gt;"",FIXED(INDEX('Coverage Indicators - Section D'!X$1:X$100,MATCH($A538,'Coverage Indicators - Section D'!$A$1:$A$100,0))*100,2)&amp;"%",""),"")&amp;CHAR(10)&amp;IFERROR(IF(INDEX('Coverage Indicators - Section D'!Y$1:Y$100,MATCH($A538,'Coverage Indicators - Section D'!$A$1:$A$100,0))&lt;&gt;"",INDEX('Coverage Indicators - Section D'!Y$1:Y$100,MATCH($A538,'Coverage Indicators - Section D'!$A$1:$A$100,0)),""),"")</f>
        <v xml:space="preserve">
</v>
      </c>
      <c r="H551" s="94" t="str">
        <f ca="1">IFERROR(IF(INDEX('Coverage Indicators - Section D'!AA$1:AA$100,MATCH(A538,'Coverage Indicators - Section D'!$A$1:$A$100,0))&lt;&gt;"",FIXED(INDEX('Coverage Indicators - Section D'!AA$1:AA$100,MATCH($A538,'Coverage Indicators - Section D'!$A$1:$A$100,0))*100,2)&amp;"%",""),"")&amp;CHAR(10)&amp;IFERROR(IF(INDEX('Coverage Indicators - Section D'!AB$1:AB$100,MATCH($A538,'Coverage Indicators - Section D'!$A$1:$A$100,0))&lt;&gt;"",INDEX('Coverage Indicators - Section D'!AB$1:AB$100,MATCH($A538,'Coverage Indicators - Section D'!$A$1:$A$100,0)),""),"")</f>
        <v xml:space="preserve">
</v>
      </c>
      <c r="I551" s="94" t="str">
        <f ca="1">IFERROR(IF(INDEX('Coverage Indicators - Section D'!AD$1:AD$100,MATCH($A538,'Coverage Indicators - Section D'!$A$1:$A$100,0))&lt;&gt;"",FIXED(INDEX('Coverage Indicators - Section D'!AD$1:AD$100,MATCH($A538,'Coverage Indicators - Section D'!$A$1:$A$100,0))*100,2)&amp;"%",""),"")&amp;CHAR(10)&amp;IFERROR(IF(INDEX('Coverage Indicators - Section D'!AE$1:AE$100,MATCH($A538,'Coverage Indicators - Section D'!$A$1:$A$100,0))&lt;&gt;"",INDEX('Coverage Indicators - Section D'!AE$1:AE$100,MATCH($A538,'Coverage Indicators - Section D'!$A$1:$A$100,0)),""),"")</f>
        <v xml:space="preserve">
</v>
      </c>
      <c r="J551" s="94" t="str">
        <f ca="1">IFERROR(IF(INDEX('Coverage Indicators - Section D'!AG$1:AG$100,MATCH($A538,'Coverage Indicators - Section D'!$A$1:$A$100,0))&lt;&gt;"",FIXED(INDEX('Coverage Indicators - Section D'!AG$1:AG$100,MATCH($A538,'Coverage Indicators - Section D'!$A$1:$A$100,0))*100,2)&amp;"%",""),"")&amp;CHAR(10)&amp;IFERROR(IF(INDEX('Coverage Indicators - Section D'!AH$1:AH$100,MATCH($A538,'Coverage Indicators - Section D'!$A$1:$A$100,0))&lt;&gt;"",INDEX('Coverage Indicators - Section D'!AH$1:AH$100,MATCH($A538,'Coverage Indicators - Section D'!$A$1:$A$100,0)),""),"")</f>
        <v xml:space="preserve">
</v>
      </c>
      <c r="K551" s="94" t="str">
        <f ca="1">IFERROR(IF(INDEX('Coverage Indicators - Section D'!AJ$1:AJ$100,MATCH($A538,'Coverage Indicators - Section D'!$A$1:$A$100,0))&lt;&gt;"",FIXED(INDEX('Coverage Indicators - Section D'!AJ$1:AJ$100,MATCH($A538,'Coverage Indicators - Section D'!$A$1:$A$100,0))*100,2)&amp;"%",""),"")&amp;CHAR(10)&amp;IFERROR(IF(INDEX('Coverage Indicators - Section D'!AK$1:AK$100,MATCH($A538,'Coverage Indicators - Section D'!$A$1:$A$100,0))&lt;&gt;"",INDEX('Coverage Indicators - Section D'!AK$1:AK$100,MATCH($A538,'Coverage Indicators - Section D'!$A$1:$A$100,0)),""),"")</f>
        <v xml:space="preserve">
</v>
      </c>
      <c r="L551" s="86"/>
    </row>
    <row r="552" spans="1:12" ht="18.75" customHeight="1" x14ac:dyDescent="0.25">
      <c r="A552" s="667"/>
      <c r="B552" s="660" t="s">
        <v>176</v>
      </c>
      <c r="C552" s="661"/>
      <c r="D552" s="661"/>
      <c r="E552" s="661"/>
      <c r="F552" s="661"/>
      <c r="G552" s="661"/>
      <c r="H552" s="661"/>
      <c r="I552" s="661"/>
      <c r="J552" s="661"/>
      <c r="K552" s="662"/>
      <c r="L552" s="86"/>
    </row>
    <row r="553" spans="1:12" ht="18.75" customHeight="1" x14ac:dyDescent="0.25">
      <c r="A553" s="667"/>
      <c r="B553" s="669" t="str">
        <f>IFERROR(IF(INDEX('Coverage Indicators - Section D'!AL$1:AL$110,MATCH($A538,'Coverage Indicators - Section D'!$A$1:$A$110,0))&lt;&gt;0,INDEX('Coverage Indicators - Section D'!AL$1:AL$110,MATCH($A538,'Coverage Indicators - Section D'!$A$1:$A$110,0)),""),"")</f>
        <v xml:space="preserve">The number of reported TB cases annually, including RR/MDR-TB, has fallen by more than 30% during the COVID-19 period. In 2021, 918 confirmed RR/MDR-TB cases were notified, which is 37% lower than in 2019 (1468). The total number of RR/MDR-TB cases was 968 in 2021, 5.2% of them were clinically diagnosed cases.
It is expected that activities aimed at active case finding and contact testing, as well as improved access to rapid diagnostic methods recommended by WHO, will increase the number of detected TB cases in 2024-2026 and return to 2019 level. Thus, it is planned that in 2024 about 1200 RR/MDR-TB cases will be detected, incl. 1150 confirmed RR/MDR-TB cases, in 2025 - about 1250 cases, incl. 1200 confirmed RR/MDR-TB cases, and in 2026 - more than 1300, incl. 1250 confirmed RR/MDR-TB cases. Numerator: Number of bacteriologically confirmed RR-TB and/or MDR-TB cases notified. Denominator: Not applicable. The source of information is TB06U form. The reporting cycle for 2024-2026 will be applied in the Q-1 modality: the data on 2024 will be available in April 2025, etc. The data will be collected, processed and provided by NTP.
</v>
      </c>
      <c r="C553" s="670"/>
      <c r="D553" s="670"/>
      <c r="E553" s="670"/>
      <c r="F553" s="670"/>
      <c r="G553" s="670"/>
      <c r="H553" s="670"/>
      <c r="I553" s="670"/>
      <c r="J553" s="670"/>
      <c r="K553" s="671"/>
      <c r="L553" s="86"/>
    </row>
    <row r="554" spans="1:12" ht="18.75" customHeight="1" x14ac:dyDescent="0.25">
      <c r="A554" s="667"/>
      <c r="B554" s="672"/>
      <c r="C554" s="673"/>
      <c r="D554" s="673"/>
      <c r="E554" s="673"/>
      <c r="F554" s="673"/>
      <c r="G554" s="673"/>
      <c r="H554" s="673"/>
      <c r="I554" s="673"/>
      <c r="J554" s="673"/>
      <c r="K554" s="674"/>
      <c r="L554" s="86"/>
    </row>
    <row r="555" spans="1:12" ht="18.75" customHeight="1" x14ac:dyDescent="0.25">
      <c r="A555" s="667"/>
      <c r="B555" s="672"/>
      <c r="C555" s="673"/>
      <c r="D555" s="673"/>
      <c r="E555" s="673"/>
      <c r="F555" s="673"/>
      <c r="G555" s="673"/>
      <c r="H555" s="673"/>
      <c r="I555" s="673"/>
      <c r="J555" s="673"/>
      <c r="K555" s="674"/>
      <c r="L555" s="86"/>
    </row>
    <row r="556" spans="1:12" ht="18.75" customHeight="1" x14ac:dyDescent="0.25">
      <c r="A556" s="667"/>
      <c r="B556" s="672"/>
      <c r="C556" s="673"/>
      <c r="D556" s="673"/>
      <c r="E556" s="673"/>
      <c r="F556" s="673"/>
      <c r="G556" s="673"/>
      <c r="H556" s="673"/>
      <c r="I556" s="673"/>
      <c r="J556" s="673"/>
      <c r="K556" s="674"/>
      <c r="L556" s="86"/>
    </row>
    <row r="557" spans="1:12" ht="18.75" customHeight="1" x14ac:dyDescent="0.25">
      <c r="A557" s="667"/>
      <c r="B557" s="672"/>
      <c r="C557" s="673"/>
      <c r="D557" s="673"/>
      <c r="E557" s="673"/>
      <c r="F557" s="673"/>
      <c r="G557" s="673"/>
      <c r="H557" s="673"/>
      <c r="I557" s="673"/>
      <c r="J557" s="673"/>
      <c r="K557" s="674"/>
      <c r="L557" s="86"/>
    </row>
    <row r="558" spans="1:12" ht="18.75" customHeight="1" x14ac:dyDescent="0.25">
      <c r="A558" s="667"/>
      <c r="B558" s="672"/>
      <c r="C558" s="673"/>
      <c r="D558" s="673"/>
      <c r="E558" s="673"/>
      <c r="F558" s="673"/>
      <c r="G558" s="673"/>
      <c r="H558" s="673"/>
      <c r="I558" s="673"/>
      <c r="J558" s="673"/>
      <c r="K558" s="674"/>
      <c r="L558" s="86"/>
    </row>
    <row r="559" spans="1:12" ht="18.75" customHeight="1" x14ac:dyDescent="0.25">
      <c r="A559" s="667"/>
      <c r="B559" s="672"/>
      <c r="C559" s="673"/>
      <c r="D559" s="673"/>
      <c r="E559" s="673"/>
      <c r="F559" s="673"/>
      <c r="G559" s="673"/>
      <c r="H559" s="673"/>
      <c r="I559" s="673"/>
      <c r="J559" s="673"/>
      <c r="K559" s="674"/>
      <c r="L559" s="86"/>
    </row>
    <row r="560" spans="1:12" ht="18.75" customHeight="1" x14ac:dyDescent="0.25">
      <c r="A560" s="667"/>
      <c r="B560" s="672"/>
      <c r="C560" s="673"/>
      <c r="D560" s="673"/>
      <c r="E560" s="673"/>
      <c r="F560" s="673"/>
      <c r="G560" s="673"/>
      <c r="H560" s="673"/>
      <c r="I560" s="673"/>
      <c r="J560" s="673"/>
      <c r="K560" s="674"/>
      <c r="L560" s="86"/>
    </row>
    <row r="561" spans="1:12" ht="18.75" customHeight="1" x14ac:dyDescent="0.25">
      <c r="A561" s="667"/>
      <c r="B561" s="672"/>
      <c r="C561" s="673"/>
      <c r="D561" s="673"/>
      <c r="E561" s="673"/>
      <c r="F561" s="673"/>
      <c r="G561" s="673"/>
      <c r="H561" s="673"/>
      <c r="I561" s="673"/>
      <c r="J561" s="673"/>
      <c r="K561" s="674"/>
      <c r="L561" s="86"/>
    </row>
    <row r="562" spans="1:12" ht="18.75" customHeight="1" x14ac:dyDescent="0.25">
      <c r="A562" s="668"/>
      <c r="B562" s="675"/>
      <c r="C562" s="676"/>
      <c r="D562" s="676"/>
      <c r="E562" s="676"/>
      <c r="F562" s="676"/>
      <c r="G562" s="676"/>
      <c r="H562" s="676"/>
      <c r="I562" s="676"/>
      <c r="J562" s="676"/>
      <c r="K562" s="677"/>
      <c r="L562" s="86"/>
    </row>
    <row r="563" spans="1:12" ht="18.75" customHeight="1" x14ac:dyDescent="0.25">
      <c r="A563" s="660"/>
      <c r="B563" s="661"/>
      <c r="C563" s="661"/>
      <c r="D563" s="661"/>
      <c r="E563" s="661"/>
      <c r="F563" s="661"/>
      <c r="G563" s="661"/>
      <c r="H563" s="661"/>
      <c r="I563" s="661"/>
      <c r="J563" s="661"/>
      <c r="K563" s="662"/>
      <c r="L563" s="86"/>
    </row>
    <row r="565" spans="1:12" ht="18.75" customHeight="1" x14ac:dyDescent="0.25">
      <c r="A565" s="93" t="s">
        <v>4383</v>
      </c>
      <c r="B565" s="660" t="s">
        <v>1046</v>
      </c>
      <c r="C565" s="662"/>
      <c r="D565" s="663" t="str">
        <f>IFERROR(IF(INDEX('Coverage Indicators - Section D'!B$1:B$100,MATCH($A566,'Coverage Indicators - Section D'!$A$1:$A$100,0))&lt;&gt;0,INDEX('Coverage Indicators - Section D'!B$1:B$100,MATCH($A566,'Coverage Indicators - Section D'!$A$1:$A$100,0)),""),"")</f>
        <v>Drug-resistant (DR)-TB diagnosis, treatment and care</v>
      </c>
      <c r="E565" s="664"/>
      <c r="F565" s="664"/>
      <c r="G565" s="664"/>
      <c r="H565" s="664"/>
      <c r="I565" s="664"/>
      <c r="J565" s="664"/>
      <c r="K565" s="665"/>
      <c r="L565" s="86"/>
    </row>
    <row r="566" spans="1:12" ht="18.75" customHeight="1" x14ac:dyDescent="0.25">
      <c r="A566" s="666">
        <v>21</v>
      </c>
      <c r="B566" s="660" t="s">
        <v>738</v>
      </c>
      <c r="C566" s="661"/>
      <c r="D566" s="661"/>
      <c r="E566" s="661"/>
      <c r="F566" s="662"/>
      <c r="G566" s="660" t="s">
        <v>739</v>
      </c>
      <c r="H566" s="661"/>
      <c r="I566" s="661"/>
      <c r="J566" s="661"/>
      <c r="K566" s="662"/>
      <c r="L566" s="86"/>
    </row>
    <row r="567" spans="1:12" ht="18.75" customHeight="1" x14ac:dyDescent="0.25">
      <c r="A567" s="667"/>
      <c r="B567" s="669" t="str">
        <f>IFERROR(IF(INDEX('Coverage Indicators - Section D'!C$1:C$100,MATCH($A566,'Coverage Indicators - Section D'!$A$1:$A$100,0))&lt;&gt;0,INDEX('Coverage Indicators - Section D'!C$1:C$100,MATCH($A566,'Coverage Indicators - Section D'!$A$1:$A$100,0)),""),"")</f>
        <v>DRTB-3⁽ᴹ⁾ Percentage of people with confirmed RR-TB and/or MDR-TB that began second-line treatment</v>
      </c>
      <c r="C567" s="670"/>
      <c r="D567" s="670"/>
      <c r="E567" s="670"/>
      <c r="F567" s="671"/>
      <c r="G567" s="669" t="str">
        <f>IFERROR(IF(INDEX('Coverage Indicators - Section D'!D$1:D$100,MATCH($A566,'Coverage Indicators - Section D'!$A$1:$A$100,0))&lt;&gt;0,INDEX('Coverage Indicators - Section D'!D$1:D$100,MATCH($A566,'Coverage Indicators - Section D'!$A$1:$A$100,0)),""),"")</f>
        <v/>
      </c>
      <c r="H567" s="670"/>
      <c r="I567" s="670"/>
      <c r="J567" s="670"/>
      <c r="K567" s="671"/>
      <c r="L567" s="86"/>
    </row>
    <row r="568" spans="1:12" ht="18.75" customHeight="1" x14ac:dyDescent="0.25">
      <c r="A568" s="667"/>
      <c r="B568" s="672"/>
      <c r="C568" s="673"/>
      <c r="D568" s="673"/>
      <c r="E568" s="673"/>
      <c r="F568" s="674"/>
      <c r="G568" s="672"/>
      <c r="H568" s="673"/>
      <c r="I568" s="673"/>
      <c r="J568" s="673"/>
      <c r="K568" s="674"/>
      <c r="L568" s="86"/>
    </row>
    <row r="569" spans="1:12" ht="18.75" customHeight="1" x14ac:dyDescent="0.25">
      <c r="A569" s="667"/>
      <c r="B569" s="675"/>
      <c r="C569" s="676"/>
      <c r="D569" s="676"/>
      <c r="E569" s="676"/>
      <c r="F569" s="677"/>
      <c r="G569" s="675"/>
      <c r="H569" s="676"/>
      <c r="I569" s="676"/>
      <c r="J569" s="676"/>
      <c r="K569" s="677"/>
      <c r="L569" s="86"/>
    </row>
    <row r="570" spans="1:12" ht="18.75" customHeight="1" x14ac:dyDescent="0.25">
      <c r="A570" s="667"/>
      <c r="B570" s="660" t="s">
        <v>742</v>
      </c>
      <c r="C570" s="661"/>
      <c r="D570" s="662"/>
      <c r="E570" s="660" t="s">
        <v>216</v>
      </c>
      <c r="F570" s="661"/>
      <c r="G570" s="662"/>
      <c r="H570" s="660" t="s">
        <v>127</v>
      </c>
      <c r="I570" s="661"/>
      <c r="J570" s="662"/>
      <c r="K570" s="93" t="s">
        <v>2175</v>
      </c>
      <c r="L570" s="86"/>
    </row>
    <row r="571" spans="1:12" ht="18.75" customHeight="1" x14ac:dyDescent="0.25">
      <c r="A571" s="667"/>
      <c r="B571" s="663" t="str">
        <f>IFERROR(IF(INDEX('Coverage Indicators - Section D'!I$9:I$68,MATCH($A566,'Coverage Indicators - Section D'!$A$9:$A$68,0))&lt;&gt;0,INDEX('Coverage Indicators - Section D'!I$9:I$68,MATCH($A566,'Coverage Indicators - Section D'!$A$9:$A$68,0)),""),"")</f>
        <v>Treatment regimen,Gender,Age</v>
      </c>
      <c r="C571" s="664"/>
      <c r="D571" s="665"/>
      <c r="E571" s="663" t="str">
        <f>IFERROR(IF(INDEX('Coverage Indicators - Section D'!M$1:M$100,MATCH($A566,'Coverage Indicators - Section D'!$A$1:$A$100,0))&lt;&gt;0,INDEX('Coverage Indicators - Section D'!M$1:M$100,MATCH($A566,'Coverage Indicators - Section D'!$A$1:$A$100,0)),""),"")</f>
        <v>Non cumulative</v>
      </c>
      <c r="F571" s="664"/>
      <c r="G571" s="665"/>
      <c r="H571" s="663" t="str">
        <f>IFERROR(IF(INDEX('Coverage Indicators - Section D'!L$1:L$100,MATCH($A566,'Coverage Indicators - Section D'!$A$1:$A$100,0))&lt;&gt;0,INDEX('Coverage Indicators - Section D'!L$1:L$100,MATCH($A566,'Coverage Indicators - Section D'!$A$1:$A$100,0)),""),"")</f>
        <v>Kyrgyzstan</v>
      </c>
      <c r="I571" s="664"/>
      <c r="J571" s="665"/>
      <c r="K571" s="94" t="str">
        <f>IFERROR(IF(INDEX('Coverage Indicators - Section D'!J$1:J$100,MATCH($A566,'Coverage Indicators - Section D'!$A$1:$A$100,0))&lt;&gt;0,INDEX('Coverage Indicators - Section D'!J$1:J$100,MATCH($A566,'Coverage Indicators - Section D'!$A$1:$A$100,0)),""),"")</f>
        <v>Yes</v>
      </c>
      <c r="L571" s="86"/>
    </row>
    <row r="572" spans="1:12" ht="18.75" customHeight="1" x14ac:dyDescent="0.25">
      <c r="A572" s="667"/>
      <c r="B572" s="660" t="s">
        <v>199</v>
      </c>
      <c r="C572" s="661"/>
      <c r="D572" s="662"/>
      <c r="E572" s="660" t="s">
        <v>4392</v>
      </c>
      <c r="F572" s="661"/>
      <c r="G572" s="662"/>
      <c r="H572" s="660" t="s">
        <v>120</v>
      </c>
      <c r="I572" s="661"/>
      <c r="J572" s="661"/>
      <c r="K572" s="662"/>
      <c r="L572" s="86"/>
    </row>
    <row r="573" spans="1:12" ht="18.75" customHeight="1" x14ac:dyDescent="0.25">
      <c r="A573" s="667"/>
      <c r="B573" s="669" t="str">
        <f>IFERROR(IF(INDEX('Coverage Indicators - Section D'!H$1:H$100,MATCH($A566,'Coverage Indicators - Section D'!$A$1:$A$100,0))&lt;&gt;0,INDEX('Coverage Indicators - Section D'!H$1:H$100,MATCH($A566,'Coverage Indicators - Section D'!$A$1:$A$100,0)),""),"")</f>
        <v>The report of the National TB center</v>
      </c>
      <c r="C573" s="670"/>
      <c r="D573" s="671"/>
      <c r="E573" s="669" t="str">
        <f>IFERROR(IF(INDEX('Coverage Indicators - Section D'!L$1:L$100,MATCH($A566,'Coverage Indicators - Section D'!$A$1:$A$100,0)+1)&lt;&gt;0,INDEX('Coverage Indicators - Section D'!L$1:L$100,MATCH($A566,'Coverage Indicators - Section D'!$A$1:$A$100,0)+1),""),"")</f>
        <v>Geographic Subnational, 100% of national program target</v>
      </c>
      <c r="F573" s="670"/>
      <c r="G573" s="671"/>
      <c r="H573" s="669" t="str">
        <f>IFERROR(IF(AND('Overview - Section A'!AS$1="Grant Making",OR(B567&lt;&gt;"",G567&lt;&gt;"")),Setup!I575,IF(INDEX('Coverage Indicators - Section D'!K$1:K$100,MATCH($A566,'Coverage Indicators - Section D'!$A$1:$A$100,0))&lt;&gt;0,INDEX('Coverage Indicators - Section D'!K$1:K$100,MATCH($A566,'Coverage Indicators - Section D'!$A$1:$A$100,0)),"")),"")</f>
        <v>United Nations Development Programme</v>
      </c>
      <c r="I573" s="670"/>
      <c r="J573" s="670"/>
      <c r="K573" s="671"/>
      <c r="L573" s="86"/>
    </row>
    <row r="574" spans="1:12" ht="18.75" customHeight="1" x14ac:dyDescent="0.25">
      <c r="A574" s="667"/>
      <c r="B574" s="675"/>
      <c r="C574" s="676"/>
      <c r="D574" s="677"/>
      <c r="E574" s="675"/>
      <c r="F574" s="676"/>
      <c r="G574" s="677"/>
      <c r="H574" s="675"/>
      <c r="I574" s="676"/>
      <c r="J574" s="676"/>
      <c r="K574" s="677"/>
      <c r="L574" s="86"/>
    </row>
    <row r="575" spans="1:12" ht="18.75" customHeight="1" x14ac:dyDescent="0.25">
      <c r="A575" s="667"/>
      <c r="B575" s="93"/>
      <c r="C575" s="93" t="s">
        <v>4384</v>
      </c>
      <c r="D575" s="660" t="s">
        <v>4385</v>
      </c>
      <c r="E575" s="661"/>
      <c r="F575" s="661"/>
      <c r="G575" s="661"/>
      <c r="H575" s="661"/>
      <c r="I575" s="661"/>
      <c r="J575" s="661"/>
      <c r="K575" s="662"/>
      <c r="L575" s="86"/>
    </row>
    <row r="576" spans="1:12" ht="18.75" customHeight="1" x14ac:dyDescent="0.25">
      <c r="A576" s="667"/>
      <c r="B576" s="93" t="s">
        <v>2559</v>
      </c>
      <c r="C576" s="94">
        <f>IFERROR(IF(INDEX('Coverage Indicators - Section D'!G$1:G$100,MATCH($A566,'Coverage Indicators - Section D'!$A$1:$A$100,0))&lt;&gt;0,INDEX('Coverage Indicators - Section D'!G$1:G$100,MATCH($A566,'Coverage Indicators - Section D'!$A$1:$A$100,0)),""),"")</f>
        <v>2021</v>
      </c>
      <c r="D576"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576"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576"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576"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576"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576"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576"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576"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576" s="86"/>
    </row>
    <row r="577" spans="1:12" s="97" customFormat="1" ht="18.75" customHeight="1" x14ac:dyDescent="0.25">
      <c r="A577" s="667"/>
      <c r="B577" s="93" t="s">
        <v>4386</v>
      </c>
      <c r="C577" s="95">
        <f>IFERROR(IF(INDEX('Coverage Indicators - Section D'!E$1:E$100,MATCH($A566,'Coverage Indicators - Section D'!$A$1:$A$100,0))&lt;&gt;"",INDEX('Coverage Indicators - Section D'!E$1:E$100,MATCH($A566,'Coverage Indicators - Section D'!$A$1:$A$100,0)),""),"")</f>
        <v>870</v>
      </c>
      <c r="D577" s="95" t="str">
        <f>IFERROR(IF(INDEX('Coverage Indicators - Section D'!N$1:N$100,MATCH($A566,'Coverage Indicators - Section D'!$A$1:$A$100,0))&lt;&gt;"",INDEX('Coverage Indicators - Section D'!N$1:N$100,MATCH($A566,'Coverage Indicators - Section D'!$A$1:$A$100,0)),""),"")</f>
        <v/>
      </c>
      <c r="E577" s="95" t="str">
        <f>IFERROR(IF(INDEX('Coverage Indicators - Section D'!Q$1:Q$100,MATCH($A566,'Coverage Indicators - Section D'!$A$1:$A$100,0))&lt;&gt;"",INDEX('Coverage Indicators - Section D'!Q$1:Q$100,MATCH($A566,'Coverage Indicators - Section D'!$A$1:$A$100,0)),""),"")</f>
        <v/>
      </c>
      <c r="F577" s="95" t="str">
        <f>IFERROR(IF(INDEX('Coverage Indicators - Section D'!T$1:T$100,MATCH($A566,'Coverage Indicators - Section D'!$A$1:$A$100,0))&lt;&gt;"",INDEX('Coverage Indicators - Section D'!T$1:T$100,MATCH($A566,'Coverage Indicators - Section D'!$A$1:$A$100,0)),""),"")</f>
        <v/>
      </c>
      <c r="G577" s="95" t="str">
        <f>IFERROR(IF(INDEX('Coverage Indicators - Section D'!W$1:W$100,MATCH($A566,'Coverage Indicators - Section D'!$A$1:$A$100,0))&lt;&gt;"",INDEX('Coverage Indicators - Section D'!W$1:W$100,MATCH($A566,'Coverage Indicators - Section D'!$A$1:$A$100,0)),""),"")</f>
        <v/>
      </c>
      <c r="H577" s="95" t="str">
        <f>IFERROR(IF(INDEX('Coverage Indicators - Section D'!Z$1:Z$100,MATCH($A566,'Coverage Indicators - Section D'!$A$1:$A$100,0))&lt;&gt;"",INDEX('Coverage Indicators - Section D'!Z$1:Z$100,MATCH($A566,'Coverage Indicators - Section D'!$A$1:$A$100,0)),""),"")</f>
        <v/>
      </c>
      <c r="I577" s="95" t="str">
        <f>IFERROR(IF(INDEX('Coverage Indicators - Section D'!AC$1:AC$100,MATCH($A566,'Coverage Indicators - Section D'!$A$1:$A$100,0))&lt;&gt;"",INDEX('Coverage Indicators - Section D'!AC$1:AC$100,MATCH($A566,'Coverage Indicators - Section D'!$A$1:$A$100,0)),""),"")</f>
        <v/>
      </c>
      <c r="J577" s="95" t="str">
        <f>IFERROR(IF(INDEX('Coverage Indicators - Section D'!AF$1:AF$100,MATCH($A566,'Coverage Indicators - Section D'!$A$1:$A$100,0))&lt;&gt;"",INDEX('Coverage Indicators - Section D'!AF$1:AF$100,MATCH($A566,'Coverage Indicators - Section D'!$A$1:$A$100,0)),""),"")</f>
        <v/>
      </c>
      <c r="K577" s="95" t="str">
        <f>IFERROR(IF(INDEX('Coverage Indicators - Section D'!AI$1:AI$100,MATCH($A566,'Coverage Indicators - Section D'!$A$1:$A$100,0))&lt;&gt;"",INDEX('Coverage Indicators - Section D'!AI$1:AI$100,MATCH($A566,'Coverage Indicators - Section D'!$A$1:$A$100,0)),""),"")</f>
        <v/>
      </c>
      <c r="L577" s="96"/>
    </row>
    <row r="578" spans="1:12" s="100" customFormat="1" ht="18.75" customHeight="1" x14ac:dyDescent="0.25">
      <c r="A578" s="667"/>
      <c r="B578" s="93" t="s">
        <v>4387</v>
      </c>
      <c r="C578" s="98">
        <f>IFERROR(IF(INDEX('Coverage Indicators - Section D'!E$1:E$100,MATCH($A566,'Coverage Indicators - Section D'!$A$1:$A$100,0)+1)&lt;&gt;"",INDEX('Coverage Indicators - Section D'!E$1:E$100,MATCH($A566,'Coverage Indicators - Section D'!$A$1:$A$100,0)+1),""),"")</f>
        <v>918</v>
      </c>
      <c r="D578" s="98" t="str">
        <f>IFERROR(IF(INDEX('Coverage Indicators - Section D'!N$1:N$100,MATCH($A566,'Coverage Indicators - Section D'!$A$1:$A$100,0)+1)&lt;&gt;"",INDEX('Coverage Indicators - Section D'!N$1:N$100,MATCH($A566,'Coverage Indicators - Section D'!$A$1:$A$100,0)+1),""),"")</f>
        <v/>
      </c>
      <c r="E578" s="98" t="str">
        <f>IFERROR(IF(INDEX('Coverage Indicators - Section D'!Q$1:Q$100,MATCH($A566,'Coverage Indicators - Section D'!$A$1:$A$100,0)+1)&lt;&gt;"",INDEX('Coverage Indicators - Section D'!Q$1:Q$100,MATCH($A566,'Coverage Indicators - Section D'!$A$1:$A$100,0)+1),""),"")</f>
        <v/>
      </c>
      <c r="F578" s="98" t="str">
        <f>IFERROR(IF(INDEX('Coverage Indicators - Section D'!T$1:T$100,MATCH($A566,'Coverage Indicators - Section D'!$A$1:$A$100,0)+1)&lt;&gt;"",INDEX('Coverage Indicators - Section D'!T$1:T$100,MATCH($A566,'Coverage Indicators - Section D'!$A$1:$A$100,0)+1),""),"")</f>
        <v/>
      </c>
      <c r="G578" s="98" t="str">
        <f>IFERROR(IF(INDEX('Coverage Indicators - Section D'!W$1:W$100,MATCH($A566,'Coverage Indicators - Section D'!$A$1:$A$100,0)+1)&lt;&gt;"",INDEX('Coverage Indicators - Section D'!W$1:W$100,MATCH($A566,'Coverage Indicators - Section D'!$A$1:$A$100,0)+1),""),"")</f>
        <v/>
      </c>
      <c r="H578" s="98" t="str">
        <f>IFERROR(IF(INDEX('Coverage Indicators - Section D'!Z$1:Z$100,MATCH($A566,'Coverage Indicators - Section D'!$A$1:$A$100,0)+1)&lt;&gt;"",INDEX('Coverage Indicators - Section D'!Z$1:Z$100,MATCH($A566,'Coverage Indicators - Section D'!$A$1:$A$100,0)+1),""),"")</f>
        <v/>
      </c>
      <c r="I578" s="98" t="str">
        <f>IFERROR(IF(INDEX('Coverage Indicators - Section D'!AC$1:AC$100,MATCH($A566,'Coverage Indicators - Section D'!$A$1:$A$100,0)+1)&lt;&gt;"",INDEX('Coverage Indicators - Section D'!AC$1:AC$100,MATCH($A566,'Coverage Indicators - Section D'!$A$1:$A$100,0)+1),""),"")</f>
        <v/>
      </c>
      <c r="J578" s="98" t="str">
        <f>IFERROR(IF(INDEX('Coverage Indicators - Section D'!AF$1:AF$100,MATCH($A566,'Coverage Indicators - Section D'!$A$1:$A$100,0)+1)&lt;&gt;"",INDEX('Coverage Indicators - Section D'!AF$1:AF$100,MATCH($A566,'Coverage Indicators - Section D'!$A$1:$A$100,0)+1),""),"")</f>
        <v/>
      </c>
      <c r="K578" s="98" t="str">
        <f>IFERROR(IF(INDEX('Coverage Indicators - Section D'!AI$1:AI$100,MATCH($A566,'Coverage Indicators - Section D'!$A$1:$A$100,0)+1)&lt;&gt;"",INDEX('Coverage Indicators - Section D'!AI$1:AI$100,MATCH($A566,'Coverage Indicators - Section D'!$A$1:$A$100,0)+1),""),"")</f>
        <v/>
      </c>
      <c r="L578" s="99"/>
    </row>
    <row r="579" spans="1:12" ht="18.75" customHeight="1" x14ac:dyDescent="0.25">
      <c r="A579" s="667"/>
      <c r="B579" s="93" t="s">
        <v>4388</v>
      </c>
      <c r="C579" s="94" t="str">
        <f ca="1">IFERROR(IF(INDEX('Coverage Indicators - Section D'!F$1:F$100,MATCH($A566,'Coverage Indicators - Section D'!$A$1:$A$100,0))&lt;&gt;"",FIXED(INDEX('Coverage Indicators - Section D'!F$1:F$100,MATCH($A566,'Coverage Indicators - Section D'!$A$1:$A$100,0))*100,2)&amp;"%",""),"")</f>
        <v>94,77%</v>
      </c>
      <c r="D579" s="94" t="str">
        <f>IFERROR(IF(INDEX('Coverage Indicators - Section D'!O$1:O$100,MATCH($A566,'Coverage Indicators - Section D'!$A$1:$A$100,0))&lt;&gt;"",FIXED(INDEX('Coverage Indicators - Section D'!O$1:O$100,MATCH($A566,'Coverage Indicators - Section D'!$A$1:$A$100,0))*100,2)&amp;"%",""),"")&amp;CHAR(10)&amp;IFERROR(IF(INDEX('Coverage Indicators - Section D'!P$1:P$100,MATCH($A566,'Coverage Indicators - Section D'!$A$1:$A$100,0))&lt;&gt;"",INDEX('Coverage Indicators - Section D'!P$1:P$100,MATCH($A566,'Coverage Indicators - Section D'!$A$1:$A$100,0)),""),"")</f>
        <v xml:space="preserve">98,00%
</v>
      </c>
      <c r="E579" s="94" t="str">
        <f>IFERROR(IF(INDEX('Coverage Indicators - Section D'!R$1:R$100,MATCH($A566,'Coverage Indicators - Section D'!$A$1:$A$100,0))&lt;&gt;"",FIXED(INDEX('Coverage Indicators - Section D'!R$1:R$100,MATCH($A566,'Coverage Indicators - Section D'!$A$1:$A$100,0))*100,2)&amp;"%",""),"")&amp;CHAR(10)&amp;IFERROR(IF(INDEX('Coverage Indicators - Section D'!S$1:S$100,MATCH($A566,'Coverage Indicators - Section D'!$A$1:$A$100,0))&lt;&gt;"",INDEX('Coverage Indicators - Section D'!S$1:S$100,MATCH($A566,'Coverage Indicators - Section D'!$A$1:$A$100,0)),""),"")</f>
        <v xml:space="preserve">98,00%
</v>
      </c>
      <c r="F579" s="94" t="str">
        <f>IFERROR(IF(INDEX('Coverage Indicators - Section D'!U$1:U$100,MATCH($A566,'Coverage Indicators - Section D'!$A$1:$A$100,0))&lt;&gt;"",FIXED(INDEX('Coverage Indicators - Section D'!U$1:U$100,MATCH($A566,'Coverage Indicators - Section D'!$A$1:$A$100,0))*100,2)&amp;"%",""),"")&amp;CHAR(10)&amp;IFERROR(IF(INDEX('Coverage Indicators - Section D'!V$1:V$100,MATCH($A566,'Coverage Indicators - Section D'!$A$1:$A$100,0))&lt;&gt;"",INDEX('Coverage Indicators - Section D'!V$1:V$100,MATCH($A566,'Coverage Indicators - Section D'!$A$1:$A$100,0)),""),"")</f>
        <v xml:space="preserve">98,00%
</v>
      </c>
      <c r="G579" s="94" t="str">
        <f ca="1">IFERROR(IF(INDEX('Coverage Indicators - Section D'!X$1:X$100,MATCH($A566,'Coverage Indicators - Section D'!$A$1:$A$100,0))&lt;&gt;"",FIXED(INDEX('Coverage Indicators - Section D'!X$1:X$100,MATCH($A566,'Coverage Indicators - Section D'!$A$1:$A$100,0))*100,2)&amp;"%",""),"")&amp;CHAR(10)&amp;IFERROR(IF(INDEX('Coverage Indicators - Section D'!Y$1:Y$100,MATCH($A566,'Coverage Indicators - Section D'!$A$1:$A$100,0))&lt;&gt;"",INDEX('Coverage Indicators - Section D'!Y$1:Y$100,MATCH($A566,'Coverage Indicators - Section D'!$A$1:$A$100,0)),""),"")</f>
        <v xml:space="preserve">
</v>
      </c>
      <c r="H579" s="94" t="str">
        <f ca="1">IFERROR(IF(INDEX('Coverage Indicators - Section D'!AA$1:AA$100,MATCH(A566,'Coverage Indicators - Section D'!$A$1:$A$100,0))&lt;&gt;"",FIXED(INDEX('Coverage Indicators - Section D'!AA$1:AA$100,MATCH($A566,'Coverage Indicators - Section D'!$A$1:$A$100,0))*100,2)&amp;"%",""),"")&amp;CHAR(10)&amp;IFERROR(IF(INDEX('Coverage Indicators - Section D'!AB$1:AB$100,MATCH($A566,'Coverage Indicators - Section D'!$A$1:$A$100,0))&lt;&gt;"",INDEX('Coverage Indicators - Section D'!AB$1:AB$100,MATCH($A566,'Coverage Indicators - Section D'!$A$1:$A$100,0)),""),"")</f>
        <v xml:space="preserve">
</v>
      </c>
      <c r="I579" s="94" t="str">
        <f ca="1">IFERROR(IF(INDEX('Coverage Indicators - Section D'!AD$1:AD$100,MATCH($A566,'Coverage Indicators - Section D'!$A$1:$A$100,0))&lt;&gt;"",FIXED(INDEX('Coverage Indicators - Section D'!AD$1:AD$100,MATCH($A566,'Coverage Indicators - Section D'!$A$1:$A$100,0))*100,2)&amp;"%",""),"")&amp;CHAR(10)&amp;IFERROR(IF(INDEX('Coverage Indicators - Section D'!AE$1:AE$100,MATCH($A566,'Coverage Indicators - Section D'!$A$1:$A$100,0))&lt;&gt;"",INDEX('Coverage Indicators - Section D'!AE$1:AE$100,MATCH($A566,'Coverage Indicators - Section D'!$A$1:$A$100,0)),""),"")</f>
        <v xml:space="preserve">
</v>
      </c>
      <c r="J579" s="94" t="str">
        <f ca="1">IFERROR(IF(INDEX('Coverage Indicators - Section D'!AG$1:AG$100,MATCH($A566,'Coverage Indicators - Section D'!$A$1:$A$100,0))&lt;&gt;"",FIXED(INDEX('Coverage Indicators - Section D'!AG$1:AG$100,MATCH($A566,'Coverage Indicators - Section D'!$A$1:$A$100,0))*100,2)&amp;"%",""),"")&amp;CHAR(10)&amp;IFERROR(IF(INDEX('Coverage Indicators - Section D'!AH$1:AH$100,MATCH($A566,'Coverage Indicators - Section D'!$A$1:$A$100,0))&lt;&gt;"",INDEX('Coverage Indicators - Section D'!AH$1:AH$100,MATCH($A566,'Coverage Indicators - Section D'!$A$1:$A$100,0)),""),"")</f>
        <v xml:space="preserve">
</v>
      </c>
      <c r="K579" s="94" t="str">
        <f ca="1">IFERROR(IF(INDEX('Coverage Indicators - Section D'!AJ$1:AJ$100,MATCH($A566,'Coverage Indicators - Section D'!$A$1:$A$100,0))&lt;&gt;"",FIXED(INDEX('Coverage Indicators - Section D'!AJ$1:AJ$100,MATCH($A566,'Coverage Indicators - Section D'!$A$1:$A$100,0))*100,2)&amp;"%",""),"")&amp;CHAR(10)&amp;IFERROR(IF(INDEX('Coverage Indicators - Section D'!AK$1:AK$100,MATCH($A566,'Coverage Indicators - Section D'!$A$1:$A$100,0))&lt;&gt;"",INDEX('Coverage Indicators - Section D'!AK$1:AK$100,MATCH($A566,'Coverage Indicators - Section D'!$A$1:$A$100,0)),""),"")</f>
        <v xml:space="preserve">
</v>
      </c>
      <c r="L579" s="86"/>
    </row>
    <row r="580" spans="1:12" ht="18.75" customHeight="1" x14ac:dyDescent="0.25">
      <c r="A580" s="667"/>
      <c r="B580" s="660" t="s">
        <v>176</v>
      </c>
      <c r="C580" s="661"/>
      <c r="D580" s="661"/>
      <c r="E580" s="661"/>
      <c r="F580" s="661"/>
      <c r="G580" s="661"/>
      <c r="H580" s="661"/>
      <c r="I580" s="661"/>
      <c r="J580" s="661"/>
      <c r="K580" s="662"/>
      <c r="L580" s="86"/>
    </row>
    <row r="581" spans="1:12" ht="18.75" customHeight="1" x14ac:dyDescent="0.25">
      <c r="A581" s="667"/>
      <c r="B581" s="669" t="str">
        <f>IFERROR(IF(INDEX('Coverage Indicators - Section D'!AL$1:AL$110,MATCH($A566,'Coverage Indicators - Section D'!$A$1:$A$110,0))&lt;&gt;0,INDEX('Coverage Indicators - Section D'!AL$1:AL$110,MATCH($A566,'Coverage Indicators - Section D'!$A$1:$A$110,0)),""),"")</f>
        <v>It is expected that at least 98% of notified RR/MDR TB cases will be enrolled on SL TB treatment. Numerator: Number of people with bacteriologically confirmed RR-TB and/or MDR-TB notified and started on second-line treatment regimen during the specified reporting period. Denominator: Total number of people with bacteriologically confirmed RR-TB and/or MDR-TB notified during the same reporting period. The source of information is TB06U form. XDR TB cases are included. The reporting cycle for 2024-2026 will be applied in the Q-1 modality: the data on 2024 will be available in April 2025, etc. The data will be collected, processed, and provided by NTP.</v>
      </c>
      <c r="C581" s="670"/>
      <c r="D581" s="670"/>
      <c r="E581" s="670"/>
      <c r="F581" s="670"/>
      <c r="G581" s="670"/>
      <c r="H581" s="670"/>
      <c r="I581" s="670"/>
      <c r="J581" s="670"/>
      <c r="K581" s="671"/>
      <c r="L581" s="86"/>
    </row>
    <row r="582" spans="1:12" ht="18.75" customHeight="1" x14ac:dyDescent="0.25">
      <c r="A582" s="667"/>
      <c r="B582" s="672"/>
      <c r="C582" s="673"/>
      <c r="D582" s="673"/>
      <c r="E582" s="673"/>
      <c r="F582" s="673"/>
      <c r="G582" s="673"/>
      <c r="H582" s="673"/>
      <c r="I582" s="673"/>
      <c r="J582" s="673"/>
      <c r="K582" s="674"/>
      <c r="L582" s="86"/>
    </row>
    <row r="583" spans="1:12" ht="18.75" customHeight="1" x14ac:dyDescent="0.25">
      <c r="A583" s="667"/>
      <c r="B583" s="672"/>
      <c r="C583" s="673"/>
      <c r="D583" s="673"/>
      <c r="E583" s="673"/>
      <c r="F583" s="673"/>
      <c r="G583" s="673"/>
      <c r="H583" s="673"/>
      <c r="I583" s="673"/>
      <c r="J583" s="673"/>
      <c r="K583" s="674"/>
      <c r="L583" s="86"/>
    </row>
    <row r="584" spans="1:12" ht="18.75" customHeight="1" x14ac:dyDescent="0.25">
      <c r="A584" s="667"/>
      <c r="B584" s="672"/>
      <c r="C584" s="673"/>
      <c r="D584" s="673"/>
      <c r="E584" s="673"/>
      <c r="F584" s="673"/>
      <c r="G584" s="673"/>
      <c r="H584" s="673"/>
      <c r="I584" s="673"/>
      <c r="J584" s="673"/>
      <c r="K584" s="674"/>
      <c r="L584" s="86"/>
    </row>
    <row r="585" spans="1:12" ht="18.75" customHeight="1" x14ac:dyDescent="0.25">
      <c r="A585" s="667"/>
      <c r="B585" s="672"/>
      <c r="C585" s="673"/>
      <c r="D585" s="673"/>
      <c r="E585" s="673"/>
      <c r="F585" s="673"/>
      <c r="G585" s="673"/>
      <c r="H585" s="673"/>
      <c r="I585" s="673"/>
      <c r="J585" s="673"/>
      <c r="K585" s="674"/>
      <c r="L585" s="86"/>
    </row>
    <row r="586" spans="1:12" ht="18.75" customHeight="1" x14ac:dyDescent="0.25">
      <c r="A586" s="667"/>
      <c r="B586" s="672"/>
      <c r="C586" s="673"/>
      <c r="D586" s="673"/>
      <c r="E586" s="673"/>
      <c r="F586" s="673"/>
      <c r="G586" s="673"/>
      <c r="H586" s="673"/>
      <c r="I586" s="673"/>
      <c r="J586" s="673"/>
      <c r="K586" s="674"/>
      <c r="L586" s="86"/>
    </row>
    <row r="587" spans="1:12" ht="18.75" customHeight="1" x14ac:dyDescent="0.25">
      <c r="A587" s="667"/>
      <c r="B587" s="672"/>
      <c r="C587" s="673"/>
      <c r="D587" s="673"/>
      <c r="E587" s="673"/>
      <c r="F587" s="673"/>
      <c r="G587" s="673"/>
      <c r="H587" s="673"/>
      <c r="I587" s="673"/>
      <c r="J587" s="673"/>
      <c r="K587" s="674"/>
      <c r="L587" s="86"/>
    </row>
    <row r="588" spans="1:12" ht="18.75" customHeight="1" x14ac:dyDescent="0.25">
      <c r="A588" s="667"/>
      <c r="B588" s="672"/>
      <c r="C588" s="673"/>
      <c r="D588" s="673"/>
      <c r="E588" s="673"/>
      <c r="F588" s="673"/>
      <c r="G588" s="673"/>
      <c r="H588" s="673"/>
      <c r="I588" s="673"/>
      <c r="J588" s="673"/>
      <c r="K588" s="674"/>
      <c r="L588" s="86"/>
    </row>
    <row r="589" spans="1:12" ht="18.75" customHeight="1" x14ac:dyDescent="0.25">
      <c r="A589" s="667"/>
      <c r="B589" s="672"/>
      <c r="C589" s="673"/>
      <c r="D589" s="673"/>
      <c r="E589" s="673"/>
      <c r="F589" s="673"/>
      <c r="G589" s="673"/>
      <c r="H589" s="673"/>
      <c r="I589" s="673"/>
      <c r="J589" s="673"/>
      <c r="K589" s="674"/>
      <c r="L589" s="86"/>
    </row>
    <row r="590" spans="1:12" ht="18.75" customHeight="1" x14ac:dyDescent="0.25">
      <c r="A590" s="668"/>
      <c r="B590" s="675"/>
      <c r="C590" s="676"/>
      <c r="D590" s="676"/>
      <c r="E590" s="676"/>
      <c r="F590" s="676"/>
      <c r="G590" s="676"/>
      <c r="H590" s="676"/>
      <c r="I590" s="676"/>
      <c r="J590" s="676"/>
      <c r="K590" s="677"/>
      <c r="L590" s="86"/>
    </row>
    <row r="591" spans="1:12" ht="18.75" customHeight="1" x14ac:dyDescent="0.25">
      <c r="A591" s="660"/>
      <c r="B591" s="661"/>
      <c r="C591" s="661"/>
      <c r="D591" s="661"/>
      <c r="E591" s="661"/>
      <c r="F591" s="661"/>
      <c r="G591" s="661"/>
      <c r="H591" s="661"/>
      <c r="I591" s="661"/>
      <c r="J591" s="661"/>
      <c r="K591" s="662"/>
      <c r="L591" s="86"/>
    </row>
    <row r="593" spans="1:12" ht="18.75" customHeight="1" x14ac:dyDescent="0.25">
      <c r="A593" s="93" t="s">
        <v>4383</v>
      </c>
      <c r="B593" s="660" t="s">
        <v>1046</v>
      </c>
      <c r="C593" s="662"/>
      <c r="D593" s="663" t="str">
        <f>IFERROR(IF(INDEX('Coverage Indicators - Section D'!B$1:B$100,MATCH($A594,'Coverage Indicators - Section D'!$A$1:$A$100,0))&lt;&gt;0,INDEX('Coverage Indicators - Section D'!B$1:B$100,MATCH($A594,'Coverage Indicators - Section D'!$A$1:$A$100,0)),""),"")</f>
        <v>Drug-resistant (DR)-TB diagnosis, treatment and care</v>
      </c>
      <c r="E593" s="664"/>
      <c r="F593" s="664"/>
      <c r="G593" s="664"/>
      <c r="H593" s="664"/>
      <c r="I593" s="664"/>
      <c r="J593" s="664"/>
      <c r="K593" s="665"/>
      <c r="L593" s="86"/>
    </row>
    <row r="594" spans="1:12" ht="18.75" customHeight="1" x14ac:dyDescent="0.25">
      <c r="A594" s="666">
        <v>22</v>
      </c>
      <c r="B594" s="660" t="s">
        <v>738</v>
      </c>
      <c r="C594" s="661"/>
      <c r="D594" s="661"/>
      <c r="E594" s="661"/>
      <c r="F594" s="662"/>
      <c r="G594" s="660" t="s">
        <v>739</v>
      </c>
      <c r="H594" s="661"/>
      <c r="I594" s="661"/>
      <c r="J594" s="661"/>
      <c r="K594" s="662"/>
      <c r="L594" s="86"/>
    </row>
    <row r="595" spans="1:12" ht="18.75" customHeight="1" x14ac:dyDescent="0.25">
      <c r="A595" s="667"/>
      <c r="B595" s="669" t="str">
        <f>IFERROR(IF(INDEX('Coverage Indicators - Section D'!C$1:C$100,MATCH($A594,'Coverage Indicators - Section D'!$A$1:$A$100,0))&lt;&gt;0,INDEX('Coverage Indicators - Section D'!C$1:C$100,MATCH($A594,'Coverage Indicators - Section D'!$A$1:$A$100,0)),""),"")</f>
        <v>DRTB-6 Percentage of TB patients with DST result for at least Rifampicin among the total number of notified (new and retreatment) patients during the reporting period</v>
      </c>
      <c r="C595" s="670"/>
      <c r="D595" s="670"/>
      <c r="E595" s="670"/>
      <c r="F595" s="671"/>
      <c r="G595" s="669" t="str">
        <f>IFERROR(IF(INDEX('Coverage Indicators - Section D'!D$1:D$100,MATCH($A594,'Coverage Indicators - Section D'!$A$1:$A$100,0))&lt;&gt;0,INDEX('Coverage Indicators - Section D'!D$1:D$100,MATCH($A594,'Coverage Indicators - Section D'!$A$1:$A$100,0)),""),"")</f>
        <v/>
      </c>
      <c r="H595" s="670"/>
      <c r="I595" s="670"/>
      <c r="J595" s="670"/>
      <c r="K595" s="671"/>
      <c r="L595" s="86"/>
    </row>
    <row r="596" spans="1:12" ht="18.75" customHeight="1" x14ac:dyDescent="0.25">
      <c r="A596" s="667"/>
      <c r="B596" s="672"/>
      <c r="C596" s="673"/>
      <c r="D596" s="673"/>
      <c r="E596" s="673"/>
      <c r="F596" s="674"/>
      <c r="G596" s="672"/>
      <c r="H596" s="673"/>
      <c r="I596" s="673"/>
      <c r="J596" s="673"/>
      <c r="K596" s="674"/>
      <c r="L596" s="86"/>
    </row>
    <row r="597" spans="1:12" ht="18.75" customHeight="1" x14ac:dyDescent="0.25">
      <c r="A597" s="667"/>
      <c r="B597" s="675"/>
      <c r="C597" s="676"/>
      <c r="D597" s="676"/>
      <c r="E597" s="676"/>
      <c r="F597" s="677"/>
      <c r="G597" s="675"/>
      <c r="H597" s="676"/>
      <c r="I597" s="676"/>
      <c r="J597" s="676"/>
      <c r="K597" s="677"/>
      <c r="L597" s="86"/>
    </row>
    <row r="598" spans="1:12" ht="18.75" customHeight="1" x14ac:dyDescent="0.25">
      <c r="A598" s="667"/>
      <c r="B598" s="660" t="s">
        <v>742</v>
      </c>
      <c r="C598" s="661"/>
      <c r="D598" s="662"/>
      <c r="E598" s="660" t="s">
        <v>216</v>
      </c>
      <c r="F598" s="661"/>
      <c r="G598" s="662"/>
      <c r="H598" s="660" t="s">
        <v>127</v>
      </c>
      <c r="I598" s="661"/>
      <c r="J598" s="662"/>
      <c r="K598" s="93" t="s">
        <v>2175</v>
      </c>
      <c r="L598" s="86"/>
    </row>
    <row r="599" spans="1:12" ht="18.75" customHeight="1" x14ac:dyDescent="0.25">
      <c r="A599" s="667"/>
      <c r="B599" s="663" t="str">
        <f>IFERROR(IF(INDEX('Coverage Indicators - Section D'!I$9:I$68,MATCH($A594,'Coverage Indicators - Section D'!$A$9:$A$68,0))&lt;&gt;0,INDEX('Coverage Indicators - Section D'!I$9:I$68,MATCH($A594,'Coverage Indicators - Section D'!$A$9:$A$68,0)),""),"")</f>
        <v/>
      </c>
      <c r="C599" s="664"/>
      <c r="D599" s="665"/>
      <c r="E599" s="663" t="str">
        <f>IFERROR(IF(INDEX('Coverage Indicators - Section D'!M$1:M$100,MATCH($A594,'Coverage Indicators - Section D'!$A$1:$A$100,0))&lt;&gt;0,INDEX('Coverage Indicators - Section D'!M$1:M$100,MATCH($A594,'Coverage Indicators - Section D'!$A$1:$A$100,0)),""),"")</f>
        <v>Non cumulative</v>
      </c>
      <c r="F599" s="664"/>
      <c r="G599" s="665"/>
      <c r="H599" s="663" t="str">
        <f>IFERROR(IF(INDEX('Coverage Indicators - Section D'!L$1:L$100,MATCH($A594,'Coverage Indicators - Section D'!$A$1:$A$100,0))&lt;&gt;0,INDEX('Coverage Indicators - Section D'!L$1:L$100,MATCH($A594,'Coverage Indicators - Section D'!$A$1:$A$100,0)),""),"")</f>
        <v>Kyrgyzstan</v>
      </c>
      <c r="I599" s="664"/>
      <c r="J599" s="665"/>
      <c r="K599" s="94" t="str">
        <f>IFERROR(IF(INDEX('Coverage Indicators - Section D'!J$1:J$100,MATCH($A594,'Coverage Indicators - Section D'!$A$1:$A$100,0))&lt;&gt;0,INDEX('Coverage Indicators - Section D'!J$1:J$100,MATCH($A594,'Coverage Indicators - Section D'!$A$1:$A$100,0)),""),"")</f>
        <v>Yes</v>
      </c>
      <c r="L599" s="86"/>
    </row>
    <row r="600" spans="1:12" ht="18.75" customHeight="1" x14ac:dyDescent="0.25">
      <c r="A600" s="667"/>
      <c r="B600" s="660" t="s">
        <v>199</v>
      </c>
      <c r="C600" s="661"/>
      <c r="D600" s="662"/>
      <c r="E600" s="660" t="s">
        <v>4392</v>
      </c>
      <c r="F600" s="661"/>
      <c r="G600" s="662"/>
      <c r="H600" s="660" t="s">
        <v>120</v>
      </c>
      <c r="I600" s="661"/>
      <c r="J600" s="661"/>
      <c r="K600" s="662"/>
      <c r="L600" s="86"/>
    </row>
    <row r="601" spans="1:12" ht="18.75" customHeight="1" x14ac:dyDescent="0.25">
      <c r="A601" s="667"/>
      <c r="B601" s="669" t="str">
        <f>IFERROR(IF(INDEX('Coverage Indicators - Section D'!H$1:H$100,MATCH($A594,'Coverage Indicators - Section D'!$A$1:$A$100,0))&lt;&gt;0,INDEX('Coverage Indicators - Section D'!H$1:H$100,MATCH($A594,'Coverage Indicators - Section D'!$A$1:$A$100,0)),""),"")</f>
        <v>The report of the National TB center</v>
      </c>
      <c r="C601" s="670"/>
      <c r="D601" s="671"/>
      <c r="E601" s="669" t="str">
        <f>IFERROR(IF(INDEX('Coverage Indicators - Section D'!L$1:L$100,MATCH($A594,'Coverage Indicators - Section D'!$A$1:$A$100,0)+1)&lt;&gt;0,INDEX('Coverage Indicators - Section D'!L$1:L$100,MATCH($A594,'Coverage Indicators - Section D'!$A$1:$A$100,0)+1),""),"")</f>
        <v>Geographic Subnational, 100% of national program target</v>
      </c>
      <c r="F601" s="670"/>
      <c r="G601" s="671"/>
      <c r="H601" s="669" t="str">
        <f>IFERROR(IF(AND('Overview - Section A'!AS$1="Grant Making",OR(B595&lt;&gt;"",G595&lt;&gt;"")),Setup!I603,IF(INDEX('Coverage Indicators - Section D'!K$1:K$100,MATCH($A594,'Coverage Indicators - Section D'!$A$1:$A$100,0))&lt;&gt;0,INDEX('Coverage Indicators - Section D'!K$1:K$100,MATCH($A594,'Coverage Indicators - Section D'!$A$1:$A$100,0)),"")),"")</f>
        <v>United Nations Development Programme</v>
      </c>
      <c r="I601" s="670"/>
      <c r="J601" s="670"/>
      <c r="K601" s="671"/>
      <c r="L601" s="86"/>
    </row>
    <row r="602" spans="1:12" ht="18.75" customHeight="1" x14ac:dyDescent="0.25">
      <c r="A602" s="667"/>
      <c r="B602" s="675"/>
      <c r="C602" s="676"/>
      <c r="D602" s="677"/>
      <c r="E602" s="675"/>
      <c r="F602" s="676"/>
      <c r="G602" s="677"/>
      <c r="H602" s="675"/>
      <c r="I602" s="676"/>
      <c r="J602" s="676"/>
      <c r="K602" s="677"/>
      <c r="L602" s="86"/>
    </row>
    <row r="603" spans="1:12" ht="18.75" customHeight="1" x14ac:dyDescent="0.25">
      <c r="A603" s="667"/>
      <c r="B603" s="93"/>
      <c r="C603" s="93" t="s">
        <v>4384</v>
      </c>
      <c r="D603" s="660" t="s">
        <v>4385</v>
      </c>
      <c r="E603" s="661"/>
      <c r="F603" s="661"/>
      <c r="G603" s="661"/>
      <c r="H603" s="661"/>
      <c r="I603" s="661"/>
      <c r="J603" s="661"/>
      <c r="K603" s="662"/>
      <c r="L603" s="86"/>
    </row>
    <row r="604" spans="1:12" ht="18.75" customHeight="1" x14ac:dyDescent="0.25">
      <c r="A604" s="667"/>
      <c r="B604" s="93" t="s">
        <v>2559</v>
      </c>
      <c r="C604" s="94">
        <f>IFERROR(IF(INDEX('Coverage Indicators - Section D'!G$1:G$100,MATCH($A594,'Coverage Indicators - Section D'!$A$1:$A$100,0))&lt;&gt;0,INDEX('Coverage Indicators - Section D'!G$1:G$100,MATCH($A594,'Coverage Indicators - Section D'!$A$1:$A$100,0)),""),"")</f>
        <v>2021</v>
      </c>
      <c r="D604"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604"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604"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604"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604"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604"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604"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604"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604" s="86"/>
    </row>
    <row r="605" spans="1:12" s="97" customFormat="1" ht="18.75" customHeight="1" x14ac:dyDescent="0.25">
      <c r="A605" s="667"/>
      <c r="B605" s="93" t="s">
        <v>4386</v>
      </c>
      <c r="C605" s="95">
        <f>IFERROR(IF(INDEX('Coverage Indicators - Section D'!E$1:E$100,MATCH($A594,'Coverage Indicators - Section D'!$A$1:$A$100,0))&lt;&gt;"",INDEX('Coverage Indicators - Section D'!E$1:E$100,MATCH($A594,'Coverage Indicators - Section D'!$A$1:$A$100,0)),""),"")</f>
        <v>2875</v>
      </c>
      <c r="D605" s="95" t="str">
        <f>IFERROR(IF(INDEX('Coverage Indicators - Section D'!N$1:N$100,MATCH($A594,'Coverage Indicators - Section D'!$A$1:$A$100,0))&lt;&gt;"",INDEX('Coverage Indicators - Section D'!N$1:N$100,MATCH($A594,'Coverage Indicators - Section D'!$A$1:$A$100,0)),""),"")</f>
        <v/>
      </c>
      <c r="E605" s="95" t="str">
        <f>IFERROR(IF(INDEX('Coverage Indicators - Section D'!Q$1:Q$100,MATCH($A594,'Coverage Indicators - Section D'!$A$1:$A$100,0))&lt;&gt;"",INDEX('Coverage Indicators - Section D'!Q$1:Q$100,MATCH($A594,'Coverage Indicators - Section D'!$A$1:$A$100,0)),""),"")</f>
        <v/>
      </c>
      <c r="F605" s="95" t="str">
        <f>IFERROR(IF(INDEX('Coverage Indicators - Section D'!T$1:T$100,MATCH($A594,'Coverage Indicators - Section D'!$A$1:$A$100,0))&lt;&gt;"",INDEX('Coverage Indicators - Section D'!T$1:T$100,MATCH($A594,'Coverage Indicators - Section D'!$A$1:$A$100,0)),""),"")</f>
        <v/>
      </c>
      <c r="G605" s="95" t="str">
        <f>IFERROR(IF(INDEX('Coverage Indicators - Section D'!W$1:W$100,MATCH($A594,'Coverage Indicators - Section D'!$A$1:$A$100,0))&lt;&gt;"",INDEX('Coverage Indicators - Section D'!W$1:W$100,MATCH($A594,'Coverage Indicators - Section D'!$A$1:$A$100,0)),""),"")</f>
        <v/>
      </c>
      <c r="H605" s="95" t="str">
        <f>IFERROR(IF(INDEX('Coverage Indicators - Section D'!Z$1:Z$100,MATCH($A594,'Coverage Indicators - Section D'!$A$1:$A$100,0))&lt;&gt;"",INDEX('Coverage Indicators - Section D'!Z$1:Z$100,MATCH($A594,'Coverage Indicators - Section D'!$A$1:$A$100,0)),""),"")</f>
        <v/>
      </c>
      <c r="I605" s="95" t="str">
        <f>IFERROR(IF(INDEX('Coverage Indicators - Section D'!AC$1:AC$100,MATCH($A594,'Coverage Indicators - Section D'!$A$1:$A$100,0))&lt;&gt;"",INDEX('Coverage Indicators - Section D'!AC$1:AC$100,MATCH($A594,'Coverage Indicators - Section D'!$A$1:$A$100,0)),""),"")</f>
        <v/>
      </c>
      <c r="J605" s="95" t="str">
        <f>IFERROR(IF(INDEX('Coverage Indicators - Section D'!AF$1:AF$100,MATCH($A594,'Coverage Indicators - Section D'!$A$1:$A$100,0))&lt;&gt;"",INDEX('Coverage Indicators - Section D'!AF$1:AF$100,MATCH($A594,'Coverage Indicators - Section D'!$A$1:$A$100,0)),""),"")</f>
        <v/>
      </c>
      <c r="K605" s="95" t="str">
        <f>IFERROR(IF(INDEX('Coverage Indicators - Section D'!AI$1:AI$100,MATCH($A594,'Coverage Indicators - Section D'!$A$1:$A$100,0))&lt;&gt;"",INDEX('Coverage Indicators - Section D'!AI$1:AI$100,MATCH($A594,'Coverage Indicators - Section D'!$A$1:$A$100,0)),""),"")</f>
        <v/>
      </c>
      <c r="L605" s="96"/>
    </row>
    <row r="606" spans="1:12" s="100" customFormat="1" ht="18.75" customHeight="1" x14ac:dyDescent="0.25">
      <c r="A606" s="667"/>
      <c r="B606" s="93" t="s">
        <v>4387</v>
      </c>
      <c r="C606" s="98">
        <f>IFERROR(IF(INDEX('Coverage Indicators - Section D'!E$1:E$100,MATCH($A594,'Coverage Indicators - Section D'!$A$1:$A$100,0)+1)&lt;&gt;"",INDEX('Coverage Indicators - Section D'!E$1:E$100,MATCH($A594,'Coverage Indicators - Section D'!$A$1:$A$100,0)+1),""),"")</f>
        <v>3068</v>
      </c>
      <c r="D606" s="98" t="str">
        <f>IFERROR(IF(INDEX('Coverage Indicators - Section D'!N$1:N$100,MATCH($A594,'Coverage Indicators - Section D'!$A$1:$A$100,0)+1)&lt;&gt;"",INDEX('Coverage Indicators - Section D'!N$1:N$100,MATCH($A594,'Coverage Indicators - Section D'!$A$1:$A$100,0)+1),""),"")</f>
        <v/>
      </c>
      <c r="E606" s="98" t="str">
        <f>IFERROR(IF(INDEX('Coverage Indicators - Section D'!Q$1:Q$100,MATCH($A594,'Coverage Indicators - Section D'!$A$1:$A$100,0)+1)&lt;&gt;"",INDEX('Coverage Indicators - Section D'!Q$1:Q$100,MATCH($A594,'Coverage Indicators - Section D'!$A$1:$A$100,0)+1),""),"")</f>
        <v/>
      </c>
      <c r="F606" s="98" t="str">
        <f>IFERROR(IF(INDEX('Coverage Indicators - Section D'!T$1:T$100,MATCH($A594,'Coverage Indicators - Section D'!$A$1:$A$100,0)+1)&lt;&gt;"",INDEX('Coverage Indicators - Section D'!T$1:T$100,MATCH($A594,'Coverage Indicators - Section D'!$A$1:$A$100,0)+1),""),"")</f>
        <v/>
      </c>
      <c r="G606" s="98" t="str">
        <f>IFERROR(IF(INDEX('Coverage Indicators - Section D'!W$1:W$100,MATCH($A594,'Coverage Indicators - Section D'!$A$1:$A$100,0)+1)&lt;&gt;"",INDEX('Coverage Indicators - Section D'!W$1:W$100,MATCH($A594,'Coverage Indicators - Section D'!$A$1:$A$100,0)+1),""),"")</f>
        <v/>
      </c>
      <c r="H606" s="98" t="str">
        <f>IFERROR(IF(INDEX('Coverage Indicators - Section D'!Z$1:Z$100,MATCH($A594,'Coverage Indicators - Section D'!$A$1:$A$100,0)+1)&lt;&gt;"",INDEX('Coverage Indicators - Section D'!Z$1:Z$100,MATCH($A594,'Coverage Indicators - Section D'!$A$1:$A$100,0)+1),""),"")</f>
        <v/>
      </c>
      <c r="I606" s="98" t="str">
        <f>IFERROR(IF(INDEX('Coverage Indicators - Section D'!AC$1:AC$100,MATCH($A594,'Coverage Indicators - Section D'!$A$1:$A$100,0)+1)&lt;&gt;"",INDEX('Coverage Indicators - Section D'!AC$1:AC$100,MATCH($A594,'Coverage Indicators - Section D'!$A$1:$A$100,0)+1),""),"")</f>
        <v/>
      </c>
      <c r="J606" s="98" t="str">
        <f>IFERROR(IF(INDEX('Coverage Indicators - Section D'!AF$1:AF$100,MATCH($A594,'Coverage Indicators - Section D'!$A$1:$A$100,0)+1)&lt;&gt;"",INDEX('Coverage Indicators - Section D'!AF$1:AF$100,MATCH($A594,'Coverage Indicators - Section D'!$A$1:$A$100,0)+1),""),"")</f>
        <v/>
      </c>
      <c r="K606" s="98" t="str">
        <f>IFERROR(IF(INDEX('Coverage Indicators - Section D'!AI$1:AI$100,MATCH($A594,'Coverage Indicators - Section D'!$A$1:$A$100,0)+1)&lt;&gt;"",INDEX('Coverage Indicators - Section D'!AI$1:AI$100,MATCH($A594,'Coverage Indicators - Section D'!$A$1:$A$100,0)+1),""),"")</f>
        <v/>
      </c>
      <c r="L606" s="99"/>
    </row>
    <row r="607" spans="1:12" ht="18.75" customHeight="1" x14ac:dyDescent="0.25">
      <c r="A607" s="667"/>
      <c r="B607" s="93" t="s">
        <v>4388</v>
      </c>
      <c r="C607" s="94" t="str">
        <f ca="1">IFERROR(IF(INDEX('Coverage Indicators - Section D'!F$1:F$100,MATCH($A594,'Coverage Indicators - Section D'!$A$1:$A$100,0))&lt;&gt;"",FIXED(INDEX('Coverage Indicators - Section D'!F$1:F$100,MATCH($A594,'Coverage Indicators - Section D'!$A$1:$A$100,0))*100,2)&amp;"%",""),"")</f>
        <v>93,71%</v>
      </c>
      <c r="D607" s="94" t="str">
        <f>IFERROR(IF(INDEX('Coverage Indicators - Section D'!O$1:O$100,MATCH($A594,'Coverage Indicators - Section D'!$A$1:$A$100,0))&lt;&gt;"",FIXED(INDEX('Coverage Indicators - Section D'!O$1:O$100,MATCH($A594,'Coverage Indicators - Section D'!$A$1:$A$100,0))*100,2)&amp;"%",""),"")&amp;CHAR(10)&amp;IFERROR(IF(INDEX('Coverage Indicators - Section D'!P$1:P$100,MATCH($A594,'Coverage Indicators - Section D'!$A$1:$A$100,0))&lt;&gt;"",INDEX('Coverage Indicators - Section D'!P$1:P$100,MATCH($A594,'Coverage Indicators - Section D'!$A$1:$A$100,0)),""),"")</f>
        <v xml:space="preserve">95,00%
</v>
      </c>
      <c r="E607" s="94" t="str">
        <f>IFERROR(IF(INDEX('Coverage Indicators - Section D'!R$1:R$100,MATCH($A594,'Coverage Indicators - Section D'!$A$1:$A$100,0))&lt;&gt;"",FIXED(INDEX('Coverage Indicators - Section D'!R$1:R$100,MATCH($A594,'Coverage Indicators - Section D'!$A$1:$A$100,0))*100,2)&amp;"%",""),"")&amp;CHAR(10)&amp;IFERROR(IF(INDEX('Coverage Indicators - Section D'!S$1:S$100,MATCH($A594,'Coverage Indicators - Section D'!$A$1:$A$100,0))&lt;&gt;"",INDEX('Coverage Indicators - Section D'!S$1:S$100,MATCH($A594,'Coverage Indicators - Section D'!$A$1:$A$100,0)),""),"")</f>
        <v xml:space="preserve">97,00%
</v>
      </c>
      <c r="F607" s="94" t="str">
        <f>IFERROR(IF(INDEX('Coverage Indicators - Section D'!U$1:U$100,MATCH($A594,'Coverage Indicators - Section D'!$A$1:$A$100,0))&lt;&gt;"",FIXED(INDEX('Coverage Indicators - Section D'!U$1:U$100,MATCH($A594,'Coverage Indicators - Section D'!$A$1:$A$100,0))*100,2)&amp;"%",""),"")&amp;CHAR(10)&amp;IFERROR(IF(INDEX('Coverage Indicators - Section D'!V$1:V$100,MATCH($A594,'Coverage Indicators - Section D'!$A$1:$A$100,0))&lt;&gt;"",INDEX('Coverage Indicators - Section D'!V$1:V$100,MATCH($A594,'Coverage Indicators - Section D'!$A$1:$A$100,0)),""),"")</f>
        <v xml:space="preserve">98,00%
</v>
      </c>
      <c r="G607" s="94" t="str">
        <f ca="1">IFERROR(IF(INDEX('Coverage Indicators - Section D'!X$1:X$100,MATCH($A594,'Coverage Indicators - Section D'!$A$1:$A$100,0))&lt;&gt;"",FIXED(INDEX('Coverage Indicators - Section D'!X$1:X$100,MATCH($A594,'Coverage Indicators - Section D'!$A$1:$A$100,0))*100,2)&amp;"%",""),"")&amp;CHAR(10)&amp;IFERROR(IF(INDEX('Coverage Indicators - Section D'!Y$1:Y$100,MATCH($A594,'Coverage Indicators - Section D'!$A$1:$A$100,0))&lt;&gt;"",INDEX('Coverage Indicators - Section D'!Y$1:Y$100,MATCH($A594,'Coverage Indicators - Section D'!$A$1:$A$100,0)),""),"")</f>
        <v xml:space="preserve">
</v>
      </c>
      <c r="H607" s="94" t="str">
        <f ca="1">IFERROR(IF(INDEX('Coverage Indicators - Section D'!AA$1:AA$100,MATCH(A594,'Coverage Indicators - Section D'!$A$1:$A$100,0))&lt;&gt;"",FIXED(INDEX('Coverage Indicators - Section D'!AA$1:AA$100,MATCH($A594,'Coverage Indicators - Section D'!$A$1:$A$100,0))*100,2)&amp;"%",""),"")&amp;CHAR(10)&amp;IFERROR(IF(INDEX('Coverage Indicators - Section D'!AB$1:AB$100,MATCH($A594,'Coverage Indicators - Section D'!$A$1:$A$100,0))&lt;&gt;"",INDEX('Coverage Indicators - Section D'!AB$1:AB$100,MATCH($A594,'Coverage Indicators - Section D'!$A$1:$A$100,0)),""),"")</f>
        <v xml:space="preserve">
</v>
      </c>
      <c r="I607" s="94" t="str">
        <f ca="1">IFERROR(IF(INDEX('Coverage Indicators - Section D'!AD$1:AD$100,MATCH($A594,'Coverage Indicators - Section D'!$A$1:$A$100,0))&lt;&gt;"",FIXED(INDEX('Coverage Indicators - Section D'!AD$1:AD$100,MATCH($A594,'Coverage Indicators - Section D'!$A$1:$A$100,0))*100,2)&amp;"%",""),"")&amp;CHAR(10)&amp;IFERROR(IF(INDEX('Coverage Indicators - Section D'!AE$1:AE$100,MATCH($A594,'Coverage Indicators - Section D'!$A$1:$A$100,0))&lt;&gt;"",INDEX('Coverage Indicators - Section D'!AE$1:AE$100,MATCH($A594,'Coverage Indicators - Section D'!$A$1:$A$100,0)),""),"")</f>
        <v xml:space="preserve">
</v>
      </c>
      <c r="J607" s="94" t="str">
        <f ca="1">IFERROR(IF(INDEX('Coverage Indicators - Section D'!AG$1:AG$100,MATCH($A594,'Coverage Indicators - Section D'!$A$1:$A$100,0))&lt;&gt;"",FIXED(INDEX('Coverage Indicators - Section D'!AG$1:AG$100,MATCH($A594,'Coverage Indicators - Section D'!$A$1:$A$100,0))*100,2)&amp;"%",""),"")&amp;CHAR(10)&amp;IFERROR(IF(INDEX('Coverage Indicators - Section D'!AH$1:AH$100,MATCH($A594,'Coverage Indicators - Section D'!$A$1:$A$100,0))&lt;&gt;"",INDEX('Coverage Indicators - Section D'!AH$1:AH$100,MATCH($A594,'Coverage Indicators - Section D'!$A$1:$A$100,0)),""),"")</f>
        <v xml:space="preserve">
</v>
      </c>
      <c r="K607" s="94" t="str">
        <f ca="1">IFERROR(IF(INDEX('Coverage Indicators - Section D'!AJ$1:AJ$100,MATCH($A594,'Coverage Indicators - Section D'!$A$1:$A$100,0))&lt;&gt;"",FIXED(INDEX('Coverage Indicators - Section D'!AJ$1:AJ$100,MATCH($A594,'Coverage Indicators - Section D'!$A$1:$A$100,0))*100,2)&amp;"%",""),"")&amp;CHAR(10)&amp;IFERROR(IF(INDEX('Coverage Indicators - Section D'!AK$1:AK$100,MATCH($A594,'Coverage Indicators - Section D'!$A$1:$A$100,0))&lt;&gt;"",INDEX('Coverage Indicators - Section D'!AK$1:AK$100,MATCH($A594,'Coverage Indicators - Section D'!$A$1:$A$100,0)),""),"")</f>
        <v xml:space="preserve">
</v>
      </c>
      <c r="L607" s="86"/>
    </row>
    <row r="608" spans="1:12" ht="18.75" customHeight="1" x14ac:dyDescent="0.25">
      <c r="A608" s="667"/>
      <c r="B608" s="660" t="s">
        <v>176</v>
      </c>
      <c r="C608" s="661"/>
      <c r="D608" s="661"/>
      <c r="E608" s="661"/>
      <c r="F608" s="661"/>
      <c r="G608" s="661"/>
      <c r="H608" s="661"/>
      <c r="I608" s="661"/>
      <c r="J608" s="661"/>
      <c r="K608" s="662"/>
      <c r="L608" s="86"/>
    </row>
    <row r="609" spans="1:12" ht="18.75" customHeight="1" x14ac:dyDescent="0.25">
      <c r="A609" s="667"/>
      <c r="B609" s="669" t="str">
        <f>IFERROR(IF(INDEX('Coverage Indicators - Section D'!AL$1:AL$110,MATCH($A594,'Coverage Indicators - Section D'!$A$1:$A$110,0))&lt;&gt;0,INDEX('Coverage Indicators - Section D'!AL$1:AL$110,MATCH($A594,'Coverage Indicators - Section D'!$A$1:$A$110,0)),""),"")</f>
        <v>Testing for drug susceptibility for WHO recommended drugs is essential to provide the right treatment for every person diagnosed with TB. Numerator: Number of TB patients with DST results in the specified reporting period. DST coverage includes results from molecular diagnostic tests (e.g. Xpert MTB/RIF, Xpert MTB/RIF Ultra, Truenat MTB) as well as conventional phenotypic DST results. Denominator: The denominator should include all bacteriologically confirmed new and retreatment TB cases. The denominator should include total cases notified including new, relapse and other retreatment.</v>
      </c>
      <c r="C609" s="670"/>
      <c r="D609" s="670"/>
      <c r="E609" s="670"/>
      <c r="F609" s="670"/>
      <c r="G609" s="670"/>
      <c r="H609" s="670"/>
      <c r="I609" s="670"/>
      <c r="J609" s="670"/>
      <c r="K609" s="671"/>
      <c r="L609" s="86"/>
    </row>
    <row r="610" spans="1:12" ht="18.75" customHeight="1" x14ac:dyDescent="0.25">
      <c r="A610" s="667"/>
      <c r="B610" s="672"/>
      <c r="C610" s="673"/>
      <c r="D610" s="673"/>
      <c r="E610" s="673"/>
      <c r="F610" s="673"/>
      <c r="G610" s="673"/>
      <c r="H610" s="673"/>
      <c r="I610" s="673"/>
      <c r="J610" s="673"/>
      <c r="K610" s="674"/>
      <c r="L610" s="86"/>
    </row>
    <row r="611" spans="1:12" ht="18.75" customHeight="1" x14ac:dyDescent="0.25">
      <c r="A611" s="667"/>
      <c r="B611" s="672"/>
      <c r="C611" s="673"/>
      <c r="D611" s="673"/>
      <c r="E611" s="673"/>
      <c r="F611" s="673"/>
      <c r="G611" s="673"/>
      <c r="H611" s="673"/>
      <c r="I611" s="673"/>
      <c r="J611" s="673"/>
      <c r="K611" s="674"/>
      <c r="L611" s="86"/>
    </row>
    <row r="612" spans="1:12" ht="18.75" customHeight="1" x14ac:dyDescent="0.25">
      <c r="A612" s="667"/>
      <c r="B612" s="672"/>
      <c r="C612" s="673"/>
      <c r="D612" s="673"/>
      <c r="E612" s="673"/>
      <c r="F612" s="673"/>
      <c r="G612" s="673"/>
      <c r="H612" s="673"/>
      <c r="I612" s="673"/>
      <c r="J612" s="673"/>
      <c r="K612" s="674"/>
      <c r="L612" s="86"/>
    </row>
    <row r="613" spans="1:12" ht="18.75" customHeight="1" x14ac:dyDescent="0.25">
      <c r="A613" s="667"/>
      <c r="B613" s="672"/>
      <c r="C613" s="673"/>
      <c r="D613" s="673"/>
      <c r="E613" s="673"/>
      <c r="F613" s="673"/>
      <c r="G613" s="673"/>
      <c r="H613" s="673"/>
      <c r="I613" s="673"/>
      <c r="J613" s="673"/>
      <c r="K613" s="674"/>
      <c r="L613" s="86"/>
    </row>
    <row r="614" spans="1:12" ht="18.75" customHeight="1" x14ac:dyDescent="0.25">
      <c r="A614" s="667"/>
      <c r="B614" s="672"/>
      <c r="C614" s="673"/>
      <c r="D614" s="673"/>
      <c r="E614" s="673"/>
      <c r="F614" s="673"/>
      <c r="G614" s="673"/>
      <c r="H614" s="673"/>
      <c r="I614" s="673"/>
      <c r="J614" s="673"/>
      <c r="K614" s="674"/>
      <c r="L614" s="86"/>
    </row>
    <row r="615" spans="1:12" ht="18.75" customHeight="1" x14ac:dyDescent="0.25">
      <c r="A615" s="667"/>
      <c r="B615" s="672"/>
      <c r="C615" s="673"/>
      <c r="D615" s="673"/>
      <c r="E615" s="673"/>
      <c r="F615" s="673"/>
      <c r="G615" s="673"/>
      <c r="H615" s="673"/>
      <c r="I615" s="673"/>
      <c r="J615" s="673"/>
      <c r="K615" s="674"/>
      <c r="L615" s="86"/>
    </row>
    <row r="616" spans="1:12" ht="18.75" customHeight="1" x14ac:dyDescent="0.25">
      <c r="A616" s="667"/>
      <c r="B616" s="672"/>
      <c r="C616" s="673"/>
      <c r="D616" s="673"/>
      <c r="E616" s="673"/>
      <c r="F616" s="673"/>
      <c r="G616" s="673"/>
      <c r="H616" s="673"/>
      <c r="I616" s="673"/>
      <c r="J616" s="673"/>
      <c r="K616" s="674"/>
      <c r="L616" s="86"/>
    </row>
    <row r="617" spans="1:12" ht="18.75" customHeight="1" x14ac:dyDescent="0.25">
      <c r="A617" s="667"/>
      <c r="B617" s="672"/>
      <c r="C617" s="673"/>
      <c r="D617" s="673"/>
      <c r="E617" s="673"/>
      <c r="F617" s="673"/>
      <c r="G617" s="673"/>
      <c r="H617" s="673"/>
      <c r="I617" s="673"/>
      <c r="J617" s="673"/>
      <c r="K617" s="674"/>
      <c r="L617" s="86"/>
    </row>
    <row r="618" spans="1:12" ht="18.75" customHeight="1" x14ac:dyDescent="0.25">
      <c r="A618" s="668"/>
      <c r="B618" s="675"/>
      <c r="C618" s="676"/>
      <c r="D618" s="676"/>
      <c r="E618" s="676"/>
      <c r="F618" s="676"/>
      <c r="G618" s="676"/>
      <c r="H618" s="676"/>
      <c r="I618" s="676"/>
      <c r="J618" s="676"/>
      <c r="K618" s="677"/>
      <c r="L618" s="86"/>
    </row>
    <row r="619" spans="1:12" ht="18.75" customHeight="1" x14ac:dyDescent="0.25">
      <c r="A619" s="660"/>
      <c r="B619" s="661"/>
      <c r="C619" s="661"/>
      <c r="D619" s="661"/>
      <c r="E619" s="661"/>
      <c r="F619" s="661"/>
      <c r="G619" s="661"/>
      <c r="H619" s="661"/>
      <c r="I619" s="661"/>
      <c r="J619" s="661"/>
      <c r="K619" s="662"/>
      <c r="L619" s="86"/>
    </row>
    <row r="621" spans="1:12" ht="18.75" customHeight="1" x14ac:dyDescent="0.25">
      <c r="A621" s="93" t="s">
        <v>4383</v>
      </c>
      <c r="B621" s="660" t="s">
        <v>1046</v>
      </c>
      <c r="C621" s="662"/>
      <c r="D621" s="663" t="str">
        <f>IFERROR(IF(INDEX('Coverage Indicators - Section D'!B$1:B$100,MATCH($A622,'Coverage Indicators - Section D'!$A$1:$A$100,0))&lt;&gt;0,INDEX('Coverage Indicators - Section D'!B$1:B$100,MATCH($A622,'Coverage Indicators - Section D'!$A$1:$A$100,0)),""),"")</f>
        <v>Drug-resistant (DR)-TB diagnosis, treatment and care</v>
      </c>
      <c r="E621" s="664"/>
      <c r="F621" s="664"/>
      <c r="G621" s="664"/>
      <c r="H621" s="664"/>
      <c r="I621" s="664"/>
      <c r="J621" s="664"/>
      <c r="K621" s="665"/>
      <c r="L621" s="86"/>
    </row>
    <row r="622" spans="1:12" ht="18.75" customHeight="1" x14ac:dyDescent="0.25">
      <c r="A622" s="666">
        <v>23</v>
      </c>
      <c r="B622" s="660" t="s">
        <v>738</v>
      </c>
      <c r="C622" s="661"/>
      <c r="D622" s="661"/>
      <c r="E622" s="661"/>
      <c r="F622" s="662"/>
      <c r="G622" s="660" t="s">
        <v>739</v>
      </c>
      <c r="H622" s="661"/>
      <c r="I622" s="661"/>
      <c r="J622" s="661"/>
      <c r="K622" s="662"/>
      <c r="L622" s="86"/>
    </row>
    <row r="623" spans="1:12" ht="18.75" customHeight="1" x14ac:dyDescent="0.25">
      <c r="A623" s="667"/>
      <c r="B623" s="669" t="str">
        <f>IFERROR(IF(INDEX('Coverage Indicators - Section D'!C$1:C$100,MATCH($A622,'Coverage Indicators - Section D'!$A$1:$A$100,0))&lt;&gt;0,INDEX('Coverage Indicators - Section D'!C$1:C$100,MATCH($A622,'Coverage Indicators - Section D'!$A$1:$A$100,0)),""),"")</f>
        <v>DRTB-7 Percentage of RR/MDR-TB patients with DST results for Fluoroquinolone among the total number of notified RR/MDR-TB patients during the reporting period</v>
      </c>
      <c r="C623" s="670"/>
      <c r="D623" s="670"/>
      <c r="E623" s="670"/>
      <c r="F623" s="671"/>
      <c r="G623" s="669" t="str">
        <f>IFERROR(IF(INDEX('Coverage Indicators - Section D'!D$1:D$100,MATCH($A622,'Coverage Indicators - Section D'!$A$1:$A$100,0))&lt;&gt;0,INDEX('Coverage Indicators - Section D'!D$1:D$100,MATCH($A622,'Coverage Indicators - Section D'!$A$1:$A$100,0)),""),"")</f>
        <v/>
      </c>
      <c r="H623" s="670"/>
      <c r="I623" s="670"/>
      <c r="J623" s="670"/>
      <c r="K623" s="671"/>
      <c r="L623" s="86"/>
    </row>
    <row r="624" spans="1:12" ht="18.75" customHeight="1" x14ac:dyDescent="0.25">
      <c r="A624" s="667"/>
      <c r="B624" s="672"/>
      <c r="C624" s="673"/>
      <c r="D624" s="673"/>
      <c r="E624" s="673"/>
      <c r="F624" s="674"/>
      <c r="G624" s="672"/>
      <c r="H624" s="673"/>
      <c r="I624" s="673"/>
      <c r="J624" s="673"/>
      <c r="K624" s="674"/>
      <c r="L624" s="86"/>
    </row>
    <row r="625" spans="1:12" ht="18.75" customHeight="1" x14ac:dyDescent="0.25">
      <c r="A625" s="667"/>
      <c r="B625" s="675"/>
      <c r="C625" s="676"/>
      <c r="D625" s="676"/>
      <c r="E625" s="676"/>
      <c r="F625" s="677"/>
      <c r="G625" s="675"/>
      <c r="H625" s="676"/>
      <c r="I625" s="676"/>
      <c r="J625" s="676"/>
      <c r="K625" s="677"/>
      <c r="L625" s="86"/>
    </row>
    <row r="626" spans="1:12" ht="18.75" customHeight="1" x14ac:dyDescent="0.25">
      <c r="A626" s="667"/>
      <c r="B626" s="660" t="s">
        <v>742</v>
      </c>
      <c r="C626" s="661"/>
      <c r="D626" s="662"/>
      <c r="E626" s="660" t="s">
        <v>216</v>
      </c>
      <c r="F626" s="661"/>
      <c r="G626" s="662"/>
      <c r="H626" s="660" t="s">
        <v>127</v>
      </c>
      <c r="I626" s="661"/>
      <c r="J626" s="662"/>
      <c r="K626" s="93" t="s">
        <v>2175</v>
      </c>
      <c r="L626" s="86"/>
    </row>
    <row r="627" spans="1:12" ht="18.75" customHeight="1" x14ac:dyDescent="0.25">
      <c r="A627" s="667"/>
      <c r="B627" s="663" t="str">
        <f>IFERROR(IF(INDEX('Coverage Indicators - Section D'!I$9:I$68,MATCH($A622,'Coverage Indicators - Section D'!$A$9:$A$68,0))&lt;&gt;0,INDEX('Coverage Indicators - Section D'!I$9:I$68,MATCH($A622,'Coverage Indicators - Section D'!$A$9:$A$68,0)),""),"")</f>
        <v/>
      </c>
      <c r="C627" s="664"/>
      <c r="D627" s="665"/>
      <c r="E627" s="663" t="str">
        <f>IFERROR(IF(INDEX('Coverage Indicators - Section D'!M$1:M$100,MATCH($A622,'Coverage Indicators - Section D'!$A$1:$A$100,0))&lt;&gt;0,INDEX('Coverage Indicators - Section D'!M$1:M$100,MATCH($A622,'Coverage Indicators - Section D'!$A$1:$A$100,0)),""),"")</f>
        <v>Non cumulative</v>
      </c>
      <c r="F627" s="664"/>
      <c r="G627" s="665"/>
      <c r="H627" s="663" t="str">
        <f>IFERROR(IF(INDEX('Coverage Indicators - Section D'!L$1:L$100,MATCH($A622,'Coverage Indicators - Section D'!$A$1:$A$100,0))&lt;&gt;0,INDEX('Coverage Indicators - Section D'!L$1:L$100,MATCH($A622,'Coverage Indicators - Section D'!$A$1:$A$100,0)),""),"")</f>
        <v>Kyrgyzstan</v>
      </c>
      <c r="I627" s="664"/>
      <c r="J627" s="665"/>
      <c r="K627" s="94" t="str">
        <f>IFERROR(IF(INDEX('Coverage Indicators - Section D'!J$1:J$100,MATCH($A622,'Coverage Indicators - Section D'!$A$1:$A$100,0))&lt;&gt;0,INDEX('Coverage Indicators - Section D'!J$1:J$100,MATCH($A622,'Coverage Indicators - Section D'!$A$1:$A$100,0)),""),"")</f>
        <v>Yes</v>
      </c>
      <c r="L627" s="86"/>
    </row>
    <row r="628" spans="1:12" ht="18.75" customHeight="1" x14ac:dyDescent="0.25">
      <c r="A628" s="667"/>
      <c r="B628" s="660" t="s">
        <v>199</v>
      </c>
      <c r="C628" s="661"/>
      <c r="D628" s="662"/>
      <c r="E628" s="660" t="s">
        <v>4392</v>
      </c>
      <c r="F628" s="661"/>
      <c r="G628" s="662"/>
      <c r="H628" s="660" t="s">
        <v>120</v>
      </c>
      <c r="I628" s="661"/>
      <c r="J628" s="661"/>
      <c r="K628" s="662"/>
      <c r="L628" s="86"/>
    </row>
    <row r="629" spans="1:12" ht="18.75" customHeight="1" x14ac:dyDescent="0.25">
      <c r="A629" s="667"/>
      <c r="B629" s="669" t="str">
        <f>IFERROR(IF(INDEX('Coverage Indicators - Section D'!H$1:H$100,MATCH($A622,'Coverage Indicators - Section D'!$A$1:$A$100,0))&lt;&gt;0,INDEX('Coverage Indicators - Section D'!H$1:H$100,MATCH($A622,'Coverage Indicators - Section D'!$A$1:$A$100,0)),""),"")</f>
        <v>The report of the National TB center</v>
      </c>
      <c r="C629" s="670"/>
      <c r="D629" s="671"/>
      <c r="E629" s="669" t="str">
        <f>IFERROR(IF(INDEX('Coverage Indicators - Section D'!L$1:L$100,MATCH($A622,'Coverage Indicators - Section D'!$A$1:$A$100,0)+1)&lt;&gt;0,INDEX('Coverage Indicators - Section D'!L$1:L$100,MATCH($A622,'Coverage Indicators - Section D'!$A$1:$A$100,0)+1),""),"")</f>
        <v>Geographic Subnational, 100% of national program target</v>
      </c>
      <c r="F629" s="670"/>
      <c r="G629" s="671"/>
      <c r="H629" s="669" t="str">
        <f>IFERROR(IF(AND('Overview - Section A'!AS$1="Grant Making",OR(B623&lt;&gt;"",G623&lt;&gt;"")),Setup!I631,IF(INDEX('Coverage Indicators - Section D'!K$1:K$100,MATCH($A622,'Coverage Indicators - Section D'!$A$1:$A$100,0))&lt;&gt;0,INDEX('Coverage Indicators - Section D'!K$1:K$100,MATCH($A622,'Coverage Indicators - Section D'!$A$1:$A$100,0)),"")),"")</f>
        <v>United Nations Development Programme</v>
      </c>
      <c r="I629" s="670"/>
      <c r="J629" s="670"/>
      <c r="K629" s="671"/>
      <c r="L629" s="86"/>
    </row>
    <row r="630" spans="1:12" ht="18.75" customHeight="1" x14ac:dyDescent="0.25">
      <c r="A630" s="667"/>
      <c r="B630" s="675"/>
      <c r="C630" s="676"/>
      <c r="D630" s="677"/>
      <c r="E630" s="675"/>
      <c r="F630" s="676"/>
      <c r="G630" s="677"/>
      <c r="H630" s="675"/>
      <c r="I630" s="676"/>
      <c r="J630" s="676"/>
      <c r="K630" s="677"/>
      <c r="L630" s="86"/>
    </row>
    <row r="631" spans="1:12" ht="18.75" customHeight="1" x14ac:dyDescent="0.25">
      <c r="A631" s="667"/>
      <c r="B631" s="93"/>
      <c r="C631" s="93" t="s">
        <v>4384</v>
      </c>
      <c r="D631" s="660" t="s">
        <v>4385</v>
      </c>
      <c r="E631" s="661"/>
      <c r="F631" s="661"/>
      <c r="G631" s="661"/>
      <c r="H631" s="661"/>
      <c r="I631" s="661"/>
      <c r="J631" s="661"/>
      <c r="K631" s="662"/>
      <c r="L631" s="86"/>
    </row>
    <row r="632" spans="1:12" ht="18.75" customHeight="1" x14ac:dyDescent="0.25">
      <c r="A632" s="667"/>
      <c r="B632" s="93" t="s">
        <v>2559</v>
      </c>
      <c r="C632" s="94">
        <f>IFERROR(IF(INDEX('Coverage Indicators - Section D'!G$1:G$100,MATCH($A622,'Coverage Indicators - Section D'!$A$1:$A$100,0))&lt;&gt;0,INDEX('Coverage Indicators - Section D'!G$1:G$100,MATCH($A622,'Coverage Indicators - Section D'!$A$1:$A$100,0)),""),"")</f>
        <v>2021</v>
      </c>
      <c r="D632"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632"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632"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632"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632"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632"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632"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632"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632" s="86"/>
    </row>
    <row r="633" spans="1:12" s="97" customFormat="1" ht="18.75" customHeight="1" x14ac:dyDescent="0.25">
      <c r="A633" s="667"/>
      <c r="B633" s="93" t="s">
        <v>4386</v>
      </c>
      <c r="C633" s="95">
        <f>IFERROR(IF(INDEX('Coverage Indicators - Section D'!E$1:E$100,MATCH($A622,'Coverage Indicators - Section D'!$A$1:$A$100,0))&lt;&gt;"",INDEX('Coverage Indicators - Section D'!E$1:E$100,MATCH($A622,'Coverage Indicators - Section D'!$A$1:$A$100,0)),""),"")</f>
        <v>726</v>
      </c>
      <c r="D633" s="95" t="str">
        <f>IFERROR(IF(INDEX('Coverage Indicators - Section D'!N$1:N$100,MATCH($A622,'Coverage Indicators - Section D'!$A$1:$A$100,0))&lt;&gt;"",INDEX('Coverage Indicators - Section D'!N$1:N$100,MATCH($A622,'Coverage Indicators - Section D'!$A$1:$A$100,0)),""),"")</f>
        <v/>
      </c>
      <c r="E633" s="95" t="str">
        <f>IFERROR(IF(INDEX('Coverage Indicators - Section D'!Q$1:Q$100,MATCH($A622,'Coverage Indicators - Section D'!$A$1:$A$100,0))&lt;&gt;"",INDEX('Coverage Indicators - Section D'!Q$1:Q$100,MATCH($A622,'Coverage Indicators - Section D'!$A$1:$A$100,0)),""),"")</f>
        <v/>
      </c>
      <c r="F633" s="95" t="str">
        <f>IFERROR(IF(INDEX('Coverage Indicators - Section D'!T$1:T$100,MATCH($A622,'Coverage Indicators - Section D'!$A$1:$A$100,0))&lt;&gt;"",INDEX('Coverage Indicators - Section D'!T$1:T$100,MATCH($A622,'Coverage Indicators - Section D'!$A$1:$A$100,0)),""),"")</f>
        <v/>
      </c>
      <c r="G633" s="95" t="str">
        <f>IFERROR(IF(INDEX('Coverage Indicators - Section D'!W$1:W$100,MATCH($A622,'Coverage Indicators - Section D'!$A$1:$A$100,0))&lt;&gt;"",INDEX('Coverage Indicators - Section D'!W$1:W$100,MATCH($A622,'Coverage Indicators - Section D'!$A$1:$A$100,0)),""),"")</f>
        <v/>
      </c>
      <c r="H633" s="95" t="str">
        <f>IFERROR(IF(INDEX('Coverage Indicators - Section D'!Z$1:Z$100,MATCH($A622,'Coverage Indicators - Section D'!$A$1:$A$100,0))&lt;&gt;"",INDEX('Coverage Indicators - Section D'!Z$1:Z$100,MATCH($A622,'Coverage Indicators - Section D'!$A$1:$A$100,0)),""),"")</f>
        <v/>
      </c>
      <c r="I633" s="95" t="str">
        <f>IFERROR(IF(INDEX('Coverage Indicators - Section D'!AC$1:AC$100,MATCH($A622,'Coverage Indicators - Section D'!$A$1:$A$100,0))&lt;&gt;"",INDEX('Coverage Indicators - Section D'!AC$1:AC$100,MATCH($A622,'Coverage Indicators - Section D'!$A$1:$A$100,0)),""),"")</f>
        <v/>
      </c>
      <c r="J633" s="95" t="str">
        <f>IFERROR(IF(INDEX('Coverage Indicators - Section D'!AF$1:AF$100,MATCH($A622,'Coverage Indicators - Section D'!$A$1:$A$100,0))&lt;&gt;"",INDEX('Coverage Indicators - Section D'!AF$1:AF$100,MATCH($A622,'Coverage Indicators - Section D'!$A$1:$A$100,0)),""),"")</f>
        <v/>
      </c>
      <c r="K633" s="95" t="str">
        <f>IFERROR(IF(INDEX('Coverage Indicators - Section D'!AI$1:AI$100,MATCH($A622,'Coverage Indicators - Section D'!$A$1:$A$100,0))&lt;&gt;"",INDEX('Coverage Indicators - Section D'!AI$1:AI$100,MATCH($A622,'Coverage Indicators - Section D'!$A$1:$A$100,0)),""),"")</f>
        <v/>
      </c>
      <c r="L633" s="96"/>
    </row>
    <row r="634" spans="1:12" s="100" customFormat="1" ht="18.75" customHeight="1" x14ac:dyDescent="0.25">
      <c r="A634" s="667"/>
      <c r="B634" s="93" t="s">
        <v>4387</v>
      </c>
      <c r="C634" s="98">
        <f>IFERROR(IF(INDEX('Coverage Indicators - Section D'!E$1:E$100,MATCH($A622,'Coverage Indicators - Section D'!$A$1:$A$100,0)+1)&lt;&gt;"",INDEX('Coverage Indicators - Section D'!E$1:E$100,MATCH($A622,'Coverage Indicators - Section D'!$A$1:$A$100,0)+1),""),"")</f>
        <v>918</v>
      </c>
      <c r="D634" s="98" t="str">
        <f>IFERROR(IF(INDEX('Coverage Indicators - Section D'!N$1:N$100,MATCH($A622,'Coverage Indicators - Section D'!$A$1:$A$100,0)+1)&lt;&gt;"",INDEX('Coverage Indicators - Section D'!N$1:N$100,MATCH($A622,'Coverage Indicators - Section D'!$A$1:$A$100,0)+1),""),"")</f>
        <v/>
      </c>
      <c r="E634" s="98" t="str">
        <f>IFERROR(IF(INDEX('Coverage Indicators - Section D'!Q$1:Q$100,MATCH($A622,'Coverage Indicators - Section D'!$A$1:$A$100,0)+1)&lt;&gt;"",INDEX('Coverage Indicators - Section D'!Q$1:Q$100,MATCH($A622,'Coverage Indicators - Section D'!$A$1:$A$100,0)+1),""),"")</f>
        <v/>
      </c>
      <c r="F634" s="98" t="str">
        <f>IFERROR(IF(INDEX('Coverage Indicators - Section D'!T$1:T$100,MATCH($A622,'Coverage Indicators - Section D'!$A$1:$A$100,0)+1)&lt;&gt;"",INDEX('Coverage Indicators - Section D'!T$1:T$100,MATCH($A622,'Coverage Indicators - Section D'!$A$1:$A$100,0)+1),""),"")</f>
        <v/>
      </c>
      <c r="G634" s="98" t="str">
        <f>IFERROR(IF(INDEX('Coverage Indicators - Section D'!W$1:W$100,MATCH($A622,'Coverage Indicators - Section D'!$A$1:$A$100,0)+1)&lt;&gt;"",INDEX('Coverage Indicators - Section D'!W$1:W$100,MATCH($A622,'Coverage Indicators - Section D'!$A$1:$A$100,0)+1),""),"")</f>
        <v/>
      </c>
      <c r="H634" s="98" t="str">
        <f>IFERROR(IF(INDEX('Coverage Indicators - Section D'!Z$1:Z$100,MATCH($A622,'Coverage Indicators - Section D'!$A$1:$A$100,0)+1)&lt;&gt;"",INDEX('Coverage Indicators - Section D'!Z$1:Z$100,MATCH($A622,'Coverage Indicators - Section D'!$A$1:$A$100,0)+1),""),"")</f>
        <v/>
      </c>
      <c r="I634" s="98" t="str">
        <f>IFERROR(IF(INDEX('Coverage Indicators - Section D'!AC$1:AC$100,MATCH($A622,'Coverage Indicators - Section D'!$A$1:$A$100,0)+1)&lt;&gt;"",INDEX('Coverage Indicators - Section D'!AC$1:AC$100,MATCH($A622,'Coverage Indicators - Section D'!$A$1:$A$100,0)+1),""),"")</f>
        <v/>
      </c>
      <c r="J634" s="98" t="str">
        <f>IFERROR(IF(INDEX('Coverage Indicators - Section D'!AF$1:AF$100,MATCH($A622,'Coverage Indicators - Section D'!$A$1:$A$100,0)+1)&lt;&gt;"",INDEX('Coverage Indicators - Section D'!AF$1:AF$100,MATCH($A622,'Coverage Indicators - Section D'!$A$1:$A$100,0)+1),""),"")</f>
        <v/>
      </c>
      <c r="K634" s="98" t="str">
        <f>IFERROR(IF(INDEX('Coverage Indicators - Section D'!AI$1:AI$100,MATCH($A622,'Coverage Indicators - Section D'!$A$1:$A$100,0)+1)&lt;&gt;"",INDEX('Coverage Indicators - Section D'!AI$1:AI$100,MATCH($A622,'Coverage Indicators - Section D'!$A$1:$A$100,0)+1),""),"")</f>
        <v/>
      </c>
      <c r="L634" s="99"/>
    </row>
    <row r="635" spans="1:12" ht="18.75" customHeight="1" x14ac:dyDescent="0.25">
      <c r="A635" s="667"/>
      <c r="B635" s="93" t="s">
        <v>4388</v>
      </c>
      <c r="C635" s="94" t="str">
        <f ca="1">IFERROR(IF(INDEX('Coverage Indicators - Section D'!F$1:F$100,MATCH($A622,'Coverage Indicators - Section D'!$A$1:$A$100,0))&lt;&gt;"",FIXED(INDEX('Coverage Indicators - Section D'!F$1:F$100,MATCH($A622,'Coverage Indicators - Section D'!$A$1:$A$100,0))*100,2)&amp;"%",""),"")</f>
        <v>79,08%</v>
      </c>
      <c r="D635" s="94" t="str">
        <f>IFERROR(IF(INDEX('Coverage Indicators - Section D'!O$1:O$100,MATCH($A622,'Coverage Indicators - Section D'!$A$1:$A$100,0))&lt;&gt;"",FIXED(INDEX('Coverage Indicators - Section D'!O$1:O$100,MATCH($A622,'Coverage Indicators - Section D'!$A$1:$A$100,0))*100,2)&amp;"%",""),"")&amp;CHAR(10)&amp;IFERROR(IF(INDEX('Coverage Indicators - Section D'!P$1:P$100,MATCH($A622,'Coverage Indicators - Section D'!$A$1:$A$100,0))&lt;&gt;"",INDEX('Coverage Indicators - Section D'!P$1:P$100,MATCH($A622,'Coverage Indicators - Section D'!$A$1:$A$100,0)),""),"")</f>
        <v xml:space="preserve">80,00%
</v>
      </c>
      <c r="E635" s="94" t="str">
        <f>IFERROR(IF(INDEX('Coverage Indicators - Section D'!R$1:R$100,MATCH($A622,'Coverage Indicators - Section D'!$A$1:$A$100,0))&lt;&gt;"",FIXED(INDEX('Coverage Indicators - Section D'!R$1:R$100,MATCH($A622,'Coverage Indicators - Section D'!$A$1:$A$100,0))*100,2)&amp;"%",""),"")&amp;CHAR(10)&amp;IFERROR(IF(INDEX('Coverage Indicators - Section D'!S$1:S$100,MATCH($A622,'Coverage Indicators - Section D'!$A$1:$A$100,0))&lt;&gt;"",INDEX('Coverage Indicators - Section D'!S$1:S$100,MATCH($A622,'Coverage Indicators - Section D'!$A$1:$A$100,0)),""),"")</f>
        <v xml:space="preserve">82,00%
</v>
      </c>
      <c r="F635" s="94" t="str">
        <f>IFERROR(IF(INDEX('Coverage Indicators - Section D'!U$1:U$100,MATCH($A622,'Coverage Indicators - Section D'!$A$1:$A$100,0))&lt;&gt;"",FIXED(INDEX('Coverage Indicators - Section D'!U$1:U$100,MATCH($A622,'Coverage Indicators - Section D'!$A$1:$A$100,0))*100,2)&amp;"%",""),"")&amp;CHAR(10)&amp;IFERROR(IF(INDEX('Coverage Indicators - Section D'!V$1:V$100,MATCH($A622,'Coverage Indicators - Section D'!$A$1:$A$100,0))&lt;&gt;"",INDEX('Coverage Indicators - Section D'!V$1:V$100,MATCH($A622,'Coverage Indicators - Section D'!$A$1:$A$100,0)),""),"")</f>
        <v xml:space="preserve">85,00%
</v>
      </c>
      <c r="G635" s="94" t="str">
        <f ca="1">IFERROR(IF(INDEX('Coverage Indicators - Section D'!X$1:X$100,MATCH($A622,'Coverage Indicators - Section D'!$A$1:$A$100,0))&lt;&gt;"",FIXED(INDEX('Coverage Indicators - Section D'!X$1:X$100,MATCH($A622,'Coverage Indicators - Section D'!$A$1:$A$100,0))*100,2)&amp;"%",""),"")&amp;CHAR(10)&amp;IFERROR(IF(INDEX('Coverage Indicators - Section D'!Y$1:Y$100,MATCH($A622,'Coverage Indicators - Section D'!$A$1:$A$100,0))&lt;&gt;"",INDEX('Coverage Indicators - Section D'!Y$1:Y$100,MATCH($A622,'Coverage Indicators - Section D'!$A$1:$A$100,0)),""),"")</f>
        <v xml:space="preserve">
</v>
      </c>
      <c r="H635" s="94" t="str">
        <f ca="1">IFERROR(IF(INDEX('Coverage Indicators - Section D'!AA$1:AA$100,MATCH(A622,'Coverage Indicators - Section D'!$A$1:$A$100,0))&lt;&gt;"",FIXED(INDEX('Coverage Indicators - Section D'!AA$1:AA$100,MATCH($A622,'Coverage Indicators - Section D'!$A$1:$A$100,0))*100,2)&amp;"%",""),"")&amp;CHAR(10)&amp;IFERROR(IF(INDEX('Coverage Indicators - Section D'!AB$1:AB$100,MATCH($A622,'Coverage Indicators - Section D'!$A$1:$A$100,0))&lt;&gt;"",INDEX('Coverage Indicators - Section D'!AB$1:AB$100,MATCH($A622,'Coverage Indicators - Section D'!$A$1:$A$100,0)),""),"")</f>
        <v xml:space="preserve">
</v>
      </c>
      <c r="I635" s="94" t="str">
        <f ca="1">IFERROR(IF(INDEX('Coverage Indicators - Section D'!AD$1:AD$100,MATCH($A622,'Coverage Indicators - Section D'!$A$1:$A$100,0))&lt;&gt;"",FIXED(INDEX('Coverage Indicators - Section D'!AD$1:AD$100,MATCH($A622,'Coverage Indicators - Section D'!$A$1:$A$100,0))*100,2)&amp;"%",""),"")&amp;CHAR(10)&amp;IFERROR(IF(INDEX('Coverage Indicators - Section D'!AE$1:AE$100,MATCH($A622,'Coverage Indicators - Section D'!$A$1:$A$100,0))&lt;&gt;"",INDEX('Coverage Indicators - Section D'!AE$1:AE$100,MATCH($A622,'Coverage Indicators - Section D'!$A$1:$A$100,0)),""),"")</f>
        <v xml:space="preserve">
</v>
      </c>
      <c r="J635" s="94" t="str">
        <f ca="1">IFERROR(IF(INDEX('Coverage Indicators - Section D'!AG$1:AG$100,MATCH($A622,'Coverage Indicators - Section D'!$A$1:$A$100,0))&lt;&gt;"",FIXED(INDEX('Coverage Indicators - Section D'!AG$1:AG$100,MATCH($A622,'Coverage Indicators - Section D'!$A$1:$A$100,0))*100,2)&amp;"%",""),"")&amp;CHAR(10)&amp;IFERROR(IF(INDEX('Coverage Indicators - Section D'!AH$1:AH$100,MATCH($A622,'Coverage Indicators - Section D'!$A$1:$A$100,0))&lt;&gt;"",INDEX('Coverage Indicators - Section D'!AH$1:AH$100,MATCH($A622,'Coverage Indicators - Section D'!$A$1:$A$100,0)),""),"")</f>
        <v xml:space="preserve">
</v>
      </c>
      <c r="K635" s="94" t="str">
        <f ca="1">IFERROR(IF(INDEX('Coverage Indicators - Section D'!AJ$1:AJ$100,MATCH($A622,'Coverage Indicators - Section D'!$A$1:$A$100,0))&lt;&gt;"",FIXED(INDEX('Coverage Indicators - Section D'!AJ$1:AJ$100,MATCH($A622,'Coverage Indicators - Section D'!$A$1:$A$100,0))*100,2)&amp;"%",""),"")&amp;CHAR(10)&amp;IFERROR(IF(INDEX('Coverage Indicators - Section D'!AK$1:AK$100,MATCH($A622,'Coverage Indicators - Section D'!$A$1:$A$100,0))&lt;&gt;"",INDEX('Coverage Indicators - Section D'!AK$1:AK$100,MATCH($A622,'Coverage Indicators - Section D'!$A$1:$A$100,0)),""),"")</f>
        <v xml:space="preserve">
</v>
      </c>
      <c r="L635" s="86"/>
    </row>
    <row r="636" spans="1:12" ht="18.75" customHeight="1" x14ac:dyDescent="0.25">
      <c r="A636" s="667"/>
      <c r="B636" s="660" t="s">
        <v>176</v>
      </c>
      <c r="C636" s="661"/>
      <c r="D636" s="661"/>
      <c r="E636" s="661"/>
      <c r="F636" s="661"/>
      <c r="G636" s="661"/>
      <c r="H636" s="661"/>
      <c r="I636" s="661"/>
      <c r="J636" s="661"/>
      <c r="K636" s="662"/>
      <c r="L636" s="86"/>
    </row>
    <row r="637" spans="1:12" ht="18.75" customHeight="1" x14ac:dyDescent="0.25">
      <c r="A637" s="667"/>
      <c r="B637" s="669" t="str">
        <f>IFERROR(IF(INDEX('Coverage Indicators - Section D'!AL$1:AL$110,MATCH($A622,'Coverage Indicators - Section D'!$A$1:$A$110,0))&lt;&gt;0,INDEX('Coverage Indicators - Section D'!AL$1:AL$110,MATCH($A622,'Coverage Indicators - Section D'!$A$1:$A$110,0)),""),"")</f>
        <v>The baseline data includes only bacteriologically confirmed RR/MDR TB cases notified. Totally 986 RR/MDR TB cases were notified in 2021, 726 out of them (74%) have DST result to FQ. Numerator: Number of RR/MDR-TB patients with DST results for Fluoroquinolone in the specified reporting period. Denominator: Total number of notified RR/MDR-TB patients in the same reporting period. The source of the data is TB o6 Table 3 Form.  The National annual report. The reporting cycle for 2024-2026 will be applied in the Q-1 modality: the data on 2024 will be available in April 2025, etc. The data will be collected, processed, and provided by NTP.</v>
      </c>
      <c r="C637" s="670"/>
      <c r="D637" s="670"/>
      <c r="E637" s="670"/>
      <c r="F637" s="670"/>
      <c r="G637" s="670"/>
      <c r="H637" s="670"/>
      <c r="I637" s="670"/>
      <c r="J637" s="670"/>
      <c r="K637" s="671"/>
      <c r="L637" s="86"/>
    </row>
    <row r="638" spans="1:12" ht="18.75" customHeight="1" x14ac:dyDescent="0.25">
      <c r="A638" s="667"/>
      <c r="B638" s="672"/>
      <c r="C638" s="673"/>
      <c r="D638" s="673"/>
      <c r="E638" s="673"/>
      <c r="F638" s="673"/>
      <c r="G638" s="673"/>
      <c r="H638" s="673"/>
      <c r="I638" s="673"/>
      <c r="J638" s="673"/>
      <c r="K638" s="674"/>
      <c r="L638" s="86"/>
    </row>
    <row r="639" spans="1:12" ht="18.75" customHeight="1" x14ac:dyDescent="0.25">
      <c r="A639" s="667"/>
      <c r="B639" s="672"/>
      <c r="C639" s="673"/>
      <c r="D639" s="673"/>
      <c r="E639" s="673"/>
      <c r="F639" s="673"/>
      <c r="G639" s="673"/>
      <c r="H639" s="673"/>
      <c r="I639" s="673"/>
      <c r="J639" s="673"/>
      <c r="K639" s="674"/>
      <c r="L639" s="86"/>
    </row>
    <row r="640" spans="1:12" ht="18.75" customHeight="1" x14ac:dyDescent="0.25">
      <c r="A640" s="667"/>
      <c r="B640" s="672"/>
      <c r="C640" s="673"/>
      <c r="D640" s="673"/>
      <c r="E640" s="673"/>
      <c r="F640" s="673"/>
      <c r="G640" s="673"/>
      <c r="H640" s="673"/>
      <c r="I640" s="673"/>
      <c r="J640" s="673"/>
      <c r="K640" s="674"/>
      <c r="L640" s="86"/>
    </row>
    <row r="641" spans="1:12" ht="18.75" customHeight="1" x14ac:dyDescent="0.25">
      <c r="A641" s="667"/>
      <c r="B641" s="672"/>
      <c r="C641" s="673"/>
      <c r="D641" s="673"/>
      <c r="E641" s="673"/>
      <c r="F641" s="673"/>
      <c r="G641" s="673"/>
      <c r="H641" s="673"/>
      <c r="I641" s="673"/>
      <c r="J641" s="673"/>
      <c r="K641" s="674"/>
      <c r="L641" s="86"/>
    </row>
    <row r="642" spans="1:12" ht="18.75" customHeight="1" x14ac:dyDescent="0.25">
      <c r="A642" s="667"/>
      <c r="B642" s="672"/>
      <c r="C642" s="673"/>
      <c r="D642" s="673"/>
      <c r="E642" s="673"/>
      <c r="F642" s="673"/>
      <c r="G642" s="673"/>
      <c r="H642" s="673"/>
      <c r="I642" s="673"/>
      <c r="J642" s="673"/>
      <c r="K642" s="674"/>
      <c r="L642" s="86"/>
    </row>
    <row r="643" spans="1:12" ht="18.75" customHeight="1" x14ac:dyDescent="0.25">
      <c r="A643" s="667"/>
      <c r="B643" s="672"/>
      <c r="C643" s="673"/>
      <c r="D643" s="673"/>
      <c r="E643" s="673"/>
      <c r="F643" s="673"/>
      <c r="G643" s="673"/>
      <c r="H643" s="673"/>
      <c r="I643" s="673"/>
      <c r="J643" s="673"/>
      <c r="K643" s="674"/>
      <c r="L643" s="86"/>
    </row>
    <row r="644" spans="1:12" ht="18.75" customHeight="1" x14ac:dyDescent="0.25">
      <c r="A644" s="667"/>
      <c r="B644" s="672"/>
      <c r="C644" s="673"/>
      <c r="D644" s="673"/>
      <c r="E644" s="673"/>
      <c r="F644" s="673"/>
      <c r="G644" s="673"/>
      <c r="H644" s="673"/>
      <c r="I644" s="673"/>
      <c r="J644" s="673"/>
      <c r="K644" s="674"/>
      <c r="L644" s="86"/>
    </row>
    <row r="645" spans="1:12" ht="18.75" customHeight="1" x14ac:dyDescent="0.25">
      <c r="A645" s="667"/>
      <c r="B645" s="672"/>
      <c r="C645" s="673"/>
      <c r="D645" s="673"/>
      <c r="E645" s="673"/>
      <c r="F645" s="673"/>
      <c r="G645" s="673"/>
      <c r="H645" s="673"/>
      <c r="I645" s="673"/>
      <c r="J645" s="673"/>
      <c r="K645" s="674"/>
      <c r="L645" s="86"/>
    </row>
    <row r="646" spans="1:12" ht="18.75" customHeight="1" x14ac:dyDescent="0.25">
      <c r="A646" s="668"/>
      <c r="B646" s="675"/>
      <c r="C646" s="676"/>
      <c r="D646" s="676"/>
      <c r="E646" s="676"/>
      <c r="F646" s="676"/>
      <c r="G646" s="676"/>
      <c r="H646" s="676"/>
      <c r="I646" s="676"/>
      <c r="J646" s="676"/>
      <c r="K646" s="677"/>
      <c r="L646" s="86"/>
    </row>
    <row r="647" spans="1:12" ht="18.75" customHeight="1" x14ac:dyDescent="0.25">
      <c r="A647" s="660"/>
      <c r="B647" s="661"/>
      <c r="C647" s="661"/>
      <c r="D647" s="661"/>
      <c r="E647" s="661"/>
      <c r="F647" s="661"/>
      <c r="G647" s="661"/>
      <c r="H647" s="661"/>
      <c r="I647" s="661"/>
      <c r="J647" s="661"/>
      <c r="K647" s="662"/>
      <c r="L647" s="86"/>
    </row>
    <row r="649" spans="1:12" ht="18.75" customHeight="1" x14ac:dyDescent="0.25">
      <c r="A649" s="93" t="s">
        <v>4383</v>
      </c>
      <c r="B649" s="660" t="s">
        <v>1046</v>
      </c>
      <c r="C649" s="662"/>
      <c r="D649" s="663" t="str">
        <f>IFERROR(IF(INDEX('Coverage Indicators - Section D'!B$1:B$100,MATCH($A650,'Coverage Indicators - Section D'!$A$1:$A$100,0))&lt;&gt;0,INDEX('Coverage Indicators - Section D'!B$1:B$100,MATCH($A650,'Coverage Indicators - Section D'!$A$1:$A$100,0)),""),"")</f>
        <v>Drug-resistant (DR)-TB diagnosis, treatment and care</v>
      </c>
      <c r="E649" s="664"/>
      <c r="F649" s="664"/>
      <c r="G649" s="664"/>
      <c r="H649" s="664"/>
      <c r="I649" s="664"/>
      <c r="J649" s="664"/>
      <c r="K649" s="665"/>
      <c r="L649" s="86"/>
    </row>
    <row r="650" spans="1:12" ht="18.75" customHeight="1" x14ac:dyDescent="0.25">
      <c r="A650" s="666">
        <v>24</v>
      </c>
      <c r="B650" s="660" t="s">
        <v>738</v>
      </c>
      <c r="C650" s="661"/>
      <c r="D650" s="661"/>
      <c r="E650" s="661"/>
      <c r="F650" s="662"/>
      <c r="G650" s="660" t="s">
        <v>739</v>
      </c>
      <c r="H650" s="661"/>
      <c r="I650" s="661"/>
      <c r="J650" s="661"/>
      <c r="K650" s="662"/>
      <c r="L650" s="86"/>
    </row>
    <row r="651" spans="1:12" ht="18.75" customHeight="1" x14ac:dyDescent="0.25">
      <c r="A651" s="667"/>
      <c r="B651" s="669" t="str">
        <f>IFERROR(IF(INDEX('Coverage Indicators - Section D'!C$1:C$100,MATCH($A650,'Coverage Indicators - Section D'!$A$1:$A$100,0))&lt;&gt;0,INDEX('Coverage Indicators - Section D'!C$1:C$100,MATCH($A650,'Coverage Indicators - Section D'!$A$1:$A$100,0)),""),"")</f>
        <v>DRTB-9 Treatment success rate of RR-TB and/or MDR-TB: Percentage of patients with RR and/or MDR-TB successfully treated</v>
      </c>
      <c r="C651" s="670"/>
      <c r="D651" s="670"/>
      <c r="E651" s="670"/>
      <c r="F651" s="671"/>
      <c r="G651" s="669" t="str">
        <f>IFERROR(IF(INDEX('Coverage Indicators - Section D'!D$1:D$100,MATCH($A650,'Coverage Indicators - Section D'!$A$1:$A$100,0))&lt;&gt;0,INDEX('Coverage Indicators - Section D'!D$1:D$100,MATCH($A650,'Coverage Indicators - Section D'!$A$1:$A$100,0)),""),"")</f>
        <v/>
      </c>
      <c r="H651" s="670"/>
      <c r="I651" s="670"/>
      <c r="J651" s="670"/>
      <c r="K651" s="671"/>
      <c r="L651" s="86"/>
    </row>
    <row r="652" spans="1:12" ht="18.75" customHeight="1" x14ac:dyDescent="0.25">
      <c r="A652" s="667"/>
      <c r="B652" s="672"/>
      <c r="C652" s="673"/>
      <c r="D652" s="673"/>
      <c r="E652" s="673"/>
      <c r="F652" s="674"/>
      <c r="G652" s="672"/>
      <c r="H652" s="673"/>
      <c r="I652" s="673"/>
      <c r="J652" s="673"/>
      <c r="K652" s="674"/>
      <c r="L652" s="86"/>
    </row>
    <row r="653" spans="1:12" ht="18.75" customHeight="1" x14ac:dyDescent="0.25">
      <c r="A653" s="667"/>
      <c r="B653" s="675"/>
      <c r="C653" s="676"/>
      <c r="D653" s="676"/>
      <c r="E653" s="676"/>
      <c r="F653" s="677"/>
      <c r="G653" s="675"/>
      <c r="H653" s="676"/>
      <c r="I653" s="676"/>
      <c r="J653" s="676"/>
      <c r="K653" s="677"/>
      <c r="L653" s="86"/>
    </row>
    <row r="654" spans="1:12" ht="18.75" customHeight="1" x14ac:dyDescent="0.25">
      <c r="A654" s="667"/>
      <c r="B654" s="660" t="s">
        <v>742</v>
      </c>
      <c r="C654" s="661"/>
      <c r="D654" s="662"/>
      <c r="E654" s="660" t="s">
        <v>216</v>
      </c>
      <c r="F654" s="661"/>
      <c r="G654" s="662"/>
      <c r="H654" s="660" t="s">
        <v>127</v>
      </c>
      <c r="I654" s="661"/>
      <c r="J654" s="662"/>
      <c r="K654" s="93" t="s">
        <v>2175</v>
      </c>
      <c r="L654" s="86"/>
    </row>
    <row r="655" spans="1:12" ht="18.75" customHeight="1" x14ac:dyDescent="0.25">
      <c r="A655" s="667"/>
      <c r="B655" s="663" t="str">
        <f>IFERROR(IF(INDEX('Coverage Indicators - Section D'!I$9:I$68,MATCH($A650,'Coverage Indicators - Section D'!$A$9:$A$68,0))&lt;&gt;0,INDEX('Coverage Indicators - Section D'!I$9:I$68,MATCH($A650,'Coverage Indicators - Section D'!$A$9:$A$68,0)),""),"")</f>
        <v>HIV status,Treatment regimen,Gender,Provider type,Age</v>
      </c>
      <c r="C655" s="664"/>
      <c r="D655" s="665"/>
      <c r="E655" s="663" t="str">
        <f>IFERROR(IF(INDEX('Coverage Indicators - Section D'!M$1:M$100,MATCH($A650,'Coverage Indicators - Section D'!$A$1:$A$100,0))&lt;&gt;0,INDEX('Coverage Indicators - Section D'!M$1:M$100,MATCH($A650,'Coverage Indicators - Section D'!$A$1:$A$100,0)),""),"")</f>
        <v>Non cumulative</v>
      </c>
      <c r="F655" s="664"/>
      <c r="G655" s="665"/>
      <c r="H655" s="663" t="str">
        <f>IFERROR(IF(INDEX('Coverage Indicators - Section D'!L$1:L$100,MATCH($A650,'Coverage Indicators - Section D'!$A$1:$A$100,0))&lt;&gt;0,INDEX('Coverage Indicators - Section D'!L$1:L$100,MATCH($A650,'Coverage Indicators - Section D'!$A$1:$A$100,0)),""),"")</f>
        <v>Kyrgyzstan</v>
      </c>
      <c r="I655" s="664"/>
      <c r="J655" s="665"/>
      <c r="K655" s="94" t="str">
        <f>IFERROR(IF(INDEX('Coverage Indicators - Section D'!J$1:J$100,MATCH($A650,'Coverage Indicators - Section D'!$A$1:$A$100,0))&lt;&gt;0,INDEX('Coverage Indicators - Section D'!J$1:J$100,MATCH($A650,'Coverage Indicators - Section D'!$A$1:$A$100,0)),""),"")</f>
        <v>Yes</v>
      </c>
      <c r="L655" s="86"/>
    </row>
    <row r="656" spans="1:12" ht="18.75" customHeight="1" x14ac:dyDescent="0.25">
      <c r="A656" s="667"/>
      <c r="B656" s="660" t="s">
        <v>199</v>
      </c>
      <c r="C656" s="661"/>
      <c r="D656" s="662"/>
      <c r="E656" s="660" t="s">
        <v>4392</v>
      </c>
      <c r="F656" s="661"/>
      <c r="G656" s="662"/>
      <c r="H656" s="660" t="s">
        <v>120</v>
      </c>
      <c r="I656" s="661"/>
      <c r="J656" s="661"/>
      <c r="K656" s="662"/>
      <c r="L656" s="86"/>
    </row>
    <row r="657" spans="1:12" ht="18.75" customHeight="1" x14ac:dyDescent="0.25">
      <c r="A657" s="667"/>
      <c r="B657" s="669" t="str">
        <f>IFERROR(IF(INDEX('Coverage Indicators - Section D'!H$1:H$100,MATCH($A650,'Coverage Indicators - Section D'!$A$1:$A$100,0))&lt;&gt;0,INDEX('Coverage Indicators - Section D'!H$1:H$100,MATCH($A650,'Coverage Indicators - Section D'!$A$1:$A$100,0)),""),"")</f>
        <v>The report of the National TB center</v>
      </c>
      <c r="C657" s="670"/>
      <c r="D657" s="671"/>
      <c r="E657" s="669" t="str">
        <f>IFERROR(IF(INDEX('Coverage Indicators - Section D'!L$1:L$100,MATCH($A650,'Coverage Indicators - Section D'!$A$1:$A$100,0)+1)&lt;&gt;0,INDEX('Coverage Indicators - Section D'!L$1:L$100,MATCH($A650,'Coverage Indicators - Section D'!$A$1:$A$100,0)+1),""),"")</f>
        <v>Geographic Subnational, 100% of national program target</v>
      </c>
      <c r="F657" s="670"/>
      <c r="G657" s="671"/>
      <c r="H657" s="669" t="str">
        <f>IFERROR(IF(AND('Overview - Section A'!AS$1="Grant Making",OR(B651&lt;&gt;"",G651&lt;&gt;"")),Setup!I659,IF(INDEX('Coverage Indicators - Section D'!K$1:K$100,MATCH($A650,'Coverage Indicators - Section D'!$A$1:$A$100,0))&lt;&gt;0,INDEX('Coverage Indicators - Section D'!K$1:K$100,MATCH($A650,'Coverage Indicators - Section D'!$A$1:$A$100,0)),"")),"")</f>
        <v>United Nations Development Programme</v>
      </c>
      <c r="I657" s="670"/>
      <c r="J657" s="670"/>
      <c r="K657" s="671"/>
      <c r="L657" s="86"/>
    </row>
    <row r="658" spans="1:12" ht="18.75" customHeight="1" x14ac:dyDescent="0.25">
      <c r="A658" s="667"/>
      <c r="B658" s="675"/>
      <c r="C658" s="676"/>
      <c r="D658" s="677"/>
      <c r="E658" s="675"/>
      <c r="F658" s="676"/>
      <c r="G658" s="677"/>
      <c r="H658" s="675"/>
      <c r="I658" s="676"/>
      <c r="J658" s="676"/>
      <c r="K658" s="677"/>
      <c r="L658" s="86"/>
    </row>
    <row r="659" spans="1:12" ht="18.75" customHeight="1" x14ac:dyDescent="0.25">
      <c r="A659" s="667"/>
      <c r="B659" s="93"/>
      <c r="C659" s="93" t="s">
        <v>4384</v>
      </c>
      <c r="D659" s="660" t="s">
        <v>4385</v>
      </c>
      <c r="E659" s="661"/>
      <c r="F659" s="661"/>
      <c r="G659" s="661"/>
      <c r="H659" s="661"/>
      <c r="I659" s="661"/>
      <c r="J659" s="661"/>
      <c r="K659" s="662"/>
      <c r="L659" s="86"/>
    </row>
    <row r="660" spans="1:12" ht="18.75" customHeight="1" x14ac:dyDescent="0.25">
      <c r="A660" s="667"/>
      <c r="B660" s="93" t="s">
        <v>2559</v>
      </c>
      <c r="C660" s="94">
        <f>IFERROR(IF(INDEX('Coverage Indicators - Section D'!G$1:G$100,MATCH($A650,'Coverage Indicators - Section D'!$A$1:$A$100,0))&lt;&gt;0,INDEX('Coverage Indicators - Section D'!G$1:G$100,MATCH($A650,'Coverage Indicators - Section D'!$A$1:$A$100,0)),""),"")</f>
        <v>2021</v>
      </c>
      <c r="D660"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660"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660"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660"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660"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660"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660"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660"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660" s="86"/>
    </row>
    <row r="661" spans="1:12" s="97" customFormat="1" ht="18.75" customHeight="1" x14ac:dyDescent="0.25">
      <c r="A661" s="667"/>
      <c r="B661" s="93" t="s">
        <v>4386</v>
      </c>
      <c r="C661" s="95">
        <f>IFERROR(IF(INDEX('Coverage Indicators - Section D'!E$1:E$100,MATCH($A650,'Coverage Indicators - Section D'!$A$1:$A$100,0))&lt;&gt;"",INDEX('Coverage Indicators - Section D'!E$1:E$100,MATCH($A650,'Coverage Indicators - Section D'!$A$1:$A$100,0)),""),"")</f>
        <v>901</v>
      </c>
      <c r="D661" s="95" t="str">
        <f>IFERROR(IF(INDEX('Coverage Indicators - Section D'!N$1:N$100,MATCH($A650,'Coverage Indicators - Section D'!$A$1:$A$100,0))&lt;&gt;"",INDEX('Coverage Indicators - Section D'!N$1:N$100,MATCH($A650,'Coverage Indicators - Section D'!$A$1:$A$100,0)),""),"")</f>
        <v/>
      </c>
      <c r="E661" s="95" t="str">
        <f>IFERROR(IF(INDEX('Coverage Indicators - Section D'!Q$1:Q$100,MATCH($A650,'Coverage Indicators - Section D'!$A$1:$A$100,0))&lt;&gt;"",INDEX('Coverage Indicators - Section D'!Q$1:Q$100,MATCH($A650,'Coverage Indicators - Section D'!$A$1:$A$100,0)),""),"")</f>
        <v/>
      </c>
      <c r="F661" s="95" t="str">
        <f>IFERROR(IF(INDEX('Coverage Indicators - Section D'!T$1:T$100,MATCH($A650,'Coverage Indicators - Section D'!$A$1:$A$100,0))&lt;&gt;"",INDEX('Coverage Indicators - Section D'!T$1:T$100,MATCH($A650,'Coverage Indicators - Section D'!$A$1:$A$100,0)),""),"")</f>
        <v/>
      </c>
      <c r="G661" s="95" t="str">
        <f>IFERROR(IF(INDEX('Coverage Indicators - Section D'!W$1:W$100,MATCH($A650,'Coverage Indicators - Section D'!$A$1:$A$100,0))&lt;&gt;"",INDEX('Coverage Indicators - Section D'!W$1:W$100,MATCH($A650,'Coverage Indicators - Section D'!$A$1:$A$100,0)),""),"")</f>
        <v/>
      </c>
      <c r="H661" s="95" t="str">
        <f>IFERROR(IF(INDEX('Coverage Indicators - Section D'!Z$1:Z$100,MATCH($A650,'Coverage Indicators - Section D'!$A$1:$A$100,0))&lt;&gt;"",INDEX('Coverage Indicators - Section D'!Z$1:Z$100,MATCH($A650,'Coverage Indicators - Section D'!$A$1:$A$100,0)),""),"")</f>
        <v/>
      </c>
      <c r="I661" s="95" t="str">
        <f>IFERROR(IF(INDEX('Coverage Indicators - Section D'!AC$1:AC$100,MATCH($A650,'Coverage Indicators - Section D'!$A$1:$A$100,0))&lt;&gt;"",INDEX('Coverage Indicators - Section D'!AC$1:AC$100,MATCH($A650,'Coverage Indicators - Section D'!$A$1:$A$100,0)),""),"")</f>
        <v/>
      </c>
      <c r="J661" s="95" t="str">
        <f>IFERROR(IF(INDEX('Coverage Indicators - Section D'!AF$1:AF$100,MATCH($A650,'Coverage Indicators - Section D'!$A$1:$A$100,0))&lt;&gt;"",INDEX('Coverage Indicators - Section D'!AF$1:AF$100,MATCH($A650,'Coverage Indicators - Section D'!$A$1:$A$100,0)),""),"")</f>
        <v/>
      </c>
      <c r="K661" s="95" t="str">
        <f>IFERROR(IF(INDEX('Coverage Indicators - Section D'!AI$1:AI$100,MATCH($A650,'Coverage Indicators - Section D'!$A$1:$A$100,0))&lt;&gt;"",INDEX('Coverage Indicators - Section D'!AI$1:AI$100,MATCH($A650,'Coverage Indicators - Section D'!$A$1:$A$100,0)),""),"")</f>
        <v/>
      </c>
      <c r="L661" s="96"/>
    </row>
    <row r="662" spans="1:12" s="100" customFormat="1" ht="18.75" customHeight="1" x14ac:dyDescent="0.25">
      <c r="A662" s="667"/>
      <c r="B662" s="93" t="s">
        <v>4387</v>
      </c>
      <c r="C662" s="98">
        <f>IFERROR(IF(INDEX('Coverage Indicators - Section D'!E$1:E$100,MATCH($A650,'Coverage Indicators - Section D'!$A$1:$A$100,0)+1)&lt;&gt;"",INDEX('Coverage Indicators - Section D'!E$1:E$100,MATCH($A650,'Coverage Indicators - Section D'!$A$1:$A$100,0)+1),""),"")</f>
        <v>1270</v>
      </c>
      <c r="D662" s="98" t="str">
        <f>IFERROR(IF(INDEX('Coverage Indicators - Section D'!N$1:N$100,MATCH($A650,'Coverage Indicators - Section D'!$A$1:$A$100,0)+1)&lt;&gt;"",INDEX('Coverage Indicators - Section D'!N$1:N$100,MATCH($A650,'Coverage Indicators - Section D'!$A$1:$A$100,0)+1),""),"")</f>
        <v/>
      </c>
      <c r="E662" s="98" t="str">
        <f>IFERROR(IF(INDEX('Coverage Indicators - Section D'!Q$1:Q$100,MATCH($A650,'Coverage Indicators - Section D'!$A$1:$A$100,0)+1)&lt;&gt;"",INDEX('Coverage Indicators - Section D'!Q$1:Q$100,MATCH($A650,'Coverage Indicators - Section D'!$A$1:$A$100,0)+1),""),"")</f>
        <v/>
      </c>
      <c r="F662" s="98" t="str">
        <f>IFERROR(IF(INDEX('Coverage Indicators - Section D'!T$1:T$100,MATCH($A650,'Coverage Indicators - Section D'!$A$1:$A$100,0)+1)&lt;&gt;"",INDEX('Coverage Indicators - Section D'!T$1:T$100,MATCH($A650,'Coverage Indicators - Section D'!$A$1:$A$100,0)+1),""),"")</f>
        <v/>
      </c>
      <c r="G662" s="98" t="str">
        <f>IFERROR(IF(INDEX('Coverage Indicators - Section D'!W$1:W$100,MATCH($A650,'Coverage Indicators - Section D'!$A$1:$A$100,0)+1)&lt;&gt;"",INDEX('Coverage Indicators - Section D'!W$1:W$100,MATCH($A650,'Coverage Indicators - Section D'!$A$1:$A$100,0)+1),""),"")</f>
        <v/>
      </c>
      <c r="H662" s="98" t="str">
        <f>IFERROR(IF(INDEX('Coverage Indicators - Section D'!Z$1:Z$100,MATCH($A650,'Coverage Indicators - Section D'!$A$1:$A$100,0)+1)&lt;&gt;"",INDEX('Coverage Indicators - Section D'!Z$1:Z$100,MATCH($A650,'Coverage Indicators - Section D'!$A$1:$A$100,0)+1),""),"")</f>
        <v/>
      </c>
      <c r="I662" s="98" t="str">
        <f>IFERROR(IF(INDEX('Coverage Indicators - Section D'!AC$1:AC$100,MATCH($A650,'Coverage Indicators - Section D'!$A$1:$A$100,0)+1)&lt;&gt;"",INDEX('Coverage Indicators - Section D'!AC$1:AC$100,MATCH($A650,'Coverage Indicators - Section D'!$A$1:$A$100,0)+1),""),"")</f>
        <v/>
      </c>
      <c r="J662" s="98" t="str">
        <f>IFERROR(IF(INDEX('Coverage Indicators - Section D'!AF$1:AF$100,MATCH($A650,'Coverage Indicators - Section D'!$A$1:$A$100,0)+1)&lt;&gt;"",INDEX('Coverage Indicators - Section D'!AF$1:AF$100,MATCH($A650,'Coverage Indicators - Section D'!$A$1:$A$100,0)+1),""),"")</f>
        <v/>
      </c>
      <c r="K662" s="98" t="str">
        <f>IFERROR(IF(INDEX('Coverage Indicators - Section D'!AI$1:AI$100,MATCH($A650,'Coverage Indicators - Section D'!$A$1:$A$100,0)+1)&lt;&gt;"",INDEX('Coverage Indicators - Section D'!AI$1:AI$100,MATCH($A650,'Coverage Indicators - Section D'!$A$1:$A$100,0)+1),""),"")</f>
        <v/>
      </c>
      <c r="L662" s="99"/>
    </row>
    <row r="663" spans="1:12" ht="18.75" customHeight="1" x14ac:dyDescent="0.25">
      <c r="A663" s="667"/>
      <c r="B663" s="93" t="s">
        <v>4388</v>
      </c>
      <c r="C663" s="94" t="str">
        <f ca="1">IFERROR(IF(INDEX('Coverage Indicators - Section D'!F$1:F$100,MATCH($A650,'Coverage Indicators - Section D'!$A$1:$A$100,0))&lt;&gt;"",FIXED(INDEX('Coverage Indicators - Section D'!F$1:F$100,MATCH($A650,'Coverage Indicators - Section D'!$A$1:$A$100,0))*100,2)&amp;"%",""),"")</f>
        <v>70,94%</v>
      </c>
      <c r="D663" s="94" t="str">
        <f>IFERROR(IF(INDEX('Coverage Indicators - Section D'!O$1:O$100,MATCH($A650,'Coverage Indicators - Section D'!$A$1:$A$100,0))&lt;&gt;"",FIXED(INDEX('Coverage Indicators - Section D'!O$1:O$100,MATCH($A650,'Coverage Indicators - Section D'!$A$1:$A$100,0))*100,2)&amp;"%",""),"")&amp;CHAR(10)&amp;IFERROR(IF(INDEX('Coverage Indicators - Section D'!P$1:P$100,MATCH($A650,'Coverage Indicators - Section D'!$A$1:$A$100,0))&lt;&gt;"",INDEX('Coverage Indicators - Section D'!P$1:P$100,MATCH($A650,'Coverage Indicators - Section D'!$A$1:$A$100,0)),""),"")</f>
        <v xml:space="preserve">75,00%
</v>
      </c>
      <c r="E663" s="94" t="str">
        <f>IFERROR(IF(INDEX('Coverage Indicators - Section D'!R$1:R$100,MATCH($A650,'Coverage Indicators - Section D'!$A$1:$A$100,0))&lt;&gt;"",FIXED(INDEX('Coverage Indicators - Section D'!R$1:R$100,MATCH($A650,'Coverage Indicators - Section D'!$A$1:$A$100,0))*100,2)&amp;"%",""),"")&amp;CHAR(10)&amp;IFERROR(IF(INDEX('Coverage Indicators - Section D'!S$1:S$100,MATCH($A650,'Coverage Indicators - Section D'!$A$1:$A$100,0))&lt;&gt;"",INDEX('Coverage Indicators - Section D'!S$1:S$100,MATCH($A650,'Coverage Indicators - Section D'!$A$1:$A$100,0)),""),"")</f>
        <v xml:space="preserve">78,00%
</v>
      </c>
      <c r="F663" s="94" t="str">
        <f>IFERROR(IF(INDEX('Coverage Indicators - Section D'!U$1:U$100,MATCH($A650,'Coverage Indicators - Section D'!$A$1:$A$100,0))&lt;&gt;"",FIXED(INDEX('Coverage Indicators - Section D'!U$1:U$100,MATCH($A650,'Coverage Indicators - Section D'!$A$1:$A$100,0))*100,2)&amp;"%",""),"")&amp;CHAR(10)&amp;IFERROR(IF(INDEX('Coverage Indicators - Section D'!V$1:V$100,MATCH($A650,'Coverage Indicators - Section D'!$A$1:$A$100,0))&lt;&gt;"",INDEX('Coverage Indicators - Section D'!V$1:V$100,MATCH($A650,'Coverage Indicators - Section D'!$A$1:$A$100,0)),""),"")</f>
        <v xml:space="preserve">80,00%
</v>
      </c>
      <c r="G663" s="94" t="str">
        <f ca="1">IFERROR(IF(INDEX('Coverage Indicators - Section D'!X$1:X$100,MATCH($A650,'Coverage Indicators - Section D'!$A$1:$A$100,0))&lt;&gt;"",FIXED(INDEX('Coverage Indicators - Section D'!X$1:X$100,MATCH($A650,'Coverage Indicators - Section D'!$A$1:$A$100,0))*100,2)&amp;"%",""),"")&amp;CHAR(10)&amp;IFERROR(IF(INDEX('Coverage Indicators - Section D'!Y$1:Y$100,MATCH($A650,'Coverage Indicators - Section D'!$A$1:$A$100,0))&lt;&gt;"",INDEX('Coverage Indicators - Section D'!Y$1:Y$100,MATCH($A650,'Coverage Indicators - Section D'!$A$1:$A$100,0)),""),"")</f>
        <v xml:space="preserve">
</v>
      </c>
      <c r="H663" s="94" t="str">
        <f ca="1">IFERROR(IF(INDEX('Coverage Indicators - Section D'!AA$1:AA$100,MATCH(A650,'Coverage Indicators - Section D'!$A$1:$A$100,0))&lt;&gt;"",FIXED(INDEX('Coverage Indicators - Section D'!AA$1:AA$100,MATCH($A650,'Coverage Indicators - Section D'!$A$1:$A$100,0))*100,2)&amp;"%",""),"")&amp;CHAR(10)&amp;IFERROR(IF(INDEX('Coverage Indicators - Section D'!AB$1:AB$100,MATCH($A650,'Coverage Indicators - Section D'!$A$1:$A$100,0))&lt;&gt;"",INDEX('Coverage Indicators - Section D'!AB$1:AB$100,MATCH($A650,'Coverage Indicators - Section D'!$A$1:$A$100,0)),""),"")</f>
        <v xml:space="preserve">
</v>
      </c>
      <c r="I663" s="94" t="str">
        <f ca="1">IFERROR(IF(INDEX('Coverage Indicators - Section D'!AD$1:AD$100,MATCH($A650,'Coverage Indicators - Section D'!$A$1:$A$100,0))&lt;&gt;"",FIXED(INDEX('Coverage Indicators - Section D'!AD$1:AD$100,MATCH($A650,'Coverage Indicators - Section D'!$A$1:$A$100,0))*100,2)&amp;"%",""),"")&amp;CHAR(10)&amp;IFERROR(IF(INDEX('Coverage Indicators - Section D'!AE$1:AE$100,MATCH($A650,'Coverage Indicators - Section D'!$A$1:$A$100,0))&lt;&gt;"",INDEX('Coverage Indicators - Section D'!AE$1:AE$100,MATCH($A650,'Coverage Indicators - Section D'!$A$1:$A$100,0)),""),"")</f>
        <v xml:space="preserve">
</v>
      </c>
      <c r="J663" s="94" t="str">
        <f ca="1">IFERROR(IF(INDEX('Coverage Indicators - Section D'!AG$1:AG$100,MATCH($A650,'Coverage Indicators - Section D'!$A$1:$A$100,0))&lt;&gt;"",FIXED(INDEX('Coverage Indicators - Section D'!AG$1:AG$100,MATCH($A650,'Coverage Indicators - Section D'!$A$1:$A$100,0))*100,2)&amp;"%",""),"")&amp;CHAR(10)&amp;IFERROR(IF(INDEX('Coverage Indicators - Section D'!AH$1:AH$100,MATCH($A650,'Coverage Indicators - Section D'!$A$1:$A$100,0))&lt;&gt;"",INDEX('Coverage Indicators - Section D'!AH$1:AH$100,MATCH($A650,'Coverage Indicators - Section D'!$A$1:$A$100,0)),""),"")</f>
        <v xml:space="preserve">
</v>
      </c>
      <c r="K663" s="94" t="str">
        <f ca="1">IFERROR(IF(INDEX('Coverage Indicators - Section D'!AJ$1:AJ$100,MATCH($A650,'Coverage Indicators - Section D'!$A$1:$A$100,0))&lt;&gt;"",FIXED(INDEX('Coverage Indicators - Section D'!AJ$1:AJ$100,MATCH($A650,'Coverage Indicators - Section D'!$A$1:$A$100,0))*100,2)&amp;"%",""),"")&amp;CHAR(10)&amp;IFERROR(IF(INDEX('Coverage Indicators - Section D'!AK$1:AK$100,MATCH($A650,'Coverage Indicators - Section D'!$A$1:$A$100,0))&lt;&gt;"",INDEX('Coverage Indicators - Section D'!AK$1:AK$100,MATCH($A650,'Coverage Indicators - Section D'!$A$1:$A$100,0)),""),"")</f>
        <v xml:space="preserve">
</v>
      </c>
      <c r="L663" s="86"/>
    </row>
    <row r="664" spans="1:12" ht="18.75" customHeight="1" x14ac:dyDescent="0.25">
      <c r="A664" s="667"/>
      <c r="B664" s="660" t="s">
        <v>176</v>
      </c>
      <c r="C664" s="661"/>
      <c r="D664" s="661"/>
      <c r="E664" s="661"/>
      <c r="F664" s="661"/>
      <c r="G664" s="661"/>
      <c r="H664" s="661"/>
      <c r="I664" s="661"/>
      <c r="J664" s="661"/>
      <c r="K664" s="662"/>
      <c r="L664" s="86"/>
    </row>
    <row r="665" spans="1:12" ht="18.75" customHeight="1" x14ac:dyDescent="0.25">
      <c r="A665" s="667"/>
      <c r="B665" s="669" t="str">
        <f>IFERROR(IF(INDEX('Coverage Indicators - Section D'!AL$1:AL$110,MATCH($A650,'Coverage Indicators - Section D'!$A$1:$A$110,0))&lt;&gt;0,INDEX('Coverage Indicators - Section D'!AL$1:AL$110,MATCH($A650,'Coverage Indicators - Section D'!$A$1:$A$110,0)),""),"")</f>
        <v>Only the comprehensive patient-oriented approach and availability of the most effective treatment schemes countrywide promote improving the treatment results. It is envisaged, that 40-50% RR/MDR TB patient will be covered by new shorten regimens (BPaL and BPalM), which also contribute to increasing a treatment success rate in the country. Kyrgyzstan will achieve the 2025 WHO Europe regional milestone (≥80% treatment success). Numerator: Number of bacteriologically-confirmed RR and/or MDR-TB cases enrolled on second-line anti-TB treatment during the year of assessment who are successfully treated (cured plus completed treatment). Denominator: Total number of bacteriologically-confirmed RR TB and/or MDR-TB cases enrolled on second-line anti-TB treatment during the year of assessment. The National annual TB report. The data reporting tool for this indicator relates to the quarterly TB 08 U form.
According to the reporting cycle applied in the country (National Guidance on M&amp;E), the results on cohort 2022 will be assessed in 2024 and data will be available in April 2025. The data will be collected, processed and provided by NTP.</v>
      </c>
      <c r="C665" s="670"/>
      <c r="D665" s="670"/>
      <c r="E665" s="670"/>
      <c r="F665" s="670"/>
      <c r="G665" s="670"/>
      <c r="H665" s="670"/>
      <c r="I665" s="670"/>
      <c r="J665" s="670"/>
      <c r="K665" s="671"/>
      <c r="L665" s="86"/>
    </row>
    <row r="666" spans="1:12" ht="18.75" customHeight="1" x14ac:dyDescent="0.25">
      <c r="A666" s="667"/>
      <c r="B666" s="672"/>
      <c r="C666" s="673"/>
      <c r="D666" s="673"/>
      <c r="E666" s="673"/>
      <c r="F666" s="673"/>
      <c r="G666" s="673"/>
      <c r="H666" s="673"/>
      <c r="I666" s="673"/>
      <c r="J666" s="673"/>
      <c r="K666" s="674"/>
      <c r="L666" s="86"/>
    </row>
    <row r="667" spans="1:12" ht="18.75" customHeight="1" x14ac:dyDescent="0.25">
      <c r="A667" s="667"/>
      <c r="B667" s="672"/>
      <c r="C667" s="673"/>
      <c r="D667" s="673"/>
      <c r="E667" s="673"/>
      <c r="F667" s="673"/>
      <c r="G667" s="673"/>
      <c r="H667" s="673"/>
      <c r="I667" s="673"/>
      <c r="J667" s="673"/>
      <c r="K667" s="674"/>
      <c r="L667" s="86"/>
    </row>
    <row r="668" spans="1:12" ht="18.75" customHeight="1" x14ac:dyDescent="0.25">
      <c r="A668" s="667"/>
      <c r="B668" s="672"/>
      <c r="C668" s="673"/>
      <c r="D668" s="673"/>
      <c r="E668" s="673"/>
      <c r="F668" s="673"/>
      <c r="G668" s="673"/>
      <c r="H668" s="673"/>
      <c r="I668" s="673"/>
      <c r="J668" s="673"/>
      <c r="K668" s="674"/>
      <c r="L668" s="86"/>
    </row>
    <row r="669" spans="1:12" ht="18.75" customHeight="1" x14ac:dyDescent="0.25">
      <c r="A669" s="667"/>
      <c r="B669" s="672"/>
      <c r="C669" s="673"/>
      <c r="D669" s="673"/>
      <c r="E669" s="673"/>
      <c r="F669" s="673"/>
      <c r="G669" s="673"/>
      <c r="H669" s="673"/>
      <c r="I669" s="673"/>
      <c r="J669" s="673"/>
      <c r="K669" s="674"/>
      <c r="L669" s="86"/>
    </row>
    <row r="670" spans="1:12" ht="18.75" customHeight="1" x14ac:dyDescent="0.25">
      <c r="A670" s="667"/>
      <c r="B670" s="672"/>
      <c r="C670" s="673"/>
      <c r="D670" s="673"/>
      <c r="E670" s="673"/>
      <c r="F670" s="673"/>
      <c r="G670" s="673"/>
      <c r="H670" s="673"/>
      <c r="I670" s="673"/>
      <c r="J670" s="673"/>
      <c r="K670" s="674"/>
      <c r="L670" s="86"/>
    </row>
    <row r="671" spans="1:12" ht="18.75" customHeight="1" x14ac:dyDescent="0.25">
      <c r="A671" s="667"/>
      <c r="B671" s="672"/>
      <c r="C671" s="673"/>
      <c r="D671" s="673"/>
      <c r="E671" s="673"/>
      <c r="F671" s="673"/>
      <c r="G671" s="673"/>
      <c r="H671" s="673"/>
      <c r="I671" s="673"/>
      <c r="J671" s="673"/>
      <c r="K671" s="674"/>
      <c r="L671" s="86"/>
    </row>
    <row r="672" spans="1:12" ht="18.75" customHeight="1" x14ac:dyDescent="0.25">
      <c r="A672" s="667"/>
      <c r="B672" s="672"/>
      <c r="C672" s="673"/>
      <c r="D672" s="673"/>
      <c r="E672" s="673"/>
      <c r="F672" s="673"/>
      <c r="G672" s="673"/>
      <c r="H672" s="673"/>
      <c r="I672" s="673"/>
      <c r="J672" s="673"/>
      <c r="K672" s="674"/>
      <c r="L672" s="86"/>
    </row>
    <row r="673" spans="1:12" ht="18.75" customHeight="1" x14ac:dyDescent="0.25">
      <c r="A673" s="667"/>
      <c r="B673" s="672"/>
      <c r="C673" s="673"/>
      <c r="D673" s="673"/>
      <c r="E673" s="673"/>
      <c r="F673" s="673"/>
      <c r="G673" s="673"/>
      <c r="H673" s="673"/>
      <c r="I673" s="673"/>
      <c r="J673" s="673"/>
      <c r="K673" s="674"/>
      <c r="L673" s="86"/>
    </row>
    <row r="674" spans="1:12" ht="18.75" customHeight="1" x14ac:dyDescent="0.25">
      <c r="A674" s="668"/>
      <c r="B674" s="675"/>
      <c r="C674" s="676"/>
      <c r="D674" s="676"/>
      <c r="E674" s="676"/>
      <c r="F674" s="676"/>
      <c r="G674" s="676"/>
      <c r="H674" s="676"/>
      <c r="I674" s="676"/>
      <c r="J674" s="676"/>
      <c r="K674" s="677"/>
      <c r="L674" s="86"/>
    </row>
    <row r="675" spans="1:12" ht="18.75" customHeight="1" x14ac:dyDescent="0.25">
      <c r="A675" s="660"/>
      <c r="B675" s="661"/>
      <c r="C675" s="661"/>
      <c r="D675" s="661"/>
      <c r="E675" s="661"/>
      <c r="F675" s="661"/>
      <c r="G675" s="661"/>
      <c r="H675" s="661"/>
      <c r="I675" s="661"/>
      <c r="J675" s="661"/>
      <c r="K675" s="662"/>
      <c r="L675" s="86"/>
    </row>
    <row r="677" spans="1:12" ht="18.75" customHeight="1" x14ac:dyDescent="0.25">
      <c r="A677" s="93" t="s">
        <v>4383</v>
      </c>
      <c r="B677" s="660" t="s">
        <v>1046</v>
      </c>
      <c r="C677" s="662"/>
      <c r="D677" s="663" t="str">
        <f>IFERROR(IF(INDEX('Coverage Indicators - Section D'!B$1:B$100,MATCH($A678,'Coverage Indicators - Section D'!$A$1:$A$100,0))&lt;&gt;0,INDEX('Coverage Indicators - Section D'!B$1:B$100,MATCH($A678,'Coverage Indicators - Section D'!$A$1:$A$100,0)),""),"")</f>
        <v/>
      </c>
      <c r="E677" s="664"/>
      <c r="F677" s="664"/>
      <c r="G677" s="664"/>
      <c r="H677" s="664"/>
      <c r="I677" s="664"/>
      <c r="J677" s="664"/>
      <c r="K677" s="665"/>
      <c r="L677" s="86"/>
    </row>
    <row r="678" spans="1:12" ht="18.75" customHeight="1" x14ac:dyDescent="0.25">
      <c r="A678" s="666">
        <v>25</v>
      </c>
      <c r="B678" s="660" t="s">
        <v>738</v>
      </c>
      <c r="C678" s="661"/>
      <c r="D678" s="661"/>
      <c r="E678" s="661"/>
      <c r="F678" s="662"/>
      <c r="G678" s="660" t="s">
        <v>739</v>
      </c>
      <c r="H678" s="661"/>
      <c r="I678" s="661"/>
      <c r="J678" s="661"/>
      <c r="K678" s="662"/>
      <c r="L678" s="86"/>
    </row>
    <row r="679" spans="1:12" ht="18.75" customHeight="1" x14ac:dyDescent="0.25">
      <c r="A679" s="667"/>
      <c r="B679" s="669" t="str">
        <f>IFERROR(IF(INDEX('Coverage Indicators - Section D'!C$1:C$100,MATCH($A678,'Coverage Indicators - Section D'!$A$1:$A$100,0))&lt;&gt;0,INDEX('Coverage Indicators - Section D'!C$1:C$100,MATCH($A678,'Coverage Indicators - Section D'!$A$1:$A$100,0)),""),"")</f>
        <v/>
      </c>
      <c r="C679" s="670"/>
      <c r="D679" s="670"/>
      <c r="E679" s="670"/>
      <c r="F679" s="671"/>
      <c r="G679" s="669" t="str">
        <f>IFERROR(IF(INDEX('Coverage Indicators - Section D'!D$1:D$100,MATCH($A678,'Coverage Indicators - Section D'!$A$1:$A$100,0))&lt;&gt;0,INDEX('Coverage Indicators - Section D'!D$1:D$100,MATCH($A678,'Coverage Indicators - Section D'!$A$1:$A$100,0)),""),"")</f>
        <v/>
      </c>
      <c r="H679" s="670"/>
      <c r="I679" s="670"/>
      <c r="J679" s="670"/>
      <c r="K679" s="671"/>
      <c r="L679" s="86"/>
    </row>
    <row r="680" spans="1:12" ht="18.75" customHeight="1" x14ac:dyDescent="0.25">
      <c r="A680" s="667"/>
      <c r="B680" s="672"/>
      <c r="C680" s="673"/>
      <c r="D680" s="673"/>
      <c r="E680" s="673"/>
      <c r="F680" s="674"/>
      <c r="G680" s="672"/>
      <c r="H680" s="673"/>
      <c r="I680" s="673"/>
      <c r="J680" s="673"/>
      <c r="K680" s="674"/>
      <c r="L680" s="86"/>
    </row>
    <row r="681" spans="1:12" ht="18.75" customHeight="1" x14ac:dyDescent="0.25">
      <c r="A681" s="667"/>
      <c r="B681" s="675"/>
      <c r="C681" s="676"/>
      <c r="D681" s="676"/>
      <c r="E681" s="676"/>
      <c r="F681" s="677"/>
      <c r="G681" s="675"/>
      <c r="H681" s="676"/>
      <c r="I681" s="676"/>
      <c r="J681" s="676"/>
      <c r="K681" s="677"/>
      <c r="L681" s="86"/>
    </row>
    <row r="682" spans="1:12" ht="18.75" customHeight="1" x14ac:dyDescent="0.25">
      <c r="A682" s="667"/>
      <c r="B682" s="660" t="s">
        <v>742</v>
      </c>
      <c r="C682" s="661"/>
      <c r="D682" s="662"/>
      <c r="E682" s="660" t="s">
        <v>216</v>
      </c>
      <c r="F682" s="661"/>
      <c r="G682" s="662"/>
      <c r="H682" s="660" t="s">
        <v>127</v>
      </c>
      <c r="I682" s="661"/>
      <c r="J682" s="662"/>
      <c r="K682" s="93" t="s">
        <v>2175</v>
      </c>
      <c r="L682" s="86"/>
    </row>
    <row r="683" spans="1:12" ht="18.75" customHeight="1" x14ac:dyDescent="0.25">
      <c r="A683" s="667"/>
      <c r="B683" s="663" t="str">
        <f>IFERROR(IF(INDEX('Coverage Indicators - Section D'!I$9:I$68,MATCH($A678,'Coverage Indicators - Section D'!$A$9:$A$68,0))&lt;&gt;0,INDEX('Coverage Indicators - Section D'!I$9:I$68,MATCH($A678,'Coverage Indicators - Section D'!$A$9:$A$68,0)),""),"")</f>
        <v/>
      </c>
      <c r="C683" s="664"/>
      <c r="D683" s="665"/>
      <c r="E683" s="663" t="str">
        <f>IFERROR(IF(INDEX('Coverage Indicators - Section D'!M$1:M$100,MATCH($A678,'Coverage Indicators - Section D'!$A$1:$A$100,0))&lt;&gt;0,INDEX('Coverage Indicators - Section D'!M$1:M$100,MATCH($A678,'Coverage Indicators - Section D'!$A$1:$A$100,0)),""),"")</f>
        <v/>
      </c>
      <c r="F683" s="664"/>
      <c r="G683" s="665"/>
      <c r="H683" s="663" t="str">
        <f>IFERROR(IF(INDEX('Coverage Indicators - Section D'!L$1:L$100,MATCH($A678,'Coverage Indicators - Section D'!$A$1:$A$100,0))&lt;&gt;0,INDEX('Coverage Indicators - Section D'!L$1:L$100,MATCH($A678,'Coverage Indicators - Section D'!$A$1:$A$100,0)),""),"")</f>
        <v/>
      </c>
      <c r="I683" s="664"/>
      <c r="J683" s="665"/>
      <c r="K683" s="94" t="str">
        <f>IFERROR(IF(INDEX('Coverage Indicators - Section D'!J$1:J$100,MATCH($A678,'Coverage Indicators - Section D'!$A$1:$A$100,0))&lt;&gt;0,INDEX('Coverage Indicators - Section D'!J$1:J$100,MATCH($A678,'Coverage Indicators - Section D'!$A$1:$A$100,0)),""),"")</f>
        <v/>
      </c>
      <c r="L683" s="86"/>
    </row>
    <row r="684" spans="1:12" ht="18.75" customHeight="1" x14ac:dyDescent="0.25">
      <c r="A684" s="667"/>
      <c r="B684" s="660" t="s">
        <v>199</v>
      </c>
      <c r="C684" s="661"/>
      <c r="D684" s="662"/>
      <c r="E684" s="660" t="s">
        <v>4392</v>
      </c>
      <c r="F684" s="661"/>
      <c r="G684" s="662"/>
      <c r="H684" s="660" t="s">
        <v>120</v>
      </c>
      <c r="I684" s="661"/>
      <c r="J684" s="661"/>
      <c r="K684" s="662"/>
      <c r="L684" s="86"/>
    </row>
    <row r="685" spans="1:12" ht="18.75" customHeight="1" x14ac:dyDescent="0.25">
      <c r="A685" s="667"/>
      <c r="B685" s="669" t="str">
        <f>IFERROR(IF(INDEX('Coverage Indicators - Section D'!H$1:H$100,MATCH($A678,'Coverage Indicators - Section D'!$A$1:$A$100,0))&lt;&gt;0,INDEX('Coverage Indicators - Section D'!H$1:H$100,MATCH($A678,'Coverage Indicators - Section D'!$A$1:$A$100,0)),""),"")</f>
        <v/>
      </c>
      <c r="C685" s="670"/>
      <c r="D685" s="671"/>
      <c r="E685" s="669" t="str">
        <f>IFERROR(IF(INDEX('Coverage Indicators - Section D'!L$1:L$100,MATCH($A678,'Coverage Indicators - Section D'!$A$1:$A$100,0)+1)&lt;&gt;0,INDEX('Coverage Indicators - Section D'!L$1:L$100,MATCH($A678,'Coverage Indicators - Section D'!$A$1:$A$100,0)+1),""),"")</f>
        <v/>
      </c>
      <c r="F685" s="670"/>
      <c r="G685" s="671"/>
      <c r="H685" s="669" t="str">
        <f>IFERROR(IF(AND('Overview - Section A'!AS$1="Grant Making",OR(B679&lt;&gt;"",G679&lt;&gt;"")),Setup!I687,IF(INDEX('Coverage Indicators - Section D'!K$1:K$100,MATCH($A678,'Coverage Indicators - Section D'!$A$1:$A$100,0))&lt;&gt;0,INDEX('Coverage Indicators - Section D'!K$1:K$100,MATCH($A678,'Coverage Indicators - Section D'!$A$1:$A$100,0)),"")),"")</f>
        <v/>
      </c>
      <c r="I685" s="670"/>
      <c r="J685" s="670"/>
      <c r="K685" s="671"/>
      <c r="L685" s="86"/>
    </row>
    <row r="686" spans="1:12" ht="18.75" customHeight="1" x14ac:dyDescent="0.25">
      <c r="A686" s="667"/>
      <c r="B686" s="675"/>
      <c r="C686" s="676"/>
      <c r="D686" s="677"/>
      <c r="E686" s="675"/>
      <c r="F686" s="676"/>
      <c r="G686" s="677"/>
      <c r="H686" s="675"/>
      <c r="I686" s="676"/>
      <c r="J686" s="676"/>
      <c r="K686" s="677"/>
      <c r="L686" s="86"/>
    </row>
    <row r="687" spans="1:12" ht="18.75" customHeight="1" x14ac:dyDescent="0.25">
      <c r="A687" s="667"/>
      <c r="B687" s="93"/>
      <c r="C687" s="93" t="s">
        <v>4384</v>
      </c>
      <c r="D687" s="660" t="s">
        <v>4385</v>
      </c>
      <c r="E687" s="661"/>
      <c r="F687" s="661"/>
      <c r="G687" s="661"/>
      <c r="H687" s="661"/>
      <c r="I687" s="661"/>
      <c r="J687" s="661"/>
      <c r="K687" s="662"/>
      <c r="L687" s="86"/>
    </row>
    <row r="688" spans="1:12" ht="18.75" customHeight="1" x14ac:dyDescent="0.25">
      <c r="A688" s="667"/>
      <c r="B688" s="93" t="s">
        <v>2559</v>
      </c>
      <c r="C688" s="94" t="str">
        <f>IFERROR(IF(INDEX('Coverage Indicators - Section D'!G$1:G$100,MATCH($A678,'Coverage Indicators - Section D'!$A$1:$A$100,0))&lt;&gt;0,INDEX('Coverage Indicators - Section D'!G$1:G$100,MATCH($A678,'Coverage Indicators - Section D'!$A$1:$A$100,0)),""),"")</f>
        <v/>
      </c>
      <c r="D688"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688"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688"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688"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688"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688"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688"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688"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688" s="86"/>
    </row>
    <row r="689" spans="1:12" s="97" customFormat="1" ht="18.75" customHeight="1" x14ac:dyDescent="0.25">
      <c r="A689" s="667"/>
      <c r="B689" s="93" t="s">
        <v>4386</v>
      </c>
      <c r="C689" s="95" t="str">
        <f>IFERROR(IF(INDEX('Coverage Indicators - Section D'!E$1:E$100,MATCH($A678,'Coverage Indicators - Section D'!$A$1:$A$100,0))&lt;&gt;"",INDEX('Coverage Indicators - Section D'!E$1:E$100,MATCH($A678,'Coverage Indicators - Section D'!$A$1:$A$100,0)),""),"")</f>
        <v/>
      </c>
      <c r="D689" s="95" t="str">
        <f>IFERROR(IF(INDEX('Coverage Indicators - Section D'!N$1:N$100,MATCH($A678,'Coverage Indicators - Section D'!$A$1:$A$100,0))&lt;&gt;"",INDEX('Coverage Indicators - Section D'!N$1:N$100,MATCH($A678,'Coverage Indicators - Section D'!$A$1:$A$100,0)),""),"")</f>
        <v/>
      </c>
      <c r="E689" s="95" t="str">
        <f>IFERROR(IF(INDEX('Coverage Indicators - Section D'!Q$1:Q$100,MATCH($A678,'Coverage Indicators - Section D'!$A$1:$A$100,0))&lt;&gt;"",INDEX('Coverage Indicators - Section D'!Q$1:Q$100,MATCH($A678,'Coverage Indicators - Section D'!$A$1:$A$100,0)),""),"")</f>
        <v/>
      </c>
      <c r="F689" s="95" t="str">
        <f>IFERROR(IF(INDEX('Coverage Indicators - Section D'!T$1:T$100,MATCH($A678,'Coverage Indicators - Section D'!$A$1:$A$100,0))&lt;&gt;"",INDEX('Coverage Indicators - Section D'!T$1:T$100,MATCH($A678,'Coverage Indicators - Section D'!$A$1:$A$100,0)),""),"")</f>
        <v/>
      </c>
      <c r="G689" s="95" t="str">
        <f>IFERROR(IF(INDEX('Coverage Indicators - Section D'!W$1:W$100,MATCH($A678,'Coverage Indicators - Section D'!$A$1:$A$100,0))&lt;&gt;"",INDEX('Coverage Indicators - Section D'!W$1:W$100,MATCH($A678,'Coverage Indicators - Section D'!$A$1:$A$100,0)),""),"")</f>
        <v/>
      </c>
      <c r="H689" s="95" t="str">
        <f>IFERROR(IF(INDEX('Coverage Indicators - Section D'!Z$1:Z$100,MATCH($A678,'Coverage Indicators - Section D'!$A$1:$A$100,0))&lt;&gt;"",INDEX('Coverage Indicators - Section D'!Z$1:Z$100,MATCH($A678,'Coverage Indicators - Section D'!$A$1:$A$100,0)),""),"")</f>
        <v/>
      </c>
      <c r="I689" s="95" t="str">
        <f>IFERROR(IF(INDEX('Coverage Indicators - Section D'!AC$1:AC$100,MATCH($A678,'Coverage Indicators - Section D'!$A$1:$A$100,0))&lt;&gt;"",INDEX('Coverage Indicators - Section D'!AC$1:AC$100,MATCH($A678,'Coverage Indicators - Section D'!$A$1:$A$100,0)),""),"")</f>
        <v/>
      </c>
      <c r="J689" s="95" t="str">
        <f>IFERROR(IF(INDEX('Coverage Indicators - Section D'!AF$1:AF$100,MATCH($A678,'Coverage Indicators - Section D'!$A$1:$A$100,0))&lt;&gt;"",INDEX('Coverage Indicators - Section D'!AF$1:AF$100,MATCH($A678,'Coverage Indicators - Section D'!$A$1:$A$100,0)),""),"")</f>
        <v/>
      </c>
      <c r="K689" s="95" t="str">
        <f>IFERROR(IF(INDEX('Coverage Indicators - Section D'!AI$1:AI$100,MATCH($A678,'Coverage Indicators - Section D'!$A$1:$A$100,0))&lt;&gt;"",INDEX('Coverage Indicators - Section D'!AI$1:AI$100,MATCH($A678,'Coverage Indicators - Section D'!$A$1:$A$100,0)),""),"")</f>
        <v/>
      </c>
      <c r="L689" s="96"/>
    </row>
    <row r="690" spans="1:12" s="100" customFormat="1" ht="18.75" customHeight="1" x14ac:dyDescent="0.25">
      <c r="A690" s="667"/>
      <c r="B690" s="93" t="s">
        <v>4387</v>
      </c>
      <c r="C690" s="98" t="str">
        <f>IFERROR(IF(INDEX('Coverage Indicators - Section D'!E$1:E$100,MATCH($A678,'Coverage Indicators - Section D'!$A$1:$A$100,0)+1)&lt;&gt;"",INDEX('Coverage Indicators - Section D'!E$1:E$100,MATCH($A678,'Coverage Indicators - Section D'!$A$1:$A$100,0)+1),""),"")</f>
        <v/>
      </c>
      <c r="D690" s="98" t="str">
        <f>IFERROR(IF(INDEX('Coverage Indicators - Section D'!N$1:N$100,MATCH($A678,'Coverage Indicators - Section D'!$A$1:$A$100,0)+1)&lt;&gt;"",INDEX('Coverage Indicators - Section D'!N$1:N$100,MATCH($A678,'Coverage Indicators - Section D'!$A$1:$A$100,0)+1),""),"")</f>
        <v/>
      </c>
      <c r="E690" s="98" t="str">
        <f>IFERROR(IF(INDEX('Coverage Indicators - Section D'!Q$1:Q$100,MATCH($A678,'Coverage Indicators - Section D'!$A$1:$A$100,0)+1)&lt;&gt;"",INDEX('Coverage Indicators - Section D'!Q$1:Q$100,MATCH($A678,'Coverage Indicators - Section D'!$A$1:$A$100,0)+1),""),"")</f>
        <v/>
      </c>
      <c r="F690" s="98" t="str">
        <f>IFERROR(IF(INDEX('Coverage Indicators - Section D'!T$1:T$100,MATCH($A678,'Coverage Indicators - Section D'!$A$1:$A$100,0)+1)&lt;&gt;"",INDEX('Coverage Indicators - Section D'!T$1:T$100,MATCH($A678,'Coverage Indicators - Section D'!$A$1:$A$100,0)+1),""),"")</f>
        <v/>
      </c>
      <c r="G690" s="98" t="str">
        <f>IFERROR(IF(INDEX('Coverage Indicators - Section D'!W$1:W$100,MATCH($A678,'Coverage Indicators - Section D'!$A$1:$A$100,0)+1)&lt;&gt;"",INDEX('Coverage Indicators - Section D'!W$1:W$100,MATCH($A678,'Coverage Indicators - Section D'!$A$1:$A$100,0)+1),""),"")</f>
        <v/>
      </c>
      <c r="H690" s="98" t="str">
        <f>IFERROR(IF(INDEX('Coverage Indicators - Section D'!Z$1:Z$100,MATCH($A678,'Coverage Indicators - Section D'!$A$1:$A$100,0)+1)&lt;&gt;"",INDEX('Coverage Indicators - Section D'!Z$1:Z$100,MATCH($A678,'Coverage Indicators - Section D'!$A$1:$A$100,0)+1),""),"")</f>
        <v/>
      </c>
      <c r="I690" s="98" t="str">
        <f>IFERROR(IF(INDEX('Coverage Indicators - Section D'!AC$1:AC$100,MATCH($A678,'Coverage Indicators - Section D'!$A$1:$A$100,0)+1)&lt;&gt;"",INDEX('Coverage Indicators - Section D'!AC$1:AC$100,MATCH($A678,'Coverage Indicators - Section D'!$A$1:$A$100,0)+1),""),"")</f>
        <v/>
      </c>
      <c r="J690" s="98" t="str">
        <f>IFERROR(IF(INDEX('Coverage Indicators - Section D'!AF$1:AF$100,MATCH($A678,'Coverage Indicators - Section D'!$A$1:$A$100,0)+1)&lt;&gt;"",INDEX('Coverage Indicators - Section D'!AF$1:AF$100,MATCH($A678,'Coverage Indicators - Section D'!$A$1:$A$100,0)+1),""),"")</f>
        <v/>
      </c>
      <c r="K690" s="98" t="str">
        <f>IFERROR(IF(INDEX('Coverage Indicators - Section D'!AI$1:AI$100,MATCH($A678,'Coverage Indicators - Section D'!$A$1:$A$100,0)+1)&lt;&gt;"",INDEX('Coverage Indicators - Section D'!AI$1:AI$100,MATCH($A678,'Coverage Indicators - Section D'!$A$1:$A$100,0)+1),""),"")</f>
        <v/>
      </c>
      <c r="L690" s="99"/>
    </row>
    <row r="691" spans="1:12" ht="18.75" customHeight="1" x14ac:dyDescent="0.25">
      <c r="A691" s="667"/>
      <c r="B691" s="93" t="s">
        <v>4388</v>
      </c>
      <c r="C691" s="94" t="str">
        <f ca="1">IFERROR(IF(INDEX('Coverage Indicators - Section D'!F$1:F$100,MATCH($A678,'Coverage Indicators - Section D'!$A$1:$A$100,0))&lt;&gt;"",FIXED(INDEX('Coverage Indicators - Section D'!F$1:F$100,MATCH($A678,'Coverage Indicators - Section D'!$A$1:$A$100,0))*100,2)&amp;"%",""),"")</f>
        <v/>
      </c>
      <c r="D691" s="94" t="str">
        <f ca="1">IFERROR(IF(INDEX('Coverage Indicators - Section D'!O$1:O$100,MATCH($A678,'Coverage Indicators - Section D'!$A$1:$A$100,0))&lt;&gt;"",FIXED(INDEX('Coverage Indicators - Section D'!O$1:O$100,MATCH($A678,'Coverage Indicators - Section D'!$A$1:$A$100,0))*100,2)&amp;"%",""),"")&amp;CHAR(10)&amp;IFERROR(IF(INDEX('Coverage Indicators - Section D'!P$1:P$100,MATCH($A678,'Coverage Indicators - Section D'!$A$1:$A$100,0))&lt;&gt;"",INDEX('Coverage Indicators - Section D'!P$1:P$100,MATCH($A678,'Coverage Indicators - Section D'!$A$1:$A$100,0)),""),"")</f>
        <v xml:space="preserve">
</v>
      </c>
      <c r="E691" s="94" t="str">
        <f ca="1">IFERROR(IF(INDEX('Coverage Indicators - Section D'!R$1:R$100,MATCH($A678,'Coverage Indicators - Section D'!$A$1:$A$100,0))&lt;&gt;"",FIXED(INDEX('Coverage Indicators - Section D'!R$1:R$100,MATCH($A678,'Coverage Indicators - Section D'!$A$1:$A$100,0))*100,2)&amp;"%",""),"")&amp;CHAR(10)&amp;IFERROR(IF(INDEX('Coverage Indicators - Section D'!S$1:S$100,MATCH($A678,'Coverage Indicators - Section D'!$A$1:$A$100,0))&lt;&gt;"",INDEX('Coverage Indicators - Section D'!S$1:S$100,MATCH($A678,'Coverage Indicators - Section D'!$A$1:$A$100,0)),""),"")</f>
        <v xml:space="preserve">
</v>
      </c>
      <c r="F691" s="94" t="str">
        <f ca="1">IFERROR(IF(INDEX('Coverage Indicators - Section D'!U$1:U$100,MATCH($A678,'Coverage Indicators - Section D'!$A$1:$A$100,0))&lt;&gt;"",FIXED(INDEX('Coverage Indicators - Section D'!U$1:U$100,MATCH($A678,'Coverage Indicators - Section D'!$A$1:$A$100,0))*100,2)&amp;"%",""),"")&amp;CHAR(10)&amp;IFERROR(IF(INDEX('Coverage Indicators - Section D'!V$1:V$100,MATCH($A678,'Coverage Indicators - Section D'!$A$1:$A$100,0))&lt;&gt;"",INDEX('Coverage Indicators - Section D'!V$1:V$100,MATCH($A678,'Coverage Indicators - Section D'!$A$1:$A$100,0)),""),"")</f>
        <v xml:space="preserve">
</v>
      </c>
      <c r="G691" s="94" t="str">
        <f ca="1">IFERROR(IF(INDEX('Coverage Indicators - Section D'!X$1:X$100,MATCH($A678,'Coverage Indicators - Section D'!$A$1:$A$100,0))&lt;&gt;"",FIXED(INDEX('Coverage Indicators - Section D'!X$1:X$100,MATCH($A678,'Coverage Indicators - Section D'!$A$1:$A$100,0))*100,2)&amp;"%",""),"")&amp;CHAR(10)&amp;IFERROR(IF(INDEX('Coverage Indicators - Section D'!Y$1:Y$100,MATCH($A678,'Coverage Indicators - Section D'!$A$1:$A$100,0))&lt;&gt;"",INDEX('Coverage Indicators - Section D'!Y$1:Y$100,MATCH($A678,'Coverage Indicators - Section D'!$A$1:$A$100,0)),""),"")</f>
        <v xml:space="preserve">
</v>
      </c>
      <c r="H691" s="94" t="str">
        <f ca="1">IFERROR(IF(INDEX('Coverage Indicators - Section D'!AA$1:AA$100,MATCH(A678,'Coverage Indicators - Section D'!$A$1:$A$100,0))&lt;&gt;"",FIXED(INDEX('Coverage Indicators - Section D'!AA$1:AA$100,MATCH($A678,'Coverage Indicators - Section D'!$A$1:$A$100,0))*100,2)&amp;"%",""),"")&amp;CHAR(10)&amp;IFERROR(IF(INDEX('Coverage Indicators - Section D'!AB$1:AB$100,MATCH($A678,'Coverage Indicators - Section D'!$A$1:$A$100,0))&lt;&gt;"",INDEX('Coverage Indicators - Section D'!AB$1:AB$100,MATCH($A678,'Coverage Indicators - Section D'!$A$1:$A$100,0)),""),"")</f>
        <v xml:space="preserve">
</v>
      </c>
      <c r="I691" s="94" t="str">
        <f ca="1">IFERROR(IF(INDEX('Coverage Indicators - Section D'!AD$1:AD$100,MATCH($A678,'Coverage Indicators - Section D'!$A$1:$A$100,0))&lt;&gt;"",FIXED(INDEX('Coverage Indicators - Section D'!AD$1:AD$100,MATCH($A678,'Coverage Indicators - Section D'!$A$1:$A$100,0))*100,2)&amp;"%",""),"")&amp;CHAR(10)&amp;IFERROR(IF(INDEX('Coverage Indicators - Section D'!AE$1:AE$100,MATCH($A678,'Coverage Indicators - Section D'!$A$1:$A$100,0))&lt;&gt;"",INDEX('Coverage Indicators - Section D'!AE$1:AE$100,MATCH($A678,'Coverage Indicators - Section D'!$A$1:$A$100,0)),""),"")</f>
        <v xml:space="preserve">
</v>
      </c>
      <c r="J691" s="94" t="str">
        <f ca="1">IFERROR(IF(INDEX('Coverage Indicators - Section D'!AG$1:AG$100,MATCH($A678,'Coverage Indicators - Section D'!$A$1:$A$100,0))&lt;&gt;"",FIXED(INDEX('Coverage Indicators - Section D'!AG$1:AG$100,MATCH($A678,'Coverage Indicators - Section D'!$A$1:$A$100,0))*100,2)&amp;"%",""),"")&amp;CHAR(10)&amp;IFERROR(IF(INDEX('Coverage Indicators - Section D'!AH$1:AH$100,MATCH($A678,'Coverage Indicators - Section D'!$A$1:$A$100,0))&lt;&gt;"",INDEX('Coverage Indicators - Section D'!AH$1:AH$100,MATCH($A678,'Coverage Indicators - Section D'!$A$1:$A$100,0)),""),"")</f>
        <v xml:space="preserve">
</v>
      </c>
      <c r="K691" s="94" t="str">
        <f ca="1">IFERROR(IF(INDEX('Coverage Indicators - Section D'!AJ$1:AJ$100,MATCH($A678,'Coverage Indicators - Section D'!$A$1:$A$100,0))&lt;&gt;"",FIXED(INDEX('Coverage Indicators - Section D'!AJ$1:AJ$100,MATCH($A678,'Coverage Indicators - Section D'!$A$1:$A$100,0))*100,2)&amp;"%",""),"")&amp;CHAR(10)&amp;IFERROR(IF(INDEX('Coverage Indicators - Section D'!AK$1:AK$100,MATCH($A678,'Coverage Indicators - Section D'!$A$1:$A$100,0))&lt;&gt;"",INDEX('Coverage Indicators - Section D'!AK$1:AK$100,MATCH($A678,'Coverage Indicators - Section D'!$A$1:$A$100,0)),""),"")</f>
        <v xml:space="preserve">
</v>
      </c>
      <c r="L691" s="86"/>
    </row>
    <row r="692" spans="1:12" ht="18.75" customHeight="1" x14ac:dyDescent="0.25">
      <c r="A692" s="667"/>
      <c r="B692" s="660" t="s">
        <v>176</v>
      </c>
      <c r="C692" s="661"/>
      <c r="D692" s="661"/>
      <c r="E692" s="661"/>
      <c r="F692" s="661"/>
      <c r="G692" s="661"/>
      <c r="H692" s="661"/>
      <c r="I692" s="661"/>
      <c r="J692" s="661"/>
      <c r="K692" s="662"/>
      <c r="L692" s="86"/>
    </row>
    <row r="693" spans="1:12" ht="18.75" customHeight="1" x14ac:dyDescent="0.25">
      <c r="A693" s="667"/>
      <c r="B693" s="669" t="str">
        <f>IFERROR(IF(INDEX('Coverage Indicators - Section D'!AL$1:AL$110,MATCH($A678,'Coverage Indicators - Section D'!$A$1:$A$110,0))&lt;&gt;0,INDEX('Coverage Indicators - Section D'!AL$1:AL$110,MATCH($A678,'Coverage Indicators - Section D'!$A$1:$A$110,0)),""),"")</f>
        <v/>
      </c>
      <c r="C693" s="670"/>
      <c r="D693" s="670"/>
      <c r="E693" s="670"/>
      <c r="F693" s="670"/>
      <c r="G693" s="670"/>
      <c r="H693" s="670"/>
      <c r="I693" s="670"/>
      <c r="J693" s="670"/>
      <c r="K693" s="671"/>
      <c r="L693" s="86"/>
    </row>
    <row r="694" spans="1:12" ht="18.75" customHeight="1" x14ac:dyDescent="0.25">
      <c r="A694" s="667"/>
      <c r="B694" s="672"/>
      <c r="C694" s="673"/>
      <c r="D694" s="673"/>
      <c r="E694" s="673"/>
      <c r="F694" s="673"/>
      <c r="G694" s="673"/>
      <c r="H694" s="673"/>
      <c r="I694" s="673"/>
      <c r="J694" s="673"/>
      <c r="K694" s="674"/>
      <c r="L694" s="86"/>
    </row>
    <row r="695" spans="1:12" ht="18.75" customHeight="1" x14ac:dyDescent="0.25">
      <c r="A695" s="667"/>
      <c r="B695" s="672"/>
      <c r="C695" s="673"/>
      <c r="D695" s="673"/>
      <c r="E695" s="673"/>
      <c r="F695" s="673"/>
      <c r="G695" s="673"/>
      <c r="H695" s="673"/>
      <c r="I695" s="673"/>
      <c r="J695" s="673"/>
      <c r="K695" s="674"/>
      <c r="L695" s="86"/>
    </row>
    <row r="696" spans="1:12" ht="18.75" customHeight="1" x14ac:dyDescent="0.25">
      <c r="A696" s="667"/>
      <c r="B696" s="672"/>
      <c r="C696" s="673"/>
      <c r="D696" s="673"/>
      <c r="E696" s="673"/>
      <c r="F696" s="673"/>
      <c r="G696" s="673"/>
      <c r="H696" s="673"/>
      <c r="I696" s="673"/>
      <c r="J696" s="673"/>
      <c r="K696" s="674"/>
      <c r="L696" s="86"/>
    </row>
    <row r="697" spans="1:12" ht="18.75" customHeight="1" x14ac:dyDescent="0.25">
      <c r="A697" s="667"/>
      <c r="B697" s="672"/>
      <c r="C697" s="673"/>
      <c r="D697" s="673"/>
      <c r="E697" s="673"/>
      <c r="F697" s="673"/>
      <c r="G697" s="673"/>
      <c r="H697" s="673"/>
      <c r="I697" s="673"/>
      <c r="J697" s="673"/>
      <c r="K697" s="674"/>
      <c r="L697" s="86"/>
    </row>
    <row r="698" spans="1:12" ht="18.75" customHeight="1" x14ac:dyDescent="0.25">
      <c r="A698" s="667"/>
      <c r="B698" s="672"/>
      <c r="C698" s="673"/>
      <c r="D698" s="673"/>
      <c r="E698" s="673"/>
      <c r="F698" s="673"/>
      <c r="G698" s="673"/>
      <c r="H698" s="673"/>
      <c r="I698" s="673"/>
      <c r="J698" s="673"/>
      <c r="K698" s="674"/>
      <c r="L698" s="86"/>
    </row>
    <row r="699" spans="1:12" ht="18.75" customHeight="1" x14ac:dyDescent="0.25">
      <c r="A699" s="667"/>
      <c r="B699" s="672"/>
      <c r="C699" s="673"/>
      <c r="D699" s="673"/>
      <c r="E699" s="673"/>
      <c r="F699" s="673"/>
      <c r="G699" s="673"/>
      <c r="H699" s="673"/>
      <c r="I699" s="673"/>
      <c r="J699" s="673"/>
      <c r="K699" s="674"/>
      <c r="L699" s="86"/>
    </row>
    <row r="700" spans="1:12" ht="18.75" customHeight="1" x14ac:dyDescent="0.25">
      <c r="A700" s="667"/>
      <c r="B700" s="672"/>
      <c r="C700" s="673"/>
      <c r="D700" s="673"/>
      <c r="E700" s="673"/>
      <c r="F700" s="673"/>
      <c r="G700" s="673"/>
      <c r="H700" s="673"/>
      <c r="I700" s="673"/>
      <c r="J700" s="673"/>
      <c r="K700" s="674"/>
      <c r="L700" s="86"/>
    </row>
    <row r="701" spans="1:12" ht="18.75" customHeight="1" x14ac:dyDescent="0.25">
      <c r="A701" s="667"/>
      <c r="B701" s="672"/>
      <c r="C701" s="673"/>
      <c r="D701" s="673"/>
      <c r="E701" s="673"/>
      <c r="F701" s="673"/>
      <c r="G701" s="673"/>
      <c r="H701" s="673"/>
      <c r="I701" s="673"/>
      <c r="J701" s="673"/>
      <c r="K701" s="674"/>
      <c r="L701" s="86"/>
    </row>
    <row r="702" spans="1:12" ht="18.75" customHeight="1" x14ac:dyDescent="0.25">
      <c r="A702" s="668"/>
      <c r="B702" s="675"/>
      <c r="C702" s="676"/>
      <c r="D702" s="676"/>
      <c r="E702" s="676"/>
      <c r="F702" s="676"/>
      <c r="G702" s="676"/>
      <c r="H702" s="676"/>
      <c r="I702" s="676"/>
      <c r="J702" s="676"/>
      <c r="K702" s="677"/>
      <c r="L702" s="86"/>
    </row>
    <row r="703" spans="1:12" ht="18.75" customHeight="1" x14ac:dyDescent="0.25">
      <c r="A703" s="660"/>
      <c r="B703" s="661"/>
      <c r="C703" s="661"/>
      <c r="D703" s="661"/>
      <c r="E703" s="661"/>
      <c r="F703" s="661"/>
      <c r="G703" s="661"/>
      <c r="H703" s="661"/>
      <c r="I703" s="661"/>
      <c r="J703" s="661"/>
      <c r="K703" s="662"/>
      <c r="L703" s="86"/>
    </row>
    <row r="705" spans="1:12" ht="18.75" customHeight="1" x14ac:dyDescent="0.25">
      <c r="A705" s="93" t="s">
        <v>4383</v>
      </c>
      <c r="B705" s="660" t="s">
        <v>1046</v>
      </c>
      <c r="C705" s="662"/>
      <c r="D705" s="663" t="str">
        <f>IFERROR(IF(INDEX('Coverage Indicators - Section D'!B$1:B$100,MATCH($A706,'Coverage Indicators - Section D'!$A$1:$A$100,0))&lt;&gt;0,INDEX('Coverage Indicators - Section D'!B$1:B$100,MATCH($A706,'Coverage Indicators - Section D'!$A$1:$A$100,0)),""),"")</f>
        <v/>
      </c>
      <c r="E705" s="664"/>
      <c r="F705" s="664"/>
      <c r="G705" s="664"/>
      <c r="H705" s="664"/>
      <c r="I705" s="664"/>
      <c r="J705" s="664"/>
      <c r="K705" s="665"/>
      <c r="L705" s="86"/>
    </row>
    <row r="706" spans="1:12" ht="18.75" customHeight="1" x14ac:dyDescent="0.25">
      <c r="A706" s="666">
        <v>26</v>
      </c>
      <c r="B706" s="660" t="s">
        <v>738</v>
      </c>
      <c r="C706" s="661"/>
      <c r="D706" s="661"/>
      <c r="E706" s="661"/>
      <c r="F706" s="662"/>
      <c r="G706" s="660" t="s">
        <v>739</v>
      </c>
      <c r="H706" s="661"/>
      <c r="I706" s="661"/>
      <c r="J706" s="661"/>
      <c r="K706" s="662"/>
      <c r="L706" s="86"/>
    </row>
    <row r="707" spans="1:12" ht="18.75" customHeight="1" x14ac:dyDescent="0.25">
      <c r="A707" s="667"/>
      <c r="B707" s="669" t="str">
        <f>IFERROR(IF(INDEX('Coverage Indicators - Section D'!C$1:C$100,MATCH($A706,'Coverage Indicators - Section D'!$A$1:$A$100,0))&lt;&gt;0,INDEX('Coverage Indicators - Section D'!C$1:C$100,MATCH($A706,'Coverage Indicators - Section D'!$A$1:$A$100,0)),""),"")</f>
        <v/>
      </c>
      <c r="C707" s="670"/>
      <c r="D707" s="670"/>
      <c r="E707" s="670"/>
      <c r="F707" s="671"/>
      <c r="G707" s="669" t="str">
        <f>IFERROR(IF(INDEX('Coverage Indicators - Section D'!D$1:D$100,MATCH($A706,'Coverage Indicators - Section D'!$A$1:$A$100,0))&lt;&gt;0,INDEX('Coverage Indicators - Section D'!D$1:D$100,MATCH($A706,'Coverage Indicators - Section D'!$A$1:$A$100,0)),""),"")</f>
        <v/>
      </c>
      <c r="H707" s="670"/>
      <c r="I707" s="670"/>
      <c r="J707" s="670"/>
      <c r="K707" s="671"/>
      <c r="L707" s="86"/>
    </row>
    <row r="708" spans="1:12" ht="18.75" customHeight="1" x14ac:dyDescent="0.25">
      <c r="A708" s="667"/>
      <c r="B708" s="672"/>
      <c r="C708" s="673"/>
      <c r="D708" s="673"/>
      <c r="E708" s="673"/>
      <c r="F708" s="674"/>
      <c r="G708" s="672"/>
      <c r="H708" s="673"/>
      <c r="I708" s="673"/>
      <c r="J708" s="673"/>
      <c r="K708" s="674"/>
      <c r="L708" s="86"/>
    </row>
    <row r="709" spans="1:12" ht="18.75" customHeight="1" x14ac:dyDescent="0.25">
      <c r="A709" s="667"/>
      <c r="B709" s="675"/>
      <c r="C709" s="676"/>
      <c r="D709" s="676"/>
      <c r="E709" s="676"/>
      <c r="F709" s="677"/>
      <c r="G709" s="675"/>
      <c r="H709" s="676"/>
      <c r="I709" s="676"/>
      <c r="J709" s="676"/>
      <c r="K709" s="677"/>
      <c r="L709" s="86"/>
    </row>
    <row r="710" spans="1:12" ht="18.75" customHeight="1" x14ac:dyDescent="0.25">
      <c r="A710" s="667"/>
      <c r="B710" s="660" t="s">
        <v>742</v>
      </c>
      <c r="C710" s="661"/>
      <c r="D710" s="662"/>
      <c r="E710" s="660" t="s">
        <v>216</v>
      </c>
      <c r="F710" s="661"/>
      <c r="G710" s="662"/>
      <c r="H710" s="660" t="s">
        <v>127</v>
      </c>
      <c r="I710" s="661"/>
      <c r="J710" s="662"/>
      <c r="K710" s="93" t="s">
        <v>2175</v>
      </c>
      <c r="L710" s="86"/>
    </row>
    <row r="711" spans="1:12" ht="18.75" customHeight="1" x14ac:dyDescent="0.25">
      <c r="A711" s="667"/>
      <c r="B711" s="663" t="str">
        <f>IFERROR(IF(INDEX('Coverage Indicators - Section D'!I$9:I$68,MATCH($A706,'Coverage Indicators - Section D'!$A$9:$A$68,0))&lt;&gt;0,INDEX('Coverage Indicators - Section D'!I$9:I$68,MATCH($A706,'Coverage Indicators - Section D'!$A$9:$A$68,0)),""),"")</f>
        <v/>
      </c>
      <c r="C711" s="664"/>
      <c r="D711" s="665"/>
      <c r="E711" s="663" t="str">
        <f>IFERROR(IF(INDEX('Coverage Indicators - Section D'!M$1:M$100,MATCH($A706,'Coverage Indicators - Section D'!$A$1:$A$100,0))&lt;&gt;0,INDEX('Coverage Indicators - Section D'!M$1:M$100,MATCH($A706,'Coverage Indicators - Section D'!$A$1:$A$100,0)),""),"")</f>
        <v/>
      </c>
      <c r="F711" s="664"/>
      <c r="G711" s="665"/>
      <c r="H711" s="663" t="str">
        <f>IFERROR(IF(INDEX('Coverage Indicators - Section D'!L$1:L$100,MATCH($A706,'Coverage Indicators - Section D'!$A$1:$A$100,0))&lt;&gt;0,INDEX('Coverage Indicators - Section D'!L$1:L$100,MATCH($A706,'Coverage Indicators - Section D'!$A$1:$A$100,0)),""),"")</f>
        <v/>
      </c>
      <c r="I711" s="664"/>
      <c r="J711" s="665"/>
      <c r="K711" s="94" t="str">
        <f>IFERROR(IF(INDEX('Coverage Indicators - Section D'!J$1:J$100,MATCH($A706,'Coverage Indicators - Section D'!$A$1:$A$100,0))&lt;&gt;0,INDEX('Coverage Indicators - Section D'!J$1:J$100,MATCH($A706,'Coverage Indicators - Section D'!$A$1:$A$100,0)),""),"")</f>
        <v/>
      </c>
      <c r="L711" s="86"/>
    </row>
    <row r="712" spans="1:12" ht="18.75" customHeight="1" x14ac:dyDescent="0.25">
      <c r="A712" s="667"/>
      <c r="B712" s="660" t="s">
        <v>199</v>
      </c>
      <c r="C712" s="661"/>
      <c r="D712" s="662"/>
      <c r="E712" s="660" t="s">
        <v>4392</v>
      </c>
      <c r="F712" s="661"/>
      <c r="G712" s="662"/>
      <c r="H712" s="660" t="s">
        <v>120</v>
      </c>
      <c r="I712" s="661"/>
      <c r="J712" s="661"/>
      <c r="K712" s="662"/>
      <c r="L712" s="86"/>
    </row>
    <row r="713" spans="1:12" ht="18.75" customHeight="1" x14ac:dyDescent="0.25">
      <c r="A713" s="667"/>
      <c r="B713" s="669" t="str">
        <f>IFERROR(IF(INDEX('Coverage Indicators - Section D'!H$1:H$100,MATCH($A706,'Coverage Indicators - Section D'!$A$1:$A$100,0))&lt;&gt;0,INDEX('Coverage Indicators - Section D'!H$1:H$100,MATCH($A706,'Coverage Indicators - Section D'!$A$1:$A$100,0)),""),"")</f>
        <v/>
      </c>
      <c r="C713" s="670"/>
      <c r="D713" s="671"/>
      <c r="E713" s="669" t="str">
        <f>IFERROR(IF(INDEX('Coverage Indicators - Section D'!L$1:L$100,MATCH($A706,'Coverage Indicators - Section D'!$A$1:$A$100,0)+1)&lt;&gt;0,INDEX('Coverage Indicators - Section D'!L$1:L$100,MATCH($A706,'Coverage Indicators - Section D'!$A$1:$A$100,0)+1),""),"")</f>
        <v/>
      </c>
      <c r="F713" s="670"/>
      <c r="G713" s="671"/>
      <c r="H713" s="669" t="str">
        <f>IFERROR(IF(AND('Overview - Section A'!AS$1="Grant Making",OR(B707&lt;&gt;"",G707&lt;&gt;"")),Setup!I715,IF(INDEX('Coverage Indicators - Section D'!K$1:K$100,MATCH($A706,'Coverage Indicators - Section D'!$A$1:$A$100,0))&lt;&gt;0,INDEX('Coverage Indicators - Section D'!K$1:K$100,MATCH($A706,'Coverage Indicators - Section D'!$A$1:$A$100,0)),"")),"")</f>
        <v/>
      </c>
      <c r="I713" s="670"/>
      <c r="J713" s="670"/>
      <c r="K713" s="671"/>
      <c r="L713" s="86"/>
    </row>
    <row r="714" spans="1:12" ht="18.75" customHeight="1" x14ac:dyDescent="0.25">
      <c r="A714" s="667"/>
      <c r="B714" s="675"/>
      <c r="C714" s="676"/>
      <c r="D714" s="677"/>
      <c r="E714" s="675"/>
      <c r="F714" s="676"/>
      <c r="G714" s="677"/>
      <c r="H714" s="675"/>
      <c r="I714" s="676"/>
      <c r="J714" s="676"/>
      <c r="K714" s="677"/>
      <c r="L714" s="86"/>
    </row>
    <row r="715" spans="1:12" ht="18.75" customHeight="1" x14ac:dyDescent="0.25">
      <c r="A715" s="667"/>
      <c r="B715" s="93"/>
      <c r="C715" s="93" t="s">
        <v>4384</v>
      </c>
      <c r="D715" s="660" t="s">
        <v>4385</v>
      </c>
      <c r="E715" s="661"/>
      <c r="F715" s="661"/>
      <c r="G715" s="661"/>
      <c r="H715" s="661"/>
      <c r="I715" s="661"/>
      <c r="J715" s="661"/>
      <c r="K715" s="662"/>
      <c r="L715" s="86"/>
    </row>
    <row r="716" spans="1:12" ht="18.75" customHeight="1" x14ac:dyDescent="0.25">
      <c r="A716" s="667"/>
      <c r="B716" s="93" t="s">
        <v>2559</v>
      </c>
      <c r="C716" s="94" t="str">
        <f>IFERROR(IF(INDEX('Coverage Indicators - Section D'!G$1:G$100,MATCH($A706,'Coverage Indicators - Section D'!$A$1:$A$100,0))&lt;&gt;0,INDEX('Coverage Indicators - Section D'!G$1:G$100,MATCH($A706,'Coverage Indicators - Section D'!$A$1:$A$100,0)),""),"")</f>
        <v/>
      </c>
      <c r="D716"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716"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716"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716"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716"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716"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716"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716"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716" s="86"/>
    </row>
    <row r="717" spans="1:12" s="97" customFormat="1" ht="18.75" customHeight="1" x14ac:dyDescent="0.25">
      <c r="A717" s="667"/>
      <c r="B717" s="93" t="s">
        <v>4386</v>
      </c>
      <c r="C717" s="95" t="str">
        <f>IFERROR(IF(INDEX('Coverage Indicators - Section D'!E$1:E$100,MATCH($A706,'Coverage Indicators - Section D'!$A$1:$A$100,0))&lt;&gt;"",INDEX('Coverage Indicators - Section D'!E$1:E$100,MATCH($A706,'Coverage Indicators - Section D'!$A$1:$A$100,0)),""),"")</f>
        <v/>
      </c>
      <c r="D717" s="95" t="str">
        <f>IFERROR(IF(INDEX('Coverage Indicators - Section D'!N$1:N$100,MATCH($A706,'Coverage Indicators - Section D'!$A$1:$A$100,0))&lt;&gt;"",INDEX('Coverage Indicators - Section D'!N$1:N$100,MATCH($A706,'Coverage Indicators - Section D'!$A$1:$A$100,0)),""),"")</f>
        <v/>
      </c>
      <c r="E717" s="95" t="str">
        <f>IFERROR(IF(INDEX('Coverage Indicators - Section D'!Q$1:Q$100,MATCH($A706,'Coverage Indicators - Section D'!$A$1:$A$100,0))&lt;&gt;"",INDEX('Coverage Indicators - Section D'!Q$1:Q$100,MATCH($A706,'Coverage Indicators - Section D'!$A$1:$A$100,0)),""),"")</f>
        <v/>
      </c>
      <c r="F717" s="95" t="str">
        <f>IFERROR(IF(INDEX('Coverage Indicators - Section D'!T$1:T$100,MATCH($A706,'Coverage Indicators - Section D'!$A$1:$A$100,0))&lt;&gt;"",INDEX('Coverage Indicators - Section D'!T$1:T$100,MATCH($A706,'Coverage Indicators - Section D'!$A$1:$A$100,0)),""),"")</f>
        <v/>
      </c>
      <c r="G717" s="95" t="str">
        <f>IFERROR(IF(INDEX('Coverage Indicators - Section D'!W$1:W$100,MATCH($A706,'Coverage Indicators - Section D'!$A$1:$A$100,0))&lt;&gt;"",INDEX('Coverage Indicators - Section D'!W$1:W$100,MATCH($A706,'Coverage Indicators - Section D'!$A$1:$A$100,0)),""),"")</f>
        <v/>
      </c>
      <c r="H717" s="95" t="str">
        <f>IFERROR(IF(INDEX('Coverage Indicators - Section D'!Z$1:Z$100,MATCH($A706,'Coverage Indicators - Section D'!$A$1:$A$100,0))&lt;&gt;"",INDEX('Coverage Indicators - Section D'!Z$1:Z$100,MATCH($A706,'Coverage Indicators - Section D'!$A$1:$A$100,0)),""),"")</f>
        <v/>
      </c>
      <c r="I717" s="95" t="str">
        <f>IFERROR(IF(INDEX('Coverage Indicators - Section D'!AC$1:AC$100,MATCH($A706,'Coverage Indicators - Section D'!$A$1:$A$100,0))&lt;&gt;"",INDEX('Coverage Indicators - Section D'!AC$1:AC$100,MATCH($A706,'Coverage Indicators - Section D'!$A$1:$A$100,0)),""),"")</f>
        <v/>
      </c>
      <c r="J717" s="95" t="str">
        <f>IFERROR(IF(INDEX('Coverage Indicators - Section D'!AF$1:AF$100,MATCH($A706,'Coverage Indicators - Section D'!$A$1:$A$100,0))&lt;&gt;"",INDEX('Coverage Indicators - Section D'!AF$1:AF$100,MATCH($A706,'Coverage Indicators - Section D'!$A$1:$A$100,0)),""),"")</f>
        <v/>
      </c>
      <c r="K717" s="95" t="str">
        <f>IFERROR(IF(INDEX('Coverage Indicators - Section D'!AI$1:AI$100,MATCH($A706,'Coverage Indicators - Section D'!$A$1:$A$100,0))&lt;&gt;"",INDEX('Coverage Indicators - Section D'!AI$1:AI$100,MATCH($A706,'Coverage Indicators - Section D'!$A$1:$A$100,0)),""),"")</f>
        <v/>
      </c>
      <c r="L717" s="96"/>
    </row>
    <row r="718" spans="1:12" s="100" customFormat="1" ht="18.75" customHeight="1" x14ac:dyDescent="0.25">
      <c r="A718" s="667"/>
      <c r="B718" s="93" t="s">
        <v>4387</v>
      </c>
      <c r="C718" s="98" t="str">
        <f>IFERROR(IF(INDEX('Coverage Indicators - Section D'!E$1:E$100,MATCH($A706,'Coverage Indicators - Section D'!$A$1:$A$100,0)+1)&lt;&gt;"",INDEX('Coverage Indicators - Section D'!E$1:E$100,MATCH($A706,'Coverage Indicators - Section D'!$A$1:$A$100,0)+1),""),"")</f>
        <v/>
      </c>
      <c r="D718" s="98" t="str">
        <f>IFERROR(IF(INDEX('Coverage Indicators - Section D'!N$1:N$100,MATCH($A706,'Coverage Indicators - Section D'!$A$1:$A$100,0)+1)&lt;&gt;"",INDEX('Coverage Indicators - Section D'!N$1:N$100,MATCH($A706,'Coverage Indicators - Section D'!$A$1:$A$100,0)+1),""),"")</f>
        <v/>
      </c>
      <c r="E718" s="98" t="str">
        <f>IFERROR(IF(INDEX('Coverage Indicators - Section D'!Q$1:Q$100,MATCH($A706,'Coverage Indicators - Section D'!$A$1:$A$100,0)+1)&lt;&gt;"",INDEX('Coverage Indicators - Section D'!Q$1:Q$100,MATCH($A706,'Coverage Indicators - Section D'!$A$1:$A$100,0)+1),""),"")</f>
        <v/>
      </c>
      <c r="F718" s="98" t="str">
        <f>IFERROR(IF(INDEX('Coverage Indicators - Section D'!T$1:T$100,MATCH($A706,'Coverage Indicators - Section D'!$A$1:$A$100,0)+1)&lt;&gt;"",INDEX('Coverage Indicators - Section D'!T$1:T$100,MATCH($A706,'Coverage Indicators - Section D'!$A$1:$A$100,0)+1),""),"")</f>
        <v/>
      </c>
      <c r="G718" s="98" t="str">
        <f>IFERROR(IF(INDEX('Coverage Indicators - Section D'!W$1:W$100,MATCH($A706,'Coverage Indicators - Section D'!$A$1:$A$100,0)+1)&lt;&gt;"",INDEX('Coverage Indicators - Section D'!W$1:W$100,MATCH($A706,'Coverage Indicators - Section D'!$A$1:$A$100,0)+1),""),"")</f>
        <v/>
      </c>
      <c r="H718" s="98" t="str">
        <f>IFERROR(IF(INDEX('Coverage Indicators - Section D'!Z$1:Z$100,MATCH($A706,'Coverage Indicators - Section D'!$A$1:$A$100,0)+1)&lt;&gt;"",INDEX('Coverage Indicators - Section D'!Z$1:Z$100,MATCH($A706,'Coverage Indicators - Section D'!$A$1:$A$100,0)+1),""),"")</f>
        <v/>
      </c>
      <c r="I718" s="98" t="str">
        <f>IFERROR(IF(INDEX('Coverage Indicators - Section D'!AC$1:AC$100,MATCH($A706,'Coverage Indicators - Section D'!$A$1:$A$100,0)+1)&lt;&gt;"",INDEX('Coverage Indicators - Section D'!AC$1:AC$100,MATCH($A706,'Coverage Indicators - Section D'!$A$1:$A$100,0)+1),""),"")</f>
        <v/>
      </c>
      <c r="J718" s="98" t="str">
        <f>IFERROR(IF(INDEX('Coverage Indicators - Section D'!AF$1:AF$100,MATCH($A706,'Coverage Indicators - Section D'!$A$1:$A$100,0)+1)&lt;&gt;"",INDEX('Coverage Indicators - Section D'!AF$1:AF$100,MATCH($A706,'Coverage Indicators - Section D'!$A$1:$A$100,0)+1),""),"")</f>
        <v/>
      </c>
      <c r="K718" s="98" t="str">
        <f>IFERROR(IF(INDEX('Coverage Indicators - Section D'!AI$1:AI$100,MATCH($A706,'Coverage Indicators - Section D'!$A$1:$A$100,0)+1)&lt;&gt;"",INDEX('Coverage Indicators - Section D'!AI$1:AI$100,MATCH($A706,'Coverage Indicators - Section D'!$A$1:$A$100,0)+1),""),"")</f>
        <v/>
      </c>
      <c r="L718" s="99"/>
    </row>
    <row r="719" spans="1:12" ht="18.75" customHeight="1" x14ac:dyDescent="0.25">
      <c r="A719" s="667"/>
      <c r="B719" s="93" t="s">
        <v>4388</v>
      </c>
      <c r="C719" s="94" t="str">
        <f ca="1">IFERROR(IF(INDEX('Coverage Indicators - Section D'!F$1:F$100,MATCH($A706,'Coverage Indicators - Section D'!$A$1:$A$100,0))&lt;&gt;"",FIXED(INDEX('Coverage Indicators - Section D'!F$1:F$100,MATCH($A706,'Coverage Indicators - Section D'!$A$1:$A$100,0))*100,2)&amp;"%",""),"")</f>
        <v/>
      </c>
      <c r="D719" s="94" t="str">
        <f ca="1">IFERROR(IF(INDEX('Coverage Indicators - Section D'!O$1:O$100,MATCH($A706,'Coverage Indicators - Section D'!$A$1:$A$100,0))&lt;&gt;"",FIXED(INDEX('Coverage Indicators - Section D'!O$1:O$100,MATCH($A706,'Coverage Indicators - Section D'!$A$1:$A$100,0))*100,2)&amp;"%",""),"")&amp;CHAR(10)&amp;IFERROR(IF(INDEX('Coverage Indicators - Section D'!P$1:P$100,MATCH($A706,'Coverage Indicators - Section D'!$A$1:$A$100,0))&lt;&gt;"",INDEX('Coverage Indicators - Section D'!P$1:P$100,MATCH($A706,'Coverage Indicators - Section D'!$A$1:$A$100,0)),""),"")</f>
        <v xml:space="preserve">
</v>
      </c>
      <c r="E719" s="94" t="str">
        <f ca="1">IFERROR(IF(INDEX('Coverage Indicators - Section D'!R$1:R$100,MATCH($A706,'Coverage Indicators - Section D'!$A$1:$A$100,0))&lt;&gt;"",FIXED(INDEX('Coverage Indicators - Section D'!R$1:R$100,MATCH($A706,'Coverage Indicators - Section D'!$A$1:$A$100,0))*100,2)&amp;"%",""),"")&amp;CHAR(10)&amp;IFERROR(IF(INDEX('Coverage Indicators - Section D'!S$1:S$100,MATCH($A706,'Coverage Indicators - Section D'!$A$1:$A$100,0))&lt;&gt;"",INDEX('Coverage Indicators - Section D'!S$1:S$100,MATCH($A706,'Coverage Indicators - Section D'!$A$1:$A$100,0)),""),"")</f>
        <v xml:space="preserve">
</v>
      </c>
      <c r="F719" s="94" t="str">
        <f ca="1">IFERROR(IF(INDEX('Coverage Indicators - Section D'!U$1:U$100,MATCH($A706,'Coverage Indicators - Section D'!$A$1:$A$100,0))&lt;&gt;"",FIXED(INDEX('Coverage Indicators - Section D'!U$1:U$100,MATCH($A706,'Coverage Indicators - Section D'!$A$1:$A$100,0))*100,2)&amp;"%",""),"")&amp;CHAR(10)&amp;IFERROR(IF(INDEX('Coverage Indicators - Section D'!V$1:V$100,MATCH($A706,'Coverage Indicators - Section D'!$A$1:$A$100,0))&lt;&gt;"",INDEX('Coverage Indicators - Section D'!V$1:V$100,MATCH($A706,'Coverage Indicators - Section D'!$A$1:$A$100,0)),""),"")</f>
        <v xml:space="preserve">
</v>
      </c>
      <c r="G719" s="94" t="str">
        <f ca="1">IFERROR(IF(INDEX('Coverage Indicators - Section D'!X$1:X$100,MATCH($A706,'Coverage Indicators - Section D'!$A$1:$A$100,0))&lt;&gt;"",FIXED(INDEX('Coverage Indicators - Section D'!X$1:X$100,MATCH($A706,'Coverage Indicators - Section D'!$A$1:$A$100,0))*100,2)&amp;"%",""),"")&amp;CHAR(10)&amp;IFERROR(IF(INDEX('Coverage Indicators - Section D'!Y$1:Y$100,MATCH($A706,'Coverage Indicators - Section D'!$A$1:$A$100,0))&lt;&gt;"",INDEX('Coverage Indicators - Section D'!Y$1:Y$100,MATCH($A706,'Coverage Indicators - Section D'!$A$1:$A$100,0)),""),"")</f>
        <v xml:space="preserve">
</v>
      </c>
      <c r="H719" s="94" t="str">
        <f ca="1">IFERROR(IF(INDEX('Coverage Indicators - Section D'!AA$1:AA$100,MATCH(A706,'Coverage Indicators - Section D'!$A$1:$A$100,0))&lt;&gt;"",FIXED(INDEX('Coverage Indicators - Section D'!AA$1:AA$100,MATCH($A706,'Coverage Indicators - Section D'!$A$1:$A$100,0))*100,2)&amp;"%",""),"")&amp;CHAR(10)&amp;IFERROR(IF(INDEX('Coverage Indicators - Section D'!AB$1:AB$100,MATCH($A706,'Coverage Indicators - Section D'!$A$1:$A$100,0))&lt;&gt;"",INDEX('Coverage Indicators - Section D'!AB$1:AB$100,MATCH($A706,'Coverage Indicators - Section D'!$A$1:$A$100,0)),""),"")</f>
        <v xml:space="preserve">
</v>
      </c>
      <c r="I719" s="94" t="str">
        <f ca="1">IFERROR(IF(INDEX('Coverage Indicators - Section D'!AD$1:AD$100,MATCH($A706,'Coverage Indicators - Section D'!$A$1:$A$100,0))&lt;&gt;"",FIXED(INDEX('Coverage Indicators - Section D'!AD$1:AD$100,MATCH($A706,'Coverage Indicators - Section D'!$A$1:$A$100,0))*100,2)&amp;"%",""),"")&amp;CHAR(10)&amp;IFERROR(IF(INDEX('Coverage Indicators - Section D'!AE$1:AE$100,MATCH($A706,'Coverage Indicators - Section D'!$A$1:$A$100,0))&lt;&gt;"",INDEX('Coverage Indicators - Section D'!AE$1:AE$100,MATCH($A706,'Coverage Indicators - Section D'!$A$1:$A$100,0)),""),"")</f>
        <v xml:space="preserve">
</v>
      </c>
      <c r="J719" s="94" t="str">
        <f ca="1">IFERROR(IF(INDEX('Coverage Indicators - Section D'!AG$1:AG$100,MATCH($A706,'Coverage Indicators - Section D'!$A$1:$A$100,0))&lt;&gt;"",FIXED(INDEX('Coverage Indicators - Section D'!AG$1:AG$100,MATCH($A706,'Coverage Indicators - Section D'!$A$1:$A$100,0))*100,2)&amp;"%",""),"")&amp;CHAR(10)&amp;IFERROR(IF(INDEX('Coverage Indicators - Section D'!AH$1:AH$100,MATCH($A706,'Coverage Indicators - Section D'!$A$1:$A$100,0))&lt;&gt;"",INDEX('Coverage Indicators - Section D'!AH$1:AH$100,MATCH($A706,'Coverage Indicators - Section D'!$A$1:$A$100,0)),""),"")</f>
        <v xml:space="preserve">
</v>
      </c>
      <c r="K719" s="94" t="str">
        <f ca="1">IFERROR(IF(INDEX('Coverage Indicators - Section D'!AJ$1:AJ$100,MATCH($A706,'Coverage Indicators - Section D'!$A$1:$A$100,0))&lt;&gt;"",FIXED(INDEX('Coverage Indicators - Section D'!AJ$1:AJ$100,MATCH($A706,'Coverage Indicators - Section D'!$A$1:$A$100,0))*100,2)&amp;"%",""),"")&amp;CHAR(10)&amp;IFERROR(IF(INDEX('Coverage Indicators - Section D'!AK$1:AK$100,MATCH($A706,'Coverage Indicators - Section D'!$A$1:$A$100,0))&lt;&gt;"",INDEX('Coverage Indicators - Section D'!AK$1:AK$100,MATCH($A706,'Coverage Indicators - Section D'!$A$1:$A$100,0)),""),"")</f>
        <v xml:space="preserve">
</v>
      </c>
      <c r="L719" s="86"/>
    </row>
    <row r="720" spans="1:12" ht="18.75" customHeight="1" x14ac:dyDescent="0.25">
      <c r="A720" s="667"/>
      <c r="B720" s="660" t="s">
        <v>176</v>
      </c>
      <c r="C720" s="661"/>
      <c r="D720" s="661"/>
      <c r="E720" s="661"/>
      <c r="F720" s="661"/>
      <c r="G720" s="661"/>
      <c r="H720" s="661"/>
      <c r="I720" s="661"/>
      <c r="J720" s="661"/>
      <c r="K720" s="662"/>
      <c r="L720" s="86"/>
    </row>
    <row r="721" spans="1:12" ht="18.75" customHeight="1" x14ac:dyDescent="0.25">
      <c r="A721" s="667"/>
      <c r="B721" s="669" t="str">
        <f>IFERROR(IF(INDEX('Coverage Indicators - Section D'!AL$1:AL$110,MATCH($A706,'Coverage Indicators - Section D'!$A$1:$A$110,0))&lt;&gt;0,INDEX('Coverage Indicators - Section D'!AL$1:AL$110,MATCH($A706,'Coverage Indicators - Section D'!$A$1:$A$110,0)),""),"")</f>
        <v/>
      </c>
      <c r="C721" s="670"/>
      <c r="D721" s="670"/>
      <c r="E721" s="670"/>
      <c r="F721" s="670"/>
      <c r="G721" s="670"/>
      <c r="H721" s="670"/>
      <c r="I721" s="670"/>
      <c r="J721" s="670"/>
      <c r="K721" s="671"/>
      <c r="L721" s="86"/>
    </row>
    <row r="722" spans="1:12" ht="18.75" customHeight="1" x14ac:dyDescent="0.25">
      <c r="A722" s="667"/>
      <c r="B722" s="672"/>
      <c r="C722" s="673"/>
      <c r="D722" s="673"/>
      <c r="E722" s="673"/>
      <c r="F722" s="673"/>
      <c r="G722" s="673"/>
      <c r="H722" s="673"/>
      <c r="I722" s="673"/>
      <c r="J722" s="673"/>
      <c r="K722" s="674"/>
      <c r="L722" s="86"/>
    </row>
    <row r="723" spans="1:12" ht="18.75" customHeight="1" x14ac:dyDescent="0.25">
      <c r="A723" s="667"/>
      <c r="B723" s="672"/>
      <c r="C723" s="673"/>
      <c r="D723" s="673"/>
      <c r="E723" s="673"/>
      <c r="F723" s="673"/>
      <c r="G723" s="673"/>
      <c r="H723" s="673"/>
      <c r="I723" s="673"/>
      <c r="J723" s="673"/>
      <c r="K723" s="674"/>
      <c r="L723" s="86"/>
    </row>
    <row r="724" spans="1:12" ht="18.75" customHeight="1" x14ac:dyDescent="0.25">
      <c r="A724" s="667"/>
      <c r="B724" s="672"/>
      <c r="C724" s="673"/>
      <c r="D724" s="673"/>
      <c r="E724" s="673"/>
      <c r="F724" s="673"/>
      <c r="G724" s="673"/>
      <c r="H724" s="673"/>
      <c r="I724" s="673"/>
      <c r="J724" s="673"/>
      <c r="K724" s="674"/>
      <c r="L724" s="86"/>
    </row>
    <row r="725" spans="1:12" ht="18.75" customHeight="1" x14ac:dyDescent="0.25">
      <c r="A725" s="667"/>
      <c r="B725" s="672"/>
      <c r="C725" s="673"/>
      <c r="D725" s="673"/>
      <c r="E725" s="673"/>
      <c r="F725" s="673"/>
      <c r="G725" s="673"/>
      <c r="H725" s="673"/>
      <c r="I725" s="673"/>
      <c r="J725" s="673"/>
      <c r="K725" s="674"/>
      <c r="L725" s="86"/>
    </row>
    <row r="726" spans="1:12" ht="18.75" customHeight="1" x14ac:dyDescent="0.25">
      <c r="A726" s="667"/>
      <c r="B726" s="672"/>
      <c r="C726" s="673"/>
      <c r="D726" s="673"/>
      <c r="E726" s="673"/>
      <c r="F726" s="673"/>
      <c r="G726" s="673"/>
      <c r="H726" s="673"/>
      <c r="I726" s="673"/>
      <c r="J726" s="673"/>
      <c r="K726" s="674"/>
      <c r="L726" s="86"/>
    </row>
    <row r="727" spans="1:12" ht="18.75" customHeight="1" x14ac:dyDescent="0.25">
      <c r="A727" s="667"/>
      <c r="B727" s="672"/>
      <c r="C727" s="673"/>
      <c r="D727" s="673"/>
      <c r="E727" s="673"/>
      <c r="F727" s="673"/>
      <c r="G727" s="673"/>
      <c r="H727" s="673"/>
      <c r="I727" s="673"/>
      <c r="J727" s="673"/>
      <c r="K727" s="674"/>
      <c r="L727" s="86"/>
    </row>
    <row r="728" spans="1:12" ht="18.75" customHeight="1" x14ac:dyDescent="0.25">
      <c r="A728" s="667"/>
      <c r="B728" s="672"/>
      <c r="C728" s="673"/>
      <c r="D728" s="673"/>
      <c r="E728" s="673"/>
      <c r="F728" s="673"/>
      <c r="G728" s="673"/>
      <c r="H728" s="673"/>
      <c r="I728" s="673"/>
      <c r="J728" s="673"/>
      <c r="K728" s="674"/>
      <c r="L728" s="86"/>
    </row>
    <row r="729" spans="1:12" ht="18.75" customHeight="1" x14ac:dyDescent="0.25">
      <c r="A729" s="667"/>
      <c r="B729" s="672"/>
      <c r="C729" s="673"/>
      <c r="D729" s="673"/>
      <c r="E729" s="673"/>
      <c r="F729" s="673"/>
      <c r="G729" s="673"/>
      <c r="H729" s="673"/>
      <c r="I729" s="673"/>
      <c r="J729" s="673"/>
      <c r="K729" s="674"/>
      <c r="L729" s="86"/>
    </row>
    <row r="730" spans="1:12" ht="18.75" customHeight="1" x14ac:dyDescent="0.25">
      <c r="A730" s="668"/>
      <c r="B730" s="675"/>
      <c r="C730" s="676"/>
      <c r="D730" s="676"/>
      <c r="E730" s="676"/>
      <c r="F730" s="676"/>
      <c r="G730" s="676"/>
      <c r="H730" s="676"/>
      <c r="I730" s="676"/>
      <c r="J730" s="676"/>
      <c r="K730" s="677"/>
      <c r="L730" s="86"/>
    </row>
    <row r="731" spans="1:12" ht="18.75" customHeight="1" x14ac:dyDescent="0.25">
      <c r="A731" s="660"/>
      <c r="B731" s="661"/>
      <c r="C731" s="661"/>
      <c r="D731" s="661"/>
      <c r="E731" s="661"/>
      <c r="F731" s="661"/>
      <c r="G731" s="661"/>
      <c r="H731" s="661"/>
      <c r="I731" s="661"/>
      <c r="J731" s="661"/>
      <c r="K731" s="662"/>
      <c r="L731" s="86"/>
    </row>
    <row r="733" spans="1:12" ht="18.75" customHeight="1" x14ac:dyDescent="0.25">
      <c r="A733" s="93" t="s">
        <v>4383</v>
      </c>
      <c r="B733" s="660" t="s">
        <v>1046</v>
      </c>
      <c r="C733" s="662"/>
      <c r="D733" s="663" t="str">
        <f>IFERROR(IF(INDEX('Coverage Indicators - Section D'!B$1:B$100,MATCH($A734,'Coverage Indicators - Section D'!$A$1:$A$100,0))&lt;&gt;0,INDEX('Coverage Indicators - Section D'!B$1:B$100,MATCH($A734,'Coverage Indicators - Section D'!$A$1:$A$100,0)),""),"")</f>
        <v/>
      </c>
      <c r="E733" s="664"/>
      <c r="F733" s="664"/>
      <c r="G733" s="664"/>
      <c r="H733" s="664"/>
      <c r="I733" s="664"/>
      <c r="J733" s="664"/>
      <c r="K733" s="665"/>
      <c r="L733" s="86"/>
    </row>
    <row r="734" spans="1:12" ht="18.75" customHeight="1" x14ac:dyDescent="0.25">
      <c r="A734" s="666">
        <v>27</v>
      </c>
      <c r="B734" s="660" t="s">
        <v>738</v>
      </c>
      <c r="C734" s="661"/>
      <c r="D734" s="661"/>
      <c r="E734" s="661"/>
      <c r="F734" s="662"/>
      <c r="G734" s="660" t="s">
        <v>739</v>
      </c>
      <c r="H734" s="661"/>
      <c r="I734" s="661"/>
      <c r="J734" s="661"/>
      <c r="K734" s="662"/>
      <c r="L734" s="86"/>
    </row>
    <row r="735" spans="1:12" ht="18.75" customHeight="1" x14ac:dyDescent="0.25">
      <c r="A735" s="667"/>
      <c r="B735" s="669" t="str">
        <f>IFERROR(IF(INDEX('Coverage Indicators - Section D'!C$1:C$100,MATCH($A734,'Coverage Indicators - Section D'!$A$1:$A$100,0))&lt;&gt;0,INDEX('Coverage Indicators - Section D'!C$1:C$100,MATCH($A734,'Coverage Indicators - Section D'!$A$1:$A$100,0)),""),"")</f>
        <v/>
      </c>
      <c r="C735" s="670"/>
      <c r="D735" s="670"/>
      <c r="E735" s="670"/>
      <c r="F735" s="671"/>
      <c r="G735" s="669" t="str">
        <f>IFERROR(IF(INDEX('Coverage Indicators - Section D'!D$1:D$100,MATCH($A734,'Coverage Indicators - Section D'!$A$1:$A$100,0))&lt;&gt;0,INDEX('Coverage Indicators - Section D'!D$1:D$100,MATCH($A734,'Coverage Indicators - Section D'!$A$1:$A$100,0)),""),"")</f>
        <v/>
      </c>
      <c r="H735" s="670"/>
      <c r="I735" s="670"/>
      <c r="J735" s="670"/>
      <c r="K735" s="671"/>
      <c r="L735" s="86"/>
    </row>
    <row r="736" spans="1:12" ht="18.75" customHeight="1" x14ac:dyDescent="0.25">
      <c r="A736" s="667"/>
      <c r="B736" s="672"/>
      <c r="C736" s="673"/>
      <c r="D736" s="673"/>
      <c r="E736" s="673"/>
      <c r="F736" s="674"/>
      <c r="G736" s="672"/>
      <c r="H736" s="673"/>
      <c r="I736" s="673"/>
      <c r="J736" s="673"/>
      <c r="K736" s="674"/>
      <c r="L736" s="86"/>
    </row>
    <row r="737" spans="1:12" ht="18.75" customHeight="1" x14ac:dyDescent="0.25">
      <c r="A737" s="667"/>
      <c r="B737" s="675"/>
      <c r="C737" s="676"/>
      <c r="D737" s="676"/>
      <c r="E737" s="676"/>
      <c r="F737" s="677"/>
      <c r="G737" s="675"/>
      <c r="H737" s="676"/>
      <c r="I737" s="676"/>
      <c r="J737" s="676"/>
      <c r="K737" s="677"/>
      <c r="L737" s="86"/>
    </row>
    <row r="738" spans="1:12" ht="18.75" customHeight="1" x14ac:dyDescent="0.25">
      <c r="A738" s="667"/>
      <c r="B738" s="660" t="s">
        <v>742</v>
      </c>
      <c r="C738" s="661"/>
      <c r="D738" s="662"/>
      <c r="E738" s="660" t="s">
        <v>216</v>
      </c>
      <c r="F738" s="661"/>
      <c r="G738" s="662"/>
      <c r="H738" s="660" t="s">
        <v>127</v>
      </c>
      <c r="I738" s="661"/>
      <c r="J738" s="662"/>
      <c r="K738" s="93" t="s">
        <v>2175</v>
      </c>
      <c r="L738" s="86"/>
    </row>
    <row r="739" spans="1:12" ht="18.75" customHeight="1" x14ac:dyDescent="0.25">
      <c r="A739" s="667"/>
      <c r="B739" s="663" t="str">
        <f>IFERROR(IF(INDEX('Coverage Indicators - Section D'!I$9:I$68,MATCH($A734,'Coverage Indicators - Section D'!$A$9:$A$68,0))&lt;&gt;0,INDEX('Coverage Indicators - Section D'!I$9:I$68,MATCH($A734,'Coverage Indicators - Section D'!$A$9:$A$68,0)),""),"")</f>
        <v/>
      </c>
      <c r="C739" s="664"/>
      <c r="D739" s="665"/>
      <c r="E739" s="663" t="str">
        <f>IFERROR(IF(INDEX('Coverage Indicators - Section D'!M$1:M$100,MATCH($A734,'Coverage Indicators - Section D'!$A$1:$A$100,0))&lt;&gt;0,INDEX('Coverage Indicators - Section D'!M$1:M$100,MATCH($A734,'Coverage Indicators - Section D'!$A$1:$A$100,0)),""),"")</f>
        <v/>
      </c>
      <c r="F739" s="664"/>
      <c r="G739" s="665"/>
      <c r="H739" s="663" t="str">
        <f>IFERROR(IF(INDEX('Coverage Indicators - Section D'!L$1:L$100,MATCH($A734,'Coverage Indicators - Section D'!$A$1:$A$100,0))&lt;&gt;0,INDEX('Coverage Indicators - Section D'!L$1:L$100,MATCH($A734,'Coverage Indicators - Section D'!$A$1:$A$100,0)),""),"")</f>
        <v/>
      </c>
      <c r="I739" s="664"/>
      <c r="J739" s="665"/>
      <c r="K739" s="94" t="str">
        <f>IFERROR(IF(INDEX('Coverage Indicators - Section D'!J$1:J$100,MATCH($A734,'Coverage Indicators - Section D'!$A$1:$A$100,0))&lt;&gt;0,INDEX('Coverage Indicators - Section D'!J$1:J$100,MATCH($A734,'Coverage Indicators - Section D'!$A$1:$A$100,0)),""),"")</f>
        <v/>
      </c>
      <c r="L739" s="86"/>
    </row>
    <row r="740" spans="1:12" ht="18.75" customHeight="1" x14ac:dyDescent="0.25">
      <c r="A740" s="667"/>
      <c r="B740" s="660" t="s">
        <v>199</v>
      </c>
      <c r="C740" s="661"/>
      <c r="D740" s="662"/>
      <c r="E740" s="660" t="s">
        <v>4392</v>
      </c>
      <c r="F740" s="661"/>
      <c r="G740" s="662"/>
      <c r="H740" s="660" t="s">
        <v>120</v>
      </c>
      <c r="I740" s="661"/>
      <c r="J740" s="661"/>
      <c r="K740" s="662"/>
      <c r="L740" s="86"/>
    </row>
    <row r="741" spans="1:12" ht="18.75" customHeight="1" x14ac:dyDescent="0.25">
      <c r="A741" s="667"/>
      <c r="B741" s="669" t="str">
        <f>IFERROR(IF(INDEX('Coverage Indicators - Section D'!H$1:H$100,MATCH($A734,'Coverage Indicators - Section D'!$A$1:$A$100,0))&lt;&gt;0,INDEX('Coverage Indicators - Section D'!H$1:H$100,MATCH($A734,'Coverage Indicators - Section D'!$A$1:$A$100,0)),""),"")</f>
        <v/>
      </c>
      <c r="C741" s="670"/>
      <c r="D741" s="671"/>
      <c r="E741" s="669" t="str">
        <f>IFERROR(IF(INDEX('Coverage Indicators - Section D'!L$1:L$100,MATCH($A734,'Coverage Indicators - Section D'!$A$1:$A$100,0)+1)&lt;&gt;0,INDEX('Coverage Indicators - Section D'!L$1:L$100,MATCH($A734,'Coverage Indicators - Section D'!$A$1:$A$100,0)+1),""),"")</f>
        <v/>
      </c>
      <c r="F741" s="670"/>
      <c r="G741" s="671"/>
      <c r="H741" s="669" t="str">
        <f>IFERROR(IF(AND('Overview - Section A'!AS$1="Grant Making",OR(B735&lt;&gt;"",G735&lt;&gt;"")),Setup!I743,IF(INDEX('Coverage Indicators - Section D'!K$1:K$100,MATCH($A734,'Coverage Indicators - Section D'!$A$1:$A$100,0))&lt;&gt;0,INDEX('Coverage Indicators - Section D'!K$1:K$100,MATCH($A734,'Coverage Indicators - Section D'!$A$1:$A$100,0)),"")),"")</f>
        <v/>
      </c>
      <c r="I741" s="670"/>
      <c r="J741" s="670"/>
      <c r="K741" s="671"/>
      <c r="L741" s="86"/>
    </row>
    <row r="742" spans="1:12" ht="18.75" customHeight="1" x14ac:dyDescent="0.25">
      <c r="A742" s="667"/>
      <c r="B742" s="675"/>
      <c r="C742" s="676"/>
      <c r="D742" s="677"/>
      <c r="E742" s="675"/>
      <c r="F742" s="676"/>
      <c r="G742" s="677"/>
      <c r="H742" s="675"/>
      <c r="I742" s="676"/>
      <c r="J742" s="676"/>
      <c r="K742" s="677"/>
      <c r="L742" s="86"/>
    </row>
    <row r="743" spans="1:12" ht="18.75" customHeight="1" x14ac:dyDescent="0.25">
      <c r="A743" s="667"/>
      <c r="B743" s="93"/>
      <c r="C743" s="93" t="s">
        <v>4384</v>
      </c>
      <c r="D743" s="660" t="s">
        <v>4385</v>
      </c>
      <c r="E743" s="661"/>
      <c r="F743" s="661"/>
      <c r="G743" s="661"/>
      <c r="H743" s="661"/>
      <c r="I743" s="661"/>
      <c r="J743" s="661"/>
      <c r="K743" s="662"/>
      <c r="L743" s="86"/>
    </row>
    <row r="744" spans="1:12" ht="18.75" customHeight="1" x14ac:dyDescent="0.25">
      <c r="A744" s="667"/>
      <c r="B744" s="93" t="s">
        <v>2559</v>
      </c>
      <c r="C744" s="94" t="str">
        <f>IFERROR(IF(INDEX('Coverage Indicators - Section D'!G$1:G$100,MATCH($A734,'Coverage Indicators - Section D'!$A$1:$A$100,0))&lt;&gt;0,INDEX('Coverage Indicators - Section D'!G$1:G$100,MATCH($A734,'Coverage Indicators - Section D'!$A$1:$A$100,0)),""),"")</f>
        <v/>
      </c>
      <c r="D744"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744"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744"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744"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744"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744"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744"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744"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744" s="86"/>
    </row>
    <row r="745" spans="1:12" s="97" customFormat="1" ht="18.75" customHeight="1" x14ac:dyDescent="0.25">
      <c r="A745" s="667"/>
      <c r="B745" s="93" t="s">
        <v>4386</v>
      </c>
      <c r="C745" s="95" t="str">
        <f>IFERROR(IF(INDEX('Coverage Indicators - Section D'!E$1:E$100,MATCH($A734,'Coverage Indicators - Section D'!$A$1:$A$100,0))&lt;&gt;"",INDEX('Coverage Indicators - Section D'!E$1:E$100,MATCH($A734,'Coverage Indicators - Section D'!$A$1:$A$100,0)),""),"")</f>
        <v/>
      </c>
      <c r="D745" s="95" t="str">
        <f>IFERROR(IF(INDEX('Coverage Indicators - Section D'!N$1:N$100,MATCH($A734,'Coverage Indicators - Section D'!$A$1:$A$100,0))&lt;&gt;"",INDEX('Coverage Indicators - Section D'!N$1:N$100,MATCH($A734,'Coverage Indicators - Section D'!$A$1:$A$100,0)),""),"")</f>
        <v/>
      </c>
      <c r="E745" s="95" t="str">
        <f>IFERROR(IF(INDEX('Coverage Indicators - Section D'!Q$1:Q$100,MATCH($A734,'Coverage Indicators - Section D'!$A$1:$A$100,0))&lt;&gt;"",INDEX('Coverage Indicators - Section D'!Q$1:Q$100,MATCH($A734,'Coverage Indicators - Section D'!$A$1:$A$100,0)),""),"")</f>
        <v/>
      </c>
      <c r="F745" s="95" t="str">
        <f>IFERROR(IF(INDEX('Coverage Indicators - Section D'!T$1:T$100,MATCH($A734,'Coverage Indicators - Section D'!$A$1:$A$100,0))&lt;&gt;"",INDEX('Coverage Indicators - Section D'!T$1:T$100,MATCH($A734,'Coverage Indicators - Section D'!$A$1:$A$100,0)),""),"")</f>
        <v/>
      </c>
      <c r="G745" s="95" t="str">
        <f>IFERROR(IF(INDEX('Coverage Indicators - Section D'!W$1:W$100,MATCH($A734,'Coverage Indicators - Section D'!$A$1:$A$100,0))&lt;&gt;"",INDEX('Coverage Indicators - Section D'!W$1:W$100,MATCH($A734,'Coverage Indicators - Section D'!$A$1:$A$100,0)),""),"")</f>
        <v/>
      </c>
      <c r="H745" s="95" t="str">
        <f>IFERROR(IF(INDEX('Coverage Indicators - Section D'!Z$1:Z$100,MATCH($A734,'Coverage Indicators - Section D'!$A$1:$A$100,0))&lt;&gt;"",INDEX('Coverage Indicators - Section D'!Z$1:Z$100,MATCH($A734,'Coverage Indicators - Section D'!$A$1:$A$100,0)),""),"")</f>
        <v/>
      </c>
      <c r="I745" s="95" t="str">
        <f>IFERROR(IF(INDEX('Coverage Indicators - Section D'!AC$1:AC$100,MATCH($A734,'Coverage Indicators - Section D'!$A$1:$A$100,0))&lt;&gt;"",INDEX('Coverage Indicators - Section D'!AC$1:AC$100,MATCH($A734,'Coverage Indicators - Section D'!$A$1:$A$100,0)),""),"")</f>
        <v/>
      </c>
      <c r="J745" s="95" t="str">
        <f>IFERROR(IF(INDEX('Coverage Indicators - Section D'!AF$1:AF$100,MATCH($A734,'Coverage Indicators - Section D'!$A$1:$A$100,0))&lt;&gt;"",INDEX('Coverage Indicators - Section D'!AF$1:AF$100,MATCH($A734,'Coverage Indicators - Section D'!$A$1:$A$100,0)),""),"")</f>
        <v/>
      </c>
      <c r="K745" s="95" t="str">
        <f>IFERROR(IF(INDEX('Coverage Indicators - Section D'!AI$1:AI$100,MATCH($A734,'Coverage Indicators - Section D'!$A$1:$A$100,0))&lt;&gt;"",INDEX('Coverage Indicators - Section D'!AI$1:AI$100,MATCH($A734,'Coverage Indicators - Section D'!$A$1:$A$100,0)),""),"")</f>
        <v/>
      </c>
      <c r="L745" s="96"/>
    </row>
    <row r="746" spans="1:12" s="100" customFormat="1" ht="18.75" customHeight="1" x14ac:dyDescent="0.25">
      <c r="A746" s="667"/>
      <c r="B746" s="93" t="s">
        <v>4387</v>
      </c>
      <c r="C746" s="98" t="str">
        <f>IFERROR(IF(INDEX('Coverage Indicators - Section D'!E$1:E$100,MATCH($A734,'Coverage Indicators - Section D'!$A$1:$A$100,0)+1)&lt;&gt;"",INDEX('Coverage Indicators - Section D'!E$1:E$100,MATCH($A734,'Coverage Indicators - Section D'!$A$1:$A$100,0)+1),""),"")</f>
        <v/>
      </c>
      <c r="D746" s="98" t="str">
        <f>IFERROR(IF(INDEX('Coverage Indicators - Section D'!N$1:N$100,MATCH($A734,'Coverage Indicators - Section D'!$A$1:$A$100,0)+1)&lt;&gt;"",INDEX('Coverage Indicators - Section D'!N$1:N$100,MATCH($A734,'Coverage Indicators - Section D'!$A$1:$A$100,0)+1),""),"")</f>
        <v/>
      </c>
      <c r="E746" s="98" t="str">
        <f>IFERROR(IF(INDEX('Coverage Indicators - Section D'!Q$1:Q$100,MATCH($A734,'Coverage Indicators - Section D'!$A$1:$A$100,0)+1)&lt;&gt;"",INDEX('Coverage Indicators - Section D'!Q$1:Q$100,MATCH($A734,'Coverage Indicators - Section D'!$A$1:$A$100,0)+1),""),"")</f>
        <v/>
      </c>
      <c r="F746" s="98" t="str">
        <f>IFERROR(IF(INDEX('Coverage Indicators - Section D'!T$1:T$100,MATCH($A734,'Coverage Indicators - Section D'!$A$1:$A$100,0)+1)&lt;&gt;"",INDEX('Coverage Indicators - Section D'!T$1:T$100,MATCH($A734,'Coverage Indicators - Section D'!$A$1:$A$100,0)+1),""),"")</f>
        <v/>
      </c>
      <c r="G746" s="98" t="str">
        <f>IFERROR(IF(INDEX('Coverage Indicators - Section D'!W$1:W$100,MATCH($A734,'Coverage Indicators - Section D'!$A$1:$A$100,0)+1)&lt;&gt;"",INDEX('Coverage Indicators - Section D'!W$1:W$100,MATCH($A734,'Coverage Indicators - Section D'!$A$1:$A$100,0)+1),""),"")</f>
        <v/>
      </c>
      <c r="H746" s="98" t="str">
        <f>IFERROR(IF(INDEX('Coverage Indicators - Section D'!Z$1:Z$100,MATCH($A734,'Coverage Indicators - Section D'!$A$1:$A$100,0)+1)&lt;&gt;"",INDEX('Coverage Indicators - Section D'!Z$1:Z$100,MATCH($A734,'Coverage Indicators - Section D'!$A$1:$A$100,0)+1),""),"")</f>
        <v/>
      </c>
      <c r="I746" s="98" t="str">
        <f>IFERROR(IF(INDEX('Coverage Indicators - Section D'!AC$1:AC$100,MATCH($A734,'Coverage Indicators - Section D'!$A$1:$A$100,0)+1)&lt;&gt;"",INDEX('Coverage Indicators - Section D'!AC$1:AC$100,MATCH($A734,'Coverage Indicators - Section D'!$A$1:$A$100,0)+1),""),"")</f>
        <v/>
      </c>
      <c r="J746" s="98" t="str">
        <f>IFERROR(IF(INDEX('Coverage Indicators - Section D'!AF$1:AF$100,MATCH($A734,'Coverage Indicators - Section D'!$A$1:$A$100,0)+1)&lt;&gt;"",INDEX('Coverage Indicators - Section D'!AF$1:AF$100,MATCH($A734,'Coverage Indicators - Section D'!$A$1:$A$100,0)+1),""),"")</f>
        <v/>
      </c>
      <c r="K746" s="98" t="str">
        <f>IFERROR(IF(INDEX('Coverage Indicators - Section D'!AI$1:AI$100,MATCH($A734,'Coverage Indicators - Section D'!$A$1:$A$100,0)+1)&lt;&gt;"",INDEX('Coverage Indicators - Section D'!AI$1:AI$100,MATCH($A734,'Coverage Indicators - Section D'!$A$1:$A$100,0)+1),""),"")</f>
        <v/>
      </c>
      <c r="L746" s="99"/>
    </row>
    <row r="747" spans="1:12" ht="18.75" customHeight="1" x14ac:dyDescent="0.25">
      <c r="A747" s="667"/>
      <c r="B747" s="93" t="s">
        <v>4388</v>
      </c>
      <c r="C747" s="94" t="str">
        <f ca="1">IFERROR(IF(INDEX('Coverage Indicators - Section D'!F$1:F$100,MATCH($A734,'Coverage Indicators - Section D'!$A$1:$A$100,0))&lt;&gt;"",FIXED(INDEX('Coverage Indicators - Section D'!F$1:F$100,MATCH($A734,'Coverage Indicators - Section D'!$A$1:$A$100,0))*100,2)&amp;"%",""),"")</f>
        <v/>
      </c>
      <c r="D747" s="94" t="str">
        <f ca="1">IFERROR(IF(INDEX('Coverage Indicators - Section D'!O$1:O$100,MATCH($A734,'Coverage Indicators - Section D'!$A$1:$A$100,0))&lt;&gt;"",FIXED(INDEX('Coverage Indicators - Section D'!O$1:O$100,MATCH($A734,'Coverage Indicators - Section D'!$A$1:$A$100,0))*100,2)&amp;"%",""),"")&amp;CHAR(10)&amp;IFERROR(IF(INDEX('Coverage Indicators - Section D'!P$1:P$100,MATCH($A734,'Coverage Indicators - Section D'!$A$1:$A$100,0))&lt;&gt;"",INDEX('Coverage Indicators - Section D'!P$1:P$100,MATCH($A734,'Coverage Indicators - Section D'!$A$1:$A$100,0)),""),"")</f>
        <v xml:space="preserve">
</v>
      </c>
      <c r="E747" s="94" t="str">
        <f ca="1">IFERROR(IF(INDEX('Coverage Indicators - Section D'!R$1:R$100,MATCH($A734,'Coverage Indicators - Section D'!$A$1:$A$100,0))&lt;&gt;"",FIXED(INDEX('Coverage Indicators - Section D'!R$1:R$100,MATCH($A734,'Coverage Indicators - Section D'!$A$1:$A$100,0))*100,2)&amp;"%",""),"")&amp;CHAR(10)&amp;IFERROR(IF(INDEX('Coverage Indicators - Section D'!S$1:S$100,MATCH($A734,'Coverage Indicators - Section D'!$A$1:$A$100,0))&lt;&gt;"",INDEX('Coverage Indicators - Section D'!S$1:S$100,MATCH($A734,'Coverage Indicators - Section D'!$A$1:$A$100,0)),""),"")</f>
        <v xml:space="preserve">
</v>
      </c>
      <c r="F747" s="94" t="str">
        <f ca="1">IFERROR(IF(INDEX('Coverage Indicators - Section D'!U$1:U$100,MATCH($A734,'Coverage Indicators - Section D'!$A$1:$A$100,0))&lt;&gt;"",FIXED(INDEX('Coverage Indicators - Section D'!U$1:U$100,MATCH($A734,'Coverage Indicators - Section D'!$A$1:$A$100,0))*100,2)&amp;"%",""),"")&amp;CHAR(10)&amp;IFERROR(IF(INDEX('Coverage Indicators - Section D'!V$1:V$100,MATCH($A734,'Coverage Indicators - Section D'!$A$1:$A$100,0))&lt;&gt;"",INDEX('Coverage Indicators - Section D'!V$1:V$100,MATCH($A734,'Coverage Indicators - Section D'!$A$1:$A$100,0)),""),"")</f>
        <v xml:space="preserve">
</v>
      </c>
      <c r="G747" s="94" t="str">
        <f ca="1">IFERROR(IF(INDEX('Coverage Indicators - Section D'!X$1:X$100,MATCH($A734,'Coverage Indicators - Section D'!$A$1:$A$100,0))&lt;&gt;"",FIXED(INDEX('Coverage Indicators - Section D'!X$1:X$100,MATCH($A734,'Coverage Indicators - Section D'!$A$1:$A$100,0))*100,2)&amp;"%",""),"")&amp;CHAR(10)&amp;IFERROR(IF(INDEX('Coverage Indicators - Section D'!Y$1:Y$100,MATCH($A734,'Coverage Indicators - Section D'!$A$1:$A$100,0))&lt;&gt;"",INDEX('Coverage Indicators - Section D'!Y$1:Y$100,MATCH($A734,'Coverage Indicators - Section D'!$A$1:$A$100,0)),""),"")</f>
        <v xml:space="preserve">
</v>
      </c>
      <c r="H747" s="94" t="str">
        <f ca="1">IFERROR(IF(INDEX('Coverage Indicators - Section D'!AA$1:AA$100,MATCH(A734,'Coverage Indicators - Section D'!$A$1:$A$100,0))&lt;&gt;"",FIXED(INDEX('Coverage Indicators - Section D'!AA$1:AA$100,MATCH($A734,'Coverage Indicators - Section D'!$A$1:$A$100,0))*100,2)&amp;"%",""),"")&amp;CHAR(10)&amp;IFERROR(IF(INDEX('Coverage Indicators - Section D'!AB$1:AB$100,MATCH($A734,'Coverage Indicators - Section D'!$A$1:$A$100,0))&lt;&gt;"",INDEX('Coverage Indicators - Section D'!AB$1:AB$100,MATCH($A734,'Coverage Indicators - Section D'!$A$1:$A$100,0)),""),"")</f>
        <v xml:space="preserve">
</v>
      </c>
      <c r="I747" s="94" t="str">
        <f ca="1">IFERROR(IF(INDEX('Coverage Indicators - Section D'!AD$1:AD$100,MATCH($A734,'Coverage Indicators - Section D'!$A$1:$A$100,0))&lt;&gt;"",FIXED(INDEX('Coverage Indicators - Section D'!AD$1:AD$100,MATCH($A734,'Coverage Indicators - Section D'!$A$1:$A$100,0))*100,2)&amp;"%",""),"")&amp;CHAR(10)&amp;IFERROR(IF(INDEX('Coverage Indicators - Section D'!AE$1:AE$100,MATCH($A734,'Coverage Indicators - Section D'!$A$1:$A$100,0))&lt;&gt;"",INDEX('Coverage Indicators - Section D'!AE$1:AE$100,MATCH($A734,'Coverage Indicators - Section D'!$A$1:$A$100,0)),""),"")</f>
        <v xml:space="preserve">
</v>
      </c>
      <c r="J747" s="94" t="str">
        <f ca="1">IFERROR(IF(INDEX('Coverage Indicators - Section D'!AG$1:AG$100,MATCH($A734,'Coverage Indicators - Section D'!$A$1:$A$100,0))&lt;&gt;"",FIXED(INDEX('Coverage Indicators - Section D'!AG$1:AG$100,MATCH($A734,'Coverage Indicators - Section D'!$A$1:$A$100,0))*100,2)&amp;"%",""),"")&amp;CHAR(10)&amp;IFERROR(IF(INDEX('Coverage Indicators - Section D'!AH$1:AH$100,MATCH($A734,'Coverage Indicators - Section D'!$A$1:$A$100,0))&lt;&gt;"",INDEX('Coverage Indicators - Section D'!AH$1:AH$100,MATCH($A734,'Coverage Indicators - Section D'!$A$1:$A$100,0)),""),"")</f>
        <v xml:space="preserve">
</v>
      </c>
      <c r="K747" s="94" t="str">
        <f ca="1">IFERROR(IF(INDEX('Coverage Indicators - Section D'!AJ$1:AJ$100,MATCH($A734,'Coverage Indicators - Section D'!$A$1:$A$100,0))&lt;&gt;"",FIXED(INDEX('Coverage Indicators - Section D'!AJ$1:AJ$100,MATCH($A734,'Coverage Indicators - Section D'!$A$1:$A$100,0))*100,2)&amp;"%",""),"")&amp;CHAR(10)&amp;IFERROR(IF(INDEX('Coverage Indicators - Section D'!AK$1:AK$100,MATCH($A734,'Coverage Indicators - Section D'!$A$1:$A$100,0))&lt;&gt;"",INDEX('Coverage Indicators - Section D'!AK$1:AK$100,MATCH($A734,'Coverage Indicators - Section D'!$A$1:$A$100,0)),""),"")</f>
        <v xml:space="preserve">
</v>
      </c>
      <c r="L747" s="86"/>
    </row>
    <row r="748" spans="1:12" ht="18.75" customHeight="1" x14ac:dyDescent="0.25">
      <c r="A748" s="667"/>
      <c r="B748" s="660" t="s">
        <v>176</v>
      </c>
      <c r="C748" s="661"/>
      <c r="D748" s="661"/>
      <c r="E748" s="661"/>
      <c r="F748" s="661"/>
      <c r="G748" s="661"/>
      <c r="H748" s="661"/>
      <c r="I748" s="661"/>
      <c r="J748" s="661"/>
      <c r="K748" s="662"/>
      <c r="L748" s="86"/>
    </row>
    <row r="749" spans="1:12" ht="18.75" customHeight="1" x14ac:dyDescent="0.25">
      <c r="A749" s="667"/>
      <c r="B749" s="669" t="str">
        <f>IFERROR(IF(INDEX('Coverage Indicators - Section D'!AL$1:AL$110,MATCH($A734,'Coverage Indicators - Section D'!$A$1:$A$110,0))&lt;&gt;0,INDEX('Coverage Indicators - Section D'!AL$1:AL$110,MATCH($A734,'Coverage Indicators - Section D'!$A$1:$A$110,0)),""),"")</f>
        <v/>
      </c>
      <c r="C749" s="670"/>
      <c r="D749" s="670"/>
      <c r="E749" s="670"/>
      <c r="F749" s="670"/>
      <c r="G749" s="670"/>
      <c r="H749" s="670"/>
      <c r="I749" s="670"/>
      <c r="J749" s="670"/>
      <c r="K749" s="671"/>
      <c r="L749" s="86"/>
    </row>
    <row r="750" spans="1:12" ht="18.75" customHeight="1" x14ac:dyDescent="0.25">
      <c r="A750" s="667"/>
      <c r="B750" s="672"/>
      <c r="C750" s="673"/>
      <c r="D750" s="673"/>
      <c r="E750" s="673"/>
      <c r="F750" s="673"/>
      <c r="G750" s="673"/>
      <c r="H750" s="673"/>
      <c r="I750" s="673"/>
      <c r="J750" s="673"/>
      <c r="K750" s="674"/>
      <c r="L750" s="86"/>
    </row>
    <row r="751" spans="1:12" ht="18.75" customHeight="1" x14ac:dyDescent="0.25">
      <c r="A751" s="667"/>
      <c r="B751" s="672"/>
      <c r="C751" s="673"/>
      <c r="D751" s="673"/>
      <c r="E751" s="673"/>
      <c r="F751" s="673"/>
      <c r="G751" s="673"/>
      <c r="H751" s="673"/>
      <c r="I751" s="673"/>
      <c r="J751" s="673"/>
      <c r="K751" s="674"/>
      <c r="L751" s="86"/>
    </row>
    <row r="752" spans="1:12" ht="18.75" customHeight="1" x14ac:dyDescent="0.25">
      <c r="A752" s="667"/>
      <c r="B752" s="672"/>
      <c r="C752" s="673"/>
      <c r="D752" s="673"/>
      <c r="E752" s="673"/>
      <c r="F752" s="673"/>
      <c r="G752" s="673"/>
      <c r="H752" s="673"/>
      <c r="I752" s="673"/>
      <c r="J752" s="673"/>
      <c r="K752" s="674"/>
      <c r="L752" s="86"/>
    </row>
    <row r="753" spans="1:12" ht="18.75" customHeight="1" x14ac:dyDescent="0.25">
      <c r="A753" s="667"/>
      <c r="B753" s="672"/>
      <c r="C753" s="673"/>
      <c r="D753" s="673"/>
      <c r="E753" s="673"/>
      <c r="F753" s="673"/>
      <c r="G753" s="673"/>
      <c r="H753" s="673"/>
      <c r="I753" s="673"/>
      <c r="J753" s="673"/>
      <c r="K753" s="674"/>
      <c r="L753" s="86"/>
    </row>
    <row r="754" spans="1:12" ht="18.75" customHeight="1" x14ac:dyDescent="0.25">
      <c r="A754" s="667"/>
      <c r="B754" s="672"/>
      <c r="C754" s="673"/>
      <c r="D754" s="673"/>
      <c r="E754" s="673"/>
      <c r="F754" s="673"/>
      <c r="G754" s="673"/>
      <c r="H754" s="673"/>
      <c r="I754" s="673"/>
      <c r="J754" s="673"/>
      <c r="K754" s="674"/>
      <c r="L754" s="86"/>
    </row>
    <row r="755" spans="1:12" ht="18.75" customHeight="1" x14ac:dyDescent="0.25">
      <c r="A755" s="667"/>
      <c r="B755" s="672"/>
      <c r="C755" s="673"/>
      <c r="D755" s="673"/>
      <c r="E755" s="673"/>
      <c r="F755" s="673"/>
      <c r="G755" s="673"/>
      <c r="H755" s="673"/>
      <c r="I755" s="673"/>
      <c r="J755" s="673"/>
      <c r="K755" s="674"/>
      <c r="L755" s="86"/>
    </row>
    <row r="756" spans="1:12" ht="18.75" customHeight="1" x14ac:dyDescent="0.25">
      <c r="A756" s="667"/>
      <c r="B756" s="672"/>
      <c r="C756" s="673"/>
      <c r="D756" s="673"/>
      <c r="E756" s="673"/>
      <c r="F756" s="673"/>
      <c r="G756" s="673"/>
      <c r="H756" s="673"/>
      <c r="I756" s="673"/>
      <c r="J756" s="673"/>
      <c r="K756" s="674"/>
      <c r="L756" s="86"/>
    </row>
    <row r="757" spans="1:12" ht="18.75" customHeight="1" x14ac:dyDescent="0.25">
      <c r="A757" s="667"/>
      <c r="B757" s="672"/>
      <c r="C757" s="673"/>
      <c r="D757" s="673"/>
      <c r="E757" s="673"/>
      <c r="F757" s="673"/>
      <c r="G757" s="673"/>
      <c r="H757" s="673"/>
      <c r="I757" s="673"/>
      <c r="J757" s="673"/>
      <c r="K757" s="674"/>
      <c r="L757" s="86"/>
    </row>
    <row r="758" spans="1:12" ht="18.75" customHeight="1" x14ac:dyDescent="0.25">
      <c r="A758" s="668"/>
      <c r="B758" s="675"/>
      <c r="C758" s="676"/>
      <c r="D758" s="676"/>
      <c r="E758" s="676"/>
      <c r="F758" s="676"/>
      <c r="G758" s="676"/>
      <c r="H758" s="676"/>
      <c r="I758" s="676"/>
      <c r="J758" s="676"/>
      <c r="K758" s="677"/>
      <c r="L758" s="86"/>
    </row>
    <row r="759" spans="1:12" ht="18.75" customHeight="1" x14ac:dyDescent="0.25">
      <c r="A759" s="660"/>
      <c r="B759" s="661"/>
      <c r="C759" s="661"/>
      <c r="D759" s="661"/>
      <c r="E759" s="661"/>
      <c r="F759" s="661"/>
      <c r="G759" s="661"/>
      <c r="H759" s="661"/>
      <c r="I759" s="661"/>
      <c r="J759" s="661"/>
      <c r="K759" s="662"/>
      <c r="L759" s="86"/>
    </row>
    <row r="761" spans="1:12" ht="18.75" customHeight="1" x14ac:dyDescent="0.25">
      <c r="A761" s="93" t="s">
        <v>4383</v>
      </c>
      <c r="B761" s="660" t="s">
        <v>1046</v>
      </c>
      <c r="C761" s="662"/>
      <c r="D761" s="663" t="str">
        <f>IFERROR(IF(INDEX('Coverage Indicators - Section D'!B$1:B$100,MATCH($A762,'Coverage Indicators - Section D'!$A$1:$A$100,0))&lt;&gt;0,INDEX('Coverage Indicators - Section D'!B$1:B$100,MATCH($A762,'Coverage Indicators - Section D'!$A$1:$A$100,0)),""),"")</f>
        <v/>
      </c>
      <c r="E761" s="664"/>
      <c r="F761" s="664"/>
      <c r="G761" s="664"/>
      <c r="H761" s="664"/>
      <c r="I761" s="664"/>
      <c r="J761" s="664"/>
      <c r="K761" s="665"/>
      <c r="L761" s="86"/>
    </row>
    <row r="762" spans="1:12" ht="18.75" customHeight="1" x14ac:dyDescent="0.25">
      <c r="A762" s="666">
        <v>28</v>
      </c>
      <c r="B762" s="660" t="s">
        <v>738</v>
      </c>
      <c r="C762" s="661"/>
      <c r="D762" s="661"/>
      <c r="E762" s="661"/>
      <c r="F762" s="662"/>
      <c r="G762" s="660" t="s">
        <v>739</v>
      </c>
      <c r="H762" s="661"/>
      <c r="I762" s="661"/>
      <c r="J762" s="661"/>
      <c r="K762" s="662"/>
      <c r="L762" s="86"/>
    </row>
    <row r="763" spans="1:12" ht="18.75" customHeight="1" x14ac:dyDescent="0.25">
      <c r="A763" s="667"/>
      <c r="B763" s="669" t="str">
        <f>IFERROR(IF(INDEX('Coverage Indicators - Section D'!C$1:C$100,MATCH($A762,'Coverage Indicators - Section D'!$A$1:$A$100,0))&lt;&gt;0,INDEX('Coverage Indicators - Section D'!C$1:C$100,MATCH($A762,'Coverage Indicators - Section D'!$A$1:$A$100,0)),""),"")</f>
        <v/>
      </c>
      <c r="C763" s="670"/>
      <c r="D763" s="670"/>
      <c r="E763" s="670"/>
      <c r="F763" s="671"/>
      <c r="G763" s="669" t="str">
        <f>IFERROR(IF(INDEX('Coverage Indicators - Section D'!D$1:D$100,MATCH($A762,'Coverage Indicators - Section D'!$A$1:$A$100,0))&lt;&gt;0,INDEX('Coverage Indicators - Section D'!D$1:D$100,MATCH($A762,'Coverage Indicators - Section D'!$A$1:$A$100,0)),""),"")</f>
        <v/>
      </c>
      <c r="H763" s="670"/>
      <c r="I763" s="670"/>
      <c r="J763" s="670"/>
      <c r="K763" s="671"/>
      <c r="L763" s="86"/>
    </row>
    <row r="764" spans="1:12" ht="18.75" customHeight="1" x14ac:dyDescent="0.25">
      <c r="A764" s="667"/>
      <c r="B764" s="672"/>
      <c r="C764" s="673"/>
      <c r="D764" s="673"/>
      <c r="E764" s="673"/>
      <c r="F764" s="674"/>
      <c r="G764" s="672"/>
      <c r="H764" s="673"/>
      <c r="I764" s="673"/>
      <c r="J764" s="673"/>
      <c r="K764" s="674"/>
      <c r="L764" s="86"/>
    </row>
    <row r="765" spans="1:12" ht="18.75" customHeight="1" x14ac:dyDescent="0.25">
      <c r="A765" s="667"/>
      <c r="B765" s="675"/>
      <c r="C765" s="676"/>
      <c r="D765" s="676"/>
      <c r="E765" s="676"/>
      <c r="F765" s="677"/>
      <c r="G765" s="675"/>
      <c r="H765" s="676"/>
      <c r="I765" s="676"/>
      <c r="J765" s="676"/>
      <c r="K765" s="677"/>
      <c r="L765" s="86"/>
    </row>
    <row r="766" spans="1:12" ht="18.75" customHeight="1" x14ac:dyDescent="0.25">
      <c r="A766" s="667"/>
      <c r="B766" s="660" t="s">
        <v>742</v>
      </c>
      <c r="C766" s="661"/>
      <c r="D766" s="662"/>
      <c r="E766" s="660" t="s">
        <v>216</v>
      </c>
      <c r="F766" s="661"/>
      <c r="G766" s="662"/>
      <c r="H766" s="660" t="s">
        <v>127</v>
      </c>
      <c r="I766" s="661"/>
      <c r="J766" s="662"/>
      <c r="K766" s="93" t="s">
        <v>2175</v>
      </c>
      <c r="L766" s="86"/>
    </row>
    <row r="767" spans="1:12" ht="18.75" customHeight="1" x14ac:dyDescent="0.25">
      <c r="A767" s="667"/>
      <c r="B767" s="663" t="str">
        <f>IFERROR(IF(INDEX('Coverage Indicators - Section D'!I$9:I$68,MATCH($A762,'Coverage Indicators - Section D'!$A$9:$A$68,0))&lt;&gt;0,INDEX('Coverage Indicators - Section D'!I$9:I$68,MATCH($A762,'Coverage Indicators - Section D'!$A$9:$A$68,0)),""),"")</f>
        <v/>
      </c>
      <c r="C767" s="664"/>
      <c r="D767" s="665"/>
      <c r="E767" s="663" t="str">
        <f>IFERROR(IF(INDEX('Coverage Indicators - Section D'!M$1:M$100,MATCH($A762,'Coverage Indicators - Section D'!$A$1:$A$100,0))&lt;&gt;0,INDEX('Coverage Indicators - Section D'!M$1:M$100,MATCH($A762,'Coverage Indicators - Section D'!$A$1:$A$100,0)),""),"")</f>
        <v/>
      </c>
      <c r="F767" s="664"/>
      <c r="G767" s="665"/>
      <c r="H767" s="663" t="str">
        <f>IFERROR(IF(INDEX('Coverage Indicators - Section D'!L$1:L$100,MATCH($A762,'Coverage Indicators - Section D'!$A$1:$A$100,0))&lt;&gt;0,INDEX('Coverage Indicators - Section D'!L$1:L$100,MATCH($A762,'Coverage Indicators - Section D'!$A$1:$A$100,0)),""),"")</f>
        <v/>
      </c>
      <c r="I767" s="664"/>
      <c r="J767" s="665"/>
      <c r="K767" s="94" t="str">
        <f>IFERROR(IF(INDEX('Coverage Indicators - Section D'!J$1:J$100,MATCH($A762,'Coverage Indicators - Section D'!$A$1:$A$100,0))&lt;&gt;0,INDEX('Coverage Indicators - Section D'!J$1:J$100,MATCH($A762,'Coverage Indicators - Section D'!$A$1:$A$100,0)),""),"")</f>
        <v/>
      </c>
      <c r="L767" s="86"/>
    </row>
    <row r="768" spans="1:12" ht="18.75" customHeight="1" x14ac:dyDescent="0.25">
      <c r="A768" s="667"/>
      <c r="B768" s="660" t="s">
        <v>199</v>
      </c>
      <c r="C768" s="661"/>
      <c r="D768" s="662"/>
      <c r="E768" s="660" t="s">
        <v>4392</v>
      </c>
      <c r="F768" s="661"/>
      <c r="G768" s="662"/>
      <c r="H768" s="660" t="s">
        <v>120</v>
      </c>
      <c r="I768" s="661"/>
      <c r="J768" s="661"/>
      <c r="K768" s="662"/>
      <c r="L768" s="86"/>
    </row>
    <row r="769" spans="1:12" ht="18.75" customHeight="1" x14ac:dyDescent="0.25">
      <c r="A769" s="667"/>
      <c r="B769" s="669" t="str">
        <f>IFERROR(IF(INDEX('Coverage Indicators - Section D'!H$1:H$100,MATCH($A762,'Coverage Indicators - Section D'!$A$1:$A$100,0))&lt;&gt;0,INDEX('Coverage Indicators - Section D'!H$1:H$100,MATCH($A762,'Coverage Indicators - Section D'!$A$1:$A$100,0)),""),"")</f>
        <v/>
      </c>
      <c r="C769" s="670"/>
      <c r="D769" s="671"/>
      <c r="E769" s="669" t="str">
        <f>IFERROR(IF(INDEX('Coverage Indicators - Section D'!L$1:L$100,MATCH($A762,'Coverage Indicators - Section D'!$A$1:$A$100,0)+1)&lt;&gt;0,INDEX('Coverage Indicators - Section D'!L$1:L$100,MATCH($A762,'Coverage Indicators - Section D'!$A$1:$A$100,0)+1),""),"")</f>
        <v/>
      </c>
      <c r="F769" s="670"/>
      <c r="G769" s="671"/>
      <c r="H769" s="669" t="str">
        <f>IFERROR(IF(AND('Overview - Section A'!AS$1="Grant Making",OR(B763&lt;&gt;"",G763&lt;&gt;"")),Setup!I771,IF(INDEX('Coverage Indicators - Section D'!K$1:K$100,MATCH($A762,'Coverage Indicators - Section D'!$A$1:$A$100,0))&lt;&gt;0,INDEX('Coverage Indicators - Section D'!K$1:K$100,MATCH($A762,'Coverage Indicators - Section D'!$A$1:$A$100,0)),"")),"")</f>
        <v/>
      </c>
      <c r="I769" s="670"/>
      <c r="J769" s="670"/>
      <c r="K769" s="671"/>
      <c r="L769" s="86"/>
    </row>
    <row r="770" spans="1:12" ht="18.75" customHeight="1" x14ac:dyDescent="0.25">
      <c r="A770" s="667"/>
      <c r="B770" s="675"/>
      <c r="C770" s="676"/>
      <c r="D770" s="677"/>
      <c r="E770" s="675"/>
      <c r="F770" s="676"/>
      <c r="G770" s="677"/>
      <c r="H770" s="675"/>
      <c r="I770" s="676"/>
      <c r="J770" s="676"/>
      <c r="K770" s="677"/>
      <c r="L770" s="86"/>
    </row>
    <row r="771" spans="1:12" ht="18.75" customHeight="1" x14ac:dyDescent="0.25">
      <c r="A771" s="667"/>
      <c r="B771" s="93"/>
      <c r="C771" s="93" t="s">
        <v>4384</v>
      </c>
      <c r="D771" s="660" t="s">
        <v>4385</v>
      </c>
      <c r="E771" s="661"/>
      <c r="F771" s="661"/>
      <c r="G771" s="661"/>
      <c r="H771" s="661"/>
      <c r="I771" s="661"/>
      <c r="J771" s="661"/>
      <c r="K771" s="662"/>
      <c r="L771" s="86"/>
    </row>
    <row r="772" spans="1:12" ht="18.75" customHeight="1" x14ac:dyDescent="0.25">
      <c r="A772" s="667"/>
      <c r="B772" s="93" t="s">
        <v>2559</v>
      </c>
      <c r="C772" s="94" t="str">
        <f>IFERROR(IF(INDEX('Coverage Indicators - Section D'!G$1:G$100,MATCH($A762,'Coverage Indicators - Section D'!$A$1:$A$100,0))&lt;&gt;0,INDEX('Coverage Indicators - Section D'!G$1:G$100,MATCH($A762,'Coverage Indicators - Section D'!$A$1:$A$100,0)),""),"")</f>
        <v/>
      </c>
      <c r="D772"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772"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772"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772"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772"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772"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772"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772"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772" s="86"/>
    </row>
    <row r="773" spans="1:12" s="97" customFormat="1" ht="18.75" customHeight="1" x14ac:dyDescent="0.25">
      <c r="A773" s="667"/>
      <c r="B773" s="93" t="s">
        <v>4386</v>
      </c>
      <c r="C773" s="95" t="str">
        <f>IFERROR(IF(INDEX('Coverage Indicators - Section D'!E$1:E$100,MATCH($A762,'Coverage Indicators - Section D'!$A$1:$A$100,0))&lt;&gt;"",INDEX('Coverage Indicators - Section D'!E$1:E$100,MATCH($A762,'Coverage Indicators - Section D'!$A$1:$A$100,0)),""),"")</f>
        <v/>
      </c>
      <c r="D773" s="95" t="str">
        <f>IFERROR(IF(INDEX('Coverage Indicators - Section D'!N$1:N$100,MATCH($A762,'Coverage Indicators - Section D'!$A$1:$A$100,0))&lt;&gt;"",INDEX('Coverage Indicators - Section D'!N$1:N$100,MATCH($A762,'Coverage Indicators - Section D'!$A$1:$A$100,0)),""),"")</f>
        <v/>
      </c>
      <c r="E773" s="95" t="str">
        <f>IFERROR(IF(INDEX('Coverage Indicators - Section D'!Q$1:Q$100,MATCH($A762,'Coverage Indicators - Section D'!$A$1:$A$100,0))&lt;&gt;"",INDEX('Coverage Indicators - Section D'!Q$1:Q$100,MATCH($A762,'Coverage Indicators - Section D'!$A$1:$A$100,0)),""),"")</f>
        <v/>
      </c>
      <c r="F773" s="95" t="str">
        <f>IFERROR(IF(INDEX('Coverage Indicators - Section D'!T$1:T$100,MATCH($A762,'Coverage Indicators - Section D'!$A$1:$A$100,0))&lt;&gt;"",INDEX('Coverage Indicators - Section D'!T$1:T$100,MATCH($A762,'Coverage Indicators - Section D'!$A$1:$A$100,0)),""),"")</f>
        <v/>
      </c>
      <c r="G773" s="95" t="str">
        <f>IFERROR(IF(INDEX('Coverage Indicators - Section D'!W$1:W$100,MATCH($A762,'Coverage Indicators - Section D'!$A$1:$A$100,0))&lt;&gt;"",INDEX('Coverage Indicators - Section D'!W$1:W$100,MATCH($A762,'Coverage Indicators - Section D'!$A$1:$A$100,0)),""),"")</f>
        <v/>
      </c>
      <c r="H773" s="95" t="str">
        <f>IFERROR(IF(INDEX('Coverage Indicators - Section D'!Z$1:Z$100,MATCH($A762,'Coverage Indicators - Section D'!$A$1:$A$100,0))&lt;&gt;"",INDEX('Coverage Indicators - Section D'!Z$1:Z$100,MATCH($A762,'Coverage Indicators - Section D'!$A$1:$A$100,0)),""),"")</f>
        <v/>
      </c>
      <c r="I773" s="95" t="str">
        <f>IFERROR(IF(INDEX('Coverage Indicators - Section D'!AC$1:AC$100,MATCH($A762,'Coverage Indicators - Section D'!$A$1:$A$100,0))&lt;&gt;"",INDEX('Coverage Indicators - Section D'!AC$1:AC$100,MATCH($A762,'Coverage Indicators - Section D'!$A$1:$A$100,0)),""),"")</f>
        <v/>
      </c>
      <c r="J773" s="95" t="str">
        <f>IFERROR(IF(INDEX('Coverage Indicators - Section D'!AF$1:AF$100,MATCH($A762,'Coverage Indicators - Section D'!$A$1:$A$100,0))&lt;&gt;"",INDEX('Coverage Indicators - Section D'!AF$1:AF$100,MATCH($A762,'Coverage Indicators - Section D'!$A$1:$A$100,0)),""),"")</f>
        <v/>
      </c>
      <c r="K773" s="95" t="str">
        <f>IFERROR(IF(INDEX('Coverage Indicators - Section D'!AI$1:AI$100,MATCH($A762,'Coverage Indicators - Section D'!$A$1:$A$100,0))&lt;&gt;"",INDEX('Coverage Indicators - Section D'!AI$1:AI$100,MATCH($A762,'Coverage Indicators - Section D'!$A$1:$A$100,0)),""),"")</f>
        <v/>
      </c>
      <c r="L773" s="96"/>
    </row>
    <row r="774" spans="1:12" s="100" customFormat="1" ht="18.75" customHeight="1" x14ac:dyDescent="0.25">
      <c r="A774" s="667"/>
      <c r="B774" s="93" t="s">
        <v>4387</v>
      </c>
      <c r="C774" s="98" t="str">
        <f>IFERROR(IF(INDEX('Coverage Indicators - Section D'!E$1:E$100,MATCH($A762,'Coverage Indicators - Section D'!$A$1:$A$100,0)+1)&lt;&gt;"",INDEX('Coverage Indicators - Section D'!E$1:E$100,MATCH($A762,'Coverage Indicators - Section D'!$A$1:$A$100,0)+1),""),"")</f>
        <v/>
      </c>
      <c r="D774" s="98" t="str">
        <f>IFERROR(IF(INDEX('Coverage Indicators - Section D'!N$1:N$100,MATCH($A762,'Coverage Indicators - Section D'!$A$1:$A$100,0)+1)&lt;&gt;"",INDEX('Coverage Indicators - Section D'!N$1:N$100,MATCH($A762,'Coverage Indicators - Section D'!$A$1:$A$100,0)+1),""),"")</f>
        <v/>
      </c>
      <c r="E774" s="98" t="str">
        <f>IFERROR(IF(INDEX('Coverage Indicators - Section D'!Q$1:Q$100,MATCH($A762,'Coverage Indicators - Section D'!$A$1:$A$100,0)+1)&lt;&gt;"",INDEX('Coverage Indicators - Section D'!Q$1:Q$100,MATCH($A762,'Coverage Indicators - Section D'!$A$1:$A$100,0)+1),""),"")</f>
        <v/>
      </c>
      <c r="F774" s="98" t="str">
        <f>IFERROR(IF(INDEX('Coverage Indicators - Section D'!T$1:T$100,MATCH($A762,'Coverage Indicators - Section D'!$A$1:$A$100,0)+1)&lt;&gt;"",INDEX('Coverage Indicators - Section D'!T$1:T$100,MATCH($A762,'Coverage Indicators - Section D'!$A$1:$A$100,0)+1),""),"")</f>
        <v/>
      </c>
      <c r="G774" s="98" t="str">
        <f>IFERROR(IF(INDEX('Coverage Indicators - Section D'!W$1:W$100,MATCH($A762,'Coverage Indicators - Section D'!$A$1:$A$100,0)+1)&lt;&gt;"",INDEX('Coverage Indicators - Section D'!W$1:W$100,MATCH($A762,'Coverage Indicators - Section D'!$A$1:$A$100,0)+1),""),"")</f>
        <v/>
      </c>
      <c r="H774" s="98" t="str">
        <f>IFERROR(IF(INDEX('Coverage Indicators - Section D'!Z$1:Z$100,MATCH($A762,'Coverage Indicators - Section D'!$A$1:$A$100,0)+1)&lt;&gt;"",INDEX('Coverage Indicators - Section D'!Z$1:Z$100,MATCH($A762,'Coverage Indicators - Section D'!$A$1:$A$100,0)+1),""),"")</f>
        <v/>
      </c>
      <c r="I774" s="98" t="str">
        <f>IFERROR(IF(INDEX('Coverage Indicators - Section D'!AC$1:AC$100,MATCH($A762,'Coverage Indicators - Section D'!$A$1:$A$100,0)+1)&lt;&gt;"",INDEX('Coverage Indicators - Section D'!AC$1:AC$100,MATCH($A762,'Coverage Indicators - Section D'!$A$1:$A$100,0)+1),""),"")</f>
        <v/>
      </c>
      <c r="J774" s="98" t="str">
        <f>IFERROR(IF(INDEX('Coverage Indicators - Section D'!AF$1:AF$100,MATCH($A762,'Coverage Indicators - Section D'!$A$1:$A$100,0)+1)&lt;&gt;"",INDEX('Coverage Indicators - Section D'!AF$1:AF$100,MATCH($A762,'Coverage Indicators - Section D'!$A$1:$A$100,0)+1),""),"")</f>
        <v/>
      </c>
      <c r="K774" s="98" t="str">
        <f>IFERROR(IF(INDEX('Coverage Indicators - Section D'!AI$1:AI$100,MATCH($A762,'Coverage Indicators - Section D'!$A$1:$A$100,0)+1)&lt;&gt;"",INDEX('Coverage Indicators - Section D'!AI$1:AI$100,MATCH($A762,'Coverage Indicators - Section D'!$A$1:$A$100,0)+1),""),"")</f>
        <v/>
      </c>
      <c r="L774" s="99"/>
    </row>
    <row r="775" spans="1:12" ht="18.75" customHeight="1" x14ac:dyDescent="0.25">
      <c r="A775" s="667"/>
      <c r="B775" s="93" t="s">
        <v>4388</v>
      </c>
      <c r="C775" s="94" t="str">
        <f ca="1">IFERROR(IF(INDEX('Coverage Indicators - Section D'!F$1:F$100,MATCH($A762,'Coverage Indicators - Section D'!$A$1:$A$100,0))&lt;&gt;"",FIXED(INDEX('Coverage Indicators - Section D'!F$1:F$100,MATCH($A762,'Coverage Indicators - Section D'!$A$1:$A$100,0))*100,2)&amp;"%",""),"")</f>
        <v/>
      </c>
      <c r="D775" s="94" t="str">
        <f ca="1">IFERROR(IF(INDEX('Coverage Indicators - Section D'!O$1:O$100,MATCH($A762,'Coverage Indicators - Section D'!$A$1:$A$100,0))&lt;&gt;"",FIXED(INDEX('Coverage Indicators - Section D'!O$1:O$100,MATCH($A762,'Coverage Indicators - Section D'!$A$1:$A$100,0))*100,2)&amp;"%",""),"")&amp;CHAR(10)&amp;IFERROR(IF(INDEX('Coverage Indicators - Section D'!P$1:P$100,MATCH($A762,'Coverage Indicators - Section D'!$A$1:$A$100,0))&lt;&gt;"",INDEX('Coverage Indicators - Section D'!P$1:P$100,MATCH($A762,'Coverage Indicators - Section D'!$A$1:$A$100,0)),""),"")</f>
        <v xml:space="preserve">
</v>
      </c>
      <c r="E775" s="94" t="str">
        <f ca="1">IFERROR(IF(INDEX('Coverage Indicators - Section D'!R$1:R$100,MATCH($A762,'Coverage Indicators - Section D'!$A$1:$A$100,0))&lt;&gt;"",FIXED(INDEX('Coverage Indicators - Section D'!R$1:R$100,MATCH($A762,'Coverage Indicators - Section D'!$A$1:$A$100,0))*100,2)&amp;"%",""),"")&amp;CHAR(10)&amp;IFERROR(IF(INDEX('Coverage Indicators - Section D'!S$1:S$100,MATCH($A762,'Coverage Indicators - Section D'!$A$1:$A$100,0))&lt;&gt;"",INDEX('Coverage Indicators - Section D'!S$1:S$100,MATCH($A762,'Coverage Indicators - Section D'!$A$1:$A$100,0)),""),"")</f>
        <v xml:space="preserve">
</v>
      </c>
      <c r="F775" s="94" t="str">
        <f ca="1">IFERROR(IF(INDEX('Coverage Indicators - Section D'!U$1:U$100,MATCH($A762,'Coverage Indicators - Section D'!$A$1:$A$100,0))&lt;&gt;"",FIXED(INDEX('Coverage Indicators - Section D'!U$1:U$100,MATCH($A762,'Coverage Indicators - Section D'!$A$1:$A$100,0))*100,2)&amp;"%",""),"")&amp;CHAR(10)&amp;IFERROR(IF(INDEX('Coverage Indicators - Section D'!V$1:V$100,MATCH($A762,'Coverage Indicators - Section D'!$A$1:$A$100,0))&lt;&gt;"",INDEX('Coverage Indicators - Section D'!V$1:V$100,MATCH($A762,'Coverage Indicators - Section D'!$A$1:$A$100,0)),""),"")</f>
        <v xml:space="preserve">
</v>
      </c>
      <c r="G775" s="94" t="str">
        <f ca="1">IFERROR(IF(INDEX('Coverage Indicators - Section D'!X$1:X$100,MATCH($A762,'Coverage Indicators - Section D'!$A$1:$A$100,0))&lt;&gt;"",FIXED(INDEX('Coverage Indicators - Section D'!X$1:X$100,MATCH($A762,'Coverage Indicators - Section D'!$A$1:$A$100,0))*100,2)&amp;"%",""),"")&amp;CHAR(10)&amp;IFERROR(IF(INDEX('Coverage Indicators - Section D'!Y$1:Y$100,MATCH($A762,'Coverage Indicators - Section D'!$A$1:$A$100,0))&lt;&gt;"",INDEX('Coverage Indicators - Section D'!Y$1:Y$100,MATCH($A762,'Coverage Indicators - Section D'!$A$1:$A$100,0)),""),"")</f>
        <v xml:space="preserve">
</v>
      </c>
      <c r="H775" s="94" t="str">
        <f ca="1">IFERROR(IF(INDEX('Coverage Indicators - Section D'!AA$1:AA$100,MATCH(A762,'Coverage Indicators - Section D'!$A$1:$A$100,0))&lt;&gt;"",FIXED(INDEX('Coverage Indicators - Section D'!AA$1:AA$100,MATCH($A762,'Coverage Indicators - Section D'!$A$1:$A$100,0))*100,2)&amp;"%",""),"")&amp;CHAR(10)&amp;IFERROR(IF(INDEX('Coverage Indicators - Section D'!AB$1:AB$100,MATCH($A762,'Coverage Indicators - Section D'!$A$1:$A$100,0))&lt;&gt;"",INDEX('Coverage Indicators - Section D'!AB$1:AB$100,MATCH($A762,'Coverage Indicators - Section D'!$A$1:$A$100,0)),""),"")</f>
        <v xml:space="preserve">
</v>
      </c>
      <c r="I775" s="94" t="str">
        <f ca="1">IFERROR(IF(INDEX('Coverage Indicators - Section D'!AD$1:AD$100,MATCH($A762,'Coverage Indicators - Section D'!$A$1:$A$100,0))&lt;&gt;"",FIXED(INDEX('Coverage Indicators - Section D'!AD$1:AD$100,MATCH($A762,'Coverage Indicators - Section D'!$A$1:$A$100,0))*100,2)&amp;"%",""),"")&amp;CHAR(10)&amp;IFERROR(IF(INDEX('Coverage Indicators - Section D'!AE$1:AE$100,MATCH($A762,'Coverage Indicators - Section D'!$A$1:$A$100,0))&lt;&gt;"",INDEX('Coverage Indicators - Section D'!AE$1:AE$100,MATCH($A762,'Coverage Indicators - Section D'!$A$1:$A$100,0)),""),"")</f>
        <v xml:space="preserve">
</v>
      </c>
      <c r="J775" s="94" t="str">
        <f ca="1">IFERROR(IF(INDEX('Coverage Indicators - Section D'!AG$1:AG$100,MATCH($A762,'Coverage Indicators - Section D'!$A$1:$A$100,0))&lt;&gt;"",FIXED(INDEX('Coverage Indicators - Section D'!AG$1:AG$100,MATCH($A762,'Coverage Indicators - Section D'!$A$1:$A$100,0))*100,2)&amp;"%",""),"")&amp;CHAR(10)&amp;IFERROR(IF(INDEX('Coverage Indicators - Section D'!AH$1:AH$100,MATCH($A762,'Coverage Indicators - Section D'!$A$1:$A$100,0))&lt;&gt;"",INDEX('Coverage Indicators - Section D'!AH$1:AH$100,MATCH($A762,'Coverage Indicators - Section D'!$A$1:$A$100,0)),""),"")</f>
        <v xml:space="preserve">
</v>
      </c>
      <c r="K775" s="94" t="str">
        <f ca="1">IFERROR(IF(INDEX('Coverage Indicators - Section D'!AJ$1:AJ$100,MATCH($A762,'Coverage Indicators - Section D'!$A$1:$A$100,0))&lt;&gt;"",FIXED(INDEX('Coverage Indicators - Section D'!AJ$1:AJ$100,MATCH($A762,'Coverage Indicators - Section D'!$A$1:$A$100,0))*100,2)&amp;"%",""),"")&amp;CHAR(10)&amp;IFERROR(IF(INDEX('Coverage Indicators - Section D'!AK$1:AK$100,MATCH($A762,'Coverage Indicators - Section D'!$A$1:$A$100,0))&lt;&gt;"",INDEX('Coverage Indicators - Section D'!AK$1:AK$100,MATCH($A762,'Coverage Indicators - Section D'!$A$1:$A$100,0)),""),"")</f>
        <v xml:space="preserve">
</v>
      </c>
      <c r="L775" s="86"/>
    </row>
    <row r="776" spans="1:12" ht="18.75" customHeight="1" x14ac:dyDescent="0.25">
      <c r="A776" s="667"/>
      <c r="B776" s="660" t="s">
        <v>176</v>
      </c>
      <c r="C776" s="661"/>
      <c r="D776" s="661"/>
      <c r="E776" s="661"/>
      <c r="F776" s="661"/>
      <c r="G776" s="661"/>
      <c r="H776" s="661"/>
      <c r="I776" s="661"/>
      <c r="J776" s="661"/>
      <c r="K776" s="662"/>
      <c r="L776" s="86"/>
    </row>
    <row r="777" spans="1:12" ht="18.75" customHeight="1" x14ac:dyDescent="0.25">
      <c r="A777" s="667"/>
      <c r="B777" s="669" t="str">
        <f>IFERROR(IF(INDEX('Coverage Indicators - Section D'!AL$1:AL$110,MATCH($A762,'Coverage Indicators - Section D'!$A$1:$A$110,0))&lt;&gt;0,INDEX('Coverage Indicators - Section D'!AL$1:AL$110,MATCH($A762,'Coverage Indicators - Section D'!$A$1:$A$110,0)),""),"")</f>
        <v/>
      </c>
      <c r="C777" s="670"/>
      <c r="D777" s="670"/>
      <c r="E777" s="670"/>
      <c r="F777" s="670"/>
      <c r="G777" s="670"/>
      <c r="H777" s="670"/>
      <c r="I777" s="670"/>
      <c r="J777" s="670"/>
      <c r="K777" s="671"/>
      <c r="L777" s="86"/>
    </row>
    <row r="778" spans="1:12" ht="18.75" customHeight="1" x14ac:dyDescent="0.25">
      <c r="A778" s="667"/>
      <c r="B778" s="672"/>
      <c r="C778" s="673"/>
      <c r="D778" s="673"/>
      <c r="E778" s="673"/>
      <c r="F778" s="673"/>
      <c r="G778" s="673"/>
      <c r="H778" s="673"/>
      <c r="I778" s="673"/>
      <c r="J778" s="673"/>
      <c r="K778" s="674"/>
      <c r="L778" s="86"/>
    </row>
    <row r="779" spans="1:12" ht="18.75" customHeight="1" x14ac:dyDescent="0.25">
      <c r="A779" s="667"/>
      <c r="B779" s="672"/>
      <c r="C779" s="673"/>
      <c r="D779" s="673"/>
      <c r="E779" s="673"/>
      <c r="F779" s="673"/>
      <c r="G779" s="673"/>
      <c r="H779" s="673"/>
      <c r="I779" s="673"/>
      <c r="J779" s="673"/>
      <c r="K779" s="674"/>
      <c r="L779" s="86"/>
    </row>
    <row r="780" spans="1:12" ht="18.75" customHeight="1" x14ac:dyDescent="0.25">
      <c r="A780" s="667"/>
      <c r="B780" s="672"/>
      <c r="C780" s="673"/>
      <c r="D780" s="673"/>
      <c r="E780" s="673"/>
      <c r="F780" s="673"/>
      <c r="G780" s="673"/>
      <c r="H780" s="673"/>
      <c r="I780" s="673"/>
      <c r="J780" s="673"/>
      <c r="K780" s="674"/>
      <c r="L780" s="86"/>
    </row>
    <row r="781" spans="1:12" ht="18.75" customHeight="1" x14ac:dyDescent="0.25">
      <c r="A781" s="667"/>
      <c r="B781" s="672"/>
      <c r="C781" s="673"/>
      <c r="D781" s="673"/>
      <c r="E781" s="673"/>
      <c r="F781" s="673"/>
      <c r="G781" s="673"/>
      <c r="H781" s="673"/>
      <c r="I781" s="673"/>
      <c r="J781" s="673"/>
      <c r="K781" s="674"/>
      <c r="L781" s="86"/>
    </row>
    <row r="782" spans="1:12" ht="18.75" customHeight="1" x14ac:dyDescent="0.25">
      <c r="A782" s="667"/>
      <c r="B782" s="672"/>
      <c r="C782" s="673"/>
      <c r="D782" s="673"/>
      <c r="E782" s="673"/>
      <c r="F782" s="673"/>
      <c r="G782" s="673"/>
      <c r="H782" s="673"/>
      <c r="I782" s="673"/>
      <c r="J782" s="673"/>
      <c r="K782" s="674"/>
      <c r="L782" s="86"/>
    </row>
    <row r="783" spans="1:12" ht="18.75" customHeight="1" x14ac:dyDescent="0.25">
      <c r="A783" s="667"/>
      <c r="B783" s="672"/>
      <c r="C783" s="673"/>
      <c r="D783" s="673"/>
      <c r="E783" s="673"/>
      <c r="F783" s="673"/>
      <c r="G783" s="673"/>
      <c r="H783" s="673"/>
      <c r="I783" s="673"/>
      <c r="J783" s="673"/>
      <c r="K783" s="674"/>
      <c r="L783" s="86"/>
    </row>
    <row r="784" spans="1:12" ht="18.75" customHeight="1" x14ac:dyDescent="0.25">
      <c r="A784" s="667"/>
      <c r="B784" s="672"/>
      <c r="C784" s="673"/>
      <c r="D784" s="673"/>
      <c r="E784" s="673"/>
      <c r="F784" s="673"/>
      <c r="G784" s="673"/>
      <c r="H784" s="673"/>
      <c r="I784" s="673"/>
      <c r="J784" s="673"/>
      <c r="K784" s="674"/>
      <c r="L784" s="86"/>
    </row>
    <row r="785" spans="1:12" ht="18.75" customHeight="1" x14ac:dyDescent="0.25">
      <c r="A785" s="667"/>
      <c r="B785" s="672"/>
      <c r="C785" s="673"/>
      <c r="D785" s="673"/>
      <c r="E785" s="673"/>
      <c r="F785" s="673"/>
      <c r="G785" s="673"/>
      <c r="H785" s="673"/>
      <c r="I785" s="673"/>
      <c r="J785" s="673"/>
      <c r="K785" s="674"/>
      <c r="L785" s="86"/>
    </row>
    <row r="786" spans="1:12" ht="18.75" customHeight="1" x14ac:dyDescent="0.25">
      <c r="A786" s="668"/>
      <c r="B786" s="675"/>
      <c r="C786" s="676"/>
      <c r="D786" s="676"/>
      <c r="E786" s="676"/>
      <c r="F786" s="676"/>
      <c r="G786" s="676"/>
      <c r="H786" s="676"/>
      <c r="I786" s="676"/>
      <c r="J786" s="676"/>
      <c r="K786" s="677"/>
      <c r="L786" s="86"/>
    </row>
    <row r="787" spans="1:12" ht="18.75" customHeight="1" x14ac:dyDescent="0.25">
      <c r="A787" s="660"/>
      <c r="B787" s="661"/>
      <c r="C787" s="661"/>
      <c r="D787" s="661"/>
      <c r="E787" s="661"/>
      <c r="F787" s="661"/>
      <c r="G787" s="661"/>
      <c r="H787" s="661"/>
      <c r="I787" s="661"/>
      <c r="J787" s="661"/>
      <c r="K787" s="662"/>
      <c r="L787" s="86"/>
    </row>
    <row r="789" spans="1:12" ht="18.75" customHeight="1" x14ac:dyDescent="0.25">
      <c r="A789" s="93" t="s">
        <v>4383</v>
      </c>
      <c r="B789" s="660" t="s">
        <v>1046</v>
      </c>
      <c r="C789" s="662"/>
      <c r="D789" s="663" t="str">
        <f>IFERROR(IF(INDEX('Coverage Indicators - Section D'!B$1:B$100,MATCH($A790,'Coverage Indicators - Section D'!$A$1:$A$100,0))&lt;&gt;0,INDEX('Coverage Indicators - Section D'!B$1:B$100,MATCH($A790,'Coverage Indicators - Section D'!$A$1:$A$100,0)),""),"")</f>
        <v/>
      </c>
      <c r="E789" s="664"/>
      <c r="F789" s="664"/>
      <c r="G789" s="664"/>
      <c r="H789" s="664"/>
      <c r="I789" s="664"/>
      <c r="J789" s="664"/>
      <c r="K789" s="665"/>
      <c r="L789" s="86"/>
    </row>
    <row r="790" spans="1:12" ht="18.75" customHeight="1" x14ac:dyDescent="0.25">
      <c r="A790" s="666">
        <v>29</v>
      </c>
      <c r="B790" s="660" t="s">
        <v>738</v>
      </c>
      <c r="C790" s="661"/>
      <c r="D790" s="661"/>
      <c r="E790" s="661"/>
      <c r="F790" s="662"/>
      <c r="G790" s="660" t="s">
        <v>739</v>
      </c>
      <c r="H790" s="661"/>
      <c r="I790" s="661"/>
      <c r="J790" s="661"/>
      <c r="K790" s="662"/>
      <c r="L790" s="86"/>
    </row>
    <row r="791" spans="1:12" ht="18.75" customHeight="1" x14ac:dyDescent="0.25">
      <c r="A791" s="667"/>
      <c r="B791" s="669" t="str">
        <f>IFERROR(IF(INDEX('Coverage Indicators - Section D'!C$1:C$100,MATCH($A790,'Coverage Indicators - Section D'!$A$1:$A$100,0))&lt;&gt;0,INDEX('Coverage Indicators - Section D'!C$1:C$100,MATCH($A790,'Coverage Indicators - Section D'!$A$1:$A$100,0)),""),"")</f>
        <v/>
      </c>
      <c r="C791" s="670"/>
      <c r="D791" s="670"/>
      <c r="E791" s="670"/>
      <c r="F791" s="671"/>
      <c r="G791" s="669" t="str">
        <f>IFERROR(IF(INDEX('Coverage Indicators - Section D'!D$1:D$100,MATCH($A790,'Coverage Indicators - Section D'!$A$1:$A$100,0))&lt;&gt;0,INDEX('Coverage Indicators - Section D'!D$1:D$100,MATCH($A790,'Coverage Indicators - Section D'!$A$1:$A$100,0)),""),"")</f>
        <v/>
      </c>
      <c r="H791" s="670"/>
      <c r="I791" s="670"/>
      <c r="J791" s="670"/>
      <c r="K791" s="671"/>
      <c r="L791" s="86"/>
    </row>
    <row r="792" spans="1:12" ht="18.75" customHeight="1" x14ac:dyDescent="0.25">
      <c r="A792" s="667"/>
      <c r="B792" s="672"/>
      <c r="C792" s="673"/>
      <c r="D792" s="673"/>
      <c r="E792" s="673"/>
      <c r="F792" s="674"/>
      <c r="G792" s="672"/>
      <c r="H792" s="673"/>
      <c r="I792" s="673"/>
      <c r="J792" s="673"/>
      <c r="K792" s="674"/>
      <c r="L792" s="86"/>
    </row>
    <row r="793" spans="1:12" ht="18.75" customHeight="1" x14ac:dyDescent="0.25">
      <c r="A793" s="667"/>
      <c r="B793" s="675"/>
      <c r="C793" s="676"/>
      <c r="D793" s="676"/>
      <c r="E793" s="676"/>
      <c r="F793" s="677"/>
      <c r="G793" s="675"/>
      <c r="H793" s="676"/>
      <c r="I793" s="676"/>
      <c r="J793" s="676"/>
      <c r="K793" s="677"/>
      <c r="L793" s="86"/>
    </row>
    <row r="794" spans="1:12" ht="18.75" customHeight="1" x14ac:dyDescent="0.25">
      <c r="A794" s="667"/>
      <c r="B794" s="660" t="s">
        <v>742</v>
      </c>
      <c r="C794" s="661"/>
      <c r="D794" s="662"/>
      <c r="E794" s="660" t="s">
        <v>216</v>
      </c>
      <c r="F794" s="661"/>
      <c r="G794" s="662"/>
      <c r="H794" s="660" t="s">
        <v>127</v>
      </c>
      <c r="I794" s="661"/>
      <c r="J794" s="662"/>
      <c r="K794" s="93" t="s">
        <v>2175</v>
      </c>
      <c r="L794" s="86"/>
    </row>
    <row r="795" spans="1:12" ht="18.75" customHeight="1" x14ac:dyDescent="0.25">
      <c r="A795" s="667"/>
      <c r="B795" s="663" t="str">
        <f>IFERROR(IF(INDEX('Coverage Indicators - Section D'!I$9:I$68,MATCH($A790,'Coverage Indicators - Section D'!$A$9:$A$68,0))&lt;&gt;0,INDEX('Coverage Indicators - Section D'!I$9:I$68,MATCH($A790,'Coverage Indicators - Section D'!$A$9:$A$68,0)),""),"")</f>
        <v/>
      </c>
      <c r="C795" s="664"/>
      <c r="D795" s="665"/>
      <c r="E795" s="663" t="str">
        <f>IFERROR(IF(INDEX('Coverage Indicators - Section D'!M$1:M$100,MATCH($A790,'Coverage Indicators - Section D'!$A$1:$A$100,0))&lt;&gt;0,INDEX('Coverage Indicators - Section D'!M$1:M$100,MATCH($A790,'Coverage Indicators - Section D'!$A$1:$A$100,0)),""),"")</f>
        <v/>
      </c>
      <c r="F795" s="664"/>
      <c r="G795" s="665"/>
      <c r="H795" s="663" t="str">
        <f>IFERROR(IF(INDEX('Coverage Indicators - Section D'!L$1:L$100,MATCH($A790,'Coverage Indicators - Section D'!$A$1:$A$100,0))&lt;&gt;0,INDEX('Coverage Indicators - Section D'!L$1:L$100,MATCH($A790,'Coverage Indicators - Section D'!$A$1:$A$100,0)),""),"")</f>
        <v/>
      </c>
      <c r="I795" s="664"/>
      <c r="J795" s="665"/>
      <c r="K795" s="94" t="str">
        <f>IFERROR(IF(INDEX('Coverage Indicators - Section D'!J$1:J$100,MATCH($A790,'Coverage Indicators - Section D'!$A$1:$A$100,0))&lt;&gt;0,INDEX('Coverage Indicators - Section D'!J$1:J$100,MATCH($A790,'Coverage Indicators - Section D'!$A$1:$A$100,0)),""),"")</f>
        <v/>
      </c>
      <c r="L795" s="86"/>
    </row>
    <row r="796" spans="1:12" ht="18.75" customHeight="1" x14ac:dyDescent="0.25">
      <c r="A796" s="667"/>
      <c r="B796" s="660" t="s">
        <v>199</v>
      </c>
      <c r="C796" s="661"/>
      <c r="D796" s="662"/>
      <c r="E796" s="660" t="s">
        <v>4392</v>
      </c>
      <c r="F796" s="661"/>
      <c r="G796" s="662"/>
      <c r="H796" s="660" t="s">
        <v>120</v>
      </c>
      <c r="I796" s="661"/>
      <c r="J796" s="661"/>
      <c r="K796" s="662"/>
      <c r="L796" s="86"/>
    </row>
    <row r="797" spans="1:12" ht="18.75" customHeight="1" x14ac:dyDescent="0.25">
      <c r="A797" s="667"/>
      <c r="B797" s="669" t="str">
        <f>IFERROR(IF(INDEX('Coverage Indicators - Section D'!H$1:H$100,MATCH($A790,'Coverage Indicators - Section D'!$A$1:$A$100,0))&lt;&gt;0,INDEX('Coverage Indicators - Section D'!H$1:H$100,MATCH($A790,'Coverage Indicators - Section D'!$A$1:$A$100,0)),""),"")</f>
        <v/>
      </c>
      <c r="C797" s="670"/>
      <c r="D797" s="671"/>
      <c r="E797" s="669" t="str">
        <f>IFERROR(IF(INDEX('Coverage Indicators - Section D'!L$1:L$100,MATCH($A790,'Coverage Indicators - Section D'!$A$1:$A$100,0)+1)&lt;&gt;0,INDEX('Coverage Indicators - Section D'!L$1:L$100,MATCH($A790,'Coverage Indicators - Section D'!$A$1:$A$100,0)+1),""),"")</f>
        <v/>
      </c>
      <c r="F797" s="670"/>
      <c r="G797" s="671"/>
      <c r="H797" s="669" t="str">
        <f>IFERROR(IF(AND('Overview - Section A'!AS$1="Grant Making",OR(B791&lt;&gt;"",G791&lt;&gt;"")),Setup!I799,IF(INDEX('Coverage Indicators - Section D'!K$1:K$100,MATCH($A790,'Coverage Indicators - Section D'!$A$1:$A$100,0))&lt;&gt;0,INDEX('Coverage Indicators - Section D'!K$1:K$100,MATCH($A790,'Coverage Indicators - Section D'!$A$1:$A$100,0)),"")),"")</f>
        <v/>
      </c>
      <c r="I797" s="670"/>
      <c r="J797" s="670"/>
      <c r="K797" s="671"/>
      <c r="L797" s="86"/>
    </row>
    <row r="798" spans="1:12" ht="18.75" customHeight="1" x14ac:dyDescent="0.25">
      <c r="A798" s="667"/>
      <c r="B798" s="675"/>
      <c r="C798" s="676"/>
      <c r="D798" s="677"/>
      <c r="E798" s="675"/>
      <c r="F798" s="676"/>
      <c r="G798" s="677"/>
      <c r="H798" s="675"/>
      <c r="I798" s="676"/>
      <c r="J798" s="676"/>
      <c r="K798" s="677"/>
      <c r="L798" s="86"/>
    </row>
    <row r="799" spans="1:12" ht="18.75" customHeight="1" x14ac:dyDescent="0.25">
      <c r="A799" s="667"/>
      <c r="B799" s="93"/>
      <c r="C799" s="93" t="s">
        <v>4384</v>
      </c>
      <c r="D799" s="660" t="s">
        <v>4385</v>
      </c>
      <c r="E799" s="661"/>
      <c r="F799" s="661"/>
      <c r="G799" s="661"/>
      <c r="H799" s="661"/>
      <c r="I799" s="661"/>
      <c r="J799" s="661"/>
      <c r="K799" s="662"/>
      <c r="L799" s="86"/>
    </row>
    <row r="800" spans="1:12" ht="18.75" customHeight="1" x14ac:dyDescent="0.25">
      <c r="A800" s="667"/>
      <c r="B800" s="93" t="s">
        <v>2559</v>
      </c>
      <c r="C800" s="94" t="str">
        <f>IFERROR(IF(INDEX('Coverage Indicators - Section D'!G$1:G$100,MATCH($A790,'Coverage Indicators - Section D'!$A$1:$A$100,0))&lt;&gt;0,INDEX('Coverage Indicators - Section D'!G$1:G$100,MATCH($A790,'Coverage Indicators - Section D'!$A$1:$A$100,0)),""),"")</f>
        <v/>
      </c>
      <c r="D800"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800"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800"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800"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800"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800"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800"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800"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800" s="86"/>
    </row>
    <row r="801" spans="1:12" s="97" customFormat="1" ht="18.75" customHeight="1" x14ac:dyDescent="0.25">
      <c r="A801" s="667"/>
      <c r="B801" s="93" t="s">
        <v>4386</v>
      </c>
      <c r="C801" s="95" t="str">
        <f>IFERROR(IF(INDEX('Coverage Indicators - Section D'!E$1:E$100,MATCH($A790,'Coverage Indicators - Section D'!$A$1:$A$100,0))&lt;&gt;"",INDEX('Coverage Indicators - Section D'!E$1:E$100,MATCH($A790,'Coverage Indicators - Section D'!$A$1:$A$100,0)),""),"")</f>
        <v/>
      </c>
      <c r="D801" s="95" t="str">
        <f>IFERROR(IF(INDEX('Coverage Indicators - Section D'!N$1:N$100,MATCH($A790,'Coverage Indicators - Section D'!$A$1:$A$100,0))&lt;&gt;"",INDEX('Coverage Indicators - Section D'!N$1:N$100,MATCH($A790,'Coverage Indicators - Section D'!$A$1:$A$100,0)),""),"")</f>
        <v/>
      </c>
      <c r="E801" s="95" t="str">
        <f>IFERROR(IF(INDEX('Coverage Indicators - Section D'!Q$1:Q$100,MATCH($A790,'Coverage Indicators - Section D'!$A$1:$A$100,0))&lt;&gt;"",INDEX('Coverage Indicators - Section D'!Q$1:Q$100,MATCH($A790,'Coverage Indicators - Section D'!$A$1:$A$100,0)),""),"")</f>
        <v/>
      </c>
      <c r="F801" s="95" t="str">
        <f>IFERROR(IF(INDEX('Coverage Indicators - Section D'!T$1:T$100,MATCH($A790,'Coverage Indicators - Section D'!$A$1:$A$100,0))&lt;&gt;"",INDEX('Coverage Indicators - Section D'!T$1:T$100,MATCH($A790,'Coverage Indicators - Section D'!$A$1:$A$100,0)),""),"")</f>
        <v/>
      </c>
      <c r="G801" s="95" t="str">
        <f>IFERROR(IF(INDEX('Coverage Indicators - Section D'!W$1:W$100,MATCH($A790,'Coverage Indicators - Section D'!$A$1:$A$100,0))&lt;&gt;"",INDEX('Coverage Indicators - Section D'!W$1:W$100,MATCH($A790,'Coverage Indicators - Section D'!$A$1:$A$100,0)),""),"")</f>
        <v/>
      </c>
      <c r="H801" s="95" t="str">
        <f>IFERROR(IF(INDEX('Coverage Indicators - Section D'!Z$1:Z$100,MATCH($A790,'Coverage Indicators - Section D'!$A$1:$A$100,0))&lt;&gt;"",INDEX('Coverage Indicators - Section D'!Z$1:Z$100,MATCH($A790,'Coverage Indicators - Section D'!$A$1:$A$100,0)),""),"")</f>
        <v/>
      </c>
      <c r="I801" s="95" t="str">
        <f>IFERROR(IF(INDEX('Coverage Indicators - Section D'!AC$1:AC$100,MATCH($A790,'Coverage Indicators - Section D'!$A$1:$A$100,0))&lt;&gt;"",INDEX('Coverage Indicators - Section D'!AC$1:AC$100,MATCH($A790,'Coverage Indicators - Section D'!$A$1:$A$100,0)),""),"")</f>
        <v/>
      </c>
      <c r="J801" s="95" t="str">
        <f>IFERROR(IF(INDEX('Coverage Indicators - Section D'!AF$1:AF$100,MATCH($A790,'Coverage Indicators - Section D'!$A$1:$A$100,0))&lt;&gt;"",INDEX('Coverage Indicators - Section D'!AF$1:AF$100,MATCH($A790,'Coverage Indicators - Section D'!$A$1:$A$100,0)),""),"")</f>
        <v/>
      </c>
      <c r="K801" s="95" t="str">
        <f>IFERROR(IF(INDEX('Coverage Indicators - Section D'!AI$1:AI$100,MATCH($A790,'Coverage Indicators - Section D'!$A$1:$A$100,0))&lt;&gt;"",INDEX('Coverage Indicators - Section D'!AI$1:AI$100,MATCH($A790,'Coverage Indicators - Section D'!$A$1:$A$100,0)),""),"")</f>
        <v/>
      </c>
      <c r="L801" s="96"/>
    </row>
    <row r="802" spans="1:12" s="100" customFormat="1" ht="18.75" customHeight="1" x14ac:dyDescent="0.25">
      <c r="A802" s="667"/>
      <c r="B802" s="93" t="s">
        <v>4387</v>
      </c>
      <c r="C802" s="98" t="str">
        <f>IFERROR(IF(INDEX('Coverage Indicators - Section D'!E$1:E$100,MATCH($A790,'Coverage Indicators - Section D'!$A$1:$A$100,0)+1)&lt;&gt;"",INDEX('Coverage Indicators - Section D'!E$1:E$100,MATCH($A790,'Coverage Indicators - Section D'!$A$1:$A$100,0)+1),""),"")</f>
        <v/>
      </c>
      <c r="D802" s="98" t="str">
        <f>IFERROR(IF(INDEX('Coverage Indicators - Section D'!N$1:N$100,MATCH($A790,'Coverage Indicators - Section D'!$A$1:$A$100,0)+1)&lt;&gt;"",INDEX('Coverage Indicators - Section D'!N$1:N$100,MATCH($A790,'Coverage Indicators - Section D'!$A$1:$A$100,0)+1),""),"")</f>
        <v/>
      </c>
      <c r="E802" s="98" t="str">
        <f>IFERROR(IF(INDEX('Coverage Indicators - Section D'!Q$1:Q$100,MATCH($A790,'Coverage Indicators - Section D'!$A$1:$A$100,0)+1)&lt;&gt;"",INDEX('Coverage Indicators - Section D'!Q$1:Q$100,MATCH($A790,'Coverage Indicators - Section D'!$A$1:$A$100,0)+1),""),"")</f>
        <v/>
      </c>
      <c r="F802" s="98" t="str">
        <f>IFERROR(IF(INDEX('Coverage Indicators - Section D'!T$1:T$100,MATCH($A790,'Coverage Indicators - Section D'!$A$1:$A$100,0)+1)&lt;&gt;"",INDEX('Coverage Indicators - Section D'!T$1:T$100,MATCH($A790,'Coverage Indicators - Section D'!$A$1:$A$100,0)+1),""),"")</f>
        <v/>
      </c>
      <c r="G802" s="98" t="str">
        <f>IFERROR(IF(INDEX('Coverage Indicators - Section D'!W$1:W$100,MATCH($A790,'Coverage Indicators - Section D'!$A$1:$A$100,0)+1)&lt;&gt;"",INDEX('Coverage Indicators - Section D'!W$1:W$100,MATCH($A790,'Coverage Indicators - Section D'!$A$1:$A$100,0)+1),""),"")</f>
        <v/>
      </c>
      <c r="H802" s="98" t="str">
        <f>IFERROR(IF(INDEX('Coverage Indicators - Section D'!Z$1:Z$100,MATCH($A790,'Coverage Indicators - Section D'!$A$1:$A$100,0)+1)&lt;&gt;"",INDEX('Coverage Indicators - Section D'!Z$1:Z$100,MATCH($A790,'Coverage Indicators - Section D'!$A$1:$A$100,0)+1),""),"")</f>
        <v/>
      </c>
      <c r="I802" s="98" t="str">
        <f>IFERROR(IF(INDEX('Coverage Indicators - Section D'!AC$1:AC$100,MATCH($A790,'Coverage Indicators - Section D'!$A$1:$A$100,0)+1)&lt;&gt;"",INDEX('Coverage Indicators - Section D'!AC$1:AC$100,MATCH($A790,'Coverage Indicators - Section D'!$A$1:$A$100,0)+1),""),"")</f>
        <v/>
      </c>
      <c r="J802" s="98" t="str">
        <f>IFERROR(IF(INDEX('Coverage Indicators - Section D'!AF$1:AF$100,MATCH($A790,'Coverage Indicators - Section D'!$A$1:$A$100,0)+1)&lt;&gt;"",INDEX('Coverage Indicators - Section D'!AF$1:AF$100,MATCH($A790,'Coverage Indicators - Section D'!$A$1:$A$100,0)+1),""),"")</f>
        <v/>
      </c>
      <c r="K802" s="98" t="str">
        <f>IFERROR(IF(INDEX('Coverage Indicators - Section D'!AI$1:AI$100,MATCH($A790,'Coverage Indicators - Section D'!$A$1:$A$100,0)+1)&lt;&gt;"",INDEX('Coverage Indicators - Section D'!AI$1:AI$100,MATCH($A790,'Coverage Indicators - Section D'!$A$1:$A$100,0)+1),""),"")</f>
        <v/>
      </c>
      <c r="L802" s="99"/>
    </row>
    <row r="803" spans="1:12" ht="18.75" customHeight="1" x14ac:dyDescent="0.25">
      <c r="A803" s="667"/>
      <c r="B803" s="93" t="s">
        <v>4388</v>
      </c>
      <c r="C803" s="94" t="str">
        <f ca="1">IFERROR(IF(INDEX('Coverage Indicators - Section D'!F$1:F$100,MATCH($A790,'Coverage Indicators - Section D'!$A$1:$A$100,0))&lt;&gt;"",FIXED(INDEX('Coverage Indicators - Section D'!F$1:F$100,MATCH($A790,'Coverage Indicators - Section D'!$A$1:$A$100,0))*100,2)&amp;"%",""),"")</f>
        <v/>
      </c>
      <c r="D803" s="94" t="str">
        <f ca="1">IFERROR(IF(INDEX('Coverage Indicators - Section D'!O$1:O$100,MATCH($A790,'Coverage Indicators - Section D'!$A$1:$A$100,0))&lt;&gt;"",FIXED(INDEX('Coverage Indicators - Section D'!O$1:O$100,MATCH($A790,'Coverage Indicators - Section D'!$A$1:$A$100,0))*100,2)&amp;"%",""),"")&amp;CHAR(10)&amp;IFERROR(IF(INDEX('Coverage Indicators - Section D'!P$1:P$100,MATCH($A790,'Coverage Indicators - Section D'!$A$1:$A$100,0))&lt;&gt;"",INDEX('Coverage Indicators - Section D'!P$1:P$100,MATCH($A790,'Coverage Indicators - Section D'!$A$1:$A$100,0)),""),"")</f>
        <v xml:space="preserve">
</v>
      </c>
      <c r="E803" s="94" t="str">
        <f ca="1">IFERROR(IF(INDEX('Coverage Indicators - Section D'!R$1:R$100,MATCH($A790,'Coverage Indicators - Section D'!$A$1:$A$100,0))&lt;&gt;"",FIXED(INDEX('Coverage Indicators - Section D'!R$1:R$100,MATCH($A790,'Coverage Indicators - Section D'!$A$1:$A$100,0))*100,2)&amp;"%",""),"")&amp;CHAR(10)&amp;IFERROR(IF(INDEX('Coverage Indicators - Section D'!S$1:S$100,MATCH($A790,'Coverage Indicators - Section D'!$A$1:$A$100,0))&lt;&gt;"",INDEX('Coverage Indicators - Section D'!S$1:S$100,MATCH($A790,'Coverage Indicators - Section D'!$A$1:$A$100,0)),""),"")</f>
        <v xml:space="preserve">
</v>
      </c>
      <c r="F803" s="94" t="str">
        <f ca="1">IFERROR(IF(INDEX('Coverage Indicators - Section D'!U$1:U$100,MATCH($A790,'Coverage Indicators - Section D'!$A$1:$A$100,0))&lt;&gt;"",FIXED(INDEX('Coverage Indicators - Section D'!U$1:U$100,MATCH($A790,'Coverage Indicators - Section D'!$A$1:$A$100,0))*100,2)&amp;"%",""),"")&amp;CHAR(10)&amp;IFERROR(IF(INDEX('Coverage Indicators - Section D'!V$1:V$100,MATCH($A790,'Coverage Indicators - Section D'!$A$1:$A$100,0))&lt;&gt;"",INDEX('Coverage Indicators - Section D'!V$1:V$100,MATCH($A790,'Coverage Indicators - Section D'!$A$1:$A$100,0)),""),"")</f>
        <v xml:space="preserve">
</v>
      </c>
      <c r="G803" s="94" t="str">
        <f ca="1">IFERROR(IF(INDEX('Coverage Indicators - Section D'!X$1:X$100,MATCH($A790,'Coverage Indicators - Section D'!$A$1:$A$100,0))&lt;&gt;"",FIXED(INDEX('Coverage Indicators - Section D'!X$1:X$100,MATCH($A790,'Coverage Indicators - Section D'!$A$1:$A$100,0))*100,2)&amp;"%",""),"")&amp;CHAR(10)&amp;IFERROR(IF(INDEX('Coverage Indicators - Section D'!Y$1:Y$100,MATCH($A790,'Coverage Indicators - Section D'!$A$1:$A$100,0))&lt;&gt;"",INDEX('Coverage Indicators - Section D'!Y$1:Y$100,MATCH($A790,'Coverage Indicators - Section D'!$A$1:$A$100,0)),""),"")</f>
        <v xml:space="preserve">
</v>
      </c>
      <c r="H803" s="94" t="str">
        <f ca="1">IFERROR(IF(INDEX('Coverage Indicators - Section D'!AA$1:AA$100,MATCH(A790,'Coverage Indicators - Section D'!$A$1:$A$100,0))&lt;&gt;"",FIXED(INDEX('Coverage Indicators - Section D'!AA$1:AA$100,MATCH($A790,'Coverage Indicators - Section D'!$A$1:$A$100,0))*100,2)&amp;"%",""),"")&amp;CHAR(10)&amp;IFERROR(IF(INDEX('Coverage Indicators - Section D'!AB$1:AB$100,MATCH($A790,'Coverage Indicators - Section D'!$A$1:$A$100,0))&lt;&gt;"",INDEX('Coverage Indicators - Section D'!AB$1:AB$100,MATCH($A790,'Coverage Indicators - Section D'!$A$1:$A$100,0)),""),"")</f>
        <v xml:space="preserve">
</v>
      </c>
      <c r="I803" s="94" t="str">
        <f ca="1">IFERROR(IF(INDEX('Coverage Indicators - Section D'!AD$1:AD$100,MATCH($A790,'Coverage Indicators - Section D'!$A$1:$A$100,0))&lt;&gt;"",FIXED(INDEX('Coverage Indicators - Section D'!AD$1:AD$100,MATCH($A790,'Coverage Indicators - Section D'!$A$1:$A$100,0))*100,2)&amp;"%",""),"")&amp;CHAR(10)&amp;IFERROR(IF(INDEX('Coverage Indicators - Section D'!AE$1:AE$100,MATCH($A790,'Coverage Indicators - Section D'!$A$1:$A$100,0))&lt;&gt;"",INDEX('Coverage Indicators - Section D'!AE$1:AE$100,MATCH($A790,'Coverage Indicators - Section D'!$A$1:$A$100,0)),""),"")</f>
        <v xml:space="preserve">
</v>
      </c>
      <c r="J803" s="94" t="str">
        <f ca="1">IFERROR(IF(INDEX('Coverage Indicators - Section D'!AG$1:AG$100,MATCH($A790,'Coverage Indicators - Section D'!$A$1:$A$100,0))&lt;&gt;"",FIXED(INDEX('Coverage Indicators - Section D'!AG$1:AG$100,MATCH($A790,'Coverage Indicators - Section D'!$A$1:$A$100,0))*100,2)&amp;"%",""),"")&amp;CHAR(10)&amp;IFERROR(IF(INDEX('Coverage Indicators - Section D'!AH$1:AH$100,MATCH($A790,'Coverage Indicators - Section D'!$A$1:$A$100,0))&lt;&gt;"",INDEX('Coverage Indicators - Section D'!AH$1:AH$100,MATCH($A790,'Coverage Indicators - Section D'!$A$1:$A$100,0)),""),"")</f>
        <v xml:space="preserve">
</v>
      </c>
      <c r="K803" s="94" t="str">
        <f ca="1">IFERROR(IF(INDEX('Coverage Indicators - Section D'!AJ$1:AJ$100,MATCH($A790,'Coverage Indicators - Section D'!$A$1:$A$100,0))&lt;&gt;"",FIXED(INDEX('Coverage Indicators - Section D'!AJ$1:AJ$100,MATCH($A790,'Coverage Indicators - Section D'!$A$1:$A$100,0))*100,2)&amp;"%",""),"")&amp;CHAR(10)&amp;IFERROR(IF(INDEX('Coverage Indicators - Section D'!AK$1:AK$100,MATCH($A790,'Coverage Indicators - Section D'!$A$1:$A$100,0))&lt;&gt;"",INDEX('Coverage Indicators - Section D'!AK$1:AK$100,MATCH($A790,'Coverage Indicators - Section D'!$A$1:$A$100,0)),""),"")</f>
        <v xml:space="preserve">
</v>
      </c>
      <c r="L803" s="86"/>
    </row>
    <row r="804" spans="1:12" ht="18.75" customHeight="1" x14ac:dyDescent="0.25">
      <c r="A804" s="667"/>
      <c r="B804" s="660" t="s">
        <v>176</v>
      </c>
      <c r="C804" s="661"/>
      <c r="D804" s="661"/>
      <c r="E804" s="661"/>
      <c r="F804" s="661"/>
      <c r="G804" s="661"/>
      <c r="H804" s="661"/>
      <c r="I804" s="661"/>
      <c r="J804" s="661"/>
      <c r="K804" s="662"/>
      <c r="L804" s="86"/>
    </row>
    <row r="805" spans="1:12" ht="18.75" customHeight="1" x14ac:dyDescent="0.25">
      <c r="A805" s="667"/>
      <c r="B805" s="669" t="str">
        <f>IFERROR(IF(INDEX('Coverage Indicators - Section D'!AL$1:AL$110,MATCH($A790,'Coverage Indicators - Section D'!$A$1:$A$110,0))&lt;&gt;0,INDEX('Coverage Indicators - Section D'!AL$1:AL$110,MATCH($A790,'Coverage Indicators - Section D'!$A$1:$A$110,0)),""),"")</f>
        <v/>
      </c>
      <c r="C805" s="670"/>
      <c r="D805" s="670"/>
      <c r="E805" s="670"/>
      <c r="F805" s="670"/>
      <c r="G805" s="670"/>
      <c r="H805" s="670"/>
      <c r="I805" s="670"/>
      <c r="J805" s="670"/>
      <c r="K805" s="671"/>
      <c r="L805" s="86"/>
    </row>
    <row r="806" spans="1:12" ht="18.75" customHeight="1" x14ac:dyDescent="0.25">
      <c r="A806" s="667"/>
      <c r="B806" s="672"/>
      <c r="C806" s="673"/>
      <c r="D806" s="673"/>
      <c r="E806" s="673"/>
      <c r="F806" s="673"/>
      <c r="G806" s="673"/>
      <c r="H806" s="673"/>
      <c r="I806" s="673"/>
      <c r="J806" s="673"/>
      <c r="K806" s="674"/>
      <c r="L806" s="86"/>
    </row>
    <row r="807" spans="1:12" ht="18.75" customHeight="1" x14ac:dyDescent="0.25">
      <c r="A807" s="667"/>
      <c r="B807" s="672"/>
      <c r="C807" s="673"/>
      <c r="D807" s="673"/>
      <c r="E807" s="673"/>
      <c r="F807" s="673"/>
      <c r="G807" s="673"/>
      <c r="H807" s="673"/>
      <c r="I807" s="673"/>
      <c r="J807" s="673"/>
      <c r="K807" s="674"/>
      <c r="L807" s="86"/>
    </row>
    <row r="808" spans="1:12" ht="18.75" customHeight="1" x14ac:dyDescent="0.25">
      <c r="A808" s="667"/>
      <c r="B808" s="672"/>
      <c r="C808" s="673"/>
      <c r="D808" s="673"/>
      <c r="E808" s="673"/>
      <c r="F808" s="673"/>
      <c r="G808" s="673"/>
      <c r="H808" s="673"/>
      <c r="I808" s="673"/>
      <c r="J808" s="673"/>
      <c r="K808" s="674"/>
      <c r="L808" s="86"/>
    </row>
    <row r="809" spans="1:12" ht="18.75" customHeight="1" x14ac:dyDescent="0.25">
      <c r="A809" s="667"/>
      <c r="B809" s="672"/>
      <c r="C809" s="673"/>
      <c r="D809" s="673"/>
      <c r="E809" s="673"/>
      <c r="F809" s="673"/>
      <c r="G809" s="673"/>
      <c r="H809" s="673"/>
      <c r="I809" s="673"/>
      <c r="J809" s="673"/>
      <c r="K809" s="674"/>
      <c r="L809" s="86"/>
    </row>
    <row r="810" spans="1:12" ht="18.75" customHeight="1" x14ac:dyDescent="0.25">
      <c r="A810" s="667"/>
      <c r="B810" s="672"/>
      <c r="C810" s="673"/>
      <c r="D810" s="673"/>
      <c r="E810" s="673"/>
      <c r="F810" s="673"/>
      <c r="G810" s="673"/>
      <c r="H810" s="673"/>
      <c r="I810" s="673"/>
      <c r="J810" s="673"/>
      <c r="K810" s="674"/>
      <c r="L810" s="86"/>
    </row>
    <row r="811" spans="1:12" ht="18.75" customHeight="1" x14ac:dyDescent="0.25">
      <c r="A811" s="667"/>
      <c r="B811" s="672"/>
      <c r="C811" s="673"/>
      <c r="D811" s="673"/>
      <c r="E811" s="673"/>
      <c r="F811" s="673"/>
      <c r="G811" s="673"/>
      <c r="H811" s="673"/>
      <c r="I811" s="673"/>
      <c r="J811" s="673"/>
      <c r="K811" s="674"/>
      <c r="L811" s="86"/>
    </row>
    <row r="812" spans="1:12" ht="18.75" customHeight="1" x14ac:dyDescent="0.25">
      <c r="A812" s="667"/>
      <c r="B812" s="672"/>
      <c r="C812" s="673"/>
      <c r="D812" s="673"/>
      <c r="E812" s="673"/>
      <c r="F812" s="673"/>
      <c r="G812" s="673"/>
      <c r="H812" s="673"/>
      <c r="I812" s="673"/>
      <c r="J812" s="673"/>
      <c r="K812" s="674"/>
      <c r="L812" s="86"/>
    </row>
    <row r="813" spans="1:12" ht="18.75" customHeight="1" x14ac:dyDescent="0.25">
      <c r="A813" s="667"/>
      <c r="B813" s="672"/>
      <c r="C813" s="673"/>
      <c r="D813" s="673"/>
      <c r="E813" s="673"/>
      <c r="F813" s="673"/>
      <c r="G813" s="673"/>
      <c r="H813" s="673"/>
      <c r="I813" s="673"/>
      <c r="J813" s="673"/>
      <c r="K813" s="674"/>
      <c r="L813" s="86"/>
    </row>
    <row r="814" spans="1:12" ht="18.75" customHeight="1" x14ac:dyDescent="0.25">
      <c r="A814" s="668"/>
      <c r="B814" s="675"/>
      <c r="C814" s="676"/>
      <c r="D814" s="676"/>
      <c r="E814" s="676"/>
      <c r="F814" s="676"/>
      <c r="G814" s="676"/>
      <c r="H814" s="676"/>
      <c r="I814" s="676"/>
      <c r="J814" s="676"/>
      <c r="K814" s="677"/>
      <c r="L814" s="86"/>
    </row>
    <row r="815" spans="1:12" ht="18.75" customHeight="1" x14ac:dyDescent="0.25">
      <c r="A815" s="660"/>
      <c r="B815" s="661"/>
      <c r="C815" s="661"/>
      <c r="D815" s="661"/>
      <c r="E815" s="661"/>
      <c r="F815" s="661"/>
      <c r="G815" s="661"/>
      <c r="H815" s="661"/>
      <c r="I815" s="661"/>
      <c r="J815" s="661"/>
      <c r="K815" s="662"/>
      <c r="L815" s="86"/>
    </row>
    <row r="817" spans="1:12" ht="18.75" customHeight="1" x14ac:dyDescent="0.25">
      <c r="A817" s="93" t="s">
        <v>4383</v>
      </c>
      <c r="B817" s="660" t="s">
        <v>1046</v>
      </c>
      <c r="C817" s="662"/>
      <c r="D817" s="663" t="str">
        <f>IFERROR(IF(INDEX('Coverage Indicators - Section D'!B$1:B$100,MATCH($A818,'Coverage Indicators - Section D'!$A$1:$A$100,0))&lt;&gt;0,INDEX('Coverage Indicators - Section D'!B$1:B$100,MATCH($A818,'Coverage Indicators - Section D'!$A$1:$A$100,0)),""),"")</f>
        <v/>
      </c>
      <c r="E817" s="664"/>
      <c r="F817" s="664"/>
      <c r="G817" s="664"/>
      <c r="H817" s="664"/>
      <c r="I817" s="664"/>
      <c r="J817" s="664"/>
      <c r="K817" s="665"/>
      <c r="L817" s="86"/>
    </row>
    <row r="818" spans="1:12" ht="18.75" customHeight="1" x14ac:dyDescent="0.25">
      <c r="A818" s="666">
        <v>30</v>
      </c>
      <c r="B818" s="660" t="s">
        <v>738</v>
      </c>
      <c r="C818" s="661"/>
      <c r="D818" s="661"/>
      <c r="E818" s="661"/>
      <c r="F818" s="662"/>
      <c r="G818" s="660" t="s">
        <v>739</v>
      </c>
      <c r="H818" s="661"/>
      <c r="I818" s="661"/>
      <c r="J818" s="661"/>
      <c r="K818" s="662"/>
      <c r="L818" s="86"/>
    </row>
    <row r="819" spans="1:12" ht="18.75" customHeight="1" x14ac:dyDescent="0.25">
      <c r="A819" s="667"/>
      <c r="B819" s="669" t="str">
        <f>IFERROR(IF(INDEX('Coverage Indicators - Section D'!C$1:C$100,MATCH($A818,'Coverage Indicators - Section D'!$A$1:$A$100,0))&lt;&gt;0,INDEX('Coverage Indicators - Section D'!C$1:C$100,MATCH($A818,'Coverage Indicators - Section D'!$A$1:$A$100,0)),""),"")</f>
        <v/>
      </c>
      <c r="C819" s="670"/>
      <c r="D819" s="670"/>
      <c r="E819" s="670"/>
      <c r="F819" s="671"/>
      <c r="G819" s="669" t="str">
        <f>IFERROR(IF(INDEX('Coverage Indicators - Section D'!D$1:D$100,MATCH($A818,'Coverage Indicators - Section D'!$A$1:$A$100,0))&lt;&gt;0,INDEX('Coverage Indicators - Section D'!D$1:D$100,MATCH($A818,'Coverage Indicators - Section D'!$A$1:$A$100,0)),""),"")</f>
        <v/>
      </c>
      <c r="H819" s="670"/>
      <c r="I819" s="670"/>
      <c r="J819" s="670"/>
      <c r="K819" s="671"/>
      <c r="L819" s="86"/>
    </row>
    <row r="820" spans="1:12" ht="18.75" customHeight="1" x14ac:dyDescent="0.25">
      <c r="A820" s="667"/>
      <c r="B820" s="672"/>
      <c r="C820" s="673"/>
      <c r="D820" s="673"/>
      <c r="E820" s="673"/>
      <c r="F820" s="674"/>
      <c r="G820" s="672"/>
      <c r="H820" s="673"/>
      <c r="I820" s="673"/>
      <c r="J820" s="673"/>
      <c r="K820" s="674"/>
      <c r="L820" s="86"/>
    </row>
    <row r="821" spans="1:12" ht="18.75" customHeight="1" x14ac:dyDescent="0.25">
      <c r="A821" s="667"/>
      <c r="B821" s="675"/>
      <c r="C821" s="676"/>
      <c r="D821" s="676"/>
      <c r="E821" s="676"/>
      <c r="F821" s="677"/>
      <c r="G821" s="675"/>
      <c r="H821" s="676"/>
      <c r="I821" s="676"/>
      <c r="J821" s="676"/>
      <c r="K821" s="677"/>
      <c r="L821" s="86"/>
    </row>
    <row r="822" spans="1:12" ht="18.75" customHeight="1" x14ac:dyDescent="0.25">
      <c r="A822" s="667"/>
      <c r="B822" s="660" t="s">
        <v>742</v>
      </c>
      <c r="C822" s="661"/>
      <c r="D822" s="662"/>
      <c r="E822" s="660" t="s">
        <v>216</v>
      </c>
      <c r="F822" s="661"/>
      <c r="G822" s="662"/>
      <c r="H822" s="660" t="s">
        <v>127</v>
      </c>
      <c r="I822" s="661"/>
      <c r="J822" s="662"/>
      <c r="K822" s="93" t="s">
        <v>2175</v>
      </c>
      <c r="L822" s="86"/>
    </row>
    <row r="823" spans="1:12" ht="18.75" customHeight="1" x14ac:dyDescent="0.25">
      <c r="A823" s="667"/>
      <c r="B823" s="663" t="str">
        <f>IFERROR(IF(INDEX('Coverage Indicators - Section D'!I$9:I$68,MATCH($A818,'Coverage Indicators - Section D'!$A$9:$A$68,0))&lt;&gt;0,INDEX('Coverage Indicators - Section D'!I$9:I$68,MATCH($A818,'Coverage Indicators - Section D'!$A$9:$A$68,0)),""),"")</f>
        <v/>
      </c>
      <c r="C823" s="664"/>
      <c r="D823" s="665"/>
      <c r="E823" s="663" t="str">
        <f>IFERROR(IF(INDEX('Coverage Indicators - Section D'!M$1:M$100,MATCH($A818,'Coverage Indicators - Section D'!$A$1:$A$100,0))&lt;&gt;0,INDEX('Coverage Indicators - Section D'!M$1:M$100,MATCH($A818,'Coverage Indicators - Section D'!$A$1:$A$100,0)),""),"")</f>
        <v/>
      </c>
      <c r="F823" s="664"/>
      <c r="G823" s="665"/>
      <c r="H823" s="663" t="str">
        <f>IFERROR(IF(INDEX('Coverage Indicators - Section D'!L$1:L$100,MATCH($A818,'Coverage Indicators - Section D'!$A$1:$A$100,0))&lt;&gt;0,INDEX('Coverage Indicators - Section D'!L$1:L$100,MATCH($A818,'Coverage Indicators - Section D'!$A$1:$A$100,0)),""),"")</f>
        <v/>
      </c>
      <c r="I823" s="664"/>
      <c r="J823" s="665"/>
      <c r="K823" s="94" t="str">
        <f>IFERROR(IF(INDEX('Coverage Indicators - Section D'!J$1:J$100,MATCH($A818,'Coverage Indicators - Section D'!$A$1:$A$100,0))&lt;&gt;0,INDEX('Coverage Indicators - Section D'!J$1:J$100,MATCH($A818,'Coverage Indicators - Section D'!$A$1:$A$100,0)),""),"")</f>
        <v/>
      </c>
      <c r="L823" s="86"/>
    </row>
    <row r="824" spans="1:12" ht="18.75" customHeight="1" x14ac:dyDescent="0.25">
      <c r="A824" s="667"/>
      <c r="B824" s="660" t="s">
        <v>199</v>
      </c>
      <c r="C824" s="661"/>
      <c r="D824" s="662"/>
      <c r="E824" s="660" t="s">
        <v>4392</v>
      </c>
      <c r="F824" s="661"/>
      <c r="G824" s="662"/>
      <c r="H824" s="660" t="s">
        <v>120</v>
      </c>
      <c r="I824" s="661"/>
      <c r="J824" s="661"/>
      <c r="K824" s="662"/>
      <c r="L824" s="86"/>
    </row>
    <row r="825" spans="1:12" ht="18.75" customHeight="1" x14ac:dyDescent="0.25">
      <c r="A825" s="667"/>
      <c r="B825" s="669" t="str">
        <f>IFERROR(IF(INDEX('Coverage Indicators - Section D'!H$1:H$100,MATCH($A818,'Coverage Indicators - Section D'!$A$1:$A$100,0))&lt;&gt;0,INDEX('Coverage Indicators - Section D'!H$1:H$100,MATCH($A818,'Coverage Indicators - Section D'!$A$1:$A$100,0)),""),"")</f>
        <v/>
      </c>
      <c r="C825" s="670"/>
      <c r="D825" s="671"/>
      <c r="E825" s="669" t="str">
        <f>IFERROR(IF(INDEX('Coverage Indicators - Section D'!L$1:L$100,MATCH($A818,'Coverage Indicators - Section D'!$A$1:$A$100,0)+1)&lt;&gt;0,INDEX('Coverage Indicators - Section D'!L$1:L$100,MATCH($A818,'Coverage Indicators - Section D'!$A$1:$A$100,0)+1),""),"")</f>
        <v/>
      </c>
      <c r="F825" s="670"/>
      <c r="G825" s="671"/>
      <c r="H825" s="669" t="str">
        <f>IFERROR(IF(AND('Overview - Section A'!AS$1="Grant Making",OR(B819&lt;&gt;"",G819&lt;&gt;"")),Setup!I827,IF(INDEX('Coverage Indicators - Section D'!K$1:K$100,MATCH($A818,'Coverage Indicators - Section D'!$A$1:$A$100,0))&lt;&gt;0,INDEX('Coverage Indicators - Section D'!K$1:K$100,MATCH($A818,'Coverage Indicators - Section D'!$A$1:$A$100,0)),"")),"")</f>
        <v/>
      </c>
      <c r="I825" s="670"/>
      <c r="J825" s="670"/>
      <c r="K825" s="671"/>
      <c r="L825" s="86"/>
    </row>
    <row r="826" spans="1:12" ht="18.75" customHeight="1" x14ac:dyDescent="0.25">
      <c r="A826" s="667"/>
      <c r="B826" s="675"/>
      <c r="C826" s="676"/>
      <c r="D826" s="677"/>
      <c r="E826" s="675"/>
      <c r="F826" s="676"/>
      <c r="G826" s="677"/>
      <c r="H826" s="675"/>
      <c r="I826" s="676"/>
      <c r="J826" s="676"/>
      <c r="K826" s="677"/>
      <c r="L826" s="86"/>
    </row>
    <row r="827" spans="1:12" ht="18.75" customHeight="1" x14ac:dyDescent="0.25">
      <c r="A827" s="667"/>
      <c r="B827" s="93"/>
      <c r="C827" s="93" t="s">
        <v>4384</v>
      </c>
      <c r="D827" s="660" t="s">
        <v>4385</v>
      </c>
      <c r="E827" s="661"/>
      <c r="F827" s="661"/>
      <c r="G827" s="661"/>
      <c r="H827" s="661"/>
      <c r="I827" s="661"/>
      <c r="J827" s="661"/>
      <c r="K827" s="662"/>
      <c r="L827" s="86"/>
    </row>
    <row r="828" spans="1:12" ht="18.75" customHeight="1" x14ac:dyDescent="0.25">
      <c r="A828" s="667"/>
      <c r="B828" s="93" t="s">
        <v>2559</v>
      </c>
      <c r="C828" s="94" t="str">
        <f>IFERROR(IF(INDEX('Coverage Indicators - Section D'!G$1:G$100,MATCH($A818,'Coverage Indicators - Section D'!$A$1:$A$100,0))&lt;&gt;0,INDEX('Coverage Indicators - Section D'!G$1:G$100,MATCH($A818,'Coverage Indicators - Section D'!$A$1:$A$100,0)),""),"")</f>
        <v/>
      </c>
      <c r="D828" s="93"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E828" s="93"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F828" s="93"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G828" s="93"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H828" s="93"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I828" s="93"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J828" s="93"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K828" s="93"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L828" s="86"/>
    </row>
    <row r="829" spans="1:12" s="97" customFormat="1" ht="18.75" customHeight="1" x14ac:dyDescent="0.25">
      <c r="A829" s="667"/>
      <c r="B829" s="93" t="s">
        <v>4386</v>
      </c>
      <c r="C829" s="95" t="str">
        <f>IFERROR(IF(INDEX('Coverage Indicators - Section D'!E$1:E$100,MATCH($A818,'Coverage Indicators - Section D'!$A$1:$A$100,0))&lt;&gt;"",INDEX('Coverage Indicators - Section D'!E$1:E$100,MATCH($A818,'Coverage Indicators - Section D'!$A$1:$A$100,0)),""),"")</f>
        <v/>
      </c>
      <c r="D829" s="95" t="str">
        <f>IFERROR(IF(INDEX('Coverage Indicators - Section D'!N$1:N$100,MATCH($A818,'Coverage Indicators - Section D'!$A$1:$A$100,0))&lt;&gt;"",INDEX('Coverage Indicators - Section D'!N$1:N$100,MATCH($A818,'Coverage Indicators - Section D'!$A$1:$A$100,0)),""),"")</f>
        <v/>
      </c>
      <c r="E829" s="95" t="str">
        <f>IFERROR(IF(INDEX('Coverage Indicators - Section D'!Q$1:Q$100,MATCH($A818,'Coverage Indicators - Section D'!$A$1:$A$100,0))&lt;&gt;"",INDEX('Coverage Indicators - Section D'!Q$1:Q$100,MATCH($A818,'Coverage Indicators - Section D'!$A$1:$A$100,0)),""),"")</f>
        <v/>
      </c>
      <c r="F829" s="95" t="str">
        <f>IFERROR(IF(INDEX('Coverage Indicators - Section D'!T$1:T$100,MATCH($A818,'Coverage Indicators - Section D'!$A$1:$A$100,0))&lt;&gt;"",INDEX('Coverage Indicators - Section D'!T$1:T$100,MATCH($A818,'Coverage Indicators - Section D'!$A$1:$A$100,0)),""),"")</f>
        <v/>
      </c>
      <c r="G829" s="95" t="str">
        <f>IFERROR(IF(INDEX('Coverage Indicators - Section D'!W$1:W$100,MATCH($A818,'Coverage Indicators - Section D'!$A$1:$A$100,0))&lt;&gt;"",INDEX('Coverage Indicators - Section D'!W$1:W$100,MATCH($A818,'Coverage Indicators - Section D'!$A$1:$A$100,0)),""),"")</f>
        <v/>
      </c>
      <c r="H829" s="95" t="str">
        <f>IFERROR(IF(INDEX('Coverage Indicators - Section D'!Z$1:Z$100,MATCH($A818,'Coverage Indicators - Section D'!$A$1:$A$100,0))&lt;&gt;"",INDEX('Coverage Indicators - Section D'!Z$1:Z$100,MATCH($A818,'Coverage Indicators - Section D'!$A$1:$A$100,0)),""),"")</f>
        <v/>
      </c>
      <c r="I829" s="95" t="str">
        <f>IFERROR(IF(INDEX('Coverage Indicators - Section D'!AC$1:AC$100,MATCH($A818,'Coverage Indicators - Section D'!$A$1:$A$100,0))&lt;&gt;"",INDEX('Coverage Indicators - Section D'!AC$1:AC$100,MATCH($A818,'Coverage Indicators - Section D'!$A$1:$A$100,0)),""),"")</f>
        <v/>
      </c>
      <c r="J829" s="95" t="str">
        <f>IFERROR(IF(INDEX('Coverage Indicators - Section D'!AF$1:AF$100,MATCH($A818,'Coverage Indicators - Section D'!$A$1:$A$100,0))&lt;&gt;"",INDEX('Coverage Indicators - Section D'!AF$1:AF$100,MATCH($A818,'Coverage Indicators - Section D'!$A$1:$A$100,0)),""),"")</f>
        <v/>
      </c>
      <c r="K829" s="95" t="str">
        <f>IFERROR(IF(INDEX('Coverage Indicators - Section D'!AI$1:AI$100,MATCH($A818,'Coverage Indicators - Section D'!$A$1:$A$100,0))&lt;&gt;"",INDEX('Coverage Indicators - Section D'!AI$1:AI$100,MATCH($A818,'Coverage Indicators - Section D'!$A$1:$A$100,0)),""),"")</f>
        <v/>
      </c>
      <c r="L829" s="96"/>
    </row>
    <row r="830" spans="1:12" s="100" customFormat="1" ht="18.75" customHeight="1" x14ac:dyDescent="0.25">
      <c r="A830" s="667"/>
      <c r="B830" s="93" t="s">
        <v>4387</v>
      </c>
      <c r="C830" s="98" t="str">
        <f>IFERROR(IF(INDEX('Coverage Indicators - Section D'!E$1:E$100,MATCH($A818,'Coverage Indicators - Section D'!$A$1:$A$100,0)+1)&lt;&gt;"",INDEX('Coverage Indicators - Section D'!E$1:E$100,MATCH($A818,'Coverage Indicators - Section D'!$A$1:$A$100,0)+1),""),"")</f>
        <v/>
      </c>
      <c r="D830" s="98" t="str">
        <f>IFERROR(IF(INDEX('Coverage Indicators - Section D'!N$1:N$100,MATCH($A818,'Coverage Indicators - Section D'!$A$1:$A$100,0)+1)&lt;&gt;"",INDEX('Coverage Indicators - Section D'!N$1:N$100,MATCH($A818,'Coverage Indicators - Section D'!$A$1:$A$100,0)+1),""),"")</f>
        <v/>
      </c>
      <c r="E830" s="98" t="str">
        <f>IFERROR(IF(INDEX('Coverage Indicators - Section D'!Q$1:Q$100,MATCH($A818,'Coverage Indicators - Section D'!$A$1:$A$100,0)+1)&lt;&gt;"",INDEX('Coverage Indicators - Section D'!Q$1:Q$100,MATCH($A818,'Coverage Indicators - Section D'!$A$1:$A$100,0)+1),""),"")</f>
        <v/>
      </c>
      <c r="F830" s="98" t="str">
        <f>IFERROR(IF(INDEX('Coverage Indicators - Section D'!T$1:T$100,MATCH($A818,'Coverage Indicators - Section D'!$A$1:$A$100,0)+1)&lt;&gt;"",INDEX('Coverage Indicators - Section D'!T$1:T$100,MATCH($A818,'Coverage Indicators - Section D'!$A$1:$A$100,0)+1),""),"")</f>
        <v/>
      </c>
      <c r="G830" s="98" t="str">
        <f>IFERROR(IF(INDEX('Coverage Indicators - Section D'!W$1:W$100,MATCH($A818,'Coverage Indicators - Section D'!$A$1:$A$100,0)+1)&lt;&gt;"",INDEX('Coverage Indicators - Section D'!W$1:W$100,MATCH($A818,'Coverage Indicators - Section D'!$A$1:$A$100,0)+1),""),"")</f>
        <v/>
      </c>
      <c r="H830" s="98" t="str">
        <f>IFERROR(IF(INDEX('Coverage Indicators - Section D'!Z$1:Z$100,MATCH($A818,'Coverage Indicators - Section D'!$A$1:$A$100,0)+1)&lt;&gt;"",INDEX('Coverage Indicators - Section D'!Z$1:Z$100,MATCH($A818,'Coverage Indicators - Section D'!$A$1:$A$100,0)+1),""),"")</f>
        <v/>
      </c>
      <c r="I830" s="98" t="str">
        <f>IFERROR(IF(INDEX('Coverage Indicators - Section D'!AC$1:AC$100,MATCH($A818,'Coverage Indicators - Section D'!$A$1:$A$100,0)+1)&lt;&gt;"",INDEX('Coverage Indicators - Section D'!AC$1:AC$100,MATCH($A818,'Coverage Indicators - Section D'!$A$1:$A$100,0)+1),""),"")</f>
        <v/>
      </c>
      <c r="J830" s="98" t="str">
        <f>IFERROR(IF(INDEX('Coverage Indicators - Section D'!AF$1:AF$100,MATCH($A818,'Coverage Indicators - Section D'!$A$1:$A$100,0)+1)&lt;&gt;"",INDEX('Coverage Indicators - Section D'!AF$1:AF$100,MATCH($A818,'Coverage Indicators - Section D'!$A$1:$A$100,0)+1),""),"")</f>
        <v/>
      </c>
      <c r="K830" s="98" t="str">
        <f>IFERROR(IF(INDEX('Coverage Indicators - Section D'!AI$1:AI$100,MATCH($A818,'Coverage Indicators - Section D'!$A$1:$A$100,0)+1)&lt;&gt;"",INDEX('Coverage Indicators - Section D'!AI$1:AI$100,MATCH($A818,'Coverage Indicators - Section D'!$A$1:$A$100,0)+1),""),"")</f>
        <v/>
      </c>
      <c r="L830" s="99"/>
    </row>
    <row r="831" spans="1:12" ht="18.75" customHeight="1" x14ac:dyDescent="0.25">
      <c r="A831" s="667"/>
      <c r="B831" s="93" t="s">
        <v>4388</v>
      </c>
      <c r="C831" s="94" t="str">
        <f ca="1">IFERROR(IF(INDEX('Coverage Indicators - Section D'!F$1:F$100,MATCH($A818,'Coverage Indicators - Section D'!$A$1:$A$100,0))&lt;&gt;"",FIXED(INDEX('Coverage Indicators - Section D'!F$1:F$100,MATCH($A818,'Coverage Indicators - Section D'!$A$1:$A$100,0))*100,2)&amp;"%",""),"")</f>
        <v/>
      </c>
      <c r="D831" s="94" t="str">
        <f ca="1">IFERROR(IF(INDEX('Coverage Indicators - Section D'!O$1:O$100,MATCH($A818,'Coverage Indicators - Section D'!$A$1:$A$100,0))&lt;&gt;"",FIXED(INDEX('Coverage Indicators - Section D'!O$1:O$100,MATCH($A818,'Coverage Indicators - Section D'!$A$1:$A$100,0))*100,2)&amp;"%",""),"")&amp;CHAR(10)&amp;IFERROR(IF(INDEX('Coverage Indicators - Section D'!P$1:P$100,MATCH($A818,'Coverage Indicators - Section D'!$A$1:$A$100,0))&lt;&gt;"",INDEX('Coverage Indicators - Section D'!P$1:P$100,MATCH($A818,'Coverage Indicators - Section D'!$A$1:$A$100,0)),""),"")</f>
        <v xml:space="preserve">
</v>
      </c>
      <c r="E831" s="94" t="str">
        <f ca="1">IFERROR(IF(INDEX('Coverage Indicators - Section D'!R$1:R$100,MATCH($A818,'Coverage Indicators - Section D'!$A$1:$A$100,0))&lt;&gt;"",FIXED(INDEX('Coverage Indicators - Section D'!R$1:R$100,MATCH($A818,'Coverage Indicators - Section D'!$A$1:$A$100,0))*100,2)&amp;"%",""),"")&amp;CHAR(10)&amp;IFERROR(IF(INDEX('Coverage Indicators - Section D'!S$1:S$100,MATCH($A818,'Coverage Indicators - Section D'!$A$1:$A$100,0))&lt;&gt;"",INDEX('Coverage Indicators - Section D'!S$1:S$100,MATCH($A818,'Coverage Indicators - Section D'!$A$1:$A$100,0)),""),"")</f>
        <v xml:space="preserve">
</v>
      </c>
      <c r="F831" s="94" t="str">
        <f ca="1">IFERROR(IF(INDEX('Coverage Indicators - Section D'!U$1:U$100,MATCH($A818,'Coverage Indicators - Section D'!$A$1:$A$100,0))&lt;&gt;"",FIXED(INDEX('Coverage Indicators - Section D'!U$1:U$100,MATCH($A818,'Coverage Indicators - Section D'!$A$1:$A$100,0))*100,2)&amp;"%",""),"")&amp;CHAR(10)&amp;IFERROR(IF(INDEX('Coverage Indicators - Section D'!V$1:V$100,MATCH($A818,'Coverage Indicators - Section D'!$A$1:$A$100,0))&lt;&gt;"",INDEX('Coverage Indicators - Section D'!V$1:V$100,MATCH($A818,'Coverage Indicators - Section D'!$A$1:$A$100,0)),""),"")</f>
        <v xml:space="preserve">
</v>
      </c>
      <c r="G831" s="94" t="str">
        <f ca="1">IFERROR(IF(INDEX('Coverage Indicators - Section D'!X$1:X$100,MATCH($A818,'Coverage Indicators - Section D'!$A$1:$A$100,0))&lt;&gt;"",FIXED(INDEX('Coverage Indicators - Section D'!X$1:X$100,MATCH($A818,'Coverage Indicators - Section D'!$A$1:$A$100,0))*100,2)&amp;"%",""),"")&amp;CHAR(10)&amp;IFERROR(IF(INDEX('Coverage Indicators - Section D'!Y$1:Y$100,MATCH($A818,'Coverage Indicators - Section D'!$A$1:$A$100,0))&lt;&gt;"",INDEX('Coverage Indicators - Section D'!Y$1:Y$100,MATCH($A818,'Coverage Indicators - Section D'!$A$1:$A$100,0)),""),"")</f>
        <v xml:space="preserve">
</v>
      </c>
      <c r="H831" s="94" t="str">
        <f ca="1">IFERROR(IF(INDEX('Coverage Indicators - Section D'!AA$1:AA$100,MATCH(A818,'Coverage Indicators - Section D'!$A$1:$A$100,0))&lt;&gt;"",FIXED(INDEX('Coverage Indicators - Section D'!AA$1:AA$100,MATCH($A818,'Coverage Indicators - Section D'!$A$1:$A$100,0))*100,2)&amp;"%",""),"")&amp;CHAR(10)&amp;IFERROR(IF(INDEX('Coverage Indicators - Section D'!AB$1:AB$100,MATCH($A818,'Coverage Indicators - Section D'!$A$1:$A$100,0))&lt;&gt;"",INDEX('Coverage Indicators - Section D'!AB$1:AB$100,MATCH($A818,'Coverage Indicators - Section D'!$A$1:$A$100,0)),""),"")</f>
        <v xml:space="preserve">
</v>
      </c>
      <c r="I831" s="94" t="str">
        <f ca="1">IFERROR(IF(INDEX('Coverage Indicators - Section D'!AD$1:AD$100,MATCH($A818,'Coverage Indicators - Section D'!$A$1:$A$100,0))&lt;&gt;"",FIXED(INDEX('Coverage Indicators - Section D'!AD$1:AD$100,MATCH($A818,'Coverage Indicators - Section D'!$A$1:$A$100,0))*100,2)&amp;"%",""),"")&amp;CHAR(10)&amp;IFERROR(IF(INDEX('Coverage Indicators - Section D'!AE$1:AE$100,MATCH($A818,'Coverage Indicators - Section D'!$A$1:$A$100,0))&lt;&gt;"",INDEX('Coverage Indicators - Section D'!AE$1:AE$100,MATCH($A818,'Coverage Indicators - Section D'!$A$1:$A$100,0)),""),"")</f>
        <v xml:space="preserve">
</v>
      </c>
      <c r="J831" s="94" t="str">
        <f>IFERROR(IF(INDEX('Coverage Indicators - Section D'!AG$1:AG$100,MATCH($A818,'Coverage Indicators - Section D'!$A$1:$A$100,0))&lt;&gt;"",FIXED(INDEX('Coverage Indicators - Section D'!AG$1:AG$100,MATCH($A818,'Coverage Indicators - Section D'!$A$1:$A$100,0))*100,2)&amp;"%",""),"")&amp;CHAR(10)&amp;IFERROR(IF(INDEX('Coverage Indicators - Section D'!AH$1:AH$100,MATCH($A818,'Coverage Indicators - Section D'!$A$1:$A$100,0))&lt;&gt;"",INDEX('Coverage Indicators - Section D'!AH$1:AH$100,MATCH($A818,'Coverage Indicators - Section D'!$A$1:$A$100,0)),""),"")</f>
        <v xml:space="preserve">
</v>
      </c>
      <c r="K831" s="94" t="str">
        <f>IFERROR(IF(INDEX('Coverage Indicators - Section D'!AJ$1:AJ$100,MATCH($A818,'Coverage Indicators - Section D'!$A$1:$A$100,0))&lt;&gt;"",FIXED(INDEX('Coverage Indicators - Section D'!AJ$1:AJ$100,MATCH($A818,'Coverage Indicators - Section D'!$A$1:$A$100,0))*100,2)&amp;"%",""),"")&amp;CHAR(10)&amp;IFERROR(IF(INDEX('Coverage Indicators - Section D'!AK$1:AK$100,MATCH($A818,'Coverage Indicators - Section D'!$A$1:$A$100,0))&lt;&gt;"",INDEX('Coverage Indicators - Section D'!AK$1:AK$100,MATCH($A818,'Coverage Indicators - Section D'!$A$1:$A$100,0)),""),"")</f>
        <v xml:space="preserve">
</v>
      </c>
      <c r="L831" s="86"/>
    </row>
    <row r="832" spans="1:12" ht="18.75" customHeight="1" x14ac:dyDescent="0.25">
      <c r="A832" s="667"/>
      <c r="B832" s="660" t="s">
        <v>176</v>
      </c>
      <c r="C832" s="661"/>
      <c r="D832" s="661"/>
      <c r="E832" s="661"/>
      <c r="F832" s="661"/>
      <c r="G832" s="661"/>
      <c r="H832" s="661"/>
      <c r="I832" s="661"/>
      <c r="J832" s="661"/>
      <c r="K832" s="662"/>
      <c r="L832" s="86"/>
    </row>
    <row r="833" spans="1:12" ht="18.75" customHeight="1" x14ac:dyDescent="0.25">
      <c r="A833" s="667"/>
      <c r="B833" s="669" t="str">
        <f>IFERROR(IF(INDEX('Coverage Indicators - Section D'!AL$1:AL$110,MATCH($A818,'Coverage Indicators - Section D'!$A$1:$A$110,0))&lt;&gt;0,INDEX('Coverage Indicators - Section D'!AL$1:AL$110,MATCH($A818,'Coverage Indicators - Section D'!$A$1:$A$110,0)),""),"")</f>
        <v/>
      </c>
      <c r="C833" s="670"/>
      <c r="D833" s="670"/>
      <c r="E833" s="670"/>
      <c r="F833" s="670"/>
      <c r="G833" s="670"/>
      <c r="H833" s="670"/>
      <c r="I833" s="670"/>
      <c r="J833" s="670"/>
      <c r="K833" s="671"/>
      <c r="L833" s="86"/>
    </row>
    <row r="834" spans="1:12" ht="18.75" customHeight="1" x14ac:dyDescent="0.25">
      <c r="A834" s="667"/>
      <c r="B834" s="672"/>
      <c r="C834" s="673"/>
      <c r="D834" s="673"/>
      <c r="E834" s="673"/>
      <c r="F834" s="673"/>
      <c r="G834" s="673"/>
      <c r="H834" s="673"/>
      <c r="I834" s="673"/>
      <c r="J834" s="673"/>
      <c r="K834" s="674"/>
      <c r="L834" s="86"/>
    </row>
    <row r="835" spans="1:12" ht="18.75" customHeight="1" x14ac:dyDescent="0.25">
      <c r="A835" s="667"/>
      <c r="B835" s="672"/>
      <c r="C835" s="673"/>
      <c r="D835" s="673"/>
      <c r="E835" s="673"/>
      <c r="F835" s="673"/>
      <c r="G835" s="673"/>
      <c r="H835" s="673"/>
      <c r="I835" s="673"/>
      <c r="J835" s="673"/>
      <c r="K835" s="674"/>
      <c r="L835" s="86"/>
    </row>
    <row r="836" spans="1:12" ht="18.75" customHeight="1" x14ac:dyDescent="0.25">
      <c r="A836" s="667"/>
      <c r="B836" s="672"/>
      <c r="C836" s="673"/>
      <c r="D836" s="673"/>
      <c r="E836" s="673"/>
      <c r="F836" s="673"/>
      <c r="G836" s="673"/>
      <c r="H836" s="673"/>
      <c r="I836" s="673"/>
      <c r="J836" s="673"/>
      <c r="K836" s="674"/>
      <c r="L836" s="86"/>
    </row>
    <row r="837" spans="1:12" ht="18.75" customHeight="1" x14ac:dyDescent="0.25">
      <c r="A837" s="667"/>
      <c r="B837" s="672"/>
      <c r="C837" s="673"/>
      <c r="D837" s="673"/>
      <c r="E837" s="673"/>
      <c r="F837" s="673"/>
      <c r="G837" s="673"/>
      <c r="H837" s="673"/>
      <c r="I837" s="673"/>
      <c r="J837" s="673"/>
      <c r="K837" s="674"/>
      <c r="L837" s="86"/>
    </row>
    <row r="838" spans="1:12" ht="18.75" customHeight="1" x14ac:dyDescent="0.25">
      <c r="A838" s="667"/>
      <c r="B838" s="672"/>
      <c r="C838" s="673"/>
      <c r="D838" s="673"/>
      <c r="E838" s="673"/>
      <c r="F838" s="673"/>
      <c r="G838" s="673"/>
      <c r="H838" s="673"/>
      <c r="I838" s="673"/>
      <c r="J838" s="673"/>
      <c r="K838" s="674"/>
      <c r="L838" s="86"/>
    </row>
    <row r="839" spans="1:12" ht="18.75" customHeight="1" x14ac:dyDescent="0.25">
      <c r="A839" s="667"/>
      <c r="B839" s="672"/>
      <c r="C839" s="673"/>
      <c r="D839" s="673"/>
      <c r="E839" s="673"/>
      <c r="F839" s="673"/>
      <c r="G839" s="673"/>
      <c r="H839" s="673"/>
      <c r="I839" s="673"/>
      <c r="J839" s="673"/>
      <c r="K839" s="674"/>
      <c r="L839" s="86"/>
    </row>
    <row r="840" spans="1:12" ht="18.75" customHeight="1" x14ac:dyDescent="0.25">
      <c r="A840" s="667"/>
      <c r="B840" s="672"/>
      <c r="C840" s="673"/>
      <c r="D840" s="673"/>
      <c r="E840" s="673"/>
      <c r="F840" s="673"/>
      <c r="G840" s="673"/>
      <c r="H840" s="673"/>
      <c r="I840" s="673"/>
      <c r="J840" s="673"/>
      <c r="K840" s="674"/>
      <c r="L840" s="86"/>
    </row>
    <row r="841" spans="1:12" ht="18.75" customHeight="1" x14ac:dyDescent="0.25">
      <c r="A841" s="667"/>
      <c r="B841" s="672"/>
      <c r="C841" s="673"/>
      <c r="D841" s="673"/>
      <c r="E841" s="673"/>
      <c r="F841" s="673"/>
      <c r="G841" s="673"/>
      <c r="H841" s="673"/>
      <c r="I841" s="673"/>
      <c r="J841" s="673"/>
      <c r="K841" s="674"/>
      <c r="L841" s="86"/>
    </row>
    <row r="842" spans="1:12" ht="18.75" customHeight="1" x14ac:dyDescent="0.25">
      <c r="A842" s="668"/>
      <c r="B842" s="675"/>
      <c r="C842" s="676"/>
      <c r="D842" s="676"/>
      <c r="E842" s="676"/>
      <c r="F842" s="676"/>
      <c r="G842" s="676"/>
      <c r="H842" s="676"/>
      <c r="I842" s="676"/>
      <c r="J842" s="676"/>
      <c r="K842" s="677"/>
      <c r="L842" s="86"/>
    </row>
    <row r="843" spans="1:12" ht="18.75" customHeight="1" x14ac:dyDescent="0.25">
      <c r="A843" s="660"/>
      <c r="B843" s="661"/>
      <c r="C843" s="661"/>
      <c r="D843" s="661"/>
      <c r="E843" s="661"/>
      <c r="F843" s="661"/>
      <c r="G843" s="661"/>
      <c r="H843" s="661"/>
      <c r="I843" s="661"/>
      <c r="J843" s="661"/>
      <c r="K843" s="662"/>
      <c r="L843" s="86"/>
    </row>
  </sheetData>
  <sheetProtection algorithmName="SHA-512" hashValue="N5dj21WcteWu9Fn/g+dBz36lptS/VV+zSYkKbdjquRCN/UYXrF4gUjlpsn6yp4q9s2V/twNinXx4sEV6QsnyLg==" saltValue="5La+dns272LOX6vknDV5hg==" spinCount="100000" sheet="1" objects="1" scenarios="1" formatRows="0"/>
  <mergeCells count="693">
    <mergeCell ref="A1:K1"/>
    <mergeCell ref="A3:B3"/>
    <mergeCell ref="C3:D3"/>
    <mergeCell ref="B5:C5"/>
    <mergeCell ref="D5:K5"/>
    <mergeCell ref="A31:K31"/>
    <mergeCell ref="B12:D12"/>
    <mergeCell ref="E12:G12"/>
    <mergeCell ref="H12:K12"/>
    <mergeCell ref="B13:D14"/>
    <mergeCell ref="E13:G14"/>
    <mergeCell ref="H13:K14"/>
    <mergeCell ref="A6:A30"/>
    <mergeCell ref="B6:F6"/>
    <mergeCell ref="G6:K6"/>
    <mergeCell ref="B7:F9"/>
    <mergeCell ref="G7:K9"/>
    <mergeCell ref="D15:K15"/>
    <mergeCell ref="B20:K20"/>
    <mergeCell ref="B21:K30"/>
    <mergeCell ref="B10:D10"/>
    <mergeCell ref="E10:G10"/>
    <mergeCell ref="H10:J10"/>
    <mergeCell ref="B11:D11"/>
    <mergeCell ref="E11:G11"/>
    <mergeCell ref="H11:J11"/>
    <mergeCell ref="A59:K59"/>
    <mergeCell ref="B61:C61"/>
    <mergeCell ref="D61:K61"/>
    <mergeCell ref="A62:A86"/>
    <mergeCell ref="B62:F62"/>
    <mergeCell ref="G62:K62"/>
    <mergeCell ref="B63:F65"/>
    <mergeCell ref="G63:K65"/>
    <mergeCell ref="B66:D66"/>
    <mergeCell ref="E66:G66"/>
    <mergeCell ref="H66:J66"/>
    <mergeCell ref="B67:D67"/>
    <mergeCell ref="E67:G67"/>
    <mergeCell ref="H67:J67"/>
    <mergeCell ref="B68:D68"/>
    <mergeCell ref="D71:K71"/>
    <mergeCell ref="B76:K76"/>
    <mergeCell ref="B77:K86"/>
    <mergeCell ref="B33:C33"/>
    <mergeCell ref="D33:K33"/>
    <mergeCell ref="A34:A58"/>
    <mergeCell ref="B34:F34"/>
    <mergeCell ref="A87:K87"/>
    <mergeCell ref="B89:C89"/>
    <mergeCell ref="D89:K89"/>
    <mergeCell ref="E68:G68"/>
    <mergeCell ref="H68:K68"/>
    <mergeCell ref="B69:D70"/>
    <mergeCell ref="E69:G70"/>
    <mergeCell ref="H69:K70"/>
    <mergeCell ref="H97:K98"/>
    <mergeCell ref="D99:K99"/>
    <mergeCell ref="B104:K104"/>
    <mergeCell ref="B105:K114"/>
    <mergeCell ref="A115:K115"/>
    <mergeCell ref="A90:A114"/>
    <mergeCell ref="B90:F90"/>
    <mergeCell ref="G90:K90"/>
    <mergeCell ref="B91:F93"/>
    <mergeCell ref="G91:K93"/>
    <mergeCell ref="B94:D94"/>
    <mergeCell ref="E94:G94"/>
    <mergeCell ref="H94:J94"/>
    <mergeCell ref="B95:D95"/>
    <mergeCell ref="E95:G95"/>
    <mergeCell ref="H95:J95"/>
    <mergeCell ref="B96:D96"/>
    <mergeCell ref="E96:G96"/>
    <mergeCell ref="H96:K96"/>
    <mergeCell ref="B97:D98"/>
    <mergeCell ref="E97:G98"/>
    <mergeCell ref="B125:D126"/>
    <mergeCell ref="E125:G126"/>
    <mergeCell ref="H125:K126"/>
    <mergeCell ref="D127:K127"/>
    <mergeCell ref="B132:K132"/>
    <mergeCell ref="B117:C117"/>
    <mergeCell ref="D117:K117"/>
    <mergeCell ref="A118:A142"/>
    <mergeCell ref="B118:F118"/>
    <mergeCell ref="G118:K118"/>
    <mergeCell ref="B119:F121"/>
    <mergeCell ref="G119:K121"/>
    <mergeCell ref="B122:D122"/>
    <mergeCell ref="E122:G122"/>
    <mergeCell ref="H122:J122"/>
    <mergeCell ref="B123:D123"/>
    <mergeCell ref="E123:G123"/>
    <mergeCell ref="H123:J123"/>
    <mergeCell ref="B124:D124"/>
    <mergeCell ref="E124:G124"/>
    <mergeCell ref="H124:K124"/>
    <mergeCell ref="B133:K142"/>
    <mergeCell ref="A143:K143"/>
    <mergeCell ref="B145:C145"/>
    <mergeCell ref="D145:K145"/>
    <mergeCell ref="A146:A170"/>
    <mergeCell ref="B146:F146"/>
    <mergeCell ref="G146:K146"/>
    <mergeCell ref="B147:F149"/>
    <mergeCell ref="G147:K149"/>
    <mergeCell ref="B150:D150"/>
    <mergeCell ref="E150:G150"/>
    <mergeCell ref="H150:J150"/>
    <mergeCell ref="B151:D151"/>
    <mergeCell ref="E151:G151"/>
    <mergeCell ref="H151:J151"/>
    <mergeCell ref="B152:D152"/>
    <mergeCell ref="D155:K155"/>
    <mergeCell ref="B160:K160"/>
    <mergeCell ref="B161:K170"/>
    <mergeCell ref="A171:K171"/>
    <mergeCell ref="B173:C173"/>
    <mergeCell ref="D173:K173"/>
    <mergeCell ref="E152:G152"/>
    <mergeCell ref="H152:K152"/>
    <mergeCell ref="B153:D154"/>
    <mergeCell ref="E153:G154"/>
    <mergeCell ref="H153:K154"/>
    <mergeCell ref="H181:K182"/>
    <mergeCell ref="D183:K183"/>
    <mergeCell ref="B188:K188"/>
    <mergeCell ref="B189:K198"/>
    <mergeCell ref="A199:K199"/>
    <mergeCell ref="A174:A198"/>
    <mergeCell ref="B174:F174"/>
    <mergeCell ref="G174:K174"/>
    <mergeCell ref="B175:F177"/>
    <mergeCell ref="G175:K177"/>
    <mergeCell ref="B178:D178"/>
    <mergeCell ref="E178:G178"/>
    <mergeCell ref="H178:J178"/>
    <mergeCell ref="B179:D179"/>
    <mergeCell ref="E179:G179"/>
    <mergeCell ref="H179:J179"/>
    <mergeCell ref="B180:D180"/>
    <mergeCell ref="E180:G180"/>
    <mergeCell ref="H180:K180"/>
    <mergeCell ref="B181:D182"/>
    <mergeCell ref="E181:G182"/>
    <mergeCell ref="B209:D210"/>
    <mergeCell ref="E209:G210"/>
    <mergeCell ref="H209:K210"/>
    <mergeCell ref="D211:K211"/>
    <mergeCell ref="B216:K216"/>
    <mergeCell ref="B201:C201"/>
    <mergeCell ref="D201:K201"/>
    <mergeCell ref="A202:A226"/>
    <mergeCell ref="B202:F202"/>
    <mergeCell ref="G202:K202"/>
    <mergeCell ref="B203:F205"/>
    <mergeCell ref="G203:K205"/>
    <mergeCell ref="B206:D206"/>
    <mergeCell ref="E206:G206"/>
    <mergeCell ref="H206:J206"/>
    <mergeCell ref="B207:D207"/>
    <mergeCell ref="E207:G207"/>
    <mergeCell ref="H207:J207"/>
    <mergeCell ref="B208:D208"/>
    <mergeCell ref="E208:G208"/>
    <mergeCell ref="H208:K208"/>
    <mergeCell ref="B217:K226"/>
    <mergeCell ref="A227:K227"/>
    <mergeCell ref="B229:C229"/>
    <mergeCell ref="D229:K229"/>
    <mergeCell ref="A230:A254"/>
    <mergeCell ref="B230:F230"/>
    <mergeCell ref="G230:K230"/>
    <mergeCell ref="B231:F233"/>
    <mergeCell ref="G231:K233"/>
    <mergeCell ref="B234:D234"/>
    <mergeCell ref="E234:G234"/>
    <mergeCell ref="H234:J234"/>
    <mergeCell ref="B235:D235"/>
    <mergeCell ref="E235:G235"/>
    <mergeCell ref="H235:J235"/>
    <mergeCell ref="B236:D236"/>
    <mergeCell ref="D239:K239"/>
    <mergeCell ref="B244:K244"/>
    <mergeCell ref="B245:K254"/>
    <mergeCell ref="A255:K255"/>
    <mergeCell ref="B257:C257"/>
    <mergeCell ref="D257:K257"/>
    <mergeCell ref="E236:G236"/>
    <mergeCell ref="H236:K236"/>
    <mergeCell ref="B237:D238"/>
    <mergeCell ref="E237:G238"/>
    <mergeCell ref="H237:K238"/>
    <mergeCell ref="H265:K266"/>
    <mergeCell ref="D267:K267"/>
    <mergeCell ref="B272:K272"/>
    <mergeCell ref="B273:K282"/>
    <mergeCell ref="A283:K283"/>
    <mergeCell ref="A258:A282"/>
    <mergeCell ref="B258:F258"/>
    <mergeCell ref="G258:K258"/>
    <mergeCell ref="B259:F261"/>
    <mergeCell ref="G259:K261"/>
    <mergeCell ref="B262:D262"/>
    <mergeCell ref="E262:G262"/>
    <mergeCell ref="H262:J262"/>
    <mergeCell ref="B263:D263"/>
    <mergeCell ref="E263:G263"/>
    <mergeCell ref="H263:J263"/>
    <mergeCell ref="B264:D264"/>
    <mergeCell ref="E264:G264"/>
    <mergeCell ref="H264:K264"/>
    <mergeCell ref="B265:D266"/>
    <mergeCell ref="E265:G266"/>
    <mergeCell ref="B293:D294"/>
    <mergeCell ref="E293:G294"/>
    <mergeCell ref="H293:K294"/>
    <mergeCell ref="D295:K295"/>
    <mergeCell ref="B300:K300"/>
    <mergeCell ref="B285:C285"/>
    <mergeCell ref="D285:K285"/>
    <mergeCell ref="A286:A310"/>
    <mergeCell ref="B286:F286"/>
    <mergeCell ref="G286:K286"/>
    <mergeCell ref="B287:F289"/>
    <mergeCell ref="G287:K289"/>
    <mergeCell ref="B290:D290"/>
    <mergeCell ref="E290:G290"/>
    <mergeCell ref="H290:J290"/>
    <mergeCell ref="B291:D291"/>
    <mergeCell ref="E291:G291"/>
    <mergeCell ref="H291:J291"/>
    <mergeCell ref="B292:D292"/>
    <mergeCell ref="E292:G292"/>
    <mergeCell ref="H292:K292"/>
    <mergeCell ref="B301:K310"/>
    <mergeCell ref="A311:K311"/>
    <mergeCell ref="B313:C313"/>
    <mergeCell ref="D313:K313"/>
    <mergeCell ref="A314:A338"/>
    <mergeCell ref="B314:F314"/>
    <mergeCell ref="G314:K314"/>
    <mergeCell ref="B315:F317"/>
    <mergeCell ref="G315:K317"/>
    <mergeCell ref="B318:D318"/>
    <mergeCell ref="E318:G318"/>
    <mergeCell ref="H318:J318"/>
    <mergeCell ref="B319:D319"/>
    <mergeCell ref="E319:G319"/>
    <mergeCell ref="H319:J319"/>
    <mergeCell ref="B320:D320"/>
    <mergeCell ref="D323:K323"/>
    <mergeCell ref="B328:K328"/>
    <mergeCell ref="B329:K338"/>
    <mergeCell ref="A339:K339"/>
    <mergeCell ref="B341:C341"/>
    <mergeCell ref="D341:K341"/>
    <mergeCell ref="E320:G320"/>
    <mergeCell ref="H320:K320"/>
    <mergeCell ref="B321:D322"/>
    <mergeCell ref="E321:G322"/>
    <mergeCell ref="H321:K322"/>
    <mergeCell ref="H349:K350"/>
    <mergeCell ref="D351:K351"/>
    <mergeCell ref="B356:K356"/>
    <mergeCell ref="B357:K366"/>
    <mergeCell ref="A367:K367"/>
    <mergeCell ref="A342:A366"/>
    <mergeCell ref="B342:F342"/>
    <mergeCell ref="G342:K342"/>
    <mergeCell ref="B343:F345"/>
    <mergeCell ref="G343:K345"/>
    <mergeCell ref="B346:D346"/>
    <mergeCell ref="E346:G346"/>
    <mergeCell ref="H346:J346"/>
    <mergeCell ref="B347:D347"/>
    <mergeCell ref="E347:G347"/>
    <mergeCell ref="H347:J347"/>
    <mergeCell ref="B348:D348"/>
    <mergeCell ref="E348:G348"/>
    <mergeCell ref="H348:K348"/>
    <mergeCell ref="B349:D350"/>
    <mergeCell ref="E349:G350"/>
    <mergeCell ref="B377:D378"/>
    <mergeCell ref="E377:G378"/>
    <mergeCell ref="H377:K378"/>
    <mergeCell ref="D379:K379"/>
    <mergeCell ref="B384:K384"/>
    <mergeCell ref="B369:C369"/>
    <mergeCell ref="D369:K369"/>
    <mergeCell ref="A370:A394"/>
    <mergeCell ref="B370:F370"/>
    <mergeCell ref="G370:K370"/>
    <mergeCell ref="B371:F373"/>
    <mergeCell ref="G371:K373"/>
    <mergeCell ref="B374:D374"/>
    <mergeCell ref="E374:G374"/>
    <mergeCell ref="H374:J374"/>
    <mergeCell ref="B375:D375"/>
    <mergeCell ref="E375:G375"/>
    <mergeCell ref="H375:J375"/>
    <mergeCell ref="B376:D376"/>
    <mergeCell ref="E376:G376"/>
    <mergeCell ref="H376:K376"/>
    <mergeCell ref="B385:K394"/>
    <mergeCell ref="A395:K395"/>
    <mergeCell ref="B397:C397"/>
    <mergeCell ref="D397:K397"/>
    <mergeCell ref="A398:A422"/>
    <mergeCell ref="B398:F398"/>
    <mergeCell ref="G398:K398"/>
    <mergeCell ref="B399:F401"/>
    <mergeCell ref="G399:K401"/>
    <mergeCell ref="B402:D402"/>
    <mergeCell ref="E402:G402"/>
    <mergeCell ref="H402:J402"/>
    <mergeCell ref="B403:D403"/>
    <mergeCell ref="E403:G403"/>
    <mergeCell ref="H403:J403"/>
    <mergeCell ref="B404:D404"/>
    <mergeCell ref="D407:K407"/>
    <mergeCell ref="B412:K412"/>
    <mergeCell ref="B413:K422"/>
    <mergeCell ref="A423:K423"/>
    <mergeCell ref="B425:C425"/>
    <mergeCell ref="D425:K425"/>
    <mergeCell ref="E404:G404"/>
    <mergeCell ref="H404:K404"/>
    <mergeCell ref="B405:D406"/>
    <mergeCell ref="E405:G406"/>
    <mergeCell ref="H405:K406"/>
    <mergeCell ref="H433:K434"/>
    <mergeCell ref="D435:K435"/>
    <mergeCell ref="B440:K440"/>
    <mergeCell ref="B441:K450"/>
    <mergeCell ref="A451:K451"/>
    <mergeCell ref="A426:A450"/>
    <mergeCell ref="B426:F426"/>
    <mergeCell ref="G426:K426"/>
    <mergeCell ref="B427:F429"/>
    <mergeCell ref="G427:K429"/>
    <mergeCell ref="B430:D430"/>
    <mergeCell ref="E430:G430"/>
    <mergeCell ref="H430:J430"/>
    <mergeCell ref="B431:D431"/>
    <mergeCell ref="E431:G431"/>
    <mergeCell ref="H431:J431"/>
    <mergeCell ref="B432:D432"/>
    <mergeCell ref="E432:G432"/>
    <mergeCell ref="H432:K432"/>
    <mergeCell ref="B433:D434"/>
    <mergeCell ref="E433:G434"/>
    <mergeCell ref="B461:D462"/>
    <mergeCell ref="E461:G462"/>
    <mergeCell ref="H461:K462"/>
    <mergeCell ref="D463:K463"/>
    <mergeCell ref="B468:K468"/>
    <mergeCell ref="B453:C453"/>
    <mergeCell ref="D453:K453"/>
    <mergeCell ref="A454:A478"/>
    <mergeCell ref="B454:F454"/>
    <mergeCell ref="G454:K454"/>
    <mergeCell ref="B455:F457"/>
    <mergeCell ref="G455:K457"/>
    <mergeCell ref="B458:D458"/>
    <mergeCell ref="E458:G458"/>
    <mergeCell ref="H458:J458"/>
    <mergeCell ref="B459:D459"/>
    <mergeCell ref="E459:G459"/>
    <mergeCell ref="H459:J459"/>
    <mergeCell ref="B460:D460"/>
    <mergeCell ref="E460:G460"/>
    <mergeCell ref="H460:K460"/>
    <mergeCell ref="B469:K478"/>
    <mergeCell ref="A479:K479"/>
    <mergeCell ref="B481:C481"/>
    <mergeCell ref="D481:K481"/>
    <mergeCell ref="A482:A506"/>
    <mergeCell ref="B482:F482"/>
    <mergeCell ref="G482:K482"/>
    <mergeCell ref="B483:F485"/>
    <mergeCell ref="G483:K485"/>
    <mergeCell ref="B486:D486"/>
    <mergeCell ref="E486:G486"/>
    <mergeCell ref="H486:J486"/>
    <mergeCell ref="B487:D487"/>
    <mergeCell ref="E487:G487"/>
    <mergeCell ref="H487:J487"/>
    <mergeCell ref="B488:D488"/>
    <mergeCell ref="D491:K491"/>
    <mergeCell ref="B496:K496"/>
    <mergeCell ref="B497:K506"/>
    <mergeCell ref="A507:K507"/>
    <mergeCell ref="B509:C509"/>
    <mergeCell ref="D509:K509"/>
    <mergeCell ref="E488:G488"/>
    <mergeCell ref="H488:K488"/>
    <mergeCell ref="B489:D490"/>
    <mergeCell ref="E489:G490"/>
    <mergeCell ref="H489:K490"/>
    <mergeCell ref="H517:K518"/>
    <mergeCell ref="D519:K519"/>
    <mergeCell ref="B524:K524"/>
    <mergeCell ref="B525:K534"/>
    <mergeCell ref="A535:K535"/>
    <mergeCell ref="A510:A534"/>
    <mergeCell ref="B510:F510"/>
    <mergeCell ref="G510:K510"/>
    <mergeCell ref="B511:F513"/>
    <mergeCell ref="G511:K513"/>
    <mergeCell ref="B514:D514"/>
    <mergeCell ref="E514:G514"/>
    <mergeCell ref="H514:J514"/>
    <mergeCell ref="B515:D515"/>
    <mergeCell ref="E515:G515"/>
    <mergeCell ref="H515:J515"/>
    <mergeCell ref="B516:D516"/>
    <mergeCell ref="E516:G516"/>
    <mergeCell ref="H516:K516"/>
    <mergeCell ref="B517:D518"/>
    <mergeCell ref="E517:G518"/>
    <mergeCell ref="B545:D546"/>
    <mergeCell ref="E545:G546"/>
    <mergeCell ref="H545:K546"/>
    <mergeCell ref="D547:K547"/>
    <mergeCell ref="B552:K552"/>
    <mergeCell ref="B537:C537"/>
    <mergeCell ref="D537:K537"/>
    <mergeCell ref="A538:A562"/>
    <mergeCell ref="B538:F538"/>
    <mergeCell ref="G538:K538"/>
    <mergeCell ref="B539:F541"/>
    <mergeCell ref="G539:K541"/>
    <mergeCell ref="B542:D542"/>
    <mergeCell ref="E542:G542"/>
    <mergeCell ref="H542:J542"/>
    <mergeCell ref="B543:D543"/>
    <mergeCell ref="E543:G543"/>
    <mergeCell ref="H543:J543"/>
    <mergeCell ref="B544:D544"/>
    <mergeCell ref="E544:G544"/>
    <mergeCell ref="H544:K544"/>
    <mergeCell ref="B553:K562"/>
    <mergeCell ref="A563:K563"/>
    <mergeCell ref="B565:C565"/>
    <mergeCell ref="D565:K565"/>
    <mergeCell ref="A566:A590"/>
    <mergeCell ref="B566:F566"/>
    <mergeCell ref="G566:K566"/>
    <mergeCell ref="B567:F569"/>
    <mergeCell ref="G567:K569"/>
    <mergeCell ref="B570:D570"/>
    <mergeCell ref="E570:G570"/>
    <mergeCell ref="H570:J570"/>
    <mergeCell ref="B571:D571"/>
    <mergeCell ref="E571:G571"/>
    <mergeCell ref="H571:J571"/>
    <mergeCell ref="B572:D572"/>
    <mergeCell ref="D575:K575"/>
    <mergeCell ref="B580:K580"/>
    <mergeCell ref="B581:K590"/>
    <mergeCell ref="A591:K591"/>
    <mergeCell ref="B593:C593"/>
    <mergeCell ref="D593:K593"/>
    <mergeCell ref="E572:G572"/>
    <mergeCell ref="H572:K572"/>
    <mergeCell ref="B573:D574"/>
    <mergeCell ref="E573:G574"/>
    <mergeCell ref="H573:K574"/>
    <mergeCell ref="H601:K602"/>
    <mergeCell ref="D603:K603"/>
    <mergeCell ref="B608:K608"/>
    <mergeCell ref="B609:K618"/>
    <mergeCell ref="A619:K619"/>
    <mergeCell ref="A594:A618"/>
    <mergeCell ref="B594:F594"/>
    <mergeCell ref="G594:K594"/>
    <mergeCell ref="B595:F597"/>
    <mergeCell ref="G595:K597"/>
    <mergeCell ref="B598:D598"/>
    <mergeCell ref="E598:G598"/>
    <mergeCell ref="H598:J598"/>
    <mergeCell ref="B599:D599"/>
    <mergeCell ref="E599:G599"/>
    <mergeCell ref="H599:J599"/>
    <mergeCell ref="B600:D600"/>
    <mergeCell ref="E600:G600"/>
    <mergeCell ref="H600:K600"/>
    <mergeCell ref="B601:D602"/>
    <mergeCell ref="E601:G602"/>
    <mergeCell ref="B629:D630"/>
    <mergeCell ref="E629:G630"/>
    <mergeCell ref="H629:K630"/>
    <mergeCell ref="D631:K631"/>
    <mergeCell ref="B636:K636"/>
    <mergeCell ref="B621:C621"/>
    <mergeCell ref="D621:K621"/>
    <mergeCell ref="A622:A646"/>
    <mergeCell ref="B622:F622"/>
    <mergeCell ref="G622:K622"/>
    <mergeCell ref="B623:F625"/>
    <mergeCell ref="G623:K625"/>
    <mergeCell ref="B626:D626"/>
    <mergeCell ref="E626:G626"/>
    <mergeCell ref="H626:J626"/>
    <mergeCell ref="B627:D627"/>
    <mergeCell ref="E627:G627"/>
    <mergeCell ref="H627:J627"/>
    <mergeCell ref="B628:D628"/>
    <mergeCell ref="E628:G628"/>
    <mergeCell ref="H628:K628"/>
    <mergeCell ref="B637:K646"/>
    <mergeCell ref="A647:K647"/>
    <mergeCell ref="B655:D655"/>
    <mergeCell ref="E655:G655"/>
    <mergeCell ref="H655:J655"/>
    <mergeCell ref="B656:D656"/>
    <mergeCell ref="E656:G656"/>
    <mergeCell ref="B649:C649"/>
    <mergeCell ref="D649:K649"/>
    <mergeCell ref="A675:K675"/>
    <mergeCell ref="A703:K703"/>
    <mergeCell ref="A650:A674"/>
    <mergeCell ref="B650:F650"/>
    <mergeCell ref="G650:K650"/>
    <mergeCell ref="B651:F653"/>
    <mergeCell ref="G651:K653"/>
    <mergeCell ref="B654:D654"/>
    <mergeCell ref="E654:G654"/>
    <mergeCell ref="H654:J654"/>
    <mergeCell ref="H656:K656"/>
    <mergeCell ref="B657:D658"/>
    <mergeCell ref="E657:G658"/>
    <mergeCell ref="H657:K658"/>
    <mergeCell ref="D659:K659"/>
    <mergeCell ref="B664:K664"/>
    <mergeCell ref="B665:K674"/>
    <mergeCell ref="B677:C677"/>
    <mergeCell ref="D677:K677"/>
    <mergeCell ref="A678:A702"/>
    <mergeCell ref="B678:F678"/>
    <mergeCell ref="G678:K678"/>
    <mergeCell ref="B679:F681"/>
    <mergeCell ref="G679:K681"/>
    <mergeCell ref="B682:D682"/>
    <mergeCell ref="H739:J739"/>
    <mergeCell ref="B740:D740"/>
    <mergeCell ref="E740:G740"/>
    <mergeCell ref="B733:C733"/>
    <mergeCell ref="D733:K733"/>
    <mergeCell ref="A759:K759"/>
    <mergeCell ref="B711:D711"/>
    <mergeCell ref="E711:G711"/>
    <mergeCell ref="H711:J711"/>
    <mergeCell ref="B712:D712"/>
    <mergeCell ref="E712:G712"/>
    <mergeCell ref="A731:K731"/>
    <mergeCell ref="A815:K815"/>
    <mergeCell ref="B767:D767"/>
    <mergeCell ref="E767:G767"/>
    <mergeCell ref="H767:J767"/>
    <mergeCell ref="B768:D768"/>
    <mergeCell ref="E768:G768"/>
    <mergeCell ref="A787:K787"/>
    <mergeCell ref="A734:A758"/>
    <mergeCell ref="B734:F734"/>
    <mergeCell ref="G734:K734"/>
    <mergeCell ref="B735:F737"/>
    <mergeCell ref="G735:K737"/>
    <mergeCell ref="B738:D738"/>
    <mergeCell ref="E738:G738"/>
    <mergeCell ref="H738:J738"/>
    <mergeCell ref="H740:K740"/>
    <mergeCell ref="B741:D742"/>
    <mergeCell ref="E741:G742"/>
    <mergeCell ref="H741:K742"/>
    <mergeCell ref="D743:K743"/>
    <mergeCell ref="B748:K748"/>
    <mergeCell ref="B749:K758"/>
    <mergeCell ref="B739:D739"/>
    <mergeCell ref="E739:G739"/>
    <mergeCell ref="G34:K34"/>
    <mergeCell ref="B35:F37"/>
    <mergeCell ref="G35:K37"/>
    <mergeCell ref="B38:D38"/>
    <mergeCell ref="E38:G38"/>
    <mergeCell ref="H38:J38"/>
    <mergeCell ref="B39:D39"/>
    <mergeCell ref="E39:G39"/>
    <mergeCell ref="H39:J39"/>
    <mergeCell ref="B40:D40"/>
    <mergeCell ref="E40:G40"/>
    <mergeCell ref="H40:K40"/>
    <mergeCell ref="B41:D42"/>
    <mergeCell ref="E41:G42"/>
    <mergeCell ref="H41:K42"/>
    <mergeCell ref="D43:K43"/>
    <mergeCell ref="B48:K48"/>
    <mergeCell ref="B49:K58"/>
    <mergeCell ref="E682:G682"/>
    <mergeCell ref="H682:J682"/>
    <mergeCell ref="H684:K684"/>
    <mergeCell ref="B685:D686"/>
    <mergeCell ref="E685:G686"/>
    <mergeCell ref="H685:K686"/>
    <mergeCell ref="D687:K687"/>
    <mergeCell ref="B692:K692"/>
    <mergeCell ref="B693:K702"/>
    <mergeCell ref="B683:D683"/>
    <mergeCell ref="E683:G683"/>
    <mergeCell ref="H683:J683"/>
    <mergeCell ref="B684:D684"/>
    <mergeCell ref="E684:G684"/>
    <mergeCell ref="B705:C705"/>
    <mergeCell ref="D705:K705"/>
    <mergeCell ref="A706:A730"/>
    <mergeCell ref="B706:F706"/>
    <mergeCell ref="G706:K706"/>
    <mergeCell ref="B707:F709"/>
    <mergeCell ref="G707:K709"/>
    <mergeCell ref="B710:D710"/>
    <mergeCell ref="E710:G710"/>
    <mergeCell ref="H710:J710"/>
    <mergeCell ref="H712:K712"/>
    <mergeCell ref="B713:D714"/>
    <mergeCell ref="E713:G714"/>
    <mergeCell ref="H713:K714"/>
    <mergeCell ref="D715:K715"/>
    <mergeCell ref="B720:K720"/>
    <mergeCell ref="B721:K730"/>
    <mergeCell ref="B761:C761"/>
    <mergeCell ref="D761:K761"/>
    <mergeCell ref="A762:A786"/>
    <mergeCell ref="B762:F762"/>
    <mergeCell ref="G762:K762"/>
    <mergeCell ref="B763:F765"/>
    <mergeCell ref="G763:K765"/>
    <mergeCell ref="B766:D766"/>
    <mergeCell ref="E766:G766"/>
    <mergeCell ref="H766:J766"/>
    <mergeCell ref="H768:K768"/>
    <mergeCell ref="B769:D770"/>
    <mergeCell ref="E769:G770"/>
    <mergeCell ref="H769:K770"/>
    <mergeCell ref="D771:K771"/>
    <mergeCell ref="B776:K776"/>
    <mergeCell ref="B777:K786"/>
    <mergeCell ref="B789:C789"/>
    <mergeCell ref="D789:K789"/>
    <mergeCell ref="A790:A814"/>
    <mergeCell ref="B790:F790"/>
    <mergeCell ref="G790:K790"/>
    <mergeCell ref="B791:F793"/>
    <mergeCell ref="G791:K793"/>
    <mergeCell ref="B794:D794"/>
    <mergeCell ref="E794:G794"/>
    <mergeCell ref="H794:J794"/>
    <mergeCell ref="H796:K796"/>
    <mergeCell ref="B797:D798"/>
    <mergeCell ref="E797:G798"/>
    <mergeCell ref="H797:K798"/>
    <mergeCell ref="D799:K799"/>
    <mergeCell ref="B804:K804"/>
    <mergeCell ref="B805:K814"/>
    <mergeCell ref="B795:D795"/>
    <mergeCell ref="E795:G795"/>
    <mergeCell ref="H795:J795"/>
    <mergeCell ref="B796:D796"/>
    <mergeCell ref="E796:G796"/>
    <mergeCell ref="A843:K843"/>
    <mergeCell ref="B817:C817"/>
    <mergeCell ref="D817:K817"/>
    <mergeCell ref="A818:A842"/>
    <mergeCell ref="B818:F818"/>
    <mergeCell ref="G818:K818"/>
    <mergeCell ref="B819:F821"/>
    <mergeCell ref="G819:K821"/>
    <mergeCell ref="B822:D822"/>
    <mergeCell ref="E822:G822"/>
    <mergeCell ref="H822:J822"/>
    <mergeCell ref="H824:K824"/>
    <mergeCell ref="B825:D826"/>
    <mergeCell ref="E825:G826"/>
    <mergeCell ref="H825:K826"/>
    <mergeCell ref="D827:K827"/>
    <mergeCell ref="B832:K832"/>
    <mergeCell ref="B833:K842"/>
    <mergeCell ref="B823:D823"/>
    <mergeCell ref="E823:G823"/>
    <mergeCell ref="H823:J823"/>
    <mergeCell ref="B824:D824"/>
    <mergeCell ref="E824:G824"/>
  </mergeCells>
  <hyperlinks>
    <hyperlink ref="C3" r:id="rId1" display="http://example.com/"/>
    <hyperlink ref="C3:D3" location="'Coverage Indicators - Section D'!A1" display="Coverage Indicators"/>
  </hyperlinks>
  <pageMargins left="0.7" right="0.7" top="0.75" bottom="0.75" header="0.3" footer="0.3"/>
  <pageSetup paperSize="9" scale="54"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493"/>
  <sheetViews>
    <sheetView view="pageBreakPreview" zoomScale="70" zoomScaleNormal="80" zoomScaleSheetLayoutView="70" workbookViewId="0">
      <selection activeCell="E2" sqref="E2"/>
    </sheetView>
  </sheetViews>
  <sheetFormatPr defaultColWidth="9" defaultRowHeight="18.75" customHeight="1" x14ac:dyDescent="0.25"/>
  <cols>
    <col min="1" max="1" width="3.09765625" style="87" customWidth="1"/>
    <col min="2" max="9" width="21.796875" style="87" customWidth="1"/>
    <col min="10" max="16384" width="9" style="87"/>
  </cols>
  <sheetData>
    <row r="1" spans="1:10" ht="18.75" customHeight="1" x14ac:dyDescent="0.25">
      <c r="A1" s="660" t="s">
        <v>4393</v>
      </c>
      <c r="B1" s="661"/>
      <c r="C1" s="661"/>
      <c r="D1" s="661"/>
      <c r="E1" s="661"/>
      <c r="F1" s="661"/>
      <c r="G1" s="661"/>
      <c r="H1" s="661"/>
      <c r="I1" s="696"/>
      <c r="J1" s="86"/>
    </row>
    <row r="2" spans="1:10" ht="18.75" customHeight="1" x14ac:dyDescent="0.25">
      <c r="A2" s="101"/>
      <c r="B2" s="102"/>
      <c r="C2" s="102"/>
      <c r="D2" s="102"/>
      <c r="E2" s="103"/>
      <c r="F2" s="103"/>
      <c r="G2" s="103"/>
      <c r="H2" s="103"/>
      <c r="I2" s="104"/>
      <c r="J2" s="86"/>
    </row>
    <row r="3" spans="1:10" ht="18.75" customHeight="1" x14ac:dyDescent="0.25">
      <c r="A3" s="660" t="s">
        <v>89</v>
      </c>
      <c r="B3" s="661"/>
      <c r="C3" s="701" t="s">
        <v>4393</v>
      </c>
      <c r="D3" s="702"/>
      <c r="E3" s="105"/>
      <c r="F3" s="103"/>
      <c r="G3" s="103"/>
      <c r="H3" s="103"/>
      <c r="I3" s="104"/>
      <c r="J3" s="86"/>
    </row>
    <row r="4" spans="1:10" ht="18.75" customHeight="1" x14ac:dyDescent="0.25">
      <c r="A4" s="101"/>
      <c r="B4" s="102"/>
      <c r="C4" s="102"/>
      <c r="D4" s="102"/>
      <c r="E4" s="102"/>
      <c r="F4" s="102"/>
      <c r="G4" s="102"/>
      <c r="H4" s="102"/>
      <c r="I4" s="106"/>
      <c r="J4" s="86"/>
    </row>
    <row r="5" spans="1:10" ht="18.75" customHeight="1" x14ac:dyDescent="0.25">
      <c r="A5" s="107" t="s">
        <v>4383</v>
      </c>
      <c r="B5" s="108" t="s">
        <v>1046</v>
      </c>
      <c r="C5" s="663" t="str">
        <f>IFERROR(IF(INDEX('WPTM - Section F'!B$1:B$100,MATCH($A6,'WPTM - Section F'!$A$1:$A$100,0))&lt;&gt;0,INDEX('WPTM - Section F'!B$1:B$100,MATCH($A6,'WPTM - Section F'!$A$1:$A$100,0)),""),"")</f>
        <v/>
      </c>
      <c r="D5" s="664"/>
      <c r="E5" s="664"/>
      <c r="F5" s="664"/>
      <c r="G5" s="664"/>
      <c r="H5" s="664"/>
      <c r="I5" s="694"/>
      <c r="J5" s="86"/>
    </row>
    <row r="6" spans="1:10" ht="18.75" customHeight="1" x14ac:dyDescent="0.25">
      <c r="A6" s="666">
        <v>1</v>
      </c>
      <c r="B6" s="109" t="s">
        <v>258</v>
      </c>
      <c r="C6" s="663" t="str">
        <f>IFERROR(IF(INDEX('WPTM - Section F'!C$1:C$100,MATCH($A6,'WPTM - Section F'!$A$1:$A$100,0))&lt;&gt;0,INDEX('WPTM - Section F'!C$1:C$100,MATCH($A6,'WPTM - Section F'!$A$1:$A$100,0)),""),"")</f>
        <v/>
      </c>
      <c r="D6" s="664"/>
      <c r="E6" s="664"/>
      <c r="F6" s="664"/>
      <c r="G6" s="664"/>
      <c r="H6" s="664"/>
      <c r="I6" s="694"/>
      <c r="J6" s="86"/>
    </row>
    <row r="7" spans="1:10" ht="18.75" customHeight="1" x14ac:dyDescent="0.25">
      <c r="A7" s="667"/>
      <c r="B7" s="660" t="s">
        <v>2275</v>
      </c>
      <c r="C7" s="661"/>
      <c r="D7" s="661"/>
      <c r="E7" s="661"/>
      <c r="F7" s="695" t="s">
        <v>127</v>
      </c>
      <c r="G7" s="661"/>
      <c r="H7" s="661"/>
      <c r="I7" s="696"/>
      <c r="J7" s="86"/>
    </row>
    <row r="8" spans="1:10" ht="18.75" customHeight="1" x14ac:dyDescent="0.25">
      <c r="A8" s="667"/>
      <c r="B8" s="669" t="str">
        <f>IFERROR(IF(INDEX('WPTM - Section F'!D$1:D$100,MATCH($A6,'WPTM - Section F'!$A$1:$A$100,0))&lt;&gt;0,INDEX('WPTM - Section F'!D$1:D$100,MATCH($A6,'WPTM - Section F'!$A$1:$A$100,0)),""),"")</f>
        <v/>
      </c>
      <c r="C8" s="670"/>
      <c r="D8" s="670"/>
      <c r="E8" s="670"/>
      <c r="F8" s="697" t="str">
        <f>IFERROR(IF(INDEX('WPTM - Section F'!F$1:F$100,MATCH($A6,'WPTM - Section F'!$A$1:$A$100,0))&lt;&gt;0,INDEX('WPTM - Section F'!F$1:F$100,MATCH($A6,'WPTM - Section F'!$A$1:$A$100,0)),""),"")</f>
        <v/>
      </c>
      <c r="G8" s="664"/>
      <c r="H8" s="664"/>
      <c r="I8" s="694"/>
      <c r="J8" s="86"/>
    </row>
    <row r="9" spans="1:10" ht="18.75" customHeight="1" x14ac:dyDescent="0.25">
      <c r="A9" s="667"/>
      <c r="B9" s="672"/>
      <c r="C9" s="673"/>
      <c r="D9" s="673"/>
      <c r="E9" s="673"/>
      <c r="F9" s="695" t="s">
        <v>120</v>
      </c>
      <c r="G9" s="661"/>
      <c r="H9" s="661"/>
      <c r="I9" s="696"/>
      <c r="J9" s="86"/>
    </row>
    <row r="10" spans="1:10" ht="18.75" customHeight="1" x14ac:dyDescent="0.25">
      <c r="A10" s="667"/>
      <c r="B10" s="672"/>
      <c r="C10" s="673"/>
      <c r="D10" s="673"/>
      <c r="E10" s="673"/>
      <c r="F10" s="698" t="str">
        <f>IFERROR(IF(INDEX('WPTM - Section F'!E$1:E$100,MATCH($A6,'WPTM - Section F'!$A$1:$A$100,0))&lt;&gt;0,INDEX('WPTM - Section F'!E$1:E$100,MATCH($A6,'WPTM - Section F'!$A$1:$A$100,0)),""),"")</f>
        <v/>
      </c>
      <c r="G10" s="670"/>
      <c r="H10" s="670"/>
      <c r="I10" s="699"/>
      <c r="J10" s="86"/>
    </row>
    <row r="11" spans="1:10" ht="18.75" customHeight="1" x14ac:dyDescent="0.25">
      <c r="A11" s="667"/>
      <c r="B11" s="110"/>
      <c r="C11" s="681" t="s">
        <v>2276</v>
      </c>
      <c r="D11" s="683"/>
      <c r="E11" s="682" t="s">
        <v>2277</v>
      </c>
      <c r="F11" s="682"/>
      <c r="G11" s="682"/>
      <c r="H11" s="682"/>
      <c r="I11" s="683"/>
      <c r="J11" s="86"/>
    </row>
    <row r="12" spans="1:10" ht="18.75" customHeight="1" x14ac:dyDescent="0.25">
      <c r="A12" s="667"/>
      <c r="B12"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12" s="669" t="str">
        <f>IFERROR(IF(INDEX('WPTM - Section F'!G$1:G$100,MATCH($A6,'WPTM - Section F'!$A$1:$A$100,0))&lt;&gt;0,INDEX('WPTM - Section F'!G$1:G$100,MATCH($A6,'WPTM - Section F'!$A$1:$A$100,0)),""),"")</f>
        <v/>
      </c>
      <c r="D12" s="699"/>
      <c r="E12" s="670" t="str">
        <f>IFERROR(IF(INDEX('WPTM - Section F'!H$1:H$100,MATCH($A6,'WPTM - Section F'!$A$1:$A$100,0))&lt;&gt;0,INDEX('WPTM - Section F'!H$1:H$100,MATCH($A6,'WPTM - Section F'!$A$1:$A$100,0)),""),"")</f>
        <v/>
      </c>
      <c r="F12" s="670"/>
      <c r="G12" s="670"/>
      <c r="H12" s="670"/>
      <c r="I12" s="699"/>
      <c r="J12" s="86"/>
    </row>
    <row r="13" spans="1:10" ht="18.75" customHeight="1" x14ac:dyDescent="0.25">
      <c r="A13" s="667"/>
      <c r="B13" s="685"/>
      <c r="C13" s="672"/>
      <c r="D13" s="689"/>
      <c r="E13" s="673"/>
      <c r="F13" s="673"/>
      <c r="G13" s="673"/>
      <c r="H13" s="673"/>
      <c r="I13" s="689"/>
      <c r="J13" s="86"/>
    </row>
    <row r="14" spans="1:10" ht="18.75" customHeight="1" x14ac:dyDescent="0.25">
      <c r="A14" s="667"/>
      <c r="B14" s="685"/>
      <c r="C14" s="672"/>
      <c r="D14" s="689"/>
      <c r="E14" s="673"/>
      <c r="F14" s="673"/>
      <c r="G14" s="673"/>
      <c r="H14" s="673"/>
      <c r="I14" s="689"/>
      <c r="J14" s="86"/>
    </row>
    <row r="15" spans="1:10" ht="18.75" customHeight="1" x14ac:dyDescent="0.25">
      <c r="A15" s="667"/>
      <c r="B15" s="685"/>
      <c r="C15" s="672"/>
      <c r="D15" s="689"/>
      <c r="E15" s="673"/>
      <c r="F15" s="673"/>
      <c r="G15" s="673"/>
      <c r="H15" s="673"/>
      <c r="I15" s="689"/>
      <c r="J15" s="86"/>
    </row>
    <row r="16" spans="1:10" ht="18.75" customHeight="1" x14ac:dyDescent="0.25">
      <c r="A16" s="667"/>
      <c r="B16" s="686"/>
      <c r="C16" s="690"/>
      <c r="D16" s="691"/>
      <c r="E16" s="693"/>
      <c r="F16" s="693"/>
      <c r="G16" s="693"/>
      <c r="H16" s="693"/>
      <c r="I16" s="691"/>
      <c r="J16" s="86"/>
    </row>
    <row r="17" spans="1:10" ht="18.75" customHeight="1" x14ac:dyDescent="0.25">
      <c r="A17" s="667"/>
      <c r="B17"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17" s="687" t="str">
        <f>IFERROR(IF(INDEX('WPTM - Section F'!I$1:I$100,MATCH($A6,'WPTM - Section F'!$A$1:$A$100,0))&lt;&gt;0,INDEX('WPTM - Section F'!I$1:I$100,MATCH($A6,'WPTM - Section F'!$A$1:$A$100,0)),""),"")</f>
        <v/>
      </c>
      <c r="D17" s="688"/>
      <c r="E17" s="692" t="str">
        <f>IFERROR(IF(INDEX('WPTM - Section F'!J$1:J$100,MATCH($A6,'WPTM - Section F'!$A$1:$A$100,0))&lt;&gt;0,INDEX('WPTM - Section F'!J$1:J$100,MATCH($A6,'WPTM - Section F'!$A$1:$A$100,0)),""),"")</f>
        <v/>
      </c>
      <c r="F17" s="692"/>
      <c r="G17" s="692"/>
      <c r="H17" s="692"/>
      <c r="I17" s="688"/>
      <c r="J17" s="86"/>
    </row>
    <row r="18" spans="1:10" ht="18.75" customHeight="1" x14ac:dyDescent="0.25">
      <c r="A18" s="667"/>
      <c r="B18" s="685"/>
      <c r="C18" s="672"/>
      <c r="D18" s="689"/>
      <c r="E18" s="673"/>
      <c r="F18" s="673"/>
      <c r="G18" s="673"/>
      <c r="H18" s="673"/>
      <c r="I18" s="689"/>
      <c r="J18" s="86"/>
    </row>
    <row r="19" spans="1:10" ht="18.75" customHeight="1" x14ac:dyDescent="0.25">
      <c r="A19" s="667"/>
      <c r="B19" s="685"/>
      <c r="C19" s="672"/>
      <c r="D19" s="689"/>
      <c r="E19" s="673"/>
      <c r="F19" s="673"/>
      <c r="G19" s="673"/>
      <c r="H19" s="673"/>
      <c r="I19" s="689"/>
      <c r="J19" s="86"/>
    </row>
    <row r="20" spans="1:10" ht="18.75" customHeight="1" x14ac:dyDescent="0.25">
      <c r="A20" s="667"/>
      <c r="B20" s="685"/>
      <c r="C20" s="672"/>
      <c r="D20" s="689"/>
      <c r="E20" s="673"/>
      <c r="F20" s="673"/>
      <c r="G20" s="673"/>
      <c r="H20" s="673"/>
      <c r="I20" s="689"/>
      <c r="J20" s="86"/>
    </row>
    <row r="21" spans="1:10" ht="18.75" customHeight="1" x14ac:dyDescent="0.25">
      <c r="A21" s="667"/>
      <c r="B21" s="686"/>
      <c r="C21" s="690"/>
      <c r="D21" s="691"/>
      <c r="E21" s="693"/>
      <c r="F21" s="693"/>
      <c r="G21" s="693"/>
      <c r="H21" s="693"/>
      <c r="I21" s="691"/>
      <c r="J21" s="86"/>
    </row>
    <row r="22" spans="1:10" ht="18.75" customHeight="1" x14ac:dyDescent="0.25">
      <c r="A22" s="667"/>
      <c r="B22"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22" s="687" t="str">
        <f>IFERROR(IF(INDEX('WPTM - Section F'!K$1:K$100,MATCH($A6,'WPTM - Section F'!$A$1:$A$100,0))&lt;&gt;0,INDEX('WPTM - Section F'!K$1:K$100,MATCH($A6,'WPTM - Section F'!$A$1:$A$100,0)),""),"")</f>
        <v/>
      </c>
      <c r="D22" s="688"/>
      <c r="E22" s="692" t="str">
        <f>IFERROR(IF(INDEX('WPTM - Section F'!L$1:L$100,MATCH($A6,'WPTM - Section F'!$A$1:$A$100,0))&lt;&gt;0,INDEX('WPTM - Section F'!L$1:L$100,MATCH($A6,'WPTM - Section F'!$A$1:$A$100,0)),""),"")</f>
        <v/>
      </c>
      <c r="F22" s="692"/>
      <c r="G22" s="692"/>
      <c r="H22" s="692"/>
      <c r="I22" s="688"/>
      <c r="J22" s="86"/>
    </row>
    <row r="23" spans="1:10" ht="18.75" customHeight="1" x14ac:dyDescent="0.25">
      <c r="A23" s="667"/>
      <c r="B23" s="685"/>
      <c r="C23" s="672"/>
      <c r="D23" s="689"/>
      <c r="E23" s="673"/>
      <c r="F23" s="673"/>
      <c r="G23" s="673"/>
      <c r="H23" s="673"/>
      <c r="I23" s="689"/>
      <c r="J23" s="86"/>
    </row>
    <row r="24" spans="1:10" ht="18.75" customHeight="1" x14ac:dyDescent="0.25">
      <c r="A24" s="667"/>
      <c r="B24" s="685"/>
      <c r="C24" s="672"/>
      <c r="D24" s="689"/>
      <c r="E24" s="673"/>
      <c r="F24" s="673"/>
      <c r="G24" s="673"/>
      <c r="H24" s="673"/>
      <c r="I24" s="689"/>
      <c r="J24" s="86"/>
    </row>
    <row r="25" spans="1:10" ht="18.75" customHeight="1" x14ac:dyDescent="0.25">
      <c r="A25" s="667"/>
      <c r="B25" s="685"/>
      <c r="C25" s="672"/>
      <c r="D25" s="689"/>
      <c r="E25" s="673"/>
      <c r="F25" s="673"/>
      <c r="G25" s="673"/>
      <c r="H25" s="673"/>
      <c r="I25" s="689"/>
      <c r="J25" s="86"/>
    </row>
    <row r="26" spans="1:10" ht="18.75" customHeight="1" x14ac:dyDescent="0.25">
      <c r="A26" s="667"/>
      <c r="B26" s="686"/>
      <c r="C26" s="690"/>
      <c r="D26" s="691"/>
      <c r="E26" s="693"/>
      <c r="F26" s="693"/>
      <c r="G26" s="693"/>
      <c r="H26" s="693"/>
      <c r="I26" s="691"/>
      <c r="J26" s="86"/>
    </row>
    <row r="27" spans="1:10" ht="18.75" customHeight="1" x14ac:dyDescent="0.25">
      <c r="A27" s="667"/>
      <c r="B27"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27" s="687" t="str">
        <f>IFERROR(IF(INDEX('WPTM - Section F'!M$1:M$100,MATCH($A6,'WPTM - Section F'!$A$1:$A$100,0))&lt;&gt;0,INDEX('WPTM - Section F'!M$1:M$100,MATCH($A6,'WPTM - Section F'!$A$1:$A$100,0)),""),"")</f>
        <v/>
      </c>
      <c r="D27" s="688"/>
      <c r="E27" s="692" t="str">
        <f>IFERROR(IF(INDEX('WPTM - Section F'!N$1:N$100,MATCH($A6,'WPTM - Section F'!$A$1:$A$100,0))&lt;&gt;0,INDEX('WPTM - Section F'!N$1:N$100,MATCH($A6,'WPTM - Section F'!$A$1:$A$100,0)),""),"")</f>
        <v/>
      </c>
      <c r="F27" s="692"/>
      <c r="G27" s="692"/>
      <c r="H27" s="692"/>
      <c r="I27" s="688"/>
      <c r="J27" s="86"/>
    </row>
    <row r="28" spans="1:10" ht="18.75" customHeight="1" x14ac:dyDescent="0.25">
      <c r="A28" s="667"/>
      <c r="B28" s="685"/>
      <c r="C28" s="672"/>
      <c r="D28" s="689"/>
      <c r="E28" s="673"/>
      <c r="F28" s="673"/>
      <c r="G28" s="673"/>
      <c r="H28" s="673"/>
      <c r="I28" s="689"/>
      <c r="J28" s="86"/>
    </row>
    <row r="29" spans="1:10" ht="18.75" customHeight="1" x14ac:dyDescent="0.25">
      <c r="A29" s="667"/>
      <c r="B29" s="685"/>
      <c r="C29" s="672"/>
      <c r="D29" s="689"/>
      <c r="E29" s="673"/>
      <c r="F29" s="673"/>
      <c r="G29" s="673"/>
      <c r="H29" s="673"/>
      <c r="I29" s="689"/>
      <c r="J29" s="86"/>
    </row>
    <row r="30" spans="1:10" ht="18.75" customHeight="1" x14ac:dyDescent="0.25">
      <c r="A30" s="667"/>
      <c r="B30" s="685"/>
      <c r="C30" s="672"/>
      <c r="D30" s="689"/>
      <c r="E30" s="673"/>
      <c r="F30" s="673"/>
      <c r="G30" s="673"/>
      <c r="H30" s="673"/>
      <c r="I30" s="689"/>
      <c r="J30" s="86"/>
    </row>
    <row r="31" spans="1:10" ht="18.75" customHeight="1" x14ac:dyDescent="0.25">
      <c r="A31" s="667"/>
      <c r="B31" s="686"/>
      <c r="C31" s="690"/>
      <c r="D31" s="691"/>
      <c r="E31" s="693"/>
      <c r="F31" s="693"/>
      <c r="G31" s="693"/>
      <c r="H31" s="693"/>
      <c r="I31" s="691"/>
      <c r="J31" s="86"/>
    </row>
    <row r="32" spans="1:10" ht="18.75" customHeight="1" x14ac:dyDescent="0.25">
      <c r="A32" s="667"/>
      <c r="B32"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32" s="687" t="str">
        <f>IFERROR(IF(INDEX('WPTM - Section F'!O$1:O$100,MATCH($A6,'WPTM - Section F'!$A$1:$A$100,0))&lt;&gt;0,INDEX('WPTM - Section F'!O$1:O$100,MATCH($A6,'WPTM - Section F'!$A$1:$A$100,0)),""),"")</f>
        <v/>
      </c>
      <c r="D32" s="688"/>
      <c r="E32" s="692" t="str">
        <f>IFERROR(IF(INDEX('WPTM - Section F'!P$1:P$100,MATCH($A6,'WPTM - Section F'!$A$1:$A$100,0))&lt;&gt;0,INDEX('WPTM - Section F'!P$1:P$100,MATCH($A6,'WPTM - Section F'!$A$1:$A$100,0)),""),"")</f>
        <v/>
      </c>
      <c r="F32" s="692"/>
      <c r="G32" s="692"/>
      <c r="H32" s="692"/>
      <c r="I32" s="688"/>
      <c r="J32" s="86"/>
    </row>
    <row r="33" spans="1:10" ht="18.75" customHeight="1" x14ac:dyDescent="0.25">
      <c r="A33" s="667"/>
      <c r="B33" s="685"/>
      <c r="C33" s="672"/>
      <c r="D33" s="689"/>
      <c r="E33" s="673"/>
      <c r="F33" s="673"/>
      <c r="G33" s="673"/>
      <c r="H33" s="673"/>
      <c r="I33" s="689"/>
      <c r="J33" s="86"/>
    </row>
    <row r="34" spans="1:10" ht="18.75" customHeight="1" x14ac:dyDescent="0.25">
      <c r="A34" s="667"/>
      <c r="B34" s="685"/>
      <c r="C34" s="672"/>
      <c r="D34" s="689"/>
      <c r="E34" s="673"/>
      <c r="F34" s="673"/>
      <c r="G34" s="673"/>
      <c r="H34" s="673"/>
      <c r="I34" s="689"/>
      <c r="J34" s="86"/>
    </row>
    <row r="35" spans="1:10" ht="18.75" customHeight="1" x14ac:dyDescent="0.25">
      <c r="A35" s="667"/>
      <c r="B35" s="685"/>
      <c r="C35" s="672"/>
      <c r="D35" s="689"/>
      <c r="E35" s="673"/>
      <c r="F35" s="673"/>
      <c r="G35" s="673"/>
      <c r="H35" s="673"/>
      <c r="I35" s="689"/>
      <c r="J35" s="86"/>
    </row>
    <row r="36" spans="1:10" ht="18.75" customHeight="1" x14ac:dyDescent="0.25">
      <c r="A36" s="667"/>
      <c r="B36" s="686"/>
      <c r="C36" s="690"/>
      <c r="D36" s="691"/>
      <c r="E36" s="693"/>
      <c r="F36" s="693"/>
      <c r="G36" s="693"/>
      <c r="H36" s="693"/>
      <c r="I36" s="691"/>
      <c r="J36" s="86"/>
    </row>
    <row r="37" spans="1:10" ht="18.75" customHeight="1" x14ac:dyDescent="0.25">
      <c r="A37" s="667"/>
      <c r="B37"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37" s="687" t="str">
        <f>IFERROR(IF(INDEX('WPTM - Section F'!Q$1:Q$100,MATCH($A6,'WPTM - Section F'!$A$1:$A$100,0))&lt;&gt;0,INDEX('WPTM - Section F'!Q$1:Q$100,MATCH($A6,'WPTM - Section F'!$A$1:$A$100,0)),""),"")</f>
        <v/>
      </c>
      <c r="D37" s="688"/>
      <c r="E37" s="692" t="str">
        <f>IFERROR(IF(INDEX('WPTM - Section F'!R$1:R$100,MATCH($A6,'WPTM - Section F'!$A$1:$A$100,0))&lt;&gt;0,INDEX('WPTM - Section F'!R$1:R$100,MATCH($A6,'WPTM - Section F'!$A$1:$A$100,0)),""),"")</f>
        <v/>
      </c>
      <c r="F37" s="692"/>
      <c r="G37" s="692"/>
      <c r="H37" s="692"/>
      <c r="I37" s="688"/>
      <c r="J37" s="86"/>
    </row>
    <row r="38" spans="1:10" ht="18.75" customHeight="1" x14ac:dyDescent="0.25">
      <c r="A38" s="667"/>
      <c r="B38" s="685"/>
      <c r="C38" s="672"/>
      <c r="D38" s="689"/>
      <c r="E38" s="673"/>
      <c r="F38" s="673"/>
      <c r="G38" s="673"/>
      <c r="H38" s="673"/>
      <c r="I38" s="689"/>
      <c r="J38" s="86"/>
    </row>
    <row r="39" spans="1:10" ht="18.75" customHeight="1" x14ac:dyDescent="0.25">
      <c r="A39" s="667"/>
      <c r="B39" s="685"/>
      <c r="C39" s="672"/>
      <c r="D39" s="689"/>
      <c r="E39" s="673"/>
      <c r="F39" s="673"/>
      <c r="G39" s="673"/>
      <c r="H39" s="673"/>
      <c r="I39" s="689"/>
      <c r="J39" s="86"/>
    </row>
    <row r="40" spans="1:10" ht="18.75" customHeight="1" x14ac:dyDescent="0.25">
      <c r="A40" s="667"/>
      <c r="B40" s="685"/>
      <c r="C40" s="672"/>
      <c r="D40" s="689"/>
      <c r="E40" s="673"/>
      <c r="F40" s="673"/>
      <c r="G40" s="673"/>
      <c r="H40" s="673"/>
      <c r="I40" s="689"/>
      <c r="J40" s="86"/>
    </row>
    <row r="41" spans="1:10" ht="18.75" customHeight="1" x14ac:dyDescent="0.25">
      <c r="A41" s="667"/>
      <c r="B41" s="686"/>
      <c r="C41" s="690"/>
      <c r="D41" s="691"/>
      <c r="E41" s="693"/>
      <c r="F41" s="693"/>
      <c r="G41" s="693"/>
      <c r="H41" s="693"/>
      <c r="I41" s="691"/>
      <c r="J41" s="86"/>
    </row>
    <row r="42" spans="1:10" ht="18.75" customHeight="1" x14ac:dyDescent="0.25">
      <c r="A42" s="667"/>
      <c r="B42"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42" s="687" t="str">
        <f>IFERROR(IF(INDEX('WPTM - Section F'!S$1:S$100,MATCH($A6,'WPTM - Section F'!$A$1:$A$100,0))&lt;&gt;0,INDEX('WPTM - Section F'!S$1:S$100,MATCH($A6,'WPTM - Section F'!$A$1:$A$100,0)),""),"")</f>
        <v/>
      </c>
      <c r="D42" s="688"/>
      <c r="E42" s="692" t="str">
        <f>IFERROR(IF(INDEX('WPTM - Section F'!T$1:T$100,MATCH($A6,'WPTM - Section F'!$A$1:$A$100,0))&lt;&gt;0,INDEX('WPTM - Section F'!T$1:T$100,MATCH($A6,'WPTM - Section F'!$A$1:$A$100,0)),""),"")</f>
        <v/>
      </c>
      <c r="F42" s="692"/>
      <c r="G42" s="692"/>
      <c r="H42" s="692"/>
      <c r="I42" s="688"/>
      <c r="J42" s="86"/>
    </row>
    <row r="43" spans="1:10" ht="18.75" customHeight="1" x14ac:dyDescent="0.25">
      <c r="A43" s="667"/>
      <c r="B43" s="685"/>
      <c r="C43" s="672"/>
      <c r="D43" s="689"/>
      <c r="E43" s="673"/>
      <c r="F43" s="673"/>
      <c r="G43" s="673"/>
      <c r="H43" s="673"/>
      <c r="I43" s="689"/>
      <c r="J43" s="86"/>
    </row>
    <row r="44" spans="1:10" ht="18.75" customHeight="1" x14ac:dyDescent="0.25">
      <c r="A44" s="667"/>
      <c r="B44" s="685"/>
      <c r="C44" s="672"/>
      <c r="D44" s="689"/>
      <c r="E44" s="673"/>
      <c r="F44" s="673"/>
      <c r="G44" s="673"/>
      <c r="H44" s="673"/>
      <c r="I44" s="689"/>
      <c r="J44" s="86"/>
    </row>
    <row r="45" spans="1:10" ht="18.75" customHeight="1" x14ac:dyDescent="0.25">
      <c r="A45" s="667"/>
      <c r="B45" s="685"/>
      <c r="C45" s="672"/>
      <c r="D45" s="689"/>
      <c r="E45" s="673"/>
      <c r="F45" s="673"/>
      <c r="G45" s="673"/>
      <c r="H45" s="673"/>
      <c r="I45" s="689"/>
      <c r="J45" s="86"/>
    </row>
    <row r="46" spans="1:10" ht="18.75" customHeight="1" x14ac:dyDescent="0.25">
      <c r="A46" s="667"/>
      <c r="B46" s="686"/>
      <c r="C46" s="690"/>
      <c r="D46" s="691"/>
      <c r="E46" s="693"/>
      <c r="F46" s="693"/>
      <c r="G46" s="693"/>
      <c r="H46" s="693"/>
      <c r="I46" s="691"/>
      <c r="J46" s="86"/>
    </row>
    <row r="47" spans="1:10" ht="18.75" customHeight="1" x14ac:dyDescent="0.25">
      <c r="A47" s="667"/>
      <c r="B47"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47" s="687" t="str">
        <f>IFERROR(IF(INDEX('WPTM - Section F'!U$1:U$100,MATCH($A6,'WPTM - Section F'!$A$1:$A$100,0))&lt;&gt;0,INDEX('WPTM - Section F'!U$1:U$100,MATCH($A6,'WPTM - Section F'!$A$1:$A$100,0)),""),"")</f>
        <v/>
      </c>
      <c r="D47" s="688"/>
      <c r="E47" s="692" t="str">
        <f>IFERROR(IF(INDEX('WPTM - Section F'!V$1:V$100,MATCH($A6,'WPTM - Section F'!$A$1:$A$100,0))&lt;&gt;0,INDEX('WPTM - Section F'!V$1:V$100,MATCH($A6,'WPTM - Section F'!$A$1:$A$100,0)),""),"")</f>
        <v/>
      </c>
      <c r="F47" s="692"/>
      <c r="G47" s="692"/>
      <c r="H47" s="692"/>
      <c r="I47" s="688"/>
      <c r="J47" s="86"/>
    </row>
    <row r="48" spans="1:10" ht="18.75" customHeight="1" x14ac:dyDescent="0.25">
      <c r="A48" s="667"/>
      <c r="B48" s="685"/>
      <c r="C48" s="672"/>
      <c r="D48" s="689"/>
      <c r="E48" s="673"/>
      <c r="F48" s="673"/>
      <c r="G48" s="673"/>
      <c r="H48" s="673"/>
      <c r="I48" s="689"/>
      <c r="J48" s="86"/>
    </row>
    <row r="49" spans="1:10" ht="18.75" customHeight="1" x14ac:dyDescent="0.25">
      <c r="A49" s="667"/>
      <c r="B49" s="685"/>
      <c r="C49" s="672"/>
      <c r="D49" s="689"/>
      <c r="E49" s="673"/>
      <c r="F49" s="673"/>
      <c r="G49" s="673"/>
      <c r="H49" s="673"/>
      <c r="I49" s="689"/>
      <c r="J49" s="86"/>
    </row>
    <row r="50" spans="1:10" ht="18.75" customHeight="1" x14ac:dyDescent="0.25">
      <c r="A50" s="667"/>
      <c r="B50" s="685"/>
      <c r="C50" s="672"/>
      <c r="D50" s="689"/>
      <c r="E50" s="673"/>
      <c r="F50" s="673"/>
      <c r="G50" s="673"/>
      <c r="H50" s="673"/>
      <c r="I50" s="689"/>
      <c r="J50" s="86"/>
    </row>
    <row r="51" spans="1:10" ht="18.75" customHeight="1" x14ac:dyDescent="0.25">
      <c r="A51" s="667"/>
      <c r="B51" s="685"/>
      <c r="C51" s="672"/>
      <c r="D51" s="689"/>
      <c r="E51" s="673"/>
      <c r="F51" s="673"/>
      <c r="G51" s="673"/>
      <c r="H51" s="673"/>
      <c r="I51" s="689"/>
      <c r="J51" s="86"/>
    </row>
    <row r="52" spans="1:10" ht="18.75" customHeight="1" x14ac:dyDescent="0.25">
      <c r="A52" s="681"/>
      <c r="B52" s="682"/>
      <c r="C52" s="682"/>
      <c r="D52" s="682"/>
      <c r="E52" s="682"/>
      <c r="F52" s="682"/>
      <c r="G52" s="682"/>
      <c r="H52" s="682"/>
      <c r="I52" s="683"/>
      <c r="J52" s="86"/>
    </row>
    <row r="54" spans="1:10" ht="18.75" customHeight="1" x14ac:dyDescent="0.25">
      <c r="A54" s="111" t="s">
        <v>4383</v>
      </c>
      <c r="B54" s="111" t="s">
        <v>1046</v>
      </c>
      <c r="C54" s="663" t="str">
        <f>IFERROR(IF(INDEX('WPTM - Section F'!B$1:B$100,MATCH($A55,'WPTM - Section F'!$A$1:$A$100,0))&lt;&gt;0,INDEX('WPTM - Section F'!B$1:B$100,MATCH($A55,'WPTM - Section F'!$A$1:$A$100,0)),""),"")</f>
        <v/>
      </c>
      <c r="D54" s="664"/>
      <c r="E54" s="664"/>
      <c r="F54" s="664"/>
      <c r="G54" s="664"/>
      <c r="H54" s="664"/>
      <c r="I54" s="694"/>
      <c r="J54" s="86"/>
    </row>
    <row r="55" spans="1:10" ht="18.75" customHeight="1" x14ac:dyDescent="0.25">
      <c r="A55" s="666">
        <v>2</v>
      </c>
      <c r="B55" s="109" t="s">
        <v>258</v>
      </c>
      <c r="C55" s="663" t="str">
        <f>IFERROR(IF(INDEX('WPTM - Section F'!C$1:C$100,MATCH($A55,'WPTM - Section F'!$A$1:$A$100,0))&lt;&gt;0,INDEX('WPTM - Section F'!C$1:C$100,MATCH($A55,'WPTM - Section F'!$A$1:$A$100,0)),""),"")</f>
        <v/>
      </c>
      <c r="D55" s="664"/>
      <c r="E55" s="664"/>
      <c r="F55" s="664"/>
      <c r="G55" s="664"/>
      <c r="H55" s="664"/>
      <c r="I55" s="694"/>
      <c r="J55" s="86"/>
    </row>
    <row r="56" spans="1:10" ht="18.75" customHeight="1" x14ac:dyDescent="0.25">
      <c r="A56" s="667"/>
      <c r="B56" s="660" t="s">
        <v>2275</v>
      </c>
      <c r="C56" s="661"/>
      <c r="D56" s="661"/>
      <c r="E56" s="661"/>
      <c r="F56" s="695" t="s">
        <v>127</v>
      </c>
      <c r="G56" s="661"/>
      <c r="H56" s="661"/>
      <c r="I56" s="696"/>
      <c r="J56" s="86"/>
    </row>
    <row r="57" spans="1:10" ht="18.75" customHeight="1" x14ac:dyDescent="0.25">
      <c r="A57" s="667"/>
      <c r="B57" s="669" t="str">
        <f>IFERROR(IF(INDEX('WPTM - Section F'!D$1:D$100,MATCH($A55,'WPTM - Section F'!$A$1:$A$100,0))&lt;&gt;0,INDEX('WPTM - Section F'!D$1:D$100,MATCH($A55,'WPTM - Section F'!$A$1:$A$100,0)),""),"")</f>
        <v/>
      </c>
      <c r="C57" s="670"/>
      <c r="D57" s="670"/>
      <c r="E57" s="670"/>
      <c r="F57" s="697" t="str">
        <f>IFERROR(IF(INDEX('WPTM - Section F'!F$1:F$100,MATCH($A55,'WPTM - Section F'!$A$1:$A$100,0))&lt;&gt;0,INDEX('WPTM - Section F'!F$1:F$100,MATCH($A55,'WPTM - Section F'!$A$1:$A$100,0)),""),"")</f>
        <v/>
      </c>
      <c r="G57" s="664"/>
      <c r="H57" s="664"/>
      <c r="I57" s="694"/>
      <c r="J57" s="86"/>
    </row>
    <row r="58" spans="1:10" ht="18.75" customHeight="1" x14ac:dyDescent="0.25">
      <c r="A58" s="667"/>
      <c r="B58" s="672"/>
      <c r="C58" s="673"/>
      <c r="D58" s="673"/>
      <c r="E58" s="673"/>
      <c r="F58" s="695" t="s">
        <v>120</v>
      </c>
      <c r="G58" s="661"/>
      <c r="H58" s="661"/>
      <c r="I58" s="696"/>
      <c r="J58" s="86"/>
    </row>
    <row r="59" spans="1:10" ht="18.75" customHeight="1" x14ac:dyDescent="0.25">
      <c r="A59" s="667"/>
      <c r="B59" s="672"/>
      <c r="C59" s="673"/>
      <c r="D59" s="673"/>
      <c r="E59" s="673"/>
      <c r="F59" s="698" t="str">
        <f>IFERROR(IF(INDEX('WPTM - Section F'!E$1:E$100,MATCH($A55,'WPTM - Section F'!$A$1:$A$100,0))&lt;&gt;0,INDEX('WPTM - Section F'!E$1:E$100,MATCH($A55,'WPTM - Section F'!$A$1:$A$100,0)),""),"")</f>
        <v/>
      </c>
      <c r="G59" s="670"/>
      <c r="H59" s="670"/>
      <c r="I59" s="699"/>
      <c r="J59" s="86"/>
    </row>
    <row r="60" spans="1:10" ht="18.75" customHeight="1" x14ac:dyDescent="0.25">
      <c r="A60" s="667"/>
      <c r="B60" s="110"/>
      <c r="C60" s="681" t="s">
        <v>2276</v>
      </c>
      <c r="D60" s="683"/>
      <c r="E60" s="682" t="s">
        <v>2277</v>
      </c>
      <c r="F60" s="682"/>
      <c r="G60" s="682"/>
      <c r="H60" s="682"/>
      <c r="I60" s="683"/>
      <c r="J60" s="86"/>
    </row>
    <row r="61" spans="1:10" ht="18.75" customHeight="1" x14ac:dyDescent="0.25">
      <c r="A61" s="667"/>
      <c r="B61"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61" s="669" t="str">
        <f>IFERROR(IF(INDEX('WPTM - Section F'!G$1:G$100,MATCH($A55,'WPTM - Section F'!$A$1:$A$100,0))&lt;&gt;0,INDEX('WPTM - Section F'!G$1:G$100,MATCH($A55,'WPTM - Section F'!$A$1:$A$100,0)),""),"")</f>
        <v/>
      </c>
      <c r="D61" s="699"/>
      <c r="E61" s="670" t="str">
        <f>IFERROR(IF(INDEX('WPTM - Section F'!H$1:H$100,MATCH($A55,'WPTM - Section F'!$A$1:$A$100,0))&lt;&gt;0,INDEX('WPTM - Section F'!H$1:H$100,MATCH($A55,'WPTM - Section F'!$A$1:$A$100,0)),""),"")</f>
        <v/>
      </c>
      <c r="F61" s="670"/>
      <c r="G61" s="670"/>
      <c r="H61" s="670"/>
      <c r="I61" s="699"/>
      <c r="J61" s="86"/>
    </row>
    <row r="62" spans="1:10" ht="18.75" customHeight="1" x14ac:dyDescent="0.25">
      <c r="A62" s="667"/>
      <c r="B62" s="685"/>
      <c r="C62" s="672"/>
      <c r="D62" s="689"/>
      <c r="E62" s="673"/>
      <c r="F62" s="673"/>
      <c r="G62" s="673"/>
      <c r="H62" s="673"/>
      <c r="I62" s="689"/>
      <c r="J62" s="86"/>
    </row>
    <row r="63" spans="1:10" ht="18.75" customHeight="1" x14ac:dyDescent="0.25">
      <c r="A63" s="667"/>
      <c r="B63" s="685"/>
      <c r="C63" s="672"/>
      <c r="D63" s="689"/>
      <c r="E63" s="673"/>
      <c r="F63" s="673"/>
      <c r="G63" s="673"/>
      <c r="H63" s="673"/>
      <c r="I63" s="689"/>
      <c r="J63" s="86"/>
    </row>
    <row r="64" spans="1:10" ht="18.75" customHeight="1" x14ac:dyDescent="0.25">
      <c r="A64" s="667"/>
      <c r="B64" s="685"/>
      <c r="C64" s="672"/>
      <c r="D64" s="689"/>
      <c r="E64" s="673"/>
      <c r="F64" s="673"/>
      <c r="G64" s="673"/>
      <c r="H64" s="673"/>
      <c r="I64" s="689"/>
      <c r="J64" s="86"/>
    </row>
    <row r="65" spans="1:10" ht="18.75" customHeight="1" x14ac:dyDescent="0.25">
      <c r="A65" s="667"/>
      <c r="B65" s="686"/>
      <c r="C65" s="690"/>
      <c r="D65" s="691"/>
      <c r="E65" s="693"/>
      <c r="F65" s="693"/>
      <c r="G65" s="693"/>
      <c r="H65" s="693"/>
      <c r="I65" s="691"/>
      <c r="J65" s="86"/>
    </row>
    <row r="66" spans="1:10" ht="18.75" customHeight="1" x14ac:dyDescent="0.25">
      <c r="A66" s="667"/>
      <c r="B66"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66" s="687" t="str">
        <f>IFERROR(IF(INDEX('WPTM - Section F'!I$1:I$100,MATCH($A55,'WPTM - Section F'!$A$1:$A$100,0))&lt;&gt;0,INDEX('WPTM - Section F'!I$1:I$100,MATCH($A55,'WPTM - Section F'!$A$1:$A$100,0)),""),"")</f>
        <v/>
      </c>
      <c r="D66" s="688"/>
      <c r="E66" s="692" t="str">
        <f>IFERROR(IF(INDEX('WPTM - Section F'!J$1:J$100,MATCH($A55,'WPTM - Section F'!$A$1:$A$100,0))&lt;&gt;0,INDEX('WPTM - Section F'!J$1:J$100,MATCH($A55,'WPTM - Section F'!$A$1:$A$100,0)),""),"")</f>
        <v/>
      </c>
      <c r="F66" s="692"/>
      <c r="G66" s="692"/>
      <c r="H66" s="692"/>
      <c r="I66" s="688"/>
      <c r="J66" s="86"/>
    </row>
    <row r="67" spans="1:10" ht="18.75" customHeight="1" x14ac:dyDescent="0.25">
      <c r="A67" s="667"/>
      <c r="B67" s="685"/>
      <c r="C67" s="672"/>
      <c r="D67" s="689"/>
      <c r="E67" s="673"/>
      <c r="F67" s="673"/>
      <c r="G67" s="673"/>
      <c r="H67" s="673"/>
      <c r="I67" s="689"/>
      <c r="J67" s="86"/>
    </row>
    <row r="68" spans="1:10" ht="18.75" customHeight="1" x14ac:dyDescent="0.25">
      <c r="A68" s="667"/>
      <c r="B68" s="685"/>
      <c r="C68" s="672"/>
      <c r="D68" s="689"/>
      <c r="E68" s="673"/>
      <c r="F68" s="673"/>
      <c r="G68" s="673"/>
      <c r="H68" s="673"/>
      <c r="I68" s="689"/>
      <c r="J68" s="86"/>
    </row>
    <row r="69" spans="1:10" ht="18.75" customHeight="1" x14ac:dyDescent="0.25">
      <c r="A69" s="667"/>
      <c r="B69" s="685"/>
      <c r="C69" s="672"/>
      <c r="D69" s="689"/>
      <c r="E69" s="673"/>
      <c r="F69" s="673"/>
      <c r="G69" s="673"/>
      <c r="H69" s="673"/>
      <c r="I69" s="689"/>
      <c r="J69" s="86"/>
    </row>
    <row r="70" spans="1:10" ht="18.75" customHeight="1" x14ac:dyDescent="0.25">
      <c r="A70" s="667"/>
      <c r="B70" s="686"/>
      <c r="C70" s="690"/>
      <c r="D70" s="691"/>
      <c r="E70" s="693"/>
      <c r="F70" s="693"/>
      <c r="G70" s="693"/>
      <c r="H70" s="693"/>
      <c r="I70" s="691"/>
      <c r="J70" s="86"/>
    </row>
    <row r="71" spans="1:10" ht="18.75" customHeight="1" x14ac:dyDescent="0.25">
      <c r="A71" s="667"/>
      <c r="B71"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71" s="687" t="str">
        <f>IFERROR(IF(INDEX('WPTM - Section F'!K$1:K$100,MATCH($A55,'WPTM - Section F'!$A$1:$A$100,0))&lt;&gt;0,INDEX('WPTM - Section F'!K$1:K$100,MATCH($A55,'WPTM - Section F'!$A$1:$A$100,0)),""),"")</f>
        <v/>
      </c>
      <c r="D71" s="688"/>
      <c r="E71" s="692" t="str">
        <f>IFERROR(IF(INDEX('WPTM - Section F'!L$1:L$100,MATCH($A55,'WPTM - Section F'!$A$1:$A$100,0))&lt;&gt;0,INDEX('WPTM - Section F'!L$1:L$100,MATCH($A55,'WPTM - Section F'!$A$1:$A$100,0)),""),"")</f>
        <v/>
      </c>
      <c r="F71" s="692"/>
      <c r="G71" s="692"/>
      <c r="H71" s="692"/>
      <c r="I71" s="688"/>
      <c r="J71" s="86"/>
    </row>
    <row r="72" spans="1:10" ht="18.75" customHeight="1" x14ac:dyDescent="0.25">
      <c r="A72" s="667"/>
      <c r="B72" s="685"/>
      <c r="C72" s="672"/>
      <c r="D72" s="689"/>
      <c r="E72" s="673"/>
      <c r="F72" s="673"/>
      <c r="G72" s="673"/>
      <c r="H72" s="673"/>
      <c r="I72" s="689"/>
      <c r="J72" s="86"/>
    </row>
    <row r="73" spans="1:10" ht="18.75" customHeight="1" x14ac:dyDescent="0.25">
      <c r="A73" s="667"/>
      <c r="B73" s="685"/>
      <c r="C73" s="672"/>
      <c r="D73" s="689"/>
      <c r="E73" s="673"/>
      <c r="F73" s="673"/>
      <c r="G73" s="673"/>
      <c r="H73" s="673"/>
      <c r="I73" s="689"/>
      <c r="J73" s="86"/>
    </row>
    <row r="74" spans="1:10" ht="18.75" customHeight="1" x14ac:dyDescent="0.25">
      <c r="A74" s="667"/>
      <c r="B74" s="685"/>
      <c r="C74" s="672"/>
      <c r="D74" s="689"/>
      <c r="E74" s="673"/>
      <c r="F74" s="673"/>
      <c r="G74" s="673"/>
      <c r="H74" s="673"/>
      <c r="I74" s="689"/>
      <c r="J74" s="86"/>
    </row>
    <row r="75" spans="1:10" ht="18.75" customHeight="1" x14ac:dyDescent="0.25">
      <c r="A75" s="667"/>
      <c r="B75" s="686"/>
      <c r="C75" s="690"/>
      <c r="D75" s="691"/>
      <c r="E75" s="693"/>
      <c r="F75" s="693"/>
      <c r="G75" s="693"/>
      <c r="H75" s="693"/>
      <c r="I75" s="691"/>
      <c r="J75" s="86"/>
    </row>
    <row r="76" spans="1:10" ht="18.75" customHeight="1" x14ac:dyDescent="0.25">
      <c r="A76" s="667"/>
      <c r="B76"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76" s="687" t="str">
        <f>IFERROR(IF(INDEX('WPTM - Section F'!M$1:M$100,MATCH($A55,'WPTM - Section F'!$A$1:$A$100,0))&lt;&gt;0,INDEX('WPTM - Section F'!M$1:M$100,MATCH($A55,'WPTM - Section F'!$A$1:$A$100,0)),""),"")</f>
        <v/>
      </c>
      <c r="D76" s="688"/>
      <c r="E76" s="692" t="str">
        <f>IFERROR(IF(INDEX('WPTM - Section F'!N$1:N$100,MATCH($A55,'WPTM - Section F'!$A$1:$A$100,0))&lt;&gt;0,INDEX('WPTM - Section F'!N$1:N$100,MATCH($A55,'WPTM - Section F'!$A$1:$A$100,0)),""),"")</f>
        <v/>
      </c>
      <c r="F76" s="692"/>
      <c r="G76" s="692"/>
      <c r="H76" s="692"/>
      <c r="I76" s="688"/>
      <c r="J76" s="86"/>
    </row>
    <row r="77" spans="1:10" ht="18.75" customHeight="1" x14ac:dyDescent="0.25">
      <c r="A77" s="667"/>
      <c r="B77" s="685"/>
      <c r="C77" s="672"/>
      <c r="D77" s="689"/>
      <c r="E77" s="673"/>
      <c r="F77" s="673"/>
      <c r="G77" s="673"/>
      <c r="H77" s="673"/>
      <c r="I77" s="689"/>
      <c r="J77" s="86"/>
    </row>
    <row r="78" spans="1:10" ht="18.75" customHeight="1" x14ac:dyDescent="0.25">
      <c r="A78" s="667"/>
      <c r="B78" s="685"/>
      <c r="C78" s="672"/>
      <c r="D78" s="689"/>
      <c r="E78" s="673"/>
      <c r="F78" s="673"/>
      <c r="G78" s="673"/>
      <c r="H78" s="673"/>
      <c r="I78" s="689"/>
      <c r="J78" s="86"/>
    </row>
    <row r="79" spans="1:10" ht="18.75" customHeight="1" x14ac:dyDescent="0.25">
      <c r="A79" s="667"/>
      <c r="B79" s="685"/>
      <c r="C79" s="672"/>
      <c r="D79" s="689"/>
      <c r="E79" s="673"/>
      <c r="F79" s="673"/>
      <c r="G79" s="673"/>
      <c r="H79" s="673"/>
      <c r="I79" s="689"/>
      <c r="J79" s="86"/>
    </row>
    <row r="80" spans="1:10" ht="18.75" customHeight="1" x14ac:dyDescent="0.25">
      <c r="A80" s="667"/>
      <c r="B80" s="686"/>
      <c r="C80" s="690"/>
      <c r="D80" s="691"/>
      <c r="E80" s="693"/>
      <c r="F80" s="693"/>
      <c r="G80" s="693"/>
      <c r="H80" s="693"/>
      <c r="I80" s="691"/>
      <c r="J80" s="86"/>
    </row>
    <row r="81" spans="1:10" ht="18.75" customHeight="1" x14ac:dyDescent="0.25">
      <c r="A81" s="667"/>
      <c r="B81"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81" s="687" t="str">
        <f>IFERROR(IF(INDEX('WPTM - Section F'!O$1:O$100,MATCH($A55,'WPTM - Section F'!$A$1:$A$100,0))&lt;&gt;0,INDEX('WPTM - Section F'!O$1:O$100,MATCH($A55,'WPTM - Section F'!$A$1:$A$100,0)),""),"")</f>
        <v/>
      </c>
      <c r="D81" s="688"/>
      <c r="E81" s="692" t="str">
        <f>IFERROR(IF(INDEX('WPTM - Section F'!P$1:P$100,MATCH($A55,'WPTM - Section F'!$A$1:$A$100,0))&lt;&gt;0,INDEX('WPTM - Section F'!P$1:P$100,MATCH($A55,'WPTM - Section F'!$A$1:$A$100,0)),""),"")</f>
        <v/>
      </c>
      <c r="F81" s="692"/>
      <c r="G81" s="692"/>
      <c r="H81" s="692"/>
      <c r="I81" s="688"/>
      <c r="J81" s="86"/>
    </row>
    <row r="82" spans="1:10" ht="18.75" customHeight="1" x14ac:dyDescent="0.25">
      <c r="A82" s="667"/>
      <c r="B82" s="685"/>
      <c r="C82" s="672"/>
      <c r="D82" s="689"/>
      <c r="E82" s="673"/>
      <c r="F82" s="673"/>
      <c r="G82" s="673"/>
      <c r="H82" s="673"/>
      <c r="I82" s="689"/>
      <c r="J82" s="86"/>
    </row>
    <row r="83" spans="1:10" ht="18.75" customHeight="1" x14ac:dyDescent="0.25">
      <c r="A83" s="667"/>
      <c r="B83" s="685"/>
      <c r="C83" s="672"/>
      <c r="D83" s="689"/>
      <c r="E83" s="673"/>
      <c r="F83" s="673"/>
      <c r="G83" s="673"/>
      <c r="H83" s="673"/>
      <c r="I83" s="689"/>
      <c r="J83" s="86"/>
    </row>
    <row r="84" spans="1:10" ht="18.75" customHeight="1" x14ac:dyDescent="0.25">
      <c r="A84" s="667"/>
      <c r="B84" s="685"/>
      <c r="C84" s="672"/>
      <c r="D84" s="689"/>
      <c r="E84" s="673"/>
      <c r="F84" s="673"/>
      <c r="G84" s="673"/>
      <c r="H84" s="673"/>
      <c r="I84" s="689"/>
      <c r="J84" s="86"/>
    </row>
    <row r="85" spans="1:10" ht="18.75" customHeight="1" x14ac:dyDescent="0.25">
      <c r="A85" s="667"/>
      <c r="B85" s="686"/>
      <c r="C85" s="690"/>
      <c r="D85" s="691"/>
      <c r="E85" s="693"/>
      <c r="F85" s="693"/>
      <c r="G85" s="693"/>
      <c r="H85" s="693"/>
      <c r="I85" s="691"/>
      <c r="J85" s="86"/>
    </row>
    <row r="86" spans="1:10" ht="18.75" customHeight="1" x14ac:dyDescent="0.25">
      <c r="A86" s="667"/>
      <c r="B86"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86" s="687" t="str">
        <f>IFERROR(IF(INDEX('WPTM - Section F'!Q$1:Q$100,MATCH($A55,'WPTM - Section F'!$A$1:$A$100,0))&lt;&gt;0,INDEX('WPTM - Section F'!Q$1:Q$100,MATCH($A55,'WPTM - Section F'!$A$1:$A$100,0)),""),"")</f>
        <v/>
      </c>
      <c r="D86" s="688"/>
      <c r="E86" s="692" t="str">
        <f>IFERROR(IF(INDEX('WPTM - Section F'!R$1:R$100,MATCH($A55,'WPTM - Section F'!$A$1:$A$100,0))&lt;&gt;0,INDEX('WPTM - Section F'!R$1:R$100,MATCH($A55,'WPTM - Section F'!$A$1:$A$100,0)),""),"")</f>
        <v/>
      </c>
      <c r="F86" s="692"/>
      <c r="G86" s="692"/>
      <c r="H86" s="692"/>
      <c r="I86" s="688"/>
      <c r="J86" s="86"/>
    </row>
    <row r="87" spans="1:10" ht="18.75" customHeight="1" x14ac:dyDescent="0.25">
      <c r="A87" s="667"/>
      <c r="B87" s="685"/>
      <c r="C87" s="672"/>
      <c r="D87" s="689"/>
      <c r="E87" s="673"/>
      <c r="F87" s="673"/>
      <c r="G87" s="673"/>
      <c r="H87" s="673"/>
      <c r="I87" s="689"/>
      <c r="J87" s="86"/>
    </row>
    <row r="88" spans="1:10" ht="18.75" customHeight="1" x14ac:dyDescent="0.25">
      <c r="A88" s="667"/>
      <c r="B88" s="685"/>
      <c r="C88" s="672"/>
      <c r="D88" s="689"/>
      <c r="E88" s="673"/>
      <c r="F88" s="673"/>
      <c r="G88" s="673"/>
      <c r="H88" s="673"/>
      <c r="I88" s="689"/>
      <c r="J88" s="86"/>
    </row>
    <row r="89" spans="1:10" ht="18.75" customHeight="1" x14ac:dyDescent="0.25">
      <c r="A89" s="667"/>
      <c r="B89" s="685"/>
      <c r="C89" s="672"/>
      <c r="D89" s="689"/>
      <c r="E89" s="673"/>
      <c r="F89" s="673"/>
      <c r="G89" s="673"/>
      <c r="H89" s="673"/>
      <c r="I89" s="689"/>
      <c r="J89" s="86"/>
    </row>
    <row r="90" spans="1:10" ht="18.75" customHeight="1" x14ac:dyDescent="0.25">
      <c r="A90" s="667"/>
      <c r="B90" s="686"/>
      <c r="C90" s="690"/>
      <c r="D90" s="691"/>
      <c r="E90" s="693"/>
      <c r="F90" s="693"/>
      <c r="G90" s="693"/>
      <c r="H90" s="693"/>
      <c r="I90" s="691"/>
      <c r="J90" s="86"/>
    </row>
    <row r="91" spans="1:10" ht="18.75" customHeight="1" x14ac:dyDescent="0.25">
      <c r="A91" s="667"/>
      <c r="B91"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91" s="687" t="str">
        <f>IFERROR(IF(INDEX('WPTM - Section F'!S$1:S$100,MATCH($A55,'WPTM - Section F'!$A$1:$A$100,0))&lt;&gt;0,INDEX('WPTM - Section F'!S$1:S$100,MATCH($A55,'WPTM - Section F'!$A$1:$A$100,0)),""),"")</f>
        <v/>
      </c>
      <c r="D91" s="688"/>
      <c r="E91" s="692" t="str">
        <f>IFERROR(IF(INDEX('WPTM - Section F'!T$1:T$100,MATCH($A55,'WPTM - Section F'!$A$1:$A$100,0))&lt;&gt;0,INDEX('WPTM - Section F'!T$1:T$100,MATCH($A55,'WPTM - Section F'!$A$1:$A$100,0)),""),"")</f>
        <v/>
      </c>
      <c r="F91" s="692"/>
      <c r="G91" s="692"/>
      <c r="H91" s="692"/>
      <c r="I91" s="688"/>
      <c r="J91" s="86"/>
    </row>
    <row r="92" spans="1:10" ht="18.75" customHeight="1" x14ac:dyDescent="0.25">
      <c r="A92" s="667"/>
      <c r="B92" s="685"/>
      <c r="C92" s="672"/>
      <c r="D92" s="689"/>
      <c r="E92" s="673"/>
      <c r="F92" s="673"/>
      <c r="G92" s="673"/>
      <c r="H92" s="673"/>
      <c r="I92" s="689"/>
      <c r="J92" s="86"/>
    </row>
    <row r="93" spans="1:10" ht="18.75" customHeight="1" x14ac:dyDescent="0.25">
      <c r="A93" s="667"/>
      <c r="B93" s="685"/>
      <c r="C93" s="672"/>
      <c r="D93" s="689"/>
      <c r="E93" s="673"/>
      <c r="F93" s="673"/>
      <c r="G93" s="673"/>
      <c r="H93" s="673"/>
      <c r="I93" s="689"/>
      <c r="J93" s="86"/>
    </row>
    <row r="94" spans="1:10" ht="18.75" customHeight="1" x14ac:dyDescent="0.25">
      <c r="A94" s="667"/>
      <c r="B94" s="685"/>
      <c r="C94" s="672"/>
      <c r="D94" s="689"/>
      <c r="E94" s="673"/>
      <c r="F94" s="673"/>
      <c r="G94" s="673"/>
      <c r="H94" s="673"/>
      <c r="I94" s="689"/>
      <c r="J94" s="86"/>
    </row>
    <row r="95" spans="1:10" ht="18.75" customHeight="1" x14ac:dyDescent="0.25">
      <c r="A95" s="667"/>
      <c r="B95" s="686"/>
      <c r="C95" s="690"/>
      <c r="D95" s="691"/>
      <c r="E95" s="693"/>
      <c r="F95" s="693"/>
      <c r="G95" s="693"/>
      <c r="H95" s="693"/>
      <c r="I95" s="691"/>
      <c r="J95" s="86"/>
    </row>
    <row r="96" spans="1:10" ht="18.75" customHeight="1" x14ac:dyDescent="0.25">
      <c r="A96" s="667"/>
      <c r="B96"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96" s="687" t="str">
        <f>IFERROR(IF(INDEX('WPTM - Section F'!U$1:U$100,MATCH($A55,'WPTM - Section F'!$A$1:$A$100,0))&lt;&gt;0,INDEX('WPTM - Section F'!U$1:U$100,MATCH($A55,'WPTM - Section F'!$A$1:$A$100,0)),""),"")</f>
        <v/>
      </c>
      <c r="D96" s="688"/>
      <c r="E96" s="692" t="str">
        <f>IFERROR(IF(INDEX('WPTM - Section F'!V$1:V$100,MATCH($A55,'WPTM - Section F'!$A$1:$A$100,0))&lt;&gt;0,INDEX('WPTM - Section F'!V$1:V$100,MATCH($A55,'WPTM - Section F'!$A$1:$A$100,0)),""),"")</f>
        <v/>
      </c>
      <c r="F96" s="692"/>
      <c r="G96" s="692"/>
      <c r="H96" s="692"/>
      <c r="I96" s="688"/>
      <c r="J96" s="86"/>
    </row>
    <row r="97" spans="1:10" ht="18.75" customHeight="1" x14ac:dyDescent="0.25">
      <c r="A97" s="667"/>
      <c r="B97" s="685"/>
      <c r="C97" s="672"/>
      <c r="D97" s="689"/>
      <c r="E97" s="673"/>
      <c r="F97" s="673"/>
      <c r="G97" s="673"/>
      <c r="H97" s="673"/>
      <c r="I97" s="689"/>
      <c r="J97" s="86"/>
    </row>
    <row r="98" spans="1:10" ht="18.75" customHeight="1" x14ac:dyDescent="0.25">
      <c r="A98" s="667"/>
      <c r="B98" s="685"/>
      <c r="C98" s="672"/>
      <c r="D98" s="689"/>
      <c r="E98" s="673"/>
      <c r="F98" s="673"/>
      <c r="G98" s="673"/>
      <c r="H98" s="673"/>
      <c r="I98" s="689"/>
      <c r="J98" s="86"/>
    </row>
    <row r="99" spans="1:10" ht="18.75" customHeight="1" x14ac:dyDescent="0.25">
      <c r="A99" s="667"/>
      <c r="B99" s="685"/>
      <c r="C99" s="672"/>
      <c r="D99" s="689"/>
      <c r="E99" s="673"/>
      <c r="F99" s="673"/>
      <c r="G99" s="673"/>
      <c r="H99" s="673"/>
      <c r="I99" s="689"/>
      <c r="J99" s="86"/>
    </row>
    <row r="100" spans="1:10" ht="18.75" customHeight="1" x14ac:dyDescent="0.25">
      <c r="A100" s="667"/>
      <c r="B100" s="685"/>
      <c r="C100" s="672"/>
      <c r="D100" s="689"/>
      <c r="E100" s="673"/>
      <c r="F100" s="673"/>
      <c r="G100" s="673"/>
      <c r="H100" s="673"/>
      <c r="I100" s="689"/>
      <c r="J100" s="86"/>
    </row>
    <row r="101" spans="1:10" ht="18.75" customHeight="1" x14ac:dyDescent="0.25">
      <c r="A101" s="681"/>
      <c r="B101" s="682"/>
      <c r="C101" s="682"/>
      <c r="D101" s="682"/>
      <c r="E101" s="682"/>
      <c r="F101" s="682"/>
      <c r="G101" s="682"/>
      <c r="H101" s="682"/>
      <c r="I101" s="683"/>
      <c r="J101" s="86"/>
    </row>
    <row r="103" spans="1:10" ht="18.75" customHeight="1" x14ac:dyDescent="0.25">
      <c r="A103" s="111" t="s">
        <v>4383</v>
      </c>
      <c r="B103" s="111" t="s">
        <v>1046</v>
      </c>
      <c r="C103" s="663" t="str">
        <f>IFERROR(IF(INDEX('WPTM - Section F'!B$1:B$100,MATCH($A104,'WPTM - Section F'!$A$1:$A$100,0))&lt;&gt;0,INDEX('WPTM - Section F'!B$1:B$100,MATCH($A104,'WPTM - Section F'!$A$1:$A$100,0)),""),"")</f>
        <v/>
      </c>
      <c r="D103" s="664"/>
      <c r="E103" s="664"/>
      <c r="F103" s="664"/>
      <c r="G103" s="664"/>
      <c r="H103" s="664"/>
      <c r="I103" s="694"/>
      <c r="J103" s="86"/>
    </row>
    <row r="104" spans="1:10" ht="18.75" customHeight="1" x14ac:dyDescent="0.25">
      <c r="A104" s="666">
        <v>3</v>
      </c>
      <c r="B104" s="109" t="s">
        <v>258</v>
      </c>
      <c r="C104" s="663" t="str">
        <f>IFERROR(IF(INDEX('WPTM - Section F'!C$1:C$100,MATCH($A104,'WPTM - Section F'!$A$1:$A$100,0))&lt;&gt;0,INDEX('WPTM - Section F'!C$1:C$100,MATCH($A104,'WPTM - Section F'!$A$1:$A$100,0)),""),"")</f>
        <v/>
      </c>
      <c r="D104" s="664"/>
      <c r="E104" s="664"/>
      <c r="F104" s="664"/>
      <c r="G104" s="664"/>
      <c r="H104" s="664"/>
      <c r="I104" s="694"/>
      <c r="J104" s="86"/>
    </row>
    <row r="105" spans="1:10" ht="18.75" customHeight="1" x14ac:dyDescent="0.25">
      <c r="A105" s="667"/>
      <c r="B105" s="660" t="s">
        <v>2275</v>
      </c>
      <c r="C105" s="661"/>
      <c r="D105" s="661"/>
      <c r="E105" s="661"/>
      <c r="F105" s="695" t="s">
        <v>127</v>
      </c>
      <c r="G105" s="661"/>
      <c r="H105" s="661"/>
      <c r="I105" s="696"/>
      <c r="J105" s="86"/>
    </row>
    <row r="106" spans="1:10" ht="18.75" customHeight="1" x14ac:dyDescent="0.25">
      <c r="A106" s="667"/>
      <c r="B106" s="669" t="str">
        <f>IFERROR(IF(INDEX('WPTM - Section F'!D$1:D$100,MATCH($A104,'WPTM - Section F'!$A$1:$A$100,0))&lt;&gt;0,INDEX('WPTM - Section F'!D$1:D$100,MATCH($A104,'WPTM - Section F'!$A$1:$A$100,0)),""),"")</f>
        <v/>
      </c>
      <c r="C106" s="670"/>
      <c r="D106" s="670"/>
      <c r="E106" s="670"/>
      <c r="F106" s="697" t="str">
        <f>IFERROR(IF(INDEX('WPTM - Section F'!F$1:F$100,MATCH($A104,'WPTM - Section F'!$A$1:$A$100,0))&lt;&gt;0,INDEX('WPTM - Section F'!F$1:F$100,MATCH($A104,'WPTM - Section F'!$A$1:$A$100,0)),""),"")</f>
        <v/>
      </c>
      <c r="G106" s="664"/>
      <c r="H106" s="664"/>
      <c r="I106" s="694"/>
      <c r="J106" s="86"/>
    </row>
    <row r="107" spans="1:10" ht="18.75" customHeight="1" x14ac:dyDescent="0.25">
      <c r="A107" s="667"/>
      <c r="B107" s="672"/>
      <c r="C107" s="673"/>
      <c r="D107" s="673"/>
      <c r="E107" s="673"/>
      <c r="F107" s="695" t="s">
        <v>120</v>
      </c>
      <c r="G107" s="661"/>
      <c r="H107" s="661"/>
      <c r="I107" s="696"/>
      <c r="J107" s="86"/>
    </row>
    <row r="108" spans="1:10" ht="18.75" customHeight="1" x14ac:dyDescent="0.25">
      <c r="A108" s="667"/>
      <c r="B108" s="672"/>
      <c r="C108" s="673"/>
      <c r="D108" s="673"/>
      <c r="E108" s="673"/>
      <c r="F108" s="698" t="str">
        <f>IFERROR(IF(INDEX('WPTM - Section F'!E$1:E$100,MATCH($A104,'WPTM - Section F'!$A$1:$A$100,0))&lt;&gt;0,INDEX('WPTM - Section F'!E$1:E$100,MATCH($A104,'WPTM - Section F'!$A$1:$A$100,0)),""),"")</f>
        <v/>
      </c>
      <c r="G108" s="670"/>
      <c r="H108" s="670"/>
      <c r="I108" s="699"/>
      <c r="J108" s="86"/>
    </row>
    <row r="109" spans="1:10" ht="18.75" customHeight="1" x14ac:dyDescent="0.25">
      <c r="A109" s="667"/>
      <c r="B109" s="110"/>
      <c r="C109" s="681" t="s">
        <v>2276</v>
      </c>
      <c r="D109" s="683"/>
      <c r="E109" s="682" t="s">
        <v>2277</v>
      </c>
      <c r="F109" s="682"/>
      <c r="G109" s="682"/>
      <c r="H109" s="682"/>
      <c r="I109" s="683"/>
      <c r="J109" s="86"/>
    </row>
    <row r="110" spans="1:10" ht="18.75" customHeight="1" x14ac:dyDescent="0.25">
      <c r="A110" s="667"/>
      <c r="B110"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110" s="669" t="str">
        <f>IFERROR(IF(INDEX('WPTM - Section F'!G$1:G$100,MATCH($A104,'WPTM - Section F'!$A$1:$A$100,0))&lt;&gt;0,INDEX('WPTM - Section F'!G$1:G$100,MATCH($A104,'WPTM - Section F'!$A$1:$A$100,0)),""),"")</f>
        <v/>
      </c>
      <c r="D110" s="699"/>
      <c r="E110" s="670" t="str">
        <f>IFERROR(IF(INDEX('WPTM - Section F'!H$1:H$100,MATCH($A104,'WPTM - Section F'!$A$1:$A$100,0))&lt;&gt;0,INDEX('WPTM - Section F'!H$1:H$100,MATCH($A104,'WPTM - Section F'!$A$1:$A$100,0)),""),"")</f>
        <v/>
      </c>
      <c r="F110" s="670"/>
      <c r="G110" s="670"/>
      <c r="H110" s="670"/>
      <c r="I110" s="699"/>
      <c r="J110" s="86"/>
    </row>
    <row r="111" spans="1:10" ht="18.75" customHeight="1" x14ac:dyDescent="0.25">
      <c r="A111" s="667"/>
      <c r="B111" s="685"/>
      <c r="C111" s="672"/>
      <c r="D111" s="689"/>
      <c r="E111" s="673"/>
      <c r="F111" s="673"/>
      <c r="G111" s="673"/>
      <c r="H111" s="673"/>
      <c r="I111" s="689"/>
      <c r="J111" s="86"/>
    </row>
    <row r="112" spans="1:10" ht="18.75" customHeight="1" x14ac:dyDescent="0.25">
      <c r="A112" s="667"/>
      <c r="B112" s="685"/>
      <c r="C112" s="672"/>
      <c r="D112" s="689"/>
      <c r="E112" s="673"/>
      <c r="F112" s="673"/>
      <c r="G112" s="673"/>
      <c r="H112" s="673"/>
      <c r="I112" s="689"/>
      <c r="J112" s="86"/>
    </row>
    <row r="113" spans="1:10" ht="18.75" customHeight="1" x14ac:dyDescent="0.25">
      <c r="A113" s="667"/>
      <c r="B113" s="685"/>
      <c r="C113" s="672"/>
      <c r="D113" s="689"/>
      <c r="E113" s="673"/>
      <c r="F113" s="673"/>
      <c r="G113" s="673"/>
      <c r="H113" s="673"/>
      <c r="I113" s="689"/>
      <c r="J113" s="86"/>
    </row>
    <row r="114" spans="1:10" ht="18.75" customHeight="1" x14ac:dyDescent="0.25">
      <c r="A114" s="667"/>
      <c r="B114" s="686"/>
      <c r="C114" s="690"/>
      <c r="D114" s="691"/>
      <c r="E114" s="693"/>
      <c r="F114" s="693"/>
      <c r="G114" s="693"/>
      <c r="H114" s="693"/>
      <c r="I114" s="691"/>
      <c r="J114" s="86"/>
    </row>
    <row r="115" spans="1:10" ht="18.75" customHeight="1" x14ac:dyDescent="0.25">
      <c r="A115" s="667"/>
      <c r="B115"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115" s="687" t="str">
        <f>IFERROR(IF(INDEX('WPTM - Section F'!I$1:I$100,MATCH($A104,'WPTM - Section F'!$A$1:$A$100,0))&lt;&gt;0,INDEX('WPTM - Section F'!I$1:I$100,MATCH($A104,'WPTM - Section F'!$A$1:$A$100,0)),""),"")</f>
        <v/>
      </c>
      <c r="D115" s="688"/>
      <c r="E115" s="692" t="str">
        <f>IFERROR(IF(INDEX('WPTM - Section F'!J$1:J$100,MATCH($A104,'WPTM - Section F'!$A$1:$A$100,0))&lt;&gt;0,INDEX('WPTM - Section F'!J$1:J$100,MATCH($A104,'WPTM - Section F'!$A$1:$A$100,0)),""),"")</f>
        <v/>
      </c>
      <c r="F115" s="692"/>
      <c r="G115" s="692"/>
      <c r="H115" s="692"/>
      <c r="I115" s="688"/>
      <c r="J115" s="86"/>
    </row>
    <row r="116" spans="1:10" ht="18.75" customHeight="1" x14ac:dyDescent="0.25">
      <c r="A116" s="667"/>
      <c r="B116" s="685"/>
      <c r="C116" s="672"/>
      <c r="D116" s="689"/>
      <c r="E116" s="673"/>
      <c r="F116" s="673"/>
      <c r="G116" s="673"/>
      <c r="H116" s="673"/>
      <c r="I116" s="689"/>
      <c r="J116" s="86"/>
    </row>
    <row r="117" spans="1:10" ht="18.75" customHeight="1" x14ac:dyDescent="0.25">
      <c r="A117" s="667"/>
      <c r="B117" s="685"/>
      <c r="C117" s="672"/>
      <c r="D117" s="689"/>
      <c r="E117" s="673"/>
      <c r="F117" s="673"/>
      <c r="G117" s="673"/>
      <c r="H117" s="673"/>
      <c r="I117" s="689"/>
      <c r="J117" s="86"/>
    </row>
    <row r="118" spans="1:10" ht="18.75" customHeight="1" x14ac:dyDescent="0.25">
      <c r="A118" s="667"/>
      <c r="B118" s="685"/>
      <c r="C118" s="672"/>
      <c r="D118" s="689"/>
      <c r="E118" s="673"/>
      <c r="F118" s="673"/>
      <c r="G118" s="673"/>
      <c r="H118" s="673"/>
      <c r="I118" s="689"/>
      <c r="J118" s="86"/>
    </row>
    <row r="119" spans="1:10" ht="18.75" customHeight="1" x14ac:dyDescent="0.25">
      <c r="A119" s="667"/>
      <c r="B119" s="686"/>
      <c r="C119" s="690"/>
      <c r="D119" s="691"/>
      <c r="E119" s="693"/>
      <c r="F119" s="693"/>
      <c r="G119" s="693"/>
      <c r="H119" s="693"/>
      <c r="I119" s="691"/>
      <c r="J119" s="86"/>
    </row>
    <row r="120" spans="1:10" ht="18.75" customHeight="1" x14ac:dyDescent="0.25">
      <c r="A120" s="667"/>
      <c r="B120"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120" s="687" t="str">
        <f>IFERROR(IF(INDEX('WPTM - Section F'!K$1:K$100,MATCH($A104,'WPTM - Section F'!$A$1:$A$100,0))&lt;&gt;0,INDEX('WPTM - Section F'!K$1:K$100,MATCH($A104,'WPTM - Section F'!$A$1:$A$100,0)),""),"")</f>
        <v/>
      </c>
      <c r="D120" s="688"/>
      <c r="E120" s="692" t="str">
        <f>IFERROR(IF(INDEX('WPTM - Section F'!L$1:L$100,MATCH($A104,'WPTM - Section F'!$A$1:$A$100,0))&lt;&gt;0,INDEX('WPTM - Section F'!L$1:L$100,MATCH($A104,'WPTM - Section F'!$A$1:$A$100,0)),""),"")</f>
        <v/>
      </c>
      <c r="F120" s="692"/>
      <c r="G120" s="692"/>
      <c r="H120" s="692"/>
      <c r="I120" s="688"/>
      <c r="J120" s="86"/>
    </row>
    <row r="121" spans="1:10" ht="18.75" customHeight="1" x14ac:dyDescent="0.25">
      <c r="A121" s="667"/>
      <c r="B121" s="685"/>
      <c r="C121" s="672"/>
      <c r="D121" s="689"/>
      <c r="E121" s="673"/>
      <c r="F121" s="673"/>
      <c r="G121" s="673"/>
      <c r="H121" s="673"/>
      <c r="I121" s="689"/>
      <c r="J121" s="86"/>
    </row>
    <row r="122" spans="1:10" ht="18.75" customHeight="1" x14ac:dyDescent="0.25">
      <c r="A122" s="667"/>
      <c r="B122" s="685"/>
      <c r="C122" s="672"/>
      <c r="D122" s="689"/>
      <c r="E122" s="673"/>
      <c r="F122" s="673"/>
      <c r="G122" s="673"/>
      <c r="H122" s="673"/>
      <c r="I122" s="689"/>
      <c r="J122" s="86"/>
    </row>
    <row r="123" spans="1:10" ht="18.75" customHeight="1" x14ac:dyDescent="0.25">
      <c r="A123" s="667"/>
      <c r="B123" s="685"/>
      <c r="C123" s="672"/>
      <c r="D123" s="689"/>
      <c r="E123" s="673"/>
      <c r="F123" s="673"/>
      <c r="G123" s="673"/>
      <c r="H123" s="673"/>
      <c r="I123" s="689"/>
      <c r="J123" s="86"/>
    </row>
    <row r="124" spans="1:10" ht="18.75" customHeight="1" x14ac:dyDescent="0.25">
      <c r="A124" s="667"/>
      <c r="B124" s="686"/>
      <c r="C124" s="690"/>
      <c r="D124" s="691"/>
      <c r="E124" s="693"/>
      <c r="F124" s="693"/>
      <c r="G124" s="693"/>
      <c r="H124" s="693"/>
      <c r="I124" s="691"/>
      <c r="J124" s="86"/>
    </row>
    <row r="125" spans="1:10" ht="18.75" customHeight="1" x14ac:dyDescent="0.25">
      <c r="A125" s="667"/>
      <c r="B125"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125" s="687" t="str">
        <f>IFERROR(IF(INDEX('WPTM - Section F'!M$1:M$100,MATCH($A104,'WPTM - Section F'!$A$1:$A$100,0))&lt;&gt;0,INDEX('WPTM - Section F'!M$1:M$100,MATCH($A104,'WPTM - Section F'!$A$1:$A$100,0)),""),"")</f>
        <v/>
      </c>
      <c r="D125" s="688"/>
      <c r="E125" s="692" t="str">
        <f>IFERROR(IF(INDEX('WPTM - Section F'!N$1:N$100,MATCH($A104,'WPTM - Section F'!$A$1:$A$100,0))&lt;&gt;0,INDEX('WPTM - Section F'!N$1:N$100,MATCH($A104,'WPTM - Section F'!$A$1:$A$100,0)),""),"")</f>
        <v/>
      </c>
      <c r="F125" s="692"/>
      <c r="G125" s="692"/>
      <c r="H125" s="692"/>
      <c r="I125" s="688"/>
      <c r="J125" s="86"/>
    </row>
    <row r="126" spans="1:10" ht="18.75" customHeight="1" x14ac:dyDescent="0.25">
      <c r="A126" s="667"/>
      <c r="B126" s="685"/>
      <c r="C126" s="672"/>
      <c r="D126" s="689"/>
      <c r="E126" s="673"/>
      <c r="F126" s="673"/>
      <c r="G126" s="673"/>
      <c r="H126" s="673"/>
      <c r="I126" s="689"/>
      <c r="J126" s="86"/>
    </row>
    <row r="127" spans="1:10" ht="18.75" customHeight="1" x14ac:dyDescent="0.25">
      <c r="A127" s="667"/>
      <c r="B127" s="685"/>
      <c r="C127" s="672"/>
      <c r="D127" s="689"/>
      <c r="E127" s="673"/>
      <c r="F127" s="673"/>
      <c r="G127" s="673"/>
      <c r="H127" s="673"/>
      <c r="I127" s="689"/>
      <c r="J127" s="86"/>
    </row>
    <row r="128" spans="1:10" ht="18.75" customHeight="1" x14ac:dyDescent="0.25">
      <c r="A128" s="667"/>
      <c r="B128" s="685"/>
      <c r="C128" s="672"/>
      <c r="D128" s="689"/>
      <c r="E128" s="673"/>
      <c r="F128" s="673"/>
      <c r="G128" s="673"/>
      <c r="H128" s="673"/>
      <c r="I128" s="689"/>
      <c r="J128" s="86"/>
    </row>
    <row r="129" spans="1:10" ht="18.75" customHeight="1" x14ac:dyDescent="0.25">
      <c r="A129" s="667"/>
      <c r="B129" s="686"/>
      <c r="C129" s="690"/>
      <c r="D129" s="691"/>
      <c r="E129" s="693"/>
      <c r="F129" s="693"/>
      <c r="G129" s="693"/>
      <c r="H129" s="693"/>
      <c r="I129" s="691"/>
      <c r="J129" s="86"/>
    </row>
    <row r="130" spans="1:10" ht="18.75" customHeight="1" x14ac:dyDescent="0.25">
      <c r="A130" s="667"/>
      <c r="B130"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130" s="687" t="str">
        <f>IFERROR(IF(INDEX('WPTM - Section F'!O$1:O$100,MATCH($A104,'WPTM - Section F'!$A$1:$A$100,0))&lt;&gt;0,INDEX('WPTM - Section F'!O$1:O$100,MATCH($A104,'WPTM - Section F'!$A$1:$A$100,0)),""),"")</f>
        <v/>
      </c>
      <c r="D130" s="688"/>
      <c r="E130" s="692" t="str">
        <f>IFERROR(IF(INDEX('WPTM - Section F'!P$1:P$100,MATCH($A104,'WPTM - Section F'!$A$1:$A$100,0))&lt;&gt;0,INDEX('WPTM - Section F'!P$1:P$100,MATCH($A104,'WPTM - Section F'!$A$1:$A$100,0)),""),"")</f>
        <v/>
      </c>
      <c r="F130" s="692"/>
      <c r="G130" s="692"/>
      <c r="H130" s="692"/>
      <c r="I130" s="688"/>
      <c r="J130" s="86"/>
    </row>
    <row r="131" spans="1:10" ht="18.75" customHeight="1" x14ac:dyDescent="0.25">
      <c r="A131" s="667"/>
      <c r="B131" s="685"/>
      <c r="C131" s="672"/>
      <c r="D131" s="689"/>
      <c r="E131" s="673"/>
      <c r="F131" s="673"/>
      <c r="G131" s="673"/>
      <c r="H131" s="673"/>
      <c r="I131" s="689"/>
      <c r="J131" s="86"/>
    </row>
    <row r="132" spans="1:10" ht="18.75" customHeight="1" x14ac:dyDescent="0.25">
      <c r="A132" s="667"/>
      <c r="B132" s="685"/>
      <c r="C132" s="672"/>
      <c r="D132" s="689"/>
      <c r="E132" s="673"/>
      <c r="F132" s="673"/>
      <c r="G132" s="673"/>
      <c r="H132" s="673"/>
      <c r="I132" s="689"/>
      <c r="J132" s="86"/>
    </row>
    <row r="133" spans="1:10" ht="18.75" customHeight="1" x14ac:dyDescent="0.25">
      <c r="A133" s="667"/>
      <c r="B133" s="685"/>
      <c r="C133" s="672"/>
      <c r="D133" s="689"/>
      <c r="E133" s="673"/>
      <c r="F133" s="673"/>
      <c r="G133" s="673"/>
      <c r="H133" s="673"/>
      <c r="I133" s="689"/>
      <c r="J133" s="86"/>
    </row>
    <row r="134" spans="1:10" ht="18.75" customHeight="1" x14ac:dyDescent="0.25">
      <c r="A134" s="667"/>
      <c r="B134" s="686"/>
      <c r="C134" s="690"/>
      <c r="D134" s="691"/>
      <c r="E134" s="693"/>
      <c r="F134" s="693"/>
      <c r="G134" s="693"/>
      <c r="H134" s="693"/>
      <c r="I134" s="691"/>
      <c r="J134" s="86"/>
    </row>
    <row r="135" spans="1:10" ht="18.75" customHeight="1" x14ac:dyDescent="0.25">
      <c r="A135" s="667"/>
      <c r="B135"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135" s="687" t="str">
        <f>IFERROR(IF(INDEX('WPTM - Section F'!Q$1:Q$100,MATCH($A104,'WPTM - Section F'!$A$1:$A$100,0))&lt;&gt;0,INDEX('WPTM - Section F'!Q$1:Q$100,MATCH($A104,'WPTM - Section F'!$A$1:$A$100,0)),""),"")</f>
        <v/>
      </c>
      <c r="D135" s="688"/>
      <c r="E135" s="692" t="str">
        <f>IFERROR(IF(INDEX('WPTM - Section F'!R$1:R$100,MATCH($A104,'WPTM - Section F'!$A$1:$A$100,0))&lt;&gt;0,INDEX('WPTM - Section F'!R$1:R$100,MATCH($A104,'WPTM - Section F'!$A$1:$A$100,0)),""),"")</f>
        <v/>
      </c>
      <c r="F135" s="692"/>
      <c r="G135" s="692"/>
      <c r="H135" s="692"/>
      <c r="I135" s="688"/>
      <c r="J135" s="86"/>
    </row>
    <row r="136" spans="1:10" ht="18.75" customHeight="1" x14ac:dyDescent="0.25">
      <c r="A136" s="667"/>
      <c r="B136" s="685"/>
      <c r="C136" s="672"/>
      <c r="D136" s="689"/>
      <c r="E136" s="673"/>
      <c r="F136" s="673"/>
      <c r="G136" s="673"/>
      <c r="H136" s="673"/>
      <c r="I136" s="689"/>
      <c r="J136" s="86"/>
    </row>
    <row r="137" spans="1:10" ht="18.75" customHeight="1" x14ac:dyDescent="0.25">
      <c r="A137" s="667"/>
      <c r="B137" s="685"/>
      <c r="C137" s="672"/>
      <c r="D137" s="689"/>
      <c r="E137" s="673"/>
      <c r="F137" s="673"/>
      <c r="G137" s="673"/>
      <c r="H137" s="673"/>
      <c r="I137" s="689"/>
      <c r="J137" s="86"/>
    </row>
    <row r="138" spans="1:10" ht="18.75" customHeight="1" x14ac:dyDescent="0.25">
      <c r="A138" s="667"/>
      <c r="B138" s="685"/>
      <c r="C138" s="672"/>
      <c r="D138" s="689"/>
      <c r="E138" s="673"/>
      <c r="F138" s="673"/>
      <c r="G138" s="673"/>
      <c r="H138" s="673"/>
      <c r="I138" s="689"/>
      <c r="J138" s="86"/>
    </row>
    <row r="139" spans="1:10" ht="18.75" customHeight="1" x14ac:dyDescent="0.25">
      <c r="A139" s="667"/>
      <c r="B139" s="686"/>
      <c r="C139" s="690"/>
      <c r="D139" s="691"/>
      <c r="E139" s="693"/>
      <c r="F139" s="693"/>
      <c r="G139" s="693"/>
      <c r="H139" s="693"/>
      <c r="I139" s="691"/>
      <c r="J139" s="86"/>
    </row>
    <row r="140" spans="1:10" ht="18.75" customHeight="1" x14ac:dyDescent="0.25">
      <c r="A140" s="667"/>
      <c r="B140"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140" s="687" t="str">
        <f>IFERROR(IF(INDEX('WPTM - Section F'!S$1:S$100,MATCH($A104,'WPTM - Section F'!$A$1:$A$100,0))&lt;&gt;0,INDEX('WPTM - Section F'!S$1:S$100,MATCH($A104,'WPTM - Section F'!$A$1:$A$100,0)),""),"")</f>
        <v/>
      </c>
      <c r="D140" s="688"/>
      <c r="E140" s="692" t="str">
        <f>IFERROR(IF(INDEX('WPTM - Section F'!T$1:T$100,MATCH($A104,'WPTM - Section F'!$A$1:$A$100,0))&lt;&gt;0,INDEX('WPTM - Section F'!T$1:T$100,MATCH($A104,'WPTM - Section F'!$A$1:$A$100,0)),""),"")</f>
        <v/>
      </c>
      <c r="F140" s="692"/>
      <c r="G140" s="692"/>
      <c r="H140" s="692"/>
      <c r="I140" s="688"/>
      <c r="J140" s="86"/>
    </row>
    <row r="141" spans="1:10" ht="18.75" customHeight="1" x14ac:dyDescent="0.25">
      <c r="A141" s="667"/>
      <c r="B141" s="685"/>
      <c r="C141" s="672"/>
      <c r="D141" s="689"/>
      <c r="E141" s="673"/>
      <c r="F141" s="673"/>
      <c r="G141" s="673"/>
      <c r="H141" s="673"/>
      <c r="I141" s="689"/>
      <c r="J141" s="86"/>
    </row>
    <row r="142" spans="1:10" ht="18.75" customHeight="1" x14ac:dyDescent="0.25">
      <c r="A142" s="667"/>
      <c r="B142" s="685"/>
      <c r="C142" s="672"/>
      <c r="D142" s="689"/>
      <c r="E142" s="673"/>
      <c r="F142" s="673"/>
      <c r="G142" s="673"/>
      <c r="H142" s="673"/>
      <c r="I142" s="689"/>
      <c r="J142" s="86"/>
    </row>
    <row r="143" spans="1:10" ht="18.75" customHeight="1" x14ac:dyDescent="0.25">
      <c r="A143" s="667"/>
      <c r="B143" s="685"/>
      <c r="C143" s="672"/>
      <c r="D143" s="689"/>
      <c r="E143" s="673"/>
      <c r="F143" s="673"/>
      <c r="G143" s="673"/>
      <c r="H143" s="673"/>
      <c r="I143" s="689"/>
      <c r="J143" s="86"/>
    </row>
    <row r="144" spans="1:10" ht="18.75" customHeight="1" x14ac:dyDescent="0.25">
      <c r="A144" s="667"/>
      <c r="B144" s="686"/>
      <c r="C144" s="690"/>
      <c r="D144" s="691"/>
      <c r="E144" s="693"/>
      <c r="F144" s="693"/>
      <c r="G144" s="693"/>
      <c r="H144" s="693"/>
      <c r="I144" s="691"/>
      <c r="J144" s="86"/>
    </row>
    <row r="145" spans="1:10" ht="18.75" customHeight="1" x14ac:dyDescent="0.25">
      <c r="A145" s="667"/>
      <c r="B145"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145" s="687" t="str">
        <f>IFERROR(IF(INDEX('WPTM - Section F'!U$1:U$100,MATCH($A104,'WPTM - Section F'!$A$1:$A$100,0))&lt;&gt;0,INDEX('WPTM - Section F'!U$1:U$100,MATCH($A104,'WPTM - Section F'!$A$1:$A$100,0)),""),"")</f>
        <v/>
      </c>
      <c r="D145" s="688"/>
      <c r="E145" s="692" t="str">
        <f>IFERROR(IF(INDEX('WPTM - Section F'!V$1:V$100,MATCH($A104,'WPTM - Section F'!$A$1:$A$100,0))&lt;&gt;0,INDEX('WPTM - Section F'!V$1:V$100,MATCH($A104,'WPTM - Section F'!$A$1:$A$100,0)),""),"")</f>
        <v/>
      </c>
      <c r="F145" s="692"/>
      <c r="G145" s="692"/>
      <c r="H145" s="692"/>
      <c r="I145" s="688"/>
      <c r="J145" s="86"/>
    </row>
    <row r="146" spans="1:10" ht="18.75" customHeight="1" x14ac:dyDescent="0.25">
      <c r="A146" s="667"/>
      <c r="B146" s="685"/>
      <c r="C146" s="672"/>
      <c r="D146" s="689"/>
      <c r="E146" s="673"/>
      <c r="F146" s="673"/>
      <c r="G146" s="673"/>
      <c r="H146" s="673"/>
      <c r="I146" s="689"/>
      <c r="J146" s="86"/>
    </row>
    <row r="147" spans="1:10" ht="18.75" customHeight="1" x14ac:dyDescent="0.25">
      <c r="A147" s="667"/>
      <c r="B147" s="685"/>
      <c r="C147" s="672"/>
      <c r="D147" s="689"/>
      <c r="E147" s="673"/>
      <c r="F147" s="673"/>
      <c r="G147" s="673"/>
      <c r="H147" s="673"/>
      <c r="I147" s="689"/>
      <c r="J147" s="86"/>
    </row>
    <row r="148" spans="1:10" ht="18.75" customHeight="1" x14ac:dyDescent="0.25">
      <c r="A148" s="667"/>
      <c r="B148" s="685"/>
      <c r="C148" s="672"/>
      <c r="D148" s="689"/>
      <c r="E148" s="673"/>
      <c r="F148" s="673"/>
      <c r="G148" s="673"/>
      <c r="H148" s="673"/>
      <c r="I148" s="689"/>
      <c r="J148" s="86"/>
    </row>
    <row r="149" spans="1:10" ht="18.75" customHeight="1" x14ac:dyDescent="0.25">
      <c r="A149" s="667"/>
      <c r="B149" s="685"/>
      <c r="C149" s="672"/>
      <c r="D149" s="689"/>
      <c r="E149" s="673"/>
      <c r="F149" s="673"/>
      <c r="G149" s="673"/>
      <c r="H149" s="673"/>
      <c r="I149" s="689"/>
      <c r="J149" s="86"/>
    </row>
    <row r="150" spans="1:10" ht="18.75" customHeight="1" x14ac:dyDescent="0.25">
      <c r="A150" s="681"/>
      <c r="B150" s="682"/>
      <c r="C150" s="682"/>
      <c r="D150" s="682"/>
      <c r="E150" s="682"/>
      <c r="F150" s="682"/>
      <c r="G150" s="682"/>
      <c r="H150" s="682"/>
      <c r="I150" s="683"/>
      <c r="J150" s="86"/>
    </row>
    <row r="152" spans="1:10" ht="18.75" customHeight="1" x14ac:dyDescent="0.25">
      <c r="A152" s="111" t="s">
        <v>4383</v>
      </c>
      <c r="B152" s="111" t="s">
        <v>1046</v>
      </c>
      <c r="C152" s="663" t="str">
        <f>IFERROR(IF(INDEX('WPTM - Section F'!B$1:B$100,MATCH($A153,'WPTM - Section F'!$A$1:$A$100,0))&lt;&gt;0,INDEX('WPTM - Section F'!B$1:B$100,MATCH($A153,'WPTM - Section F'!$A$1:$A$100,0)),""),"")</f>
        <v/>
      </c>
      <c r="D152" s="664"/>
      <c r="E152" s="664"/>
      <c r="F152" s="664"/>
      <c r="G152" s="664"/>
      <c r="H152" s="664"/>
      <c r="I152" s="694"/>
      <c r="J152" s="86"/>
    </row>
    <row r="153" spans="1:10" ht="18.75" customHeight="1" x14ac:dyDescent="0.25">
      <c r="A153" s="666">
        <v>4</v>
      </c>
      <c r="B153" s="109" t="s">
        <v>258</v>
      </c>
      <c r="C153" s="663" t="str">
        <f>IFERROR(IF(INDEX('WPTM - Section F'!C$1:C$100,MATCH($A153,'WPTM - Section F'!$A$1:$A$100,0))&lt;&gt;0,INDEX('WPTM - Section F'!C$1:C$100,MATCH($A153,'WPTM - Section F'!$A$1:$A$100,0)),""),"")</f>
        <v/>
      </c>
      <c r="D153" s="664"/>
      <c r="E153" s="664"/>
      <c r="F153" s="664"/>
      <c r="G153" s="664"/>
      <c r="H153" s="664"/>
      <c r="I153" s="694"/>
      <c r="J153" s="86"/>
    </row>
    <row r="154" spans="1:10" ht="18.75" customHeight="1" x14ac:dyDescent="0.25">
      <c r="A154" s="667"/>
      <c r="B154" s="660" t="s">
        <v>2275</v>
      </c>
      <c r="C154" s="661"/>
      <c r="D154" s="661"/>
      <c r="E154" s="661"/>
      <c r="F154" s="695" t="s">
        <v>127</v>
      </c>
      <c r="G154" s="661"/>
      <c r="H154" s="661"/>
      <c r="I154" s="696"/>
      <c r="J154" s="86"/>
    </row>
    <row r="155" spans="1:10" ht="18.75" customHeight="1" x14ac:dyDescent="0.25">
      <c r="A155" s="667"/>
      <c r="B155" s="669" t="str">
        <f>IFERROR(IF(INDEX('WPTM - Section F'!D$1:D$100,MATCH($A153,'WPTM - Section F'!$A$1:$A$100,0))&lt;&gt;0,INDEX('WPTM - Section F'!D$1:D$100,MATCH($A153,'WPTM - Section F'!$A$1:$A$100,0)),""),"")</f>
        <v/>
      </c>
      <c r="C155" s="670"/>
      <c r="D155" s="670"/>
      <c r="E155" s="670"/>
      <c r="F155" s="697" t="str">
        <f>IFERROR(IF(INDEX('WPTM - Section F'!F$1:F$100,MATCH($A153,'WPTM - Section F'!$A$1:$A$100,0))&lt;&gt;0,INDEX('WPTM - Section F'!F$1:F$100,MATCH($A153,'WPTM - Section F'!$A$1:$A$100,0)),""),"")</f>
        <v/>
      </c>
      <c r="G155" s="664"/>
      <c r="H155" s="664"/>
      <c r="I155" s="694"/>
      <c r="J155" s="86"/>
    </row>
    <row r="156" spans="1:10" ht="18.75" customHeight="1" x14ac:dyDescent="0.25">
      <c r="A156" s="667"/>
      <c r="B156" s="672"/>
      <c r="C156" s="673"/>
      <c r="D156" s="673"/>
      <c r="E156" s="673"/>
      <c r="F156" s="695" t="s">
        <v>120</v>
      </c>
      <c r="G156" s="661"/>
      <c r="H156" s="661"/>
      <c r="I156" s="696"/>
      <c r="J156" s="86"/>
    </row>
    <row r="157" spans="1:10" ht="18.75" customHeight="1" x14ac:dyDescent="0.25">
      <c r="A157" s="667"/>
      <c r="B157" s="672"/>
      <c r="C157" s="673"/>
      <c r="D157" s="673"/>
      <c r="E157" s="673"/>
      <c r="F157" s="698" t="str">
        <f>IFERROR(IF(INDEX('WPTM - Section F'!E$1:E$100,MATCH($A153,'WPTM - Section F'!$A$1:$A$100,0))&lt;&gt;0,INDEX('WPTM - Section F'!E$1:E$100,MATCH($A153,'WPTM - Section F'!$A$1:$A$100,0)),""),"")</f>
        <v/>
      </c>
      <c r="G157" s="670"/>
      <c r="H157" s="670"/>
      <c r="I157" s="699"/>
      <c r="J157" s="86"/>
    </row>
    <row r="158" spans="1:10" ht="18.75" customHeight="1" x14ac:dyDescent="0.25">
      <c r="A158" s="667"/>
      <c r="B158" s="110"/>
      <c r="C158" s="681" t="s">
        <v>2276</v>
      </c>
      <c r="D158" s="683"/>
      <c r="E158" s="682" t="s">
        <v>2277</v>
      </c>
      <c r="F158" s="682"/>
      <c r="G158" s="682"/>
      <c r="H158" s="682"/>
      <c r="I158" s="683"/>
      <c r="J158" s="86"/>
    </row>
    <row r="159" spans="1:10" ht="18.75" customHeight="1" x14ac:dyDescent="0.25">
      <c r="A159" s="667"/>
      <c r="B159"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159" s="669" t="str">
        <f>IFERROR(IF(INDEX('WPTM - Section F'!G$1:G$100,MATCH($A153,'WPTM - Section F'!$A$1:$A$100,0))&lt;&gt;0,INDEX('WPTM - Section F'!G$1:G$100,MATCH($A153,'WPTM - Section F'!$A$1:$A$100,0)),""),"")</f>
        <v/>
      </c>
      <c r="D159" s="699"/>
      <c r="E159" s="670" t="str">
        <f>IFERROR(IF(INDEX('WPTM - Section F'!H$1:H$100,MATCH($A153,'WPTM - Section F'!$A$1:$A$100,0))&lt;&gt;0,INDEX('WPTM - Section F'!H$1:H$100,MATCH($A153,'WPTM - Section F'!$A$1:$A$100,0)),""),"")</f>
        <v/>
      </c>
      <c r="F159" s="670"/>
      <c r="G159" s="670"/>
      <c r="H159" s="670"/>
      <c r="I159" s="699"/>
      <c r="J159" s="86"/>
    </row>
    <row r="160" spans="1:10" ht="18.75" customHeight="1" x14ac:dyDescent="0.25">
      <c r="A160" s="667"/>
      <c r="B160" s="685"/>
      <c r="C160" s="672"/>
      <c r="D160" s="689"/>
      <c r="E160" s="673"/>
      <c r="F160" s="673"/>
      <c r="G160" s="673"/>
      <c r="H160" s="673"/>
      <c r="I160" s="689"/>
      <c r="J160" s="86"/>
    </row>
    <row r="161" spans="1:10" ht="18.75" customHeight="1" x14ac:dyDescent="0.25">
      <c r="A161" s="667"/>
      <c r="B161" s="685"/>
      <c r="C161" s="672"/>
      <c r="D161" s="689"/>
      <c r="E161" s="673"/>
      <c r="F161" s="673"/>
      <c r="G161" s="673"/>
      <c r="H161" s="673"/>
      <c r="I161" s="689"/>
      <c r="J161" s="86"/>
    </row>
    <row r="162" spans="1:10" ht="18.75" customHeight="1" x14ac:dyDescent="0.25">
      <c r="A162" s="667"/>
      <c r="B162" s="685"/>
      <c r="C162" s="672"/>
      <c r="D162" s="689"/>
      <c r="E162" s="673"/>
      <c r="F162" s="673"/>
      <c r="G162" s="673"/>
      <c r="H162" s="673"/>
      <c r="I162" s="689"/>
      <c r="J162" s="86"/>
    </row>
    <row r="163" spans="1:10" ht="18.75" customHeight="1" x14ac:dyDescent="0.25">
      <c r="A163" s="667"/>
      <c r="B163" s="686"/>
      <c r="C163" s="690"/>
      <c r="D163" s="691"/>
      <c r="E163" s="693"/>
      <c r="F163" s="693"/>
      <c r="G163" s="693"/>
      <c r="H163" s="693"/>
      <c r="I163" s="691"/>
      <c r="J163" s="86"/>
    </row>
    <row r="164" spans="1:10" ht="18.75" customHeight="1" x14ac:dyDescent="0.25">
      <c r="A164" s="667"/>
      <c r="B164"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164" s="687" t="str">
        <f>IFERROR(IF(INDEX('WPTM - Section F'!I$1:I$100,MATCH($A153,'WPTM - Section F'!$A$1:$A$100,0))&lt;&gt;0,INDEX('WPTM - Section F'!I$1:I$100,MATCH($A153,'WPTM - Section F'!$A$1:$A$100,0)),""),"")</f>
        <v/>
      </c>
      <c r="D164" s="688"/>
      <c r="E164" s="692" t="str">
        <f>IFERROR(IF(INDEX('WPTM - Section F'!J$1:J$100,MATCH($A153,'WPTM - Section F'!$A$1:$A$100,0))&lt;&gt;0,INDEX('WPTM - Section F'!J$1:J$100,MATCH($A153,'WPTM - Section F'!$A$1:$A$100,0)),""),"")</f>
        <v/>
      </c>
      <c r="F164" s="692"/>
      <c r="G164" s="692"/>
      <c r="H164" s="692"/>
      <c r="I164" s="688"/>
      <c r="J164" s="86"/>
    </row>
    <row r="165" spans="1:10" ht="18.75" customHeight="1" x14ac:dyDescent="0.25">
      <c r="A165" s="667"/>
      <c r="B165" s="685"/>
      <c r="C165" s="672"/>
      <c r="D165" s="689"/>
      <c r="E165" s="673"/>
      <c r="F165" s="673"/>
      <c r="G165" s="673"/>
      <c r="H165" s="673"/>
      <c r="I165" s="689"/>
      <c r="J165" s="86"/>
    </row>
    <row r="166" spans="1:10" ht="18.75" customHeight="1" x14ac:dyDescent="0.25">
      <c r="A166" s="667"/>
      <c r="B166" s="685"/>
      <c r="C166" s="672"/>
      <c r="D166" s="689"/>
      <c r="E166" s="673"/>
      <c r="F166" s="673"/>
      <c r="G166" s="673"/>
      <c r="H166" s="673"/>
      <c r="I166" s="689"/>
      <c r="J166" s="86"/>
    </row>
    <row r="167" spans="1:10" ht="18.75" customHeight="1" x14ac:dyDescent="0.25">
      <c r="A167" s="667"/>
      <c r="B167" s="685"/>
      <c r="C167" s="672"/>
      <c r="D167" s="689"/>
      <c r="E167" s="673"/>
      <c r="F167" s="673"/>
      <c r="G167" s="673"/>
      <c r="H167" s="673"/>
      <c r="I167" s="689"/>
      <c r="J167" s="86"/>
    </row>
    <row r="168" spans="1:10" ht="18.75" customHeight="1" x14ac:dyDescent="0.25">
      <c r="A168" s="667"/>
      <c r="B168" s="686"/>
      <c r="C168" s="690"/>
      <c r="D168" s="691"/>
      <c r="E168" s="693"/>
      <c r="F168" s="693"/>
      <c r="G168" s="693"/>
      <c r="H168" s="693"/>
      <c r="I168" s="691"/>
      <c r="J168" s="86"/>
    </row>
    <row r="169" spans="1:10" ht="18.75" customHeight="1" x14ac:dyDescent="0.25">
      <c r="A169" s="667"/>
      <c r="B169"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169" s="687" t="str">
        <f>IFERROR(IF(INDEX('WPTM - Section F'!K$1:K$100,MATCH($A153,'WPTM - Section F'!$A$1:$A$100,0))&lt;&gt;0,INDEX('WPTM - Section F'!K$1:K$100,MATCH($A153,'WPTM - Section F'!$A$1:$A$100,0)),""),"")</f>
        <v/>
      </c>
      <c r="D169" s="688"/>
      <c r="E169" s="692" t="str">
        <f>IFERROR(IF(INDEX('WPTM - Section F'!L$1:L$100,MATCH($A153,'WPTM - Section F'!$A$1:$A$100,0))&lt;&gt;0,INDEX('WPTM - Section F'!L$1:L$100,MATCH($A153,'WPTM - Section F'!$A$1:$A$100,0)),""),"")</f>
        <v/>
      </c>
      <c r="F169" s="692"/>
      <c r="G169" s="692"/>
      <c r="H169" s="692"/>
      <c r="I169" s="688"/>
      <c r="J169" s="86"/>
    </row>
    <row r="170" spans="1:10" ht="18.75" customHeight="1" x14ac:dyDescent="0.25">
      <c r="A170" s="667"/>
      <c r="B170" s="685"/>
      <c r="C170" s="672"/>
      <c r="D170" s="689"/>
      <c r="E170" s="673"/>
      <c r="F170" s="673"/>
      <c r="G170" s="673"/>
      <c r="H170" s="673"/>
      <c r="I170" s="689"/>
      <c r="J170" s="86"/>
    </row>
    <row r="171" spans="1:10" ht="18.75" customHeight="1" x14ac:dyDescent="0.25">
      <c r="A171" s="667"/>
      <c r="B171" s="685"/>
      <c r="C171" s="672"/>
      <c r="D171" s="689"/>
      <c r="E171" s="673"/>
      <c r="F171" s="673"/>
      <c r="G171" s="673"/>
      <c r="H171" s="673"/>
      <c r="I171" s="689"/>
      <c r="J171" s="86"/>
    </row>
    <row r="172" spans="1:10" ht="18.75" customHeight="1" x14ac:dyDescent="0.25">
      <c r="A172" s="667"/>
      <c r="B172" s="685"/>
      <c r="C172" s="672"/>
      <c r="D172" s="689"/>
      <c r="E172" s="673"/>
      <c r="F172" s="673"/>
      <c r="G172" s="673"/>
      <c r="H172" s="673"/>
      <c r="I172" s="689"/>
      <c r="J172" s="86"/>
    </row>
    <row r="173" spans="1:10" ht="18.75" customHeight="1" x14ac:dyDescent="0.25">
      <c r="A173" s="667"/>
      <c r="B173" s="686"/>
      <c r="C173" s="690"/>
      <c r="D173" s="691"/>
      <c r="E173" s="693"/>
      <c r="F173" s="693"/>
      <c r="G173" s="693"/>
      <c r="H173" s="693"/>
      <c r="I173" s="691"/>
      <c r="J173" s="86"/>
    </row>
    <row r="174" spans="1:10" ht="18.75" customHeight="1" x14ac:dyDescent="0.25">
      <c r="A174" s="667"/>
      <c r="B174"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174" s="687" t="str">
        <f>IFERROR(IF(INDEX('WPTM - Section F'!M$1:M$100,MATCH($A153,'WPTM - Section F'!$A$1:$A$100,0))&lt;&gt;0,INDEX('WPTM - Section F'!M$1:M$100,MATCH($A153,'WPTM - Section F'!$A$1:$A$100,0)),""),"")</f>
        <v/>
      </c>
      <c r="D174" s="688"/>
      <c r="E174" s="692" t="str">
        <f>IFERROR(IF(INDEX('WPTM - Section F'!N$1:N$100,MATCH($A153,'WPTM - Section F'!$A$1:$A$100,0))&lt;&gt;0,INDEX('WPTM - Section F'!N$1:N$100,MATCH($A153,'WPTM - Section F'!$A$1:$A$100,0)),""),"")</f>
        <v/>
      </c>
      <c r="F174" s="692"/>
      <c r="G174" s="692"/>
      <c r="H174" s="692"/>
      <c r="I174" s="688"/>
      <c r="J174" s="86"/>
    </row>
    <row r="175" spans="1:10" ht="18.75" customHeight="1" x14ac:dyDescent="0.25">
      <c r="A175" s="667"/>
      <c r="B175" s="685"/>
      <c r="C175" s="672"/>
      <c r="D175" s="689"/>
      <c r="E175" s="673"/>
      <c r="F175" s="673"/>
      <c r="G175" s="673"/>
      <c r="H175" s="673"/>
      <c r="I175" s="689"/>
      <c r="J175" s="86"/>
    </row>
    <row r="176" spans="1:10" ht="18.75" customHeight="1" x14ac:dyDescent="0.25">
      <c r="A176" s="667"/>
      <c r="B176" s="685"/>
      <c r="C176" s="672"/>
      <c r="D176" s="689"/>
      <c r="E176" s="673"/>
      <c r="F176" s="673"/>
      <c r="G176" s="673"/>
      <c r="H176" s="673"/>
      <c r="I176" s="689"/>
      <c r="J176" s="86"/>
    </row>
    <row r="177" spans="1:10" ht="18.75" customHeight="1" x14ac:dyDescent="0.25">
      <c r="A177" s="667"/>
      <c r="B177" s="685"/>
      <c r="C177" s="672"/>
      <c r="D177" s="689"/>
      <c r="E177" s="673"/>
      <c r="F177" s="673"/>
      <c r="G177" s="673"/>
      <c r="H177" s="673"/>
      <c r="I177" s="689"/>
      <c r="J177" s="86"/>
    </row>
    <row r="178" spans="1:10" ht="18.75" customHeight="1" x14ac:dyDescent="0.25">
      <c r="A178" s="667"/>
      <c r="B178" s="686"/>
      <c r="C178" s="690"/>
      <c r="D178" s="691"/>
      <c r="E178" s="693"/>
      <c r="F178" s="693"/>
      <c r="G178" s="693"/>
      <c r="H178" s="693"/>
      <c r="I178" s="691"/>
      <c r="J178" s="86"/>
    </row>
    <row r="179" spans="1:10" ht="18.75" customHeight="1" x14ac:dyDescent="0.25">
      <c r="A179" s="667"/>
      <c r="B179"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179" s="687" t="str">
        <f>IFERROR(IF(INDEX('WPTM - Section F'!O$1:O$100,MATCH($A153,'WPTM - Section F'!$A$1:$A$100,0))&lt;&gt;0,INDEX('WPTM - Section F'!O$1:O$100,MATCH($A153,'WPTM - Section F'!$A$1:$A$100,0)),""),"")</f>
        <v/>
      </c>
      <c r="D179" s="688"/>
      <c r="E179" s="692" t="str">
        <f>IFERROR(IF(INDEX('WPTM - Section F'!P$1:P$100,MATCH($A153,'WPTM - Section F'!$A$1:$A$100,0))&lt;&gt;0,INDEX('WPTM - Section F'!P$1:P$100,MATCH($A153,'WPTM - Section F'!$A$1:$A$100,0)),""),"")</f>
        <v/>
      </c>
      <c r="F179" s="692"/>
      <c r="G179" s="692"/>
      <c r="H179" s="692"/>
      <c r="I179" s="688"/>
      <c r="J179" s="86"/>
    </row>
    <row r="180" spans="1:10" ht="18.75" customHeight="1" x14ac:dyDescent="0.25">
      <c r="A180" s="667"/>
      <c r="B180" s="685"/>
      <c r="C180" s="672"/>
      <c r="D180" s="689"/>
      <c r="E180" s="673"/>
      <c r="F180" s="673"/>
      <c r="G180" s="673"/>
      <c r="H180" s="673"/>
      <c r="I180" s="689"/>
      <c r="J180" s="86"/>
    </row>
    <row r="181" spans="1:10" ht="18.75" customHeight="1" x14ac:dyDescent="0.25">
      <c r="A181" s="667"/>
      <c r="B181" s="685"/>
      <c r="C181" s="672"/>
      <c r="D181" s="689"/>
      <c r="E181" s="673"/>
      <c r="F181" s="673"/>
      <c r="G181" s="673"/>
      <c r="H181" s="673"/>
      <c r="I181" s="689"/>
      <c r="J181" s="86"/>
    </row>
    <row r="182" spans="1:10" ht="18.75" customHeight="1" x14ac:dyDescent="0.25">
      <c r="A182" s="667"/>
      <c r="B182" s="685"/>
      <c r="C182" s="672"/>
      <c r="D182" s="689"/>
      <c r="E182" s="673"/>
      <c r="F182" s="673"/>
      <c r="G182" s="673"/>
      <c r="H182" s="673"/>
      <c r="I182" s="689"/>
      <c r="J182" s="86"/>
    </row>
    <row r="183" spans="1:10" ht="18.75" customHeight="1" x14ac:dyDescent="0.25">
      <c r="A183" s="667"/>
      <c r="B183" s="686"/>
      <c r="C183" s="690"/>
      <c r="D183" s="691"/>
      <c r="E183" s="693"/>
      <c r="F183" s="693"/>
      <c r="G183" s="693"/>
      <c r="H183" s="693"/>
      <c r="I183" s="691"/>
      <c r="J183" s="86"/>
    </row>
    <row r="184" spans="1:10" ht="18.75" customHeight="1" x14ac:dyDescent="0.25">
      <c r="A184" s="667"/>
      <c r="B184"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184" s="687" t="str">
        <f>IFERROR(IF(INDEX('WPTM - Section F'!Q$1:Q$100,MATCH($A153,'WPTM - Section F'!$A$1:$A$100,0))&lt;&gt;0,INDEX('WPTM - Section F'!Q$1:Q$100,MATCH($A153,'WPTM - Section F'!$A$1:$A$100,0)),""),"")</f>
        <v/>
      </c>
      <c r="D184" s="688"/>
      <c r="E184" s="692" t="str">
        <f>IFERROR(IF(INDEX('WPTM - Section F'!R$1:R$100,MATCH($A153,'WPTM - Section F'!$A$1:$A$100,0))&lt;&gt;0,INDEX('WPTM - Section F'!R$1:R$100,MATCH($A153,'WPTM - Section F'!$A$1:$A$100,0)),""),"")</f>
        <v/>
      </c>
      <c r="F184" s="692"/>
      <c r="G184" s="692"/>
      <c r="H184" s="692"/>
      <c r="I184" s="688"/>
      <c r="J184" s="86"/>
    </row>
    <row r="185" spans="1:10" ht="18.75" customHeight="1" x14ac:dyDescent="0.25">
      <c r="A185" s="667"/>
      <c r="B185" s="685"/>
      <c r="C185" s="672"/>
      <c r="D185" s="689"/>
      <c r="E185" s="673"/>
      <c r="F185" s="673"/>
      <c r="G185" s="673"/>
      <c r="H185" s="673"/>
      <c r="I185" s="689"/>
      <c r="J185" s="86"/>
    </row>
    <row r="186" spans="1:10" ht="18.75" customHeight="1" x14ac:dyDescent="0.25">
      <c r="A186" s="667"/>
      <c r="B186" s="685"/>
      <c r="C186" s="672"/>
      <c r="D186" s="689"/>
      <c r="E186" s="673"/>
      <c r="F186" s="673"/>
      <c r="G186" s="673"/>
      <c r="H186" s="673"/>
      <c r="I186" s="689"/>
      <c r="J186" s="86"/>
    </row>
    <row r="187" spans="1:10" ht="18.75" customHeight="1" x14ac:dyDescent="0.25">
      <c r="A187" s="667"/>
      <c r="B187" s="685"/>
      <c r="C187" s="672"/>
      <c r="D187" s="689"/>
      <c r="E187" s="673"/>
      <c r="F187" s="673"/>
      <c r="G187" s="673"/>
      <c r="H187" s="673"/>
      <c r="I187" s="689"/>
      <c r="J187" s="86"/>
    </row>
    <row r="188" spans="1:10" ht="18.75" customHeight="1" x14ac:dyDescent="0.25">
      <c r="A188" s="667"/>
      <c r="B188" s="686"/>
      <c r="C188" s="690"/>
      <c r="D188" s="691"/>
      <c r="E188" s="693"/>
      <c r="F188" s="693"/>
      <c r="G188" s="693"/>
      <c r="H188" s="693"/>
      <c r="I188" s="691"/>
      <c r="J188" s="86"/>
    </row>
    <row r="189" spans="1:10" ht="18.75" customHeight="1" x14ac:dyDescent="0.25">
      <c r="A189" s="667"/>
      <c r="B189"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189" s="687" t="str">
        <f>IFERROR(IF(INDEX('WPTM - Section F'!S$1:S$100,MATCH($A153,'WPTM - Section F'!$A$1:$A$100,0))&lt;&gt;0,INDEX('WPTM - Section F'!S$1:S$100,MATCH($A153,'WPTM - Section F'!$A$1:$A$100,0)),""),"")</f>
        <v/>
      </c>
      <c r="D189" s="688"/>
      <c r="E189" s="692" t="str">
        <f>IFERROR(IF(INDEX('WPTM - Section F'!T$1:T$100,MATCH($A153,'WPTM - Section F'!$A$1:$A$100,0))&lt;&gt;0,INDEX('WPTM - Section F'!T$1:T$100,MATCH($A153,'WPTM - Section F'!$A$1:$A$100,0)),""),"")</f>
        <v/>
      </c>
      <c r="F189" s="692"/>
      <c r="G189" s="692"/>
      <c r="H189" s="692"/>
      <c r="I189" s="688"/>
      <c r="J189" s="86"/>
    </row>
    <row r="190" spans="1:10" ht="18.75" customHeight="1" x14ac:dyDescent="0.25">
      <c r="A190" s="667"/>
      <c r="B190" s="685"/>
      <c r="C190" s="672"/>
      <c r="D190" s="689"/>
      <c r="E190" s="673"/>
      <c r="F190" s="673"/>
      <c r="G190" s="673"/>
      <c r="H190" s="673"/>
      <c r="I190" s="689"/>
      <c r="J190" s="86"/>
    </row>
    <row r="191" spans="1:10" ht="18.75" customHeight="1" x14ac:dyDescent="0.25">
      <c r="A191" s="667"/>
      <c r="B191" s="685"/>
      <c r="C191" s="672"/>
      <c r="D191" s="689"/>
      <c r="E191" s="673"/>
      <c r="F191" s="673"/>
      <c r="G191" s="673"/>
      <c r="H191" s="673"/>
      <c r="I191" s="689"/>
      <c r="J191" s="86"/>
    </row>
    <row r="192" spans="1:10" ht="18.75" customHeight="1" x14ac:dyDescent="0.25">
      <c r="A192" s="667"/>
      <c r="B192" s="685"/>
      <c r="C192" s="672"/>
      <c r="D192" s="689"/>
      <c r="E192" s="673"/>
      <c r="F192" s="673"/>
      <c r="G192" s="673"/>
      <c r="H192" s="673"/>
      <c r="I192" s="689"/>
      <c r="J192" s="86"/>
    </row>
    <row r="193" spans="1:10" ht="18.75" customHeight="1" x14ac:dyDescent="0.25">
      <c r="A193" s="667"/>
      <c r="B193" s="686"/>
      <c r="C193" s="690"/>
      <c r="D193" s="691"/>
      <c r="E193" s="693"/>
      <c r="F193" s="693"/>
      <c r="G193" s="693"/>
      <c r="H193" s="693"/>
      <c r="I193" s="691"/>
      <c r="J193" s="86"/>
    </row>
    <row r="194" spans="1:10" ht="18.75" customHeight="1" x14ac:dyDescent="0.25">
      <c r="A194" s="667"/>
      <c r="B194"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194" s="687" t="str">
        <f>IFERROR(IF(INDEX('WPTM - Section F'!U$1:U$100,MATCH($A153,'WPTM - Section F'!$A$1:$A$100,0))&lt;&gt;0,INDEX('WPTM - Section F'!U$1:U$100,MATCH($A153,'WPTM - Section F'!$A$1:$A$100,0)),""),"")</f>
        <v/>
      </c>
      <c r="D194" s="688"/>
      <c r="E194" s="692" t="str">
        <f>IFERROR(IF(INDEX('WPTM - Section F'!V$1:V$100,MATCH($A153,'WPTM - Section F'!$A$1:$A$100,0))&lt;&gt;0,INDEX('WPTM - Section F'!V$1:V$100,MATCH($A153,'WPTM - Section F'!$A$1:$A$100,0)),""),"")</f>
        <v/>
      </c>
      <c r="F194" s="692"/>
      <c r="G194" s="692"/>
      <c r="H194" s="692"/>
      <c r="I194" s="688"/>
      <c r="J194" s="86"/>
    </row>
    <row r="195" spans="1:10" ht="18.75" customHeight="1" x14ac:dyDescent="0.25">
      <c r="A195" s="667"/>
      <c r="B195" s="685"/>
      <c r="C195" s="672"/>
      <c r="D195" s="689"/>
      <c r="E195" s="673"/>
      <c r="F195" s="673"/>
      <c r="G195" s="673"/>
      <c r="H195" s="673"/>
      <c r="I195" s="689"/>
      <c r="J195" s="86"/>
    </row>
    <row r="196" spans="1:10" ht="18.75" customHeight="1" x14ac:dyDescent="0.25">
      <c r="A196" s="667"/>
      <c r="B196" s="685"/>
      <c r="C196" s="672"/>
      <c r="D196" s="689"/>
      <c r="E196" s="673"/>
      <c r="F196" s="673"/>
      <c r="G196" s="673"/>
      <c r="H196" s="673"/>
      <c r="I196" s="689"/>
      <c r="J196" s="86"/>
    </row>
    <row r="197" spans="1:10" ht="18.75" customHeight="1" x14ac:dyDescent="0.25">
      <c r="A197" s="667"/>
      <c r="B197" s="685"/>
      <c r="C197" s="672"/>
      <c r="D197" s="689"/>
      <c r="E197" s="673"/>
      <c r="F197" s="673"/>
      <c r="G197" s="673"/>
      <c r="H197" s="673"/>
      <c r="I197" s="689"/>
      <c r="J197" s="86"/>
    </row>
    <row r="198" spans="1:10" ht="18.75" customHeight="1" x14ac:dyDescent="0.25">
      <c r="A198" s="667"/>
      <c r="B198" s="685"/>
      <c r="C198" s="672"/>
      <c r="D198" s="689"/>
      <c r="E198" s="673"/>
      <c r="F198" s="673"/>
      <c r="G198" s="673"/>
      <c r="H198" s="673"/>
      <c r="I198" s="689"/>
      <c r="J198" s="86"/>
    </row>
    <row r="199" spans="1:10" ht="18.75" customHeight="1" x14ac:dyDescent="0.25">
      <c r="A199" s="681"/>
      <c r="B199" s="682"/>
      <c r="C199" s="682"/>
      <c r="D199" s="682"/>
      <c r="E199" s="682"/>
      <c r="F199" s="682"/>
      <c r="G199" s="682"/>
      <c r="H199" s="682"/>
      <c r="I199" s="683"/>
      <c r="J199" s="86"/>
    </row>
    <row r="201" spans="1:10" ht="18.75" customHeight="1" x14ac:dyDescent="0.25">
      <c r="A201" s="111" t="s">
        <v>4383</v>
      </c>
      <c r="B201" s="111" t="s">
        <v>1046</v>
      </c>
      <c r="C201" s="663" t="str">
        <f>IFERROR(IF(INDEX('WPTM - Section F'!B$1:B$100,MATCH($A202,'WPTM - Section F'!$A$1:$A$100,0))&lt;&gt;0,INDEX('WPTM - Section F'!B$1:B$100,MATCH($A202,'WPTM - Section F'!$A$1:$A$100,0)),""),"")</f>
        <v/>
      </c>
      <c r="D201" s="664"/>
      <c r="E201" s="664"/>
      <c r="F201" s="664"/>
      <c r="G201" s="664"/>
      <c r="H201" s="664"/>
      <c r="I201" s="694"/>
      <c r="J201" s="86"/>
    </row>
    <row r="202" spans="1:10" ht="18.75" customHeight="1" x14ac:dyDescent="0.25">
      <c r="A202" s="666">
        <v>5</v>
      </c>
      <c r="B202" s="109" t="s">
        <v>258</v>
      </c>
      <c r="C202" s="663" t="str">
        <f>IFERROR(IF(INDEX('WPTM - Section F'!C$1:C$100,MATCH($A202,'WPTM - Section F'!$A$1:$A$100,0))&lt;&gt;0,INDEX('WPTM - Section F'!C$1:C$100,MATCH($A202,'WPTM - Section F'!$A$1:$A$100,0)),""),"")</f>
        <v/>
      </c>
      <c r="D202" s="664"/>
      <c r="E202" s="664"/>
      <c r="F202" s="664"/>
      <c r="G202" s="664"/>
      <c r="H202" s="664"/>
      <c r="I202" s="694"/>
      <c r="J202" s="86"/>
    </row>
    <row r="203" spans="1:10" ht="18.75" customHeight="1" x14ac:dyDescent="0.25">
      <c r="A203" s="667"/>
      <c r="B203" s="660" t="s">
        <v>2275</v>
      </c>
      <c r="C203" s="661"/>
      <c r="D203" s="661"/>
      <c r="E203" s="661"/>
      <c r="F203" s="695" t="s">
        <v>127</v>
      </c>
      <c r="G203" s="661"/>
      <c r="H203" s="661"/>
      <c r="I203" s="696"/>
      <c r="J203" s="86"/>
    </row>
    <row r="204" spans="1:10" ht="18.75" customHeight="1" x14ac:dyDescent="0.25">
      <c r="A204" s="667"/>
      <c r="B204" s="669" t="str">
        <f>IFERROR(IF(INDEX('WPTM - Section F'!D$1:D$100,MATCH($A202,'WPTM - Section F'!$A$1:$A$100,0))&lt;&gt;0,INDEX('WPTM - Section F'!D$1:D$100,MATCH($A202,'WPTM - Section F'!$A$1:$A$100,0)),""),"")</f>
        <v/>
      </c>
      <c r="C204" s="670"/>
      <c r="D204" s="670"/>
      <c r="E204" s="670"/>
      <c r="F204" s="697" t="str">
        <f>IFERROR(IF(INDEX('WPTM - Section F'!F$1:F$100,MATCH($A202,'WPTM - Section F'!$A$1:$A$100,0))&lt;&gt;0,INDEX('WPTM - Section F'!F$1:F$100,MATCH($A202,'WPTM - Section F'!$A$1:$A$100,0)),""),"")</f>
        <v/>
      </c>
      <c r="G204" s="664"/>
      <c r="H204" s="664"/>
      <c r="I204" s="694"/>
      <c r="J204" s="86"/>
    </row>
    <row r="205" spans="1:10" ht="18.75" customHeight="1" x14ac:dyDescent="0.25">
      <c r="A205" s="667"/>
      <c r="B205" s="672"/>
      <c r="C205" s="673"/>
      <c r="D205" s="673"/>
      <c r="E205" s="673"/>
      <c r="F205" s="695" t="s">
        <v>120</v>
      </c>
      <c r="G205" s="661"/>
      <c r="H205" s="661"/>
      <c r="I205" s="696"/>
      <c r="J205" s="86"/>
    </row>
    <row r="206" spans="1:10" ht="18.75" customHeight="1" x14ac:dyDescent="0.25">
      <c r="A206" s="667"/>
      <c r="B206" s="672"/>
      <c r="C206" s="673"/>
      <c r="D206" s="673"/>
      <c r="E206" s="673"/>
      <c r="F206" s="698" t="str">
        <f>IFERROR(IF(INDEX('WPTM - Section F'!E$1:E$100,MATCH($A202,'WPTM - Section F'!$A$1:$A$100,0))&lt;&gt;0,INDEX('WPTM - Section F'!E$1:E$100,MATCH($A202,'WPTM - Section F'!$A$1:$A$100,0)),""),"")</f>
        <v/>
      </c>
      <c r="G206" s="670"/>
      <c r="H206" s="670"/>
      <c r="I206" s="699"/>
      <c r="J206" s="86"/>
    </row>
    <row r="207" spans="1:10" ht="18.75" customHeight="1" x14ac:dyDescent="0.25">
      <c r="A207" s="667"/>
      <c r="B207" s="110"/>
      <c r="C207" s="681" t="s">
        <v>2276</v>
      </c>
      <c r="D207" s="683"/>
      <c r="E207" s="682" t="s">
        <v>2277</v>
      </c>
      <c r="F207" s="682"/>
      <c r="G207" s="682"/>
      <c r="H207" s="682"/>
      <c r="I207" s="683"/>
      <c r="J207" s="86"/>
    </row>
    <row r="208" spans="1:10" ht="18.75" customHeight="1" x14ac:dyDescent="0.25">
      <c r="A208" s="667"/>
      <c r="B208"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208" s="669" t="str">
        <f>IFERROR(IF(INDEX('WPTM - Section F'!G$1:G$100,MATCH($A202,'WPTM - Section F'!$A$1:$A$100,0))&lt;&gt;0,INDEX('WPTM - Section F'!G$1:G$100,MATCH($A202,'WPTM - Section F'!$A$1:$A$100,0)),""),"")</f>
        <v/>
      </c>
      <c r="D208" s="699"/>
      <c r="E208" s="670" t="str">
        <f>IFERROR(IF(INDEX('WPTM - Section F'!H$1:H$100,MATCH($A202,'WPTM - Section F'!$A$1:$A$100,0))&lt;&gt;0,INDEX('WPTM - Section F'!H$1:H$100,MATCH($A202,'WPTM - Section F'!$A$1:$A$100,0)),""),"")</f>
        <v/>
      </c>
      <c r="F208" s="670"/>
      <c r="G208" s="670"/>
      <c r="H208" s="670"/>
      <c r="I208" s="699"/>
      <c r="J208" s="86"/>
    </row>
    <row r="209" spans="1:10" ht="18.75" customHeight="1" x14ac:dyDescent="0.25">
      <c r="A209" s="667"/>
      <c r="B209" s="685"/>
      <c r="C209" s="672"/>
      <c r="D209" s="689"/>
      <c r="E209" s="673"/>
      <c r="F209" s="673"/>
      <c r="G209" s="673"/>
      <c r="H209" s="673"/>
      <c r="I209" s="689"/>
      <c r="J209" s="86"/>
    </row>
    <row r="210" spans="1:10" ht="18.75" customHeight="1" x14ac:dyDescent="0.25">
      <c r="A210" s="667"/>
      <c r="B210" s="685"/>
      <c r="C210" s="672"/>
      <c r="D210" s="689"/>
      <c r="E210" s="673"/>
      <c r="F210" s="673"/>
      <c r="G210" s="673"/>
      <c r="H210" s="673"/>
      <c r="I210" s="689"/>
      <c r="J210" s="86"/>
    </row>
    <row r="211" spans="1:10" ht="18.75" customHeight="1" x14ac:dyDescent="0.25">
      <c r="A211" s="667"/>
      <c r="B211" s="685"/>
      <c r="C211" s="672"/>
      <c r="D211" s="689"/>
      <c r="E211" s="673"/>
      <c r="F211" s="673"/>
      <c r="G211" s="673"/>
      <c r="H211" s="673"/>
      <c r="I211" s="689"/>
      <c r="J211" s="86"/>
    </row>
    <row r="212" spans="1:10" ht="18.75" customHeight="1" x14ac:dyDescent="0.25">
      <c r="A212" s="667"/>
      <c r="B212" s="686"/>
      <c r="C212" s="690"/>
      <c r="D212" s="691"/>
      <c r="E212" s="693"/>
      <c r="F212" s="693"/>
      <c r="G212" s="693"/>
      <c r="H212" s="693"/>
      <c r="I212" s="691"/>
      <c r="J212" s="86"/>
    </row>
    <row r="213" spans="1:10" ht="18.75" customHeight="1" x14ac:dyDescent="0.25">
      <c r="A213" s="667"/>
      <c r="B213"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213" s="687" t="str">
        <f>IFERROR(IF(INDEX('WPTM - Section F'!I$1:I$100,MATCH($A202,'WPTM - Section F'!$A$1:$A$100,0))&lt;&gt;0,INDEX('WPTM - Section F'!I$1:I$100,MATCH($A202,'WPTM - Section F'!$A$1:$A$100,0)),""),"")</f>
        <v/>
      </c>
      <c r="D213" s="688"/>
      <c r="E213" s="692" t="str">
        <f>IFERROR(IF(INDEX('WPTM - Section F'!J$1:J$100,MATCH($A202,'WPTM - Section F'!$A$1:$A$100,0))&lt;&gt;0,INDEX('WPTM - Section F'!J$1:J$100,MATCH($A202,'WPTM - Section F'!$A$1:$A$100,0)),""),"")</f>
        <v/>
      </c>
      <c r="F213" s="692"/>
      <c r="G213" s="692"/>
      <c r="H213" s="692"/>
      <c r="I213" s="688"/>
      <c r="J213" s="86"/>
    </row>
    <row r="214" spans="1:10" ht="18.75" customHeight="1" x14ac:dyDescent="0.25">
      <c r="A214" s="667"/>
      <c r="B214" s="685"/>
      <c r="C214" s="672"/>
      <c r="D214" s="689"/>
      <c r="E214" s="673"/>
      <c r="F214" s="673"/>
      <c r="G214" s="673"/>
      <c r="H214" s="673"/>
      <c r="I214" s="689"/>
      <c r="J214" s="86"/>
    </row>
    <row r="215" spans="1:10" ht="18.75" customHeight="1" x14ac:dyDescent="0.25">
      <c r="A215" s="667"/>
      <c r="B215" s="685"/>
      <c r="C215" s="672"/>
      <c r="D215" s="689"/>
      <c r="E215" s="673"/>
      <c r="F215" s="673"/>
      <c r="G215" s="673"/>
      <c r="H215" s="673"/>
      <c r="I215" s="689"/>
      <c r="J215" s="86"/>
    </row>
    <row r="216" spans="1:10" ht="18.75" customHeight="1" x14ac:dyDescent="0.25">
      <c r="A216" s="667"/>
      <c r="B216" s="685"/>
      <c r="C216" s="672"/>
      <c r="D216" s="689"/>
      <c r="E216" s="673"/>
      <c r="F216" s="673"/>
      <c r="G216" s="673"/>
      <c r="H216" s="673"/>
      <c r="I216" s="689"/>
      <c r="J216" s="86"/>
    </row>
    <row r="217" spans="1:10" ht="18.75" customHeight="1" x14ac:dyDescent="0.25">
      <c r="A217" s="667"/>
      <c r="B217" s="686"/>
      <c r="C217" s="690"/>
      <c r="D217" s="691"/>
      <c r="E217" s="693"/>
      <c r="F217" s="693"/>
      <c r="G217" s="693"/>
      <c r="H217" s="693"/>
      <c r="I217" s="691"/>
      <c r="J217" s="86"/>
    </row>
    <row r="218" spans="1:10" ht="18.75" customHeight="1" x14ac:dyDescent="0.25">
      <c r="A218" s="667"/>
      <c r="B218"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218" s="687" t="str">
        <f>IFERROR(IF(INDEX('WPTM - Section F'!K$1:K$100,MATCH($A202,'WPTM - Section F'!$A$1:$A$100,0))&lt;&gt;0,INDEX('WPTM - Section F'!K$1:K$100,MATCH($A202,'WPTM - Section F'!$A$1:$A$100,0)),""),"")</f>
        <v/>
      </c>
      <c r="D218" s="688"/>
      <c r="E218" s="692" t="str">
        <f>IFERROR(IF(INDEX('WPTM - Section F'!L$1:L$100,MATCH($A202,'WPTM - Section F'!$A$1:$A$100,0))&lt;&gt;0,INDEX('WPTM - Section F'!L$1:L$100,MATCH($A202,'WPTM - Section F'!$A$1:$A$100,0)),""),"")</f>
        <v/>
      </c>
      <c r="F218" s="692"/>
      <c r="G218" s="692"/>
      <c r="H218" s="692"/>
      <c r="I218" s="688"/>
      <c r="J218" s="86"/>
    </row>
    <row r="219" spans="1:10" ht="18.75" customHeight="1" x14ac:dyDescent="0.25">
      <c r="A219" s="667"/>
      <c r="B219" s="685"/>
      <c r="C219" s="672"/>
      <c r="D219" s="689"/>
      <c r="E219" s="673"/>
      <c r="F219" s="673"/>
      <c r="G219" s="673"/>
      <c r="H219" s="673"/>
      <c r="I219" s="689"/>
      <c r="J219" s="86"/>
    </row>
    <row r="220" spans="1:10" ht="18.75" customHeight="1" x14ac:dyDescent="0.25">
      <c r="A220" s="667"/>
      <c r="B220" s="685"/>
      <c r="C220" s="672"/>
      <c r="D220" s="689"/>
      <c r="E220" s="673"/>
      <c r="F220" s="673"/>
      <c r="G220" s="673"/>
      <c r="H220" s="673"/>
      <c r="I220" s="689"/>
      <c r="J220" s="86"/>
    </row>
    <row r="221" spans="1:10" ht="18.75" customHeight="1" x14ac:dyDescent="0.25">
      <c r="A221" s="667"/>
      <c r="B221" s="685"/>
      <c r="C221" s="672"/>
      <c r="D221" s="689"/>
      <c r="E221" s="673"/>
      <c r="F221" s="673"/>
      <c r="G221" s="673"/>
      <c r="H221" s="673"/>
      <c r="I221" s="689"/>
      <c r="J221" s="86"/>
    </row>
    <row r="222" spans="1:10" ht="18.75" customHeight="1" x14ac:dyDescent="0.25">
      <c r="A222" s="667"/>
      <c r="B222" s="686"/>
      <c r="C222" s="690"/>
      <c r="D222" s="691"/>
      <c r="E222" s="693"/>
      <c r="F222" s="693"/>
      <c r="G222" s="693"/>
      <c r="H222" s="693"/>
      <c r="I222" s="691"/>
      <c r="J222" s="86"/>
    </row>
    <row r="223" spans="1:10" ht="18.75" customHeight="1" x14ac:dyDescent="0.25">
      <c r="A223" s="667"/>
      <c r="B223"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223" s="687" t="str">
        <f>IFERROR(IF(INDEX('WPTM - Section F'!M$1:M$100,MATCH($A202,'WPTM - Section F'!$A$1:$A$100,0))&lt;&gt;0,INDEX('WPTM - Section F'!M$1:M$100,MATCH($A202,'WPTM - Section F'!$A$1:$A$100,0)),""),"")</f>
        <v/>
      </c>
      <c r="D223" s="688"/>
      <c r="E223" s="692" t="str">
        <f>IFERROR(IF(INDEX('WPTM - Section F'!N$1:N$100,MATCH($A202,'WPTM - Section F'!$A$1:$A$100,0))&lt;&gt;0,INDEX('WPTM - Section F'!N$1:N$100,MATCH($A202,'WPTM - Section F'!$A$1:$A$100,0)),""),"")</f>
        <v/>
      </c>
      <c r="F223" s="692"/>
      <c r="G223" s="692"/>
      <c r="H223" s="692"/>
      <c r="I223" s="688"/>
      <c r="J223" s="86"/>
    </row>
    <row r="224" spans="1:10" ht="18.75" customHeight="1" x14ac:dyDescent="0.25">
      <c r="A224" s="667"/>
      <c r="B224" s="685"/>
      <c r="C224" s="672"/>
      <c r="D224" s="689"/>
      <c r="E224" s="673"/>
      <c r="F224" s="673"/>
      <c r="G224" s="673"/>
      <c r="H224" s="673"/>
      <c r="I224" s="689"/>
      <c r="J224" s="86"/>
    </row>
    <row r="225" spans="1:10" ht="18.75" customHeight="1" x14ac:dyDescent="0.25">
      <c r="A225" s="667"/>
      <c r="B225" s="685"/>
      <c r="C225" s="672"/>
      <c r="D225" s="689"/>
      <c r="E225" s="673"/>
      <c r="F225" s="673"/>
      <c r="G225" s="673"/>
      <c r="H225" s="673"/>
      <c r="I225" s="689"/>
      <c r="J225" s="86"/>
    </row>
    <row r="226" spans="1:10" ht="18.75" customHeight="1" x14ac:dyDescent="0.25">
      <c r="A226" s="667"/>
      <c r="B226" s="685"/>
      <c r="C226" s="672"/>
      <c r="D226" s="689"/>
      <c r="E226" s="673"/>
      <c r="F226" s="673"/>
      <c r="G226" s="673"/>
      <c r="H226" s="673"/>
      <c r="I226" s="689"/>
      <c r="J226" s="86"/>
    </row>
    <row r="227" spans="1:10" ht="18.75" customHeight="1" x14ac:dyDescent="0.25">
      <c r="A227" s="667"/>
      <c r="B227" s="686"/>
      <c r="C227" s="690"/>
      <c r="D227" s="691"/>
      <c r="E227" s="693"/>
      <c r="F227" s="693"/>
      <c r="G227" s="693"/>
      <c r="H227" s="693"/>
      <c r="I227" s="691"/>
      <c r="J227" s="86"/>
    </row>
    <row r="228" spans="1:10" ht="18.75" customHeight="1" x14ac:dyDescent="0.25">
      <c r="A228" s="667"/>
      <c r="B228"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228" s="687" t="str">
        <f>IFERROR(IF(INDEX('WPTM - Section F'!O$1:O$100,MATCH($A202,'WPTM - Section F'!$A$1:$A$100,0))&lt;&gt;0,INDEX('WPTM - Section F'!O$1:O$100,MATCH($A202,'WPTM - Section F'!$A$1:$A$100,0)),""),"")</f>
        <v/>
      </c>
      <c r="D228" s="688"/>
      <c r="E228" s="692" t="str">
        <f>IFERROR(IF(INDEX('WPTM - Section F'!P$1:P$100,MATCH($A202,'WPTM - Section F'!$A$1:$A$100,0))&lt;&gt;0,INDEX('WPTM - Section F'!P$1:P$100,MATCH($A202,'WPTM - Section F'!$A$1:$A$100,0)),""),"")</f>
        <v/>
      </c>
      <c r="F228" s="692"/>
      <c r="G228" s="692"/>
      <c r="H228" s="692"/>
      <c r="I228" s="688"/>
      <c r="J228" s="86"/>
    </row>
    <row r="229" spans="1:10" ht="18.75" customHeight="1" x14ac:dyDescent="0.25">
      <c r="A229" s="667"/>
      <c r="B229" s="685"/>
      <c r="C229" s="672"/>
      <c r="D229" s="689"/>
      <c r="E229" s="673"/>
      <c r="F229" s="673"/>
      <c r="G229" s="673"/>
      <c r="H229" s="673"/>
      <c r="I229" s="689"/>
      <c r="J229" s="86"/>
    </row>
    <row r="230" spans="1:10" ht="18.75" customHeight="1" x14ac:dyDescent="0.25">
      <c r="A230" s="667"/>
      <c r="B230" s="685"/>
      <c r="C230" s="672"/>
      <c r="D230" s="689"/>
      <c r="E230" s="673"/>
      <c r="F230" s="673"/>
      <c r="G230" s="673"/>
      <c r="H230" s="673"/>
      <c r="I230" s="689"/>
      <c r="J230" s="86"/>
    </row>
    <row r="231" spans="1:10" ht="18.75" customHeight="1" x14ac:dyDescent="0.25">
      <c r="A231" s="667"/>
      <c r="B231" s="685"/>
      <c r="C231" s="672"/>
      <c r="D231" s="689"/>
      <c r="E231" s="673"/>
      <c r="F231" s="673"/>
      <c r="G231" s="673"/>
      <c r="H231" s="673"/>
      <c r="I231" s="689"/>
      <c r="J231" s="86"/>
    </row>
    <row r="232" spans="1:10" ht="18.75" customHeight="1" x14ac:dyDescent="0.25">
      <c r="A232" s="667"/>
      <c r="B232" s="686"/>
      <c r="C232" s="690"/>
      <c r="D232" s="691"/>
      <c r="E232" s="693"/>
      <c r="F232" s="693"/>
      <c r="G232" s="693"/>
      <c r="H232" s="693"/>
      <c r="I232" s="691"/>
      <c r="J232" s="86"/>
    </row>
    <row r="233" spans="1:10" ht="18.75" customHeight="1" x14ac:dyDescent="0.25">
      <c r="A233" s="667"/>
      <c r="B233"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233" s="687" t="str">
        <f>IFERROR(IF(INDEX('WPTM - Section F'!Q$1:Q$100,MATCH($A202,'WPTM - Section F'!$A$1:$A$100,0))&lt;&gt;0,INDEX('WPTM - Section F'!Q$1:Q$100,MATCH($A202,'WPTM - Section F'!$A$1:$A$100,0)),""),"")</f>
        <v/>
      </c>
      <c r="D233" s="688"/>
      <c r="E233" s="692" t="str">
        <f>IFERROR(IF(INDEX('WPTM - Section F'!R$1:R$100,MATCH($A202,'WPTM - Section F'!$A$1:$A$100,0))&lt;&gt;0,INDEX('WPTM - Section F'!R$1:R$100,MATCH($A202,'WPTM - Section F'!$A$1:$A$100,0)),""),"")</f>
        <v/>
      </c>
      <c r="F233" s="692"/>
      <c r="G233" s="692"/>
      <c r="H233" s="692"/>
      <c r="I233" s="688"/>
      <c r="J233" s="86"/>
    </row>
    <row r="234" spans="1:10" ht="18.75" customHeight="1" x14ac:dyDescent="0.25">
      <c r="A234" s="667"/>
      <c r="B234" s="685"/>
      <c r="C234" s="672"/>
      <c r="D234" s="689"/>
      <c r="E234" s="673"/>
      <c r="F234" s="673"/>
      <c r="G234" s="673"/>
      <c r="H234" s="673"/>
      <c r="I234" s="689"/>
      <c r="J234" s="86"/>
    </row>
    <row r="235" spans="1:10" ht="18.75" customHeight="1" x14ac:dyDescent="0.25">
      <c r="A235" s="667"/>
      <c r="B235" s="685"/>
      <c r="C235" s="672"/>
      <c r="D235" s="689"/>
      <c r="E235" s="673"/>
      <c r="F235" s="673"/>
      <c r="G235" s="673"/>
      <c r="H235" s="673"/>
      <c r="I235" s="689"/>
      <c r="J235" s="86"/>
    </row>
    <row r="236" spans="1:10" ht="18.75" customHeight="1" x14ac:dyDescent="0.25">
      <c r="A236" s="667"/>
      <c r="B236" s="685"/>
      <c r="C236" s="672"/>
      <c r="D236" s="689"/>
      <c r="E236" s="673"/>
      <c r="F236" s="673"/>
      <c r="G236" s="673"/>
      <c r="H236" s="673"/>
      <c r="I236" s="689"/>
      <c r="J236" s="86"/>
    </row>
    <row r="237" spans="1:10" ht="18.75" customHeight="1" x14ac:dyDescent="0.25">
      <c r="A237" s="667"/>
      <c r="B237" s="686"/>
      <c r="C237" s="690"/>
      <c r="D237" s="691"/>
      <c r="E237" s="693"/>
      <c r="F237" s="693"/>
      <c r="G237" s="693"/>
      <c r="H237" s="693"/>
      <c r="I237" s="691"/>
      <c r="J237" s="86"/>
    </row>
    <row r="238" spans="1:10" ht="18.75" customHeight="1" x14ac:dyDescent="0.25">
      <c r="A238" s="667"/>
      <c r="B238"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238" s="687" t="str">
        <f>IFERROR(IF(INDEX('WPTM - Section F'!S$1:S$100,MATCH($A202,'WPTM - Section F'!$A$1:$A$100,0))&lt;&gt;0,INDEX('WPTM - Section F'!S$1:S$100,MATCH($A202,'WPTM - Section F'!$A$1:$A$100,0)),""),"")</f>
        <v/>
      </c>
      <c r="D238" s="688"/>
      <c r="E238" s="692" t="str">
        <f>IFERROR(IF(INDEX('WPTM - Section F'!T$1:T$100,MATCH($A202,'WPTM - Section F'!$A$1:$A$100,0))&lt;&gt;0,INDEX('WPTM - Section F'!T$1:T$100,MATCH($A202,'WPTM - Section F'!$A$1:$A$100,0)),""),"")</f>
        <v/>
      </c>
      <c r="F238" s="692"/>
      <c r="G238" s="692"/>
      <c r="H238" s="692"/>
      <c r="I238" s="688"/>
      <c r="J238" s="86"/>
    </row>
    <row r="239" spans="1:10" ht="18.75" customHeight="1" x14ac:dyDescent="0.25">
      <c r="A239" s="667"/>
      <c r="B239" s="685"/>
      <c r="C239" s="672"/>
      <c r="D239" s="689"/>
      <c r="E239" s="673"/>
      <c r="F239" s="673"/>
      <c r="G239" s="673"/>
      <c r="H239" s="673"/>
      <c r="I239" s="689"/>
      <c r="J239" s="86"/>
    </row>
    <row r="240" spans="1:10" ht="18.75" customHeight="1" x14ac:dyDescent="0.25">
      <c r="A240" s="667"/>
      <c r="B240" s="685"/>
      <c r="C240" s="672"/>
      <c r="D240" s="689"/>
      <c r="E240" s="673"/>
      <c r="F240" s="673"/>
      <c r="G240" s="673"/>
      <c r="H240" s="673"/>
      <c r="I240" s="689"/>
      <c r="J240" s="86"/>
    </row>
    <row r="241" spans="1:10" ht="18.75" customHeight="1" x14ac:dyDescent="0.25">
      <c r="A241" s="667"/>
      <c r="B241" s="685"/>
      <c r="C241" s="672"/>
      <c r="D241" s="689"/>
      <c r="E241" s="673"/>
      <c r="F241" s="673"/>
      <c r="G241" s="673"/>
      <c r="H241" s="673"/>
      <c r="I241" s="689"/>
      <c r="J241" s="86"/>
    </row>
    <row r="242" spans="1:10" ht="18.75" customHeight="1" x14ac:dyDescent="0.25">
      <c r="A242" s="667"/>
      <c r="B242" s="686"/>
      <c r="C242" s="690"/>
      <c r="D242" s="691"/>
      <c r="E242" s="693"/>
      <c r="F242" s="693"/>
      <c r="G242" s="693"/>
      <c r="H242" s="693"/>
      <c r="I242" s="691"/>
      <c r="J242" s="86"/>
    </row>
    <row r="243" spans="1:10" ht="18.75" customHeight="1" x14ac:dyDescent="0.25">
      <c r="A243" s="667"/>
      <c r="B243"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243" s="687" t="str">
        <f>IFERROR(IF(INDEX('WPTM - Section F'!U$1:U$100,MATCH($A202,'WPTM - Section F'!$A$1:$A$100,0))&lt;&gt;0,INDEX('WPTM - Section F'!U$1:U$100,MATCH($A202,'WPTM - Section F'!$A$1:$A$100,0)),""),"")</f>
        <v/>
      </c>
      <c r="D243" s="688"/>
      <c r="E243" s="692" t="str">
        <f>IFERROR(IF(INDEX('WPTM - Section F'!V$1:V$100,MATCH($A202,'WPTM - Section F'!$A$1:$A$100,0))&lt;&gt;0,INDEX('WPTM - Section F'!V$1:V$100,MATCH($A202,'WPTM - Section F'!$A$1:$A$100,0)),""),"")</f>
        <v/>
      </c>
      <c r="F243" s="692"/>
      <c r="G243" s="692"/>
      <c r="H243" s="692"/>
      <c r="I243" s="688"/>
      <c r="J243" s="86"/>
    </row>
    <row r="244" spans="1:10" ht="18.75" customHeight="1" x14ac:dyDescent="0.25">
      <c r="A244" s="667"/>
      <c r="B244" s="685"/>
      <c r="C244" s="672"/>
      <c r="D244" s="689"/>
      <c r="E244" s="673"/>
      <c r="F244" s="673"/>
      <c r="G244" s="673"/>
      <c r="H244" s="673"/>
      <c r="I244" s="689"/>
      <c r="J244" s="86"/>
    </row>
    <row r="245" spans="1:10" ht="18.75" customHeight="1" x14ac:dyDescent="0.25">
      <c r="A245" s="667"/>
      <c r="B245" s="685"/>
      <c r="C245" s="672"/>
      <c r="D245" s="689"/>
      <c r="E245" s="673"/>
      <c r="F245" s="673"/>
      <c r="G245" s="673"/>
      <c r="H245" s="673"/>
      <c r="I245" s="689"/>
      <c r="J245" s="86"/>
    </row>
    <row r="246" spans="1:10" ht="18.75" customHeight="1" x14ac:dyDescent="0.25">
      <c r="A246" s="667"/>
      <c r="B246" s="685"/>
      <c r="C246" s="672"/>
      <c r="D246" s="689"/>
      <c r="E246" s="673"/>
      <c r="F246" s="673"/>
      <c r="G246" s="673"/>
      <c r="H246" s="673"/>
      <c r="I246" s="689"/>
      <c r="J246" s="86"/>
    </row>
    <row r="247" spans="1:10" ht="18.75" customHeight="1" x14ac:dyDescent="0.25">
      <c r="A247" s="667"/>
      <c r="B247" s="685"/>
      <c r="C247" s="672"/>
      <c r="D247" s="689"/>
      <c r="E247" s="673"/>
      <c r="F247" s="673"/>
      <c r="G247" s="673"/>
      <c r="H247" s="673"/>
      <c r="I247" s="689"/>
      <c r="J247" s="86"/>
    </row>
    <row r="248" spans="1:10" ht="18.75" customHeight="1" x14ac:dyDescent="0.25">
      <c r="A248" s="681"/>
      <c r="B248" s="682"/>
      <c r="C248" s="682"/>
      <c r="D248" s="682"/>
      <c r="E248" s="682"/>
      <c r="F248" s="682"/>
      <c r="G248" s="682"/>
      <c r="H248" s="682"/>
      <c r="I248" s="683"/>
      <c r="J248" s="86"/>
    </row>
    <row r="250" spans="1:10" ht="18.75" customHeight="1" x14ac:dyDescent="0.25">
      <c r="A250" s="111" t="s">
        <v>4383</v>
      </c>
      <c r="B250" s="111" t="s">
        <v>1046</v>
      </c>
      <c r="C250" s="663" t="str">
        <f>IFERROR(IF(INDEX('WPTM - Section F'!B$1:B$100,MATCH($A251,'WPTM - Section F'!$A$1:$A$100,0))&lt;&gt;0,INDEX('WPTM - Section F'!B$1:B$100,MATCH($A251,'WPTM - Section F'!$A$1:$A$100,0)),""),"")</f>
        <v/>
      </c>
      <c r="D250" s="664"/>
      <c r="E250" s="664"/>
      <c r="F250" s="664"/>
      <c r="G250" s="664"/>
      <c r="H250" s="664"/>
      <c r="I250" s="694"/>
      <c r="J250" s="86"/>
    </row>
    <row r="251" spans="1:10" ht="18.75" customHeight="1" x14ac:dyDescent="0.25">
      <c r="A251" s="666">
        <v>6</v>
      </c>
      <c r="B251" s="109" t="s">
        <v>258</v>
      </c>
      <c r="C251" s="663" t="str">
        <f>IFERROR(IF(INDEX('WPTM - Section F'!C$1:C$100,MATCH($A251,'WPTM - Section F'!$A$1:$A$100,0))&lt;&gt;0,INDEX('WPTM - Section F'!C$1:C$100,MATCH($A251,'WPTM - Section F'!$A$1:$A$100,0)),""),"")</f>
        <v/>
      </c>
      <c r="D251" s="664"/>
      <c r="E251" s="664"/>
      <c r="F251" s="664"/>
      <c r="G251" s="664"/>
      <c r="H251" s="664"/>
      <c r="I251" s="694"/>
      <c r="J251" s="86"/>
    </row>
    <row r="252" spans="1:10" ht="18.75" customHeight="1" x14ac:dyDescent="0.25">
      <c r="A252" s="667"/>
      <c r="B252" s="660" t="s">
        <v>2275</v>
      </c>
      <c r="C252" s="661"/>
      <c r="D252" s="661"/>
      <c r="E252" s="661"/>
      <c r="F252" s="695" t="s">
        <v>127</v>
      </c>
      <c r="G252" s="661"/>
      <c r="H252" s="661"/>
      <c r="I252" s="696"/>
      <c r="J252" s="86"/>
    </row>
    <row r="253" spans="1:10" ht="18.75" customHeight="1" x14ac:dyDescent="0.25">
      <c r="A253" s="667"/>
      <c r="B253" s="669" t="str">
        <f>IFERROR(IF(INDEX('WPTM - Section F'!D$1:D$100,MATCH($A251,'WPTM - Section F'!$A$1:$A$100,0))&lt;&gt;0,INDEX('WPTM - Section F'!D$1:D$100,MATCH($A251,'WPTM - Section F'!$A$1:$A$100,0)),""),"")</f>
        <v/>
      </c>
      <c r="C253" s="670"/>
      <c r="D253" s="670"/>
      <c r="E253" s="670"/>
      <c r="F253" s="697" t="str">
        <f>IFERROR(IF(INDEX('WPTM - Section F'!F$1:F$100,MATCH($A251,'WPTM - Section F'!$A$1:$A$100,0))&lt;&gt;0,INDEX('WPTM - Section F'!F$1:F$100,MATCH($A251,'WPTM - Section F'!$A$1:$A$100,0)),""),"")</f>
        <v/>
      </c>
      <c r="G253" s="664"/>
      <c r="H253" s="664"/>
      <c r="I253" s="694"/>
      <c r="J253" s="86"/>
    </row>
    <row r="254" spans="1:10" ht="18.75" customHeight="1" x14ac:dyDescent="0.25">
      <c r="A254" s="667"/>
      <c r="B254" s="672"/>
      <c r="C254" s="673"/>
      <c r="D254" s="673"/>
      <c r="E254" s="673"/>
      <c r="F254" s="695" t="s">
        <v>120</v>
      </c>
      <c r="G254" s="661"/>
      <c r="H254" s="661"/>
      <c r="I254" s="696"/>
      <c r="J254" s="86"/>
    </row>
    <row r="255" spans="1:10" ht="18.75" customHeight="1" x14ac:dyDescent="0.25">
      <c r="A255" s="667"/>
      <c r="B255" s="672"/>
      <c r="C255" s="673"/>
      <c r="D255" s="673"/>
      <c r="E255" s="673"/>
      <c r="F255" s="698" t="str">
        <f>IFERROR(IF(INDEX('WPTM - Section F'!E$1:E$100,MATCH($A251,'WPTM - Section F'!$A$1:$A$100,0))&lt;&gt;0,INDEX('WPTM - Section F'!E$1:E$100,MATCH($A251,'WPTM - Section F'!$A$1:$A$100,0)),""),"")</f>
        <v/>
      </c>
      <c r="G255" s="670"/>
      <c r="H255" s="670"/>
      <c r="I255" s="699"/>
      <c r="J255" s="86"/>
    </row>
    <row r="256" spans="1:10" ht="18.75" customHeight="1" x14ac:dyDescent="0.25">
      <c r="A256" s="667"/>
      <c r="B256" s="110"/>
      <c r="C256" s="681" t="s">
        <v>2276</v>
      </c>
      <c r="D256" s="683"/>
      <c r="E256" s="682" t="s">
        <v>2277</v>
      </c>
      <c r="F256" s="682"/>
      <c r="G256" s="682"/>
      <c r="H256" s="682"/>
      <c r="I256" s="683"/>
      <c r="J256" s="86"/>
    </row>
    <row r="257" spans="1:10" ht="18.75" customHeight="1" x14ac:dyDescent="0.25">
      <c r="A257" s="667"/>
      <c r="B257"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257" s="669" t="str">
        <f>IFERROR(IF(INDEX('WPTM - Section F'!G$1:G$100,MATCH($A251,'WPTM - Section F'!$A$1:$A$100,0))&lt;&gt;0,INDEX('WPTM - Section F'!G$1:G$100,MATCH($A251,'WPTM - Section F'!$A$1:$A$100,0)),""),"")</f>
        <v/>
      </c>
      <c r="D257" s="699"/>
      <c r="E257" s="670" t="str">
        <f>IFERROR(IF(INDEX('WPTM - Section F'!H$1:H$100,MATCH($A251,'WPTM - Section F'!$A$1:$A$100,0))&lt;&gt;0,INDEX('WPTM - Section F'!H$1:H$100,MATCH($A251,'WPTM - Section F'!$A$1:$A$100,0)),""),"")</f>
        <v/>
      </c>
      <c r="F257" s="670"/>
      <c r="G257" s="670"/>
      <c r="H257" s="670"/>
      <c r="I257" s="699"/>
      <c r="J257" s="86"/>
    </row>
    <row r="258" spans="1:10" ht="18.75" customHeight="1" x14ac:dyDescent="0.25">
      <c r="A258" s="667"/>
      <c r="B258" s="685"/>
      <c r="C258" s="672"/>
      <c r="D258" s="689"/>
      <c r="E258" s="673"/>
      <c r="F258" s="673"/>
      <c r="G258" s="673"/>
      <c r="H258" s="673"/>
      <c r="I258" s="689"/>
      <c r="J258" s="86"/>
    </row>
    <row r="259" spans="1:10" ht="18.75" customHeight="1" x14ac:dyDescent="0.25">
      <c r="A259" s="667"/>
      <c r="B259" s="685"/>
      <c r="C259" s="672"/>
      <c r="D259" s="689"/>
      <c r="E259" s="673"/>
      <c r="F259" s="673"/>
      <c r="G259" s="673"/>
      <c r="H259" s="673"/>
      <c r="I259" s="689"/>
      <c r="J259" s="86"/>
    </row>
    <row r="260" spans="1:10" ht="18.75" customHeight="1" x14ac:dyDescent="0.25">
      <c r="A260" s="667"/>
      <c r="B260" s="685"/>
      <c r="C260" s="672"/>
      <c r="D260" s="689"/>
      <c r="E260" s="673"/>
      <c r="F260" s="673"/>
      <c r="G260" s="673"/>
      <c r="H260" s="673"/>
      <c r="I260" s="689"/>
      <c r="J260" s="86"/>
    </row>
    <row r="261" spans="1:10" ht="18.75" customHeight="1" x14ac:dyDescent="0.25">
      <c r="A261" s="667"/>
      <c r="B261" s="686"/>
      <c r="C261" s="690"/>
      <c r="D261" s="691"/>
      <c r="E261" s="693"/>
      <c r="F261" s="693"/>
      <c r="G261" s="693"/>
      <c r="H261" s="693"/>
      <c r="I261" s="691"/>
      <c r="J261" s="86"/>
    </row>
    <row r="262" spans="1:10" ht="18.75" customHeight="1" x14ac:dyDescent="0.25">
      <c r="A262" s="667"/>
      <c r="B262"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262" s="687" t="str">
        <f>IFERROR(IF(INDEX('WPTM - Section F'!I$1:I$100,MATCH($A251,'WPTM - Section F'!$A$1:$A$100,0))&lt;&gt;0,INDEX('WPTM - Section F'!I$1:I$100,MATCH($A251,'WPTM - Section F'!$A$1:$A$100,0)),""),"")</f>
        <v/>
      </c>
      <c r="D262" s="688"/>
      <c r="E262" s="692" t="str">
        <f>IFERROR(IF(INDEX('WPTM - Section F'!J$1:J$100,MATCH($A251,'WPTM - Section F'!$A$1:$A$100,0))&lt;&gt;0,INDEX('WPTM - Section F'!J$1:J$100,MATCH($A251,'WPTM - Section F'!$A$1:$A$100,0)),""),"")</f>
        <v/>
      </c>
      <c r="F262" s="692"/>
      <c r="G262" s="692"/>
      <c r="H262" s="692"/>
      <c r="I262" s="688"/>
      <c r="J262" s="86"/>
    </row>
    <row r="263" spans="1:10" ht="18.75" customHeight="1" x14ac:dyDescent="0.25">
      <c r="A263" s="667"/>
      <c r="B263" s="685"/>
      <c r="C263" s="672"/>
      <c r="D263" s="689"/>
      <c r="E263" s="673"/>
      <c r="F263" s="673"/>
      <c r="G263" s="673"/>
      <c r="H263" s="673"/>
      <c r="I263" s="689"/>
      <c r="J263" s="86"/>
    </row>
    <row r="264" spans="1:10" ht="18.75" customHeight="1" x14ac:dyDescent="0.25">
      <c r="A264" s="667"/>
      <c r="B264" s="685"/>
      <c r="C264" s="672"/>
      <c r="D264" s="689"/>
      <c r="E264" s="673"/>
      <c r="F264" s="673"/>
      <c r="G264" s="673"/>
      <c r="H264" s="673"/>
      <c r="I264" s="689"/>
      <c r="J264" s="86"/>
    </row>
    <row r="265" spans="1:10" ht="18.75" customHeight="1" x14ac:dyDescent="0.25">
      <c r="A265" s="667"/>
      <c r="B265" s="685"/>
      <c r="C265" s="672"/>
      <c r="D265" s="689"/>
      <c r="E265" s="673"/>
      <c r="F265" s="673"/>
      <c r="G265" s="673"/>
      <c r="H265" s="673"/>
      <c r="I265" s="689"/>
      <c r="J265" s="86"/>
    </row>
    <row r="266" spans="1:10" ht="18.75" customHeight="1" x14ac:dyDescent="0.25">
      <c r="A266" s="667"/>
      <c r="B266" s="686"/>
      <c r="C266" s="690"/>
      <c r="D266" s="691"/>
      <c r="E266" s="693"/>
      <c r="F266" s="693"/>
      <c r="G266" s="693"/>
      <c r="H266" s="693"/>
      <c r="I266" s="691"/>
      <c r="J266" s="86"/>
    </row>
    <row r="267" spans="1:10" ht="18.75" customHeight="1" x14ac:dyDescent="0.25">
      <c r="A267" s="667"/>
      <c r="B267"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267" s="687" t="str">
        <f>IFERROR(IF(INDEX('WPTM - Section F'!K$1:K$100,MATCH($A251,'WPTM - Section F'!$A$1:$A$100,0))&lt;&gt;0,INDEX('WPTM - Section F'!K$1:K$100,MATCH($A251,'WPTM - Section F'!$A$1:$A$100,0)),""),"")</f>
        <v/>
      </c>
      <c r="D267" s="688"/>
      <c r="E267" s="692" t="str">
        <f>IFERROR(IF(INDEX('WPTM - Section F'!L$1:L$100,MATCH($A251,'WPTM - Section F'!$A$1:$A$100,0))&lt;&gt;0,INDEX('WPTM - Section F'!L$1:L$100,MATCH($A251,'WPTM - Section F'!$A$1:$A$100,0)),""),"")</f>
        <v/>
      </c>
      <c r="F267" s="692"/>
      <c r="G267" s="692"/>
      <c r="H267" s="692"/>
      <c r="I267" s="688"/>
      <c r="J267" s="86"/>
    </row>
    <row r="268" spans="1:10" ht="18.75" customHeight="1" x14ac:dyDescent="0.25">
      <c r="A268" s="667"/>
      <c r="B268" s="685"/>
      <c r="C268" s="672"/>
      <c r="D268" s="689"/>
      <c r="E268" s="673"/>
      <c r="F268" s="673"/>
      <c r="G268" s="673"/>
      <c r="H268" s="673"/>
      <c r="I268" s="689"/>
      <c r="J268" s="86"/>
    </row>
    <row r="269" spans="1:10" ht="18.75" customHeight="1" x14ac:dyDescent="0.25">
      <c r="A269" s="667"/>
      <c r="B269" s="685"/>
      <c r="C269" s="672"/>
      <c r="D269" s="689"/>
      <c r="E269" s="673"/>
      <c r="F269" s="673"/>
      <c r="G269" s="673"/>
      <c r="H269" s="673"/>
      <c r="I269" s="689"/>
      <c r="J269" s="86"/>
    </row>
    <row r="270" spans="1:10" ht="18.75" customHeight="1" x14ac:dyDescent="0.25">
      <c r="A270" s="667"/>
      <c r="B270" s="685"/>
      <c r="C270" s="672"/>
      <c r="D270" s="689"/>
      <c r="E270" s="673"/>
      <c r="F270" s="673"/>
      <c r="G270" s="673"/>
      <c r="H270" s="673"/>
      <c r="I270" s="689"/>
      <c r="J270" s="86"/>
    </row>
    <row r="271" spans="1:10" ht="18.75" customHeight="1" x14ac:dyDescent="0.25">
      <c r="A271" s="667"/>
      <c r="B271" s="686"/>
      <c r="C271" s="690"/>
      <c r="D271" s="691"/>
      <c r="E271" s="693"/>
      <c r="F271" s="693"/>
      <c r="G271" s="693"/>
      <c r="H271" s="693"/>
      <c r="I271" s="691"/>
      <c r="J271" s="86"/>
    </row>
    <row r="272" spans="1:10" ht="18.75" customHeight="1" x14ac:dyDescent="0.25">
      <c r="A272" s="667"/>
      <c r="B272"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272" s="687" t="str">
        <f>IFERROR(IF(INDEX('WPTM - Section F'!M$1:M$100,MATCH($A251,'WPTM - Section F'!$A$1:$A$100,0))&lt;&gt;0,INDEX('WPTM - Section F'!M$1:M$100,MATCH($A251,'WPTM - Section F'!$A$1:$A$100,0)),""),"")</f>
        <v/>
      </c>
      <c r="D272" s="688"/>
      <c r="E272" s="692" t="str">
        <f>IFERROR(IF(INDEX('WPTM - Section F'!N$1:N$100,MATCH($A251,'WPTM - Section F'!$A$1:$A$100,0))&lt;&gt;0,INDEX('WPTM - Section F'!N$1:N$100,MATCH($A251,'WPTM - Section F'!$A$1:$A$100,0)),""),"")</f>
        <v/>
      </c>
      <c r="F272" s="692"/>
      <c r="G272" s="692"/>
      <c r="H272" s="692"/>
      <c r="I272" s="688"/>
      <c r="J272" s="86"/>
    </row>
    <row r="273" spans="1:10" ht="18.75" customHeight="1" x14ac:dyDescent="0.25">
      <c r="A273" s="667"/>
      <c r="B273" s="685"/>
      <c r="C273" s="672"/>
      <c r="D273" s="689"/>
      <c r="E273" s="673"/>
      <c r="F273" s="673"/>
      <c r="G273" s="673"/>
      <c r="H273" s="673"/>
      <c r="I273" s="689"/>
      <c r="J273" s="86"/>
    </row>
    <row r="274" spans="1:10" ht="18.75" customHeight="1" x14ac:dyDescent="0.25">
      <c r="A274" s="667"/>
      <c r="B274" s="685"/>
      <c r="C274" s="672"/>
      <c r="D274" s="689"/>
      <c r="E274" s="673"/>
      <c r="F274" s="673"/>
      <c r="G274" s="673"/>
      <c r="H274" s="673"/>
      <c r="I274" s="689"/>
      <c r="J274" s="86"/>
    </row>
    <row r="275" spans="1:10" ht="18.75" customHeight="1" x14ac:dyDescent="0.25">
      <c r="A275" s="667"/>
      <c r="B275" s="685"/>
      <c r="C275" s="672"/>
      <c r="D275" s="689"/>
      <c r="E275" s="673"/>
      <c r="F275" s="673"/>
      <c r="G275" s="673"/>
      <c r="H275" s="673"/>
      <c r="I275" s="689"/>
      <c r="J275" s="86"/>
    </row>
    <row r="276" spans="1:10" ht="18.75" customHeight="1" x14ac:dyDescent="0.25">
      <c r="A276" s="667"/>
      <c r="B276" s="686"/>
      <c r="C276" s="690"/>
      <c r="D276" s="691"/>
      <c r="E276" s="693"/>
      <c r="F276" s="693"/>
      <c r="G276" s="693"/>
      <c r="H276" s="693"/>
      <c r="I276" s="691"/>
      <c r="J276" s="86"/>
    </row>
    <row r="277" spans="1:10" ht="18.75" customHeight="1" x14ac:dyDescent="0.25">
      <c r="A277" s="667"/>
      <c r="B277"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277" s="687" t="str">
        <f>IFERROR(IF(INDEX('WPTM - Section F'!O$1:O$100,MATCH($A251,'WPTM - Section F'!$A$1:$A$100,0))&lt;&gt;0,INDEX('WPTM - Section F'!O$1:O$100,MATCH($A251,'WPTM - Section F'!$A$1:$A$100,0)),""),"")</f>
        <v/>
      </c>
      <c r="D277" s="688"/>
      <c r="E277" s="692" t="str">
        <f>IFERROR(IF(INDEX('WPTM - Section F'!P$1:P$100,MATCH($A251,'WPTM - Section F'!$A$1:$A$100,0))&lt;&gt;0,INDEX('WPTM - Section F'!P$1:P$100,MATCH($A251,'WPTM - Section F'!$A$1:$A$100,0)),""),"")</f>
        <v/>
      </c>
      <c r="F277" s="692"/>
      <c r="G277" s="692"/>
      <c r="H277" s="692"/>
      <c r="I277" s="688"/>
      <c r="J277" s="86"/>
    </row>
    <row r="278" spans="1:10" ht="18.75" customHeight="1" x14ac:dyDescent="0.25">
      <c r="A278" s="667"/>
      <c r="B278" s="685"/>
      <c r="C278" s="672"/>
      <c r="D278" s="689"/>
      <c r="E278" s="673"/>
      <c r="F278" s="673"/>
      <c r="G278" s="673"/>
      <c r="H278" s="673"/>
      <c r="I278" s="689"/>
      <c r="J278" s="86"/>
    </row>
    <row r="279" spans="1:10" ht="18.75" customHeight="1" x14ac:dyDescent="0.25">
      <c r="A279" s="667"/>
      <c r="B279" s="685"/>
      <c r="C279" s="672"/>
      <c r="D279" s="689"/>
      <c r="E279" s="673"/>
      <c r="F279" s="673"/>
      <c r="G279" s="673"/>
      <c r="H279" s="673"/>
      <c r="I279" s="689"/>
      <c r="J279" s="86"/>
    </row>
    <row r="280" spans="1:10" ht="18.75" customHeight="1" x14ac:dyDescent="0.25">
      <c r="A280" s="667"/>
      <c r="B280" s="685"/>
      <c r="C280" s="672"/>
      <c r="D280" s="689"/>
      <c r="E280" s="673"/>
      <c r="F280" s="673"/>
      <c r="G280" s="673"/>
      <c r="H280" s="673"/>
      <c r="I280" s="689"/>
      <c r="J280" s="86"/>
    </row>
    <row r="281" spans="1:10" ht="18.75" customHeight="1" x14ac:dyDescent="0.25">
      <c r="A281" s="667"/>
      <c r="B281" s="686"/>
      <c r="C281" s="690"/>
      <c r="D281" s="691"/>
      <c r="E281" s="693"/>
      <c r="F281" s="693"/>
      <c r="G281" s="693"/>
      <c r="H281" s="693"/>
      <c r="I281" s="691"/>
      <c r="J281" s="86"/>
    </row>
    <row r="282" spans="1:10" ht="18.75" customHeight="1" x14ac:dyDescent="0.25">
      <c r="A282" s="667"/>
      <c r="B282"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282" s="687" t="str">
        <f>IFERROR(IF(INDEX('WPTM - Section F'!Q$1:Q$100,MATCH($A251,'WPTM - Section F'!$A$1:$A$100,0))&lt;&gt;0,INDEX('WPTM - Section F'!Q$1:Q$100,MATCH($A251,'WPTM - Section F'!$A$1:$A$100,0)),""),"")</f>
        <v/>
      </c>
      <c r="D282" s="688"/>
      <c r="E282" s="692" t="str">
        <f>IFERROR(IF(INDEX('WPTM - Section F'!R$1:R$100,MATCH($A251,'WPTM - Section F'!$A$1:$A$100,0))&lt;&gt;0,INDEX('WPTM - Section F'!R$1:R$100,MATCH($A251,'WPTM - Section F'!$A$1:$A$100,0)),""),"")</f>
        <v/>
      </c>
      <c r="F282" s="692"/>
      <c r="G282" s="692"/>
      <c r="H282" s="692"/>
      <c r="I282" s="688"/>
      <c r="J282" s="86"/>
    </row>
    <row r="283" spans="1:10" ht="18.75" customHeight="1" x14ac:dyDescent="0.25">
      <c r="A283" s="667"/>
      <c r="B283" s="685"/>
      <c r="C283" s="672"/>
      <c r="D283" s="689"/>
      <c r="E283" s="673"/>
      <c r="F283" s="673"/>
      <c r="G283" s="673"/>
      <c r="H283" s="673"/>
      <c r="I283" s="689"/>
      <c r="J283" s="86"/>
    </row>
    <row r="284" spans="1:10" ht="18.75" customHeight="1" x14ac:dyDescent="0.25">
      <c r="A284" s="667"/>
      <c r="B284" s="685"/>
      <c r="C284" s="672"/>
      <c r="D284" s="689"/>
      <c r="E284" s="673"/>
      <c r="F284" s="673"/>
      <c r="G284" s="673"/>
      <c r="H284" s="673"/>
      <c r="I284" s="689"/>
      <c r="J284" s="86"/>
    </row>
    <row r="285" spans="1:10" ht="18.75" customHeight="1" x14ac:dyDescent="0.25">
      <c r="A285" s="667"/>
      <c r="B285" s="685"/>
      <c r="C285" s="672"/>
      <c r="D285" s="689"/>
      <c r="E285" s="673"/>
      <c r="F285" s="673"/>
      <c r="G285" s="673"/>
      <c r="H285" s="673"/>
      <c r="I285" s="689"/>
      <c r="J285" s="86"/>
    </row>
    <row r="286" spans="1:10" ht="18.75" customHeight="1" x14ac:dyDescent="0.25">
      <c r="A286" s="667"/>
      <c r="B286" s="686"/>
      <c r="C286" s="690"/>
      <c r="D286" s="691"/>
      <c r="E286" s="693"/>
      <c r="F286" s="693"/>
      <c r="G286" s="693"/>
      <c r="H286" s="693"/>
      <c r="I286" s="691"/>
      <c r="J286" s="86"/>
    </row>
    <row r="287" spans="1:10" ht="18.75" customHeight="1" x14ac:dyDescent="0.25">
      <c r="A287" s="667"/>
      <c r="B287"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287" s="687" t="str">
        <f>IFERROR(IF(INDEX('WPTM - Section F'!S$1:S$100,MATCH($A251,'WPTM - Section F'!$A$1:$A$100,0))&lt;&gt;0,INDEX('WPTM - Section F'!S$1:S$100,MATCH($A251,'WPTM - Section F'!$A$1:$A$100,0)),""),"")</f>
        <v/>
      </c>
      <c r="D287" s="688"/>
      <c r="E287" s="692" t="str">
        <f>IFERROR(IF(INDEX('WPTM - Section F'!T$1:T$100,MATCH($A251,'WPTM - Section F'!$A$1:$A$100,0))&lt;&gt;0,INDEX('WPTM - Section F'!T$1:T$100,MATCH($A251,'WPTM - Section F'!$A$1:$A$100,0)),""),"")</f>
        <v/>
      </c>
      <c r="F287" s="692"/>
      <c r="G287" s="692"/>
      <c r="H287" s="692"/>
      <c r="I287" s="688"/>
      <c r="J287" s="86"/>
    </row>
    <row r="288" spans="1:10" ht="18.75" customHeight="1" x14ac:dyDescent="0.25">
      <c r="A288" s="667"/>
      <c r="B288" s="685"/>
      <c r="C288" s="672"/>
      <c r="D288" s="689"/>
      <c r="E288" s="673"/>
      <c r="F288" s="673"/>
      <c r="G288" s="673"/>
      <c r="H288" s="673"/>
      <c r="I288" s="689"/>
      <c r="J288" s="86"/>
    </row>
    <row r="289" spans="1:10" ht="18.75" customHeight="1" x14ac:dyDescent="0.25">
      <c r="A289" s="667"/>
      <c r="B289" s="685"/>
      <c r="C289" s="672"/>
      <c r="D289" s="689"/>
      <c r="E289" s="673"/>
      <c r="F289" s="673"/>
      <c r="G289" s="673"/>
      <c r="H289" s="673"/>
      <c r="I289" s="689"/>
      <c r="J289" s="86"/>
    </row>
    <row r="290" spans="1:10" ht="18.75" customHeight="1" x14ac:dyDescent="0.25">
      <c r="A290" s="667"/>
      <c r="B290" s="685"/>
      <c r="C290" s="672"/>
      <c r="D290" s="689"/>
      <c r="E290" s="673"/>
      <c r="F290" s="673"/>
      <c r="G290" s="673"/>
      <c r="H290" s="673"/>
      <c r="I290" s="689"/>
      <c r="J290" s="86"/>
    </row>
    <row r="291" spans="1:10" ht="18.75" customHeight="1" x14ac:dyDescent="0.25">
      <c r="A291" s="667"/>
      <c r="B291" s="686"/>
      <c r="C291" s="690"/>
      <c r="D291" s="691"/>
      <c r="E291" s="693"/>
      <c r="F291" s="693"/>
      <c r="G291" s="693"/>
      <c r="H291" s="693"/>
      <c r="I291" s="691"/>
      <c r="J291" s="86"/>
    </row>
    <row r="292" spans="1:10" ht="18.75" customHeight="1" x14ac:dyDescent="0.25">
      <c r="A292" s="667"/>
      <c r="B292"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292" s="687" t="str">
        <f>IFERROR(IF(INDEX('WPTM - Section F'!U$1:U$100,MATCH($A251,'WPTM - Section F'!$A$1:$A$100,0))&lt;&gt;0,INDEX('WPTM - Section F'!U$1:U$100,MATCH($A251,'WPTM - Section F'!$A$1:$A$100,0)),""),"")</f>
        <v/>
      </c>
      <c r="D292" s="688"/>
      <c r="E292" s="692" t="str">
        <f>IFERROR(IF(INDEX('WPTM - Section F'!V$1:V$100,MATCH($A251,'WPTM - Section F'!$A$1:$A$100,0))&lt;&gt;0,INDEX('WPTM - Section F'!V$1:V$100,MATCH($A251,'WPTM - Section F'!$A$1:$A$100,0)),""),"")</f>
        <v/>
      </c>
      <c r="F292" s="692"/>
      <c r="G292" s="692"/>
      <c r="H292" s="692"/>
      <c r="I292" s="688"/>
      <c r="J292" s="86"/>
    </row>
    <row r="293" spans="1:10" ht="18.75" customHeight="1" x14ac:dyDescent="0.25">
      <c r="A293" s="667"/>
      <c r="B293" s="685"/>
      <c r="C293" s="672"/>
      <c r="D293" s="689"/>
      <c r="E293" s="673"/>
      <c r="F293" s="673"/>
      <c r="G293" s="673"/>
      <c r="H293" s="673"/>
      <c r="I293" s="689"/>
      <c r="J293" s="86"/>
    </row>
    <row r="294" spans="1:10" ht="18.75" customHeight="1" x14ac:dyDescent="0.25">
      <c r="A294" s="667"/>
      <c r="B294" s="685"/>
      <c r="C294" s="672"/>
      <c r="D294" s="689"/>
      <c r="E294" s="673"/>
      <c r="F294" s="673"/>
      <c r="G294" s="673"/>
      <c r="H294" s="673"/>
      <c r="I294" s="689"/>
      <c r="J294" s="86"/>
    </row>
    <row r="295" spans="1:10" ht="18.75" customHeight="1" x14ac:dyDescent="0.25">
      <c r="A295" s="667"/>
      <c r="B295" s="685"/>
      <c r="C295" s="672"/>
      <c r="D295" s="689"/>
      <c r="E295" s="673"/>
      <c r="F295" s="673"/>
      <c r="G295" s="673"/>
      <c r="H295" s="673"/>
      <c r="I295" s="689"/>
      <c r="J295" s="86"/>
    </row>
    <row r="296" spans="1:10" ht="18.75" customHeight="1" x14ac:dyDescent="0.25">
      <c r="A296" s="667"/>
      <c r="B296" s="685"/>
      <c r="C296" s="672"/>
      <c r="D296" s="689"/>
      <c r="E296" s="673"/>
      <c r="F296" s="673"/>
      <c r="G296" s="673"/>
      <c r="H296" s="673"/>
      <c r="I296" s="689"/>
      <c r="J296" s="86"/>
    </row>
    <row r="297" spans="1:10" ht="18.75" customHeight="1" x14ac:dyDescent="0.25">
      <c r="A297" s="681"/>
      <c r="B297" s="682"/>
      <c r="C297" s="682"/>
      <c r="D297" s="682"/>
      <c r="E297" s="682"/>
      <c r="F297" s="682"/>
      <c r="G297" s="682"/>
      <c r="H297" s="682"/>
      <c r="I297" s="683"/>
      <c r="J297" s="86"/>
    </row>
    <row r="299" spans="1:10" ht="18.75" customHeight="1" x14ac:dyDescent="0.25">
      <c r="A299" s="107" t="s">
        <v>4383</v>
      </c>
      <c r="B299" s="111" t="s">
        <v>1046</v>
      </c>
      <c r="C299" s="663" t="str">
        <f>IFERROR(IF(INDEX('WPTM - Section F'!B$1:B$100,MATCH($A300,'WPTM - Section F'!$A$1:$A$100,0))&lt;&gt;0,INDEX('WPTM - Section F'!B$1:B$100,MATCH($A300,'WPTM - Section F'!$A$1:$A$100,0)),""),"")</f>
        <v/>
      </c>
      <c r="D299" s="664"/>
      <c r="E299" s="664"/>
      <c r="F299" s="664"/>
      <c r="G299" s="664"/>
      <c r="H299" s="664"/>
      <c r="I299" s="694"/>
      <c r="J299" s="86"/>
    </row>
    <row r="300" spans="1:10" ht="18.75" customHeight="1" x14ac:dyDescent="0.25">
      <c r="A300" s="666">
        <v>7</v>
      </c>
      <c r="B300" s="109" t="s">
        <v>258</v>
      </c>
      <c r="C300" s="663" t="str">
        <f>IFERROR(IF(INDEX('WPTM - Section F'!C$1:C$100,MATCH($A300,'WPTM - Section F'!$A$1:$A$100,0))&lt;&gt;0,INDEX('WPTM - Section F'!C$1:C$100,MATCH($A300,'WPTM - Section F'!$A$1:$A$100,0)),""),"")</f>
        <v/>
      </c>
      <c r="D300" s="664"/>
      <c r="E300" s="664"/>
      <c r="F300" s="664"/>
      <c r="G300" s="664"/>
      <c r="H300" s="664"/>
      <c r="I300" s="694"/>
      <c r="J300" s="86"/>
    </row>
    <row r="301" spans="1:10" ht="18.75" customHeight="1" x14ac:dyDescent="0.25">
      <c r="A301" s="667"/>
      <c r="B301" s="660" t="s">
        <v>2275</v>
      </c>
      <c r="C301" s="661"/>
      <c r="D301" s="661"/>
      <c r="E301" s="661"/>
      <c r="F301" s="695" t="s">
        <v>127</v>
      </c>
      <c r="G301" s="661"/>
      <c r="H301" s="661"/>
      <c r="I301" s="696"/>
      <c r="J301" s="86"/>
    </row>
    <row r="302" spans="1:10" ht="18.75" customHeight="1" x14ac:dyDescent="0.25">
      <c r="A302" s="667"/>
      <c r="B302" s="669" t="str">
        <f>IFERROR(IF(INDEX('WPTM - Section F'!D$1:D$100,MATCH($A300,'WPTM - Section F'!$A$1:$A$100,0))&lt;&gt;0,INDEX('WPTM - Section F'!D$1:D$100,MATCH($A300,'WPTM - Section F'!$A$1:$A$100,0)),""),"")</f>
        <v/>
      </c>
      <c r="C302" s="670"/>
      <c r="D302" s="670"/>
      <c r="E302" s="670"/>
      <c r="F302" s="697" t="str">
        <f>IFERROR(IF(INDEX('WPTM - Section F'!F$1:F$100,MATCH($A300,'WPTM - Section F'!$A$1:$A$100,0))&lt;&gt;0,INDEX('WPTM - Section F'!F$1:F$100,MATCH($A300,'WPTM - Section F'!$A$1:$A$100,0)),""),"")</f>
        <v/>
      </c>
      <c r="G302" s="664"/>
      <c r="H302" s="664"/>
      <c r="I302" s="694"/>
      <c r="J302" s="86"/>
    </row>
    <row r="303" spans="1:10" ht="18.75" customHeight="1" x14ac:dyDescent="0.25">
      <c r="A303" s="667"/>
      <c r="B303" s="672"/>
      <c r="C303" s="673"/>
      <c r="D303" s="673"/>
      <c r="E303" s="673"/>
      <c r="F303" s="695" t="s">
        <v>120</v>
      </c>
      <c r="G303" s="661"/>
      <c r="H303" s="661"/>
      <c r="I303" s="696"/>
      <c r="J303" s="86"/>
    </row>
    <row r="304" spans="1:10" ht="18.75" customHeight="1" x14ac:dyDescent="0.25">
      <c r="A304" s="667"/>
      <c r="B304" s="672"/>
      <c r="C304" s="673"/>
      <c r="D304" s="673"/>
      <c r="E304" s="673"/>
      <c r="F304" s="698" t="str">
        <f>IFERROR(IF(INDEX('WPTM - Section F'!E$1:E$100,MATCH($A300,'WPTM - Section F'!$A$1:$A$100,0))&lt;&gt;0,INDEX('WPTM - Section F'!E$1:E$100,MATCH($A300,'WPTM - Section F'!$A$1:$A$100,0)),""),"")</f>
        <v/>
      </c>
      <c r="G304" s="670"/>
      <c r="H304" s="670"/>
      <c r="I304" s="699"/>
      <c r="J304" s="86"/>
    </row>
    <row r="305" spans="1:10" ht="18.75" customHeight="1" x14ac:dyDescent="0.25">
      <c r="A305" s="667"/>
      <c r="B305" s="110"/>
      <c r="C305" s="681" t="s">
        <v>2276</v>
      </c>
      <c r="D305" s="683"/>
      <c r="E305" s="682" t="s">
        <v>2277</v>
      </c>
      <c r="F305" s="682"/>
      <c r="G305" s="682"/>
      <c r="H305" s="682"/>
      <c r="I305" s="683"/>
      <c r="J305" s="86"/>
    </row>
    <row r="306" spans="1:10" ht="18.75" customHeight="1" x14ac:dyDescent="0.25">
      <c r="A306" s="667"/>
      <c r="B306"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306" s="669" t="str">
        <f>IFERROR(IF(INDEX('WPTM - Section F'!G$1:G$100,MATCH($A300,'WPTM - Section F'!$A$1:$A$100,0))&lt;&gt;0,INDEX('WPTM - Section F'!G$1:G$100,MATCH($A300,'WPTM - Section F'!$A$1:$A$100,0)),""),"")</f>
        <v/>
      </c>
      <c r="D306" s="699"/>
      <c r="E306" s="670" t="str">
        <f>IFERROR(IF(INDEX('WPTM - Section F'!H$1:H$100,MATCH($A300,'WPTM - Section F'!$A$1:$A$100,0))&lt;&gt;0,INDEX('WPTM - Section F'!H$1:H$100,MATCH($A300,'WPTM - Section F'!$A$1:$A$100,0)),""),"")</f>
        <v/>
      </c>
      <c r="F306" s="670"/>
      <c r="G306" s="670"/>
      <c r="H306" s="670"/>
      <c r="I306" s="699"/>
      <c r="J306" s="86"/>
    </row>
    <row r="307" spans="1:10" ht="18.75" customHeight="1" x14ac:dyDescent="0.25">
      <c r="A307" s="667"/>
      <c r="B307" s="685"/>
      <c r="C307" s="672"/>
      <c r="D307" s="689"/>
      <c r="E307" s="673"/>
      <c r="F307" s="673"/>
      <c r="G307" s="673"/>
      <c r="H307" s="673"/>
      <c r="I307" s="689"/>
      <c r="J307" s="86"/>
    </row>
    <row r="308" spans="1:10" ht="18.75" customHeight="1" x14ac:dyDescent="0.25">
      <c r="A308" s="667"/>
      <c r="B308" s="685"/>
      <c r="C308" s="672"/>
      <c r="D308" s="689"/>
      <c r="E308" s="673"/>
      <c r="F308" s="673"/>
      <c r="G308" s="673"/>
      <c r="H308" s="673"/>
      <c r="I308" s="689"/>
      <c r="J308" s="86"/>
    </row>
    <row r="309" spans="1:10" ht="18.75" customHeight="1" x14ac:dyDescent="0.25">
      <c r="A309" s="667"/>
      <c r="B309" s="685"/>
      <c r="C309" s="672"/>
      <c r="D309" s="689"/>
      <c r="E309" s="673"/>
      <c r="F309" s="673"/>
      <c r="G309" s="673"/>
      <c r="H309" s="673"/>
      <c r="I309" s="689"/>
      <c r="J309" s="86"/>
    </row>
    <row r="310" spans="1:10" ht="18.75" customHeight="1" x14ac:dyDescent="0.25">
      <c r="A310" s="667"/>
      <c r="B310" s="686"/>
      <c r="C310" s="690"/>
      <c r="D310" s="691"/>
      <c r="E310" s="693"/>
      <c r="F310" s="693"/>
      <c r="G310" s="693"/>
      <c r="H310" s="693"/>
      <c r="I310" s="691"/>
      <c r="J310" s="86"/>
    </row>
    <row r="311" spans="1:10" ht="18.75" customHeight="1" x14ac:dyDescent="0.25">
      <c r="A311" s="667"/>
      <c r="B311"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311" s="687" t="str">
        <f>IFERROR(IF(INDEX('WPTM - Section F'!I$1:I$100,MATCH($A300,'WPTM - Section F'!$A$1:$A$100,0))&lt;&gt;0,INDEX('WPTM - Section F'!I$1:I$100,MATCH($A300,'WPTM - Section F'!$A$1:$A$100,0)),""),"")</f>
        <v/>
      </c>
      <c r="D311" s="688"/>
      <c r="E311" s="692" t="str">
        <f>IFERROR(IF(INDEX('WPTM - Section F'!J$1:J$100,MATCH($A300,'WPTM - Section F'!$A$1:$A$100,0))&lt;&gt;0,INDEX('WPTM - Section F'!J$1:J$100,MATCH($A300,'WPTM - Section F'!$A$1:$A$100,0)),""),"")</f>
        <v/>
      </c>
      <c r="F311" s="692"/>
      <c r="G311" s="692"/>
      <c r="H311" s="692"/>
      <c r="I311" s="688"/>
      <c r="J311" s="86"/>
    </row>
    <row r="312" spans="1:10" ht="18.75" customHeight="1" x14ac:dyDescent="0.25">
      <c r="A312" s="667"/>
      <c r="B312" s="685"/>
      <c r="C312" s="672"/>
      <c r="D312" s="689"/>
      <c r="E312" s="673"/>
      <c r="F312" s="673"/>
      <c r="G312" s="673"/>
      <c r="H312" s="673"/>
      <c r="I312" s="689"/>
      <c r="J312" s="86"/>
    </row>
    <row r="313" spans="1:10" ht="18.75" customHeight="1" x14ac:dyDescent="0.25">
      <c r="A313" s="667"/>
      <c r="B313" s="685"/>
      <c r="C313" s="672"/>
      <c r="D313" s="689"/>
      <c r="E313" s="673"/>
      <c r="F313" s="673"/>
      <c r="G313" s="673"/>
      <c r="H313" s="673"/>
      <c r="I313" s="689"/>
      <c r="J313" s="86"/>
    </row>
    <row r="314" spans="1:10" ht="18.75" customHeight="1" x14ac:dyDescent="0.25">
      <c r="A314" s="667"/>
      <c r="B314" s="685"/>
      <c r="C314" s="672"/>
      <c r="D314" s="689"/>
      <c r="E314" s="673"/>
      <c r="F314" s="673"/>
      <c r="G314" s="673"/>
      <c r="H314" s="673"/>
      <c r="I314" s="689"/>
      <c r="J314" s="86"/>
    </row>
    <row r="315" spans="1:10" ht="18.75" customHeight="1" x14ac:dyDescent="0.25">
      <c r="A315" s="667"/>
      <c r="B315" s="686"/>
      <c r="C315" s="690"/>
      <c r="D315" s="691"/>
      <c r="E315" s="693"/>
      <c r="F315" s="693"/>
      <c r="G315" s="693"/>
      <c r="H315" s="693"/>
      <c r="I315" s="691"/>
      <c r="J315" s="86"/>
    </row>
    <row r="316" spans="1:10" ht="18.75" customHeight="1" x14ac:dyDescent="0.25">
      <c r="A316" s="667"/>
      <c r="B316"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316" s="687" t="str">
        <f>IFERROR(IF(INDEX('WPTM - Section F'!K$1:K$100,MATCH($A300,'WPTM - Section F'!$A$1:$A$100,0))&lt;&gt;0,INDEX('WPTM - Section F'!K$1:K$100,MATCH($A300,'WPTM - Section F'!$A$1:$A$100,0)),""),"")</f>
        <v/>
      </c>
      <c r="D316" s="688"/>
      <c r="E316" s="692" t="str">
        <f>IFERROR(IF(INDEX('WPTM - Section F'!L$1:L$100,MATCH($A300,'WPTM - Section F'!$A$1:$A$100,0))&lt;&gt;0,INDEX('WPTM - Section F'!L$1:L$100,MATCH($A300,'WPTM - Section F'!$A$1:$A$100,0)),""),"")</f>
        <v/>
      </c>
      <c r="F316" s="692"/>
      <c r="G316" s="692"/>
      <c r="H316" s="692"/>
      <c r="I316" s="688"/>
      <c r="J316" s="86"/>
    </row>
    <row r="317" spans="1:10" ht="18.75" customHeight="1" x14ac:dyDescent="0.25">
      <c r="A317" s="667"/>
      <c r="B317" s="685"/>
      <c r="C317" s="672"/>
      <c r="D317" s="689"/>
      <c r="E317" s="673"/>
      <c r="F317" s="673"/>
      <c r="G317" s="673"/>
      <c r="H317" s="673"/>
      <c r="I317" s="689"/>
      <c r="J317" s="86"/>
    </row>
    <row r="318" spans="1:10" ht="18.75" customHeight="1" x14ac:dyDescent="0.25">
      <c r="A318" s="667"/>
      <c r="B318" s="685"/>
      <c r="C318" s="672"/>
      <c r="D318" s="689"/>
      <c r="E318" s="673"/>
      <c r="F318" s="673"/>
      <c r="G318" s="673"/>
      <c r="H318" s="673"/>
      <c r="I318" s="689"/>
      <c r="J318" s="86"/>
    </row>
    <row r="319" spans="1:10" ht="18.75" customHeight="1" x14ac:dyDescent="0.25">
      <c r="A319" s="667"/>
      <c r="B319" s="685"/>
      <c r="C319" s="672"/>
      <c r="D319" s="689"/>
      <c r="E319" s="673"/>
      <c r="F319" s="673"/>
      <c r="G319" s="673"/>
      <c r="H319" s="673"/>
      <c r="I319" s="689"/>
      <c r="J319" s="86"/>
    </row>
    <row r="320" spans="1:10" ht="18.75" customHeight="1" x14ac:dyDescent="0.25">
      <c r="A320" s="667"/>
      <c r="B320" s="686"/>
      <c r="C320" s="690"/>
      <c r="D320" s="691"/>
      <c r="E320" s="693"/>
      <c r="F320" s="693"/>
      <c r="G320" s="693"/>
      <c r="H320" s="693"/>
      <c r="I320" s="691"/>
      <c r="J320" s="86"/>
    </row>
    <row r="321" spans="1:10" ht="18.75" customHeight="1" x14ac:dyDescent="0.25">
      <c r="A321" s="667"/>
      <c r="B321"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321" s="687" t="str">
        <f>IFERROR(IF(INDEX('WPTM - Section F'!M$1:M$100,MATCH($A300,'WPTM - Section F'!$A$1:$A$100,0))&lt;&gt;0,INDEX('WPTM - Section F'!M$1:M$100,MATCH($A300,'WPTM - Section F'!$A$1:$A$100,0)),""),"")</f>
        <v/>
      </c>
      <c r="D321" s="688"/>
      <c r="E321" s="692" t="str">
        <f>IFERROR(IF(INDEX('WPTM - Section F'!N$1:N$100,MATCH($A300,'WPTM - Section F'!$A$1:$A$100,0))&lt;&gt;0,INDEX('WPTM - Section F'!N$1:N$100,MATCH($A300,'WPTM - Section F'!$A$1:$A$100,0)),""),"")</f>
        <v/>
      </c>
      <c r="F321" s="692"/>
      <c r="G321" s="692"/>
      <c r="H321" s="692"/>
      <c r="I321" s="688"/>
      <c r="J321" s="86"/>
    </row>
    <row r="322" spans="1:10" ht="18.75" customHeight="1" x14ac:dyDescent="0.25">
      <c r="A322" s="667"/>
      <c r="B322" s="685"/>
      <c r="C322" s="672"/>
      <c r="D322" s="689"/>
      <c r="E322" s="673"/>
      <c r="F322" s="673"/>
      <c r="G322" s="673"/>
      <c r="H322" s="673"/>
      <c r="I322" s="689"/>
      <c r="J322" s="86"/>
    </row>
    <row r="323" spans="1:10" ht="18.75" customHeight="1" x14ac:dyDescent="0.25">
      <c r="A323" s="667"/>
      <c r="B323" s="685"/>
      <c r="C323" s="672"/>
      <c r="D323" s="689"/>
      <c r="E323" s="673"/>
      <c r="F323" s="673"/>
      <c r="G323" s="673"/>
      <c r="H323" s="673"/>
      <c r="I323" s="689"/>
      <c r="J323" s="86"/>
    </row>
    <row r="324" spans="1:10" ht="18.75" customHeight="1" x14ac:dyDescent="0.25">
      <c r="A324" s="667"/>
      <c r="B324" s="685"/>
      <c r="C324" s="672"/>
      <c r="D324" s="689"/>
      <c r="E324" s="673"/>
      <c r="F324" s="673"/>
      <c r="G324" s="673"/>
      <c r="H324" s="673"/>
      <c r="I324" s="689"/>
      <c r="J324" s="86"/>
    </row>
    <row r="325" spans="1:10" ht="18.75" customHeight="1" x14ac:dyDescent="0.25">
      <c r="A325" s="667"/>
      <c r="B325" s="686"/>
      <c r="C325" s="690"/>
      <c r="D325" s="691"/>
      <c r="E325" s="693"/>
      <c r="F325" s="693"/>
      <c r="G325" s="693"/>
      <c r="H325" s="693"/>
      <c r="I325" s="691"/>
      <c r="J325" s="86"/>
    </row>
    <row r="326" spans="1:10" ht="18.75" customHeight="1" x14ac:dyDescent="0.25">
      <c r="A326" s="667"/>
      <c r="B326"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326" s="687" t="str">
        <f>IFERROR(IF(INDEX('WPTM - Section F'!O$1:O$100,MATCH($A300,'WPTM - Section F'!$A$1:$A$100,0))&lt;&gt;0,INDEX('WPTM - Section F'!O$1:O$100,MATCH($A300,'WPTM - Section F'!$A$1:$A$100,0)),""),"")</f>
        <v/>
      </c>
      <c r="D326" s="688"/>
      <c r="E326" s="692" t="str">
        <f>IFERROR(IF(INDEX('WPTM - Section F'!P$1:P$100,MATCH($A300,'WPTM - Section F'!$A$1:$A$100,0))&lt;&gt;0,INDEX('WPTM - Section F'!P$1:P$100,MATCH($A300,'WPTM - Section F'!$A$1:$A$100,0)),""),"")</f>
        <v/>
      </c>
      <c r="F326" s="692"/>
      <c r="G326" s="692"/>
      <c r="H326" s="692"/>
      <c r="I326" s="688"/>
      <c r="J326" s="86"/>
    </row>
    <row r="327" spans="1:10" ht="18.75" customHeight="1" x14ac:dyDescent="0.25">
      <c r="A327" s="667"/>
      <c r="B327" s="685"/>
      <c r="C327" s="672"/>
      <c r="D327" s="689"/>
      <c r="E327" s="673"/>
      <c r="F327" s="673"/>
      <c r="G327" s="673"/>
      <c r="H327" s="673"/>
      <c r="I327" s="689"/>
      <c r="J327" s="86"/>
    </row>
    <row r="328" spans="1:10" ht="18.75" customHeight="1" x14ac:dyDescent="0.25">
      <c r="A328" s="667"/>
      <c r="B328" s="685"/>
      <c r="C328" s="672"/>
      <c r="D328" s="689"/>
      <c r="E328" s="673"/>
      <c r="F328" s="673"/>
      <c r="G328" s="673"/>
      <c r="H328" s="673"/>
      <c r="I328" s="689"/>
      <c r="J328" s="86"/>
    </row>
    <row r="329" spans="1:10" ht="18.75" customHeight="1" x14ac:dyDescent="0.25">
      <c r="A329" s="667"/>
      <c r="B329" s="685"/>
      <c r="C329" s="672"/>
      <c r="D329" s="689"/>
      <c r="E329" s="673"/>
      <c r="F329" s="673"/>
      <c r="G329" s="673"/>
      <c r="H329" s="673"/>
      <c r="I329" s="689"/>
      <c r="J329" s="86"/>
    </row>
    <row r="330" spans="1:10" ht="18.75" customHeight="1" x14ac:dyDescent="0.25">
      <c r="A330" s="667"/>
      <c r="B330" s="686"/>
      <c r="C330" s="690"/>
      <c r="D330" s="691"/>
      <c r="E330" s="693"/>
      <c r="F330" s="693"/>
      <c r="G330" s="693"/>
      <c r="H330" s="693"/>
      <c r="I330" s="691"/>
      <c r="J330" s="86"/>
    </row>
    <row r="331" spans="1:10" ht="18.75" customHeight="1" x14ac:dyDescent="0.25">
      <c r="A331" s="667"/>
      <c r="B331"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331" s="687" t="str">
        <f>IFERROR(IF(INDEX('WPTM - Section F'!Q$1:Q$100,MATCH($A300,'WPTM - Section F'!$A$1:$A$100,0))&lt;&gt;0,INDEX('WPTM - Section F'!Q$1:Q$100,MATCH($A300,'WPTM - Section F'!$A$1:$A$100,0)),""),"")</f>
        <v/>
      </c>
      <c r="D331" s="688"/>
      <c r="E331" s="692" t="str">
        <f>IFERROR(IF(INDEX('WPTM - Section F'!R$1:R$100,MATCH($A300,'WPTM - Section F'!$A$1:$A$100,0))&lt;&gt;0,INDEX('WPTM - Section F'!R$1:R$100,MATCH($A300,'WPTM - Section F'!$A$1:$A$100,0)),""),"")</f>
        <v/>
      </c>
      <c r="F331" s="692"/>
      <c r="G331" s="692"/>
      <c r="H331" s="692"/>
      <c r="I331" s="688"/>
      <c r="J331" s="86"/>
    </row>
    <row r="332" spans="1:10" ht="18.75" customHeight="1" x14ac:dyDescent="0.25">
      <c r="A332" s="667"/>
      <c r="B332" s="685"/>
      <c r="C332" s="672"/>
      <c r="D332" s="689"/>
      <c r="E332" s="673"/>
      <c r="F332" s="673"/>
      <c r="G332" s="673"/>
      <c r="H332" s="673"/>
      <c r="I332" s="689"/>
      <c r="J332" s="86"/>
    </row>
    <row r="333" spans="1:10" ht="18.75" customHeight="1" x14ac:dyDescent="0.25">
      <c r="A333" s="667"/>
      <c r="B333" s="685"/>
      <c r="C333" s="672"/>
      <c r="D333" s="689"/>
      <c r="E333" s="673"/>
      <c r="F333" s="673"/>
      <c r="G333" s="673"/>
      <c r="H333" s="673"/>
      <c r="I333" s="689"/>
      <c r="J333" s="86"/>
    </row>
    <row r="334" spans="1:10" ht="18.75" customHeight="1" x14ac:dyDescent="0.25">
      <c r="A334" s="667"/>
      <c r="B334" s="685"/>
      <c r="C334" s="672"/>
      <c r="D334" s="689"/>
      <c r="E334" s="673"/>
      <c r="F334" s="673"/>
      <c r="G334" s="673"/>
      <c r="H334" s="673"/>
      <c r="I334" s="689"/>
      <c r="J334" s="86"/>
    </row>
    <row r="335" spans="1:10" ht="18.75" customHeight="1" x14ac:dyDescent="0.25">
      <c r="A335" s="667"/>
      <c r="B335" s="686"/>
      <c r="C335" s="690"/>
      <c r="D335" s="691"/>
      <c r="E335" s="693"/>
      <c r="F335" s="693"/>
      <c r="G335" s="693"/>
      <c r="H335" s="693"/>
      <c r="I335" s="691"/>
      <c r="J335" s="86"/>
    </row>
    <row r="336" spans="1:10" ht="18.75" customHeight="1" x14ac:dyDescent="0.25">
      <c r="A336" s="667"/>
      <c r="B336"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336" s="687" t="str">
        <f>IFERROR(IF(INDEX('WPTM - Section F'!S$1:S$100,MATCH($A300,'WPTM - Section F'!$A$1:$A$100,0))&lt;&gt;0,INDEX('WPTM - Section F'!S$1:S$100,MATCH($A300,'WPTM - Section F'!$A$1:$A$100,0)),""),"")</f>
        <v/>
      </c>
      <c r="D336" s="688"/>
      <c r="E336" s="692" t="str">
        <f>IFERROR(IF(INDEX('WPTM - Section F'!T$1:T$100,MATCH($A300,'WPTM - Section F'!$A$1:$A$100,0))&lt;&gt;0,INDEX('WPTM - Section F'!T$1:T$100,MATCH($A300,'WPTM - Section F'!$A$1:$A$100,0)),""),"")</f>
        <v/>
      </c>
      <c r="F336" s="692"/>
      <c r="G336" s="692"/>
      <c r="H336" s="692"/>
      <c r="I336" s="688"/>
      <c r="J336" s="86"/>
    </row>
    <row r="337" spans="1:10" ht="18.75" customHeight="1" x14ac:dyDescent="0.25">
      <c r="A337" s="667"/>
      <c r="B337" s="685"/>
      <c r="C337" s="672"/>
      <c r="D337" s="689"/>
      <c r="E337" s="673"/>
      <c r="F337" s="673"/>
      <c r="G337" s="673"/>
      <c r="H337" s="673"/>
      <c r="I337" s="689"/>
      <c r="J337" s="86"/>
    </row>
    <row r="338" spans="1:10" ht="18.75" customHeight="1" x14ac:dyDescent="0.25">
      <c r="A338" s="667"/>
      <c r="B338" s="685"/>
      <c r="C338" s="672"/>
      <c r="D338" s="689"/>
      <c r="E338" s="673"/>
      <c r="F338" s="673"/>
      <c r="G338" s="673"/>
      <c r="H338" s="673"/>
      <c r="I338" s="689"/>
      <c r="J338" s="86"/>
    </row>
    <row r="339" spans="1:10" ht="18.75" customHeight="1" x14ac:dyDescent="0.25">
      <c r="A339" s="667"/>
      <c r="B339" s="685"/>
      <c r="C339" s="672"/>
      <c r="D339" s="689"/>
      <c r="E339" s="673"/>
      <c r="F339" s="673"/>
      <c r="G339" s="673"/>
      <c r="H339" s="673"/>
      <c r="I339" s="689"/>
      <c r="J339" s="86"/>
    </row>
    <row r="340" spans="1:10" ht="18.75" customHeight="1" x14ac:dyDescent="0.25">
      <c r="A340" s="667"/>
      <c r="B340" s="686"/>
      <c r="C340" s="690"/>
      <c r="D340" s="691"/>
      <c r="E340" s="693"/>
      <c r="F340" s="693"/>
      <c r="G340" s="693"/>
      <c r="H340" s="693"/>
      <c r="I340" s="691"/>
      <c r="J340" s="86"/>
    </row>
    <row r="341" spans="1:10" ht="18.75" customHeight="1" x14ac:dyDescent="0.25">
      <c r="A341" s="667"/>
      <c r="B341"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341" s="687" t="str">
        <f>IFERROR(IF(INDEX('WPTM - Section F'!U$1:U$100,MATCH($A300,'WPTM - Section F'!$A$1:$A$100,0))&lt;&gt;0,INDEX('WPTM - Section F'!U$1:U$100,MATCH($A300,'WPTM - Section F'!$A$1:$A$100,0)),""),"")</f>
        <v/>
      </c>
      <c r="D341" s="688"/>
      <c r="E341" s="692" t="str">
        <f>IFERROR(IF(INDEX('WPTM - Section F'!V$1:V$100,MATCH($A300,'WPTM - Section F'!$A$1:$A$100,0))&lt;&gt;0,INDEX('WPTM - Section F'!V$1:V$100,MATCH($A300,'WPTM - Section F'!$A$1:$A$100,0)),""),"")</f>
        <v/>
      </c>
      <c r="F341" s="692"/>
      <c r="G341" s="692"/>
      <c r="H341" s="692"/>
      <c r="I341" s="688"/>
      <c r="J341" s="86"/>
    </row>
    <row r="342" spans="1:10" ht="18.75" customHeight="1" x14ac:dyDescent="0.25">
      <c r="A342" s="667"/>
      <c r="B342" s="685"/>
      <c r="C342" s="672"/>
      <c r="D342" s="689"/>
      <c r="E342" s="673"/>
      <c r="F342" s="673"/>
      <c r="G342" s="673"/>
      <c r="H342" s="673"/>
      <c r="I342" s="689"/>
      <c r="J342" s="86"/>
    </row>
    <row r="343" spans="1:10" ht="18.75" customHeight="1" x14ac:dyDescent="0.25">
      <c r="A343" s="667"/>
      <c r="B343" s="685"/>
      <c r="C343" s="672"/>
      <c r="D343" s="689"/>
      <c r="E343" s="673"/>
      <c r="F343" s="673"/>
      <c r="G343" s="673"/>
      <c r="H343" s="673"/>
      <c r="I343" s="689"/>
      <c r="J343" s="86"/>
    </row>
    <row r="344" spans="1:10" ht="18.75" customHeight="1" x14ac:dyDescent="0.25">
      <c r="A344" s="667"/>
      <c r="B344" s="685"/>
      <c r="C344" s="672"/>
      <c r="D344" s="689"/>
      <c r="E344" s="673"/>
      <c r="F344" s="673"/>
      <c r="G344" s="673"/>
      <c r="H344" s="673"/>
      <c r="I344" s="689"/>
      <c r="J344" s="86"/>
    </row>
    <row r="345" spans="1:10" ht="18.75" customHeight="1" x14ac:dyDescent="0.25">
      <c r="A345" s="667"/>
      <c r="B345" s="685"/>
      <c r="C345" s="672"/>
      <c r="D345" s="689"/>
      <c r="E345" s="673"/>
      <c r="F345" s="673"/>
      <c r="G345" s="673"/>
      <c r="H345" s="673"/>
      <c r="I345" s="689"/>
      <c r="J345" s="86"/>
    </row>
    <row r="346" spans="1:10" ht="18.75" customHeight="1" x14ac:dyDescent="0.25">
      <c r="A346" s="681"/>
      <c r="B346" s="682"/>
      <c r="C346" s="682"/>
      <c r="D346" s="682"/>
      <c r="E346" s="682"/>
      <c r="F346" s="682"/>
      <c r="G346" s="682"/>
      <c r="H346" s="682"/>
      <c r="I346" s="683"/>
      <c r="J346" s="86"/>
    </row>
    <row r="348" spans="1:10" ht="18.75" customHeight="1" x14ac:dyDescent="0.25">
      <c r="A348" s="111" t="s">
        <v>4383</v>
      </c>
      <c r="B348" s="111" t="s">
        <v>1046</v>
      </c>
      <c r="C348" s="663" t="str">
        <f>IFERROR(IF(INDEX('WPTM - Section F'!B$1:B$100,MATCH($A349,'WPTM - Section F'!$A$1:$A$100,0))&lt;&gt;0,INDEX('WPTM - Section F'!B$1:B$100,MATCH($A349,'WPTM - Section F'!$A$1:$A$100,0)),""),"")</f>
        <v/>
      </c>
      <c r="D348" s="664"/>
      <c r="E348" s="664"/>
      <c r="F348" s="664"/>
      <c r="G348" s="664"/>
      <c r="H348" s="664"/>
      <c r="I348" s="694"/>
      <c r="J348" s="86"/>
    </row>
    <row r="349" spans="1:10" ht="18.75" customHeight="1" x14ac:dyDescent="0.25">
      <c r="A349" s="666">
        <v>8</v>
      </c>
      <c r="B349" s="109" t="s">
        <v>258</v>
      </c>
      <c r="C349" s="663" t="str">
        <f>IFERROR(IF(INDEX('WPTM - Section F'!C$1:C$100,MATCH($A349,'WPTM - Section F'!$A$1:$A$100,0))&lt;&gt;0,INDEX('WPTM - Section F'!C$1:C$100,MATCH($A349,'WPTM - Section F'!$A$1:$A$100,0)),""),"")</f>
        <v/>
      </c>
      <c r="D349" s="664"/>
      <c r="E349" s="664"/>
      <c r="F349" s="664"/>
      <c r="G349" s="664"/>
      <c r="H349" s="664"/>
      <c r="I349" s="694"/>
      <c r="J349" s="86"/>
    </row>
    <row r="350" spans="1:10" ht="18.75" customHeight="1" x14ac:dyDescent="0.25">
      <c r="A350" s="667"/>
      <c r="B350" s="660" t="s">
        <v>2275</v>
      </c>
      <c r="C350" s="661"/>
      <c r="D350" s="661"/>
      <c r="E350" s="661"/>
      <c r="F350" s="695" t="s">
        <v>127</v>
      </c>
      <c r="G350" s="661"/>
      <c r="H350" s="661"/>
      <c r="I350" s="696"/>
      <c r="J350" s="86"/>
    </row>
    <row r="351" spans="1:10" ht="18.75" customHeight="1" x14ac:dyDescent="0.25">
      <c r="A351" s="667"/>
      <c r="B351" s="669" t="str">
        <f>IFERROR(IF(INDEX('WPTM - Section F'!D$1:D$100,MATCH($A349,'WPTM - Section F'!$A$1:$A$100,0))&lt;&gt;0,INDEX('WPTM - Section F'!D$1:D$100,MATCH($A349,'WPTM - Section F'!$A$1:$A$100,0)),""),"")</f>
        <v/>
      </c>
      <c r="C351" s="670"/>
      <c r="D351" s="670"/>
      <c r="E351" s="670"/>
      <c r="F351" s="697" t="str">
        <f>IFERROR(IF(INDEX('WPTM - Section F'!F$1:F$100,MATCH($A349,'WPTM - Section F'!$A$1:$A$100,0))&lt;&gt;0,INDEX('WPTM - Section F'!F$1:F$100,MATCH($A349,'WPTM - Section F'!$A$1:$A$100,0)),""),"")</f>
        <v/>
      </c>
      <c r="G351" s="664"/>
      <c r="H351" s="664"/>
      <c r="I351" s="694"/>
      <c r="J351" s="86"/>
    </row>
    <row r="352" spans="1:10" ht="18.75" customHeight="1" x14ac:dyDescent="0.25">
      <c r="A352" s="667"/>
      <c r="B352" s="672"/>
      <c r="C352" s="673"/>
      <c r="D352" s="673"/>
      <c r="E352" s="673"/>
      <c r="F352" s="695" t="s">
        <v>120</v>
      </c>
      <c r="G352" s="661"/>
      <c r="H352" s="661"/>
      <c r="I352" s="696"/>
      <c r="J352" s="86"/>
    </row>
    <row r="353" spans="1:10" ht="18.75" customHeight="1" x14ac:dyDescent="0.25">
      <c r="A353" s="667"/>
      <c r="B353" s="672"/>
      <c r="C353" s="673"/>
      <c r="D353" s="673"/>
      <c r="E353" s="673"/>
      <c r="F353" s="698" t="str">
        <f>IFERROR(IF(INDEX('WPTM - Section F'!E$1:E$100,MATCH($A349,'WPTM - Section F'!$A$1:$A$100,0))&lt;&gt;0,INDEX('WPTM - Section F'!E$1:E$100,MATCH($A349,'WPTM - Section F'!$A$1:$A$100,0)),""),"")</f>
        <v/>
      </c>
      <c r="G353" s="670"/>
      <c r="H353" s="670"/>
      <c r="I353" s="699"/>
      <c r="J353" s="86"/>
    </row>
    <row r="354" spans="1:10" ht="18.75" customHeight="1" x14ac:dyDescent="0.25">
      <c r="A354" s="667"/>
      <c r="B354" s="110"/>
      <c r="C354" s="681" t="s">
        <v>2276</v>
      </c>
      <c r="D354" s="683"/>
      <c r="E354" s="682" t="s">
        <v>2277</v>
      </c>
      <c r="F354" s="682"/>
      <c r="G354" s="682"/>
      <c r="H354" s="682"/>
      <c r="I354" s="683"/>
      <c r="J354" s="86"/>
    </row>
    <row r="355" spans="1:10" ht="18.75" customHeight="1" x14ac:dyDescent="0.25">
      <c r="A355" s="667"/>
      <c r="B355"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355" s="669" t="str">
        <f>IFERROR(IF(INDEX('WPTM - Section F'!G$1:G$100,MATCH($A349,'WPTM - Section F'!$A$1:$A$100,0))&lt;&gt;0,INDEX('WPTM - Section F'!G$1:G$100,MATCH($A349,'WPTM - Section F'!$A$1:$A$100,0)),""),"")</f>
        <v/>
      </c>
      <c r="D355" s="699"/>
      <c r="E355" s="670" t="str">
        <f>IFERROR(IF(INDEX('WPTM - Section F'!H$1:H$100,MATCH($A349,'WPTM - Section F'!$A$1:$A$100,0))&lt;&gt;0,INDEX('WPTM - Section F'!H$1:H$100,MATCH($A349,'WPTM - Section F'!$A$1:$A$100,0)),""),"")</f>
        <v/>
      </c>
      <c r="F355" s="670"/>
      <c r="G355" s="670"/>
      <c r="H355" s="670"/>
      <c r="I355" s="699"/>
      <c r="J355" s="86"/>
    </row>
    <row r="356" spans="1:10" ht="18.75" customHeight="1" x14ac:dyDescent="0.25">
      <c r="A356" s="667"/>
      <c r="B356" s="685"/>
      <c r="C356" s="672"/>
      <c r="D356" s="689"/>
      <c r="E356" s="673"/>
      <c r="F356" s="673"/>
      <c r="G356" s="673"/>
      <c r="H356" s="673"/>
      <c r="I356" s="689"/>
      <c r="J356" s="86"/>
    </row>
    <row r="357" spans="1:10" ht="18.75" customHeight="1" x14ac:dyDescent="0.25">
      <c r="A357" s="667"/>
      <c r="B357" s="685"/>
      <c r="C357" s="672"/>
      <c r="D357" s="689"/>
      <c r="E357" s="673"/>
      <c r="F357" s="673"/>
      <c r="G357" s="673"/>
      <c r="H357" s="673"/>
      <c r="I357" s="689"/>
      <c r="J357" s="86"/>
    </row>
    <row r="358" spans="1:10" ht="18.75" customHeight="1" x14ac:dyDescent="0.25">
      <c r="A358" s="667"/>
      <c r="B358" s="685"/>
      <c r="C358" s="672"/>
      <c r="D358" s="689"/>
      <c r="E358" s="673"/>
      <c r="F358" s="673"/>
      <c r="G358" s="673"/>
      <c r="H358" s="673"/>
      <c r="I358" s="689"/>
      <c r="J358" s="86"/>
    </row>
    <row r="359" spans="1:10" ht="18.75" customHeight="1" x14ac:dyDescent="0.25">
      <c r="A359" s="667"/>
      <c r="B359" s="686"/>
      <c r="C359" s="690"/>
      <c r="D359" s="691"/>
      <c r="E359" s="693"/>
      <c r="F359" s="693"/>
      <c r="G359" s="693"/>
      <c r="H359" s="693"/>
      <c r="I359" s="691"/>
      <c r="J359" s="86"/>
    </row>
    <row r="360" spans="1:10" ht="18.75" customHeight="1" x14ac:dyDescent="0.25">
      <c r="A360" s="667"/>
      <c r="B360"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360" s="687" t="str">
        <f>IFERROR(IF(INDEX('WPTM - Section F'!I$1:I$100,MATCH($A349,'WPTM - Section F'!$A$1:$A$100,0))&lt;&gt;0,INDEX('WPTM - Section F'!I$1:I$100,MATCH($A349,'WPTM - Section F'!$A$1:$A$100,0)),""),"")</f>
        <v/>
      </c>
      <c r="D360" s="688"/>
      <c r="E360" s="692" t="str">
        <f>IFERROR(IF(INDEX('WPTM - Section F'!J$1:J$100,MATCH($A349,'WPTM - Section F'!$A$1:$A$100,0))&lt;&gt;0,INDEX('WPTM - Section F'!J$1:J$100,MATCH($A349,'WPTM - Section F'!$A$1:$A$100,0)),""),"")</f>
        <v/>
      </c>
      <c r="F360" s="692"/>
      <c r="G360" s="692"/>
      <c r="H360" s="692"/>
      <c r="I360" s="688"/>
      <c r="J360" s="86"/>
    </row>
    <row r="361" spans="1:10" ht="18.75" customHeight="1" x14ac:dyDescent="0.25">
      <c r="A361" s="667"/>
      <c r="B361" s="685"/>
      <c r="C361" s="672"/>
      <c r="D361" s="689"/>
      <c r="E361" s="673"/>
      <c r="F361" s="673"/>
      <c r="G361" s="673"/>
      <c r="H361" s="673"/>
      <c r="I361" s="689"/>
      <c r="J361" s="86"/>
    </row>
    <row r="362" spans="1:10" ht="18.75" customHeight="1" x14ac:dyDescent="0.25">
      <c r="A362" s="667"/>
      <c r="B362" s="685"/>
      <c r="C362" s="672"/>
      <c r="D362" s="689"/>
      <c r="E362" s="673"/>
      <c r="F362" s="673"/>
      <c r="G362" s="673"/>
      <c r="H362" s="673"/>
      <c r="I362" s="689"/>
      <c r="J362" s="86"/>
    </row>
    <row r="363" spans="1:10" ht="18.75" customHeight="1" x14ac:dyDescent="0.25">
      <c r="A363" s="667"/>
      <c r="B363" s="685"/>
      <c r="C363" s="672"/>
      <c r="D363" s="689"/>
      <c r="E363" s="673"/>
      <c r="F363" s="673"/>
      <c r="G363" s="673"/>
      <c r="H363" s="673"/>
      <c r="I363" s="689"/>
      <c r="J363" s="86"/>
    </row>
    <row r="364" spans="1:10" ht="18.75" customHeight="1" x14ac:dyDescent="0.25">
      <c r="A364" s="667"/>
      <c r="B364" s="686"/>
      <c r="C364" s="690"/>
      <c r="D364" s="691"/>
      <c r="E364" s="693"/>
      <c r="F364" s="693"/>
      <c r="G364" s="693"/>
      <c r="H364" s="693"/>
      <c r="I364" s="691"/>
      <c r="J364" s="86"/>
    </row>
    <row r="365" spans="1:10" ht="18.75" customHeight="1" x14ac:dyDescent="0.25">
      <c r="A365" s="667"/>
      <c r="B365"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365" s="687" t="str">
        <f>IFERROR(IF(INDEX('WPTM - Section F'!K$1:K$100,MATCH($A349,'WPTM - Section F'!$A$1:$A$100,0))&lt;&gt;0,INDEX('WPTM - Section F'!K$1:K$100,MATCH($A349,'WPTM - Section F'!$A$1:$A$100,0)),""),"")</f>
        <v/>
      </c>
      <c r="D365" s="688"/>
      <c r="E365" s="692" t="str">
        <f>IFERROR(IF(INDEX('WPTM - Section F'!L$1:L$100,MATCH($A349,'WPTM - Section F'!$A$1:$A$100,0))&lt;&gt;0,INDEX('WPTM - Section F'!L$1:L$100,MATCH($A349,'WPTM - Section F'!$A$1:$A$100,0)),""),"")</f>
        <v/>
      </c>
      <c r="F365" s="692"/>
      <c r="G365" s="692"/>
      <c r="H365" s="692"/>
      <c r="I365" s="688"/>
      <c r="J365" s="86"/>
    </row>
    <row r="366" spans="1:10" ht="18.75" customHeight="1" x14ac:dyDescent="0.25">
      <c r="A366" s="667"/>
      <c r="B366" s="685"/>
      <c r="C366" s="672"/>
      <c r="D366" s="689"/>
      <c r="E366" s="673"/>
      <c r="F366" s="673"/>
      <c r="G366" s="673"/>
      <c r="H366" s="673"/>
      <c r="I366" s="689"/>
      <c r="J366" s="86"/>
    </row>
    <row r="367" spans="1:10" ht="18.75" customHeight="1" x14ac:dyDescent="0.25">
      <c r="A367" s="667"/>
      <c r="B367" s="685"/>
      <c r="C367" s="672"/>
      <c r="D367" s="689"/>
      <c r="E367" s="673"/>
      <c r="F367" s="673"/>
      <c r="G367" s="673"/>
      <c r="H367" s="673"/>
      <c r="I367" s="689"/>
      <c r="J367" s="86"/>
    </row>
    <row r="368" spans="1:10" ht="18.75" customHeight="1" x14ac:dyDescent="0.25">
      <c r="A368" s="667"/>
      <c r="B368" s="685"/>
      <c r="C368" s="672"/>
      <c r="D368" s="689"/>
      <c r="E368" s="673"/>
      <c r="F368" s="673"/>
      <c r="G368" s="673"/>
      <c r="H368" s="673"/>
      <c r="I368" s="689"/>
      <c r="J368" s="86"/>
    </row>
    <row r="369" spans="1:10" ht="18.75" customHeight="1" x14ac:dyDescent="0.25">
      <c r="A369" s="667"/>
      <c r="B369" s="686"/>
      <c r="C369" s="690"/>
      <c r="D369" s="691"/>
      <c r="E369" s="693"/>
      <c r="F369" s="693"/>
      <c r="G369" s="693"/>
      <c r="H369" s="693"/>
      <c r="I369" s="691"/>
      <c r="J369" s="86"/>
    </row>
    <row r="370" spans="1:10" ht="18.75" customHeight="1" x14ac:dyDescent="0.25">
      <c r="A370" s="667"/>
      <c r="B370"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370" s="687" t="str">
        <f>IFERROR(IF(INDEX('WPTM - Section F'!M$1:M$100,MATCH($A349,'WPTM - Section F'!$A$1:$A$100,0))&lt;&gt;0,INDEX('WPTM - Section F'!M$1:M$100,MATCH($A349,'WPTM - Section F'!$A$1:$A$100,0)),""),"")</f>
        <v/>
      </c>
      <c r="D370" s="688"/>
      <c r="E370" s="692" t="str">
        <f>IFERROR(IF(INDEX('WPTM - Section F'!N$1:N$100,MATCH($A349,'WPTM - Section F'!$A$1:$A$100,0))&lt;&gt;0,INDEX('WPTM - Section F'!N$1:N$100,MATCH($A349,'WPTM - Section F'!$A$1:$A$100,0)),""),"")</f>
        <v/>
      </c>
      <c r="F370" s="692"/>
      <c r="G370" s="692"/>
      <c r="H370" s="692"/>
      <c r="I370" s="688"/>
      <c r="J370" s="86"/>
    </row>
    <row r="371" spans="1:10" ht="18.75" customHeight="1" x14ac:dyDescent="0.25">
      <c r="A371" s="667"/>
      <c r="B371" s="685"/>
      <c r="C371" s="672"/>
      <c r="D371" s="689"/>
      <c r="E371" s="673"/>
      <c r="F371" s="673"/>
      <c r="G371" s="673"/>
      <c r="H371" s="673"/>
      <c r="I371" s="689"/>
      <c r="J371" s="86"/>
    </row>
    <row r="372" spans="1:10" ht="18.75" customHeight="1" x14ac:dyDescent="0.25">
      <c r="A372" s="667"/>
      <c r="B372" s="685"/>
      <c r="C372" s="672"/>
      <c r="D372" s="689"/>
      <c r="E372" s="673"/>
      <c r="F372" s="673"/>
      <c r="G372" s="673"/>
      <c r="H372" s="673"/>
      <c r="I372" s="689"/>
      <c r="J372" s="86"/>
    </row>
    <row r="373" spans="1:10" ht="18.75" customHeight="1" x14ac:dyDescent="0.25">
      <c r="A373" s="667"/>
      <c r="B373" s="685"/>
      <c r="C373" s="672"/>
      <c r="D373" s="689"/>
      <c r="E373" s="673"/>
      <c r="F373" s="673"/>
      <c r="G373" s="673"/>
      <c r="H373" s="673"/>
      <c r="I373" s="689"/>
      <c r="J373" s="86"/>
    </row>
    <row r="374" spans="1:10" ht="18.75" customHeight="1" x14ac:dyDescent="0.25">
      <c r="A374" s="667"/>
      <c r="B374" s="686"/>
      <c r="C374" s="690"/>
      <c r="D374" s="691"/>
      <c r="E374" s="693"/>
      <c r="F374" s="693"/>
      <c r="G374" s="693"/>
      <c r="H374" s="693"/>
      <c r="I374" s="691"/>
      <c r="J374" s="86"/>
    </row>
    <row r="375" spans="1:10" ht="18.75" customHeight="1" x14ac:dyDescent="0.25">
      <c r="A375" s="667"/>
      <c r="B375"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375" s="687" t="str">
        <f>IFERROR(IF(INDEX('WPTM - Section F'!O$1:O$100,MATCH($A349,'WPTM - Section F'!$A$1:$A$100,0))&lt;&gt;0,INDEX('WPTM - Section F'!O$1:O$100,MATCH($A349,'WPTM - Section F'!$A$1:$A$100,0)),""),"")</f>
        <v/>
      </c>
      <c r="D375" s="688"/>
      <c r="E375" s="692" t="str">
        <f>IFERROR(IF(INDEX('WPTM - Section F'!P$1:P$100,MATCH($A349,'WPTM - Section F'!$A$1:$A$100,0))&lt;&gt;0,INDEX('WPTM - Section F'!P$1:P$100,MATCH($A349,'WPTM - Section F'!$A$1:$A$100,0)),""),"")</f>
        <v/>
      </c>
      <c r="F375" s="692"/>
      <c r="G375" s="692"/>
      <c r="H375" s="692"/>
      <c r="I375" s="688"/>
      <c r="J375" s="86"/>
    </row>
    <row r="376" spans="1:10" ht="18.75" customHeight="1" x14ac:dyDescent="0.25">
      <c r="A376" s="667"/>
      <c r="B376" s="685"/>
      <c r="C376" s="672"/>
      <c r="D376" s="689"/>
      <c r="E376" s="673"/>
      <c r="F376" s="673"/>
      <c r="G376" s="673"/>
      <c r="H376" s="673"/>
      <c r="I376" s="689"/>
      <c r="J376" s="86"/>
    </row>
    <row r="377" spans="1:10" ht="18.75" customHeight="1" x14ac:dyDescent="0.25">
      <c r="A377" s="667"/>
      <c r="B377" s="685"/>
      <c r="C377" s="672"/>
      <c r="D377" s="689"/>
      <c r="E377" s="673"/>
      <c r="F377" s="673"/>
      <c r="G377" s="673"/>
      <c r="H377" s="673"/>
      <c r="I377" s="689"/>
      <c r="J377" s="86"/>
    </row>
    <row r="378" spans="1:10" ht="18.75" customHeight="1" x14ac:dyDescent="0.25">
      <c r="A378" s="667"/>
      <c r="B378" s="685"/>
      <c r="C378" s="672"/>
      <c r="D378" s="689"/>
      <c r="E378" s="673"/>
      <c r="F378" s="673"/>
      <c r="G378" s="673"/>
      <c r="H378" s="673"/>
      <c r="I378" s="689"/>
      <c r="J378" s="86"/>
    </row>
    <row r="379" spans="1:10" ht="18.75" customHeight="1" x14ac:dyDescent="0.25">
      <c r="A379" s="667"/>
      <c r="B379" s="686"/>
      <c r="C379" s="690"/>
      <c r="D379" s="691"/>
      <c r="E379" s="693"/>
      <c r="F379" s="693"/>
      <c r="G379" s="693"/>
      <c r="H379" s="693"/>
      <c r="I379" s="691"/>
      <c r="J379" s="86"/>
    </row>
    <row r="380" spans="1:10" ht="18.75" customHeight="1" x14ac:dyDescent="0.25">
      <c r="A380" s="667"/>
      <c r="B380"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380" s="687" t="str">
        <f>IFERROR(IF(INDEX('WPTM - Section F'!Q$1:Q$100,MATCH($A349,'WPTM - Section F'!$A$1:$A$100,0))&lt;&gt;0,INDEX('WPTM - Section F'!Q$1:Q$100,MATCH($A349,'WPTM - Section F'!$A$1:$A$100,0)),""),"")</f>
        <v/>
      </c>
      <c r="D380" s="688"/>
      <c r="E380" s="692" t="str">
        <f>IFERROR(IF(INDEX('WPTM - Section F'!R$1:R$100,MATCH($A349,'WPTM - Section F'!$A$1:$A$100,0))&lt;&gt;0,INDEX('WPTM - Section F'!R$1:R$100,MATCH($A349,'WPTM - Section F'!$A$1:$A$100,0)),""),"")</f>
        <v/>
      </c>
      <c r="F380" s="692"/>
      <c r="G380" s="692"/>
      <c r="H380" s="692"/>
      <c r="I380" s="688"/>
      <c r="J380" s="86"/>
    </row>
    <row r="381" spans="1:10" ht="18.75" customHeight="1" x14ac:dyDescent="0.25">
      <c r="A381" s="667"/>
      <c r="B381" s="685"/>
      <c r="C381" s="672"/>
      <c r="D381" s="689"/>
      <c r="E381" s="673"/>
      <c r="F381" s="673"/>
      <c r="G381" s="673"/>
      <c r="H381" s="673"/>
      <c r="I381" s="689"/>
      <c r="J381" s="86"/>
    </row>
    <row r="382" spans="1:10" ht="18.75" customHeight="1" x14ac:dyDescent="0.25">
      <c r="A382" s="667"/>
      <c r="B382" s="685"/>
      <c r="C382" s="672"/>
      <c r="D382" s="689"/>
      <c r="E382" s="673"/>
      <c r="F382" s="673"/>
      <c r="G382" s="673"/>
      <c r="H382" s="673"/>
      <c r="I382" s="689"/>
      <c r="J382" s="86"/>
    </row>
    <row r="383" spans="1:10" ht="18.75" customHeight="1" x14ac:dyDescent="0.25">
      <c r="A383" s="667"/>
      <c r="B383" s="685"/>
      <c r="C383" s="672"/>
      <c r="D383" s="689"/>
      <c r="E383" s="673"/>
      <c r="F383" s="673"/>
      <c r="G383" s="673"/>
      <c r="H383" s="673"/>
      <c r="I383" s="689"/>
      <c r="J383" s="86"/>
    </row>
    <row r="384" spans="1:10" ht="18.75" customHeight="1" x14ac:dyDescent="0.25">
      <c r="A384" s="667"/>
      <c r="B384" s="686"/>
      <c r="C384" s="690"/>
      <c r="D384" s="691"/>
      <c r="E384" s="693"/>
      <c r="F384" s="693"/>
      <c r="G384" s="693"/>
      <c r="H384" s="693"/>
      <c r="I384" s="691"/>
      <c r="J384" s="86"/>
    </row>
    <row r="385" spans="1:10" ht="18.75" customHeight="1" x14ac:dyDescent="0.25">
      <c r="A385" s="667"/>
      <c r="B385"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385" s="687" t="str">
        <f>IFERROR(IF(INDEX('WPTM - Section F'!S$1:S$100,MATCH($A349,'WPTM - Section F'!$A$1:$A$100,0))&lt;&gt;0,INDEX('WPTM - Section F'!S$1:S$100,MATCH($A349,'WPTM - Section F'!$A$1:$A$100,0)),""),"")</f>
        <v/>
      </c>
      <c r="D385" s="688"/>
      <c r="E385" s="692" t="str">
        <f>IFERROR(IF(INDEX('WPTM - Section F'!T$1:T$100,MATCH($A349,'WPTM - Section F'!$A$1:$A$100,0))&lt;&gt;0,INDEX('WPTM - Section F'!T$1:T$100,MATCH($A349,'WPTM - Section F'!$A$1:$A$100,0)),""),"")</f>
        <v/>
      </c>
      <c r="F385" s="692"/>
      <c r="G385" s="692"/>
      <c r="H385" s="692"/>
      <c r="I385" s="688"/>
      <c r="J385" s="86"/>
    </row>
    <row r="386" spans="1:10" ht="18.75" customHeight="1" x14ac:dyDescent="0.25">
      <c r="A386" s="667"/>
      <c r="B386" s="685"/>
      <c r="C386" s="672"/>
      <c r="D386" s="689"/>
      <c r="E386" s="673"/>
      <c r="F386" s="673"/>
      <c r="G386" s="673"/>
      <c r="H386" s="673"/>
      <c r="I386" s="689"/>
      <c r="J386" s="86"/>
    </row>
    <row r="387" spans="1:10" ht="18.75" customHeight="1" x14ac:dyDescent="0.25">
      <c r="A387" s="667"/>
      <c r="B387" s="685"/>
      <c r="C387" s="672"/>
      <c r="D387" s="689"/>
      <c r="E387" s="673"/>
      <c r="F387" s="673"/>
      <c r="G387" s="673"/>
      <c r="H387" s="673"/>
      <c r="I387" s="689"/>
      <c r="J387" s="86"/>
    </row>
    <row r="388" spans="1:10" ht="18.75" customHeight="1" x14ac:dyDescent="0.25">
      <c r="A388" s="667"/>
      <c r="B388" s="685"/>
      <c r="C388" s="672"/>
      <c r="D388" s="689"/>
      <c r="E388" s="673"/>
      <c r="F388" s="673"/>
      <c r="G388" s="673"/>
      <c r="H388" s="673"/>
      <c r="I388" s="689"/>
      <c r="J388" s="86"/>
    </row>
    <row r="389" spans="1:10" ht="18.75" customHeight="1" x14ac:dyDescent="0.25">
      <c r="A389" s="667"/>
      <c r="B389" s="686"/>
      <c r="C389" s="690"/>
      <c r="D389" s="691"/>
      <c r="E389" s="693"/>
      <c r="F389" s="693"/>
      <c r="G389" s="693"/>
      <c r="H389" s="693"/>
      <c r="I389" s="691"/>
      <c r="J389" s="86"/>
    </row>
    <row r="390" spans="1:10" ht="18.75" customHeight="1" x14ac:dyDescent="0.25">
      <c r="A390" s="667"/>
      <c r="B390"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390" s="687" t="str">
        <f>IFERROR(IF(INDEX('WPTM - Section F'!U$1:U$100,MATCH($A349,'WPTM - Section F'!$A$1:$A$100,0))&lt;&gt;0,INDEX('WPTM - Section F'!U$1:U$100,MATCH($A349,'WPTM - Section F'!$A$1:$A$100,0)),""),"")</f>
        <v/>
      </c>
      <c r="D390" s="688"/>
      <c r="E390" s="692" t="str">
        <f>IFERROR(IF(INDEX('WPTM - Section F'!V$1:V$100,MATCH($A349,'WPTM - Section F'!$A$1:$A$100,0))&lt;&gt;0,INDEX('WPTM - Section F'!V$1:V$100,MATCH($A349,'WPTM - Section F'!$A$1:$A$100,0)),""),"")</f>
        <v/>
      </c>
      <c r="F390" s="692"/>
      <c r="G390" s="692"/>
      <c r="H390" s="692"/>
      <c r="I390" s="688"/>
      <c r="J390" s="86"/>
    </row>
    <row r="391" spans="1:10" ht="18.75" customHeight="1" x14ac:dyDescent="0.25">
      <c r="A391" s="667"/>
      <c r="B391" s="685"/>
      <c r="C391" s="672"/>
      <c r="D391" s="689"/>
      <c r="E391" s="673"/>
      <c r="F391" s="673"/>
      <c r="G391" s="673"/>
      <c r="H391" s="673"/>
      <c r="I391" s="689"/>
      <c r="J391" s="86"/>
    </row>
    <row r="392" spans="1:10" ht="18.75" customHeight="1" x14ac:dyDescent="0.25">
      <c r="A392" s="667"/>
      <c r="B392" s="685"/>
      <c r="C392" s="672"/>
      <c r="D392" s="689"/>
      <c r="E392" s="673"/>
      <c r="F392" s="673"/>
      <c r="G392" s="673"/>
      <c r="H392" s="673"/>
      <c r="I392" s="689"/>
      <c r="J392" s="86"/>
    </row>
    <row r="393" spans="1:10" ht="18.75" customHeight="1" x14ac:dyDescent="0.25">
      <c r="A393" s="667"/>
      <c r="B393" s="685"/>
      <c r="C393" s="672"/>
      <c r="D393" s="689"/>
      <c r="E393" s="673"/>
      <c r="F393" s="673"/>
      <c r="G393" s="673"/>
      <c r="H393" s="673"/>
      <c r="I393" s="689"/>
      <c r="J393" s="86"/>
    </row>
    <row r="394" spans="1:10" ht="18.75" customHeight="1" x14ac:dyDescent="0.25">
      <c r="A394" s="667"/>
      <c r="B394" s="685"/>
      <c r="C394" s="672"/>
      <c r="D394" s="689"/>
      <c r="E394" s="673"/>
      <c r="F394" s="673"/>
      <c r="G394" s="673"/>
      <c r="H394" s="673"/>
      <c r="I394" s="689"/>
      <c r="J394" s="86"/>
    </row>
    <row r="395" spans="1:10" ht="18.75" customHeight="1" x14ac:dyDescent="0.25">
      <c r="A395" s="681"/>
      <c r="B395" s="682"/>
      <c r="C395" s="682"/>
      <c r="D395" s="682"/>
      <c r="E395" s="682"/>
      <c r="F395" s="682"/>
      <c r="G395" s="682"/>
      <c r="H395" s="682"/>
      <c r="I395" s="683"/>
      <c r="J395" s="86"/>
    </row>
    <row r="397" spans="1:10" ht="18.75" customHeight="1" x14ac:dyDescent="0.25">
      <c r="A397" s="111" t="s">
        <v>4383</v>
      </c>
      <c r="B397" s="111" t="s">
        <v>1046</v>
      </c>
      <c r="C397" s="663" t="str">
        <f>IFERROR(IF(INDEX('WPTM - Section F'!B$1:B$100,MATCH($A398,'WPTM - Section F'!$A$1:$A$100,0))&lt;&gt;0,INDEX('WPTM - Section F'!B$1:B$100,MATCH($A398,'WPTM - Section F'!$A$1:$A$100,0)),""),"")</f>
        <v/>
      </c>
      <c r="D397" s="664"/>
      <c r="E397" s="664"/>
      <c r="F397" s="664"/>
      <c r="G397" s="664"/>
      <c r="H397" s="664"/>
      <c r="I397" s="694"/>
      <c r="J397" s="86"/>
    </row>
    <row r="398" spans="1:10" ht="18.75" customHeight="1" x14ac:dyDescent="0.25">
      <c r="A398" s="666">
        <v>9</v>
      </c>
      <c r="B398" s="109" t="s">
        <v>258</v>
      </c>
      <c r="C398" s="663" t="str">
        <f>IFERROR(IF(INDEX('WPTM - Section F'!C$1:C$100,MATCH($A398,'WPTM - Section F'!$A$1:$A$100,0))&lt;&gt;0,INDEX('WPTM - Section F'!C$1:C$100,MATCH($A398,'WPTM - Section F'!$A$1:$A$100,0)),""),"")</f>
        <v/>
      </c>
      <c r="D398" s="664"/>
      <c r="E398" s="664"/>
      <c r="F398" s="664"/>
      <c r="G398" s="664"/>
      <c r="H398" s="664"/>
      <c r="I398" s="694"/>
      <c r="J398" s="86"/>
    </row>
    <row r="399" spans="1:10" ht="18.75" customHeight="1" x14ac:dyDescent="0.25">
      <c r="A399" s="667"/>
      <c r="B399" s="660" t="s">
        <v>2275</v>
      </c>
      <c r="C399" s="661"/>
      <c r="D399" s="661"/>
      <c r="E399" s="661"/>
      <c r="F399" s="695" t="s">
        <v>127</v>
      </c>
      <c r="G399" s="661"/>
      <c r="H399" s="661"/>
      <c r="I399" s="696"/>
      <c r="J399" s="86"/>
    </row>
    <row r="400" spans="1:10" ht="18.75" customHeight="1" x14ac:dyDescent="0.25">
      <c r="A400" s="667"/>
      <c r="B400" s="669" t="str">
        <f>IFERROR(IF(INDEX('WPTM - Section F'!D$1:D$100,MATCH($A398,'WPTM - Section F'!$A$1:$A$100,0))&lt;&gt;0,INDEX('WPTM - Section F'!D$1:D$100,MATCH($A398,'WPTM - Section F'!$A$1:$A$100,0)),""),"")</f>
        <v/>
      </c>
      <c r="C400" s="670"/>
      <c r="D400" s="670"/>
      <c r="E400" s="670"/>
      <c r="F400" s="697" t="str">
        <f>IFERROR(IF(INDEX('WPTM - Section F'!F$1:F$100,MATCH($A398,'WPTM - Section F'!$A$1:$A$100,0))&lt;&gt;0,INDEX('WPTM - Section F'!F$1:F$100,MATCH($A398,'WPTM - Section F'!$A$1:$A$100,0)),""),"")</f>
        <v/>
      </c>
      <c r="G400" s="664"/>
      <c r="H400" s="664"/>
      <c r="I400" s="694"/>
      <c r="J400" s="86"/>
    </row>
    <row r="401" spans="1:10" ht="18.75" customHeight="1" x14ac:dyDescent="0.25">
      <c r="A401" s="667"/>
      <c r="B401" s="672"/>
      <c r="C401" s="673"/>
      <c r="D401" s="673"/>
      <c r="E401" s="673"/>
      <c r="F401" s="695" t="s">
        <v>120</v>
      </c>
      <c r="G401" s="661"/>
      <c r="H401" s="661"/>
      <c r="I401" s="696"/>
      <c r="J401" s="86"/>
    </row>
    <row r="402" spans="1:10" ht="18.75" customHeight="1" x14ac:dyDescent="0.25">
      <c r="A402" s="667"/>
      <c r="B402" s="672"/>
      <c r="C402" s="673"/>
      <c r="D402" s="673"/>
      <c r="E402" s="673"/>
      <c r="F402" s="698" t="str">
        <f>IFERROR(IF(INDEX('WPTM - Section F'!E$1:E$100,MATCH($A398,'WPTM - Section F'!$A$1:$A$100,0))&lt;&gt;0,INDEX('WPTM - Section F'!E$1:E$100,MATCH($A398,'WPTM - Section F'!$A$1:$A$100,0)),""),"")</f>
        <v/>
      </c>
      <c r="G402" s="670"/>
      <c r="H402" s="670"/>
      <c r="I402" s="699"/>
      <c r="J402" s="86"/>
    </row>
    <row r="403" spans="1:10" ht="18.75" customHeight="1" x14ac:dyDescent="0.25">
      <c r="A403" s="667"/>
      <c r="B403" s="110"/>
      <c r="C403" s="681" t="s">
        <v>2276</v>
      </c>
      <c r="D403" s="683"/>
      <c r="E403" s="682" t="s">
        <v>2277</v>
      </c>
      <c r="F403" s="682"/>
      <c r="G403" s="682"/>
      <c r="H403" s="682"/>
      <c r="I403" s="683"/>
      <c r="J403" s="86"/>
    </row>
    <row r="404" spans="1:10" ht="18.75" customHeight="1" x14ac:dyDescent="0.25">
      <c r="A404" s="667"/>
      <c r="B404"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404" s="669" t="str">
        <f>IFERROR(IF(INDEX('WPTM - Section F'!G$1:G$100,MATCH($A398,'WPTM - Section F'!$A$1:$A$100,0))&lt;&gt;0,INDEX('WPTM - Section F'!G$1:G$100,MATCH($A398,'WPTM - Section F'!$A$1:$A$100,0)),""),"")</f>
        <v/>
      </c>
      <c r="D404" s="699"/>
      <c r="E404" s="670" t="str">
        <f>IFERROR(IF(INDEX('WPTM - Section F'!H$1:H$100,MATCH($A398,'WPTM - Section F'!$A$1:$A$100,0))&lt;&gt;0,INDEX('WPTM - Section F'!H$1:H$100,MATCH($A398,'WPTM - Section F'!$A$1:$A$100,0)),""),"")</f>
        <v/>
      </c>
      <c r="F404" s="670"/>
      <c r="G404" s="670"/>
      <c r="H404" s="670"/>
      <c r="I404" s="699"/>
      <c r="J404" s="86"/>
    </row>
    <row r="405" spans="1:10" ht="18.75" customHeight="1" x14ac:dyDescent="0.25">
      <c r="A405" s="667"/>
      <c r="B405" s="685"/>
      <c r="C405" s="672"/>
      <c r="D405" s="689"/>
      <c r="E405" s="673"/>
      <c r="F405" s="673"/>
      <c r="G405" s="673"/>
      <c r="H405" s="673"/>
      <c r="I405" s="689"/>
      <c r="J405" s="86"/>
    </row>
    <row r="406" spans="1:10" ht="18.75" customHeight="1" x14ac:dyDescent="0.25">
      <c r="A406" s="667"/>
      <c r="B406" s="685"/>
      <c r="C406" s="672"/>
      <c r="D406" s="689"/>
      <c r="E406" s="673"/>
      <c r="F406" s="673"/>
      <c r="G406" s="673"/>
      <c r="H406" s="673"/>
      <c r="I406" s="689"/>
      <c r="J406" s="86"/>
    </row>
    <row r="407" spans="1:10" ht="18.75" customHeight="1" x14ac:dyDescent="0.25">
      <c r="A407" s="667"/>
      <c r="B407" s="685"/>
      <c r="C407" s="672"/>
      <c r="D407" s="689"/>
      <c r="E407" s="673"/>
      <c r="F407" s="673"/>
      <c r="G407" s="673"/>
      <c r="H407" s="673"/>
      <c r="I407" s="689"/>
      <c r="J407" s="86"/>
    </row>
    <row r="408" spans="1:10" ht="18.75" customHeight="1" x14ac:dyDescent="0.25">
      <c r="A408" s="667"/>
      <c r="B408" s="686"/>
      <c r="C408" s="690"/>
      <c r="D408" s="691"/>
      <c r="E408" s="693"/>
      <c r="F408" s="693"/>
      <c r="G408" s="693"/>
      <c r="H408" s="693"/>
      <c r="I408" s="691"/>
      <c r="J408" s="86"/>
    </row>
    <row r="409" spans="1:10" ht="18.75" customHeight="1" x14ac:dyDescent="0.25">
      <c r="A409" s="667"/>
      <c r="B409"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409" s="687" t="str">
        <f>IFERROR(IF(INDEX('WPTM - Section F'!I$1:I$100,MATCH($A398,'WPTM - Section F'!$A$1:$A$100,0))&lt;&gt;0,INDEX('WPTM - Section F'!I$1:I$100,MATCH($A398,'WPTM - Section F'!$A$1:$A$100,0)),""),"")</f>
        <v/>
      </c>
      <c r="D409" s="688"/>
      <c r="E409" s="692" t="str">
        <f>IFERROR(IF(INDEX('WPTM - Section F'!J$1:J$100,MATCH($A398,'WPTM - Section F'!$A$1:$A$100,0))&lt;&gt;0,INDEX('WPTM - Section F'!J$1:J$100,MATCH($A398,'WPTM - Section F'!$A$1:$A$100,0)),""),"")</f>
        <v/>
      </c>
      <c r="F409" s="692"/>
      <c r="G409" s="692"/>
      <c r="H409" s="692"/>
      <c r="I409" s="688"/>
      <c r="J409" s="86"/>
    </row>
    <row r="410" spans="1:10" ht="18.75" customHeight="1" x14ac:dyDescent="0.25">
      <c r="A410" s="667"/>
      <c r="B410" s="685"/>
      <c r="C410" s="672"/>
      <c r="D410" s="689"/>
      <c r="E410" s="673"/>
      <c r="F410" s="673"/>
      <c r="G410" s="673"/>
      <c r="H410" s="673"/>
      <c r="I410" s="689"/>
      <c r="J410" s="86"/>
    </row>
    <row r="411" spans="1:10" ht="18.75" customHeight="1" x14ac:dyDescent="0.25">
      <c r="A411" s="667"/>
      <c r="B411" s="685"/>
      <c r="C411" s="672"/>
      <c r="D411" s="689"/>
      <c r="E411" s="673"/>
      <c r="F411" s="673"/>
      <c r="G411" s="673"/>
      <c r="H411" s="673"/>
      <c r="I411" s="689"/>
      <c r="J411" s="86"/>
    </row>
    <row r="412" spans="1:10" ht="18.75" customHeight="1" x14ac:dyDescent="0.25">
      <c r="A412" s="667"/>
      <c r="B412" s="685"/>
      <c r="C412" s="672"/>
      <c r="D412" s="689"/>
      <c r="E412" s="673"/>
      <c r="F412" s="673"/>
      <c r="G412" s="673"/>
      <c r="H412" s="673"/>
      <c r="I412" s="689"/>
      <c r="J412" s="86"/>
    </row>
    <row r="413" spans="1:10" ht="18.75" customHeight="1" x14ac:dyDescent="0.25">
      <c r="A413" s="667"/>
      <c r="B413" s="686"/>
      <c r="C413" s="690"/>
      <c r="D413" s="691"/>
      <c r="E413" s="693"/>
      <c r="F413" s="693"/>
      <c r="G413" s="693"/>
      <c r="H413" s="693"/>
      <c r="I413" s="691"/>
      <c r="J413" s="86"/>
    </row>
    <row r="414" spans="1:10" ht="18.75" customHeight="1" x14ac:dyDescent="0.25">
      <c r="A414" s="667"/>
      <c r="B414"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414" s="687" t="str">
        <f>IFERROR(IF(INDEX('WPTM - Section F'!K$1:K$100,MATCH($A398,'WPTM - Section F'!$A$1:$A$100,0))&lt;&gt;0,INDEX('WPTM - Section F'!K$1:K$100,MATCH($A398,'WPTM - Section F'!$A$1:$A$100,0)),""),"")</f>
        <v/>
      </c>
      <c r="D414" s="688"/>
      <c r="E414" s="692" t="str">
        <f>IFERROR(IF(INDEX('WPTM - Section F'!L$1:L$100,MATCH($A398,'WPTM - Section F'!$A$1:$A$100,0))&lt;&gt;0,INDEX('WPTM - Section F'!L$1:L$100,MATCH($A398,'WPTM - Section F'!$A$1:$A$100,0)),""),"")</f>
        <v/>
      </c>
      <c r="F414" s="692"/>
      <c r="G414" s="692"/>
      <c r="H414" s="692"/>
      <c r="I414" s="688"/>
      <c r="J414" s="86"/>
    </row>
    <row r="415" spans="1:10" ht="18.75" customHeight="1" x14ac:dyDescent="0.25">
      <c r="A415" s="667"/>
      <c r="B415" s="685"/>
      <c r="C415" s="672"/>
      <c r="D415" s="689"/>
      <c r="E415" s="673"/>
      <c r="F415" s="673"/>
      <c r="G415" s="673"/>
      <c r="H415" s="673"/>
      <c r="I415" s="689"/>
      <c r="J415" s="86"/>
    </row>
    <row r="416" spans="1:10" ht="18.75" customHeight="1" x14ac:dyDescent="0.25">
      <c r="A416" s="667"/>
      <c r="B416" s="685"/>
      <c r="C416" s="672"/>
      <c r="D416" s="689"/>
      <c r="E416" s="673"/>
      <c r="F416" s="673"/>
      <c r="G416" s="673"/>
      <c r="H416" s="673"/>
      <c r="I416" s="689"/>
      <c r="J416" s="86"/>
    </row>
    <row r="417" spans="1:10" ht="18.75" customHeight="1" x14ac:dyDescent="0.25">
      <c r="A417" s="667"/>
      <c r="B417" s="685"/>
      <c r="C417" s="672"/>
      <c r="D417" s="689"/>
      <c r="E417" s="673"/>
      <c r="F417" s="673"/>
      <c r="G417" s="673"/>
      <c r="H417" s="673"/>
      <c r="I417" s="689"/>
      <c r="J417" s="86"/>
    </row>
    <row r="418" spans="1:10" ht="18.75" customHeight="1" x14ac:dyDescent="0.25">
      <c r="A418" s="667"/>
      <c r="B418" s="686"/>
      <c r="C418" s="690"/>
      <c r="D418" s="691"/>
      <c r="E418" s="693"/>
      <c r="F418" s="693"/>
      <c r="G418" s="693"/>
      <c r="H418" s="693"/>
      <c r="I418" s="691"/>
      <c r="J418" s="86"/>
    </row>
    <row r="419" spans="1:10" ht="18.75" customHeight="1" x14ac:dyDescent="0.25">
      <c r="A419" s="667"/>
      <c r="B419"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419" s="687" t="str">
        <f>IFERROR(IF(INDEX('WPTM - Section F'!M$1:M$100,MATCH($A398,'WPTM - Section F'!$A$1:$A$100,0))&lt;&gt;0,INDEX('WPTM - Section F'!M$1:M$100,MATCH($A398,'WPTM - Section F'!$A$1:$A$100,0)),""),"")</f>
        <v/>
      </c>
      <c r="D419" s="688"/>
      <c r="E419" s="692" t="str">
        <f>IFERROR(IF(INDEX('WPTM - Section F'!N$1:N$100,MATCH($A398,'WPTM - Section F'!$A$1:$A$100,0))&lt;&gt;0,INDEX('WPTM - Section F'!N$1:N$100,MATCH($A398,'WPTM - Section F'!$A$1:$A$100,0)),""),"")</f>
        <v/>
      </c>
      <c r="F419" s="692"/>
      <c r="G419" s="692"/>
      <c r="H419" s="692"/>
      <c r="I419" s="688"/>
      <c r="J419" s="86"/>
    </row>
    <row r="420" spans="1:10" ht="18.75" customHeight="1" x14ac:dyDescent="0.25">
      <c r="A420" s="667"/>
      <c r="B420" s="685"/>
      <c r="C420" s="672"/>
      <c r="D420" s="689"/>
      <c r="E420" s="673"/>
      <c r="F420" s="673"/>
      <c r="G420" s="673"/>
      <c r="H420" s="673"/>
      <c r="I420" s="689"/>
      <c r="J420" s="86"/>
    </row>
    <row r="421" spans="1:10" ht="18.75" customHeight="1" x14ac:dyDescent="0.25">
      <c r="A421" s="667"/>
      <c r="B421" s="685"/>
      <c r="C421" s="672"/>
      <c r="D421" s="689"/>
      <c r="E421" s="673"/>
      <c r="F421" s="673"/>
      <c r="G421" s="673"/>
      <c r="H421" s="673"/>
      <c r="I421" s="689"/>
      <c r="J421" s="86"/>
    </row>
    <row r="422" spans="1:10" ht="18.75" customHeight="1" x14ac:dyDescent="0.25">
      <c r="A422" s="667"/>
      <c r="B422" s="685"/>
      <c r="C422" s="672"/>
      <c r="D422" s="689"/>
      <c r="E422" s="673"/>
      <c r="F422" s="673"/>
      <c r="G422" s="673"/>
      <c r="H422" s="673"/>
      <c r="I422" s="689"/>
      <c r="J422" s="86"/>
    </row>
    <row r="423" spans="1:10" ht="18.75" customHeight="1" x14ac:dyDescent="0.25">
      <c r="A423" s="667"/>
      <c r="B423" s="686"/>
      <c r="C423" s="690"/>
      <c r="D423" s="691"/>
      <c r="E423" s="693"/>
      <c r="F423" s="693"/>
      <c r="G423" s="693"/>
      <c r="H423" s="693"/>
      <c r="I423" s="691"/>
      <c r="J423" s="86"/>
    </row>
    <row r="424" spans="1:10" ht="18.75" customHeight="1" x14ac:dyDescent="0.25">
      <c r="A424" s="667"/>
      <c r="B424"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424" s="687" t="str">
        <f>IFERROR(IF(INDEX('WPTM - Section F'!O$1:O$100,MATCH($A398,'WPTM - Section F'!$A$1:$A$100,0))&lt;&gt;0,INDEX('WPTM - Section F'!O$1:O$100,MATCH($A398,'WPTM - Section F'!$A$1:$A$100,0)),""),"")</f>
        <v/>
      </c>
      <c r="D424" s="688"/>
      <c r="E424" s="692" t="str">
        <f>IFERROR(IF(INDEX('WPTM - Section F'!P$1:P$100,MATCH($A398,'WPTM - Section F'!$A$1:$A$100,0))&lt;&gt;0,INDEX('WPTM - Section F'!P$1:P$100,MATCH($A398,'WPTM - Section F'!$A$1:$A$100,0)),""),"")</f>
        <v/>
      </c>
      <c r="F424" s="692"/>
      <c r="G424" s="692"/>
      <c r="H424" s="692"/>
      <c r="I424" s="688"/>
      <c r="J424" s="86"/>
    </row>
    <row r="425" spans="1:10" ht="18.75" customHeight="1" x14ac:dyDescent="0.25">
      <c r="A425" s="667"/>
      <c r="B425" s="685"/>
      <c r="C425" s="672"/>
      <c r="D425" s="689"/>
      <c r="E425" s="673"/>
      <c r="F425" s="673"/>
      <c r="G425" s="673"/>
      <c r="H425" s="673"/>
      <c r="I425" s="689"/>
      <c r="J425" s="86"/>
    </row>
    <row r="426" spans="1:10" ht="18.75" customHeight="1" x14ac:dyDescent="0.25">
      <c r="A426" s="667"/>
      <c r="B426" s="685"/>
      <c r="C426" s="672"/>
      <c r="D426" s="689"/>
      <c r="E426" s="673"/>
      <c r="F426" s="673"/>
      <c r="G426" s="673"/>
      <c r="H426" s="673"/>
      <c r="I426" s="689"/>
      <c r="J426" s="86"/>
    </row>
    <row r="427" spans="1:10" ht="18.75" customHeight="1" x14ac:dyDescent="0.25">
      <c r="A427" s="667"/>
      <c r="B427" s="685"/>
      <c r="C427" s="672"/>
      <c r="D427" s="689"/>
      <c r="E427" s="673"/>
      <c r="F427" s="673"/>
      <c r="G427" s="673"/>
      <c r="H427" s="673"/>
      <c r="I427" s="689"/>
      <c r="J427" s="86"/>
    </row>
    <row r="428" spans="1:10" ht="18.75" customHeight="1" x14ac:dyDescent="0.25">
      <c r="A428" s="667"/>
      <c r="B428" s="686"/>
      <c r="C428" s="690"/>
      <c r="D428" s="691"/>
      <c r="E428" s="693"/>
      <c r="F428" s="693"/>
      <c r="G428" s="693"/>
      <c r="H428" s="693"/>
      <c r="I428" s="691"/>
      <c r="J428" s="86"/>
    </row>
    <row r="429" spans="1:10" ht="18.75" customHeight="1" x14ac:dyDescent="0.25">
      <c r="A429" s="667"/>
      <c r="B429"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429" s="687" t="str">
        <f>IFERROR(IF(INDEX('WPTM - Section F'!Q$1:Q$100,MATCH($A398,'WPTM - Section F'!$A$1:$A$100,0))&lt;&gt;0,INDEX('WPTM - Section F'!Q$1:Q$100,MATCH($A398,'WPTM - Section F'!$A$1:$A$100,0)),""),"")</f>
        <v/>
      </c>
      <c r="D429" s="688"/>
      <c r="E429" s="692" t="str">
        <f>IFERROR(IF(INDEX('WPTM - Section F'!R$1:R$100,MATCH($A398,'WPTM - Section F'!$A$1:$A$100,0))&lt;&gt;0,INDEX('WPTM - Section F'!R$1:R$100,MATCH($A398,'WPTM - Section F'!$A$1:$A$100,0)),""),"")</f>
        <v/>
      </c>
      <c r="F429" s="692"/>
      <c r="G429" s="692"/>
      <c r="H429" s="692"/>
      <c r="I429" s="688"/>
      <c r="J429" s="86"/>
    </row>
    <row r="430" spans="1:10" ht="18.75" customHeight="1" x14ac:dyDescent="0.25">
      <c r="A430" s="667"/>
      <c r="B430" s="685"/>
      <c r="C430" s="672"/>
      <c r="D430" s="689"/>
      <c r="E430" s="673"/>
      <c r="F430" s="673"/>
      <c r="G430" s="673"/>
      <c r="H430" s="673"/>
      <c r="I430" s="689"/>
      <c r="J430" s="86"/>
    </row>
    <row r="431" spans="1:10" ht="18.75" customHeight="1" x14ac:dyDescent="0.25">
      <c r="A431" s="667"/>
      <c r="B431" s="685"/>
      <c r="C431" s="672"/>
      <c r="D431" s="689"/>
      <c r="E431" s="673"/>
      <c r="F431" s="673"/>
      <c r="G431" s="673"/>
      <c r="H431" s="673"/>
      <c r="I431" s="689"/>
      <c r="J431" s="86"/>
    </row>
    <row r="432" spans="1:10" ht="18.75" customHeight="1" x14ac:dyDescent="0.25">
      <c r="A432" s="667"/>
      <c r="B432" s="685"/>
      <c r="C432" s="672"/>
      <c r="D432" s="689"/>
      <c r="E432" s="673"/>
      <c r="F432" s="673"/>
      <c r="G432" s="673"/>
      <c r="H432" s="673"/>
      <c r="I432" s="689"/>
      <c r="J432" s="86"/>
    </row>
    <row r="433" spans="1:10" ht="18.75" customHeight="1" x14ac:dyDescent="0.25">
      <c r="A433" s="667"/>
      <c r="B433" s="686"/>
      <c r="C433" s="690"/>
      <c r="D433" s="691"/>
      <c r="E433" s="693"/>
      <c r="F433" s="693"/>
      <c r="G433" s="693"/>
      <c r="H433" s="693"/>
      <c r="I433" s="691"/>
      <c r="J433" s="86"/>
    </row>
    <row r="434" spans="1:10" ht="18.75" customHeight="1" x14ac:dyDescent="0.25">
      <c r="A434" s="667"/>
      <c r="B434"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434" s="687" t="str">
        <f>IFERROR(IF(INDEX('WPTM - Section F'!S$1:S$100,MATCH($A398,'WPTM - Section F'!$A$1:$A$100,0))&lt;&gt;0,INDEX('WPTM - Section F'!S$1:S$100,MATCH($A398,'WPTM - Section F'!$A$1:$A$100,0)),""),"")</f>
        <v/>
      </c>
      <c r="D434" s="688"/>
      <c r="E434" s="692" t="str">
        <f>IFERROR(IF(INDEX('WPTM - Section F'!T$1:T$100,MATCH($A398,'WPTM - Section F'!$A$1:$A$100,0))&lt;&gt;0,INDEX('WPTM - Section F'!T$1:T$100,MATCH($A398,'WPTM - Section F'!$A$1:$A$100,0)),""),"")</f>
        <v/>
      </c>
      <c r="F434" s="692"/>
      <c r="G434" s="692"/>
      <c r="H434" s="692"/>
      <c r="I434" s="688"/>
      <c r="J434" s="86"/>
    </row>
    <row r="435" spans="1:10" ht="18.75" customHeight="1" x14ac:dyDescent="0.25">
      <c r="A435" s="667"/>
      <c r="B435" s="685"/>
      <c r="C435" s="672"/>
      <c r="D435" s="689"/>
      <c r="E435" s="673"/>
      <c r="F435" s="673"/>
      <c r="G435" s="673"/>
      <c r="H435" s="673"/>
      <c r="I435" s="689"/>
      <c r="J435" s="86"/>
    </row>
    <row r="436" spans="1:10" ht="18.75" customHeight="1" x14ac:dyDescent="0.25">
      <c r="A436" s="667"/>
      <c r="B436" s="685"/>
      <c r="C436" s="672"/>
      <c r="D436" s="689"/>
      <c r="E436" s="673"/>
      <c r="F436" s="673"/>
      <c r="G436" s="673"/>
      <c r="H436" s="673"/>
      <c r="I436" s="689"/>
      <c r="J436" s="86"/>
    </row>
    <row r="437" spans="1:10" ht="18.75" customHeight="1" x14ac:dyDescent="0.25">
      <c r="A437" s="667"/>
      <c r="B437" s="685"/>
      <c r="C437" s="672"/>
      <c r="D437" s="689"/>
      <c r="E437" s="673"/>
      <c r="F437" s="673"/>
      <c r="G437" s="673"/>
      <c r="H437" s="673"/>
      <c r="I437" s="689"/>
      <c r="J437" s="86"/>
    </row>
    <row r="438" spans="1:10" ht="18.75" customHeight="1" x14ac:dyDescent="0.25">
      <c r="A438" s="667"/>
      <c r="B438" s="686"/>
      <c r="C438" s="690"/>
      <c r="D438" s="691"/>
      <c r="E438" s="693"/>
      <c r="F438" s="693"/>
      <c r="G438" s="693"/>
      <c r="H438" s="693"/>
      <c r="I438" s="691"/>
      <c r="J438" s="86"/>
    </row>
    <row r="439" spans="1:10" ht="18.75" customHeight="1" x14ac:dyDescent="0.25">
      <c r="A439" s="667"/>
      <c r="B439"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439" s="687" t="str">
        <f>IFERROR(IF(INDEX('WPTM - Section F'!U$1:U$100,MATCH($A398,'WPTM - Section F'!$A$1:$A$100,0))&lt;&gt;0,INDEX('WPTM - Section F'!U$1:U$100,MATCH($A398,'WPTM - Section F'!$A$1:$A$100,0)),""),"")</f>
        <v/>
      </c>
      <c r="D439" s="688"/>
      <c r="E439" s="692" t="str">
        <f>IFERROR(IF(INDEX('WPTM - Section F'!V$1:V$100,MATCH($A398,'WPTM - Section F'!$A$1:$A$100,0))&lt;&gt;0,INDEX('WPTM - Section F'!V$1:V$100,MATCH($A398,'WPTM - Section F'!$A$1:$A$100,0)),""),"")</f>
        <v/>
      </c>
      <c r="F439" s="692"/>
      <c r="G439" s="692"/>
      <c r="H439" s="692"/>
      <c r="I439" s="688"/>
      <c r="J439" s="86"/>
    </row>
    <row r="440" spans="1:10" ht="18.75" customHeight="1" x14ac:dyDescent="0.25">
      <c r="A440" s="667"/>
      <c r="B440" s="685"/>
      <c r="C440" s="672"/>
      <c r="D440" s="689"/>
      <c r="E440" s="673"/>
      <c r="F440" s="673"/>
      <c r="G440" s="673"/>
      <c r="H440" s="673"/>
      <c r="I440" s="689"/>
      <c r="J440" s="86"/>
    </row>
    <row r="441" spans="1:10" ht="18.75" customHeight="1" x14ac:dyDescent="0.25">
      <c r="A441" s="667"/>
      <c r="B441" s="685"/>
      <c r="C441" s="672"/>
      <c r="D441" s="689"/>
      <c r="E441" s="673"/>
      <c r="F441" s="673"/>
      <c r="G441" s="673"/>
      <c r="H441" s="673"/>
      <c r="I441" s="689"/>
      <c r="J441" s="86"/>
    </row>
    <row r="442" spans="1:10" ht="18.75" customHeight="1" x14ac:dyDescent="0.25">
      <c r="A442" s="667"/>
      <c r="B442" s="685"/>
      <c r="C442" s="672"/>
      <c r="D442" s="689"/>
      <c r="E442" s="673"/>
      <c r="F442" s="673"/>
      <c r="G442" s="673"/>
      <c r="H442" s="673"/>
      <c r="I442" s="689"/>
      <c r="J442" s="86"/>
    </row>
    <row r="443" spans="1:10" ht="18.75" customHeight="1" x14ac:dyDescent="0.25">
      <c r="A443" s="667"/>
      <c r="B443" s="685"/>
      <c r="C443" s="672"/>
      <c r="D443" s="689"/>
      <c r="E443" s="673"/>
      <c r="F443" s="673"/>
      <c r="G443" s="673"/>
      <c r="H443" s="673"/>
      <c r="I443" s="689"/>
      <c r="J443" s="86"/>
    </row>
    <row r="444" spans="1:10" ht="18.75" customHeight="1" x14ac:dyDescent="0.25">
      <c r="A444" s="681"/>
      <c r="B444" s="682"/>
      <c r="C444" s="682"/>
      <c r="D444" s="682"/>
      <c r="E444" s="682"/>
      <c r="F444" s="682"/>
      <c r="G444" s="682"/>
      <c r="H444" s="682"/>
      <c r="I444" s="683"/>
      <c r="J444" s="86"/>
    </row>
    <row r="446" spans="1:10" ht="18.75" customHeight="1" x14ac:dyDescent="0.25">
      <c r="A446" s="111" t="s">
        <v>4383</v>
      </c>
      <c r="B446" s="111" t="s">
        <v>1046</v>
      </c>
      <c r="C446" s="663" t="str">
        <f>IFERROR(IF(INDEX('WPTM - Section F'!B$1:B$100,MATCH($A447,'WPTM - Section F'!$A$1:$A$100,0))&lt;&gt;0,INDEX('WPTM - Section F'!B$1:B$100,MATCH($A447,'WPTM - Section F'!$A$1:$A$100,0)),""),"")</f>
        <v/>
      </c>
      <c r="D446" s="664"/>
      <c r="E446" s="664"/>
      <c r="F446" s="664"/>
      <c r="G446" s="664"/>
      <c r="H446" s="664"/>
      <c r="I446" s="694"/>
      <c r="J446" s="86"/>
    </row>
    <row r="447" spans="1:10" ht="18.75" customHeight="1" x14ac:dyDescent="0.25">
      <c r="A447" s="666">
        <v>10</v>
      </c>
      <c r="B447" s="109" t="s">
        <v>258</v>
      </c>
      <c r="C447" s="663" t="str">
        <f>IFERROR(IF(INDEX('WPTM - Section F'!C$1:C$100,MATCH($A447,'WPTM - Section F'!$A$1:$A$100,0))&lt;&gt;0,INDEX('WPTM - Section F'!C$1:C$100,MATCH($A447,'WPTM - Section F'!$A$1:$A$100,0)),""),"")</f>
        <v/>
      </c>
      <c r="D447" s="664"/>
      <c r="E447" s="664"/>
      <c r="F447" s="664"/>
      <c r="G447" s="664"/>
      <c r="H447" s="664"/>
      <c r="I447" s="694"/>
      <c r="J447" s="86"/>
    </row>
    <row r="448" spans="1:10" ht="18.75" customHeight="1" x14ac:dyDescent="0.25">
      <c r="A448" s="667"/>
      <c r="B448" s="660" t="s">
        <v>2275</v>
      </c>
      <c r="C448" s="661"/>
      <c r="D448" s="661"/>
      <c r="E448" s="661"/>
      <c r="F448" s="695" t="s">
        <v>127</v>
      </c>
      <c r="G448" s="661"/>
      <c r="H448" s="661"/>
      <c r="I448" s="696"/>
      <c r="J448" s="86"/>
    </row>
    <row r="449" spans="1:10" ht="18.75" customHeight="1" x14ac:dyDescent="0.25">
      <c r="A449" s="667"/>
      <c r="B449" s="669" t="str">
        <f>IFERROR(IF(INDEX('WPTM - Section F'!D$1:D$100,MATCH($A447,'WPTM - Section F'!$A$1:$A$100,0))&lt;&gt;0,INDEX('WPTM - Section F'!D$1:D$100,MATCH($A447,'WPTM - Section F'!$A$1:$A$100,0)),""),"")</f>
        <v/>
      </c>
      <c r="C449" s="670"/>
      <c r="D449" s="670"/>
      <c r="E449" s="670"/>
      <c r="F449" s="697" t="str">
        <f>IFERROR(IF(INDEX('WPTM - Section F'!F$1:F$100,MATCH($A447,'WPTM - Section F'!$A$1:$A$100,0))&lt;&gt;0,INDEX('WPTM - Section F'!F$1:F$100,MATCH($A447,'WPTM - Section F'!$A$1:$A$100,0)),""),"")</f>
        <v/>
      </c>
      <c r="G449" s="664"/>
      <c r="H449" s="664"/>
      <c r="I449" s="694"/>
      <c r="J449" s="86"/>
    </row>
    <row r="450" spans="1:10" ht="18.75" customHeight="1" x14ac:dyDescent="0.25">
      <c r="A450" s="667"/>
      <c r="B450" s="672"/>
      <c r="C450" s="673"/>
      <c r="D450" s="673"/>
      <c r="E450" s="673"/>
      <c r="F450" s="695" t="s">
        <v>120</v>
      </c>
      <c r="G450" s="661"/>
      <c r="H450" s="661"/>
      <c r="I450" s="696"/>
      <c r="J450" s="86"/>
    </row>
    <row r="451" spans="1:10" ht="18.75" customHeight="1" x14ac:dyDescent="0.25">
      <c r="A451" s="667"/>
      <c r="B451" s="672"/>
      <c r="C451" s="673"/>
      <c r="D451" s="673"/>
      <c r="E451" s="673"/>
      <c r="F451" s="698" t="str">
        <f>IFERROR(IF(INDEX('WPTM - Section F'!E$1:E$100,MATCH($A447,'WPTM - Section F'!$A$1:$A$100,0))&lt;&gt;0,INDEX('WPTM - Section F'!E$1:E$100,MATCH($A447,'WPTM - Section F'!$A$1:$A$100,0)),""),"")</f>
        <v/>
      </c>
      <c r="G451" s="670"/>
      <c r="H451" s="670"/>
      <c r="I451" s="699"/>
      <c r="J451" s="86"/>
    </row>
    <row r="452" spans="1:10" ht="18.75" customHeight="1" x14ac:dyDescent="0.25">
      <c r="A452" s="667"/>
      <c r="B452" s="110"/>
      <c r="C452" s="681" t="s">
        <v>2276</v>
      </c>
      <c r="D452" s="683"/>
      <c r="E452" s="682" t="s">
        <v>2277</v>
      </c>
      <c r="F452" s="682"/>
      <c r="G452" s="682"/>
      <c r="H452" s="682"/>
      <c r="I452" s="683"/>
      <c r="J452" s="86"/>
    </row>
    <row r="453" spans="1:10" ht="18.75" customHeight="1" x14ac:dyDescent="0.25">
      <c r="A453" s="667"/>
      <c r="B453" s="700" t="str">
        <f ca="1">IFERROR(IF(YEAR(INDEX('Overview - Section A'!$A$47:$A$54,MATCH('Print - Summary'!$H$10,'Overview - Section A'!$B$47:$B$54,0)))&lt;=YEAR('Overview - Section A'!$E$8),TEXT(IFERROR(INDEX('Overview - Section A'!$A$47:$A$54,MATCH('Print - Summary'!$H$10,'Overview - Section A'!$B$47:$B$54,0)),""),Setup!$A$33) &amp;" to " &amp; TEXT(IFERROR(INDEX('Overview - Section A'!$E$47:$E$54,MATCH('Print - Summary'!$H$10,'Overview - Section A'!$B$47:$B$54,0)),""),Setup!$A$33),""),"")</f>
        <v>d-mmm-yy to d-mmm-yy</v>
      </c>
      <c r="C453" s="669" t="str">
        <f>IFERROR(IF(INDEX('WPTM - Section F'!G$1:G$100,MATCH($A447,'WPTM - Section F'!$A$1:$A$100,0))&lt;&gt;0,INDEX('WPTM - Section F'!G$1:G$100,MATCH($A447,'WPTM - Section F'!$A$1:$A$100,0)),""),"")</f>
        <v/>
      </c>
      <c r="D453" s="699"/>
      <c r="E453" s="670" t="str">
        <f>IFERROR(IF(INDEX('WPTM - Section F'!H$1:H$100,MATCH($A447,'WPTM - Section F'!$A$1:$A$100,0))&lt;&gt;0,INDEX('WPTM - Section F'!H$1:H$100,MATCH($A447,'WPTM - Section F'!$A$1:$A$100,0)),""),"")</f>
        <v/>
      </c>
      <c r="F453" s="670"/>
      <c r="G453" s="670"/>
      <c r="H453" s="670"/>
      <c r="I453" s="699"/>
      <c r="J453" s="86"/>
    </row>
    <row r="454" spans="1:10" ht="18.75" customHeight="1" x14ac:dyDescent="0.25">
      <c r="A454" s="667"/>
      <c r="B454" s="685"/>
      <c r="C454" s="672"/>
      <c r="D454" s="689"/>
      <c r="E454" s="673"/>
      <c r="F454" s="673"/>
      <c r="G454" s="673"/>
      <c r="H454" s="673"/>
      <c r="I454" s="689"/>
      <c r="J454" s="86"/>
    </row>
    <row r="455" spans="1:10" ht="18.75" customHeight="1" x14ac:dyDescent="0.25">
      <c r="A455" s="667"/>
      <c r="B455" s="685"/>
      <c r="C455" s="672"/>
      <c r="D455" s="689"/>
      <c r="E455" s="673"/>
      <c r="F455" s="673"/>
      <c r="G455" s="673"/>
      <c r="H455" s="673"/>
      <c r="I455" s="689"/>
      <c r="J455" s="86"/>
    </row>
    <row r="456" spans="1:10" ht="18.75" customHeight="1" x14ac:dyDescent="0.25">
      <c r="A456" s="667"/>
      <c r="B456" s="685"/>
      <c r="C456" s="672"/>
      <c r="D456" s="689"/>
      <c r="E456" s="673"/>
      <c r="F456" s="673"/>
      <c r="G456" s="673"/>
      <c r="H456" s="673"/>
      <c r="I456" s="689"/>
      <c r="J456" s="86"/>
    </row>
    <row r="457" spans="1:10" ht="18.75" customHeight="1" x14ac:dyDescent="0.25">
      <c r="A457" s="667"/>
      <c r="B457" s="686"/>
      <c r="C457" s="690"/>
      <c r="D457" s="691"/>
      <c r="E457" s="693"/>
      <c r="F457" s="693"/>
      <c r="G457" s="693"/>
      <c r="H457" s="693"/>
      <c r="I457" s="691"/>
      <c r="J457" s="86"/>
    </row>
    <row r="458" spans="1:10" ht="18.75" customHeight="1" x14ac:dyDescent="0.25">
      <c r="A458" s="667"/>
      <c r="B458" s="684" t="str">
        <f ca="1">IFERROR(IF(YEAR(INDEX('Overview - Section A'!$A$47:$A$54,MATCH('Print - Summary'!$H$11,'Overview - Section A'!$B$47:$B$54,0)))&lt;=YEAR('Overview - Section A'!$E$8),TEXT(IFERROR(INDEX('Overview - Section A'!$A$47:$A$54,MATCH('Print - Summary'!$H$11,'Overview - Section A'!$B$47:$B$54,0)),""),Setup!$A$33) &amp;" to " &amp; TEXT(IFERROR(INDEX('Overview - Section A'!$E$47:$E$54,MATCH('Print - Summary'!$H$11,'Overview - Section A'!$B$47:$B$54,0)),""),Setup!$A$33),""),"")</f>
        <v>d-mmm-yy to d-mmm-yy</v>
      </c>
      <c r="C458" s="687" t="str">
        <f>IFERROR(IF(INDEX('WPTM - Section F'!I$1:I$100,MATCH($A447,'WPTM - Section F'!$A$1:$A$100,0))&lt;&gt;0,INDEX('WPTM - Section F'!I$1:I$100,MATCH($A447,'WPTM - Section F'!$A$1:$A$100,0)),""),"")</f>
        <v/>
      </c>
      <c r="D458" s="688"/>
      <c r="E458" s="692" t="str">
        <f>IFERROR(IF(INDEX('WPTM - Section F'!J$1:J$100,MATCH($A447,'WPTM - Section F'!$A$1:$A$100,0))&lt;&gt;0,INDEX('WPTM - Section F'!J$1:J$100,MATCH($A447,'WPTM - Section F'!$A$1:$A$100,0)),""),"")</f>
        <v/>
      </c>
      <c r="F458" s="692"/>
      <c r="G458" s="692"/>
      <c r="H458" s="692"/>
      <c r="I458" s="688"/>
      <c r="J458" s="86"/>
    </row>
    <row r="459" spans="1:10" ht="18.75" customHeight="1" x14ac:dyDescent="0.25">
      <c r="A459" s="667"/>
      <c r="B459" s="685"/>
      <c r="C459" s="672"/>
      <c r="D459" s="689"/>
      <c r="E459" s="673"/>
      <c r="F459" s="673"/>
      <c r="G459" s="673"/>
      <c r="H459" s="673"/>
      <c r="I459" s="689"/>
      <c r="J459" s="86"/>
    </row>
    <row r="460" spans="1:10" ht="18.75" customHeight="1" x14ac:dyDescent="0.25">
      <c r="A460" s="667"/>
      <c r="B460" s="685"/>
      <c r="C460" s="672"/>
      <c r="D460" s="689"/>
      <c r="E460" s="673"/>
      <c r="F460" s="673"/>
      <c r="G460" s="673"/>
      <c r="H460" s="673"/>
      <c r="I460" s="689"/>
      <c r="J460" s="86"/>
    </row>
    <row r="461" spans="1:10" ht="18.75" customHeight="1" x14ac:dyDescent="0.25">
      <c r="A461" s="667"/>
      <c r="B461" s="685"/>
      <c r="C461" s="672"/>
      <c r="D461" s="689"/>
      <c r="E461" s="673"/>
      <c r="F461" s="673"/>
      <c r="G461" s="673"/>
      <c r="H461" s="673"/>
      <c r="I461" s="689"/>
      <c r="J461" s="86"/>
    </row>
    <row r="462" spans="1:10" ht="18.75" customHeight="1" x14ac:dyDescent="0.25">
      <c r="A462" s="667"/>
      <c r="B462" s="686"/>
      <c r="C462" s="690"/>
      <c r="D462" s="691"/>
      <c r="E462" s="693"/>
      <c r="F462" s="693"/>
      <c r="G462" s="693"/>
      <c r="H462" s="693"/>
      <c r="I462" s="691"/>
      <c r="J462" s="86"/>
    </row>
    <row r="463" spans="1:10" ht="18.75" customHeight="1" x14ac:dyDescent="0.25">
      <c r="A463" s="667"/>
      <c r="B463" s="684" t="str">
        <f ca="1">IFERROR(IF(YEAR(INDEX('Overview - Section A'!$A$47:$A$54,MATCH('Print - Summary'!$H$12,'Overview - Section A'!$B$47:$B$54,0)))&lt;=YEAR('Overview - Section A'!$E$8),TEXT(IFERROR(INDEX('Overview - Section A'!$A$47:$A$54,MATCH('Print - Summary'!$H$12,'Overview - Section A'!$B$47:$B$54,0)),""),Setup!$A$33) &amp;" to " &amp; TEXT(IFERROR(INDEX('Overview - Section A'!$E$47:$E$54,MATCH('Print - Summary'!$H$12,'Overview - Section A'!$B$47:$B$54,0)),""),Setup!$A$33),""),"")</f>
        <v>d-mmm-yy to d-mmm-yy</v>
      </c>
      <c r="C463" s="687" t="str">
        <f>IFERROR(IF(INDEX('WPTM - Section F'!K$1:K$100,MATCH($A447,'WPTM - Section F'!$A$1:$A$100,0))&lt;&gt;0,INDEX('WPTM - Section F'!K$1:K$100,MATCH($A447,'WPTM - Section F'!$A$1:$A$100,0)),""),"")</f>
        <v/>
      </c>
      <c r="D463" s="688"/>
      <c r="E463" s="692" t="str">
        <f>IFERROR(IF(INDEX('WPTM - Section F'!L$1:L$100,MATCH($A447,'WPTM - Section F'!$A$1:$A$100,0))&lt;&gt;0,INDEX('WPTM - Section F'!L$1:L$100,MATCH($A447,'WPTM - Section F'!$A$1:$A$100,0)),""),"")</f>
        <v/>
      </c>
      <c r="F463" s="692"/>
      <c r="G463" s="692"/>
      <c r="H463" s="692"/>
      <c r="I463" s="688"/>
      <c r="J463" s="86"/>
    </row>
    <row r="464" spans="1:10" ht="18.75" customHeight="1" x14ac:dyDescent="0.25">
      <c r="A464" s="667"/>
      <c r="B464" s="685"/>
      <c r="C464" s="672"/>
      <c r="D464" s="689"/>
      <c r="E464" s="673"/>
      <c r="F464" s="673"/>
      <c r="G464" s="673"/>
      <c r="H464" s="673"/>
      <c r="I464" s="689"/>
      <c r="J464" s="86"/>
    </row>
    <row r="465" spans="1:10" ht="18.75" customHeight="1" x14ac:dyDescent="0.25">
      <c r="A465" s="667"/>
      <c r="B465" s="685"/>
      <c r="C465" s="672"/>
      <c r="D465" s="689"/>
      <c r="E465" s="673"/>
      <c r="F465" s="673"/>
      <c r="G465" s="673"/>
      <c r="H465" s="673"/>
      <c r="I465" s="689"/>
      <c r="J465" s="86"/>
    </row>
    <row r="466" spans="1:10" ht="18.75" customHeight="1" x14ac:dyDescent="0.25">
      <c r="A466" s="667"/>
      <c r="B466" s="685"/>
      <c r="C466" s="672"/>
      <c r="D466" s="689"/>
      <c r="E466" s="673"/>
      <c r="F466" s="673"/>
      <c r="G466" s="673"/>
      <c r="H466" s="673"/>
      <c r="I466" s="689"/>
      <c r="J466" s="86"/>
    </row>
    <row r="467" spans="1:10" ht="18.75" customHeight="1" x14ac:dyDescent="0.25">
      <c r="A467" s="667"/>
      <c r="B467" s="686"/>
      <c r="C467" s="690"/>
      <c r="D467" s="691"/>
      <c r="E467" s="693"/>
      <c r="F467" s="693"/>
      <c r="G467" s="693"/>
      <c r="H467" s="693"/>
      <c r="I467" s="691"/>
      <c r="J467" s="86"/>
    </row>
    <row r="468" spans="1:10" ht="18.75" customHeight="1" x14ac:dyDescent="0.25">
      <c r="A468" s="667"/>
      <c r="B468" s="684" t="str">
        <f ca="1">IFERROR(IF(YEAR(INDEX('Overview - Section A'!$A$47:$A$54,MATCH('Print - Summary'!$H$13,'Overview - Section A'!$B$47:$B$54,0)))&lt;=YEAR('Overview - Section A'!$E$8),TEXT(IFERROR(INDEX('Overview - Section A'!$A$47:$A$54,MATCH('Print - Summary'!$H$13,'Overview - Section A'!$B$47:$B$54,0)),""),Setup!$A$33) &amp;" to " &amp; TEXT(IFERROR(INDEX('Overview - Section A'!$E$47:$E$54,MATCH('Print - Summary'!$H$13,'Overview - Section A'!$B$47:$B$54,0)),""),Setup!$A$33),""),"")</f>
        <v/>
      </c>
      <c r="C468" s="687" t="str">
        <f>IFERROR(IF(INDEX('WPTM - Section F'!M$1:M$100,MATCH($A447,'WPTM - Section F'!$A$1:$A$100,0))&lt;&gt;0,INDEX('WPTM - Section F'!M$1:M$100,MATCH($A447,'WPTM - Section F'!$A$1:$A$100,0)),""),"")</f>
        <v/>
      </c>
      <c r="D468" s="688"/>
      <c r="E468" s="692" t="str">
        <f>IFERROR(IF(INDEX('WPTM - Section F'!N$1:N$100,MATCH($A447,'WPTM - Section F'!$A$1:$A$100,0))&lt;&gt;0,INDEX('WPTM - Section F'!N$1:N$100,MATCH($A447,'WPTM - Section F'!$A$1:$A$100,0)),""),"")</f>
        <v/>
      </c>
      <c r="F468" s="692"/>
      <c r="G468" s="692"/>
      <c r="H468" s="692"/>
      <c r="I468" s="688"/>
      <c r="J468" s="86"/>
    </row>
    <row r="469" spans="1:10" ht="18.75" customHeight="1" x14ac:dyDescent="0.25">
      <c r="A469" s="667"/>
      <c r="B469" s="685"/>
      <c r="C469" s="672"/>
      <c r="D469" s="689"/>
      <c r="E469" s="673"/>
      <c r="F469" s="673"/>
      <c r="G469" s="673"/>
      <c r="H469" s="673"/>
      <c r="I469" s="689"/>
      <c r="J469" s="86"/>
    </row>
    <row r="470" spans="1:10" ht="18.75" customHeight="1" x14ac:dyDescent="0.25">
      <c r="A470" s="667"/>
      <c r="B470" s="685"/>
      <c r="C470" s="672"/>
      <c r="D470" s="689"/>
      <c r="E470" s="673"/>
      <c r="F470" s="673"/>
      <c r="G470" s="673"/>
      <c r="H470" s="673"/>
      <c r="I470" s="689"/>
      <c r="J470" s="86"/>
    </row>
    <row r="471" spans="1:10" ht="18.75" customHeight="1" x14ac:dyDescent="0.25">
      <c r="A471" s="667"/>
      <c r="B471" s="685"/>
      <c r="C471" s="672"/>
      <c r="D471" s="689"/>
      <c r="E471" s="673"/>
      <c r="F471" s="673"/>
      <c r="G471" s="673"/>
      <c r="H471" s="673"/>
      <c r="I471" s="689"/>
      <c r="J471" s="86"/>
    </row>
    <row r="472" spans="1:10" ht="18.75" customHeight="1" x14ac:dyDescent="0.25">
      <c r="A472" s="667"/>
      <c r="B472" s="686"/>
      <c r="C472" s="690"/>
      <c r="D472" s="691"/>
      <c r="E472" s="693"/>
      <c r="F472" s="693"/>
      <c r="G472" s="693"/>
      <c r="H472" s="693"/>
      <c r="I472" s="691"/>
      <c r="J472" s="86"/>
    </row>
    <row r="473" spans="1:10" ht="18.75" customHeight="1" x14ac:dyDescent="0.25">
      <c r="A473" s="667"/>
      <c r="B473" s="684" t="str">
        <f ca="1">IFERROR(IF(YEAR(INDEX('Overview - Section A'!$A$47:$A$54,MATCH('Print - Summary'!$H$14,'Overview - Section A'!$B$47:$B$54,0)))&lt;=YEAR('Overview - Section A'!$E$8),TEXT(IFERROR(INDEX('Overview - Section A'!$A$47:$A$54,MATCH('Print - Summary'!$H$14,'Overview - Section A'!$B$47:$B$54,0)),""),Setup!$A$33) &amp;" to " &amp; TEXT(IFERROR(INDEX('Overview - Section A'!$E$47:$E$54,MATCH('Print - Summary'!$H$14,'Overview - Section A'!$B$47:$B$54,0)),""),Setup!$A$33),""),"")</f>
        <v/>
      </c>
      <c r="C473" s="687" t="str">
        <f>IFERROR(IF(INDEX('WPTM - Section F'!O$1:O$100,MATCH($A447,'WPTM - Section F'!$A$1:$A$100,0))&lt;&gt;0,INDEX('WPTM - Section F'!O$1:O$100,MATCH($A447,'WPTM - Section F'!$A$1:$A$100,0)),""),"")</f>
        <v/>
      </c>
      <c r="D473" s="688"/>
      <c r="E473" s="692" t="str">
        <f>IFERROR(IF(INDEX('WPTM - Section F'!P$1:P$100,MATCH($A447,'WPTM - Section F'!$A$1:$A$100,0))&lt;&gt;0,INDEX('WPTM - Section F'!P$1:P$100,MATCH($A447,'WPTM - Section F'!$A$1:$A$100,0)),""),"")</f>
        <v/>
      </c>
      <c r="F473" s="692"/>
      <c r="G473" s="692"/>
      <c r="H473" s="692"/>
      <c r="I473" s="688"/>
      <c r="J473" s="86"/>
    </row>
    <row r="474" spans="1:10" ht="18.75" customHeight="1" x14ac:dyDescent="0.25">
      <c r="A474" s="667"/>
      <c r="B474" s="685"/>
      <c r="C474" s="672"/>
      <c r="D474" s="689"/>
      <c r="E474" s="673"/>
      <c r="F474" s="673"/>
      <c r="G474" s="673"/>
      <c r="H474" s="673"/>
      <c r="I474" s="689"/>
      <c r="J474" s="86"/>
    </row>
    <row r="475" spans="1:10" ht="18.75" customHeight="1" x14ac:dyDescent="0.25">
      <c r="A475" s="667"/>
      <c r="B475" s="685"/>
      <c r="C475" s="672"/>
      <c r="D475" s="689"/>
      <c r="E475" s="673"/>
      <c r="F475" s="673"/>
      <c r="G475" s="673"/>
      <c r="H475" s="673"/>
      <c r="I475" s="689"/>
      <c r="J475" s="86"/>
    </row>
    <row r="476" spans="1:10" ht="18.75" customHeight="1" x14ac:dyDescent="0.25">
      <c r="A476" s="667"/>
      <c r="B476" s="685"/>
      <c r="C476" s="672"/>
      <c r="D476" s="689"/>
      <c r="E476" s="673"/>
      <c r="F476" s="673"/>
      <c r="G476" s="673"/>
      <c r="H476" s="673"/>
      <c r="I476" s="689"/>
      <c r="J476" s="86"/>
    </row>
    <row r="477" spans="1:10" ht="18.75" customHeight="1" x14ac:dyDescent="0.25">
      <c r="A477" s="667"/>
      <c r="B477" s="686"/>
      <c r="C477" s="690"/>
      <c r="D477" s="691"/>
      <c r="E477" s="693"/>
      <c r="F477" s="693"/>
      <c r="G477" s="693"/>
      <c r="H477" s="693"/>
      <c r="I477" s="691"/>
      <c r="J477" s="86"/>
    </row>
    <row r="478" spans="1:10" ht="18.75" customHeight="1" x14ac:dyDescent="0.25">
      <c r="A478" s="667"/>
      <c r="B478" s="684" t="str">
        <f ca="1">IFERROR(IF(YEAR(INDEX('Overview - Section A'!$A$47:$A$54,MATCH('Print - Summary'!$H$15,'Overview - Section A'!$B$47:$B$54,0)))&lt;=YEAR('Overview - Section A'!$E$8),TEXT(IFERROR(INDEX('Overview - Section A'!$A$47:$A$54,MATCH('Print - Summary'!$H$15,'Overview - Section A'!$B$47:$B$54,0)),""),Setup!$A$33) &amp;" to " &amp; TEXT(IFERROR(INDEX('Overview - Section A'!$E$47:$E$54,MATCH('Print - Summary'!$H$15,'Overview - Section A'!$B$47:$B$54,0)),""),Setup!$A$33),""),"")</f>
        <v/>
      </c>
      <c r="C478" s="687" t="str">
        <f>IFERROR(IF(INDEX('WPTM - Section F'!Q$1:Q$100,MATCH($A447,'WPTM - Section F'!$A$1:$A$100,0))&lt;&gt;0,INDEX('WPTM - Section F'!Q$1:Q$100,MATCH($A447,'WPTM - Section F'!$A$1:$A$100,0)),""),"")</f>
        <v/>
      </c>
      <c r="D478" s="688"/>
      <c r="E478" s="692" t="str">
        <f>IFERROR(IF(INDEX('WPTM - Section F'!R$1:R$100,MATCH($A447,'WPTM - Section F'!$A$1:$A$100,0))&lt;&gt;0,INDEX('WPTM - Section F'!R$1:R$100,MATCH($A447,'WPTM - Section F'!$A$1:$A$100,0)),""),"")</f>
        <v/>
      </c>
      <c r="F478" s="692"/>
      <c r="G478" s="692"/>
      <c r="H478" s="692"/>
      <c r="I478" s="688"/>
      <c r="J478" s="86"/>
    </row>
    <row r="479" spans="1:10" ht="18.75" customHeight="1" x14ac:dyDescent="0.25">
      <c r="A479" s="667"/>
      <c r="B479" s="685"/>
      <c r="C479" s="672"/>
      <c r="D479" s="689"/>
      <c r="E479" s="673"/>
      <c r="F479" s="673"/>
      <c r="G479" s="673"/>
      <c r="H479" s="673"/>
      <c r="I479" s="689"/>
      <c r="J479" s="86"/>
    </row>
    <row r="480" spans="1:10" ht="18.75" customHeight="1" x14ac:dyDescent="0.25">
      <c r="A480" s="667"/>
      <c r="B480" s="685"/>
      <c r="C480" s="672"/>
      <c r="D480" s="689"/>
      <c r="E480" s="673"/>
      <c r="F480" s="673"/>
      <c r="G480" s="673"/>
      <c r="H480" s="673"/>
      <c r="I480" s="689"/>
      <c r="J480" s="86"/>
    </row>
    <row r="481" spans="1:10" ht="18.75" customHeight="1" x14ac:dyDescent="0.25">
      <c r="A481" s="667"/>
      <c r="B481" s="685"/>
      <c r="C481" s="672"/>
      <c r="D481" s="689"/>
      <c r="E481" s="673"/>
      <c r="F481" s="673"/>
      <c r="G481" s="673"/>
      <c r="H481" s="673"/>
      <c r="I481" s="689"/>
      <c r="J481" s="86"/>
    </row>
    <row r="482" spans="1:10" ht="18.75" customHeight="1" x14ac:dyDescent="0.25">
      <c r="A482" s="667"/>
      <c r="B482" s="686"/>
      <c r="C482" s="690"/>
      <c r="D482" s="691"/>
      <c r="E482" s="693"/>
      <c r="F482" s="693"/>
      <c r="G482" s="693"/>
      <c r="H482" s="693"/>
      <c r="I482" s="691"/>
      <c r="J482" s="86"/>
    </row>
    <row r="483" spans="1:10" ht="18.75" customHeight="1" x14ac:dyDescent="0.25">
      <c r="A483" s="667"/>
      <c r="B483" s="684" t="str">
        <f>IFERROR(IF(YEAR(INDEX('Overview - Section A'!$A$47:$A$54,MATCH('Print - Summary'!$H$16,'Overview - Section A'!$B$47:$B$54,0)))&lt;=YEAR('Overview - Section A'!$E$8),TEXT(IFERROR(INDEX('Overview - Section A'!$A$47:$A$54,MATCH('Print - Summary'!$H$16,'Overview - Section A'!$B$47:$B$54,0)),""),Setup!$A$33) &amp;" to " &amp; TEXT(IFERROR(INDEX('Overview - Section A'!$E$47:$E$54,MATCH('Print - Summary'!$H$16,'Overview - Section A'!$B$47:$B$54,0)),""),Setup!$A$33),""),"")</f>
        <v/>
      </c>
      <c r="C483" s="687" t="str">
        <f>IFERROR(IF(INDEX('WPTM - Section F'!S$1:S$100,MATCH($A447,'WPTM - Section F'!$A$1:$A$100,0))&lt;&gt;0,INDEX('WPTM - Section F'!S$1:S$100,MATCH($A447,'WPTM - Section F'!$A$1:$A$100,0)),""),"")</f>
        <v/>
      </c>
      <c r="D483" s="688"/>
      <c r="E483" s="692" t="str">
        <f>IFERROR(IF(INDEX('WPTM - Section F'!T$1:T$100,MATCH($A447,'WPTM - Section F'!$A$1:$A$100,0))&lt;&gt;0,INDEX('WPTM - Section F'!T$1:T$100,MATCH($A447,'WPTM - Section F'!$A$1:$A$100,0)),""),"")</f>
        <v/>
      </c>
      <c r="F483" s="692"/>
      <c r="G483" s="692"/>
      <c r="H483" s="692"/>
      <c r="I483" s="688"/>
      <c r="J483" s="86"/>
    </row>
    <row r="484" spans="1:10" ht="18.75" customHeight="1" x14ac:dyDescent="0.25">
      <c r="A484" s="667"/>
      <c r="B484" s="685"/>
      <c r="C484" s="672"/>
      <c r="D484" s="689"/>
      <c r="E484" s="673"/>
      <c r="F484" s="673"/>
      <c r="G484" s="673"/>
      <c r="H484" s="673"/>
      <c r="I484" s="689"/>
      <c r="J484" s="86"/>
    </row>
    <row r="485" spans="1:10" ht="18.75" customHeight="1" x14ac:dyDescent="0.25">
      <c r="A485" s="667"/>
      <c r="B485" s="685"/>
      <c r="C485" s="672"/>
      <c r="D485" s="689"/>
      <c r="E485" s="673"/>
      <c r="F485" s="673"/>
      <c r="G485" s="673"/>
      <c r="H485" s="673"/>
      <c r="I485" s="689"/>
      <c r="J485" s="86"/>
    </row>
    <row r="486" spans="1:10" ht="18.75" customHeight="1" x14ac:dyDescent="0.25">
      <c r="A486" s="667"/>
      <c r="B486" s="685"/>
      <c r="C486" s="672"/>
      <c r="D486" s="689"/>
      <c r="E486" s="673"/>
      <c r="F486" s="673"/>
      <c r="G486" s="673"/>
      <c r="H486" s="673"/>
      <c r="I486" s="689"/>
      <c r="J486" s="86"/>
    </row>
    <row r="487" spans="1:10" ht="18.75" customHeight="1" x14ac:dyDescent="0.25">
      <c r="A487" s="667"/>
      <c r="B487" s="686"/>
      <c r="C487" s="690"/>
      <c r="D487" s="691"/>
      <c r="E487" s="693"/>
      <c r="F487" s="693"/>
      <c r="G487" s="693"/>
      <c r="H487" s="693"/>
      <c r="I487" s="691"/>
      <c r="J487" s="86"/>
    </row>
    <row r="488" spans="1:10" ht="18.75" customHeight="1" x14ac:dyDescent="0.25">
      <c r="A488" s="667"/>
      <c r="B488" s="684" t="str">
        <f>IFERROR(IF(YEAR(INDEX('Overview - Section A'!$A$47:$A$54,MATCH('Print - Summary'!$H$17,'Overview - Section A'!$B$47:$B$54,0)))&lt;=YEAR('Overview - Section A'!$E$8),TEXT(IFERROR(INDEX('Overview - Section A'!$A$47:$A$54,MATCH('Print - Summary'!$H$17,'Overview - Section A'!$B$47:$B$54,0)),""),Setup!$A$33) &amp;" to " &amp; TEXT(IFERROR(INDEX('Overview - Section A'!$E$47:$E$54,MATCH('Print - Summary'!$H$17,'Overview - Section A'!$B$47:$B$54,0)),""),Setup!$A$33),""),"")</f>
        <v/>
      </c>
      <c r="C488" s="687" t="str">
        <f>IFERROR(IF(INDEX('WPTM - Section F'!U$1:U$100,MATCH($A447,'WPTM - Section F'!$A$1:$A$100,0))&lt;&gt;0,INDEX('WPTM - Section F'!U$1:U$100,MATCH($A447,'WPTM - Section F'!$A$1:$A$100,0)),""),"")</f>
        <v/>
      </c>
      <c r="D488" s="688"/>
      <c r="E488" s="692" t="str">
        <f>IFERROR(IF(INDEX('WPTM - Section F'!V$1:V$100,MATCH($A447,'WPTM - Section F'!$A$1:$A$100,0))&lt;&gt;0,INDEX('WPTM - Section F'!V$1:V$100,MATCH($A447,'WPTM - Section F'!$A$1:$A$100,0)),""),"")</f>
        <v/>
      </c>
      <c r="F488" s="692"/>
      <c r="G488" s="692"/>
      <c r="H488" s="692"/>
      <c r="I488" s="688"/>
      <c r="J488" s="86"/>
    </row>
    <row r="489" spans="1:10" ht="18.75" customHeight="1" x14ac:dyDescent="0.25">
      <c r="A489" s="667"/>
      <c r="B489" s="685"/>
      <c r="C489" s="672"/>
      <c r="D489" s="689"/>
      <c r="E489" s="673"/>
      <c r="F489" s="673"/>
      <c r="G489" s="673"/>
      <c r="H489" s="673"/>
      <c r="I489" s="689"/>
      <c r="J489" s="86"/>
    </row>
    <row r="490" spans="1:10" ht="18.75" customHeight="1" x14ac:dyDescent="0.25">
      <c r="A490" s="667"/>
      <c r="B490" s="685"/>
      <c r="C490" s="672"/>
      <c r="D490" s="689"/>
      <c r="E490" s="673"/>
      <c r="F490" s="673"/>
      <c r="G490" s="673"/>
      <c r="H490" s="673"/>
      <c r="I490" s="689"/>
      <c r="J490" s="86"/>
    </row>
    <row r="491" spans="1:10" ht="18.75" customHeight="1" x14ac:dyDescent="0.25">
      <c r="A491" s="667"/>
      <c r="B491" s="685"/>
      <c r="C491" s="672"/>
      <c r="D491" s="689"/>
      <c r="E491" s="673"/>
      <c r="F491" s="673"/>
      <c r="G491" s="673"/>
      <c r="H491" s="673"/>
      <c r="I491" s="689"/>
      <c r="J491" s="86"/>
    </row>
    <row r="492" spans="1:10" ht="18.75" customHeight="1" x14ac:dyDescent="0.25">
      <c r="A492" s="667"/>
      <c r="B492" s="685"/>
      <c r="C492" s="672"/>
      <c r="D492" s="689"/>
      <c r="E492" s="673"/>
      <c r="F492" s="673"/>
      <c r="G492" s="673"/>
      <c r="H492" s="673"/>
      <c r="I492" s="689"/>
      <c r="J492" s="86"/>
    </row>
    <row r="493" spans="1:10" ht="18.75" customHeight="1" x14ac:dyDescent="0.25">
      <c r="A493" s="681"/>
      <c r="B493" s="682"/>
      <c r="C493" s="682"/>
      <c r="D493" s="682"/>
      <c r="E493" s="682"/>
      <c r="F493" s="682"/>
      <c r="G493" s="682"/>
      <c r="H493" s="682"/>
      <c r="I493" s="683"/>
      <c r="J493" s="86"/>
    </row>
  </sheetData>
  <sheetProtection algorithmName="SHA-512" hashValue="wmKl9Wd5URZwXqNSGmtQ+oCz/bPL2zZCNAqrAMQz3MQYvQ9HQ+CWzM7mBatZdxd86ZN41yvqlp1s2qeRozhM9w==" saltValue="4Y16AXCCM9Df0k5aapJOeQ==" spinCount="100000" sheet="1" objects="1" scenarios="1" formatRows="0"/>
  <mergeCells count="363">
    <mergeCell ref="A1:I1"/>
    <mergeCell ref="A3:B3"/>
    <mergeCell ref="C3:D3"/>
    <mergeCell ref="C5:I5"/>
    <mergeCell ref="A6:A51"/>
    <mergeCell ref="C6:I6"/>
    <mergeCell ref="B7:E7"/>
    <mergeCell ref="F7:I7"/>
    <mergeCell ref="B8:E10"/>
    <mergeCell ref="F8:I8"/>
    <mergeCell ref="F9:I9"/>
    <mergeCell ref="F10:I10"/>
    <mergeCell ref="C11:D11"/>
    <mergeCell ref="E11:I11"/>
    <mergeCell ref="B12:B16"/>
    <mergeCell ref="C12:D16"/>
    <mergeCell ref="B27:B31"/>
    <mergeCell ref="C27:D31"/>
    <mergeCell ref="E27:I31"/>
    <mergeCell ref="B32:B36"/>
    <mergeCell ref="C32:D36"/>
    <mergeCell ref="E32:I36"/>
    <mergeCell ref="E12:I16"/>
    <mergeCell ref="B17:B21"/>
    <mergeCell ref="C17:D21"/>
    <mergeCell ref="E17:I21"/>
    <mergeCell ref="B22:B26"/>
    <mergeCell ref="C22:D26"/>
    <mergeCell ref="E22:I26"/>
    <mergeCell ref="B47:B51"/>
    <mergeCell ref="C47:D51"/>
    <mergeCell ref="E47:I51"/>
    <mergeCell ref="A52:I52"/>
    <mergeCell ref="B37:B41"/>
    <mergeCell ref="C37:D41"/>
    <mergeCell ref="E37:I41"/>
    <mergeCell ref="B42:B46"/>
    <mergeCell ref="C42:D46"/>
    <mergeCell ref="E42:I46"/>
    <mergeCell ref="E66:I70"/>
    <mergeCell ref="B71:B75"/>
    <mergeCell ref="C71:D75"/>
    <mergeCell ref="E71:I75"/>
    <mergeCell ref="B76:B80"/>
    <mergeCell ref="C76:D80"/>
    <mergeCell ref="E76:I80"/>
    <mergeCell ref="C54:I54"/>
    <mergeCell ref="A55:A100"/>
    <mergeCell ref="C55:I55"/>
    <mergeCell ref="B56:E56"/>
    <mergeCell ref="F56:I56"/>
    <mergeCell ref="B57:E59"/>
    <mergeCell ref="F57:I57"/>
    <mergeCell ref="F58:I58"/>
    <mergeCell ref="F59:I59"/>
    <mergeCell ref="C60:D60"/>
    <mergeCell ref="E60:I60"/>
    <mergeCell ref="B61:B65"/>
    <mergeCell ref="C61:D65"/>
    <mergeCell ref="E61:I65"/>
    <mergeCell ref="B66:B70"/>
    <mergeCell ref="C66:D70"/>
    <mergeCell ref="B91:B95"/>
    <mergeCell ref="C91:D95"/>
    <mergeCell ref="E91:I95"/>
    <mergeCell ref="B96:B100"/>
    <mergeCell ref="C96:D100"/>
    <mergeCell ref="E96:I100"/>
    <mergeCell ref="B81:B85"/>
    <mergeCell ref="C81:D85"/>
    <mergeCell ref="E81:I85"/>
    <mergeCell ref="B86:B90"/>
    <mergeCell ref="C86:D90"/>
    <mergeCell ref="E86:I90"/>
    <mergeCell ref="A101:I101"/>
    <mergeCell ref="C103:I103"/>
    <mergeCell ref="A104:A149"/>
    <mergeCell ref="C104:I104"/>
    <mergeCell ref="B105:E105"/>
    <mergeCell ref="F105:I105"/>
    <mergeCell ref="B106:E108"/>
    <mergeCell ref="F106:I106"/>
    <mergeCell ref="F107:I107"/>
    <mergeCell ref="F108:I108"/>
    <mergeCell ref="C109:D109"/>
    <mergeCell ref="E109:I109"/>
    <mergeCell ref="B110:B114"/>
    <mergeCell ref="C110:D114"/>
    <mergeCell ref="E110:I114"/>
    <mergeCell ref="B115:B119"/>
    <mergeCell ref="B125:B129"/>
    <mergeCell ref="C125:D129"/>
    <mergeCell ref="E125:I129"/>
    <mergeCell ref="B130:B134"/>
    <mergeCell ref="C130:D134"/>
    <mergeCell ref="E130:I134"/>
    <mergeCell ref="C115:D119"/>
    <mergeCell ref="E115:I119"/>
    <mergeCell ref="B120:B124"/>
    <mergeCell ref="C120:D124"/>
    <mergeCell ref="E120:I124"/>
    <mergeCell ref="B145:B149"/>
    <mergeCell ref="C145:D149"/>
    <mergeCell ref="E145:I149"/>
    <mergeCell ref="A150:I150"/>
    <mergeCell ref="C152:I152"/>
    <mergeCell ref="B135:B139"/>
    <mergeCell ref="C135:D139"/>
    <mergeCell ref="E135:I139"/>
    <mergeCell ref="B140:B144"/>
    <mergeCell ref="C140:D144"/>
    <mergeCell ref="E140:I144"/>
    <mergeCell ref="B169:B173"/>
    <mergeCell ref="C169:D173"/>
    <mergeCell ref="E169:I173"/>
    <mergeCell ref="B174:B178"/>
    <mergeCell ref="C174:D178"/>
    <mergeCell ref="E174:I178"/>
    <mergeCell ref="A153:A198"/>
    <mergeCell ref="C153:I153"/>
    <mergeCell ref="B154:E154"/>
    <mergeCell ref="F154:I154"/>
    <mergeCell ref="B155:E157"/>
    <mergeCell ref="F155:I155"/>
    <mergeCell ref="F156:I156"/>
    <mergeCell ref="F157:I157"/>
    <mergeCell ref="C158:D158"/>
    <mergeCell ref="E158:I158"/>
    <mergeCell ref="B159:B163"/>
    <mergeCell ref="C159:D163"/>
    <mergeCell ref="E159:I163"/>
    <mergeCell ref="B164:B168"/>
    <mergeCell ref="C164:D168"/>
    <mergeCell ref="E164:I168"/>
    <mergeCell ref="B189:B193"/>
    <mergeCell ref="C189:D193"/>
    <mergeCell ref="E189:I193"/>
    <mergeCell ref="B194:B198"/>
    <mergeCell ref="C194:D198"/>
    <mergeCell ref="E194:I198"/>
    <mergeCell ref="B179:B183"/>
    <mergeCell ref="C179:D183"/>
    <mergeCell ref="E179:I183"/>
    <mergeCell ref="B184:B188"/>
    <mergeCell ref="C184:D188"/>
    <mergeCell ref="E184:I188"/>
    <mergeCell ref="A199:I199"/>
    <mergeCell ref="C201:I201"/>
    <mergeCell ref="A202:A247"/>
    <mergeCell ref="C202:I202"/>
    <mergeCell ref="B203:E203"/>
    <mergeCell ref="F203:I203"/>
    <mergeCell ref="B204:E206"/>
    <mergeCell ref="F204:I204"/>
    <mergeCell ref="F205:I205"/>
    <mergeCell ref="F206:I206"/>
    <mergeCell ref="C207:D207"/>
    <mergeCell ref="E207:I207"/>
    <mergeCell ref="B208:B212"/>
    <mergeCell ref="C208:D212"/>
    <mergeCell ref="E208:I212"/>
    <mergeCell ref="B213:B217"/>
    <mergeCell ref="B223:B227"/>
    <mergeCell ref="C223:D227"/>
    <mergeCell ref="E223:I227"/>
    <mergeCell ref="B228:B232"/>
    <mergeCell ref="C228:D232"/>
    <mergeCell ref="E228:I232"/>
    <mergeCell ref="C213:D217"/>
    <mergeCell ref="E213:I217"/>
    <mergeCell ref="B218:B222"/>
    <mergeCell ref="C218:D222"/>
    <mergeCell ref="E218:I222"/>
    <mergeCell ref="B243:B247"/>
    <mergeCell ref="C243:D247"/>
    <mergeCell ref="E243:I247"/>
    <mergeCell ref="A248:I248"/>
    <mergeCell ref="C250:I250"/>
    <mergeCell ref="B233:B237"/>
    <mergeCell ref="C233:D237"/>
    <mergeCell ref="E233:I237"/>
    <mergeCell ref="B238:B242"/>
    <mergeCell ref="C238:D242"/>
    <mergeCell ref="E238:I242"/>
    <mergeCell ref="B267:B271"/>
    <mergeCell ref="C267:D271"/>
    <mergeCell ref="E267:I271"/>
    <mergeCell ref="B272:B276"/>
    <mergeCell ref="C272:D276"/>
    <mergeCell ref="E272:I276"/>
    <mergeCell ref="A251:A296"/>
    <mergeCell ref="C251:I251"/>
    <mergeCell ref="B252:E252"/>
    <mergeCell ref="F252:I252"/>
    <mergeCell ref="B253:E255"/>
    <mergeCell ref="F253:I253"/>
    <mergeCell ref="F254:I254"/>
    <mergeCell ref="F255:I255"/>
    <mergeCell ref="C256:D256"/>
    <mergeCell ref="E256:I256"/>
    <mergeCell ref="B257:B261"/>
    <mergeCell ref="C257:D261"/>
    <mergeCell ref="E257:I261"/>
    <mergeCell ref="B262:B266"/>
    <mergeCell ref="C262:D266"/>
    <mergeCell ref="E262:I266"/>
    <mergeCell ref="B287:B291"/>
    <mergeCell ref="C287:D291"/>
    <mergeCell ref="E287:I291"/>
    <mergeCell ref="B292:B296"/>
    <mergeCell ref="C292:D296"/>
    <mergeCell ref="E292:I296"/>
    <mergeCell ref="B277:B281"/>
    <mergeCell ref="C277:D281"/>
    <mergeCell ref="E277:I281"/>
    <mergeCell ref="B282:B286"/>
    <mergeCell ref="C282:D286"/>
    <mergeCell ref="E282:I286"/>
    <mergeCell ref="A297:I297"/>
    <mergeCell ref="C299:I299"/>
    <mergeCell ref="A300:A345"/>
    <mergeCell ref="C300:I300"/>
    <mergeCell ref="B301:E301"/>
    <mergeCell ref="F301:I301"/>
    <mergeCell ref="B302:E304"/>
    <mergeCell ref="F302:I302"/>
    <mergeCell ref="F303:I303"/>
    <mergeCell ref="F304:I304"/>
    <mergeCell ref="C305:D305"/>
    <mergeCell ref="E305:I305"/>
    <mergeCell ref="B306:B310"/>
    <mergeCell ref="C306:D310"/>
    <mergeCell ref="E306:I310"/>
    <mergeCell ref="B311:B315"/>
    <mergeCell ref="B321:B325"/>
    <mergeCell ref="C321:D325"/>
    <mergeCell ref="E321:I325"/>
    <mergeCell ref="B326:B330"/>
    <mergeCell ref="C326:D330"/>
    <mergeCell ref="E326:I330"/>
    <mergeCell ref="C311:D315"/>
    <mergeCell ref="E311:I315"/>
    <mergeCell ref="B316:B320"/>
    <mergeCell ref="C316:D320"/>
    <mergeCell ref="E316:I320"/>
    <mergeCell ref="B341:B345"/>
    <mergeCell ref="C341:D345"/>
    <mergeCell ref="E341:I345"/>
    <mergeCell ref="A346:I346"/>
    <mergeCell ref="C348:I348"/>
    <mergeCell ref="B331:B335"/>
    <mergeCell ref="C331:D335"/>
    <mergeCell ref="E331:I335"/>
    <mergeCell ref="B336:B340"/>
    <mergeCell ref="C336:D340"/>
    <mergeCell ref="E336:I340"/>
    <mergeCell ref="B365:B369"/>
    <mergeCell ref="C365:D369"/>
    <mergeCell ref="E365:I369"/>
    <mergeCell ref="B370:B374"/>
    <mergeCell ref="C370:D374"/>
    <mergeCell ref="E370:I374"/>
    <mergeCell ref="A349:A394"/>
    <mergeCell ref="C349:I349"/>
    <mergeCell ref="B350:E350"/>
    <mergeCell ref="F350:I350"/>
    <mergeCell ref="B351:E353"/>
    <mergeCell ref="F351:I351"/>
    <mergeCell ref="F352:I352"/>
    <mergeCell ref="F353:I353"/>
    <mergeCell ref="C354:D354"/>
    <mergeCell ref="E354:I354"/>
    <mergeCell ref="B355:B359"/>
    <mergeCell ref="C355:D359"/>
    <mergeCell ref="E355:I359"/>
    <mergeCell ref="B360:B364"/>
    <mergeCell ref="C360:D364"/>
    <mergeCell ref="E360:I364"/>
    <mergeCell ref="B385:B389"/>
    <mergeCell ref="C385:D389"/>
    <mergeCell ref="E385:I389"/>
    <mergeCell ref="B390:B394"/>
    <mergeCell ref="C390:D394"/>
    <mergeCell ref="E390:I394"/>
    <mergeCell ref="B375:B379"/>
    <mergeCell ref="C375:D379"/>
    <mergeCell ref="E375:I379"/>
    <mergeCell ref="B380:B384"/>
    <mergeCell ref="C380:D384"/>
    <mergeCell ref="E380:I384"/>
    <mergeCell ref="A395:I395"/>
    <mergeCell ref="C397:I397"/>
    <mergeCell ref="A398:A443"/>
    <mergeCell ref="C398:I398"/>
    <mergeCell ref="B399:E399"/>
    <mergeCell ref="F399:I399"/>
    <mergeCell ref="B400:E402"/>
    <mergeCell ref="F400:I400"/>
    <mergeCell ref="F401:I401"/>
    <mergeCell ref="F402:I402"/>
    <mergeCell ref="C403:D403"/>
    <mergeCell ref="E403:I403"/>
    <mergeCell ref="B404:B408"/>
    <mergeCell ref="C404:D408"/>
    <mergeCell ref="E404:I408"/>
    <mergeCell ref="B409:B413"/>
    <mergeCell ref="B419:B423"/>
    <mergeCell ref="C419:D423"/>
    <mergeCell ref="E419:I423"/>
    <mergeCell ref="B424:B428"/>
    <mergeCell ref="C424:D428"/>
    <mergeCell ref="E424:I428"/>
    <mergeCell ref="C409:D413"/>
    <mergeCell ref="E409:I413"/>
    <mergeCell ref="B414:B418"/>
    <mergeCell ref="C414:D418"/>
    <mergeCell ref="E414:I418"/>
    <mergeCell ref="B439:B443"/>
    <mergeCell ref="C439:D443"/>
    <mergeCell ref="E439:I443"/>
    <mergeCell ref="A444:I444"/>
    <mergeCell ref="C446:I446"/>
    <mergeCell ref="B429:B433"/>
    <mergeCell ref="C429:D433"/>
    <mergeCell ref="E429:I433"/>
    <mergeCell ref="B434:B438"/>
    <mergeCell ref="C434:D438"/>
    <mergeCell ref="E434:I438"/>
    <mergeCell ref="B463:B467"/>
    <mergeCell ref="C463:D467"/>
    <mergeCell ref="E463:I467"/>
    <mergeCell ref="B468:B472"/>
    <mergeCell ref="C468:D472"/>
    <mergeCell ref="E468:I472"/>
    <mergeCell ref="A447:A492"/>
    <mergeCell ref="C447:I447"/>
    <mergeCell ref="B448:E448"/>
    <mergeCell ref="F448:I448"/>
    <mergeCell ref="B449:E451"/>
    <mergeCell ref="F449:I449"/>
    <mergeCell ref="F450:I450"/>
    <mergeCell ref="F451:I451"/>
    <mergeCell ref="C452:D452"/>
    <mergeCell ref="E452:I452"/>
    <mergeCell ref="B453:B457"/>
    <mergeCell ref="C453:D457"/>
    <mergeCell ref="E453:I457"/>
    <mergeCell ref="B458:B462"/>
    <mergeCell ref="C458:D462"/>
    <mergeCell ref="E458:I462"/>
    <mergeCell ref="A493:I493"/>
    <mergeCell ref="B483:B487"/>
    <mergeCell ref="C483:D487"/>
    <mergeCell ref="E483:I487"/>
    <mergeCell ref="B488:B492"/>
    <mergeCell ref="C488:D492"/>
    <mergeCell ref="E488:I492"/>
    <mergeCell ref="B473:B477"/>
    <mergeCell ref="C473:D477"/>
    <mergeCell ref="E473:I477"/>
    <mergeCell ref="B478:B482"/>
    <mergeCell ref="C478:D482"/>
    <mergeCell ref="E478:I482"/>
  </mergeCells>
  <hyperlinks>
    <hyperlink ref="C3" r:id="rId1" display="http://example.com/"/>
    <hyperlink ref="C3:D3" location="'WPTM - Section F'!A1" display="Workplan Tracking Measures"/>
  </hyperlinks>
  <pageMargins left="0.7" right="0.7" top="0.75" bottom="0.75" header="0.3" footer="0.3"/>
  <pageSetup paperSize="9" scale="6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415"/>
  <sheetViews>
    <sheetView workbookViewId="0">
      <selection activeCell="B38" sqref="B38"/>
    </sheetView>
  </sheetViews>
  <sheetFormatPr defaultColWidth="8.59765625" defaultRowHeight="13.2" x14ac:dyDescent="0.25"/>
  <cols>
    <col min="1" max="1" width="19.09765625" style="1" customWidth="1"/>
    <col min="2" max="2" width="28.09765625" style="1" bestFit="1" customWidth="1"/>
    <col min="3" max="3" width="8.59765625" style="1"/>
    <col min="4" max="4" width="7.09765625" style="1" customWidth="1"/>
    <col min="5" max="6" width="8.59765625" style="1"/>
    <col min="7" max="7" width="25.5" style="1" customWidth="1"/>
    <col min="8" max="8" width="17.09765625" style="1" customWidth="1"/>
    <col min="9" max="16384" width="8.59765625" style="1"/>
  </cols>
  <sheetData>
    <row r="1" spans="1:8" x14ac:dyDescent="0.25">
      <c r="A1" s="1" t="s">
        <v>4394</v>
      </c>
    </row>
    <row r="4" spans="1:8" x14ac:dyDescent="0.25">
      <c r="A4" s="2" t="s">
        <v>782</v>
      </c>
    </row>
    <row r="5" spans="1:8" x14ac:dyDescent="0.25">
      <c r="B5" s="14" t="s">
        <v>783</v>
      </c>
      <c r="C5" s="14"/>
      <c r="D5" s="14" t="s">
        <v>784</v>
      </c>
      <c r="E5" s="14"/>
      <c r="F5" s="14"/>
      <c r="G5" s="14" t="s">
        <v>318</v>
      </c>
      <c r="H5" s="14" t="s">
        <v>4395</v>
      </c>
    </row>
    <row r="6" spans="1:8" hidden="1" x14ac:dyDescent="0.25">
      <c r="B6" s="14" t="s">
        <v>794</v>
      </c>
      <c r="C6" s="14"/>
      <c r="D6" s="15" t="s">
        <v>2154</v>
      </c>
      <c r="E6" s="14"/>
      <c r="F6" s="14"/>
      <c r="G6" s="14" t="s">
        <v>321</v>
      </c>
      <c r="H6" s="15" t="s">
        <v>4396</v>
      </c>
    </row>
    <row r="7" spans="1:8" x14ac:dyDescent="0.25">
      <c r="B7" s="14" t="s">
        <v>850</v>
      </c>
      <c r="C7" s="14"/>
      <c r="D7" s="15" t="s">
        <v>851</v>
      </c>
      <c r="E7" s="14"/>
      <c r="F7" s="14"/>
      <c r="G7" s="14" t="s">
        <v>4397</v>
      </c>
      <c r="H7" s="15"/>
    </row>
    <row r="8" spans="1:8" x14ac:dyDescent="0.25">
      <c r="B8" s="14" t="s">
        <v>854</v>
      </c>
      <c r="C8" s="14"/>
      <c r="D8" s="15" t="s">
        <v>765</v>
      </c>
      <c r="E8" s="14"/>
      <c r="F8" s="14"/>
      <c r="G8" s="14" t="s">
        <v>4398</v>
      </c>
      <c r="H8" s="15"/>
    </row>
    <row r="9" spans="1:8" x14ac:dyDescent="0.25">
      <c r="B9" s="14" t="s">
        <v>857</v>
      </c>
      <c r="C9" s="14"/>
      <c r="D9" s="15" t="s">
        <v>768</v>
      </c>
      <c r="E9" s="14"/>
      <c r="F9" s="14"/>
      <c r="G9" s="14" t="s">
        <v>4399</v>
      </c>
      <c r="H9" s="15"/>
    </row>
    <row r="10" spans="1:8" x14ac:dyDescent="0.25">
      <c r="B10" s="14" t="s">
        <v>846</v>
      </c>
      <c r="C10" s="14"/>
      <c r="D10" s="15" t="s">
        <v>847</v>
      </c>
      <c r="E10" s="14"/>
      <c r="F10" s="14"/>
      <c r="G10" s="14" t="s">
        <v>4400</v>
      </c>
      <c r="H10" s="15"/>
    </row>
    <row r="11" spans="1:8" x14ac:dyDescent="0.25">
      <c r="B11" s="14" t="s">
        <v>802</v>
      </c>
      <c r="C11" s="14"/>
      <c r="D11" s="15" t="s">
        <v>803</v>
      </c>
      <c r="E11" s="14"/>
      <c r="F11" s="14"/>
      <c r="G11" s="14" t="s">
        <v>4401</v>
      </c>
      <c r="H11" s="15"/>
    </row>
    <row r="12" spans="1:8" x14ac:dyDescent="0.25">
      <c r="B12" s="14" t="s">
        <v>808</v>
      </c>
      <c r="C12" s="14"/>
      <c r="D12" s="15" t="s">
        <v>809</v>
      </c>
      <c r="E12" s="14"/>
      <c r="F12" s="14"/>
      <c r="G12" s="14" t="s">
        <v>4402</v>
      </c>
      <c r="H12" s="15"/>
    </row>
    <row r="13" spans="1:8" x14ac:dyDescent="0.25">
      <c r="B13" s="14" t="s">
        <v>812</v>
      </c>
      <c r="C13" s="14"/>
      <c r="D13" s="15" t="s">
        <v>750</v>
      </c>
      <c r="E13" s="14"/>
      <c r="F13" s="14"/>
      <c r="G13" s="14" t="s">
        <v>4403</v>
      </c>
      <c r="H13" s="15"/>
    </row>
    <row r="14" spans="1:8" x14ac:dyDescent="0.25">
      <c r="B14" s="14" t="s">
        <v>816</v>
      </c>
      <c r="C14" s="14"/>
      <c r="D14" s="15" t="s">
        <v>817</v>
      </c>
      <c r="E14" s="14"/>
      <c r="F14" s="14"/>
      <c r="G14" s="14" t="s">
        <v>4404</v>
      </c>
      <c r="H14" s="15"/>
    </row>
    <row r="15" spans="1:8" x14ac:dyDescent="0.25">
      <c r="B15" s="14" t="s">
        <v>820</v>
      </c>
      <c r="C15" s="14"/>
      <c r="D15" s="15" t="s">
        <v>755</v>
      </c>
      <c r="E15" s="14"/>
      <c r="F15" s="14"/>
      <c r="G15" s="14" t="s">
        <v>4405</v>
      </c>
      <c r="H15" s="15"/>
    </row>
    <row r="16" spans="1:8" x14ac:dyDescent="0.25">
      <c r="B16" s="14" t="s">
        <v>824</v>
      </c>
      <c r="C16" s="14"/>
      <c r="D16" s="15" t="s">
        <v>761</v>
      </c>
      <c r="E16" s="14"/>
      <c r="F16" s="14"/>
      <c r="G16" s="14" t="s">
        <v>4406</v>
      </c>
      <c r="H16" s="15"/>
    </row>
    <row r="17" spans="1:8" x14ac:dyDescent="0.25">
      <c r="B17" s="14" t="s">
        <v>827</v>
      </c>
      <c r="C17" s="14"/>
      <c r="D17" s="15" t="s">
        <v>758</v>
      </c>
      <c r="E17" s="14"/>
      <c r="F17" s="14"/>
      <c r="G17" s="14" t="s">
        <v>4407</v>
      </c>
      <c r="H17" s="15"/>
    </row>
    <row r="18" spans="1:8" x14ac:dyDescent="0.25">
      <c r="B18" s="14" t="s">
        <v>831</v>
      </c>
      <c r="C18" s="14"/>
      <c r="D18" s="15" t="s">
        <v>763</v>
      </c>
      <c r="E18" s="14"/>
      <c r="F18" s="14"/>
      <c r="G18" s="14" t="s">
        <v>4408</v>
      </c>
      <c r="H18" s="15"/>
    </row>
    <row r="19" spans="1:8" x14ac:dyDescent="0.25">
      <c r="B19" s="14" t="s">
        <v>834</v>
      </c>
      <c r="C19" s="14"/>
      <c r="D19" s="15" t="s">
        <v>835</v>
      </c>
      <c r="E19" s="14"/>
      <c r="F19" s="14"/>
      <c r="G19" s="14" t="s">
        <v>4409</v>
      </c>
      <c r="H19" s="15"/>
    </row>
    <row r="20" spans="1:8" x14ac:dyDescent="0.25">
      <c r="B20" s="14" t="s">
        <v>838</v>
      </c>
      <c r="C20" s="14"/>
      <c r="D20" s="15" t="s">
        <v>839</v>
      </c>
      <c r="E20" s="14"/>
      <c r="F20" s="14"/>
      <c r="G20" s="14" t="s">
        <v>4410</v>
      </c>
      <c r="H20" s="15"/>
    </row>
    <row r="21" spans="1:8" x14ac:dyDescent="0.25">
      <c r="B21" s="14" t="s">
        <v>842</v>
      </c>
      <c r="C21" s="14"/>
      <c r="D21" s="15" t="s">
        <v>843</v>
      </c>
      <c r="E21" s="14"/>
      <c r="F21" s="14"/>
      <c r="G21" s="14" t="s">
        <v>4411</v>
      </c>
      <c r="H21" s="15"/>
    </row>
    <row r="22" spans="1:8" x14ac:dyDescent="0.25">
      <c r="B22" s="14" t="s">
        <v>846</v>
      </c>
      <c r="C22" s="14"/>
      <c r="D22" s="15" t="s">
        <v>847</v>
      </c>
      <c r="E22" s="14"/>
      <c r="F22" s="14"/>
      <c r="G22" s="14" t="s">
        <v>4412</v>
      </c>
      <c r="H22" s="15"/>
    </row>
    <row r="26" spans="1:8" x14ac:dyDescent="0.25">
      <c r="A26" s="2" t="s">
        <v>861</v>
      </c>
    </row>
    <row r="27" spans="1:8" x14ac:dyDescent="0.25">
      <c r="B27" s="14" t="s">
        <v>783</v>
      </c>
      <c r="C27" s="14"/>
      <c r="D27" s="14" t="s">
        <v>784</v>
      </c>
      <c r="E27" s="14"/>
      <c r="F27" s="14"/>
      <c r="G27" s="14" t="s">
        <v>318</v>
      </c>
      <c r="H27" s="14" t="s">
        <v>4395</v>
      </c>
    </row>
    <row r="28" spans="1:8" hidden="1" x14ac:dyDescent="0.25">
      <c r="B28" s="14" t="s">
        <v>794</v>
      </c>
      <c r="C28" s="14"/>
      <c r="D28" s="15" t="s">
        <v>2154</v>
      </c>
      <c r="E28" s="14"/>
      <c r="F28" s="14"/>
      <c r="G28" s="14" t="s">
        <v>321</v>
      </c>
      <c r="H28" s="15" t="s">
        <v>4396</v>
      </c>
    </row>
    <row r="29" spans="1:8" x14ac:dyDescent="0.25">
      <c r="B29" s="14" t="s">
        <v>973</v>
      </c>
      <c r="C29" s="14"/>
      <c r="D29" s="15" t="s">
        <v>974</v>
      </c>
      <c r="E29" s="14"/>
      <c r="F29" s="14"/>
      <c r="G29" s="14" t="s">
        <v>4413</v>
      </c>
      <c r="H29" s="15"/>
    </row>
    <row r="30" spans="1:8" x14ac:dyDescent="0.25">
      <c r="B30" s="14" t="s">
        <v>977</v>
      </c>
      <c r="C30" s="14"/>
      <c r="D30" s="15" t="s">
        <v>978</v>
      </c>
      <c r="E30" s="14"/>
      <c r="F30" s="14"/>
      <c r="G30" s="14" t="s">
        <v>4414</v>
      </c>
      <c r="H30" s="15"/>
    </row>
    <row r="31" spans="1:8" x14ac:dyDescent="0.25">
      <c r="B31" s="14" t="s">
        <v>981</v>
      </c>
      <c r="C31" s="14"/>
      <c r="D31" s="15" t="s">
        <v>982</v>
      </c>
      <c r="E31" s="14"/>
      <c r="F31" s="14"/>
      <c r="G31" s="14" t="s">
        <v>4415</v>
      </c>
      <c r="H31" s="15"/>
    </row>
    <row r="32" spans="1:8" x14ac:dyDescent="0.25">
      <c r="B32" s="14" t="s">
        <v>985</v>
      </c>
      <c r="C32" s="14"/>
      <c r="D32" s="15" t="s">
        <v>986</v>
      </c>
      <c r="E32" s="14"/>
      <c r="F32" s="14"/>
      <c r="G32" s="14" t="s">
        <v>4416</v>
      </c>
      <c r="H32" s="15"/>
    </row>
    <row r="33" spans="2:8" x14ac:dyDescent="0.25">
      <c r="B33" s="14" t="s">
        <v>990</v>
      </c>
      <c r="C33" s="14"/>
      <c r="D33" s="15" t="s">
        <v>991</v>
      </c>
      <c r="E33" s="14"/>
      <c r="F33" s="14"/>
      <c r="G33" s="14" t="s">
        <v>4417</v>
      </c>
      <c r="H33" s="15"/>
    </row>
    <row r="34" spans="2:8" x14ac:dyDescent="0.25">
      <c r="B34" s="14" t="s">
        <v>995</v>
      </c>
      <c r="C34" s="14"/>
      <c r="D34" s="15" t="s">
        <v>996</v>
      </c>
      <c r="E34" s="14"/>
      <c r="F34" s="14"/>
      <c r="G34" s="14" t="s">
        <v>4418</v>
      </c>
      <c r="H34" s="15"/>
    </row>
    <row r="35" spans="2:8" x14ac:dyDescent="0.25">
      <c r="B35" s="14" t="s">
        <v>1000</v>
      </c>
      <c r="C35" s="14"/>
      <c r="D35" s="15" t="s">
        <v>1001</v>
      </c>
      <c r="E35" s="14"/>
      <c r="F35" s="14"/>
      <c r="G35" s="14" t="s">
        <v>4419</v>
      </c>
      <c r="H35" s="15"/>
    </row>
    <row r="36" spans="2:8" x14ac:dyDescent="0.25">
      <c r="B36" s="14" t="s">
        <v>1011</v>
      </c>
      <c r="C36" s="14"/>
      <c r="D36" s="15" t="s">
        <v>1012</v>
      </c>
      <c r="E36" s="14"/>
      <c r="F36" s="14"/>
      <c r="G36" s="14" t="s">
        <v>4420</v>
      </c>
      <c r="H36" s="15"/>
    </row>
    <row r="37" spans="2:8" x14ac:dyDescent="0.25">
      <c r="B37" s="14" t="s">
        <v>1015</v>
      </c>
      <c r="C37" s="14"/>
      <c r="D37" s="15" t="s">
        <v>1016</v>
      </c>
      <c r="E37" s="14"/>
      <c r="F37" s="14"/>
      <c r="G37" s="14" t="s">
        <v>4421</v>
      </c>
      <c r="H37" s="15"/>
    </row>
    <row r="38" spans="2:8" x14ac:dyDescent="0.25">
      <c r="B38" s="14" t="s">
        <v>1019</v>
      </c>
      <c r="C38" s="14"/>
      <c r="D38" s="15" t="s">
        <v>1020</v>
      </c>
      <c r="E38" s="14"/>
      <c r="F38" s="14"/>
      <c r="G38" s="14" t="s">
        <v>4422</v>
      </c>
      <c r="H38" s="15"/>
    </row>
    <row r="39" spans="2:8" x14ac:dyDescent="0.25">
      <c r="B39" s="14" t="s">
        <v>1023</v>
      </c>
      <c r="C39" s="14"/>
      <c r="D39" s="15" t="s">
        <v>1024</v>
      </c>
      <c r="E39" s="14"/>
      <c r="F39" s="14"/>
      <c r="G39" s="14" t="s">
        <v>4423</v>
      </c>
      <c r="H39" s="15"/>
    </row>
    <row r="40" spans="2:8" x14ac:dyDescent="0.25">
      <c r="B40" s="14" t="s">
        <v>1027</v>
      </c>
      <c r="C40" s="14"/>
      <c r="D40" s="15" t="s">
        <v>1028</v>
      </c>
      <c r="E40" s="14"/>
      <c r="F40" s="14"/>
      <c r="G40" s="14" t="s">
        <v>4424</v>
      </c>
      <c r="H40" s="15"/>
    </row>
    <row r="41" spans="2:8" x14ac:dyDescent="0.25">
      <c r="B41" s="14" t="s">
        <v>1031</v>
      </c>
      <c r="C41" s="14"/>
      <c r="D41" s="15" t="s">
        <v>1032</v>
      </c>
      <c r="E41" s="14"/>
      <c r="F41" s="14"/>
      <c r="G41" s="14" t="s">
        <v>4425</v>
      </c>
      <c r="H41" s="15"/>
    </row>
    <row r="42" spans="2:8" x14ac:dyDescent="0.25">
      <c r="B42" s="14" t="s">
        <v>1035</v>
      </c>
      <c r="C42" s="14"/>
      <c r="D42" s="15" t="s">
        <v>1036</v>
      </c>
      <c r="E42" s="14"/>
      <c r="F42" s="14"/>
      <c r="G42" s="14" t="s">
        <v>4426</v>
      </c>
      <c r="H42" s="15"/>
    </row>
    <row r="43" spans="2:8" x14ac:dyDescent="0.25">
      <c r="B43" s="14" t="s">
        <v>977</v>
      </c>
      <c r="C43" s="14"/>
      <c r="D43" s="15" t="s">
        <v>978</v>
      </c>
      <c r="E43" s="14"/>
      <c r="F43" s="14"/>
      <c r="G43" s="14" t="s">
        <v>4427</v>
      </c>
      <c r="H43" s="15"/>
    </row>
    <row r="44" spans="2:8" x14ac:dyDescent="0.25">
      <c r="B44" s="14" t="s">
        <v>981</v>
      </c>
      <c r="C44" s="14"/>
      <c r="D44" s="15" t="s">
        <v>982</v>
      </c>
      <c r="E44" s="14"/>
      <c r="F44" s="14"/>
      <c r="G44" s="14" t="s">
        <v>4428</v>
      </c>
      <c r="H44" s="15"/>
    </row>
    <row r="45" spans="2:8" x14ac:dyDescent="0.25">
      <c r="B45" s="14" t="s">
        <v>985</v>
      </c>
      <c r="C45" s="14"/>
      <c r="D45" s="15" t="s">
        <v>986</v>
      </c>
      <c r="E45" s="14"/>
      <c r="F45" s="14"/>
      <c r="G45" s="14" t="s">
        <v>4429</v>
      </c>
      <c r="H45" s="15"/>
    </row>
    <row r="46" spans="2:8" x14ac:dyDescent="0.25">
      <c r="B46" s="14" t="s">
        <v>990</v>
      </c>
      <c r="C46" s="14"/>
      <c r="D46" s="15" t="s">
        <v>991</v>
      </c>
      <c r="E46" s="14"/>
      <c r="F46" s="14"/>
      <c r="G46" s="14" t="s">
        <v>4430</v>
      </c>
      <c r="H46" s="15"/>
    </row>
    <row r="47" spans="2:8" x14ac:dyDescent="0.25">
      <c r="B47" s="14" t="s">
        <v>995</v>
      </c>
      <c r="C47" s="14"/>
      <c r="D47" s="15" t="s">
        <v>996</v>
      </c>
      <c r="E47" s="14"/>
      <c r="F47" s="14"/>
      <c r="G47" s="14" t="s">
        <v>4431</v>
      </c>
      <c r="H47" s="15"/>
    </row>
    <row r="48" spans="2:8" x14ac:dyDescent="0.25">
      <c r="B48" s="14" t="s">
        <v>1000</v>
      </c>
      <c r="C48" s="14"/>
      <c r="D48" s="15" t="s">
        <v>1001</v>
      </c>
      <c r="E48" s="14"/>
      <c r="F48" s="14"/>
      <c r="G48" s="14" t="s">
        <v>4432</v>
      </c>
      <c r="H48" s="15"/>
    </row>
    <row r="49" spans="2:8" x14ac:dyDescent="0.25">
      <c r="B49" s="14" t="s">
        <v>977</v>
      </c>
      <c r="C49" s="14"/>
      <c r="D49" s="15" t="s">
        <v>978</v>
      </c>
      <c r="E49" s="14"/>
      <c r="F49" s="14"/>
      <c r="G49" s="14" t="s">
        <v>4433</v>
      </c>
      <c r="H49" s="15"/>
    </row>
    <row r="50" spans="2:8" x14ac:dyDescent="0.25">
      <c r="B50" s="14" t="s">
        <v>981</v>
      </c>
      <c r="C50" s="14"/>
      <c r="D50" s="15" t="s">
        <v>982</v>
      </c>
      <c r="E50" s="14"/>
      <c r="F50" s="14"/>
      <c r="G50" s="14" t="s">
        <v>4434</v>
      </c>
      <c r="H50" s="15"/>
    </row>
    <row r="51" spans="2:8" x14ac:dyDescent="0.25">
      <c r="B51" s="14" t="s">
        <v>985</v>
      </c>
      <c r="C51" s="14"/>
      <c r="D51" s="15" t="s">
        <v>986</v>
      </c>
      <c r="E51" s="14"/>
      <c r="F51" s="14"/>
      <c r="G51" s="14" t="s">
        <v>4435</v>
      </c>
      <c r="H51" s="15"/>
    </row>
    <row r="52" spans="2:8" x14ac:dyDescent="0.25">
      <c r="B52" s="14" t="s">
        <v>990</v>
      </c>
      <c r="C52" s="14"/>
      <c r="D52" s="15" t="s">
        <v>991</v>
      </c>
      <c r="E52" s="14"/>
      <c r="F52" s="14"/>
      <c r="G52" s="14" t="s">
        <v>4436</v>
      </c>
      <c r="H52" s="15"/>
    </row>
    <row r="53" spans="2:8" x14ac:dyDescent="0.25">
      <c r="B53" s="14" t="s">
        <v>995</v>
      </c>
      <c r="C53" s="14"/>
      <c r="D53" s="15" t="s">
        <v>996</v>
      </c>
      <c r="E53" s="14"/>
      <c r="F53" s="14"/>
      <c r="G53" s="14" t="s">
        <v>4437</v>
      </c>
      <c r="H53" s="15"/>
    </row>
    <row r="54" spans="2:8" x14ac:dyDescent="0.25">
      <c r="B54" s="14" t="s">
        <v>1000</v>
      </c>
      <c r="C54" s="14"/>
      <c r="D54" s="15" t="s">
        <v>1001</v>
      </c>
      <c r="E54" s="14"/>
      <c r="F54" s="14"/>
      <c r="G54" s="14" t="s">
        <v>4438</v>
      </c>
      <c r="H54" s="15"/>
    </row>
    <row r="55" spans="2:8" x14ac:dyDescent="0.25">
      <c r="B55" s="14" t="s">
        <v>862</v>
      </c>
      <c r="C55" s="14"/>
      <c r="D55" s="15" t="s">
        <v>863</v>
      </c>
      <c r="E55" s="14"/>
      <c r="F55" s="14"/>
      <c r="G55" s="14" t="s">
        <v>4439</v>
      </c>
      <c r="H55" s="15"/>
    </row>
    <row r="56" spans="2:8" x14ac:dyDescent="0.25">
      <c r="B56" s="14" t="s">
        <v>867</v>
      </c>
      <c r="C56" s="14"/>
      <c r="D56" s="15" t="s">
        <v>868</v>
      </c>
      <c r="E56" s="14"/>
      <c r="F56" s="14"/>
      <c r="G56" s="14" t="s">
        <v>4440</v>
      </c>
      <c r="H56" s="15"/>
    </row>
    <row r="57" spans="2:8" x14ac:dyDescent="0.25">
      <c r="B57" s="14" t="s">
        <v>871</v>
      </c>
      <c r="C57" s="14"/>
      <c r="D57" s="15" t="s">
        <v>872</v>
      </c>
      <c r="E57" s="14"/>
      <c r="F57" s="14"/>
      <c r="G57" s="14" t="s">
        <v>4441</v>
      </c>
      <c r="H57" s="15"/>
    </row>
    <row r="58" spans="2:8" x14ac:dyDescent="0.25">
      <c r="B58" s="14" t="s">
        <v>875</v>
      </c>
      <c r="C58" s="14"/>
      <c r="D58" s="15" t="s">
        <v>876</v>
      </c>
      <c r="E58" s="14"/>
      <c r="F58" s="14"/>
      <c r="G58" s="14" t="s">
        <v>4442</v>
      </c>
      <c r="H58" s="15"/>
    </row>
    <row r="59" spans="2:8" x14ac:dyDescent="0.25">
      <c r="B59" s="14" t="s">
        <v>879</v>
      </c>
      <c r="C59" s="14"/>
      <c r="D59" s="15" t="s">
        <v>880</v>
      </c>
      <c r="E59" s="14"/>
      <c r="F59" s="14"/>
      <c r="G59" s="14" t="s">
        <v>4443</v>
      </c>
      <c r="H59" s="15"/>
    </row>
    <row r="60" spans="2:8" x14ac:dyDescent="0.25">
      <c r="B60" s="14" t="s">
        <v>883</v>
      </c>
      <c r="C60" s="14"/>
      <c r="D60" s="15" t="s">
        <v>884</v>
      </c>
      <c r="E60" s="14"/>
      <c r="F60" s="14"/>
      <c r="G60" s="14" t="s">
        <v>4444</v>
      </c>
      <c r="H60" s="15"/>
    </row>
    <row r="61" spans="2:8" x14ac:dyDescent="0.25">
      <c r="B61" s="14" t="s">
        <v>887</v>
      </c>
      <c r="C61" s="14"/>
      <c r="D61" s="15" t="s">
        <v>888</v>
      </c>
      <c r="E61" s="14"/>
      <c r="F61" s="14"/>
      <c r="G61" s="14" t="s">
        <v>4445</v>
      </c>
      <c r="H61" s="15"/>
    </row>
    <row r="62" spans="2:8" x14ac:dyDescent="0.25">
      <c r="B62" s="14" t="s">
        <v>891</v>
      </c>
      <c r="C62" s="14"/>
      <c r="D62" s="15" t="s">
        <v>892</v>
      </c>
      <c r="E62" s="14"/>
      <c r="F62" s="14"/>
      <c r="G62" s="14" t="s">
        <v>4446</v>
      </c>
      <c r="H62" s="15"/>
    </row>
    <row r="63" spans="2:8" x14ac:dyDescent="0.25">
      <c r="B63" s="14" t="s">
        <v>896</v>
      </c>
      <c r="C63" s="14"/>
      <c r="D63" s="15" t="s">
        <v>897</v>
      </c>
      <c r="E63" s="14"/>
      <c r="F63" s="14"/>
      <c r="G63" s="14" t="s">
        <v>4447</v>
      </c>
      <c r="H63" s="15"/>
    </row>
    <row r="64" spans="2:8" x14ac:dyDescent="0.25">
      <c r="B64" s="14" t="s">
        <v>900</v>
      </c>
      <c r="C64" s="14"/>
      <c r="D64" s="15" t="s">
        <v>901</v>
      </c>
      <c r="E64" s="14"/>
      <c r="F64" s="14"/>
      <c r="G64" s="14" t="s">
        <v>4448</v>
      </c>
      <c r="H64" s="15"/>
    </row>
    <row r="65" spans="2:8" x14ac:dyDescent="0.25">
      <c r="B65" s="14" t="s">
        <v>904</v>
      </c>
      <c r="C65" s="14"/>
      <c r="D65" s="15" t="s">
        <v>905</v>
      </c>
      <c r="E65" s="14"/>
      <c r="F65" s="14"/>
      <c r="G65" s="14" t="s">
        <v>4449</v>
      </c>
      <c r="H65" s="15"/>
    </row>
    <row r="66" spans="2:8" x14ac:dyDescent="0.25">
      <c r="B66" s="14" t="s">
        <v>908</v>
      </c>
      <c r="C66" s="14"/>
      <c r="D66" s="15" t="s">
        <v>909</v>
      </c>
      <c r="E66" s="14"/>
      <c r="F66" s="14"/>
      <c r="G66" s="14" t="s">
        <v>4450</v>
      </c>
      <c r="H66" s="15"/>
    </row>
    <row r="67" spans="2:8" x14ac:dyDescent="0.25">
      <c r="B67" s="14" t="s">
        <v>913</v>
      </c>
      <c r="C67" s="14"/>
      <c r="D67" s="15" t="s">
        <v>914</v>
      </c>
      <c r="E67" s="14"/>
      <c r="F67" s="14"/>
      <c r="G67" s="14" t="s">
        <v>4451</v>
      </c>
      <c r="H67" s="15"/>
    </row>
    <row r="68" spans="2:8" x14ac:dyDescent="0.25">
      <c r="B68" s="14" t="s">
        <v>917</v>
      </c>
      <c r="C68" s="14"/>
      <c r="D68" s="15" t="s">
        <v>918</v>
      </c>
      <c r="E68" s="14"/>
      <c r="F68" s="14"/>
      <c r="G68" s="14" t="s">
        <v>4452</v>
      </c>
      <c r="H68" s="15"/>
    </row>
    <row r="69" spans="2:8" x14ac:dyDescent="0.25">
      <c r="B69" s="14" t="s">
        <v>921</v>
      </c>
      <c r="C69" s="14"/>
      <c r="D69" s="15" t="s">
        <v>922</v>
      </c>
      <c r="E69" s="14"/>
      <c r="F69" s="14"/>
      <c r="G69" s="14" t="s">
        <v>4453</v>
      </c>
      <c r="H69" s="15"/>
    </row>
    <row r="70" spans="2:8" x14ac:dyDescent="0.25">
      <c r="B70" s="14" t="s">
        <v>925</v>
      </c>
      <c r="C70" s="14"/>
      <c r="D70" s="15" t="s">
        <v>926</v>
      </c>
      <c r="E70" s="14"/>
      <c r="F70" s="14"/>
      <c r="G70" s="14" t="s">
        <v>4454</v>
      </c>
      <c r="H70" s="15"/>
    </row>
    <row r="71" spans="2:8" x14ac:dyDescent="0.25">
      <c r="B71" s="14" t="s">
        <v>929</v>
      </c>
      <c r="C71" s="14"/>
      <c r="D71" s="15" t="s">
        <v>930</v>
      </c>
      <c r="E71" s="14"/>
      <c r="F71" s="14"/>
      <c r="G71" s="14" t="s">
        <v>4455</v>
      </c>
      <c r="H71" s="15"/>
    </row>
    <row r="72" spans="2:8" x14ac:dyDescent="0.25">
      <c r="B72" s="14" t="s">
        <v>933</v>
      </c>
      <c r="C72" s="14"/>
      <c r="D72" s="15" t="s">
        <v>934</v>
      </c>
      <c r="E72" s="14"/>
      <c r="F72" s="14"/>
      <c r="G72" s="14" t="s">
        <v>4456</v>
      </c>
      <c r="H72" s="15"/>
    </row>
    <row r="73" spans="2:8" x14ac:dyDescent="0.25">
      <c r="B73" s="14" t="s">
        <v>937</v>
      </c>
      <c r="C73" s="14"/>
      <c r="D73" s="15" t="s">
        <v>938</v>
      </c>
      <c r="E73" s="14"/>
      <c r="F73" s="14"/>
      <c r="G73" s="14" t="s">
        <v>4457</v>
      </c>
      <c r="H73" s="15"/>
    </row>
    <row r="74" spans="2:8" x14ac:dyDescent="0.25">
      <c r="B74" s="14" t="s">
        <v>941</v>
      </c>
      <c r="C74" s="14"/>
      <c r="D74" s="15" t="s">
        <v>942</v>
      </c>
      <c r="E74" s="14"/>
      <c r="F74" s="14"/>
      <c r="G74" s="14" t="s">
        <v>4458</v>
      </c>
      <c r="H74" s="15"/>
    </row>
    <row r="75" spans="2:8" x14ac:dyDescent="0.25">
      <c r="B75" s="14" t="s">
        <v>945</v>
      </c>
      <c r="C75" s="14"/>
      <c r="D75" s="15" t="s">
        <v>946</v>
      </c>
      <c r="E75" s="14"/>
      <c r="F75" s="14"/>
      <c r="G75" s="14" t="s">
        <v>4459</v>
      </c>
      <c r="H75" s="15"/>
    </row>
    <row r="76" spans="2:8" x14ac:dyDescent="0.25">
      <c r="B76" s="14" t="s">
        <v>949</v>
      </c>
      <c r="C76" s="14"/>
      <c r="D76" s="15" t="s">
        <v>950</v>
      </c>
      <c r="E76" s="14"/>
      <c r="F76" s="14"/>
      <c r="G76" s="14" t="s">
        <v>4460</v>
      </c>
      <c r="H76" s="15"/>
    </row>
    <row r="77" spans="2:8" x14ac:dyDescent="0.25">
      <c r="B77" s="14" t="s">
        <v>953</v>
      </c>
      <c r="C77" s="14"/>
      <c r="D77" s="15" t="s">
        <v>954</v>
      </c>
      <c r="E77" s="14"/>
      <c r="F77" s="14"/>
      <c r="G77" s="14" t="s">
        <v>4461</v>
      </c>
      <c r="H77" s="15"/>
    </row>
    <row r="78" spans="2:8" x14ac:dyDescent="0.25">
      <c r="B78" s="14" t="s">
        <v>957</v>
      </c>
      <c r="C78" s="14"/>
      <c r="D78" s="15" t="s">
        <v>958</v>
      </c>
      <c r="E78" s="14"/>
      <c r="F78" s="14"/>
      <c r="G78" s="14" t="s">
        <v>4462</v>
      </c>
      <c r="H78" s="15"/>
    </row>
    <row r="79" spans="2:8" x14ac:dyDescent="0.25">
      <c r="B79" s="14" t="s">
        <v>961</v>
      </c>
      <c r="C79" s="14"/>
      <c r="D79" s="15" t="s">
        <v>962</v>
      </c>
      <c r="E79" s="14"/>
      <c r="F79" s="14"/>
      <c r="G79" s="14" t="s">
        <v>4463</v>
      </c>
      <c r="H79" s="15"/>
    </row>
    <row r="80" spans="2:8" x14ac:dyDescent="0.25">
      <c r="B80" s="14" t="s">
        <v>965</v>
      </c>
      <c r="C80" s="14"/>
      <c r="D80" s="15" t="s">
        <v>966</v>
      </c>
      <c r="E80" s="14"/>
      <c r="F80" s="14"/>
      <c r="G80" s="14" t="s">
        <v>4464</v>
      </c>
      <c r="H80" s="15"/>
    </row>
    <row r="81" spans="1:8" x14ac:dyDescent="0.25">
      <c r="B81" s="14" t="s">
        <v>969</v>
      </c>
      <c r="C81" s="14"/>
      <c r="D81" s="15" t="s">
        <v>970</v>
      </c>
      <c r="E81" s="14"/>
      <c r="F81" s="14"/>
      <c r="G81" s="14" t="s">
        <v>4465</v>
      </c>
      <c r="H81" s="15"/>
    </row>
    <row r="84" spans="1:8" x14ac:dyDescent="0.25">
      <c r="A84" s="2" t="s">
        <v>4466</v>
      </c>
    </row>
    <row r="85" spans="1:8" x14ac:dyDescent="0.25">
      <c r="B85" s="14" t="s">
        <v>1424</v>
      </c>
      <c r="C85" s="14"/>
      <c r="D85" s="14" t="s">
        <v>784</v>
      </c>
      <c r="E85" s="14"/>
      <c r="F85" s="14" t="s">
        <v>4467</v>
      </c>
      <c r="G85" s="14" t="s">
        <v>318</v>
      </c>
      <c r="H85" s="14" t="s">
        <v>791</v>
      </c>
    </row>
    <row r="86" spans="1:8" hidden="1" x14ac:dyDescent="0.25">
      <c r="B86" s="14" t="s">
        <v>1429</v>
      </c>
      <c r="C86" s="14"/>
      <c r="D86" s="15" t="s">
        <v>2154</v>
      </c>
      <c r="E86" s="14"/>
      <c r="F86" s="14" t="s">
        <v>321</v>
      </c>
      <c r="G86" s="14" t="s">
        <v>321</v>
      </c>
      <c r="H86" s="15" t="s">
        <v>799</v>
      </c>
    </row>
    <row r="87" spans="1:8" x14ac:dyDescent="0.25">
      <c r="B87" s="14" t="s">
        <v>1059</v>
      </c>
      <c r="C87" s="14"/>
      <c r="D87" s="15" t="s">
        <v>411</v>
      </c>
      <c r="E87" s="14"/>
      <c r="F87" s="14" t="s">
        <v>1432</v>
      </c>
      <c r="G87" s="14" t="s">
        <v>1431</v>
      </c>
      <c r="H87" s="15" t="s">
        <v>643</v>
      </c>
    </row>
    <row r="88" spans="1:8" x14ac:dyDescent="0.25">
      <c r="B88" s="14" t="s">
        <v>1073</v>
      </c>
      <c r="C88" s="14"/>
      <c r="D88" s="15" t="s">
        <v>414</v>
      </c>
      <c r="E88" s="14"/>
      <c r="F88" s="14" t="s">
        <v>1435</v>
      </c>
      <c r="G88" s="14" t="s">
        <v>1434</v>
      </c>
      <c r="H88" s="15" t="s">
        <v>643</v>
      </c>
    </row>
    <row r="89" spans="1:8" x14ac:dyDescent="0.25">
      <c r="B89" s="14" t="s">
        <v>1086</v>
      </c>
      <c r="C89" s="14"/>
      <c r="D89" s="15" t="s">
        <v>417</v>
      </c>
      <c r="E89" s="14"/>
      <c r="F89" s="14" t="s">
        <v>1438</v>
      </c>
      <c r="G89" s="14" t="s">
        <v>1437</v>
      </c>
      <c r="H89" s="15" t="s">
        <v>643</v>
      </c>
    </row>
    <row r="90" spans="1:8" x14ac:dyDescent="0.25">
      <c r="B90" s="14" t="s">
        <v>1098</v>
      </c>
      <c r="C90" s="14"/>
      <c r="D90" s="15" t="s">
        <v>420</v>
      </c>
      <c r="E90" s="14"/>
      <c r="F90" s="14" t="s">
        <v>1441</v>
      </c>
      <c r="G90" s="14" t="s">
        <v>1440</v>
      </c>
      <c r="H90" s="15" t="s">
        <v>643</v>
      </c>
    </row>
    <row r="91" spans="1:8" x14ac:dyDescent="0.25">
      <c r="B91" s="14" t="s">
        <v>1115</v>
      </c>
      <c r="C91" s="14"/>
      <c r="D91" s="15" t="s">
        <v>1443</v>
      </c>
      <c r="E91" s="14"/>
      <c r="F91" s="14" t="s">
        <v>1445</v>
      </c>
      <c r="G91" s="14" t="s">
        <v>1444</v>
      </c>
      <c r="H91" s="15" t="s">
        <v>643</v>
      </c>
    </row>
    <row r="92" spans="1:8" x14ac:dyDescent="0.25">
      <c r="B92" s="14" t="s">
        <v>1119</v>
      </c>
      <c r="C92" s="14"/>
      <c r="D92" s="15" t="s">
        <v>1447</v>
      </c>
      <c r="E92" s="14"/>
      <c r="F92" s="14" t="s">
        <v>1449</v>
      </c>
      <c r="G92" s="14" t="s">
        <v>1448</v>
      </c>
      <c r="H92" s="15" t="s">
        <v>643</v>
      </c>
    </row>
    <row r="93" spans="1:8" x14ac:dyDescent="0.25">
      <c r="B93" s="14" t="s">
        <v>1123</v>
      </c>
      <c r="C93" s="14"/>
      <c r="D93" s="15" t="s">
        <v>1451</v>
      </c>
      <c r="E93" s="14"/>
      <c r="F93" s="14" t="s">
        <v>1453</v>
      </c>
      <c r="G93" s="14" t="s">
        <v>1452</v>
      </c>
      <c r="H93" s="15" t="s">
        <v>643</v>
      </c>
    </row>
    <row r="94" spans="1:8" x14ac:dyDescent="0.25">
      <c r="B94" s="14" t="s">
        <v>1456</v>
      </c>
      <c r="C94" s="14"/>
      <c r="D94" s="15" t="s">
        <v>1455</v>
      </c>
      <c r="E94" s="14"/>
      <c r="F94" s="14" t="s">
        <v>1458</v>
      </c>
      <c r="G94" s="14" t="s">
        <v>1457</v>
      </c>
      <c r="H94" s="15" t="s">
        <v>643</v>
      </c>
    </row>
    <row r="95" spans="1:8" x14ac:dyDescent="0.25">
      <c r="B95" s="14" t="s">
        <v>1136</v>
      </c>
      <c r="C95" s="14"/>
      <c r="D95" s="15" t="s">
        <v>1460</v>
      </c>
      <c r="E95" s="14"/>
      <c r="F95" s="14" t="s">
        <v>1462</v>
      </c>
      <c r="G95" s="14" t="s">
        <v>1461</v>
      </c>
      <c r="H95" s="15" t="s">
        <v>643</v>
      </c>
    </row>
    <row r="96" spans="1:8" x14ac:dyDescent="0.25">
      <c r="B96" s="14" t="s">
        <v>1147</v>
      </c>
      <c r="C96" s="14"/>
      <c r="D96" s="15" t="s">
        <v>423</v>
      </c>
      <c r="E96" s="14"/>
      <c r="F96" s="14" t="s">
        <v>1465</v>
      </c>
      <c r="G96" s="14" t="s">
        <v>1464</v>
      </c>
      <c r="H96" s="15" t="s">
        <v>643</v>
      </c>
    </row>
    <row r="97" spans="2:8" x14ac:dyDescent="0.25">
      <c r="B97" s="14" t="s">
        <v>1180</v>
      </c>
      <c r="C97" s="14"/>
      <c r="D97" s="15" t="s">
        <v>426</v>
      </c>
      <c r="E97" s="14"/>
      <c r="F97" s="14" t="s">
        <v>1468</v>
      </c>
      <c r="G97" s="14" t="s">
        <v>1467</v>
      </c>
      <c r="H97" s="15" t="s">
        <v>643</v>
      </c>
    </row>
    <row r="98" spans="2:8" x14ac:dyDescent="0.25">
      <c r="B98" s="14" t="s">
        <v>1471</v>
      </c>
      <c r="C98" s="14"/>
      <c r="D98" s="15" t="s">
        <v>1470</v>
      </c>
      <c r="E98" s="14"/>
      <c r="F98" s="14" t="s">
        <v>1473</v>
      </c>
      <c r="G98" s="14" t="s">
        <v>1472</v>
      </c>
      <c r="H98" s="15" t="s">
        <v>643</v>
      </c>
    </row>
    <row r="99" spans="2:8" x14ac:dyDescent="0.25">
      <c r="B99" s="14" t="s">
        <v>1280</v>
      </c>
      <c r="C99" s="14"/>
      <c r="D99" s="15" t="s">
        <v>429</v>
      </c>
      <c r="E99" s="14"/>
      <c r="F99" s="14" t="s">
        <v>1476</v>
      </c>
      <c r="G99" s="14" t="s">
        <v>1475</v>
      </c>
      <c r="H99" s="15" t="s">
        <v>643</v>
      </c>
    </row>
    <row r="100" spans="2:8" x14ac:dyDescent="0.25">
      <c r="B100" s="14" t="s">
        <v>1298</v>
      </c>
      <c r="C100" s="14"/>
      <c r="D100" s="15" t="s">
        <v>1478</v>
      </c>
      <c r="E100" s="14"/>
      <c r="F100" s="14" t="s">
        <v>1480</v>
      </c>
      <c r="G100" s="14" t="s">
        <v>1479</v>
      </c>
      <c r="H100" s="15" t="s">
        <v>643</v>
      </c>
    </row>
    <row r="101" spans="2:8" x14ac:dyDescent="0.25">
      <c r="B101" s="14" t="s">
        <v>1302</v>
      </c>
      <c r="C101" s="14"/>
      <c r="D101" s="15" t="s">
        <v>1482</v>
      </c>
      <c r="E101" s="14"/>
      <c r="F101" s="14" t="s">
        <v>1484</v>
      </c>
      <c r="G101" s="14" t="s">
        <v>1483</v>
      </c>
      <c r="H101" s="15" t="s">
        <v>643</v>
      </c>
    </row>
    <row r="102" spans="2:8" x14ac:dyDescent="0.25">
      <c r="B102" s="14" t="s">
        <v>1311</v>
      </c>
      <c r="C102" s="14"/>
      <c r="D102" s="15" t="s">
        <v>1486</v>
      </c>
      <c r="E102" s="14"/>
      <c r="F102" s="14" t="s">
        <v>1488</v>
      </c>
      <c r="G102" s="14" t="s">
        <v>1487</v>
      </c>
      <c r="H102" s="15" t="s">
        <v>643</v>
      </c>
    </row>
    <row r="103" spans="2:8" x14ac:dyDescent="0.25">
      <c r="B103" s="14" t="s">
        <v>1334</v>
      </c>
      <c r="C103" s="14"/>
      <c r="D103" s="15" t="s">
        <v>1490</v>
      </c>
      <c r="E103" s="14"/>
      <c r="F103" s="14" t="s">
        <v>1492</v>
      </c>
      <c r="G103" s="14" t="s">
        <v>1491</v>
      </c>
      <c r="H103" s="15" t="s">
        <v>643</v>
      </c>
    </row>
    <row r="104" spans="2:8" x14ac:dyDescent="0.25">
      <c r="B104" s="14" t="s">
        <v>1344</v>
      </c>
      <c r="C104" s="14"/>
      <c r="D104" s="15" t="s">
        <v>1494</v>
      </c>
      <c r="E104" s="14"/>
      <c r="F104" s="14" t="s">
        <v>1496</v>
      </c>
      <c r="G104" s="14" t="s">
        <v>1495</v>
      </c>
      <c r="H104" s="15" t="s">
        <v>643</v>
      </c>
    </row>
    <row r="105" spans="2:8" x14ac:dyDescent="0.25">
      <c r="B105" s="14" t="s">
        <v>1368</v>
      </c>
      <c r="C105" s="14"/>
      <c r="D105" s="15" t="s">
        <v>1498</v>
      </c>
      <c r="E105" s="14"/>
      <c r="F105" s="14" t="s">
        <v>1500</v>
      </c>
      <c r="G105" s="14" t="s">
        <v>1499</v>
      </c>
      <c r="H105" s="15" t="s">
        <v>643</v>
      </c>
    </row>
    <row r="106" spans="2:8" x14ac:dyDescent="0.25">
      <c r="B106" s="14" t="s">
        <v>1386</v>
      </c>
      <c r="C106" s="14"/>
      <c r="D106" s="15" t="s">
        <v>1502</v>
      </c>
      <c r="E106" s="14"/>
      <c r="F106" s="14" t="s">
        <v>1504</v>
      </c>
      <c r="G106" s="14" t="s">
        <v>1503</v>
      </c>
      <c r="H106" s="15" t="s">
        <v>643</v>
      </c>
    </row>
    <row r="107" spans="2:8" x14ac:dyDescent="0.25">
      <c r="B107" s="14" t="s">
        <v>1391</v>
      </c>
      <c r="C107" s="14"/>
      <c r="D107" s="15" t="s">
        <v>1506</v>
      </c>
      <c r="E107" s="14"/>
      <c r="F107" s="14" t="s">
        <v>1508</v>
      </c>
      <c r="G107" s="14" t="s">
        <v>1507</v>
      </c>
      <c r="H107" s="15" t="s">
        <v>643</v>
      </c>
    </row>
    <row r="108" spans="2:8" x14ac:dyDescent="0.25">
      <c r="B108" s="14" t="s">
        <v>1511</v>
      </c>
      <c r="C108" s="14"/>
      <c r="D108" s="15" t="s">
        <v>1510</v>
      </c>
      <c r="E108" s="14"/>
      <c r="F108" s="14" t="s">
        <v>1513</v>
      </c>
      <c r="G108" s="14" t="s">
        <v>1512</v>
      </c>
      <c r="H108" s="15" t="s">
        <v>643</v>
      </c>
    </row>
    <row r="109" spans="2:8" x14ac:dyDescent="0.25">
      <c r="B109" s="14" t="s">
        <v>1516</v>
      </c>
      <c r="C109" s="14"/>
      <c r="D109" s="15" t="s">
        <v>1515</v>
      </c>
      <c r="E109" s="14"/>
      <c r="F109" s="14" t="s">
        <v>1518</v>
      </c>
      <c r="G109" s="14" t="s">
        <v>1517</v>
      </c>
      <c r="H109" s="15" t="s">
        <v>643</v>
      </c>
    </row>
    <row r="110" spans="2:8" x14ac:dyDescent="0.25">
      <c r="B110" s="14" t="s">
        <v>1199</v>
      </c>
      <c r="C110" s="14"/>
      <c r="D110" s="15" t="s">
        <v>1540</v>
      </c>
      <c r="E110" s="14"/>
      <c r="F110" s="14" t="s">
        <v>1542</v>
      </c>
      <c r="G110" s="14" t="s">
        <v>1541</v>
      </c>
      <c r="H110" s="15" t="s">
        <v>643</v>
      </c>
    </row>
    <row r="111" spans="2:8" x14ac:dyDescent="0.25">
      <c r="B111" s="14" t="s">
        <v>1221</v>
      </c>
      <c r="C111" s="14"/>
      <c r="D111" s="15" t="s">
        <v>432</v>
      </c>
      <c r="E111" s="14"/>
      <c r="F111" s="14" t="s">
        <v>1545</v>
      </c>
      <c r="G111" s="14" t="s">
        <v>1544</v>
      </c>
      <c r="H111" s="15" t="s">
        <v>643</v>
      </c>
    </row>
    <row r="112" spans="2:8" x14ac:dyDescent="0.25">
      <c r="B112" s="14" t="s">
        <v>1258</v>
      </c>
      <c r="C112" s="14"/>
      <c r="D112" s="15" t="s">
        <v>1547</v>
      </c>
      <c r="E112" s="14"/>
      <c r="F112" s="14" t="s">
        <v>1549</v>
      </c>
      <c r="G112" s="14" t="s">
        <v>1548</v>
      </c>
      <c r="H112" s="15" t="s">
        <v>643</v>
      </c>
    </row>
    <row r="113" spans="2:8" x14ac:dyDescent="0.25">
      <c r="B113" s="14" t="s">
        <v>1269</v>
      </c>
      <c r="C113" s="14"/>
      <c r="D113" s="15" t="s">
        <v>1551</v>
      </c>
      <c r="E113" s="14"/>
      <c r="F113" s="14" t="s">
        <v>1553</v>
      </c>
      <c r="G113" s="14" t="s">
        <v>1552</v>
      </c>
      <c r="H113" s="15" t="s">
        <v>643</v>
      </c>
    </row>
    <row r="114" spans="2:8" x14ac:dyDescent="0.25">
      <c r="B114" s="14" t="s">
        <v>1273</v>
      </c>
      <c r="C114" s="14"/>
      <c r="D114" s="15" t="s">
        <v>1555</v>
      </c>
      <c r="E114" s="14"/>
      <c r="F114" s="14" t="s">
        <v>1557</v>
      </c>
      <c r="G114" s="14" t="s">
        <v>1556</v>
      </c>
      <c r="H114" s="15" t="s">
        <v>643</v>
      </c>
    </row>
    <row r="115" spans="2:8" x14ac:dyDescent="0.25">
      <c r="B115" s="14" t="s">
        <v>1280</v>
      </c>
      <c r="C115" s="14"/>
      <c r="D115" s="15" t="s">
        <v>429</v>
      </c>
      <c r="E115" s="14"/>
      <c r="F115" s="14" t="s">
        <v>1476</v>
      </c>
      <c r="G115" s="14" t="s">
        <v>1559</v>
      </c>
      <c r="H115" s="15" t="s">
        <v>643</v>
      </c>
    </row>
    <row r="116" spans="2:8" x14ac:dyDescent="0.25">
      <c r="B116" s="14" t="s">
        <v>1562</v>
      </c>
      <c r="C116" s="14"/>
      <c r="D116" s="15" t="s">
        <v>1561</v>
      </c>
      <c r="E116" s="14"/>
      <c r="F116" s="14" t="s">
        <v>1564</v>
      </c>
      <c r="G116" s="14" t="s">
        <v>1563</v>
      </c>
      <c r="H116" s="15" t="s">
        <v>643</v>
      </c>
    </row>
    <row r="117" spans="2:8" x14ac:dyDescent="0.25">
      <c r="B117" s="14" t="s">
        <v>1298</v>
      </c>
      <c r="C117" s="14"/>
      <c r="D117" s="15" t="s">
        <v>1478</v>
      </c>
      <c r="E117" s="14"/>
      <c r="F117" s="14" t="s">
        <v>1480</v>
      </c>
      <c r="G117" s="14" t="s">
        <v>1566</v>
      </c>
      <c r="H117" s="15" t="s">
        <v>643</v>
      </c>
    </row>
    <row r="118" spans="2:8" x14ac:dyDescent="0.25">
      <c r="B118" s="14" t="s">
        <v>1302</v>
      </c>
      <c r="C118" s="14"/>
      <c r="D118" s="15" t="s">
        <v>1482</v>
      </c>
      <c r="E118" s="14"/>
      <c r="F118" s="14" t="s">
        <v>1484</v>
      </c>
      <c r="G118" s="14" t="s">
        <v>1568</v>
      </c>
      <c r="H118" s="15" t="s">
        <v>643</v>
      </c>
    </row>
    <row r="119" spans="2:8" x14ac:dyDescent="0.25">
      <c r="B119" s="14" t="s">
        <v>1311</v>
      </c>
      <c r="C119" s="14"/>
      <c r="D119" s="15" t="s">
        <v>1486</v>
      </c>
      <c r="E119" s="14"/>
      <c r="F119" s="14" t="s">
        <v>1488</v>
      </c>
      <c r="G119" s="14" t="s">
        <v>1570</v>
      </c>
      <c r="H119" s="15" t="s">
        <v>643</v>
      </c>
    </row>
    <row r="120" spans="2:8" x14ac:dyDescent="0.25">
      <c r="B120" s="14" t="s">
        <v>1334</v>
      </c>
      <c r="C120" s="14"/>
      <c r="D120" s="15" t="s">
        <v>1490</v>
      </c>
      <c r="E120" s="14"/>
      <c r="F120" s="14" t="s">
        <v>1492</v>
      </c>
      <c r="G120" s="14" t="s">
        <v>1572</v>
      </c>
      <c r="H120" s="15" t="s">
        <v>643</v>
      </c>
    </row>
    <row r="121" spans="2:8" x14ac:dyDescent="0.25">
      <c r="B121" s="14" t="s">
        <v>1344</v>
      </c>
      <c r="C121" s="14"/>
      <c r="D121" s="15" t="s">
        <v>1494</v>
      </c>
      <c r="E121" s="14"/>
      <c r="F121" s="14" t="s">
        <v>1496</v>
      </c>
      <c r="G121" s="14" t="s">
        <v>1574</v>
      </c>
      <c r="H121" s="15" t="s">
        <v>643</v>
      </c>
    </row>
    <row r="122" spans="2:8" x14ac:dyDescent="0.25">
      <c r="B122" s="14" t="s">
        <v>1368</v>
      </c>
      <c r="C122" s="14"/>
      <c r="D122" s="15" t="s">
        <v>1498</v>
      </c>
      <c r="E122" s="14"/>
      <c r="F122" s="14" t="s">
        <v>1500</v>
      </c>
      <c r="G122" s="14" t="s">
        <v>1576</v>
      </c>
      <c r="H122" s="15" t="s">
        <v>643</v>
      </c>
    </row>
    <row r="123" spans="2:8" x14ac:dyDescent="0.25">
      <c r="B123" s="14" t="s">
        <v>1386</v>
      </c>
      <c r="C123" s="14"/>
      <c r="D123" s="15" t="s">
        <v>1502</v>
      </c>
      <c r="E123" s="14"/>
      <c r="F123" s="14" t="s">
        <v>1504</v>
      </c>
      <c r="G123" s="14" t="s">
        <v>1578</v>
      </c>
      <c r="H123" s="15" t="s">
        <v>643</v>
      </c>
    </row>
    <row r="124" spans="2:8" x14ac:dyDescent="0.25">
      <c r="B124" s="14" t="s">
        <v>1391</v>
      </c>
      <c r="C124" s="14"/>
      <c r="D124" s="15" t="s">
        <v>1506</v>
      </c>
      <c r="E124" s="14"/>
      <c r="F124" s="14" t="s">
        <v>1508</v>
      </c>
      <c r="G124" s="14" t="s">
        <v>1580</v>
      </c>
      <c r="H124" s="15" t="s">
        <v>643</v>
      </c>
    </row>
    <row r="125" spans="2:8" x14ac:dyDescent="0.25">
      <c r="B125" s="14" t="s">
        <v>1511</v>
      </c>
      <c r="C125" s="14"/>
      <c r="D125" s="15" t="s">
        <v>1510</v>
      </c>
      <c r="E125" s="14"/>
      <c r="F125" s="14" t="s">
        <v>1513</v>
      </c>
      <c r="G125" s="14" t="s">
        <v>1582</v>
      </c>
      <c r="H125" s="15" t="s">
        <v>643</v>
      </c>
    </row>
    <row r="126" spans="2:8" x14ac:dyDescent="0.25">
      <c r="B126" s="14" t="s">
        <v>1516</v>
      </c>
      <c r="C126" s="14"/>
      <c r="D126" s="15" t="s">
        <v>1515</v>
      </c>
      <c r="E126" s="14"/>
      <c r="F126" s="14" t="s">
        <v>1518</v>
      </c>
      <c r="G126" s="14" t="s">
        <v>1584</v>
      </c>
      <c r="H126" s="15" t="s">
        <v>643</v>
      </c>
    </row>
    <row r="127" spans="2:8" x14ac:dyDescent="0.25">
      <c r="B127" s="14" t="s">
        <v>1298</v>
      </c>
      <c r="C127" s="14"/>
      <c r="D127" s="15" t="s">
        <v>1478</v>
      </c>
      <c r="E127" s="14"/>
      <c r="F127" s="14" t="s">
        <v>1480</v>
      </c>
      <c r="G127" s="14" t="s">
        <v>1520</v>
      </c>
      <c r="H127" s="15" t="s">
        <v>643</v>
      </c>
    </row>
    <row r="128" spans="2:8" x14ac:dyDescent="0.25">
      <c r="B128" s="14" t="s">
        <v>1302</v>
      </c>
      <c r="C128" s="14"/>
      <c r="D128" s="15" t="s">
        <v>1482</v>
      </c>
      <c r="E128" s="14"/>
      <c r="F128" s="14" t="s">
        <v>1484</v>
      </c>
      <c r="G128" s="14" t="s">
        <v>1522</v>
      </c>
      <c r="H128" s="15" t="s">
        <v>643</v>
      </c>
    </row>
    <row r="129" spans="1:8" x14ac:dyDescent="0.25">
      <c r="B129" s="14" t="s">
        <v>1311</v>
      </c>
      <c r="C129" s="14"/>
      <c r="D129" s="15" t="s">
        <v>1486</v>
      </c>
      <c r="E129" s="14"/>
      <c r="F129" s="14" t="s">
        <v>1488</v>
      </c>
      <c r="G129" s="14" t="s">
        <v>1524</v>
      </c>
      <c r="H129" s="15" t="s">
        <v>643</v>
      </c>
    </row>
    <row r="130" spans="1:8" x14ac:dyDescent="0.25">
      <c r="B130" s="14" t="s">
        <v>1334</v>
      </c>
      <c r="C130" s="14"/>
      <c r="D130" s="15" t="s">
        <v>1490</v>
      </c>
      <c r="E130" s="14"/>
      <c r="F130" s="14" t="s">
        <v>1492</v>
      </c>
      <c r="G130" s="14" t="s">
        <v>1526</v>
      </c>
      <c r="H130" s="15" t="s">
        <v>643</v>
      </c>
    </row>
    <row r="131" spans="1:8" x14ac:dyDescent="0.25">
      <c r="B131" s="14" t="s">
        <v>1344</v>
      </c>
      <c r="C131" s="14"/>
      <c r="D131" s="15" t="s">
        <v>1494</v>
      </c>
      <c r="E131" s="14"/>
      <c r="F131" s="14" t="s">
        <v>1496</v>
      </c>
      <c r="G131" s="14" t="s">
        <v>1528</v>
      </c>
      <c r="H131" s="15" t="s">
        <v>643</v>
      </c>
    </row>
    <row r="132" spans="1:8" x14ac:dyDescent="0.25">
      <c r="B132" s="14" t="s">
        <v>1368</v>
      </c>
      <c r="C132" s="14"/>
      <c r="D132" s="15" t="s">
        <v>1498</v>
      </c>
      <c r="E132" s="14"/>
      <c r="F132" s="14" t="s">
        <v>1500</v>
      </c>
      <c r="G132" s="14" t="s">
        <v>1530</v>
      </c>
      <c r="H132" s="15" t="s">
        <v>643</v>
      </c>
    </row>
    <row r="133" spans="1:8" x14ac:dyDescent="0.25">
      <c r="B133" s="14" t="s">
        <v>1386</v>
      </c>
      <c r="C133" s="14"/>
      <c r="D133" s="15" t="s">
        <v>1502</v>
      </c>
      <c r="E133" s="14"/>
      <c r="F133" s="14" t="s">
        <v>1504</v>
      </c>
      <c r="G133" s="14" t="s">
        <v>1532</v>
      </c>
      <c r="H133" s="15" t="s">
        <v>643</v>
      </c>
    </row>
    <row r="134" spans="1:8" x14ac:dyDescent="0.25">
      <c r="B134" s="14" t="s">
        <v>1391</v>
      </c>
      <c r="C134" s="14"/>
      <c r="D134" s="15" t="s">
        <v>1506</v>
      </c>
      <c r="E134" s="14"/>
      <c r="F134" s="14" t="s">
        <v>1508</v>
      </c>
      <c r="G134" s="14" t="s">
        <v>1534</v>
      </c>
      <c r="H134" s="15" t="s">
        <v>643</v>
      </c>
    </row>
    <row r="135" spans="1:8" x14ac:dyDescent="0.25">
      <c r="B135" s="14" t="s">
        <v>1511</v>
      </c>
      <c r="C135" s="14"/>
      <c r="D135" s="15" t="s">
        <v>1510</v>
      </c>
      <c r="E135" s="14"/>
      <c r="F135" s="14" t="s">
        <v>1513</v>
      </c>
      <c r="G135" s="14" t="s">
        <v>1536</v>
      </c>
      <c r="H135" s="15" t="s">
        <v>643</v>
      </c>
    </row>
    <row r="136" spans="1:8" x14ac:dyDescent="0.25">
      <c r="B136" s="14" t="s">
        <v>1516</v>
      </c>
      <c r="C136" s="14"/>
      <c r="D136" s="15" t="s">
        <v>1515</v>
      </c>
      <c r="E136" s="14"/>
      <c r="F136" s="14" t="s">
        <v>1518</v>
      </c>
      <c r="G136" s="14" t="s">
        <v>1538</v>
      </c>
      <c r="H136" s="15" t="s">
        <v>643</v>
      </c>
    </row>
    <row r="140" spans="1:8" x14ac:dyDescent="0.25">
      <c r="A140" s="2" t="s">
        <v>1045</v>
      </c>
    </row>
    <row r="141" spans="1:8" x14ac:dyDescent="0.25">
      <c r="B141" s="14" t="s">
        <v>1047</v>
      </c>
      <c r="C141" s="14"/>
      <c r="D141" s="14" t="s">
        <v>784</v>
      </c>
      <c r="E141" s="14"/>
      <c r="F141" s="14"/>
      <c r="G141" s="14" t="s">
        <v>318</v>
      </c>
      <c r="H141" s="14" t="s">
        <v>4468</v>
      </c>
    </row>
    <row r="142" spans="1:8" hidden="1" x14ac:dyDescent="0.25">
      <c r="B142" s="15" t="s">
        <v>1055</v>
      </c>
      <c r="C142" s="14"/>
      <c r="D142" s="15" t="s">
        <v>2154</v>
      </c>
      <c r="E142" s="14"/>
      <c r="F142" s="14"/>
      <c r="G142" s="14" t="s">
        <v>321</v>
      </c>
      <c r="H142" s="15" t="s">
        <v>4469</v>
      </c>
    </row>
    <row r="143" spans="1:8" x14ac:dyDescent="0.25">
      <c r="B143" s="15" t="s">
        <v>1345</v>
      </c>
      <c r="C143" s="14"/>
      <c r="D143" s="15" t="s">
        <v>1346</v>
      </c>
      <c r="E143" s="14"/>
      <c r="F143" s="14"/>
      <c r="G143" s="14" t="s">
        <v>1348</v>
      </c>
      <c r="H143" s="15"/>
    </row>
    <row r="144" spans="1:8" x14ac:dyDescent="0.25">
      <c r="B144" s="15" t="s">
        <v>1349</v>
      </c>
      <c r="C144" s="14"/>
      <c r="D144" s="15" t="s">
        <v>1350</v>
      </c>
      <c r="E144" s="14"/>
      <c r="F144" s="14"/>
      <c r="G144" s="14" t="s">
        <v>1351</v>
      </c>
      <c r="H144" s="15"/>
    </row>
    <row r="145" spans="2:8" x14ac:dyDescent="0.25">
      <c r="B145" s="15" t="s">
        <v>1352</v>
      </c>
      <c r="C145" s="14"/>
      <c r="D145" s="15" t="s">
        <v>1353</v>
      </c>
      <c r="E145" s="14"/>
      <c r="F145" s="14"/>
      <c r="G145" s="14" t="s">
        <v>1355</v>
      </c>
      <c r="H145" s="15"/>
    </row>
    <row r="146" spans="2:8" x14ac:dyDescent="0.25">
      <c r="B146" s="15" t="s">
        <v>1356</v>
      </c>
      <c r="C146" s="14"/>
      <c r="D146" s="15" t="s">
        <v>1357</v>
      </c>
      <c r="E146" s="14"/>
      <c r="F146" s="14"/>
      <c r="G146" s="14" t="s">
        <v>1358</v>
      </c>
      <c r="H146" s="15"/>
    </row>
    <row r="147" spans="2:8" x14ac:dyDescent="0.25">
      <c r="B147" s="15" t="s">
        <v>1074</v>
      </c>
      <c r="C147" s="14"/>
      <c r="D147" s="15" t="s">
        <v>1075</v>
      </c>
      <c r="E147" s="14"/>
      <c r="F147" s="14"/>
      <c r="G147" s="14" t="s">
        <v>1077</v>
      </c>
      <c r="H147" s="15"/>
    </row>
    <row r="148" spans="2:8" x14ac:dyDescent="0.25">
      <c r="B148" s="15" t="s">
        <v>1078</v>
      </c>
      <c r="C148" s="14"/>
      <c r="D148" s="15" t="s">
        <v>1079</v>
      </c>
      <c r="E148" s="14"/>
      <c r="F148" s="14"/>
      <c r="G148" s="14" t="s">
        <v>1081</v>
      </c>
      <c r="H148" s="15"/>
    </row>
    <row r="149" spans="2:8" x14ac:dyDescent="0.25">
      <c r="B149" s="15" t="s">
        <v>1082</v>
      </c>
      <c r="C149" s="14"/>
      <c r="D149" s="15" t="s">
        <v>1083</v>
      </c>
      <c r="E149" s="14"/>
      <c r="F149" s="14"/>
      <c r="G149" s="14" t="s">
        <v>1085</v>
      </c>
      <c r="H149" s="15"/>
    </row>
    <row r="150" spans="2:8" x14ac:dyDescent="0.25">
      <c r="B150" s="15" t="s">
        <v>1359</v>
      </c>
      <c r="C150" s="14"/>
      <c r="D150" s="15" t="s">
        <v>1360</v>
      </c>
      <c r="E150" s="14"/>
      <c r="F150" s="14"/>
      <c r="G150" s="14" t="s">
        <v>1361</v>
      </c>
      <c r="H150" s="15"/>
    </row>
    <row r="151" spans="2:8" x14ac:dyDescent="0.25">
      <c r="B151" s="15" t="s">
        <v>1362</v>
      </c>
      <c r="C151" s="14"/>
      <c r="D151" s="15" t="s">
        <v>1363</v>
      </c>
      <c r="E151" s="14"/>
      <c r="F151" s="14"/>
      <c r="G151" s="14" t="s">
        <v>1364</v>
      </c>
      <c r="H151" s="15"/>
    </row>
    <row r="152" spans="2:8" x14ac:dyDescent="0.25">
      <c r="B152" s="15" t="s">
        <v>1365</v>
      </c>
      <c r="C152" s="14"/>
      <c r="D152" s="15" t="s">
        <v>1366</v>
      </c>
      <c r="E152" s="14"/>
      <c r="F152" s="14"/>
      <c r="G152" s="14" t="s">
        <v>1367</v>
      </c>
      <c r="H152" s="15"/>
    </row>
    <row r="153" spans="2:8" x14ac:dyDescent="0.25">
      <c r="B153" s="15" t="s">
        <v>1335</v>
      </c>
      <c r="C153" s="14"/>
      <c r="D153" s="15" t="s">
        <v>1336</v>
      </c>
      <c r="E153" s="14"/>
      <c r="F153" s="14"/>
      <c r="G153" s="14" t="s">
        <v>1337</v>
      </c>
      <c r="H153" s="15"/>
    </row>
    <row r="154" spans="2:8" x14ac:dyDescent="0.25">
      <c r="B154" s="15" t="s">
        <v>1099</v>
      </c>
      <c r="C154" s="14"/>
      <c r="D154" s="15" t="s">
        <v>1100</v>
      </c>
      <c r="E154" s="14"/>
      <c r="F154" s="14"/>
      <c r="G154" s="14" t="s">
        <v>1101</v>
      </c>
      <c r="H154" s="15"/>
    </row>
    <row r="155" spans="2:8" x14ac:dyDescent="0.25">
      <c r="B155" s="15" t="s">
        <v>1102</v>
      </c>
      <c r="C155" s="14"/>
      <c r="D155" s="15" t="s">
        <v>1103</v>
      </c>
      <c r="E155" s="14"/>
      <c r="F155" s="14"/>
      <c r="G155" s="14" t="s">
        <v>1104</v>
      </c>
      <c r="H155" s="15"/>
    </row>
    <row r="156" spans="2:8" x14ac:dyDescent="0.25">
      <c r="B156" s="15" t="s">
        <v>1105</v>
      </c>
      <c r="C156" s="14"/>
      <c r="D156" s="15" t="s">
        <v>1106</v>
      </c>
      <c r="E156" s="14"/>
      <c r="F156" s="14"/>
      <c r="G156" s="14" t="s">
        <v>1107</v>
      </c>
      <c r="H156" s="15"/>
    </row>
    <row r="157" spans="2:8" x14ac:dyDescent="0.25">
      <c r="B157" s="15" t="s">
        <v>1108</v>
      </c>
      <c r="C157" s="14"/>
      <c r="D157" s="15" t="s">
        <v>1109</v>
      </c>
      <c r="E157" s="14"/>
      <c r="F157" s="14"/>
      <c r="G157" s="14" t="s">
        <v>1111</v>
      </c>
      <c r="H157" s="15"/>
    </row>
    <row r="158" spans="2:8" x14ac:dyDescent="0.25">
      <c r="B158" s="15" t="s">
        <v>1112</v>
      </c>
      <c r="C158" s="14"/>
      <c r="D158" s="15" t="s">
        <v>1113</v>
      </c>
      <c r="E158" s="14"/>
      <c r="F158" s="14"/>
      <c r="G158" s="14" t="s">
        <v>1114</v>
      </c>
      <c r="H158" s="15"/>
    </row>
    <row r="159" spans="2:8" x14ac:dyDescent="0.25">
      <c r="B159" s="15" t="s">
        <v>1338</v>
      </c>
      <c r="C159" s="14"/>
      <c r="D159" s="15" t="s">
        <v>1339</v>
      </c>
      <c r="E159" s="14"/>
      <c r="F159" s="14"/>
      <c r="G159" s="14" t="s">
        <v>1340</v>
      </c>
      <c r="H159" s="15"/>
    </row>
    <row r="160" spans="2:8" x14ac:dyDescent="0.25">
      <c r="B160" s="15" t="s">
        <v>1341</v>
      </c>
      <c r="C160" s="14"/>
      <c r="D160" s="15" t="s">
        <v>1342</v>
      </c>
      <c r="E160" s="14"/>
      <c r="F160" s="14"/>
      <c r="G160" s="14" t="s">
        <v>1343</v>
      </c>
      <c r="H160" s="15"/>
    </row>
    <row r="161" spans="2:8" x14ac:dyDescent="0.25">
      <c r="B161" s="15" t="s">
        <v>1312</v>
      </c>
      <c r="C161" s="14"/>
      <c r="D161" s="15" t="s">
        <v>1313</v>
      </c>
      <c r="E161" s="14"/>
      <c r="F161" s="14"/>
      <c r="G161" s="14" t="s">
        <v>1314</v>
      </c>
      <c r="H161" s="15"/>
    </row>
    <row r="162" spans="2:8" x14ac:dyDescent="0.25">
      <c r="B162" s="15" t="s">
        <v>1315</v>
      </c>
      <c r="C162" s="14"/>
      <c r="D162" s="15" t="s">
        <v>1316</v>
      </c>
      <c r="E162" s="14"/>
      <c r="F162" s="14"/>
      <c r="G162" s="14" t="s">
        <v>1318</v>
      </c>
      <c r="H162" s="15"/>
    </row>
    <row r="163" spans="2:8" x14ac:dyDescent="0.25">
      <c r="B163" s="15" t="s">
        <v>1319</v>
      </c>
      <c r="C163" s="14"/>
      <c r="D163" s="15" t="s">
        <v>1320</v>
      </c>
      <c r="E163" s="14"/>
      <c r="F163" s="14"/>
      <c r="G163" s="14" t="s">
        <v>1321</v>
      </c>
      <c r="H163" s="15"/>
    </row>
    <row r="164" spans="2:8" x14ac:dyDescent="0.25">
      <c r="B164" s="15" t="s">
        <v>1120</v>
      </c>
      <c r="C164" s="14"/>
      <c r="D164" s="15" t="s">
        <v>1121</v>
      </c>
      <c r="E164" s="14"/>
      <c r="F164" s="14"/>
      <c r="G164" s="14" t="s">
        <v>1122</v>
      </c>
      <c r="H164" s="15"/>
    </row>
    <row r="165" spans="2:8" x14ac:dyDescent="0.25">
      <c r="B165" s="15" t="s">
        <v>1137</v>
      </c>
      <c r="C165" s="14"/>
      <c r="D165" s="15" t="s">
        <v>1138</v>
      </c>
      <c r="E165" s="14"/>
      <c r="F165" s="14"/>
      <c r="G165" s="14" t="s">
        <v>1140</v>
      </c>
      <c r="H165" s="15"/>
    </row>
    <row r="166" spans="2:8" x14ac:dyDescent="0.25">
      <c r="B166" s="15" t="s">
        <v>1141</v>
      </c>
      <c r="C166" s="14"/>
      <c r="D166" s="15" t="s">
        <v>1142</v>
      </c>
      <c r="E166" s="14"/>
      <c r="F166" s="14"/>
      <c r="G166" s="14" t="s">
        <v>1143</v>
      </c>
      <c r="H166" s="15"/>
    </row>
    <row r="167" spans="2:8" x14ac:dyDescent="0.25">
      <c r="B167" s="15" t="s">
        <v>1144</v>
      </c>
      <c r="C167" s="14"/>
      <c r="D167" s="15" t="s">
        <v>1145</v>
      </c>
      <c r="E167" s="14"/>
      <c r="F167" s="14"/>
      <c r="G167" s="14" t="s">
        <v>1146</v>
      </c>
      <c r="H167" s="15"/>
    </row>
    <row r="168" spans="2:8" x14ac:dyDescent="0.25">
      <c r="B168" s="15" t="s">
        <v>1322</v>
      </c>
      <c r="C168" s="14"/>
      <c r="D168" s="15" t="s">
        <v>1323</v>
      </c>
      <c r="E168" s="14"/>
      <c r="F168" s="14"/>
      <c r="G168" s="14" t="s">
        <v>1325</v>
      </c>
      <c r="H168" s="15"/>
    </row>
    <row r="169" spans="2:8" x14ac:dyDescent="0.25">
      <c r="B169" s="15" t="s">
        <v>1326</v>
      </c>
      <c r="C169" s="14"/>
      <c r="D169" s="15" t="s">
        <v>1327</v>
      </c>
      <c r="E169" s="14"/>
      <c r="F169" s="14"/>
      <c r="G169" s="14" t="s">
        <v>1329</v>
      </c>
      <c r="H169" s="15"/>
    </row>
    <row r="170" spans="2:8" x14ac:dyDescent="0.25">
      <c r="B170" s="15" t="s">
        <v>1330</v>
      </c>
      <c r="C170" s="14"/>
      <c r="D170" s="15" t="s">
        <v>1331</v>
      </c>
      <c r="E170" s="14"/>
      <c r="F170" s="14"/>
      <c r="G170" s="14" t="s">
        <v>1333</v>
      </c>
      <c r="H170" s="15"/>
    </row>
    <row r="171" spans="2:8" x14ac:dyDescent="0.25">
      <c r="B171" s="15" t="s">
        <v>1303</v>
      </c>
      <c r="C171" s="14"/>
      <c r="D171" s="15" t="s">
        <v>1304</v>
      </c>
      <c r="E171" s="14"/>
      <c r="F171" s="14"/>
      <c r="G171" s="14" t="s">
        <v>1306</v>
      </c>
      <c r="H171" s="15"/>
    </row>
    <row r="172" spans="2:8" x14ac:dyDescent="0.25">
      <c r="B172" s="15" t="s">
        <v>1307</v>
      </c>
      <c r="C172" s="14"/>
      <c r="D172" s="15" t="s">
        <v>1308</v>
      </c>
      <c r="E172" s="14"/>
      <c r="F172" s="14"/>
      <c r="G172" s="14" t="s">
        <v>1310</v>
      </c>
      <c r="H172" s="15"/>
    </row>
    <row r="173" spans="2:8" x14ac:dyDescent="0.25">
      <c r="B173" s="15" t="s">
        <v>1181</v>
      </c>
      <c r="C173" s="14"/>
      <c r="D173" s="15" t="s">
        <v>1182</v>
      </c>
      <c r="E173" s="14"/>
      <c r="F173" s="14"/>
      <c r="G173" s="14" t="s">
        <v>1183</v>
      </c>
      <c r="H173" s="15"/>
    </row>
    <row r="174" spans="2:8" x14ac:dyDescent="0.25">
      <c r="B174" s="15" t="s">
        <v>1184</v>
      </c>
      <c r="C174" s="14"/>
      <c r="D174" s="15" t="s">
        <v>1185</v>
      </c>
      <c r="E174" s="14"/>
      <c r="F174" s="14"/>
      <c r="G174" s="14" t="s">
        <v>1186</v>
      </c>
      <c r="H174" s="15"/>
    </row>
    <row r="175" spans="2:8" x14ac:dyDescent="0.25">
      <c r="B175" s="15" t="s">
        <v>1187</v>
      </c>
      <c r="C175" s="14"/>
      <c r="D175" s="15" t="s">
        <v>1188</v>
      </c>
      <c r="E175" s="14"/>
      <c r="F175" s="14"/>
      <c r="G175" s="14" t="s">
        <v>1189</v>
      </c>
      <c r="H175" s="15"/>
    </row>
    <row r="176" spans="2:8" x14ac:dyDescent="0.25">
      <c r="B176" s="15" t="s">
        <v>1190</v>
      </c>
      <c r="C176" s="14"/>
      <c r="D176" s="15" t="s">
        <v>1191</v>
      </c>
      <c r="E176" s="14"/>
      <c r="F176" s="14"/>
      <c r="G176" s="14" t="s">
        <v>1192</v>
      </c>
      <c r="H176" s="15"/>
    </row>
    <row r="177" spans="2:8" x14ac:dyDescent="0.25">
      <c r="B177" s="15" t="s">
        <v>1193</v>
      </c>
      <c r="C177" s="14"/>
      <c r="D177" s="15" t="s">
        <v>1194</v>
      </c>
      <c r="E177" s="14"/>
      <c r="F177" s="14"/>
      <c r="G177" s="14" t="s">
        <v>1195</v>
      </c>
      <c r="H177" s="15"/>
    </row>
    <row r="178" spans="2:8" x14ac:dyDescent="0.25">
      <c r="B178" s="15" t="s">
        <v>1392</v>
      </c>
      <c r="C178" s="14"/>
      <c r="D178" s="15" t="s">
        <v>1393</v>
      </c>
      <c r="E178" s="14"/>
      <c r="F178" s="14"/>
      <c r="G178" s="14" t="s">
        <v>1395</v>
      </c>
      <c r="H178" s="15"/>
    </row>
    <row r="179" spans="2:8" x14ac:dyDescent="0.25">
      <c r="B179" s="15" t="s">
        <v>1396</v>
      </c>
      <c r="C179" s="14"/>
      <c r="D179" s="15" t="s">
        <v>1397</v>
      </c>
      <c r="E179" s="14"/>
      <c r="F179" s="14"/>
      <c r="G179" s="14" t="s">
        <v>1398</v>
      </c>
      <c r="H179" s="15"/>
    </row>
    <row r="180" spans="2:8" x14ac:dyDescent="0.25">
      <c r="B180" s="15" t="s">
        <v>1399</v>
      </c>
      <c r="C180" s="14"/>
      <c r="D180" s="15" t="s">
        <v>1400</v>
      </c>
      <c r="E180" s="14"/>
      <c r="F180" s="14"/>
      <c r="G180" s="14" t="s">
        <v>1402</v>
      </c>
      <c r="H180" s="15"/>
    </row>
    <row r="181" spans="2:8" x14ac:dyDescent="0.25">
      <c r="B181" s="15" t="s">
        <v>1403</v>
      </c>
      <c r="C181" s="14"/>
      <c r="D181" s="15" t="s">
        <v>1404</v>
      </c>
      <c r="E181" s="14"/>
      <c r="F181" s="14"/>
      <c r="G181" s="14" t="s">
        <v>1405</v>
      </c>
      <c r="H181" s="15"/>
    </row>
    <row r="182" spans="2:8" x14ac:dyDescent="0.25">
      <c r="B182" s="15" t="s">
        <v>1196</v>
      </c>
      <c r="C182" s="14"/>
      <c r="D182" s="15" t="s">
        <v>1197</v>
      </c>
      <c r="E182" s="14"/>
      <c r="F182" s="14"/>
      <c r="G182" s="14" t="s">
        <v>1198</v>
      </c>
      <c r="H182" s="15"/>
    </row>
    <row r="183" spans="2:8" x14ac:dyDescent="0.25">
      <c r="B183" s="15" t="s">
        <v>1200</v>
      </c>
      <c r="C183" s="14"/>
      <c r="D183" s="15" t="s">
        <v>1201</v>
      </c>
      <c r="E183" s="14"/>
      <c r="F183" s="14"/>
      <c r="G183" s="14" t="s">
        <v>1203</v>
      </c>
      <c r="H183" s="15"/>
    </row>
    <row r="184" spans="2:8" x14ac:dyDescent="0.25">
      <c r="B184" s="15" t="s">
        <v>1204</v>
      </c>
      <c r="C184" s="14"/>
      <c r="D184" s="15" t="s">
        <v>1205</v>
      </c>
      <c r="E184" s="14"/>
      <c r="F184" s="14"/>
      <c r="G184" s="14" t="s">
        <v>1207</v>
      </c>
      <c r="H184" s="15"/>
    </row>
    <row r="185" spans="2:8" x14ac:dyDescent="0.25">
      <c r="B185" s="15" t="s">
        <v>1406</v>
      </c>
      <c r="C185" s="14"/>
      <c r="D185" s="15" t="s">
        <v>1407</v>
      </c>
      <c r="E185" s="14"/>
      <c r="F185" s="14"/>
      <c r="G185" s="14" t="s">
        <v>1408</v>
      </c>
      <c r="H185" s="15"/>
    </row>
    <row r="186" spans="2:8" x14ac:dyDescent="0.25">
      <c r="B186" s="15" t="s">
        <v>1409</v>
      </c>
      <c r="C186" s="14"/>
      <c r="D186" s="15" t="s">
        <v>1410</v>
      </c>
      <c r="E186" s="14"/>
      <c r="F186" s="14"/>
      <c r="G186" s="14" t="s">
        <v>1412</v>
      </c>
      <c r="H186" s="15"/>
    </row>
    <row r="187" spans="2:8" x14ac:dyDescent="0.25">
      <c r="B187" s="15" t="s">
        <v>1413</v>
      </c>
      <c r="C187" s="14"/>
      <c r="D187" s="15" t="s">
        <v>1414</v>
      </c>
      <c r="E187" s="14"/>
      <c r="F187" s="14"/>
      <c r="G187" s="14" t="s">
        <v>1415</v>
      </c>
      <c r="H187" s="15"/>
    </row>
    <row r="188" spans="2:8" x14ac:dyDescent="0.25">
      <c r="B188" s="15" t="s">
        <v>1416</v>
      </c>
      <c r="C188" s="14"/>
      <c r="D188" s="15" t="s">
        <v>1417</v>
      </c>
      <c r="E188" s="14"/>
      <c r="F188" s="14"/>
      <c r="G188" s="14" t="s">
        <v>1418</v>
      </c>
      <c r="H188" s="15"/>
    </row>
    <row r="189" spans="2:8" x14ac:dyDescent="0.25">
      <c r="B189" s="15" t="s">
        <v>1419</v>
      </c>
      <c r="C189" s="14"/>
      <c r="D189" s="15" t="s">
        <v>1420</v>
      </c>
      <c r="E189" s="14"/>
      <c r="F189" s="14"/>
      <c r="G189" s="14" t="s">
        <v>1421</v>
      </c>
      <c r="H189" s="15"/>
    </row>
    <row r="190" spans="2:8" x14ac:dyDescent="0.25">
      <c r="B190" s="15" t="s">
        <v>1208</v>
      </c>
      <c r="C190" s="14"/>
      <c r="D190" s="15" t="s">
        <v>1209</v>
      </c>
      <c r="E190" s="14"/>
      <c r="F190" s="14"/>
      <c r="G190" s="14" t="s">
        <v>1210</v>
      </c>
      <c r="H190" s="15"/>
    </row>
    <row r="191" spans="2:8" x14ac:dyDescent="0.25">
      <c r="B191" s="15" t="s">
        <v>1211</v>
      </c>
      <c r="C191" s="14"/>
      <c r="D191" s="15" t="s">
        <v>1212</v>
      </c>
      <c r="E191" s="14"/>
      <c r="F191" s="14"/>
      <c r="G191" s="14" t="s">
        <v>1213</v>
      </c>
      <c r="H191" s="15"/>
    </row>
    <row r="192" spans="2:8" x14ac:dyDescent="0.25">
      <c r="B192" s="15" t="s">
        <v>1214</v>
      </c>
      <c r="C192" s="14"/>
      <c r="D192" s="15" t="s">
        <v>1215</v>
      </c>
      <c r="E192" s="14"/>
      <c r="F192" s="14"/>
      <c r="G192" s="14" t="s">
        <v>1216</v>
      </c>
      <c r="H192" s="15"/>
    </row>
    <row r="193" spans="2:8" x14ac:dyDescent="0.25">
      <c r="B193" s="15" t="s">
        <v>1087</v>
      </c>
      <c r="C193" s="14"/>
      <c r="D193" s="15" t="s">
        <v>1088</v>
      </c>
      <c r="E193" s="14"/>
      <c r="F193" s="14"/>
      <c r="G193" s="14" t="s">
        <v>1089</v>
      </c>
      <c r="H193" s="15"/>
    </row>
    <row r="194" spans="2:8" x14ac:dyDescent="0.25">
      <c r="B194" s="15" t="s">
        <v>1090</v>
      </c>
      <c r="C194" s="14"/>
      <c r="D194" s="15" t="s">
        <v>1091</v>
      </c>
      <c r="E194" s="14"/>
      <c r="F194" s="14"/>
      <c r="G194" s="14" t="s">
        <v>1093</v>
      </c>
      <c r="H194" s="15"/>
    </row>
    <row r="195" spans="2:8" x14ac:dyDescent="0.25">
      <c r="B195" s="15" t="s">
        <v>1094</v>
      </c>
      <c r="C195" s="14"/>
      <c r="D195" s="15" t="s">
        <v>1095</v>
      </c>
      <c r="E195" s="14"/>
      <c r="F195" s="14"/>
      <c r="G195" s="14" t="s">
        <v>1097</v>
      </c>
      <c r="H195" s="15"/>
    </row>
    <row r="196" spans="2:8" x14ac:dyDescent="0.25">
      <c r="B196" s="15" t="s">
        <v>1116</v>
      </c>
      <c r="C196" s="14"/>
      <c r="D196" s="15" t="s">
        <v>1117</v>
      </c>
      <c r="E196" s="14"/>
      <c r="F196" s="14"/>
      <c r="G196" s="14" t="s">
        <v>1118</v>
      </c>
      <c r="H196" s="15"/>
    </row>
    <row r="197" spans="2:8" x14ac:dyDescent="0.25">
      <c r="B197" s="15" t="s">
        <v>1148</v>
      </c>
      <c r="C197" s="14"/>
      <c r="D197" s="15" t="s">
        <v>1149</v>
      </c>
      <c r="E197" s="14"/>
      <c r="F197" s="14"/>
      <c r="G197" s="14" t="s">
        <v>1150</v>
      </c>
      <c r="H197" s="15"/>
    </row>
    <row r="198" spans="2:8" x14ac:dyDescent="0.25">
      <c r="B198" s="15" t="s">
        <v>1217</v>
      </c>
      <c r="C198" s="14"/>
      <c r="D198" s="15" t="s">
        <v>1218</v>
      </c>
      <c r="E198" s="14"/>
      <c r="F198" s="14"/>
      <c r="G198" s="14" t="s">
        <v>1220</v>
      </c>
      <c r="H198" s="15"/>
    </row>
    <row r="199" spans="2:8" x14ac:dyDescent="0.25">
      <c r="B199" s="15" t="s">
        <v>1281</v>
      </c>
      <c r="C199" s="14"/>
      <c r="D199" s="15" t="s">
        <v>1282</v>
      </c>
      <c r="E199" s="14"/>
      <c r="F199" s="14"/>
      <c r="G199" s="14" t="s">
        <v>1283</v>
      </c>
      <c r="H199" s="15"/>
    </row>
    <row r="200" spans="2:8" x14ac:dyDescent="0.25">
      <c r="B200" s="15" t="s">
        <v>1284</v>
      </c>
      <c r="C200" s="14"/>
      <c r="D200" s="15" t="s">
        <v>1285</v>
      </c>
      <c r="E200" s="14"/>
      <c r="F200" s="14"/>
      <c r="G200" s="14" t="s">
        <v>1287</v>
      </c>
      <c r="H200" s="15"/>
    </row>
    <row r="201" spans="2:8" x14ac:dyDescent="0.25">
      <c r="B201" s="15" t="s">
        <v>1288</v>
      </c>
      <c r="C201" s="14"/>
      <c r="D201" s="15" t="s">
        <v>1289</v>
      </c>
      <c r="E201" s="14"/>
      <c r="F201" s="14"/>
      <c r="G201" s="14" t="s">
        <v>1290</v>
      </c>
      <c r="H201" s="15"/>
    </row>
    <row r="202" spans="2:8" x14ac:dyDescent="0.25">
      <c r="B202" s="15" t="s">
        <v>1151</v>
      </c>
      <c r="C202" s="14"/>
      <c r="D202" s="15" t="s">
        <v>1152</v>
      </c>
      <c r="E202" s="14"/>
      <c r="F202" s="14"/>
      <c r="G202" s="14" t="s">
        <v>1153</v>
      </c>
      <c r="H202" s="15"/>
    </row>
    <row r="203" spans="2:8" x14ac:dyDescent="0.25">
      <c r="B203" s="15" t="s">
        <v>1154</v>
      </c>
      <c r="C203" s="14"/>
      <c r="D203" s="15" t="s">
        <v>1155</v>
      </c>
      <c r="E203" s="14"/>
      <c r="F203" s="14"/>
      <c r="G203" s="14" t="s">
        <v>1156</v>
      </c>
      <c r="H203" s="15"/>
    </row>
    <row r="204" spans="2:8" x14ac:dyDescent="0.25">
      <c r="B204" s="15" t="s">
        <v>1157</v>
      </c>
      <c r="C204" s="14"/>
      <c r="D204" s="15" t="s">
        <v>1158</v>
      </c>
      <c r="E204" s="14"/>
      <c r="F204" s="14"/>
      <c r="G204" s="14" t="s">
        <v>1159</v>
      </c>
      <c r="H204" s="15"/>
    </row>
    <row r="205" spans="2:8" x14ac:dyDescent="0.25">
      <c r="B205" s="15" t="s">
        <v>1291</v>
      </c>
      <c r="C205" s="14"/>
      <c r="D205" s="15" t="s">
        <v>1292</v>
      </c>
      <c r="E205" s="14"/>
      <c r="F205" s="14"/>
      <c r="G205" s="14" t="s">
        <v>1294</v>
      </c>
      <c r="H205" s="15"/>
    </row>
    <row r="206" spans="2:8" x14ac:dyDescent="0.25">
      <c r="B206" s="15" t="s">
        <v>1295</v>
      </c>
      <c r="C206" s="14"/>
      <c r="D206" s="15" t="s">
        <v>1296</v>
      </c>
      <c r="E206" s="14"/>
      <c r="F206" s="14"/>
      <c r="G206" s="14" t="s">
        <v>1297</v>
      </c>
      <c r="H206" s="15"/>
    </row>
    <row r="207" spans="2:8" x14ac:dyDescent="0.25">
      <c r="B207" s="15" t="s">
        <v>1222</v>
      </c>
      <c r="C207" s="14"/>
      <c r="D207" s="15" t="s">
        <v>1223</v>
      </c>
      <c r="E207" s="14"/>
      <c r="F207" s="14"/>
      <c r="G207" s="14" t="s">
        <v>1224</v>
      </c>
      <c r="H207" s="15"/>
    </row>
    <row r="208" spans="2:8" x14ac:dyDescent="0.25">
      <c r="B208" s="15" t="s">
        <v>1225</v>
      </c>
      <c r="C208" s="14"/>
      <c r="D208" s="15" t="s">
        <v>1226</v>
      </c>
      <c r="E208" s="14"/>
      <c r="F208" s="14"/>
      <c r="G208" s="14" t="s">
        <v>1228</v>
      </c>
      <c r="H208" s="15"/>
    </row>
    <row r="209" spans="2:8" x14ac:dyDescent="0.25">
      <c r="B209" s="15" t="s">
        <v>1160</v>
      </c>
      <c r="C209" s="14"/>
      <c r="D209" s="15" t="s">
        <v>1161</v>
      </c>
      <c r="E209" s="14"/>
      <c r="F209" s="14"/>
      <c r="G209" s="14" t="s">
        <v>1162</v>
      </c>
      <c r="H209" s="15"/>
    </row>
    <row r="210" spans="2:8" x14ac:dyDescent="0.25">
      <c r="B210" s="15" t="s">
        <v>1163</v>
      </c>
      <c r="C210" s="14"/>
      <c r="D210" s="15" t="s">
        <v>1164</v>
      </c>
      <c r="E210" s="14"/>
      <c r="F210" s="14"/>
      <c r="G210" s="14" t="s">
        <v>1165</v>
      </c>
      <c r="H210" s="15"/>
    </row>
    <row r="211" spans="2:8" x14ac:dyDescent="0.25">
      <c r="B211" s="15" t="s">
        <v>1166</v>
      </c>
      <c r="C211" s="14"/>
      <c r="D211" s="15" t="s">
        <v>1167</v>
      </c>
      <c r="E211" s="14"/>
      <c r="F211" s="14"/>
      <c r="G211" s="14" t="s">
        <v>1169</v>
      </c>
      <c r="H211" s="15"/>
    </row>
    <row r="212" spans="2:8" x14ac:dyDescent="0.25">
      <c r="B212" s="15" t="s">
        <v>1170</v>
      </c>
      <c r="C212" s="14"/>
      <c r="D212" s="15" t="s">
        <v>1171</v>
      </c>
      <c r="E212" s="14"/>
      <c r="F212" s="14"/>
      <c r="G212" s="14" t="s">
        <v>1173</v>
      </c>
      <c r="H212" s="15"/>
    </row>
    <row r="213" spans="2:8" x14ac:dyDescent="0.25">
      <c r="B213" s="15" t="s">
        <v>1229</v>
      </c>
      <c r="C213" s="14"/>
      <c r="D213" s="15" t="s">
        <v>1230</v>
      </c>
      <c r="E213" s="14"/>
      <c r="F213" s="14"/>
      <c r="G213" s="14" t="s">
        <v>1231</v>
      </c>
      <c r="H213" s="15"/>
    </row>
    <row r="214" spans="2:8" x14ac:dyDescent="0.25">
      <c r="B214" s="15" t="s">
        <v>1232</v>
      </c>
      <c r="C214" s="14"/>
      <c r="D214" s="15" t="s">
        <v>1233</v>
      </c>
      <c r="E214" s="14"/>
      <c r="F214" s="14"/>
      <c r="G214" s="14" t="s">
        <v>1234</v>
      </c>
      <c r="H214" s="15"/>
    </row>
    <row r="215" spans="2:8" x14ac:dyDescent="0.25">
      <c r="B215" s="15" t="s">
        <v>1235</v>
      </c>
      <c r="C215" s="14"/>
      <c r="D215" s="15" t="s">
        <v>1236</v>
      </c>
      <c r="E215" s="14"/>
      <c r="F215" s="14"/>
      <c r="G215" s="14" t="s">
        <v>1237</v>
      </c>
      <c r="H215" s="15"/>
    </row>
    <row r="216" spans="2:8" x14ac:dyDescent="0.25">
      <c r="B216" s="15" t="s">
        <v>1238</v>
      </c>
      <c r="C216" s="14"/>
      <c r="D216" s="15" t="s">
        <v>1239</v>
      </c>
      <c r="E216" s="14"/>
      <c r="F216" s="14"/>
      <c r="G216" s="14" t="s">
        <v>1240</v>
      </c>
      <c r="H216" s="15"/>
    </row>
    <row r="217" spans="2:8" x14ac:dyDescent="0.25">
      <c r="B217" s="15" t="s">
        <v>1174</v>
      </c>
      <c r="C217" s="14"/>
      <c r="D217" s="15" t="s">
        <v>1175</v>
      </c>
      <c r="E217" s="14"/>
      <c r="F217" s="14"/>
      <c r="G217" s="14" t="s">
        <v>1176</v>
      </c>
      <c r="H217" s="15"/>
    </row>
    <row r="218" spans="2:8" x14ac:dyDescent="0.25">
      <c r="B218" s="15" t="s">
        <v>1177</v>
      </c>
      <c r="C218" s="14"/>
      <c r="D218" s="15" t="s">
        <v>1178</v>
      </c>
      <c r="E218" s="14"/>
      <c r="F218" s="14"/>
      <c r="G218" s="14" t="s">
        <v>1179</v>
      </c>
      <c r="H218" s="15"/>
    </row>
    <row r="219" spans="2:8" x14ac:dyDescent="0.25">
      <c r="B219" s="15" t="s">
        <v>1060</v>
      </c>
      <c r="C219" s="14"/>
      <c r="D219" s="15" t="s">
        <v>1061</v>
      </c>
      <c r="E219" s="14"/>
      <c r="F219" s="14"/>
      <c r="G219" s="14" t="s">
        <v>1062</v>
      </c>
      <c r="H219" s="15"/>
    </row>
    <row r="220" spans="2:8" x14ac:dyDescent="0.25">
      <c r="B220" s="15" t="s">
        <v>1065</v>
      </c>
      <c r="C220" s="14"/>
      <c r="D220" s="15" t="s">
        <v>1066</v>
      </c>
      <c r="E220" s="14"/>
      <c r="F220" s="14"/>
      <c r="G220" s="14" t="s">
        <v>1068</v>
      </c>
      <c r="H220" s="15"/>
    </row>
    <row r="221" spans="2:8" x14ac:dyDescent="0.25">
      <c r="B221" s="15" t="s">
        <v>1069</v>
      </c>
      <c r="C221" s="14"/>
      <c r="D221" s="15" t="s">
        <v>1070</v>
      </c>
      <c r="E221" s="14"/>
      <c r="F221" s="14"/>
      <c r="G221" s="14" t="s">
        <v>1072</v>
      </c>
      <c r="H221" s="15"/>
    </row>
    <row r="222" spans="2:8" x14ac:dyDescent="0.25">
      <c r="B222" s="15" t="s">
        <v>1241</v>
      </c>
      <c r="C222" s="14"/>
      <c r="D222" s="15" t="s">
        <v>1242</v>
      </c>
      <c r="E222" s="14"/>
      <c r="F222" s="14"/>
      <c r="G222" s="14" t="s">
        <v>1243</v>
      </c>
      <c r="H222" s="15"/>
    </row>
    <row r="223" spans="2:8" x14ac:dyDescent="0.25">
      <c r="B223" s="15" t="s">
        <v>1244</v>
      </c>
      <c r="C223" s="14"/>
      <c r="D223" s="15" t="s">
        <v>1245</v>
      </c>
      <c r="E223" s="14"/>
      <c r="F223" s="14"/>
      <c r="G223" s="14" t="s">
        <v>1246</v>
      </c>
      <c r="H223" s="15"/>
    </row>
    <row r="224" spans="2:8" x14ac:dyDescent="0.25">
      <c r="B224" s="15" t="s">
        <v>1247</v>
      </c>
      <c r="C224" s="14"/>
      <c r="D224" s="15" t="s">
        <v>1248</v>
      </c>
      <c r="E224" s="14"/>
      <c r="F224" s="14"/>
      <c r="G224" s="14" t="s">
        <v>1249</v>
      </c>
      <c r="H224" s="15"/>
    </row>
    <row r="225" spans="2:8" x14ac:dyDescent="0.25">
      <c r="B225" s="15" t="s">
        <v>1251</v>
      </c>
      <c r="C225" s="14"/>
      <c r="D225" s="15" t="s">
        <v>1252</v>
      </c>
      <c r="E225" s="14"/>
      <c r="F225" s="14"/>
      <c r="G225" s="14" t="s">
        <v>1254</v>
      </c>
      <c r="H225" s="15"/>
    </row>
    <row r="226" spans="2:8" x14ac:dyDescent="0.25">
      <c r="B226" s="15" t="s">
        <v>1299</v>
      </c>
      <c r="C226" s="14"/>
      <c r="D226" s="15" t="s">
        <v>1300</v>
      </c>
      <c r="E226" s="14"/>
      <c r="F226" s="14"/>
      <c r="G226" s="14" t="s">
        <v>1301</v>
      </c>
      <c r="H226" s="15"/>
    </row>
    <row r="227" spans="2:8" x14ac:dyDescent="0.25">
      <c r="B227" s="15" t="s">
        <v>1369</v>
      </c>
      <c r="C227" s="14"/>
      <c r="D227" s="15" t="s">
        <v>1370</v>
      </c>
      <c r="E227" s="14"/>
      <c r="F227" s="14"/>
      <c r="G227" s="14" t="s">
        <v>1372</v>
      </c>
      <c r="H227" s="15"/>
    </row>
    <row r="228" spans="2:8" x14ac:dyDescent="0.25">
      <c r="B228" s="15" t="s">
        <v>1373</v>
      </c>
      <c r="C228" s="14"/>
      <c r="D228" s="15" t="s">
        <v>1374</v>
      </c>
      <c r="E228" s="14"/>
      <c r="F228" s="14"/>
      <c r="G228" s="14" t="s">
        <v>1375</v>
      </c>
      <c r="H228" s="15"/>
    </row>
    <row r="229" spans="2:8" x14ac:dyDescent="0.25">
      <c r="B229" s="15" t="s">
        <v>1376</v>
      </c>
      <c r="C229" s="14"/>
      <c r="D229" s="15" t="s">
        <v>1377</v>
      </c>
      <c r="E229" s="14"/>
      <c r="F229" s="14"/>
      <c r="G229" s="14" t="s">
        <v>1379</v>
      </c>
      <c r="H229" s="15"/>
    </row>
    <row r="230" spans="2:8" x14ac:dyDescent="0.25">
      <c r="B230" s="15" t="s">
        <v>1255</v>
      </c>
      <c r="C230" s="14"/>
      <c r="D230" s="15" t="s">
        <v>1256</v>
      </c>
      <c r="E230" s="14"/>
      <c r="F230" s="14"/>
      <c r="G230" s="14" t="s">
        <v>1257</v>
      </c>
      <c r="H230" s="15"/>
    </row>
    <row r="231" spans="2:8" x14ac:dyDescent="0.25">
      <c r="B231" s="15" t="s">
        <v>1380</v>
      </c>
      <c r="C231" s="14"/>
      <c r="D231" s="15" t="s">
        <v>1381</v>
      </c>
      <c r="E231" s="14"/>
      <c r="F231" s="14"/>
      <c r="G231" s="14" t="s">
        <v>1382</v>
      </c>
      <c r="H231" s="15"/>
    </row>
    <row r="232" spans="2:8" x14ac:dyDescent="0.25">
      <c r="B232" s="15" t="s">
        <v>1383</v>
      </c>
      <c r="C232" s="14"/>
      <c r="D232" s="15" t="s">
        <v>1384</v>
      </c>
      <c r="E232" s="14"/>
      <c r="F232" s="14"/>
      <c r="G232" s="14" t="s">
        <v>1385</v>
      </c>
      <c r="H232" s="15"/>
    </row>
    <row r="233" spans="2:8" x14ac:dyDescent="0.25">
      <c r="B233" s="15" t="s">
        <v>1387</v>
      </c>
      <c r="C233" s="14"/>
      <c r="D233" s="15" t="s">
        <v>1388</v>
      </c>
      <c r="E233" s="14"/>
      <c r="F233" s="14"/>
      <c r="G233" s="14" t="s">
        <v>1390</v>
      </c>
      <c r="H233" s="15"/>
    </row>
    <row r="234" spans="2:8" x14ac:dyDescent="0.25">
      <c r="B234" s="15" t="s">
        <v>1270</v>
      </c>
      <c r="C234" s="14"/>
      <c r="D234" s="15" t="s">
        <v>1271</v>
      </c>
      <c r="E234" s="14"/>
      <c r="F234" s="14"/>
      <c r="G234" s="14" t="s">
        <v>1272</v>
      </c>
      <c r="H234" s="15"/>
    </row>
    <row r="235" spans="2:8" x14ac:dyDescent="0.25">
      <c r="B235" s="15" t="s">
        <v>1274</v>
      </c>
      <c r="C235" s="14"/>
      <c r="D235" s="15" t="s">
        <v>1275</v>
      </c>
      <c r="E235" s="14"/>
      <c r="F235" s="14"/>
      <c r="G235" s="14" t="s">
        <v>1276</v>
      </c>
      <c r="H235" s="15"/>
    </row>
    <row r="236" spans="2:8" x14ac:dyDescent="0.25">
      <c r="B236" s="15" t="s">
        <v>1277</v>
      </c>
      <c r="C236" s="14"/>
      <c r="D236" s="15" t="s">
        <v>1278</v>
      </c>
      <c r="E236" s="14"/>
      <c r="F236" s="14"/>
      <c r="G236" s="14" t="s">
        <v>1279</v>
      </c>
      <c r="H236" s="15"/>
    </row>
    <row r="237" spans="2:8" x14ac:dyDescent="0.25">
      <c r="B237" s="15" t="s">
        <v>1259</v>
      </c>
      <c r="C237" s="14"/>
      <c r="D237" s="15" t="s">
        <v>1260</v>
      </c>
      <c r="E237" s="14"/>
      <c r="F237" s="14"/>
      <c r="G237" s="14" t="s">
        <v>1262</v>
      </c>
      <c r="H237" s="15"/>
    </row>
    <row r="238" spans="2:8" x14ac:dyDescent="0.25">
      <c r="B238" s="15" t="s">
        <v>1263</v>
      </c>
      <c r="C238" s="14"/>
      <c r="D238" s="15" t="s">
        <v>1264</v>
      </c>
      <c r="E238" s="14"/>
      <c r="F238" s="14"/>
      <c r="G238" s="14" t="s">
        <v>1265</v>
      </c>
      <c r="H238" s="15"/>
    </row>
    <row r="239" spans="2:8" x14ac:dyDescent="0.25">
      <c r="B239" s="15" t="s">
        <v>1266</v>
      </c>
      <c r="C239" s="14"/>
      <c r="D239" s="15" t="s">
        <v>1267</v>
      </c>
      <c r="E239" s="14"/>
      <c r="F239" s="14"/>
      <c r="G239" s="14" t="s">
        <v>1268</v>
      </c>
      <c r="H239" s="15"/>
    </row>
    <row r="240" spans="2:8" x14ac:dyDescent="0.25">
      <c r="B240" s="15" t="s">
        <v>1124</v>
      </c>
      <c r="C240" s="14"/>
      <c r="D240" s="15" t="s">
        <v>1125</v>
      </c>
      <c r="E240" s="14"/>
      <c r="F240" s="14"/>
      <c r="G240" s="14" t="s">
        <v>1126</v>
      </c>
      <c r="H240" s="15"/>
    </row>
    <row r="241" spans="1:8" x14ac:dyDescent="0.25">
      <c r="B241" s="15" t="s">
        <v>1127</v>
      </c>
      <c r="C241" s="14"/>
      <c r="D241" s="15" t="s">
        <v>1128</v>
      </c>
      <c r="E241" s="14"/>
      <c r="F241" s="14"/>
      <c r="G241" s="14" t="s">
        <v>1129</v>
      </c>
      <c r="H241" s="15"/>
    </row>
    <row r="242" spans="1:8" x14ac:dyDescent="0.25">
      <c r="B242" s="15" t="s">
        <v>1130</v>
      </c>
      <c r="C242" s="14"/>
      <c r="D242" s="15" t="s">
        <v>1131</v>
      </c>
      <c r="E242" s="14"/>
      <c r="F242" s="14"/>
      <c r="G242" s="14" t="s">
        <v>1132</v>
      </c>
      <c r="H242" s="15"/>
    </row>
    <row r="243" spans="1:8" x14ac:dyDescent="0.25">
      <c r="B243" s="15" t="s">
        <v>1133</v>
      </c>
      <c r="C243" s="14"/>
      <c r="D243" s="15" t="s">
        <v>1134</v>
      </c>
      <c r="E243" s="14"/>
      <c r="F243" s="14"/>
      <c r="G243" s="14" t="s">
        <v>1135</v>
      </c>
      <c r="H243" s="15"/>
    </row>
    <row r="245" spans="1:8" hidden="1" x14ac:dyDescent="0.25"/>
    <row r="246" spans="1:8" hidden="1" x14ac:dyDescent="0.25"/>
    <row r="248" spans="1:8" x14ac:dyDescent="0.25">
      <c r="A248" s="2" t="s">
        <v>4470</v>
      </c>
    </row>
    <row r="249" spans="1:8" ht="32.1" customHeight="1" x14ac:dyDescent="0.25">
      <c r="B249" s="14" t="s">
        <v>1047</v>
      </c>
      <c r="C249" s="14"/>
      <c r="D249" s="14" t="s">
        <v>784</v>
      </c>
      <c r="E249" s="14"/>
      <c r="F249" s="14"/>
      <c r="G249" s="14" t="s">
        <v>318</v>
      </c>
    </row>
    <row r="250" spans="1:8" ht="12" hidden="1" customHeight="1" x14ac:dyDescent="0.25">
      <c r="B250" s="15" t="s">
        <v>1055</v>
      </c>
      <c r="C250" s="14"/>
      <c r="D250" s="15" t="s">
        <v>2154</v>
      </c>
      <c r="E250" s="14"/>
      <c r="F250" s="14"/>
      <c r="G250" s="14" t="s">
        <v>321</v>
      </c>
    </row>
    <row r="251" spans="1:8" ht="12" customHeight="1" x14ac:dyDescent="0.25">
      <c r="B251" s="15" t="s">
        <v>1694</v>
      </c>
      <c r="C251" s="14"/>
      <c r="D251" s="15" t="s">
        <v>1695</v>
      </c>
      <c r="E251" s="14"/>
      <c r="F251" s="14"/>
      <c r="G251" s="14" t="s">
        <v>1696</v>
      </c>
    </row>
    <row r="252" spans="1:8" ht="12" customHeight="1" x14ac:dyDescent="0.25">
      <c r="B252" s="15" t="s">
        <v>1697</v>
      </c>
      <c r="C252" s="14"/>
      <c r="D252" s="15" t="s">
        <v>1698</v>
      </c>
      <c r="E252" s="14"/>
      <c r="F252" s="14"/>
      <c r="G252" s="14" t="s">
        <v>1699</v>
      </c>
    </row>
    <row r="253" spans="1:8" ht="12" customHeight="1" x14ac:dyDescent="0.25">
      <c r="B253" s="15" t="s">
        <v>1700</v>
      </c>
      <c r="C253" s="14"/>
      <c r="D253" s="15" t="s">
        <v>1701</v>
      </c>
      <c r="E253" s="14"/>
      <c r="F253" s="14"/>
      <c r="G253" s="14" t="s">
        <v>1702</v>
      </c>
    </row>
    <row r="254" spans="1:8" ht="12" customHeight="1" x14ac:dyDescent="0.25">
      <c r="B254" s="15" t="s">
        <v>1703</v>
      </c>
      <c r="C254" s="14"/>
      <c r="D254" s="15" t="s">
        <v>1704</v>
      </c>
      <c r="E254" s="14"/>
      <c r="F254" s="14"/>
      <c r="G254" s="14" t="s">
        <v>1705</v>
      </c>
    </row>
    <row r="255" spans="1:8" ht="12" customHeight="1" x14ac:dyDescent="0.25">
      <c r="B255" s="15" t="s">
        <v>1947</v>
      </c>
      <c r="C255" s="14"/>
      <c r="D255" s="15" t="s">
        <v>1948</v>
      </c>
      <c r="E255" s="14"/>
      <c r="F255" s="14"/>
      <c r="G255" s="14" t="s">
        <v>1949</v>
      </c>
    </row>
    <row r="256" spans="1:8" ht="12" customHeight="1" x14ac:dyDescent="0.25">
      <c r="B256" s="15" t="s">
        <v>1950</v>
      </c>
      <c r="C256" s="14"/>
      <c r="D256" s="15" t="s">
        <v>1951</v>
      </c>
      <c r="E256" s="14"/>
      <c r="F256" s="14"/>
      <c r="G256" s="14" t="s">
        <v>1952</v>
      </c>
    </row>
    <row r="257" spans="2:7" ht="12" customHeight="1" x14ac:dyDescent="0.25">
      <c r="B257" s="15" t="s">
        <v>1953</v>
      </c>
      <c r="C257" s="14"/>
      <c r="D257" s="15" t="s">
        <v>1954</v>
      </c>
      <c r="E257" s="14"/>
      <c r="F257" s="14"/>
      <c r="G257" s="14" t="s">
        <v>1955</v>
      </c>
    </row>
    <row r="258" spans="2:7" ht="12" customHeight="1" x14ac:dyDescent="0.25">
      <c r="B258" s="15" t="s">
        <v>1956</v>
      </c>
      <c r="C258" s="14"/>
      <c r="D258" s="15" t="s">
        <v>1957</v>
      </c>
      <c r="E258" s="14"/>
      <c r="F258" s="14"/>
      <c r="G258" s="14" t="s">
        <v>1958</v>
      </c>
    </row>
    <row r="259" spans="2:7" ht="12" customHeight="1" x14ac:dyDescent="0.25">
      <c r="B259" s="15" t="s">
        <v>1959</v>
      </c>
      <c r="C259" s="14"/>
      <c r="D259" s="15" t="s">
        <v>1960</v>
      </c>
      <c r="E259" s="14"/>
      <c r="F259" s="14"/>
      <c r="G259" s="14" t="s">
        <v>1961</v>
      </c>
    </row>
    <row r="260" spans="2:7" ht="12" customHeight="1" x14ac:dyDescent="0.25">
      <c r="B260" s="15" t="s">
        <v>1739</v>
      </c>
      <c r="C260" s="14"/>
      <c r="D260" s="15" t="s">
        <v>1455</v>
      </c>
      <c r="E260" s="14"/>
      <c r="F260" s="14"/>
      <c r="G260" s="14" t="s">
        <v>1740</v>
      </c>
    </row>
    <row r="261" spans="2:7" ht="12" customHeight="1" x14ac:dyDescent="0.25">
      <c r="B261" s="15" t="s">
        <v>2043</v>
      </c>
      <c r="C261" s="14"/>
      <c r="D261" s="15" t="s">
        <v>2044</v>
      </c>
      <c r="E261" s="14"/>
      <c r="F261" s="14"/>
      <c r="G261" s="14" t="s">
        <v>2045</v>
      </c>
    </row>
    <row r="262" spans="2:7" ht="12" customHeight="1" x14ac:dyDescent="0.25">
      <c r="B262" s="15" t="s">
        <v>2046</v>
      </c>
      <c r="C262" s="14"/>
      <c r="D262" s="15" t="s">
        <v>2047</v>
      </c>
      <c r="E262" s="14"/>
      <c r="F262" s="14"/>
      <c r="G262" s="14" t="s">
        <v>2048</v>
      </c>
    </row>
    <row r="263" spans="2:7" ht="12" customHeight="1" x14ac:dyDescent="0.25">
      <c r="B263" s="15" t="s">
        <v>2049</v>
      </c>
      <c r="C263" s="14"/>
      <c r="D263" s="15" t="s">
        <v>2050</v>
      </c>
      <c r="E263" s="14"/>
      <c r="F263" s="14"/>
      <c r="G263" s="14" t="s">
        <v>2051</v>
      </c>
    </row>
    <row r="264" spans="2:7" ht="12" customHeight="1" x14ac:dyDescent="0.25">
      <c r="B264" s="15" t="s">
        <v>2052</v>
      </c>
      <c r="C264" s="14"/>
      <c r="D264" s="15" t="s">
        <v>2053</v>
      </c>
      <c r="E264" s="14"/>
      <c r="F264" s="14"/>
      <c r="G264" s="14" t="s">
        <v>2054</v>
      </c>
    </row>
    <row r="265" spans="2:7" ht="12" customHeight="1" x14ac:dyDescent="0.25">
      <c r="B265" s="15" t="s">
        <v>1846</v>
      </c>
      <c r="C265" s="14"/>
      <c r="D265" s="15" t="s">
        <v>1847</v>
      </c>
      <c r="E265" s="14"/>
      <c r="F265" s="14"/>
      <c r="G265" s="14" t="s">
        <v>1848</v>
      </c>
    </row>
    <row r="266" spans="2:7" ht="12" customHeight="1" x14ac:dyDescent="0.25">
      <c r="B266" s="15" t="s">
        <v>1741</v>
      </c>
      <c r="C266" s="14"/>
      <c r="D266" s="15" t="s">
        <v>1742</v>
      </c>
      <c r="E266" s="14"/>
      <c r="F266" s="14"/>
      <c r="G266" s="14" t="s">
        <v>1743</v>
      </c>
    </row>
    <row r="267" spans="2:7" ht="12" customHeight="1" x14ac:dyDescent="0.25">
      <c r="B267" s="15" t="s">
        <v>1744</v>
      </c>
      <c r="C267" s="14"/>
      <c r="D267" s="15" t="s">
        <v>1745</v>
      </c>
      <c r="E267" s="14"/>
      <c r="F267" s="14"/>
      <c r="G267" s="14" t="s">
        <v>1746</v>
      </c>
    </row>
    <row r="268" spans="2:7" ht="12" customHeight="1" x14ac:dyDescent="0.25">
      <c r="B268" s="15" t="s">
        <v>1747</v>
      </c>
      <c r="C268" s="14"/>
      <c r="D268" s="15" t="s">
        <v>1748</v>
      </c>
      <c r="E268" s="14"/>
      <c r="F268" s="14"/>
      <c r="G268" s="14" t="s">
        <v>1749</v>
      </c>
    </row>
    <row r="269" spans="2:7" ht="12" customHeight="1" x14ac:dyDescent="0.25">
      <c r="B269" s="15" t="s">
        <v>1750</v>
      </c>
      <c r="C269" s="14"/>
      <c r="D269" s="15" t="s">
        <v>1751</v>
      </c>
      <c r="E269" s="14"/>
      <c r="F269" s="14"/>
      <c r="G269" s="14" t="s">
        <v>1752</v>
      </c>
    </row>
    <row r="270" spans="2:7" ht="12" customHeight="1" x14ac:dyDescent="0.25">
      <c r="B270" s="15" t="s">
        <v>1962</v>
      </c>
      <c r="C270" s="14"/>
      <c r="D270" s="15" t="s">
        <v>1963</v>
      </c>
      <c r="E270" s="14"/>
      <c r="F270" s="14"/>
      <c r="G270" s="14" t="s">
        <v>1964</v>
      </c>
    </row>
    <row r="271" spans="2:7" ht="12" customHeight="1" x14ac:dyDescent="0.25">
      <c r="B271" s="15" t="s">
        <v>1965</v>
      </c>
      <c r="C271" s="14"/>
      <c r="D271" s="15" t="s">
        <v>1966</v>
      </c>
      <c r="E271" s="14"/>
      <c r="F271" s="14"/>
      <c r="G271" s="14" t="s">
        <v>1967</v>
      </c>
    </row>
    <row r="272" spans="2:7" ht="12" customHeight="1" x14ac:dyDescent="0.25">
      <c r="B272" s="15" t="s">
        <v>1935</v>
      </c>
      <c r="C272" s="14"/>
      <c r="D272" s="15" t="s">
        <v>1936</v>
      </c>
      <c r="E272" s="14"/>
      <c r="F272" s="14"/>
      <c r="G272" s="14" t="s">
        <v>1937</v>
      </c>
    </row>
    <row r="273" spans="2:7" ht="12" customHeight="1" x14ac:dyDescent="0.25">
      <c r="B273" s="15" t="s">
        <v>1938</v>
      </c>
      <c r="C273" s="14"/>
      <c r="D273" s="15" t="s">
        <v>1939</v>
      </c>
      <c r="E273" s="14"/>
      <c r="F273" s="14"/>
      <c r="G273" s="14" t="s">
        <v>1940</v>
      </c>
    </row>
    <row r="274" spans="2:7" ht="12" customHeight="1" x14ac:dyDescent="0.25">
      <c r="B274" s="15" t="s">
        <v>1941</v>
      </c>
      <c r="C274" s="14"/>
      <c r="D274" s="15" t="s">
        <v>1942</v>
      </c>
      <c r="E274" s="14"/>
      <c r="F274" s="14"/>
      <c r="G274" s="14" t="s">
        <v>1943</v>
      </c>
    </row>
    <row r="275" spans="2:7" ht="12" customHeight="1" x14ac:dyDescent="0.25">
      <c r="B275" s="15" t="s">
        <v>1944</v>
      </c>
      <c r="C275" s="14"/>
      <c r="D275" s="15" t="s">
        <v>1945</v>
      </c>
      <c r="E275" s="14"/>
      <c r="F275" s="14"/>
      <c r="G275" s="14" t="s">
        <v>1946</v>
      </c>
    </row>
    <row r="276" spans="2:7" ht="12" customHeight="1" x14ac:dyDescent="0.25">
      <c r="B276" s="15" t="s">
        <v>1849</v>
      </c>
      <c r="C276" s="14"/>
      <c r="D276" s="15" t="s">
        <v>1850</v>
      </c>
      <c r="E276" s="14"/>
      <c r="F276" s="14"/>
      <c r="G276" s="14" t="s">
        <v>1851</v>
      </c>
    </row>
    <row r="277" spans="2:7" ht="12" customHeight="1" x14ac:dyDescent="0.25">
      <c r="B277" s="15" t="s">
        <v>1852</v>
      </c>
      <c r="C277" s="14"/>
      <c r="D277" s="15" t="s">
        <v>1853</v>
      </c>
      <c r="E277" s="14"/>
      <c r="F277" s="14"/>
      <c r="G277" s="14" t="s">
        <v>1854</v>
      </c>
    </row>
    <row r="278" spans="2:7" ht="12" customHeight="1" x14ac:dyDescent="0.25">
      <c r="B278" s="15" t="s">
        <v>1855</v>
      </c>
      <c r="C278" s="14"/>
      <c r="D278" s="15" t="s">
        <v>1856</v>
      </c>
      <c r="E278" s="14"/>
      <c r="F278" s="14"/>
      <c r="G278" s="14" t="s">
        <v>1857</v>
      </c>
    </row>
    <row r="279" spans="2:7" ht="12" customHeight="1" x14ac:dyDescent="0.25">
      <c r="B279" s="15" t="s">
        <v>1858</v>
      </c>
      <c r="C279" s="14"/>
      <c r="D279" s="15" t="s">
        <v>1859</v>
      </c>
      <c r="E279" s="14"/>
      <c r="F279" s="14"/>
      <c r="G279" s="14" t="s">
        <v>1860</v>
      </c>
    </row>
    <row r="280" spans="2:7" ht="12" customHeight="1" x14ac:dyDescent="0.25">
      <c r="B280" s="15" t="s">
        <v>1861</v>
      </c>
      <c r="C280" s="14"/>
      <c r="D280" s="15" t="s">
        <v>1862</v>
      </c>
      <c r="E280" s="14"/>
      <c r="F280" s="14"/>
      <c r="G280" s="14" t="s">
        <v>1863</v>
      </c>
    </row>
    <row r="281" spans="2:7" ht="12" customHeight="1" x14ac:dyDescent="0.25">
      <c r="B281" s="15" t="s">
        <v>1864</v>
      </c>
      <c r="C281" s="14"/>
      <c r="D281" s="15" t="s">
        <v>1865</v>
      </c>
      <c r="E281" s="14"/>
      <c r="F281" s="14"/>
      <c r="G281" s="14" t="s">
        <v>1866</v>
      </c>
    </row>
    <row r="282" spans="2:7" ht="12" customHeight="1" x14ac:dyDescent="0.25">
      <c r="B282" s="15" t="s">
        <v>1753</v>
      </c>
      <c r="C282" s="14"/>
      <c r="D282" s="15" t="s">
        <v>1754</v>
      </c>
      <c r="E282" s="14"/>
      <c r="F282" s="14"/>
      <c r="G282" s="14" t="s">
        <v>1755</v>
      </c>
    </row>
    <row r="283" spans="2:7" ht="12" customHeight="1" x14ac:dyDescent="0.25">
      <c r="B283" s="15" t="s">
        <v>1783</v>
      </c>
      <c r="C283" s="14"/>
      <c r="D283" s="15" t="s">
        <v>1784</v>
      </c>
      <c r="E283" s="14"/>
      <c r="F283" s="14"/>
      <c r="G283" s="14" t="s">
        <v>1785</v>
      </c>
    </row>
    <row r="284" spans="2:7" ht="12" customHeight="1" x14ac:dyDescent="0.25">
      <c r="B284" s="15" t="s">
        <v>1786</v>
      </c>
      <c r="C284" s="14"/>
      <c r="D284" s="15" t="s">
        <v>1787</v>
      </c>
      <c r="E284" s="14"/>
      <c r="F284" s="14"/>
      <c r="G284" s="14" t="s">
        <v>1788</v>
      </c>
    </row>
    <row r="285" spans="2:7" ht="12" customHeight="1" x14ac:dyDescent="0.25">
      <c r="B285" s="15" t="s">
        <v>1789</v>
      </c>
      <c r="C285" s="14"/>
      <c r="D285" s="15" t="s">
        <v>1790</v>
      </c>
      <c r="E285" s="14"/>
      <c r="F285" s="14"/>
      <c r="G285" s="14" t="s">
        <v>1791</v>
      </c>
    </row>
    <row r="286" spans="2:7" ht="12" customHeight="1" x14ac:dyDescent="0.25">
      <c r="B286" s="15" t="s">
        <v>1792</v>
      </c>
      <c r="C286" s="14"/>
      <c r="D286" s="15" t="s">
        <v>1793</v>
      </c>
      <c r="E286" s="14"/>
      <c r="F286" s="14"/>
      <c r="G286" s="14" t="s">
        <v>1794</v>
      </c>
    </row>
    <row r="287" spans="2:7" ht="12" customHeight="1" x14ac:dyDescent="0.25">
      <c r="B287" s="15" t="s">
        <v>2055</v>
      </c>
      <c r="C287" s="14"/>
      <c r="D287" s="15" t="s">
        <v>2056</v>
      </c>
      <c r="E287" s="14"/>
      <c r="F287" s="14"/>
      <c r="G287" s="14" t="s">
        <v>2057</v>
      </c>
    </row>
    <row r="288" spans="2:7" ht="12" customHeight="1" x14ac:dyDescent="0.25">
      <c r="B288" s="15" t="s">
        <v>2058</v>
      </c>
      <c r="C288" s="14"/>
      <c r="D288" s="15" t="s">
        <v>2059</v>
      </c>
      <c r="E288" s="14"/>
      <c r="F288" s="14"/>
      <c r="G288" s="14" t="s">
        <v>2060</v>
      </c>
    </row>
    <row r="289" spans="2:7" ht="12" customHeight="1" x14ac:dyDescent="0.25">
      <c r="B289" s="15" t="s">
        <v>2061</v>
      </c>
      <c r="C289" s="14"/>
      <c r="D289" s="15" t="s">
        <v>2062</v>
      </c>
      <c r="E289" s="14"/>
      <c r="F289" s="14"/>
      <c r="G289" s="14" t="s">
        <v>2063</v>
      </c>
    </row>
    <row r="290" spans="2:7" ht="12" customHeight="1" x14ac:dyDescent="0.25">
      <c r="B290" s="15" t="s">
        <v>2064</v>
      </c>
      <c r="C290" s="14"/>
      <c r="D290" s="15" t="s">
        <v>2065</v>
      </c>
      <c r="E290" s="14"/>
      <c r="F290" s="14"/>
      <c r="G290" s="14" t="s">
        <v>2066</v>
      </c>
    </row>
    <row r="291" spans="2:7" ht="12" customHeight="1" x14ac:dyDescent="0.25">
      <c r="B291" s="15" t="s">
        <v>2067</v>
      </c>
      <c r="C291" s="14"/>
      <c r="D291" s="15" t="s">
        <v>2068</v>
      </c>
      <c r="E291" s="14"/>
      <c r="F291" s="14"/>
      <c r="G291" s="14" t="s">
        <v>2069</v>
      </c>
    </row>
    <row r="292" spans="2:7" ht="12" customHeight="1" x14ac:dyDescent="0.25">
      <c r="B292" s="15" t="s">
        <v>1867</v>
      </c>
      <c r="C292" s="14"/>
      <c r="D292" s="15" t="s">
        <v>1868</v>
      </c>
      <c r="E292" s="14"/>
      <c r="F292" s="14"/>
      <c r="G292" s="14" t="s">
        <v>1869</v>
      </c>
    </row>
    <row r="293" spans="2:7" ht="12" customHeight="1" x14ac:dyDescent="0.25">
      <c r="B293" s="15" t="s">
        <v>1870</v>
      </c>
      <c r="C293" s="14"/>
      <c r="D293" s="15" t="s">
        <v>1871</v>
      </c>
      <c r="E293" s="14"/>
      <c r="F293" s="14"/>
      <c r="G293" s="14" t="s">
        <v>1872</v>
      </c>
    </row>
    <row r="294" spans="2:7" ht="12" customHeight="1" x14ac:dyDescent="0.25">
      <c r="B294" s="15" t="s">
        <v>1837</v>
      </c>
      <c r="C294" s="14"/>
      <c r="D294" s="15" t="s">
        <v>1838</v>
      </c>
      <c r="E294" s="14"/>
      <c r="F294" s="14"/>
      <c r="G294" s="14" t="s">
        <v>1839</v>
      </c>
    </row>
    <row r="295" spans="2:7" ht="12" customHeight="1" x14ac:dyDescent="0.25">
      <c r="B295" s="15" t="s">
        <v>1840</v>
      </c>
      <c r="C295" s="14"/>
      <c r="D295" s="15" t="s">
        <v>1841</v>
      </c>
      <c r="E295" s="14"/>
      <c r="F295" s="14"/>
      <c r="G295" s="14" t="s">
        <v>1842</v>
      </c>
    </row>
    <row r="296" spans="2:7" ht="12" customHeight="1" x14ac:dyDescent="0.25">
      <c r="B296" s="15" t="s">
        <v>1843</v>
      </c>
      <c r="C296" s="14"/>
      <c r="D296" s="15" t="s">
        <v>1844</v>
      </c>
      <c r="E296" s="14"/>
      <c r="F296" s="14"/>
      <c r="G296" s="14" t="s">
        <v>1845</v>
      </c>
    </row>
    <row r="297" spans="2:7" ht="12" customHeight="1" x14ac:dyDescent="0.25">
      <c r="B297" s="15" t="s">
        <v>1795</v>
      </c>
      <c r="C297" s="14"/>
      <c r="D297" s="15" t="s">
        <v>1796</v>
      </c>
      <c r="E297" s="14"/>
      <c r="F297" s="14"/>
      <c r="G297" s="14" t="s">
        <v>1797</v>
      </c>
    </row>
    <row r="298" spans="2:7" ht="12" customHeight="1" x14ac:dyDescent="0.25">
      <c r="B298" s="15" t="s">
        <v>1798</v>
      </c>
      <c r="C298" s="14"/>
      <c r="D298" s="15" t="s">
        <v>1799</v>
      </c>
      <c r="E298" s="14"/>
      <c r="F298" s="14"/>
      <c r="G298" s="14" t="s">
        <v>1800</v>
      </c>
    </row>
    <row r="299" spans="2:7" ht="12" customHeight="1" x14ac:dyDescent="0.25">
      <c r="B299" s="15" t="s">
        <v>1825</v>
      </c>
      <c r="C299" s="14"/>
      <c r="D299" s="15" t="s">
        <v>1826</v>
      </c>
      <c r="E299" s="14"/>
      <c r="F299" s="14"/>
      <c r="G299" s="14" t="s">
        <v>1827</v>
      </c>
    </row>
    <row r="300" spans="2:7" ht="12" customHeight="1" x14ac:dyDescent="0.25">
      <c r="B300" s="15" t="s">
        <v>1828</v>
      </c>
      <c r="C300" s="14"/>
      <c r="D300" s="15" t="s">
        <v>1829</v>
      </c>
      <c r="E300" s="14"/>
      <c r="F300" s="14"/>
      <c r="G300" s="14" t="s">
        <v>1830</v>
      </c>
    </row>
    <row r="301" spans="2:7" ht="12" customHeight="1" x14ac:dyDescent="0.25">
      <c r="B301" s="15" t="s">
        <v>1873</v>
      </c>
      <c r="C301" s="14"/>
      <c r="D301" s="15" t="s">
        <v>1874</v>
      </c>
      <c r="E301" s="14"/>
      <c r="F301" s="14"/>
      <c r="G301" s="14" t="s">
        <v>1875</v>
      </c>
    </row>
    <row r="302" spans="2:7" ht="12" customHeight="1" x14ac:dyDescent="0.25">
      <c r="B302" s="15" t="s">
        <v>1876</v>
      </c>
      <c r="C302" s="14"/>
      <c r="D302" s="15" t="s">
        <v>1877</v>
      </c>
      <c r="E302" s="14"/>
      <c r="F302" s="14"/>
      <c r="G302" s="14" t="s">
        <v>1878</v>
      </c>
    </row>
    <row r="303" spans="2:7" ht="12" customHeight="1" x14ac:dyDescent="0.25">
      <c r="B303" s="15" t="s">
        <v>2070</v>
      </c>
      <c r="C303" s="14"/>
      <c r="D303" s="15" t="s">
        <v>2071</v>
      </c>
      <c r="E303" s="14"/>
      <c r="F303" s="14"/>
      <c r="G303" s="14" t="s">
        <v>2072</v>
      </c>
    </row>
    <row r="304" spans="2:7" ht="12" customHeight="1" x14ac:dyDescent="0.25">
      <c r="B304" s="15" t="s">
        <v>2073</v>
      </c>
      <c r="C304" s="14"/>
      <c r="D304" s="15" t="s">
        <v>2074</v>
      </c>
      <c r="E304" s="14"/>
      <c r="F304" s="14"/>
      <c r="G304" s="14" t="s">
        <v>2075</v>
      </c>
    </row>
    <row r="305" spans="2:7" ht="12" customHeight="1" x14ac:dyDescent="0.25">
      <c r="B305" s="15" t="s">
        <v>2076</v>
      </c>
      <c r="C305" s="14"/>
      <c r="D305" s="15" t="s">
        <v>2077</v>
      </c>
      <c r="E305" s="14"/>
      <c r="F305" s="14"/>
      <c r="G305" s="14" t="s">
        <v>2078</v>
      </c>
    </row>
    <row r="306" spans="2:7" ht="12" customHeight="1" x14ac:dyDescent="0.25">
      <c r="B306" s="15" t="s">
        <v>2079</v>
      </c>
      <c r="C306" s="14"/>
      <c r="D306" s="15" t="s">
        <v>2080</v>
      </c>
      <c r="E306" s="14"/>
      <c r="F306" s="14"/>
      <c r="G306" s="14" t="s">
        <v>2081</v>
      </c>
    </row>
    <row r="307" spans="2:7" ht="12" customHeight="1" x14ac:dyDescent="0.25">
      <c r="B307" s="15" t="s">
        <v>1918</v>
      </c>
      <c r="C307" s="14"/>
      <c r="D307" s="15" t="s">
        <v>1919</v>
      </c>
      <c r="E307" s="14"/>
      <c r="F307" s="14"/>
      <c r="G307" s="14" t="s">
        <v>1920</v>
      </c>
    </row>
    <row r="308" spans="2:7" ht="12" customHeight="1" x14ac:dyDescent="0.25">
      <c r="B308" s="15" t="s">
        <v>1921</v>
      </c>
      <c r="C308" s="14"/>
      <c r="D308" s="15" t="s">
        <v>1922</v>
      </c>
      <c r="E308" s="14"/>
      <c r="F308" s="14"/>
      <c r="G308" s="14" t="s">
        <v>1923</v>
      </c>
    </row>
    <row r="309" spans="2:7" ht="12" customHeight="1" x14ac:dyDescent="0.25">
      <c r="B309" s="15" t="s">
        <v>1706</v>
      </c>
      <c r="C309" s="14"/>
      <c r="D309" s="15" t="s">
        <v>1707</v>
      </c>
      <c r="E309" s="14"/>
      <c r="F309" s="14"/>
      <c r="G309" s="14" t="s">
        <v>1708</v>
      </c>
    </row>
    <row r="310" spans="2:7" ht="12" customHeight="1" x14ac:dyDescent="0.25">
      <c r="B310" s="15" t="s">
        <v>1709</v>
      </c>
      <c r="C310" s="14"/>
      <c r="D310" s="15" t="s">
        <v>1710</v>
      </c>
      <c r="E310" s="14"/>
      <c r="F310" s="14"/>
      <c r="G310" s="14" t="s">
        <v>1711</v>
      </c>
    </row>
    <row r="311" spans="2:7" ht="12" customHeight="1" x14ac:dyDescent="0.25">
      <c r="B311" s="15" t="s">
        <v>1712</v>
      </c>
      <c r="C311" s="14"/>
      <c r="D311" s="15" t="s">
        <v>1713</v>
      </c>
      <c r="E311" s="14"/>
      <c r="F311" s="14"/>
      <c r="G311" s="14" t="s">
        <v>1714</v>
      </c>
    </row>
    <row r="312" spans="2:7" ht="12" customHeight="1" x14ac:dyDescent="0.25">
      <c r="B312" s="15" t="s">
        <v>1715</v>
      </c>
      <c r="C312" s="14"/>
      <c r="D312" s="15" t="s">
        <v>1716</v>
      </c>
      <c r="E312" s="14"/>
      <c r="F312" s="14"/>
      <c r="G312" s="14" t="s">
        <v>1717</v>
      </c>
    </row>
    <row r="313" spans="2:7" ht="12" customHeight="1" x14ac:dyDescent="0.25">
      <c r="B313" s="15" t="s">
        <v>1718</v>
      </c>
      <c r="C313" s="14"/>
      <c r="D313" s="15" t="s">
        <v>1719</v>
      </c>
      <c r="E313" s="14"/>
      <c r="F313" s="14"/>
      <c r="G313" s="14" t="s">
        <v>1720</v>
      </c>
    </row>
    <row r="314" spans="2:7" ht="12" customHeight="1" x14ac:dyDescent="0.25">
      <c r="B314" s="15" t="s">
        <v>1879</v>
      </c>
      <c r="C314" s="14"/>
      <c r="D314" s="15" t="s">
        <v>1880</v>
      </c>
      <c r="E314" s="14"/>
      <c r="F314" s="14"/>
      <c r="G314" s="14" t="s">
        <v>1881</v>
      </c>
    </row>
    <row r="315" spans="2:7" ht="12" customHeight="1" x14ac:dyDescent="0.25">
      <c r="B315" s="15" t="s">
        <v>1882</v>
      </c>
      <c r="C315" s="14"/>
      <c r="D315" s="15" t="s">
        <v>1883</v>
      </c>
      <c r="E315" s="14"/>
      <c r="F315" s="14"/>
      <c r="G315" s="14" t="s">
        <v>1884</v>
      </c>
    </row>
    <row r="316" spans="2:7" ht="12" customHeight="1" x14ac:dyDescent="0.25">
      <c r="B316" s="15" t="s">
        <v>1885</v>
      </c>
      <c r="C316" s="14"/>
      <c r="D316" s="15" t="s">
        <v>1886</v>
      </c>
      <c r="E316" s="14"/>
      <c r="F316" s="14"/>
      <c r="G316" s="14" t="s">
        <v>1887</v>
      </c>
    </row>
    <row r="317" spans="2:7" ht="12" customHeight="1" x14ac:dyDescent="0.25">
      <c r="B317" s="15" t="s">
        <v>1888</v>
      </c>
      <c r="C317" s="14"/>
      <c r="D317" s="15" t="s">
        <v>1889</v>
      </c>
      <c r="E317" s="14"/>
      <c r="F317" s="14"/>
      <c r="G317" s="14" t="s">
        <v>1890</v>
      </c>
    </row>
    <row r="318" spans="2:7" ht="12" customHeight="1" x14ac:dyDescent="0.25">
      <c r="B318" s="15" t="s">
        <v>1831</v>
      </c>
      <c r="C318" s="14"/>
      <c r="D318" s="15" t="s">
        <v>1832</v>
      </c>
      <c r="E318" s="14"/>
      <c r="F318" s="14"/>
      <c r="G318" s="14" t="s">
        <v>1833</v>
      </c>
    </row>
    <row r="319" spans="2:7" ht="12" customHeight="1" x14ac:dyDescent="0.25">
      <c r="B319" s="15" t="s">
        <v>1924</v>
      </c>
      <c r="C319" s="14"/>
      <c r="D319" s="15" t="s">
        <v>1515</v>
      </c>
      <c r="E319" s="14"/>
      <c r="F319" s="14"/>
      <c r="G319" s="14" t="s">
        <v>1925</v>
      </c>
    </row>
    <row r="320" spans="2:7" ht="12" customHeight="1" x14ac:dyDescent="0.25">
      <c r="B320" s="15" t="s">
        <v>1625</v>
      </c>
      <c r="C320" s="14"/>
      <c r="D320" s="15" t="s">
        <v>1626</v>
      </c>
      <c r="E320" s="14"/>
      <c r="F320" s="14"/>
      <c r="G320" s="14" t="s">
        <v>1627</v>
      </c>
    </row>
    <row r="321" spans="2:7" ht="12" customHeight="1" x14ac:dyDescent="0.25">
      <c r="B321" s="15" t="s">
        <v>1628</v>
      </c>
      <c r="C321" s="14"/>
      <c r="D321" s="15" t="s">
        <v>1629</v>
      </c>
      <c r="E321" s="14"/>
      <c r="F321" s="14"/>
      <c r="G321" s="14" t="s">
        <v>1630</v>
      </c>
    </row>
    <row r="322" spans="2:7" ht="12" customHeight="1" x14ac:dyDescent="0.25">
      <c r="B322" s="15" t="s">
        <v>1631</v>
      </c>
      <c r="C322" s="14"/>
      <c r="D322" s="15" t="s">
        <v>1632</v>
      </c>
      <c r="E322" s="14"/>
      <c r="F322" s="14"/>
      <c r="G322" s="14" t="s">
        <v>1633</v>
      </c>
    </row>
    <row r="323" spans="2:7" ht="12" customHeight="1" x14ac:dyDescent="0.25">
      <c r="B323" s="15" t="s">
        <v>1634</v>
      </c>
      <c r="C323" s="14"/>
      <c r="D323" s="15" t="s">
        <v>1635</v>
      </c>
      <c r="E323" s="14"/>
      <c r="F323" s="14"/>
      <c r="G323" s="14" t="s">
        <v>1636</v>
      </c>
    </row>
    <row r="324" spans="2:7" ht="12" customHeight="1" x14ac:dyDescent="0.25">
      <c r="B324" s="15" t="s">
        <v>1721</v>
      </c>
      <c r="C324" s="14"/>
      <c r="D324" s="15" t="s">
        <v>1722</v>
      </c>
      <c r="E324" s="14"/>
      <c r="F324" s="14"/>
      <c r="G324" s="14" t="s">
        <v>1723</v>
      </c>
    </row>
    <row r="325" spans="2:7" ht="12" customHeight="1" x14ac:dyDescent="0.25">
      <c r="B325" s="15" t="s">
        <v>1724</v>
      </c>
      <c r="C325" s="14"/>
      <c r="D325" s="15" t="s">
        <v>1725</v>
      </c>
      <c r="E325" s="14"/>
      <c r="F325" s="14"/>
      <c r="G325" s="14" t="s">
        <v>1726</v>
      </c>
    </row>
    <row r="326" spans="2:7" ht="12" customHeight="1" x14ac:dyDescent="0.25">
      <c r="B326" s="15" t="s">
        <v>1727</v>
      </c>
      <c r="C326" s="14"/>
      <c r="D326" s="15" t="s">
        <v>1728</v>
      </c>
      <c r="E326" s="14"/>
      <c r="F326" s="14"/>
      <c r="G326" s="14" t="s">
        <v>1729</v>
      </c>
    </row>
    <row r="327" spans="2:7" ht="12" customHeight="1" x14ac:dyDescent="0.25">
      <c r="B327" s="15" t="s">
        <v>1730</v>
      </c>
      <c r="C327" s="14"/>
      <c r="D327" s="15" t="s">
        <v>1731</v>
      </c>
      <c r="E327" s="14"/>
      <c r="F327" s="14"/>
      <c r="G327" s="14" t="s">
        <v>1732</v>
      </c>
    </row>
    <row r="328" spans="2:7" ht="12" customHeight="1" x14ac:dyDescent="0.25">
      <c r="B328" s="15" t="s">
        <v>1834</v>
      </c>
      <c r="C328" s="14"/>
      <c r="D328" s="15" t="s">
        <v>1835</v>
      </c>
      <c r="E328" s="14"/>
      <c r="F328" s="14"/>
      <c r="G328" s="14" t="s">
        <v>1836</v>
      </c>
    </row>
    <row r="329" spans="2:7" ht="12" customHeight="1" x14ac:dyDescent="0.25">
      <c r="B329" s="15" t="s">
        <v>1637</v>
      </c>
      <c r="C329" s="14"/>
      <c r="D329" s="15" t="s">
        <v>1638</v>
      </c>
      <c r="E329" s="14"/>
      <c r="F329" s="14"/>
      <c r="G329" s="14" t="s">
        <v>1639</v>
      </c>
    </row>
    <row r="330" spans="2:7" ht="12" customHeight="1" x14ac:dyDescent="0.25">
      <c r="B330" s="15" t="s">
        <v>1640</v>
      </c>
      <c r="C330" s="14"/>
      <c r="D330" s="15" t="s">
        <v>1641</v>
      </c>
      <c r="E330" s="14"/>
      <c r="F330" s="14"/>
      <c r="G330" s="14" t="s">
        <v>1642</v>
      </c>
    </row>
    <row r="331" spans="2:7" ht="12" customHeight="1" x14ac:dyDescent="0.25">
      <c r="B331" s="15" t="s">
        <v>1670</v>
      </c>
      <c r="C331" s="14"/>
      <c r="D331" s="15" t="s">
        <v>1671</v>
      </c>
      <c r="E331" s="14"/>
      <c r="F331" s="14"/>
      <c r="G331" s="14" t="s">
        <v>1672</v>
      </c>
    </row>
    <row r="332" spans="2:7" ht="12" customHeight="1" x14ac:dyDescent="0.25">
      <c r="B332" s="15" t="s">
        <v>1733</v>
      </c>
      <c r="C332" s="14"/>
      <c r="D332" s="15" t="s">
        <v>1734</v>
      </c>
      <c r="E332" s="14"/>
      <c r="F332" s="14"/>
      <c r="G332" s="14" t="s">
        <v>1735</v>
      </c>
    </row>
    <row r="333" spans="2:7" ht="12" customHeight="1" x14ac:dyDescent="0.25">
      <c r="B333" s="15" t="s">
        <v>1736</v>
      </c>
      <c r="C333" s="14"/>
      <c r="D333" s="15" t="s">
        <v>1737</v>
      </c>
      <c r="E333" s="14"/>
      <c r="F333" s="14"/>
      <c r="G333" s="14" t="s">
        <v>1738</v>
      </c>
    </row>
    <row r="334" spans="2:7" ht="12" customHeight="1" x14ac:dyDescent="0.25">
      <c r="B334" s="15" t="s">
        <v>1673</v>
      </c>
      <c r="C334" s="14"/>
      <c r="D334" s="15" t="s">
        <v>1674</v>
      </c>
      <c r="E334" s="14"/>
      <c r="F334" s="14"/>
      <c r="G334" s="14" t="s">
        <v>1675</v>
      </c>
    </row>
    <row r="335" spans="2:7" ht="12" customHeight="1" x14ac:dyDescent="0.25">
      <c r="B335" s="15" t="s">
        <v>1676</v>
      </c>
      <c r="C335" s="14"/>
      <c r="D335" s="15" t="s">
        <v>1677</v>
      </c>
      <c r="E335" s="14"/>
      <c r="F335" s="14"/>
      <c r="G335" s="14" t="s">
        <v>1678</v>
      </c>
    </row>
    <row r="336" spans="2:7" ht="12" customHeight="1" x14ac:dyDescent="0.25">
      <c r="B336" s="15" t="s">
        <v>1679</v>
      </c>
      <c r="C336" s="14"/>
      <c r="D336" s="15" t="s">
        <v>1680</v>
      </c>
      <c r="E336" s="14"/>
      <c r="F336" s="14"/>
      <c r="G336" s="14" t="s">
        <v>1681</v>
      </c>
    </row>
    <row r="337" spans="2:7" ht="12" customHeight="1" x14ac:dyDescent="0.25">
      <c r="B337" s="15" t="s">
        <v>1682</v>
      </c>
      <c r="C337" s="14"/>
      <c r="D337" s="15" t="s">
        <v>1683</v>
      </c>
      <c r="E337" s="14"/>
      <c r="F337" s="14"/>
      <c r="G337" s="14" t="s">
        <v>1684</v>
      </c>
    </row>
    <row r="338" spans="2:7" ht="12" customHeight="1" x14ac:dyDescent="0.25">
      <c r="B338" s="15" t="s">
        <v>1685</v>
      </c>
      <c r="C338" s="14"/>
      <c r="D338" s="15" t="s">
        <v>1686</v>
      </c>
      <c r="E338" s="14"/>
      <c r="F338" s="14"/>
      <c r="G338" s="14" t="s">
        <v>1687</v>
      </c>
    </row>
    <row r="339" spans="2:7" ht="12" customHeight="1" x14ac:dyDescent="0.25">
      <c r="B339" s="15" t="s">
        <v>1756</v>
      </c>
      <c r="C339" s="14"/>
      <c r="D339" s="15" t="s">
        <v>1757</v>
      </c>
      <c r="E339" s="14"/>
      <c r="F339" s="14"/>
      <c r="G339" s="14" t="s">
        <v>1758</v>
      </c>
    </row>
    <row r="340" spans="2:7" ht="12" customHeight="1" x14ac:dyDescent="0.25">
      <c r="B340" s="15" t="s">
        <v>1759</v>
      </c>
      <c r="C340" s="14"/>
      <c r="D340" s="15" t="s">
        <v>1760</v>
      </c>
      <c r="E340" s="14"/>
      <c r="F340" s="14"/>
      <c r="G340" s="14" t="s">
        <v>1761</v>
      </c>
    </row>
    <row r="341" spans="2:7" ht="12" customHeight="1" x14ac:dyDescent="0.25">
      <c r="B341" s="15" t="s">
        <v>1762</v>
      </c>
      <c r="C341" s="14"/>
      <c r="D341" s="15" t="s">
        <v>1763</v>
      </c>
      <c r="E341" s="14"/>
      <c r="F341" s="14"/>
      <c r="G341" s="14" t="s">
        <v>1764</v>
      </c>
    </row>
    <row r="342" spans="2:7" ht="12" customHeight="1" x14ac:dyDescent="0.25">
      <c r="B342" s="15" t="s">
        <v>1607</v>
      </c>
      <c r="C342" s="14"/>
      <c r="D342" s="15" t="s">
        <v>1608</v>
      </c>
      <c r="E342" s="14"/>
      <c r="F342" s="14"/>
      <c r="G342" s="14" t="s">
        <v>1609</v>
      </c>
    </row>
    <row r="343" spans="2:7" ht="12" customHeight="1" x14ac:dyDescent="0.25">
      <c r="B343" s="15" t="s">
        <v>1610</v>
      </c>
      <c r="C343" s="14"/>
      <c r="D343" s="15" t="s">
        <v>1611</v>
      </c>
      <c r="E343" s="14"/>
      <c r="F343" s="14"/>
      <c r="G343" s="14" t="s">
        <v>1612</v>
      </c>
    </row>
    <row r="344" spans="2:7" ht="12" customHeight="1" x14ac:dyDescent="0.25">
      <c r="B344" s="15" t="s">
        <v>1765</v>
      </c>
      <c r="C344" s="14"/>
      <c r="D344" s="15" t="s">
        <v>1766</v>
      </c>
      <c r="E344" s="14"/>
      <c r="F344" s="14"/>
      <c r="G344" s="14" t="s">
        <v>1767</v>
      </c>
    </row>
    <row r="345" spans="2:7" ht="12" customHeight="1" x14ac:dyDescent="0.25">
      <c r="B345" s="15" t="s">
        <v>1768</v>
      </c>
      <c r="C345" s="14"/>
      <c r="D345" s="15" t="s">
        <v>1769</v>
      </c>
      <c r="E345" s="14"/>
      <c r="F345" s="14"/>
      <c r="G345" s="14" t="s">
        <v>1770</v>
      </c>
    </row>
    <row r="346" spans="2:7" ht="12" customHeight="1" x14ac:dyDescent="0.25">
      <c r="B346" s="15" t="s">
        <v>1771</v>
      </c>
      <c r="C346" s="14"/>
      <c r="D346" s="15" t="s">
        <v>1772</v>
      </c>
      <c r="E346" s="14"/>
      <c r="F346" s="14"/>
      <c r="G346" s="14" t="s">
        <v>1773</v>
      </c>
    </row>
    <row r="347" spans="2:7" ht="12" customHeight="1" x14ac:dyDescent="0.25">
      <c r="B347" s="15" t="s">
        <v>1774</v>
      </c>
      <c r="C347" s="14"/>
      <c r="D347" s="15" t="s">
        <v>1775</v>
      </c>
      <c r="E347" s="14"/>
      <c r="F347" s="14"/>
      <c r="G347" s="14" t="s">
        <v>1776</v>
      </c>
    </row>
    <row r="348" spans="2:7" ht="12" customHeight="1" x14ac:dyDescent="0.25">
      <c r="B348" s="15" t="s">
        <v>1777</v>
      </c>
      <c r="C348" s="14"/>
      <c r="D348" s="15" t="s">
        <v>1778</v>
      </c>
      <c r="E348" s="14"/>
      <c r="F348" s="14"/>
      <c r="G348" s="14" t="s">
        <v>1779</v>
      </c>
    </row>
    <row r="349" spans="2:7" ht="12" customHeight="1" x14ac:dyDescent="0.25">
      <c r="B349" s="15" t="s">
        <v>1613</v>
      </c>
      <c r="C349" s="14"/>
      <c r="D349" s="15" t="s">
        <v>1614</v>
      </c>
      <c r="E349" s="14"/>
      <c r="F349" s="14"/>
      <c r="G349" s="14" t="s">
        <v>1615</v>
      </c>
    </row>
    <row r="350" spans="2:7" ht="12" customHeight="1" x14ac:dyDescent="0.25">
      <c r="B350" s="15" t="s">
        <v>1616</v>
      </c>
      <c r="C350" s="14"/>
      <c r="D350" s="15" t="s">
        <v>1617</v>
      </c>
      <c r="E350" s="14"/>
      <c r="F350" s="14"/>
      <c r="G350" s="14" t="s">
        <v>1618</v>
      </c>
    </row>
    <row r="351" spans="2:7" ht="12" customHeight="1" x14ac:dyDescent="0.25">
      <c r="B351" s="15" t="s">
        <v>1619</v>
      </c>
      <c r="C351" s="14"/>
      <c r="D351" s="15" t="s">
        <v>1620</v>
      </c>
      <c r="E351" s="14"/>
      <c r="F351" s="14"/>
      <c r="G351" s="14" t="s">
        <v>1621</v>
      </c>
    </row>
    <row r="352" spans="2:7" ht="12" customHeight="1" x14ac:dyDescent="0.25">
      <c r="B352" s="15" t="s">
        <v>1622</v>
      </c>
      <c r="C352" s="14"/>
      <c r="D352" s="15" t="s">
        <v>1623</v>
      </c>
      <c r="E352" s="14"/>
      <c r="F352" s="14"/>
      <c r="G352" s="14" t="s">
        <v>1624</v>
      </c>
    </row>
    <row r="353" spans="2:7" ht="12" customHeight="1" x14ac:dyDescent="0.25">
      <c r="B353" s="15" t="s">
        <v>1643</v>
      </c>
      <c r="C353" s="14"/>
      <c r="D353" s="15" t="s">
        <v>1644</v>
      </c>
      <c r="E353" s="14"/>
      <c r="F353" s="14"/>
      <c r="G353" s="14" t="s">
        <v>1645</v>
      </c>
    </row>
    <row r="354" spans="2:7" ht="12" customHeight="1" x14ac:dyDescent="0.25">
      <c r="B354" s="15" t="s">
        <v>1780</v>
      </c>
      <c r="C354" s="14"/>
      <c r="D354" s="15" t="s">
        <v>1781</v>
      </c>
      <c r="E354" s="14"/>
      <c r="F354" s="14"/>
      <c r="G354" s="14" t="s">
        <v>1782</v>
      </c>
    </row>
    <row r="355" spans="2:7" ht="12" customHeight="1" x14ac:dyDescent="0.25">
      <c r="B355" s="15" t="s">
        <v>1589</v>
      </c>
      <c r="C355" s="14"/>
      <c r="D355" s="15" t="s">
        <v>1590</v>
      </c>
      <c r="E355" s="14"/>
      <c r="F355" s="14"/>
      <c r="G355" s="14" t="s">
        <v>1591</v>
      </c>
    </row>
    <row r="356" spans="2:7" ht="12" customHeight="1" x14ac:dyDescent="0.25">
      <c r="B356" s="15" t="s">
        <v>1592</v>
      </c>
      <c r="C356" s="14"/>
      <c r="D356" s="15" t="s">
        <v>1593</v>
      </c>
      <c r="E356" s="14"/>
      <c r="F356" s="14"/>
      <c r="G356" s="14" t="s">
        <v>1594</v>
      </c>
    </row>
    <row r="357" spans="2:7" ht="12" customHeight="1" x14ac:dyDescent="0.25">
      <c r="B357" s="15" t="s">
        <v>1595</v>
      </c>
      <c r="C357" s="14"/>
      <c r="D357" s="15" t="s">
        <v>1596</v>
      </c>
      <c r="E357" s="14"/>
      <c r="F357" s="14"/>
      <c r="G357" s="14" t="s">
        <v>1597</v>
      </c>
    </row>
    <row r="358" spans="2:7" ht="12" customHeight="1" x14ac:dyDescent="0.25">
      <c r="B358" s="15" t="s">
        <v>1598</v>
      </c>
      <c r="C358" s="14"/>
      <c r="D358" s="15" t="s">
        <v>1599</v>
      </c>
      <c r="E358" s="14"/>
      <c r="F358" s="14"/>
      <c r="G358" s="14" t="s">
        <v>1600</v>
      </c>
    </row>
    <row r="359" spans="2:7" ht="12" customHeight="1" x14ac:dyDescent="0.25">
      <c r="B359" s="15" t="s">
        <v>1601</v>
      </c>
      <c r="C359" s="14"/>
      <c r="D359" s="15" t="s">
        <v>1602</v>
      </c>
      <c r="E359" s="14"/>
      <c r="F359" s="14"/>
      <c r="G359" s="14" t="s">
        <v>1603</v>
      </c>
    </row>
    <row r="360" spans="2:7" ht="12" customHeight="1" x14ac:dyDescent="0.25">
      <c r="B360" s="15" t="s">
        <v>1604</v>
      </c>
      <c r="C360" s="14"/>
      <c r="D360" s="15" t="s">
        <v>1605</v>
      </c>
      <c r="E360" s="14"/>
      <c r="F360" s="14"/>
      <c r="G360" s="14" t="s">
        <v>1606</v>
      </c>
    </row>
    <row r="361" spans="2:7" ht="12" customHeight="1" x14ac:dyDescent="0.25">
      <c r="B361" s="15" t="s">
        <v>1801</v>
      </c>
      <c r="C361" s="14"/>
      <c r="D361" s="15" t="s">
        <v>1802</v>
      </c>
      <c r="E361" s="14"/>
      <c r="F361" s="14"/>
      <c r="G361" s="14" t="s">
        <v>1803</v>
      </c>
    </row>
    <row r="362" spans="2:7" ht="12" customHeight="1" x14ac:dyDescent="0.25">
      <c r="B362" s="15" t="s">
        <v>1804</v>
      </c>
      <c r="C362" s="14"/>
      <c r="D362" s="15" t="s">
        <v>1805</v>
      </c>
      <c r="E362" s="14"/>
      <c r="F362" s="14"/>
      <c r="G362" s="14" t="s">
        <v>1806</v>
      </c>
    </row>
    <row r="363" spans="2:7" ht="12" customHeight="1" x14ac:dyDescent="0.25">
      <c r="B363" s="15" t="s">
        <v>1807</v>
      </c>
      <c r="C363" s="14"/>
      <c r="D363" s="15" t="s">
        <v>1808</v>
      </c>
      <c r="E363" s="14"/>
      <c r="F363" s="14"/>
      <c r="G363" s="14" t="s">
        <v>1809</v>
      </c>
    </row>
    <row r="364" spans="2:7" ht="12" customHeight="1" x14ac:dyDescent="0.25">
      <c r="B364" s="15" t="s">
        <v>1810</v>
      </c>
      <c r="C364" s="14"/>
      <c r="D364" s="15" t="s">
        <v>1811</v>
      </c>
      <c r="E364" s="14"/>
      <c r="F364" s="14"/>
      <c r="G364" s="14" t="s">
        <v>1812</v>
      </c>
    </row>
    <row r="365" spans="2:7" ht="12" customHeight="1" x14ac:dyDescent="0.25">
      <c r="B365" s="15" t="s">
        <v>1813</v>
      </c>
      <c r="C365" s="14"/>
      <c r="D365" s="15" t="s">
        <v>1814</v>
      </c>
      <c r="E365" s="14"/>
      <c r="F365" s="14"/>
      <c r="G365" s="14" t="s">
        <v>1815</v>
      </c>
    </row>
    <row r="366" spans="2:7" ht="12" customHeight="1" x14ac:dyDescent="0.25">
      <c r="B366" s="15" t="s">
        <v>1816</v>
      </c>
      <c r="C366" s="14"/>
      <c r="D366" s="15" t="s">
        <v>1817</v>
      </c>
      <c r="E366" s="14"/>
      <c r="F366" s="14"/>
      <c r="G366" s="14" t="s">
        <v>1818</v>
      </c>
    </row>
    <row r="367" spans="2:7" ht="12" customHeight="1" x14ac:dyDescent="0.25">
      <c r="B367" s="15" t="s">
        <v>1819</v>
      </c>
      <c r="C367" s="14"/>
      <c r="D367" s="15" t="s">
        <v>1820</v>
      </c>
      <c r="E367" s="14"/>
      <c r="F367" s="14"/>
      <c r="G367" s="14" t="s">
        <v>1821</v>
      </c>
    </row>
    <row r="368" spans="2:7" ht="12" customHeight="1" x14ac:dyDescent="0.25">
      <c r="B368" s="15" t="s">
        <v>1646</v>
      </c>
      <c r="C368" s="14"/>
      <c r="D368" s="15" t="s">
        <v>1647</v>
      </c>
      <c r="E368" s="14"/>
      <c r="F368" s="14"/>
      <c r="G368" s="14" t="s">
        <v>1648</v>
      </c>
    </row>
    <row r="369" spans="2:7" ht="12" customHeight="1" x14ac:dyDescent="0.25">
      <c r="B369" s="15" t="s">
        <v>1649</v>
      </c>
      <c r="C369" s="14"/>
      <c r="D369" s="15" t="s">
        <v>1650</v>
      </c>
      <c r="E369" s="14"/>
      <c r="F369" s="14"/>
      <c r="G369" s="14" t="s">
        <v>1651</v>
      </c>
    </row>
    <row r="370" spans="2:7" ht="12" customHeight="1" x14ac:dyDescent="0.25">
      <c r="B370" s="15" t="s">
        <v>1652</v>
      </c>
      <c r="C370" s="14"/>
      <c r="D370" s="15" t="s">
        <v>1653</v>
      </c>
      <c r="E370" s="14"/>
      <c r="F370" s="14"/>
      <c r="G370" s="14" t="s">
        <v>1654</v>
      </c>
    </row>
    <row r="371" spans="2:7" ht="12" customHeight="1" x14ac:dyDescent="0.25">
      <c r="B371" s="15" t="s">
        <v>1655</v>
      </c>
      <c r="C371" s="14"/>
      <c r="D371" s="15" t="s">
        <v>1656</v>
      </c>
      <c r="E371" s="14"/>
      <c r="F371" s="14"/>
      <c r="G371" s="14" t="s">
        <v>1657</v>
      </c>
    </row>
    <row r="372" spans="2:7" ht="12" customHeight="1" x14ac:dyDescent="0.25">
      <c r="B372" s="15" t="s">
        <v>1658</v>
      </c>
      <c r="C372" s="14"/>
      <c r="D372" s="15" t="s">
        <v>1659</v>
      </c>
      <c r="E372" s="14"/>
      <c r="F372" s="14"/>
      <c r="G372" s="14" t="s">
        <v>1660</v>
      </c>
    </row>
    <row r="373" spans="2:7" ht="12" customHeight="1" x14ac:dyDescent="0.25">
      <c r="B373" s="15" t="s">
        <v>1989</v>
      </c>
      <c r="C373" s="14"/>
      <c r="D373" s="15" t="s">
        <v>1990</v>
      </c>
      <c r="E373" s="14"/>
      <c r="F373" s="14"/>
      <c r="G373" s="14" t="s">
        <v>1991</v>
      </c>
    </row>
    <row r="374" spans="2:7" ht="12" customHeight="1" x14ac:dyDescent="0.25">
      <c r="B374" s="15" t="s">
        <v>1992</v>
      </c>
      <c r="C374" s="14"/>
      <c r="D374" s="15" t="s">
        <v>1993</v>
      </c>
      <c r="E374" s="14"/>
      <c r="F374" s="14"/>
      <c r="G374" s="14" t="s">
        <v>1994</v>
      </c>
    </row>
    <row r="375" spans="2:7" ht="12" customHeight="1" x14ac:dyDescent="0.25">
      <c r="B375" s="15" t="s">
        <v>1995</v>
      </c>
      <c r="C375" s="14"/>
      <c r="D375" s="15" t="s">
        <v>1996</v>
      </c>
      <c r="E375" s="14"/>
      <c r="F375" s="14"/>
      <c r="G375" s="14" t="s">
        <v>1997</v>
      </c>
    </row>
    <row r="376" spans="2:7" ht="12" customHeight="1" x14ac:dyDescent="0.25">
      <c r="B376" s="15" t="s">
        <v>1998</v>
      </c>
      <c r="C376" s="14"/>
      <c r="D376" s="15" t="s">
        <v>1999</v>
      </c>
      <c r="E376" s="14"/>
      <c r="F376" s="14"/>
      <c r="G376" s="14" t="s">
        <v>2000</v>
      </c>
    </row>
    <row r="377" spans="2:7" ht="12" customHeight="1" x14ac:dyDescent="0.25">
      <c r="B377" s="15" t="s">
        <v>2001</v>
      </c>
      <c r="C377" s="14"/>
      <c r="D377" s="15" t="s">
        <v>2002</v>
      </c>
      <c r="E377" s="14"/>
      <c r="F377" s="14"/>
      <c r="G377" s="14" t="s">
        <v>2003</v>
      </c>
    </row>
    <row r="378" spans="2:7" ht="12" customHeight="1" x14ac:dyDescent="0.25">
      <c r="B378" s="15" t="s">
        <v>1822</v>
      </c>
      <c r="C378" s="14"/>
      <c r="D378" s="15" t="s">
        <v>1823</v>
      </c>
      <c r="E378" s="14"/>
      <c r="F378" s="14"/>
      <c r="G378" s="14" t="s">
        <v>1824</v>
      </c>
    </row>
    <row r="379" spans="2:7" ht="12" customHeight="1" x14ac:dyDescent="0.25">
      <c r="B379" s="15" t="s">
        <v>1926</v>
      </c>
      <c r="C379" s="14"/>
      <c r="D379" s="15" t="s">
        <v>1927</v>
      </c>
      <c r="E379" s="14"/>
      <c r="F379" s="14"/>
      <c r="G379" s="14" t="s">
        <v>1928</v>
      </c>
    </row>
    <row r="380" spans="2:7" ht="12" customHeight="1" x14ac:dyDescent="0.25">
      <c r="B380" s="15" t="s">
        <v>1929</v>
      </c>
      <c r="C380" s="14"/>
      <c r="D380" s="15" t="s">
        <v>1930</v>
      </c>
      <c r="E380" s="14"/>
      <c r="F380" s="14"/>
      <c r="G380" s="14" t="s">
        <v>1931</v>
      </c>
    </row>
    <row r="381" spans="2:7" ht="12" customHeight="1" x14ac:dyDescent="0.25">
      <c r="B381" s="15" t="s">
        <v>1932</v>
      </c>
      <c r="C381" s="14"/>
      <c r="D381" s="15" t="s">
        <v>1933</v>
      </c>
      <c r="E381" s="14"/>
      <c r="F381" s="14"/>
      <c r="G381" s="14" t="s">
        <v>1934</v>
      </c>
    </row>
    <row r="382" spans="2:7" ht="12" customHeight="1" x14ac:dyDescent="0.25">
      <c r="B382" s="15" t="s">
        <v>1891</v>
      </c>
      <c r="C382" s="14"/>
      <c r="D382" s="15" t="s">
        <v>1892</v>
      </c>
      <c r="E382" s="14"/>
      <c r="F382" s="14"/>
      <c r="G382" s="14" t="s">
        <v>1893</v>
      </c>
    </row>
    <row r="383" spans="2:7" ht="12" customHeight="1" x14ac:dyDescent="0.25">
      <c r="B383" s="15" t="s">
        <v>1661</v>
      </c>
      <c r="C383" s="14"/>
      <c r="D383" s="15" t="s">
        <v>1662</v>
      </c>
      <c r="E383" s="14"/>
      <c r="F383" s="14"/>
      <c r="G383" s="14" t="s">
        <v>1663</v>
      </c>
    </row>
    <row r="384" spans="2:7" ht="12" customHeight="1" x14ac:dyDescent="0.25">
      <c r="B384" s="15" t="s">
        <v>1664</v>
      </c>
      <c r="C384" s="14"/>
      <c r="D384" s="15" t="s">
        <v>1665</v>
      </c>
      <c r="E384" s="14"/>
      <c r="F384" s="14"/>
      <c r="G384" s="14" t="s">
        <v>1666</v>
      </c>
    </row>
    <row r="385" spans="2:7" ht="12" customHeight="1" x14ac:dyDescent="0.25">
      <c r="B385" s="15" t="s">
        <v>1667</v>
      </c>
      <c r="C385" s="14"/>
      <c r="D385" s="15" t="s">
        <v>1668</v>
      </c>
      <c r="E385" s="14"/>
      <c r="F385" s="14"/>
      <c r="G385" s="14" t="s">
        <v>1669</v>
      </c>
    </row>
    <row r="386" spans="2:7" ht="12" customHeight="1" x14ac:dyDescent="0.25">
      <c r="B386" s="15" t="s">
        <v>1688</v>
      </c>
      <c r="C386" s="14"/>
      <c r="D386" s="15" t="s">
        <v>1689</v>
      </c>
      <c r="E386" s="14"/>
      <c r="F386" s="14"/>
      <c r="G386" s="14" t="s">
        <v>1690</v>
      </c>
    </row>
    <row r="387" spans="2:7" ht="12" customHeight="1" x14ac:dyDescent="0.25">
      <c r="B387" s="15" t="s">
        <v>1691</v>
      </c>
      <c r="C387" s="14"/>
      <c r="D387" s="15" t="s">
        <v>1692</v>
      </c>
      <c r="E387" s="14"/>
      <c r="F387" s="14"/>
      <c r="G387" s="14" t="s">
        <v>1693</v>
      </c>
    </row>
    <row r="388" spans="2:7" ht="12" customHeight="1" x14ac:dyDescent="0.25">
      <c r="B388" s="15" t="s">
        <v>2004</v>
      </c>
      <c r="C388" s="14"/>
      <c r="D388" s="15" t="s">
        <v>2005</v>
      </c>
      <c r="E388" s="14"/>
      <c r="F388" s="14"/>
      <c r="G388" s="14" t="s">
        <v>2006</v>
      </c>
    </row>
    <row r="389" spans="2:7" ht="12" customHeight="1" x14ac:dyDescent="0.25">
      <c r="B389" s="15" t="s">
        <v>2007</v>
      </c>
      <c r="C389" s="14"/>
      <c r="D389" s="15" t="s">
        <v>2008</v>
      </c>
      <c r="E389" s="14"/>
      <c r="F389" s="14"/>
      <c r="G389" s="14" t="s">
        <v>2009</v>
      </c>
    </row>
    <row r="390" spans="2:7" ht="12" customHeight="1" x14ac:dyDescent="0.25">
      <c r="B390" s="15" t="s">
        <v>2010</v>
      </c>
      <c r="C390" s="14"/>
      <c r="D390" s="15" t="s">
        <v>2011</v>
      </c>
      <c r="E390" s="14"/>
      <c r="F390" s="14"/>
      <c r="G390" s="14" t="s">
        <v>2012</v>
      </c>
    </row>
    <row r="391" spans="2:7" ht="12" customHeight="1" x14ac:dyDescent="0.25">
      <c r="B391" s="15" t="s">
        <v>2013</v>
      </c>
      <c r="C391" s="14"/>
      <c r="D391" s="15" t="s">
        <v>2014</v>
      </c>
      <c r="E391" s="14"/>
      <c r="F391" s="14"/>
      <c r="G391" s="14" t="s">
        <v>2015</v>
      </c>
    </row>
    <row r="392" spans="2:7" ht="12" customHeight="1" x14ac:dyDescent="0.25">
      <c r="B392" s="15" t="s">
        <v>1894</v>
      </c>
      <c r="C392" s="14"/>
      <c r="D392" s="15" t="s">
        <v>1895</v>
      </c>
      <c r="E392" s="14"/>
      <c r="F392" s="14"/>
      <c r="G392" s="14" t="s">
        <v>1896</v>
      </c>
    </row>
    <row r="393" spans="2:7" ht="12" customHeight="1" x14ac:dyDescent="0.25">
      <c r="B393" s="15" t="s">
        <v>1897</v>
      </c>
      <c r="C393" s="14"/>
      <c r="D393" s="15" t="s">
        <v>1898</v>
      </c>
      <c r="E393" s="14"/>
      <c r="F393" s="14"/>
      <c r="G393" s="14" t="s">
        <v>1899</v>
      </c>
    </row>
    <row r="394" spans="2:7" ht="12" customHeight="1" x14ac:dyDescent="0.25">
      <c r="B394" s="15" t="s">
        <v>1900</v>
      </c>
      <c r="C394" s="14"/>
      <c r="D394" s="15" t="s">
        <v>1901</v>
      </c>
      <c r="E394" s="14"/>
      <c r="F394" s="14"/>
      <c r="G394" s="14" t="s">
        <v>1902</v>
      </c>
    </row>
    <row r="395" spans="2:7" ht="12" customHeight="1" x14ac:dyDescent="0.25">
      <c r="B395" s="15" t="s">
        <v>1903</v>
      </c>
      <c r="C395" s="14"/>
      <c r="D395" s="15" t="s">
        <v>1904</v>
      </c>
      <c r="E395" s="14"/>
      <c r="F395" s="14"/>
      <c r="G395" s="14" t="s">
        <v>1905</v>
      </c>
    </row>
    <row r="396" spans="2:7" ht="12" customHeight="1" x14ac:dyDescent="0.25">
      <c r="B396" s="15" t="s">
        <v>1906</v>
      </c>
      <c r="C396" s="14"/>
      <c r="D396" s="15" t="s">
        <v>1907</v>
      </c>
      <c r="E396" s="14"/>
      <c r="F396" s="14"/>
      <c r="G396" s="14" t="s">
        <v>1908</v>
      </c>
    </row>
    <row r="397" spans="2:7" ht="12" customHeight="1" x14ac:dyDescent="0.25">
      <c r="B397" s="15" t="s">
        <v>2016</v>
      </c>
      <c r="C397" s="14"/>
      <c r="D397" s="15" t="s">
        <v>2017</v>
      </c>
      <c r="E397" s="14"/>
      <c r="F397" s="14"/>
      <c r="G397" s="14" t="s">
        <v>2018</v>
      </c>
    </row>
    <row r="398" spans="2:7" ht="12" customHeight="1" x14ac:dyDescent="0.25">
      <c r="B398" s="15" t="s">
        <v>1968</v>
      </c>
      <c r="C398" s="14"/>
      <c r="D398" s="15" t="s">
        <v>1969</v>
      </c>
      <c r="E398" s="14"/>
      <c r="F398" s="14"/>
      <c r="G398" s="14" t="s">
        <v>1970</v>
      </c>
    </row>
    <row r="399" spans="2:7" ht="12" customHeight="1" x14ac:dyDescent="0.25">
      <c r="B399" s="15" t="s">
        <v>1909</v>
      </c>
      <c r="C399" s="14"/>
      <c r="D399" s="15" t="s">
        <v>1910</v>
      </c>
      <c r="E399" s="14"/>
      <c r="F399" s="14"/>
      <c r="G399" s="14" t="s">
        <v>1911</v>
      </c>
    </row>
    <row r="400" spans="2:7" ht="12" customHeight="1" x14ac:dyDescent="0.25">
      <c r="B400" s="15" t="s">
        <v>1912</v>
      </c>
      <c r="C400" s="14"/>
      <c r="D400" s="15" t="s">
        <v>1913</v>
      </c>
      <c r="E400" s="14"/>
      <c r="F400" s="14"/>
      <c r="G400" s="14" t="s">
        <v>1914</v>
      </c>
    </row>
    <row r="401" spans="2:7" ht="12" customHeight="1" x14ac:dyDescent="0.25">
      <c r="B401" s="15" t="s">
        <v>1915</v>
      </c>
      <c r="C401" s="14"/>
      <c r="D401" s="15" t="s">
        <v>1916</v>
      </c>
      <c r="E401" s="14"/>
      <c r="F401" s="14"/>
      <c r="G401" s="14" t="s">
        <v>1917</v>
      </c>
    </row>
    <row r="402" spans="2:7" ht="12" customHeight="1" x14ac:dyDescent="0.25">
      <c r="B402" s="15" t="s">
        <v>2019</v>
      </c>
      <c r="C402" s="14"/>
      <c r="D402" s="15" t="s">
        <v>2020</v>
      </c>
      <c r="E402" s="14"/>
      <c r="F402" s="14"/>
      <c r="G402" s="14" t="s">
        <v>2021</v>
      </c>
    </row>
    <row r="403" spans="2:7" ht="12" customHeight="1" x14ac:dyDescent="0.25">
      <c r="B403" s="15" t="s">
        <v>2022</v>
      </c>
      <c r="C403" s="14"/>
      <c r="D403" s="15" t="s">
        <v>2023</v>
      </c>
      <c r="E403" s="14"/>
      <c r="F403" s="14"/>
      <c r="G403" s="14" t="s">
        <v>2024</v>
      </c>
    </row>
    <row r="404" spans="2:7" ht="12" customHeight="1" x14ac:dyDescent="0.25">
      <c r="B404" s="15" t="s">
        <v>2025</v>
      </c>
      <c r="C404" s="14"/>
      <c r="D404" s="15" t="s">
        <v>2026</v>
      </c>
      <c r="E404" s="14"/>
      <c r="F404" s="14"/>
      <c r="G404" s="14" t="s">
        <v>2027</v>
      </c>
    </row>
    <row r="405" spans="2:7" ht="12" customHeight="1" x14ac:dyDescent="0.25">
      <c r="B405" s="15" t="s">
        <v>1971</v>
      </c>
      <c r="C405" s="14"/>
      <c r="D405" s="15" t="s">
        <v>1972</v>
      </c>
      <c r="E405" s="14"/>
      <c r="F405" s="14"/>
      <c r="G405" s="14" t="s">
        <v>1973</v>
      </c>
    </row>
    <row r="406" spans="2:7" ht="12" customHeight="1" x14ac:dyDescent="0.25">
      <c r="B406" s="15" t="s">
        <v>1974</v>
      </c>
      <c r="C406" s="14"/>
      <c r="D406" s="15" t="s">
        <v>1975</v>
      </c>
      <c r="E406" s="14"/>
      <c r="F406" s="14"/>
      <c r="G406" s="14" t="s">
        <v>1976</v>
      </c>
    </row>
    <row r="407" spans="2:7" ht="12" customHeight="1" x14ac:dyDescent="0.25">
      <c r="B407" s="15" t="s">
        <v>1977</v>
      </c>
      <c r="C407" s="14"/>
      <c r="D407" s="15" t="s">
        <v>1978</v>
      </c>
      <c r="E407" s="14"/>
      <c r="F407" s="14"/>
      <c r="G407" s="14" t="s">
        <v>1979</v>
      </c>
    </row>
    <row r="408" spans="2:7" ht="12" customHeight="1" x14ac:dyDescent="0.25">
      <c r="B408" s="15" t="s">
        <v>1980</v>
      </c>
      <c r="C408" s="14"/>
      <c r="D408" s="15" t="s">
        <v>1981</v>
      </c>
      <c r="E408" s="14"/>
      <c r="F408" s="14"/>
      <c r="G408" s="14" t="s">
        <v>1982</v>
      </c>
    </row>
    <row r="409" spans="2:7" ht="12" customHeight="1" x14ac:dyDescent="0.25">
      <c r="B409" s="15" t="s">
        <v>1983</v>
      </c>
      <c r="C409" s="14"/>
      <c r="D409" s="15" t="s">
        <v>1984</v>
      </c>
      <c r="E409" s="14"/>
      <c r="F409" s="14"/>
      <c r="G409" s="14" t="s">
        <v>1985</v>
      </c>
    </row>
    <row r="410" spans="2:7" ht="12" customHeight="1" x14ac:dyDescent="0.25">
      <c r="B410" s="15" t="s">
        <v>1986</v>
      </c>
      <c r="C410" s="14"/>
      <c r="D410" s="15" t="s">
        <v>1987</v>
      </c>
      <c r="E410" s="14"/>
      <c r="F410" s="14"/>
      <c r="G410" s="14" t="s">
        <v>1988</v>
      </c>
    </row>
    <row r="411" spans="2:7" ht="12" customHeight="1" x14ac:dyDescent="0.25">
      <c r="B411" s="15" t="s">
        <v>2028</v>
      </c>
      <c r="C411" s="14"/>
      <c r="D411" s="15" t="s">
        <v>2029</v>
      </c>
      <c r="E411" s="14"/>
      <c r="F411" s="14"/>
      <c r="G411" s="14" t="s">
        <v>2030</v>
      </c>
    </row>
    <row r="412" spans="2:7" ht="12" customHeight="1" x14ac:dyDescent="0.25">
      <c r="B412" s="15" t="s">
        <v>2031</v>
      </c>
      <c r="C412" s="14"/>
      <c r="D412" s="15" t="s">
        <v>2032</v>
      </c>
      <c r="E412" s="14"/>
      <c r="F412" s="14"/>
      <c r="G412" s="14" t="s">
        <v>2033</v>
      </c>
    </row>
    <row r="413" spans="2:7" ht="12" customHeight="1" x14ac:dyDescent="0.25">
      <c r="B413" s="15" t="s">
        <v>2034</v>
      </c>
      <c r="C413" s="14"/>
      <c r="D413" s="15" t="s">
        <v>2035</v>
      </c>
      <c r="E413" s="14"/>
      <c r="F413" s="14"/>
      <c r="G413" s="14" t="s">
        <v>2036</v>
      </c>
    </row>
    <row r="414" spans="2:7" ht="12" customHeight="1" x14ac:dyDescent="0.25">
      <c r="B414" s="15" t="s">
        <v>2037</v>
      </c>
      <c r="C414" s="14"/>
      <c r="D414" s="15" t="s">
        <v>2038</v>
      </c>
      <c r="E414" s="14"/>
      <c r="F414" s="14"/>
      <c r="G414" s="14" t="s">
        <v>2039</v>
      </c>
    </row>
    <row r="415" spans="2:7" ht="12" customHeight="1" x14ac:dyDescent="0.25">
      <c r="B415" s="15" t="s">
        <v>2040</v>
      </c>
      <c r="C415" s="14"/>
      <c r="D415" s="15" t="s">
        <v>2041</v>
      </c>
      <c r="E415" s="14"/>
      <c r="F415" s="14"/>
      <c r="G415" s="14" t="s">
        <v>2042</v>
      </c>
    </row>
  </sheetData>
  <dataValidations disablePrompts="1" count="3">
    <dataValidation type="custom" allowBlank="1" showInputMessage="1" showErrorMessage="1" errorTitle="X-Author for Excel" error="Id and Lookup fields are not editable." promptTitle="X-Author for Excel" sqref="G142:G243 G6:G22 G28:G81 F86:G136 G250:G415">
      <formula1>""</formula1>
    </dataValidation>
    <dataValidation type="list" allowBlank="1" showInputMessage="1" showErrorMessage="1" errorTitle="X-Author for Excel" error="Please select a value from the drop-down." promptTitle="X-Author for Excel" sqref="H6:H22 H28:H81">
      <formula1>IF(IFERROR(ROWS(INDIRECT(SUBSTITUTE("AIM_Impact_Outcome_References__c.AIM_Data_Type_Target__c"," ","_"))),-1) &lt; 0, XAE_Invalid_PLData,INDIRECT(SUBSTITUTE("AIM_Impact_Outcome_References__c.AIM_Data_Type_Target__c","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42:H243">
      <formula1>IF(IFERROR(ROWS(INDIRECT(SUBSTITUTE("AIM_Module_Coverage_Interventio_Comp_Ref__c.AIM_Data_Type__c"," ","_"))),-1) &lt; 0, XAE_Invalid_PLData,INDIRECT(SUBSTITUTE("AIM_Module_Coverage_Interventio_Comp_Ref__c.AIM_Data_Type__c"," ","_")))</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D202"/>
  <sheetViews>
    <sheetView showGridLines="0" view="pageBreakPreview" topLeftCell="A101" zoomScale="70" zoomScaleNormal="80" zoomScaleSheetLayoutView="70" workbookViewId="0">
      <selection activeCell="E112" sqref="E112"/>
    </sheetView>
  </sheetViews>
  <sheetFormatPr defaultColWidth="11" defaultRowHeight="13.8" x14ac:dyDescent="0.25"/>
  <cols>
    <col min="1" max="1" width="39.5" style="52" customWidth="1"/>
    <col min="2" max="2" width="43.09765625" style="52" hidden="1" customWidth="1"/>
    <col min="3" max="3" width="15.59765625" style="52" hidden="1" customWidth="1"/>
    <col min="4" max="4" width="17.5" style="52" hidden="1" customWidth="1"/>
    <col min="5" max="5" width="55" style="52" customWidth="1"/>
    <col min="6" max="6" width="16" style="52" hidden="1" customWidth="1"/>
    <col min="7" max="7" width="14.796875" style="52" hidden="1" customWidth="1"/>
    <col min="8" max="8" width="14.09765625" style="52" hidden="1" customWidth="1"/>
    <col min="9" max="9" width="11.09765625" style="52" hidden="1" customWidth="1"/>
    <col min="10" max="10" width="28.5" style="52" hidden="1" customWidth="1"/>
    <col min="11" max="11" width="31.59765625" style="52" customWidth="1"/>
    <col min="12" max="12" width="21.09765625" style="52" hidden="1" customWidth="1"/>
    <col min="13" max="13" width="19.796875" style="52" hidden="1" customWidth="1"/>
    <col min="14" max="14" width="26.296875" style="52" hidden="1" customWidth="1"/>
    <col min="15" max="15" width="10.59765625" style="52" hidden="1" customWidth="1"/>
    <col min="16" max="16" width="12.296875" style="52" hidden="1" customWidth="1"/>
    <col min="17" max="17" width="10.296875" style="52" hidden="1" customWidth="1"/>
    <col min="18" max="18" width="29.796875" style="52" hidden="1" customWidth="1"/>
    <col min="19" max="19" width="14" style="52" hidden="1" customWidth="1"/>
    <col min="20" max="20" width="35.09765625" style="52" customWidth="1"/>
    <col min="21" max="21" width="19.09765625" style="52" hidden="1" customWidth="1"/>
    <col min="22" max="22" width="40.5" style="52" hidden="1" customWidth="1"/>
    <col min="23" max="23" width="29.09765625" style="52" hidden="1" customWidth="1"/>
    <col min="24" max="24" width="39.59765625" style="52" hidden="1" customWidth="1"/>
    <col min="25" max="25" width="27.59765625" style="52" hidden="1" customWidth="1"/>
    <col min="26" max="26" width="20" style="52" hidden="1" customWidth="1"/>
    <col min="27" max="27" width="17.796875" style="52" hidden="1" customWidth="1"/>
    <col min="28" max="28" width="23.796875" style="52" hidden="1" customWidth="1"/>
    <col min="29" max="29" width="32.09765625" style="52" hidden="1" customWidth="1"/>
    <col min="30" max="30" width="27.296875" style="52" hidden="1" customWidth="1"/>
    <col min="31" max="31" width="21.5" style="52" hidden="1" customWidth="1"/>
    <col min="32" max="32" width="25.796875" style="52" hidden="1" customWidth="1"/>
    <col min="33" max="33" width="26.59765625" style="52" hidden="1" customWidth="1"/>
    <col min="34" max="34" width="31.09765625" style="52" hidden="1" customWidth="1"/>
    <col min="35" max="35" width="23.59765625" style="52" hidden="1" customWidth="1"/>
    <col min="36" max="38" width="11" style="52" hidden="1" customWidth="1"/>
    <col min="39" max="39" width="19.09765625" style="52" hidden="1" customWidth="1"/>
    <col min="40" max="40" width="15.59765625" style="52" hidden="1" customWidth="1"/>
    <col min="41" max="41" width="15.59765625" style="137" hidden="1" customWidth="1"/>
    <col min="42" max="42" width="38" style="137" hidden="1" customWidth="1"/>
    <col min="43" max="43" width="40.59765625" style="137" hidden="1" customWidth="1"/>
    <col min="44" max="44" width="52.796875" style="137" hidden="1" customWidth="1"/>
    <col min="45" max="45" width="26.796875" style="137" hidden="1" customWidth="1"/>
    <col min="46" max="46" width="40.5" style="137" customWidth="1"/>
    <col min="47" max="47" width="11" style="137" customWidth="1"/>
    <col min="48" max="50" width="11" style="137"/>
    <col min="51" max="16384" width="11" style="52"/>
  </cols>
  <sheetData>
    <row r="1" spans="1:50" x14ac:dyDescent="0.25">
      <c r="A1" s="461" t="s">
        <v>288</v>
      </c>
      <c r="B1" s="462"/>
      <c r="C1" s="462"/>
      <c r="D1" s="462"/>
      <c r="E1" s="462"/>
      <c r="F1" s="462"/>
      <c r="G1" s="462"/>
      <c r="H1" s="462"/>
      <c r="I1" s="462"/>
      <c r="J1" s="462"/>
      <c r="K1" s="462"/>
      <c r="L1" s="462"/>
      <c r="M1" s="462"/>
      <c r="N1" s="462"/>
      <c r="O1" s="462"/>
      <c r="P1" s="462"/>
      <c r="Q1" s="462"/>
      <c r="R1" s="462"/>
      <c r="S1" s="462"/>
      <c r="T1" s="463"/>
      <c r="AS1" s="137" t="str">
        <f>AN5</f>
        <v>Funding Request</v>
      </c>
    </row>
    <row r="2" spans="1:50" s="198" customFormat="1" ht="27" customHeight="1" thickBot="1" x14ac:dyDescent="0.35">
      <c r="A2" s="464"/>
      <c r="B2" s="465"/>
      <c r="C2" s="465"/>
      <c r="D2" s="465"/>
      <c r="E2" s="465"/>
      <c r="F2" s="465"/>
      <c r="G2" s="465"/>
      <c r="H2" s="465"/>
      <c r="I2" s="465"/>
      <c r="J2" s="465"/>
      <c r="K2" s="465"/>
      <c r="L2" s="465"/>
      <c r="M2" s="465"/>
      <c r="N2" s="465"/>
      <c r="O2" s="465"/>
      <c r="P2" s="465"/>
      <c r="Q2" s="465"/>
      <c r="R2" s="465"/>
      <c r="S2" s="465"/>
      <c r="T2" s="466"/>
      <c r="AO2" s="199"/>
      <c r="AP2" s="199"/>
      <c r="AQ2" s="199"/>
      <c r="AR2" s="199"/>
      <c r="AS2" s="199"/>
      <c r="AT2" s="199"/>
      <c r="AU2" s="199"/>
      <c r="AV2" s="199"/>
      <c r="AW2" s="199"/>
      <c r="AX2" s="199"/>
    </row>
    <row r="3" spans="1:50" x14ac:dyDescent="0.25">
      <c r="A3" s="200" t="s">
        <v>289</v>
      </c>
      <c r="B3" s="201"/>
      <c r="C3" s="201"/>
      <c r="D3" s="201"/>
      <c r="K3" s="202"/>
      <c r="L3" s="138"/>
      <c r="M3" s="138"/>
      <c r="N3" s="138"/>
      <c r="O3" s="138"/>
      <c r="P3" s="138"/>
      <c r="Q3" s="138"/>
      <c r="R3" s="138"/>
      <c r="S3" s="138"/>
      <c r="T3" s="203"/>
    </row>
    <row r="4" spans="1:50" ht="19.5" customHeight="1" thickBot="1" x14ac:dyDescent="0.3">
      <c r="L4" s="204"/>
      <c r="M4" s="204"/>
      <c r="N4" s="204"/>
      <c r="O4" s="204"/>
      <c r="P4" s="204"/>
      <c r="Q4" s="204"/>
      <c r="R4" s="204"/>
      <c r="S4" s="204"/>
      <c r="T4" s="204"/>
      <c r="W4" s="205"/>
    </row>
    <row r="5" spans="1:50" ht="29.1" customHeight="1" thickBot="1" x14ac:dyDescent="0.3">
      <c r="A5" s="206" t="s">
        <v>31</v>
      </c>
      <c r="B5" s="207"/>
      <c r="C5" s="207"/>
      <c r="D5" s="208"/>
      <c r="E5" s="209" t="str">
        <f>IFERROR(IF($AN$5="Funding Request",IF('Reference Records'!$B$427&lt;&gt;"",'Reference Records'!$B$427,'Reference Records'!$B$428),IF(OR($AN$5="Grant Making", $AN$5="Grant Revision"),'Reference Records'!B432,"")),"")</f>
        <v>Kyrgyzstan</v>
      </c>
      <c r="F5" s="210"/>
      <c r="G5" s="210"/>
      <c r="H5" s="210"/>
      <c r="I5" s="210"/>
      <c r="J5" s="210"/>
      <c r="K5" s="210"/>
      <c r="L5" s="204"/>
      <c r="M5" s="204"/>
      <c r="N5" s="204"/>
      <c r="O5" s="204"/>
      <c r="P5" s="204"/>
      <c r="Q5" s="204"/>
      <c r="R5" s="204"/>
      <c r="S5" s="204"/>
      <c r="T5" s="204"/>
      <c r="V5" s="205"/>
      <c r="W5" s="205"/>
      <c r="AL5" s="137"/>
      <c r="AM5" s="211" t="s">
        <v>290</v>
      </c>
      <c r="AN5" s="328" t="s">
        <v>291</v>
      </c>
      <c r="AO5" s="211"/>
      <c r="AP5" s="211"/>
    </row>
    <row r="6" spans="1:50" ht="28.35" customHeight="1" thickBot="1" x14ac:dyDescent="0.3">
      <c r="A6" s="206" t="s">
        <v>33</v>
      </c>
      <c r="B6" s="207"/>
      <c r="C6" s="207"/>
      <c r="D6" s="208"/>
      <c r="E6" s="212" t="str">
        <f>IF($AN$5="Funding Request",'Reference Records'!$B$426,IF(OR($AN$5="Grant Making", $AN$5="Grant Revision"),'Reference Records'!$B$431,""))</f>
        <v>FR1405-KGZ-C</v>
      </c>
      <c r="F6" s="210"/>
      <c r="G6" s="210"/>
      <c r="H6" s="210"/>
      <c r="I6" s="210"/>
      <c r="J6" s="210"/>
      <c r="K6" s="210"/>
      <c r="L6" s="204"/>
      <c r="M6" s="204"/>
      <c r="N6" s="204"/>
      <c r="O6" s="204"/>
      <c r="P6" s="204"/>
      <c r="Q6" s="204"/>
      <c r="R6" s="204"/>
      <c r="S6" s="204"/>
      <c r="T6" s="204"/>
      <c r="V6" s="205"/>
      <c r="W6" s="205"/>
    </row>
    <row r="7" spans="1:50" ht="31.5" customHeight="1" thickBot="1" x14ac:dyDescent="0.3">
      <c r="A7" s="206" t="s">
        <v>292</v>
      </c>
      <c r="B7" s="207"/>
      <c r="C7" s="207"/>
      <c r="D7" s="208"/>
      <c r="E7" s="213">
        <v>45292</v>
      </c>
      <c r="F7" s="214"/>
      <c r="G7" s="214"/>
      <c r="H7" s="214"/>
      <c r="I7" s="214"/>
      <c r="J7" s="214"/>
      <c r="K7" s="214"/>
      <c r="L7" s="204"/>
      <c r="M7" s="204"/>
      <c r="N7" s="204"/>
      <c r="O7" s="204"/>
      <c r="P7" s="204"/>
      <c r="Q7" s="204"/>
      <c r="R7" s="204"/>
      <c r="S7" s="204"/>
      <c r="T7" s="204"/>
      <c r="V7" s="205" t="s">
        <v>293</v>
      </c>
      <c r="W7" s="205"/>
    </row>
    <row r="8" spans="1:50" ht="31.5" customHeight="1" thickBot="1" x14ac:dyDescent="0.3">
      <c r="A8" s="206" t="s">
        <v>294</v>
      </c>
      <c r="B8" s="215"/>
      <c r="C8" s="215"/>
      <c r="D8" s="216" t="s">
        <v>295</v>
      </c>
      <c r="E8" s="213">
        <v>46387</v>
      </c>
      <c r="F8" s="214"/>
      <c r="G8" s="214"/>
      <c r="H8" s="214"/>
      <c r="I8" s="214"/>
      <c r="J8" s="214"/>
      <c r="K8" s="217"/>
      <c r="L8" s="204"/>
      <c r="M8" s="204"/>
      <c r="N8" s="204"/>
      <c r="O8" s="204"/>
      <c r="P8" s="204"/>
      <c r="Q8" s="204"/>
      <c r="R8" s="204"/>
      <c r="S8" s="204"/>
      <c r="T8" s="204"/>
      <c r="V8" s="205"/>
      <c r="W8" s="205"/>
      <c r="AL8" s="211"/>
      <c r="AM8" s="211"/>
      <c r="AN8" s="211"/>
      <c r="AO8" s="211"/>
    </row>
    <row r="9" spans="1:50" ht="32.25" customHeight="1" thickBot="1" x14ac:dyDescent="0.3">
      <c r="A9" s="206" t="s">
        <v>43</v>
      </c>
      <c r="B9" s="114" t="s">
        <v>296</v>
      </c>
      <c r="C9" s="329">
        <v>12</v>
      </c>
      <c r="D9" s="218" t="s">
        <v>296</v>
      </c>
      <c r="E9" s="327">
        <f>IFERROR(IF(C9="","",C9),"")</f>
        <v>12</v>
      </c>
      <c r="F9" s="210"/>
      <c r="G9" s="210"/>
      <c r="H9" s="210"/>
      <c r="I9" s="210"/>
      <c r="J9" s="210"/>
      <c r="K9" s="210"/>
      <c r="L9" s="204"/>
      <c r="M9" s="204"/>
      <c r="N9" s="204"/>
      <c r="O9" s="204"/>
      <c r="P9" s="204"/>
      <c r="Q9" s="204"/>
      <c r="R9" s="204"/>
      <c r="S9" s="204"/>
      <c r="T9" s="204"/>
      <c r="W9" s="205"/>
      <c r="AL9" s="211"/>
      <c r="AM9" s="211" t="s">
        <v>297</v>
      </c>
      <c r="AN9" s="211">
        <f>'Reference Records'!$B$501</f>
        <v>0</v>
      </c>
      <c r="AO9" s="211"/>
    </row>
    <row r="10" spans="1:50" ht="32.25" customHeight="1" thickBot="1" x14ac:dyDescent="0.3">
      <c r="A10" s="206" t="s">
        <v>48</v>
      </c>
      <c r="D10" s="218" t="s">
        <v>298</v>
      </c>
      <c r="E10" s="323">
        <v>45292</v>
      </c>
      <c r="F10" s="210"/>
      <c r="G10" s="210"/>
      <c r="H10" s="210"/>
      <c r="I10" s="210"/>
      <c r="J10" s="210"/>
      <c r="K10" s="469" t="str">
        <f>IF(E8&gt;E11,"Please note, the Implementation Period End Date is longer than the Allocation Utilization Period End Date"," ")</f>
        <v xml:space="preserve"> </v>
      </c>
      <c r="L10" s="204"/>
      <c r="M10" s="204"/>
      <c r="N10" s="204"/>
      <c r="O10" s="204"/>
      <c r="P10" s="204"/>
      <c r="Q10" s="204"/>
      <c r="R10" s="204"/>
      <c r="S10" s="204"/>
      <c r="T10" s="204"/>
      <c r="AM10" s="211" t="s">
        <v>299</v>
      </c>
      <c r="AN10" s="211" t="s">
        <v>300</v>
      </c>
    </row>
    <row r="11" spans="1:50" ht="27" customHeight="1" thickBot="1" x14ac:dyDescent="0.3">
      <c r="A11" s="206" t="s">
        <v>50</v>
      </c>
      <c r="B11" s="219"/>
      <c r="C11" s="219"/>
      <c r="D11" s="220" t="s">
        <v>301</v>
      </c>
      <c r="E11" s="324">
        <v>46387</v>
      </c>
      <c r="F11" s="221"/>
      <c r="G11" s="221"/>
      <c r="H11" s="221"/>
      <c r="I11" s="221"/>
      <c r="J11" s="221"/>
      <c r="K11" s="469"/>
      <c r="L11" s="204"/>
      <c r="M11" s="204"/>
      <c r="N11" s="204"/>
      <c r="O11" s="204"/>
      <c r="P11" s="204"/>
      <c r="Q11" s="204"/>
      <c r="R11" s="204"/>
      <c r="S11" s="204"/>
      <c r="T11" s="222"/>
      <c r="W11" s="205"/>
      <c r="AM11" s="211" t="s">
        <v>302</v>
      </c>
      <c r="AN11" s="211" t="str">
        <f ca="1">CONCATENATE(E6&amp;"_PF_"&amp;AN5&amp;"_Imported_",TEXT(TODAY(),"dd-mmm-yy"))</f>
        <v>FR1405-KGZ-C_PF_Funding Request_Imported_dd-mmm-yy</v>
      </c>
    </row>
    <row r="12" spans="1:50" s="130" customFormat="1" ht="27.75" customHeight="1" thickBot="1" x14ac:dyDescent="0.3">
      <c r="A12" s="221"/>
      <c r="B12" s="221"/>
      <c r="C12" s="221"/>
      <c r="D12" s="221"/>
      <c r="E12" s="221"/>
      <c r="F12" s="221"/>
      <c r="G12" s="221"/>
      <c r="H12" s="221"/>
      <c r="I12" s="221"/>
      <c r="J12" s="221"/>
      <c r="K12" s="221"/>
      <c r="L12" s="222"/>
      <c r="M12" s="222"/>
      <c r="N12" s="222"/>
      <c r="O12" s="222"/>
      <c r="P12" s="222"/>
      <c r="Q12" s="222"/>
      <c r="R12" s="222"/>
      <c r="S12" s="222"/>
      <c r="T12" s="223"/>
      <c r="V12" s="52"/>
      <c r="W12" s="205"/>
      <c r="X12" s="52"/>
      <c r="Y12" s="52"/>
      <c r="Z12" s="52"/>
      <c r="AN12" s="224" t="str">
        <f ca="1">CONCATENATE(E6&amp;"_PF_"&amp;AN5&amp;"_Extracted_",TEXT(TODAY(),"dd-mmm-yy"))</f>
        <v>FR1405-KGZ-C_PF_Funding Request_Extracted_dd-mmm-yy</v>
      </c>
      <c r="AO12" s="225"/>
      <c r="AP12" s="225"/>
      <c r="AQ12" s="225"/>
      <c r="AR12" s="225"/>
      <c r="AS12" s="225"/>
      <c r="AT12" s="225"/>
      <c r="AU12" s="225"/>
      <c r="AV12" s="225"/>
      <c r="AW12" s="225"/>
      <c r="AX12" s="225"/>
    </row>
    <row r="13" spans="1:50" s="130" customFormat="1" ht="35.25" customHeight="1" thickBot="1" x14ac:dyDescent="0.3">
      <c r="A13" s="470" t="s">
        <v>89</v>
      </c>
      <c r="B13" s="226"/>
      <c r="C13" s="227"/>
      <c r="D13" s="227"/>
      <c r="E13" s="326" t="s">
        <v>303</v>
      </c>
      <c r="F13" s="228"/>
      <c r="G13" s="228"/>
      <c r="H13" s="228"/>
      <c r="I13" s="228"/>
      <c r="J13" s="228"/>
      <c r="K13" s="326" t="s">
        <v>304</v>
      </c>
      <c r="L13" s="229"/>
      <c r="M13" s="228"/>
      <c r="N13" s="228"/>
      <c r="O13" s="228"/>
      <c r="P13" s="228"/>
      <c r="Q13" s="228"/>
      <c r="R13" s="228"/>
      <c r="S13" s="228"/>
      <c r="T13" s="326" t="s">
        <v>305</v>
      </c>
      <c r="U13" s="230"/>
      <c r="V13" s="231"/>
      <c r="W13" s="232"/>
      <c r="X13" s="230"/>
      <c r="Y13" s="230"/>
      <c r="Z13" s="230"/>
      <c r="AA13" s="230"/>
      <c r="AB13" s="230"/>
      <c r="AC13" s="230"/>
      <c r="AD13" s="230"/>
      <c r="AE13" s="230"/>
      <c r="AF13" s="230"/>
      <c r="AG13" s="230"/>
      <c r="AH13" s="230"/>
      <c r="AI13" s="230"/>
      <c r="AJ13" s="230"/>
      <c r="AK13" s="230"/>
      <c r="AL13" s="230"/>
      <c r="AM13" s="230"/>
      <c r="AN13" s="230"/>
      <c r="AO13" s="233"/>
      <c r="AP13" s="233"/>
      <c r="AQ13" s="233"/>
      <c r="AR13" s="233"/>
      <c r="AS13" s="233"/>
      <c r="AT13" s="326" t="s">
        <v>306</v>
      </c>
      <c r="AU13" s="225"/>
      <c r="AV13" s="225"/>
      <c r="AW13" s="225"/>
      <c r="AX13" s="225"/>
    </row>
    <row r="14" spans="1:50" s="130" customFormat="1" ht="40.5" customHeight="1" thickBot="1" x14ac:dyDescent="0.3">
      <c r="A14" s="470"/>
      <c r="B14" s="234"/>
      <c r="C14" s="235"/>
      <c r="D14" s="235"/>
      <c r="E14" s="326" t="s">
        <v>307</v>
      </c>
      <c r="F14" s="228"/>
      <c r="G14" s="228"/>
      <c r="H14" s="228"/>
      <c r="I14" s="228"/>
      <c r="J14" s="228"/>
      <c r="K14" s="326" t="s">
        <v>308</v>
      </c>
      <c r="L14" s="229"/>
      <c r="M14" s="228"/>
      <c r="N14" s="228"/>
      <c r="O14" s="228"/>
      <c r="P14" s="228"/>
      <c r="Q14" s="228"/>
      <c r="R14" s="228"/>
      <c r="S14" s="228"/>
      <c r="T14" s="326" t="s">
        <v>309</v>
      </c>
      <c r="U14" s="230"/>
      <c r="V14" s="230"/>
      <c r="W14" s="232"/>
      <c r="X14" s="230"/>
      <c r="Y14" s="230"/>
      <c r="Z14" s="230"/>
      <c r="AA14" s="230"/>
      <c r="AB14" s="230"/>
      <c r="AC14" s="230"/>
      <c r="AD14" s="230"/>
      <c r="AE14" s="230"/>
      <c r="AF14" s="230"/>
      <c r="AG14" s="230"/>
      <c r="AH14" s="230"/>
      <c r="AI14" s="230"/>
      <c r="AJ14" s="230"/>
      <c r="AK14" s="230"/>
      <c r="AL14" s="230"/>
      <c r="AM14" s="230"/>
      <c r="AN14" s="230"/>
      <c r="AO14" s="233"/>
      <c r="AP14" s="233"/>
      <c r="AQ14" s="233"/>
      <c r="AR14" s="233"/>
      <c r="AS14" s="233"/>
      <c r="AT14" s="225"/>
      <c r="AU14" s="225"/>
      <c r="AV14" s="225"/>
      <c r="AW14" s="225"/>
      <c r="AX14" s="225"/>
    </row>
    <row r="15" spans="1:50" s="130" customFormat="1" ht="28.5" customHeight="1" x14ac:dyDescent="0.25">
      <c r="A15" s="221"/>
      <c r="B15" s="221"/>
      <c r="C15" s="221"/>
      <c r="D15" s="221"/>
      <c r="E15" s="221"/>
      <c r="F15" s="221"/>
      <c r="G15" s="221"/>
      <c r="H15" s="221"/>
      <c r="I15" s="221"/>
      <c r="J15" s="221"/>
      <c r="K15" s="221"/>
      <c r="L15" s="222"/>
      <c r="M15" s="222"/>
      <c r="N15" s="222"/>
      <c r="O15" s="222"/>
      <c r="P15" s="222"/>
      <c r="Q15" s="222"/>
      <c r="R15" s="222"/>
      <c r="S15" s="222"/>
      <c r="T15" s="223"/>
      <c r="V15" s="52"/>
      <c r="W15" s="205"/>
      <c r="X15" s="52"/>
      <c r="Y15" s="52"/>
      <c r="Z15" s="52"/>
      <c r="AO15" s="225"/>
      <c r="AP15" s="225"/>
      <c r="AQ15" s="225"/>
      <c r="AR15" s="225"/>
      <c r="AS15" s="225"/>
      <c r="AT15" s="225"/>
      <c r="AU15" s="225"/>
      <c r="AV15" s="225"/>
      <c r="AW15" s="225"/>
      <c r="AX15" s="225"/>
    </row>
    <row r="16" spans="1:50" ht="37.5" customHeight="1" thickBot="1" x14ac:dyDescent="0.3">
      <c r="A16" s="204"/>
      <c r="B16" s="204"/>
      <c r="C16" s="204"/>
      <c r="D16" s="204"/>
      <c r="W16" s="205"/>
      <c r="X16" s="205"/>
    </row>
    <row r="17" spans="1:26" ht="0.75" customHeight="1" x14ac:dyDescent="0.25">
      <c r="A17" s="236"/>
      <c r="B17" s="237"/>
      <c r="C17" s="237"/>
      <c r="D17" s="238"/>
      <c r="E17" s="204"/>
      <c r="F17" s="204"/>
      <c r="G17" s="204"/>
      <c r="H17" s="204"/>
      <c r="I17" s="204"/>
      <c r="J17" s="204"/>
      <c r="K17" s="204"/>
      <c r="L17" s="204"/>
      <c r="M17" s="204"/>
      <c r="N17" s="204"/>
      <c r="O17" s="204"/>
      <c r="P17" s="204"/>
      <c r="Q17" s="204"/>
      <c r="R17" s="204"/>
      <c r="S17" s="204"/>
      <c r="W17" s="205"/>
      <c r="X17" s="205"/>
    </row>
    <row r="18" spans="1:26" ht="36.75" customHeight="1" x14ac:dyDescent="0.25">
      <c r="A18" s="239" t="s">
        <v>54</v>
      </c>
      <c r="B18" s="240"/>
      <c r="C18" s="240" t="s">
        <v>310</v>
      </c>
      <c r="D18" s="241"/>
      <c r="E18" s="204"/>
      <c r="F18" s="204"/>
      <c r="G18" s="204"/>
      <c r="H18" s="204"/>
      <c r="I18" s="204"/>
      <c r="J18" s="204"/>
      <c r="K18" s="204"/>
      <c r="L18" s="204"/>
      <c r="M18" s="204"/>
      <c r="N18" s="204"/>
      <c r="O18" s="204"/>
      <c r="P18" s="204"/>
      <c r="Q18" s="204"/>
      <c r="R18" s="204"/>
      <c r="S18" s="204"/>
      <c r="W18" s="205"/>
      <c r="X18" s="205"/>
    </row>
    <row r="19" spans="1:26" ht="47.1" hidden="1" customHeight="1" x14ac:dyDescent="0.25">
      <c r="A19" s="333" t="s">
        <v>311</v>
      </c>
      <c r="B19" s="242"/>
      <c r="C19" s="242" t="s">
        <v>312</v>
      </c>
      <c r="D19" s="204"/>
      <c r="E19" s="204"/>
      <c r="F19" s="204"/>
      <c r="G19" s="204"/>
      <c r="H19" s="204"/>
      <c r="I19" s="204"/>
      <c r="J19" s="204"/>
      <c r="K19" s="204"/>
      <c r="L19" s="204"/>
      <c r="M19" s="204"/>
      <c r="N19" s="204"/>
      <c r="O19" s="204"/>
      <c r="P19" s="204"/>
      <c r="Q19" s="204"/>
      <c r="R19" s="204"/>
      <c r="S19" s="204"/>
      <c r="W19" s="205"/>
      <c r="X19" s="205"/>
    </row>
    <row r="20" spans="1:26" ht="47.1" customHeight="1" x14ac:dyDescent="0.25">
      <c r="A20" s="333" t="s">
        <v>313</v>
      </c>
      <c r="B20" s="242"/>
      <c r="C20" s="242" t="s">
        <v>313</v>
      </c>
      <c r="D20" s="204"/>
      <c r="E20" s="204"/>
      <c r="F20" s="204"/>
      <c r="G20" s="204"/>
      <c r="H20" s="204"/>
      <c r="I20" s="204"/>
      <c r="J20" s="204"/>
      <c r="K20" s="204"/>
      <c r="L20" s="204"/>
      <c r="M20" s="204"/>
      <c r="N20" s="204"/>
      <c r="O20" s="204"/>
      <c r="P20" s="204"/>
      <c r="Q20" s="204"/>
      <c r="R20" s="204"/>
      <c r="S20" s="204"/>
      <c r="W20" s="205"/>
      <c r="X20" s="205"/>
    </row>
    <row r="21" spans="1:26" ht="47.1" customHeight="1" x14ac:dyDescent="0.25">
      <c r="A21" s="333" t="s">
        <v>314</v>
      </c>
      <c r="B21" s="242"/>
      <c r="C21" s="242" t="s">
        <v>314</v>
      </c>
      <c r="D21" s="204"/>
      <c r="E21" s="204"/>
      <c r="F21" s="204"/>
      <c r="G21" s="204"/>
      <c r="H21" s="204"/>
      <c r="I21" s="204"/>
      <c r="J21" s="204"/>
      <c r="K21" s="204"/>
      <c r="L21" s="204"/>
      <c r="M21" s="204"/>
      <c r="N21" s="204"/>
      <c r="O21" s="204"/>
      <c r="P21" s="204"/>
      <c r="Q21" s="204"/>
      <c r="R21" s="204"/>
      <c r="S21" s="204"/>
      <c r="W21" s="205"/>
      <c r="X21" s="205"/>
    </row>
    <row r="22" spans="1:26" ht="47.1" customHeight="1" x14ac:dyDescent="0.25">
      <c r="A22" s="243"/>
      <c r="B22" s="244"/>
      <c r="C22" s="242" t="s">
        <v>315</v>
      </c>
      <c r="D22" s="204"/>
      <c r="E22" s="204"/>
      <c r="F22" s="204"/>
      <c r="G22" s="204"/>
      <c r="H22" s="204"/>
      <c r="I22" s="204"/>
      <c r="J22" s="204"/>
      <c r="K22" s="204"/>
      <c r="L22" s="204"/>
      <c r="M22" s="204"/>
      <c r="N22" s="204"/>
      <c r="O22" s="204"/>
      <c r="P22" s="204"/>
      <c r="Q22" s="204"/>
      <c r="R22" s="204"/>
      <c r="S22" s="204"/>
      <c r="W22" s="205"/>
      <c r="X22" s="205"/>
    </row>
    <row r="23" spans="1:26" s="204" customFormat="1" ht="20.100000000000001" customHeight="1" x14ac:dyDescent="0.3">
      <c r="A23" s="243"/>
      <c r="B23" s="244"/>
      <c r="C23" s="242"/>
      <c r="V23" s="245"/>
      <c r="W23" s="245"/>
      <c r="X23" s="245"/>
      <c r="Y23" s="245"/>
      <c r="Z23" s="245"/>
    </row>
    <row r="24" spans="1:26" ht="16.350000000000001" customHeight="1" thickBot="1" x14ac:dyDescent="0.3">
      <c r="W24" s="205"/>
      <c r="X24" s="205"/>
    </row>
    <row r="25" spans="1:26" ht="0.75" customHeight="1" x14ac:dyDescent="0.25">
      <c r="B25" s="246"/>
      <c r="C25" s="246"/>
      <c r="D25" s="246"/>
      <c r="F25" s="246"/>
      <c r="G25" s="246"/>
      <c r="H25" s="246"/>
      <c r="I25" s="246"/>
      <c r="J25" s="247"/>
      <c r="W25" s="205"/>
      <c r="X25" s="205"/>
    </row>
    <row r="26" spans="1:26" ht="21" customHeight="1" x14ac:dyDescent="0.25">
      <c r="A26" s="248" t="s">
        <v>316</v>
      </c>
      <c r="B26" s="249"/>
      <c r="C26" s="249"/>
      <c r="D26" s="249"/>
      <c r="E26" s="250" t="s">
        <v>317</v>
      </c>
      <c r="F26" s="251"/>
      <c r="G26" s="251"/>
      <c r="H26" s="251"/>
      <c r="I26" s="252" t="s">
        <v>318</v>
      </c>
      <c r="J26" s="253" t="s">
        <v>319</v>
      </c>
      <c r="L26" s="254"/>
      <c r="M26" s="255"/>
      <c r="N26" s="255"/>
      <c r="O26" s="256"/>
      <c r="P26" s="256"/>
      <c r="Q26" s="255"/>
      <c r="R26" s="257"/>
      <c r="W26" s="205"/>
      <c r="X26" s="205"/>
    </row>
    <row r="27" spans="1:26" ht="27.6" hidden="1" customHeight="1" x14ac:dyDescent="0.25">
      <c r="A27" s="258" t="str">
        <f>IF(E27&lt;&gt;"[Account (Name)]",1,"")</f>
        <v/>
      </c>
      <c r="B27" s="259"/>
      <c r="C27" s="259"/>
      <c r="D27" s="259"/>
      <c r="E27" s="30" t="s">
        <v>320</v>
      </c>
      <c r="F27" s="260"/>
      <c r="G27" s="260"/>
      <c r="H27" s="260"/>
      <c r="I27" s="261" t="s">
        <v>321</v>
      </c>
      <c r="J27" s="260" t="s">
        <v>322</v>
      </c>
      <c r="L27" s="262"/>
      <c r="M27" s="262"/>
      <c r="N27" s="262"/>
      <c r="O27" s="263"/>
      <c r="P27" s="263"/>
      <c r="Q27" s="263"/>
      <c r="R27" s="264"/>
      <c r="W27" s="205"/>
      <c r="X27" s="205"/>
    </row>
    <row r="28" spans="1:26" ht="18.600000000000001" customHeight="1" thickBot="1" x14ac:dyDescent="0.3">
      <c r="A28" s="54"/>
      <c r="W28" s="205"/>
      <c r="X28" s="205"/>
    </row>
    <row r="29" spans="1:26" ht="12.6" customHeight="1" x14ac:dyDescent="0.25">
      <c r="A29" s="265"/>
      <c r="B29" s="246"/>
      <c r="C29" s="246"/>
      <c r="D29" s="246"/>
      <c r="E29" s="265"/>
      <c r="F29" s="246"/>
      <c r="G29" s="246"/>
      <c r="H29" s="246"/>
      <c r="I29" s="246"/>
      <c r="K29" s="265"/>
      <c r="L29" s="246"/>
      <c r="M29" s="246"/>
      <c r="N29" s="246"/>
      <c r="O29" s="246"/>
      <c r="P29" s="246"/>
      <c r="Q29" s="246"/>
      <c r="R29" s="266"/>
      <c r="S29" s="267"/>
      <c r="W29" s="205"/>
    </row>
    <row r="30" spans="1:26" ht="78.599999999999994" customHeight="1" x14ac:dyDescent="0.25">
      <c r="A30" s="239" t="s">
        <v>316</v>
      </c>
      <c r="B30" s="277"/>
      <c r="C30" s="277"/>
      <c r="D30" s="277"/>
      <c r="E30" s="373" t="s">
        <v>323</v>
      </c>
      <c r="F30" s="277"/>
      <c r="G30" s="277"/>
      <c r="H30" s="277"/>
      <c r="I30" s="277"/>
      <c r="J30" s="277" t="str">
        <f>P30</f>
        <v>Record ID</v>
      </c>
      <c r="K30" s="374" t="s">
        <v>324</v>
      </c>
      <c r="L30" s="278" t="s">
        <v>325</v>
      </c>
      <c r="M30" s="375" t="s">
        <v>326</v>
      </c>
      <c r="N30" s="375" t="s">
        <v>327</v>
      </c>
      <c r="O30" s="375" t="s">
        <v>328</v>
      </c>
      <c r="P30" s="278" t="s">
        <v>318</v>
      </c>
      <c r="Q30" s="278" t="s">
        <v>329</v>
      </c>
      <c r="R30" s="281" t="s">
        <v>319</v>
      </c>
      <c r="S30" s="247"/>
      <c r="W30" s="205"/>
    </row>
    <row r="31" spans="1:26" ht="27.6" hidden="1" customHeight="1" x14ac:dyDescent="0.25">
      <c r="A31" s="333" t="s">
        <v>330</v>
      </c>
      <c r="B31" s="280"/>
      <c r="C31" s="280"/>
      <c r="D31" s="280" t="str">
        <f>IF(E31&lt;&gt;"",E31,K31)</f>
        <v>[Account (Name)]</v>
      </c>
      <c r="E31" s="376" t="str">
        <f>IFERROR(IF(Q31="Funding Request Place Holder","",Q31),"")</f>
        <v>[Account (Name)]</v>
      </c>
      <c r="F31" s="377"/>
      <c r="G31" s="377"/>
      <c r="H31" s="377"/>
      <c r="I31" s="377"/>
      <c r="J31" s="281" t="str">
        <f>P31</f>
        <v>[Record ID]</v>
      </c>
      <c r="K31" s="334" t="s">
        <v>331</v>
      </c>
      <c r="L31" s="378" t="b">
        <f>IFERROR(IF(AND($AN$5="Funding Request",OR(E31&lt;&gt;"",K31&lt;&gt;"")),TRUE,FALSE),FALSE)</f>
        <v>1</v>
      </c>
      <c r="M31" s="378" t="str">
        <f>E31&amp;K31</f>
        <v>[Account (Name)][Alternative Account]</v>
      </c>
      <c r="N31" s="379" t="str">
        <f>IFERROR(IF(E31&lt;&gt;"",IF('Reference Records'!$C$427&lt;&gt;"",VLOOKUP(E31,'Account Role'!$B$3:$D$12,3,FALSE),VLOOKUP(E31,'Account Role'!$B$20:$D$300,3,FALSE)),O31),"")</f>
        <v>[Account]</v>
      </c>
      <c r="O31" s="378" t="s">
        <v>332</v>
      </c>
      <c r="P31" s="380" t="s">
        <v>321</v>
      </c>
      <c r="Q31" s="381" t="s">
        <v>320</v>
      </c>
      <c r="R31" s="377" t="s">
        <v>322</v>
      </c>
      <c r="S31" s="247"/>
      <c r="W31" s="205"/>
    </row>
    <row r="32" spans="1:26" ht="27.6" customHeight="1" x14ac:dyDescent="0.25">
      <c r="A32" s="333">
        <v>1</v>
      </c>
      <c r="B32" s="280"/>
      <c r="C32" s="280"/>
      <c r="D32" s="280">
        <f t="shared" ref="D32:D40" si="0">IF(E32&lt;&gt;"",E32,K32)</f>
        <v>0</v>
      </c>
      <c r="E32" s="376" t="str">
        <f t="shared" ref="E32:E40" si="1">IFERROR(IF(Q32="Funding Request Place Holder","",Q32),"")</f>
        <v/>
      </c>
      <c r="F32" s="377"/>
      <c r="G32" s="377"/>
      <c r="H32" s="377"/>
      <c r="I32" s="377"/>
      <c r="J32" s="281" t="str">
        <f t="shared" ref="J32:J40" si="2">P32</f>
        <v>a12Dm000000bzsAIAQ</v>
      </c>
      <c r="K32" s="334"/>
      <c r="L32" s="378" t="b">
        <f t="shared" ref="L32:L40" si="3">IFERROR(IF(AND($AN$5="Funding Request",OR(E32&lt;&gt;"",K32&lt;&gt;"")),TRUE,FALSE),FALSE)</f>
        <v>0</v>
      </c>
      <c r="M32" s="378" t="str">
        <f t="shared" ref="M32:M40" si="4">E32&amp;K32</f>
        <v/>
      </c>
      <c r="N32" s="379" t="str">
        <f>IFERROR(IF(E32&lt;&gt;"",IF('Reference Records'!$C$427&lt;&gt;"",VLOOKUP(E32,'Account Role'!$B$3:$D$12,3,FALSE),VLOOKUP(E32,'Account Role'!$B$20:$D$300,3,FALSE)),O32),"")</f>
        <v>0013600000zN6z8AAC</v>
      </c>
      <c r="O32" s="378" t="s">
        <v>333</v>
      </c>
      <c r="P32" s="380" t="s">
        <v>334</v>
      </c>
      <c r="Q32" s="381" t="s">
        <v>335</v>
      </c>
      <c r="R32" s="377" t="s">
        <v>336</v>
      </c>
      <c r="S32" s="247"/>
      <c r="W32" s="205"/>
    </row>
    <row r="33" spans="1:23" ht="27.6" customHeight="1" x14ac:dyDescent="0.25">
      <c r="A33" s="333">
        <v>2</v>
      </c>
      <c r="B33" s="280"/>
      <c r="C33" s="280"/>
      <c r="D33" s="280">
        <f t="shared" si="0"/>
        <v>0</v>
      </c>
      <c r="E33" s="376" t="str">
        <f t="shared" si="1"/>
        <v/>
      </c>
      <c r="F33" s="377"/>
      <c r="G33" s="377"/>
      <c r="H33" s="377"/>
      <c r="I33" s="377"/>
      <c r="J33" s="281" t="str">
        <f t="shared" si="2"/>
        <v>a12Dm000000bzsBIAQ</v>
      </c>
      <c r="K33" s="334"/>
      <c r="L33" s="378" t="b">
        <f t="shared" si="3"/>
        <v>0</v>
      </c>
      <c r="M33" s="378" t="str">
        <f t="shared" si="4"/>
        <v/>
      </c>
      <c r="N33" s="379" t="str">
        <f>IFERROR(IF(E33&lt;&gt;"",IF('Reference Records'!$C$427&lt;&gt;"",VLOOKUP(E33,'Account Role'!$B$3:$D$12,3,FALSE),VLOOKUP(E33,'Account Role'!$B$20:$D$300,3,FALSE)),O33),"")</f>
        <v>0013600000zN6z8AAC</v>
      </c>
      <c r="O33" s="378" t="s">
        <v>333</v>
      </c>
      <c r="P33" s="380" t="s">
        <v>337</v>
      </c>
      <c r="Q33" s="381" t="s">
        <v>335</v>
      </c>
      <c r="R33" s="377" t="s">
        <v>338</v>
      </c>
      <c r="S33" s="247"/>
      <c r="W33" s="205"/>
    </row>
    <row r="34" spans="1:23" ht="27.6" customHeight="1" x14ac:dyDescent="0.25">
      <c r="A34" s="333">
        <v>3</v>
      </c>
      <c r="B34" s="280"/>
      <c r="C34" s="280"/>
      <c r="D34" s="280">
        <f t="shared" si="0"/>
        <v>0</v>
      </c>
      <c r="E34" s="376" t="str">
        <f t="shared" si="1"/>
        <v/>
      </c>
      <c r="F34" s="377"/>
      <c r="G34" s="377"/>
      <c r="H34" s="377"/>
      <c r="I34" s="377"/>
      <c r="J34" s="281" t="str">
        <f t="shared" si="2"/>
        <v>a12Dm000000bzsCIAQ</v>
      </c>
      <c r="K34" s="334"/>
      <c r="L34" s="378" t="b">
        <f t="shared" si="3"/>
        <v>0</v>
      </c>
      <c r="M34" s="378" t="str">
        <f t="shared" si="4"/>
        <v/>
      </c>
      <c r="N34" s="379" t="str">
        <f>IFERROR(IF(E34&lt;&gt;"",IF('Reference Records'!$C$427&lt;&gt;"",VLOOKUP(E34,'Account Role'!$B$3:$D$12,3,FALSE),VLOOKUP(E34,'Account Role'!$B$20:$D$300,3,FALSE)),O34),"")</f>
        <v>0013600000zN6z8AAC</v>
      </c>
      <c r="O34" s="378" t="s">
        <v>333</v>
      </c>
      <c r="P34" s="380" t="s">
        <v>339</v>
      </c>
      <c r="Q34" s="381" t="s">
        <v>335</v>
      </c>
      <c r="R34" s="377" t="s">
        <v>340</v>
      </c>
      <c r="S34" s="247"/>
      <c r="W34" s="205"/>
    </row>
    <row r="35" spans="1:23" ht="27.6" customHeight="1" x14ac:dyDescent="0.25">
      <c r="A35" s="333">
        <v>4</v>
      </c>
      <c r="B35" s="280"/>
      <c r="C35" s="280"/>
      <c r="D35" s="280">
        <f t="shared" si="0"/>
        <v>0</v>
      </c>
      <c r="E35" s="376" t="str">
        <f t="shared" si="1"/>
        <v/>
      </c>
      <c r="F35" s="377"/>
      <c r="G35" s="377"/>
      <c r="H35" s="377"/>
      <c r="I35" s="377"/>
      <c r="J35" s="281" t="str">
        <f t="shared" si="2"/>
        <v>a12Dm000000bzsDIAQ</v>
      </c>
      <c r="K35" s="334"/>
      <c r="L35" s="378" t="b">
        <f t="shared" si="3"/>
        <v>0</v>
      </c>
      <c r="M35" s="378" t="str">
        <f t="shared" si="4"/>
        <v/>
      </c>
      <c r="N35" s="379" t="str">
        <f>IFERROR(IF(E35&lt;&gt;"",IF('Reference Records'!$C$427&lt;&gt;"",VLOOKUP(E35,'Account Role'!$B$3:$D$12,3,FALSE),VLOOKUP(E35,'Account Role'!$B$20:$D$300,3,FALSE)),O35),"")</f>
        <v>0013600000zN6z8AAC</v>
      </c>
      <c r="O35" s="378" t="s">
        <v>333</v>
      </c>
      <c r="P35" s="380" t="s">
        <v>341</v>
      </c>
      <c r="Q35" s="381" t="s">
        <v>335</v>
      </c>
      <c r="R35" s="377" t="s">
        <v>342</v>
      </c>
      <c r="S35" s="247"/>
      <c r="W35" s="205"/>
    </row>
    <row r="36" spans="1:23" ht="27.6" customHeight="1" x14ac:dyDescent="0.25">
      <c r="A36" s="333">
        <v>5</v>
      </c>
      <c r="B36" s="280"/>
      <c r="C36" s="280"/>
      <c r="D36" s="280">
        <f t="shared" si="0"/>
        <v>0</v>
      </c>
      <c r="E36" s="376" t="str">
        <f t="shared" si="1"/>
        <v/>
      </c>
      <c r="F36" s="377"/>
      <c r="G36" s="377"/>
      <c r="H36" s="377"/>
      <c r="I36" s="377"/>
      <c r="J36" s="281" t="str">
        <f t="shared" si="2"/>
        <v>a12Dm000000bzsEIAQ</v>
      </c>
      <c r="K36" s="334"/>
      <c r="L36" s="378" t="b">
        <f t="shared" si="3"/>
        <v>0</v>
      </c>
      <c r="M36" s="378" t="str">
        <f t="shared" si="4"/>
        <v/>
      </c>
      <c r="N36" s="379" t="str">
        <f>IFERROR(IF(E36&lt;&gt;"",IF('Reference Records'!$C$427&lt;&gt;"",VLOOKUP(E36,'Account Role'!$B$3:$D$12,3,FALSE),VLOOKUP(E36,'Account Role'!$B$20:$D$300,3,FALSE)),O36),"")</f>
        <v>0013600000zN6z8AAC</v>
      </c>
      <c r="O36" s="378" t="s">
        <v>333</v>
      </c>
      <c r="P36" s="380" t="s">
        <v>343</v>
      </c>
      <c r="Q36" s="381" t="s">
        <v>335</v>
      </c>
      <c r="R36" s="377" t="s">
        <v>344</v>
      </c>
      <c r="S36" s="247"/>
      <c r="W36" s="205"/>
    </row>
    <row r="37" spans="1:23" ht="27.6" customHeight="1" x14ac:dyDescent="0.25">
      <c r="A37" s="333">
        <v>6</v>
      </c>
      <c r="B37" s="280"/>
      <c r="C37" s="280"/>
      <c r="D37" s="280">
        <f t="shared" si="0"/>
        <v>0</v>
      </c>
      <c r="E37" s="376" t="str">
        <f t="shared" si="1"/>
        <v/>
      </c>
      <c r="F37" s="377"/>
      <c r="G37" s="377"/>
      <c r="H37" s="377"/>
      <c r="I37" s="377"/>
      <c r="J37" s="281" t="str">
        <f t="shared" si="2"/>
        <v>a12Dm000000bzsFIAQ</v>
      </c>
      <c r="K37" s="334"/>
      <c r="L37" s="378" t="b">
        <f t="shared" si="3"/>
        <v>0</v>
      </c>
      <c r="M37" s="378" t="str">
        <f t="shared" si="4"/>
        <v/>
      </c>
      <c r="N37" s="379" t="str">
        <f>IFERROR(IF(E37&lt;&gt;"",IF('Reference Records'!$C$427&lt;&gt;"",VLOOKUP(E37,'Account Role'!$B$3:$D$12,3,FALSE),VLOOKUP(E37,'Account Role'!$B$20:$D$300,3,FALSE)),O37),"")</f>
        <v>0013600000zN6z8AAC</v>
      </c>
      <c r="O37" s="378" t="s">
        <v>333</v>
      </c>
      <c r="P37" s="380" t="s">
        <v>345</v>
      </c>
      <c r="Q37" s="381" t="s">
        <v>335</v>
      </c>
      <c r="R37" s="377" t="s">
        <v>346</v>
      </c>
      <c r="S37" s="247"/>
      <c r="W37" s="205"/>
    </row>
    <row r="38" spans="1:23" ht="27.6" customHeight="1" x14ac:dyDescent="0.25">
      <c r="A38" s="333">
        <v>7</v>
      </c>
      <c r="B38" s="280"/>
      <c r="C38" s="280"/>
      <c r="D38" s="280">
        <f t="shared" si="0"/>
        <v>0</v>
      </c>
      <c r="E38" s="376" t="str">
        <f t="shared" si="1"/>
        <v/>
      </c>
      <c r="F38" s="377"/>
      <c r="G38" s="377"/>
      <c r="H38" s="377"/>
      <c r="I38" s="377"/>
      <c r="J38" s="281" t="str">
        <f t="shared" si="2"/>
        <v>a12Dm000000bzsGIAQ</v>
      </c>
      <c r="K38" s="334"/>
      <c r="L38" s="378" t="b">
        <f t="shared" si="3"/>
        <v>0</v>
      </c>
      <c r="M38" s="378" t="str">
        <f t="shared" si="4"/>
        <v/>
      </c>
      <c r="N38" s="379" t="str">
        <f>IFERROR(IF(E38&lt;&gt;"",IF('Reference Records'!$C$427&lt;&gt;"",VLOOKUP(E38,'Account Role'!$B$3:$D$12,3,FALSE),VLOOKUP(E38,'Account Role'!$B$20:$D$300,3,FALSE)),O38),"")</f>
        <v>0013600000zN6z8AAC</v>
      </c>
      <c r="O38" s="378" t="s">
        <v>333</v>
      </c>
      <c r="P38" s="380" t="s">
        <v>347</v>
      </c>
      <c r="Q38" s="381" t="s">
        <v>335</v>
      </c>
      <c r="R38" s="377" t="s">
        <v>348</v>
      </c>
      <c r="S38" s="247"/>
      <c r="W38" s="205"/>
    </row>
    <row r="39" spans="1:23" ht="27.6" customHeight="1" x14ac:dyDescent="0.25">
      <c r="A39" s="333">
        <v>8</v>
      </c>
      <c r="B39" s="280"/>
      <c r="C39" s="280"/>
      <c r="D39" s="280">
        <f t="shared" si="0"/>
        <v>0</v>
      </c>
      <c r="E39" s="376" t="str">
        <f t="shared" si="1"/>
        <v/>
      </c>
      <c r="F39" s="377"/>
      <c r="G39" s="377"/>
      <c r="H39" s="377"/>
      <c r="I39" s="377"/>
      <c r="J39" s="281" t="str">
        <f t="shared" si="2"/>
        <v>a12Dm000000bzsHIAQ</v>
      </c>
      <c r="K39" s="334"/>
      <c r="L39" s="378" t="b">
        <f t="shared" si="3"/>
        <v>0</v>
      </c>
      <c r="M39" s="378" t="str">
        <f t="shared" si="4"/>
        <v/>
      </c>
      <c r="N39" s="379" t="str">
        <f>IFERROR(IF(E39&lt;&gt;"",IF('Reference Records'!$C$427&lt;&gt;"",VLOOKUP(E39,'Account Role'!$B$3:$D$12,3,FALSE),VLOOKUP(E39,'Account Role'!$B$20:$D$300,3,FALSE)),O39),"")</f>
        <v>0013600000zN6z8AAC</v>
      </c>
      <c r="O39" s="378" t="s">
        <v>333</v>
      </c>
      <c r="P39" s="380" t="s">
        <v>349</v>
      </c>
      <c r="Q39" s="381" t="s">
        <v>335</v>
      </c>
      <c r="R39" s="377" t="s">
        <v>350</v>
      </c>
      <c r="S39" s="247"/>
      <c r="W39" s="205"/>
    </row>
    <row r="40" spans="1:23" ht="27.6" customHeight="1" x14ac:dyDescent="0.25">
      <c r="A40" s="333">
        <v>9</v>
      </c>
      <c r="B40" s="280"/>
      <c r="C40" s="280"/>
      <c r="D40" s="280">
        <f t="shared" si="0"/>
        <v>0</v>
      </c>
      <c r="E40" s="376" t="str">
        <f t="shared" si="1"/>
        <v/>
      </c>
      <c r="F40" s="377"/>
      <c r="G40" s="377"/>
      <c r="H40" s="377"/>
      <c r="I40" s="377"/>
      <c r="J40" s="281" t="str">
        <f t="shared" si="2"/>
        <v>a12Dm000000bzsIIAQ</v>
      </c>
      <c r="K40" s="334"/>
      <c r="L40" s="378" t="b">
        <f t="shared" si="3"/>
        <v>0</v>
      </c>
      <c r="M40" s="378" t="str">
        <f t="shared" si="4"/>
        <v/>
      </c>
      <c r="N40" s="379" t="str">
        <f>IFERROR(IF(E40&lt;&gt;"",IF('Reference Records'!$C$427&lt;&gt;"",VLOOKUP(E40,'Account Role'!$B$3:$D$12,3,FALSE),VLOOKUP(E40,'Account Role'!$B$20:$D$300,3,FALSE)),O40),"")</f>
        <v>0013600000zN6z8AAC</v>
      </c>
      <c r="O40" s="378" t="s">
        <v>333</v>
      </c>
      <c r="P40" s="380" t="s">
        <v>351</v>
      </c>
      <c r="Q40" s="381" t="s">
        <v>335</v>
      </c>
      <c r="R40" s="377" t="s">
        <v>352</v>
      </c>
      <c r="S40" s="247"/>
      <c r="W40" s="205"/>
    </row>
    <row r="41" spans="1:23" ht="24" customHeight="1" thickBot="1" x14ac:dyDescent="0.3">
      <c r="A41" s="268"/>
      <c r="B41" s="268"/>
      <c r="C41" s="268"/>
      <c r="D41" s="268"/>
      <c r="E41" s="269"/>
      <c r="F41" s="269"/>
      <c r="G41" s="269"/>
      <c r="H41" s="269"/>
      <c r="I41" s="269"/>
      <c r="J41" s="269"/>
      <c r="K41" s="269"/>
      <c r="L41" s="269"/>
      <c r="M41" s="269"/>
      <c r="N41" s="269"/>
      <c r="O41" s="269"/>
      <c r="P41" s="269"/>
      <c r="Q41" s="269"/>
      <c r="R41" s="270"/>
      <c r="S41" s="271"/>
      <c r="W41" s="205"/>
    </row>
    <row r="42" spans="1:23" ht="30" customHeight="1" x14ac:dyDescent="0.25">
      <c r="A42" s="54"/>
      <c r="E42" s="272"/>
      <c r="F42" s="272"/>
      <c r="G42" s="272"/>
      <c r="H42" s="272"/>
      <c r="I42" s="272"/>
      <c r="J42" s="272"/>
      <c r="K42" s="272"/>
      <c r="L42" s="272"/>
      <c r="M42" s="272"/>
      <c r="N42" s="272"/>
      <c r="O42" s="272"/>
      <c r="P42" s="273"/>
      <c r="Q42" s="272"/>
      <c r="R42" s="158"/>
      <c r="W42" s="205"/>
    </row>
    <row r="43" spans="1:23" ht="29.25" customHeight="1" x14ac:dyDescent="0.25">
      <c r="A43" s="471"/>
      <c r="B43" s="471"/>
      <c r="C43" s="471"/>
      <c r="D43" s="471"/>
      <c r="E43" s="471"/>
      <c r="F43" s="471"/>
      <c r="G43" s="471"/>
      <c r="H43" s="471"/>
      <c r="I43" s="471"/>
      <c r="J43" s="471"/>
      <c r="K43" s="471"/>
      <c r="L43" s="471"/>
      <c r="M43" s="274"/>
      <c r="N43" s="274"/>
      <c r="O43" s="274"/>
      <c r="P43" s="274"/>
      <c r="Q43" s="274"/>
      <c r="R43" s="274"/>
      <c r="W43" s="205"/>
    </row>
    <row r="44" spans="1:23" ht="30.75" customHeight="1" thickBot="1" x14ac:dyDescent="0.3">
      <c r="R44" s="158"/>
      <c r="W44" s="205"/>
    </row>
    <row r="45" spans="1:23" ht="29.25" customHeight="1" thickBot="1" x14ac:dyDescent="0.3">
      <c r="A45" s="467" t="s">
        <v>353</v>
      </c>
      <c r="B45" s="468"/>
      <c r="C45" s="468"/>
      <c r="D45" s="468"/>
      <c r="E45" s="468"/>
      <c r="F45" s="468"/>
      <c r="G45" s="468"/>
      <c r="H45" s="468"/>
      <c r="I45" s="468"/>
      <c r="J45" s="468"/>
      <c r="K45" s="468"/>
      <c r="L45" s="468"/>
      <c r="M45" s="468"/>
      <c r="N45" s="468"/>
      <c r="O45" s="468"/>
      <c r="P45" s="468"/>
      <c r="Q45" s="468"/>
      <c r="R45" s="468"/>
      <c r="S45" s="468"/>
      <c r="T45" s="468"/>
      <c r="U45" s="246"/>
      <c r="W45" s="205"/>
    </row>
    <row r="46" spans="1:23" ht="32.1" customHeight="1" x14ac:dyDescent="0.25">
      <c r="A46" s="275" t="s">
        <v>354</v>
      </c>
      <c r="B46" s="239">
        <v>0</v>
      </c>
      <c r="C46" s="275"/>
      <c r="D46" s="275"/>
      <c r="E46" s="275" t="s">
        <v>355</v>
      </c>
      <c r="F46" s="275"/>
      <c r="G46" s="275"/>
      <c r="H46" s="275"/>
      <c r="I46" s="275"/>
      <c r="J46" s="275"/>
      <c r="K46" s="275" t="s">
        <v>69</v>
      </c>
      <c r="L46" s="276" t="s">
        <v>356</v>
      </c>
      <c r="M46" s="276" t="s">
        <v>357</v>
      </c>
      <c r="N46" s="276" t="s">
        <v>325</v>
      </c>
      <c r="O46" s="276" t="s">
        <v>358</v>
      </c>
      <c r="P46" s="276" t="s">
        <v>359</v>
      </c>
      <c r="Q46" s="276" t="s">
        <v>299</v>
      </c>
      <c r="R46" s="276"/>
      <c r="S46" s="277"/>
      <c r="T46" s="275" t="s">
        <v>360</v>
      </c>
      <c r="U46" s="278" t="s">
        <v>318</v>
      </c>
      <c r="W46" s="205"/>
    </row>
    <row r="47" spans="1:23" ht="20.100000000000001" hidden="1" customHeight="1" x14ac:dyDescent="0.25">
      <c r="A47" s="279" t="str">
        <f ca="1">IF(P47="",IF(B47=2,$E$7,IF(B47=1,"",E46+1)),IF(P47&lt;TODAY(),O47,IF(B47=2,$E$7,IF(B47=1,"",E46+1))))</f>
        <v/>
      </c>
      <c r="B47" s="280">
        <f>B46+1</f>
        <v>1</v>
      </c>
      <c r="C47" s="281"/>
      <c r="D47" s="281"/>
      <c r="E47" s="321" t="str">
        <f ca="1">IF(P47="",IFERROR(EOMONTH($A47,$E$9-1),""),IF(P47&lt;TODAY(),P47,IFERROR(EOMONTH($A47,$E$9-1),"")))</f>
        <v/>
      </c>
      <c r="F47" s="282"/>
      <c r="G47" s="282"/>
      <c r="H47" s="282"/>
      <c r="I47" s="282"/>
      <c r="J47" s="282"/>
      <c r="K47" s="283" t="str">
        <f>IF(M47=TRUE,"Yes","No")</f>
        <v>No</v>
      </c>
      <c r="L47" s="278" t="b">
        <f>IF(K47="Yes",TRUE,FALSE)</f>
        <v>0</v>
      </c>
      <c r="M47" s="278" t="s">
        <v>361</v>
      </c>
      <c r="N47" s="278" t="b">
        <f ca="1">IFERROR(IF(E47&lt;=$E$8,TRUE,FALSE),"")</f>
        <v>0</v>
      </c>
      <c r="O47" s="284" t="s">
        <v>362</v>
      </c>
      <c r="P47" s="284" t="s">
        <v>363</v>
      </c>
      <c r="Q47" s="285" t="s">
        <v>321</v>
      </c>
      <c r="R47" s="286"/>
      <c r="S47" s="278"/>
      <c r="T47" s="279" t="str">
        <f ca="1">IFERROR(TEXT(IF(K47="","", IF(OR((E47=$E$8),(K47="Yes")),E47+60, IF(K47="No",E47+45,""))),Setup!$A$33),"")</f>
        <v/>
      </c>
      <c r="U47" s="278" t="s">
        <v>321</v>
      </c>
      <c r="W47" s="205"/>
    </row>
    <row r="48" spans="1:23" ht="20.100000000000001" customHeight="1" x14ac:dyDescent="0.25">
      <c r="A48" s="279">
        <f t="shared" ref="A48:A53" ca="1" si="5">IF(P48="",IF(B48=2,$E$7,IF(B48=1,"",E47+1)),IF(P48&lt;TODAY(),O48,IF(B48=2,$E$7,IF(B48=1,"",E47+1))))</f>
        <v>45292</v>
      </c>
      <c r="B48" s="280">
        <f t="shared" ref="B48:B53" si="6">B47+1</f>
        <v>2</v>
      </c>
      <c r="C48" s="281"/>
      <c r="D48" s="281"/>
      <c r="E48" s="321">
        <f t="shared" ref="E48:E53" ca="1" si="7">IF(P48="",IFERROR(EOMONTH($A48,$E$9-1),""),IF(P48&lt;TODAY(),P48,IFERROR(EOMONTH($A48,$E$9-1),"")))</f>
        <v>45657</v>
      </c>
      <c r="F48" s="282"/>
      <c r="G48" s="282"/>
      <c r="H48" s="282"/>
      <c r="I48" s="282"/>
      <c r="J48" s="282"/>
      <c r="K48" s="283" t="str">
        <f t="shared" ref="K48:K53" si="8">IF(M48=TRUE,"Yes","No")</f>
        <v>No</v>
      </c>
      <c r="L48" s="278" t="b">
        <f t="shared" ref="L48:L53" si="9">IF(K48="Yes",TRUE,FALSE)</f>
        <v>0</v>
      </c>
      <c r="M48" s="278" t="b">
        <v>0</v>
      </c>
      <c r="N48" s="278" t="b">
        <f t="shared" ref="N48:N53" ca="1" si="10">IFERROR(IF(E48&lt;=$E$8,TRUE,FALSE),"")</f>
        <v>1</v>
      </c>
      <c r="O48" s="284"/>
      <c r="P48" s="284"/>
      <c r="Q48" s="285" t="s">
        <v>300</v>
      </c>
      <c r="R48" s="286"/>
      <c r="S48" s="278"/>
      <c r="T48" s="279" t="str">
        <f ca="1">IFERROR(TEXT(IF(K48="","", IF(OR((E48=$E$8),(K48="Yes")),E48+60, IF(K48="No",E48+45,""))),Setup!$A$33),"")</f>
        <v>d-mmm-yy</v>
      </c>
      <c r="U48" s="278" t="s">
        <v>364</v>
      </c>
      <c r="W48" s="205"/>
    </row>
    <row r="49" spans="1:25" ht="20.100000000000001" customHeight="1" x14ac:dyDescent="0.25">
      <c r="A49" s="279">
        <f t="shared" ca="1" si="5"/>
        <v>45658</v>
      </c>
      <c r="B49" s="280">
        <f t="shared" si="6"/>
        <v>3</v>
      </c>
      <c r="C49" s="281"/>
      <c r="D49" s="281"/>
      <c r="E49" s="321">
        <f t="shared" ca="1" si="7"/>
        <v>46022</v>
      </c>
      <c r="F49" s="282"/>
      <c r="G49" s="282"/>
      <c r="H49" s="282"/>
      <c r="I49" s="282"/>
      <c r="J49" s="282"/>
      <c r="K49" s="283" t="str">
        <f t="shared" si="8"/>
        <v>No</v>
      </c>
      <c r="L49" s="278" t="b">
        <f t="shared" si="9"/>
        <v>0</v>
      </c>
      <c r="M49" s="278" t="b">
        <v>0</v>
      </c>
      <c r="N49" s="278" t="b">
        <f t="shared" ca="1" si="10"/>
        <v>1</v>
      </c>
      <c r="O49" s="284"/>
      <c r="P49" s="284"/>
      <c r="Q49" s="285" t="s">
        <v>300</v>
      </c>
      <c r="R49" s="286"/>
      <c r="S49" s="278"/>
      <c r="T49" s="279" t="str">
        <f ca="1">IFERROR(TEXT(IF(K49="","", IF(OR((E49=$E$8),(K49="Yes")),E49+60, IF(K49="No",E49+45,""))),Setup!$A$33),"")</f>
        <v>d-mmm-yy</v>
      </c>
      <c r="U49" s="278" t="s">
        <v>365</v>
      </c>
      <c r="W49" s="205"/>
    </row>
    <row r="50" spans="1:25" ht="20.100000000000001" customHeight="1" x14ac:dyDescent="0.25">
      <c r="A50" s="279">
        <f t="shared" ca="1" si="5"/>
        <v>46023</v>
      </c>
      <c r="B50" s="280">
        <f t="shared" si="6"/>
        <v>4</v>
      </c>
      <c r="C50" s="281"/>
      <c r="D50" s="281"/>
      <c r="E50" s="321">
        <f t="shared" ca="1" si="7"/>
        <v>46387</v>
      </c>
      <c r="F50" s="282"/>
      <c r="G50" s="282"/>
      <c r="H50" s="282"/>
      <c r="I50" s="282"/>
      <c r="J50" s="282"/>
      <c r="K50" s="283" t="str">
        <f t="shared" si="8"/>
        <v>No</v>
      </c>
      <c r="L50" s="278" t="b">
        <f t="shared" si="9"/>
        <v>0</v>
      </c>
      <c r="M50" s="278" t="b">
        <v>0</v>
      </c>
      <c r="N50" s="278" t="b">
        <f t="shared" ca="1" si="10"/>
        <v>1</v>
      </c>
      <c r="O50" s="284"/>
      <c r="P50" s="284"/>
      <c r="Q50" s="285" t="s">
        <v>300</v>
      </c>
      <c r="R50" s="286"/>
      <c r="S50" s="278"/>
      <c r="T50" s="279" t="str">
        <f ca="1">IFERROR(TEXT(IF(K50="","", IF(OR((E50=$E$8),(K50="Yes")),E50+60, IF(K50="No",E50+45,""))),Setup!$A$33),"")</f>
        <v>d-mmm-yy</v>
      </c>
      <c r="U50" s="278" t="s">
        <v>366</v>
      </c>
      <c r="W50" s="205"/>
    </row>
    <row r="51" spans="1:25" ht="20.100000000000001" customHeight="1" x14ac:dyDescent="0.25">
      <c r="A51" s="279">
        <f t="shared" ca="1" si="5"/>
        <v>46388</v>
      </c>
      <c r="B51" s="280">
        <f t="shared" si="6"/>
        <v>5</v>
      </c>
      <c r="C51" s="281"/>
      <c r="D51" s="281"/>
      <c r="E51" s="321">
        <f t="shared" ca="1" si="7"/>
        <v>46752</v>
      </c>
      <c r="F51" s="282"/>
      <c r="G51" s="282"/>
      <c r="H51" s="282"/>
      <c r="I51" s="282"/>
      <c r="J51" s="282"/>
      <c r="K51" s="283" t="str">
        <f t="shared" si="8"/>
        <v>No</v>
      </c>
      <c r="L51" s="278" t="b">
        <f t="shared" si="9"/>
        <v>0</v>
      </c>
      <c r="M51" s="278" t="b">
        <v>0</v>
      </c>
      <c r="N51" s="278" t="b">
        <f t="shared" ca="1" si="10"/>
        <v>0</v>
      </c>
      <c r="O51" s="284"/>
      <c r="P51" s="284"/>
      <c r="Q51" s="285" t="s">
        <v>300</v>
      </c>
      <c r="R51" s="286"/>
      <c r="S51" s="278"/>
      <c r="T51" s="279" t="str">
        <f ca="1">IFERROR(TEXT(IF(K51="","", IF(OR((E51=$E$8),(K51="Yes")),E51+60, IF(K51="No",E51+45,""))),Setup!$A$33),"")</f>
        <v>d-mmm-yy</v>
      </c>
      <c r="U51" s="278" t="s">
        <v>367</v>
      </c>
      <c r="W51" s="205"/>
    </row>
    <row r="52" spans="1:25" ht="20.100000000000001" customHeight="1" x14ac:dyDescent="0.25">
      <c r="A52" s="279">
        <f t="shared" ca="1" si="5"/>
        <v>46753</v>
      </c>
      <c r="B52" s="280">
        <f t="shared" si="6"/>
        <v>6</v>
      </c>
      <c r="C52" s="281"/>
      <c r="D52" s="281"/>
      <c r="E52" s="321">
        <f t="shared" ca="1" si="7"/>
        <v>47118</v>
      </c>
      <c r="F52" s="282"/>
      <c r="G52" s="282"/>
      <c r="H52" s="282"/>
      <c r="I52" s="282"/>
      <c r="J52" s="282"/>
      <c r="K52" s="283" t="str">
        <f t="shared" si="8"/>
        <v>No</v>
      </c>
      <c r="L52" s="278" t="b">
        <f t="shared" si="9"/>
        <v>0</v>
      </c>
      <c r="M52" s="278" t="b">
        <v>0</v>
      </c>
      <c r="N52" s="278" t="b">
        <f t="shared" ca="1" si="10"/>
        <v>0</v>
      </c>
      <c r="O52" s="284"/>
      <c r="P52" s="284"/>
      <c r="Q52" s="285" t="s">
        <v>300</v>
      </c>
      <c r="R52" s="286"/>
      <c r="S52" s="278"/>
      <c r="T52" s="279" t="str">
        <f ca="1">IFERROR(TEXT(IF(K52="","", IF(OR((E52=$E$8),(K52="Yes")),E52+60, IF(K52="No",E52+45,""))),Setup!$A$33),"")</f>
        <v>d-mmm-yy</v>
      </c>
      <c r="U52" s="278" t="s">
        <v>368</v>
      </c>
      <c r="W52" s="205"/>
    </row>
    <row r="53" spans="1:25" ht="20.100000000000001" customHeight="1" x14ac:dyDescent="0.25">
      <c r="A53" s="279">
        <f t="shared" ca="1" si="5"/>
        <v>47119</v>
      </c>
      <c r="B53" s="280">
        <f t="shared" si="6"/>
        <v>7</v>
      </c>
      <c r="C53" s="281"/>
      <c r="D53" s="281"/>
      <c r="E53" s="321">
        <f t="shared" ca="1" si="7"/>
        <v>47483</v>
      </c>
      <c r="F53" s="282"/>
      <c r="G53" s="282"/>
      <c r="H53" s="282"/>
      <c r="I53" s="282"/>
      <c r="J53" s="282"/>
      <c r="K53" s="283" t="str">
        <f t="shared" si="8"/>
        <v>No</v>
      </c>
      <c r="L53" s="278" t="b">
        <f t="shared" si="9"/>
        <v>0</v>
      </c>
      <c r="M53" s="278" t="b">
        <v>0</v>
      </c>
      <c r="N53" s="278" t="b">
        <f t="shared" ca="1" si="10"/>
        <v>0</v>
      </c>
      <c r="O53" s="284"/>
      <c r="P53" s="284"/>
      <c r="Q53" s="285" t="s">
        <v>300</v>
      </c>
      <c r="R53" s="286"/>
      <c r="S53" s="278"/>
      <c r="T53" s="279" t="str">
        <f ca="1">IFERROR(TEXT(IF(K53="","", IF(OR((E53=$E$8),(K53="Yes")),E53+60, IF(K53="No",E53+45,""))),Setup!$A$33),"")</f>
        <v>d-mmm-yy</v>
      </c>
      <c r="U53" s="278" t="s">
        <v>369</v>
      </c>
      <c r="W53" s="205"/>
    </row>
    <row r="54" spans="1:25" ht="11.25" hidden="1" customHeight="1" thickBot="1" x14ac:dyDescent="0.3">
      <c r="A54" s="287"/>
      <c r="B54" s="268"/>
      <c r="C54" s="268"/>
      <c r="D54" s="268"/>
      <c r="E54" s="268"/>
      <c r="F54" s="268"/>
      <c r="G54" s="268"/>
      <c r="H54" s="268"/>
      <c r="I54" s="268"/>
      <c r="J54" s="268"/>
      <c r="K54" s="268"/>
      <c r="L54" s="268"/>
      <c r="M54" s="268"/>
      <c r="N54" s="268"/>
      <c r="O54" s="268"/>
      <c r="P54" s="268"/>
      <c r="Q54" s="268"/>
      <c r="R54" s="268"/>
      <c r="S54" s="268"/>
      <c r="T54" s="268"/>
      <c r="U54" s="268"/>
      <c r="V54" s="271"/>
      <c r="W54" s="205"/>
    </row>
    <row r="55" spans="1:25" ht="30" customHeight="1" x14ac:dyDescent="0.25">
      <c r="W55" s="205"/>
    </row>
    <row r="56" spans="1:25" ht="30" customHeight="1" x14ac:dyDescent="0.25">
      <c r="L56" s="288"/>
      <c r="W56" s="205"/>
    </row>
    <row r="57" spans="1:25" ht="25.5" customHeight="1" thickBot="1" x14ac:dyDescent="0.3">
      <c r="A57" s="289"/>
      <c r="B57" s="221"/>
      <c r="C57" s="221"/>
      <c r="D57" s="221"/>
      <c r="E57" s="221"/>
      <c r="F57" s="221"/>
      <c r="G57" s="221"/>
      <c r="H57" s="221"/>
      <c r="I57" s="221"/>
      <c r="J57" s="221"/>
      <c r="K57" s="221"/>
      <c r="L57" s="222"/>
      <c r="M57" s="222"/>
      <c r="N57" s="222"/>
      <c r="O57" s="222"/>
      <c r="P57" s="222"/>
      <c r="Q57" s="222"/>
      <c r="R57" s="222"/>
      <c r="S57" s="222"/>
      <c r="T57" s="223"/>
      <c r="U57" s="223"/>
      <c r="V57" s="210"/>
      <c r="W57" s="205"/>
    </row>
    <row r="58" spans="1:25" ht="25.5" customHeight="1" thickBot="1" x14ac:dyDescent="0.3">
      <c r="A58" s="467" t="s">
        <v>305</v>
      </c>
      <c r="B58" s="468"/>
      <c r="C58" s="468"/>
      <c r="D58" s="468"/>
      <c r="E58" s="468"/>
      <c r="F58" s="290"/>
      <c r="G58" s="290"/>
      <c r="H58" s="290"/>
      <c r="I58" s="290"/>
      <c r="J58" s="291"/>
      <c r="K58" s="292"/>
      <c r="L58" s="158"/>
      <c r="M58" s="158"/>
      <c r="N58" s="158"/>
      <c r="O58" s="158"/>
      <c r="P58" s="158"/>
      <c r="Q58" s="158"/>
      <c r="R58" s="158"/>
      <c r="S58" s="158"/>
      <c r="T58" s="158"/>
      <c r="U58" s="158"/>
      <c r="V58" s="274"/>
      <c r="W58" s="205"/>
    </row>
    <row r="59" spans="1:25" ht="32.25" customHeight="1" x14ac:dyDescent="0.25">
      <c r="A59" s="330" t="s">
        <v>370</v>
      </c>
      <c r="B59" s="330"/>
      <c r="C59" s="330"/>
      <c r="D59" s="330"/>
      <c r="E59" s="331" t="s">
        <v>371</v>
      </c>
      <c r="F59" s="332" t="s">
        <v>299</v>
      </c>
      <c r="G59" s="332" t="s">
        <v>325</v>
      </c>
      <c r="H59" s="332" t="s">
        <v>318</v>
      </c>
      <c r="I59" s="293"/>
      <c r="J59" s="294"/>
      <c r="K59" s="293"/>
      <c r="L59" s="295"/>
      <c r="M59" s="295"/>
      <c r="N59" s="295"/>
      <c r="O59" s="295"/>
      <c r="P59" s="295"/>
      <c r="Q59" s="295"/>
      <c r="R59" s="295"/>
      <c r="S59" s="295"/>
      <c r="T59" s="295"/>
      <c r="U59" s="295"/>
      <c r="V59" s="296"/>
      <c r="W59" s="205"/>
      <c r="Y59" s="474"/>
    </row>
    <row r="60" spans="1:25" ht="47.1" hidden="1" customHeight="1" x14ac:dyDescent="0.25">
      <c r="A60" s="333" t="s">
        <v>372</v>
      </c>
      <c r="B60" s="242"/>
      <c r="C60" s="242"/>
      <c r="D60" s="242"/>
      <c r="E60" s="334" t="s">
        <v>373</v>
      </c>
      <c r="F60" s="335" t="s">
        <v>321</v>
      </c>
      <c r="G60" s="335" t="b">
        <f>IFERROR(IF(E60&lt;&gt;"",TRUE,FALSE),FALSE)</f>
        <v>1</v>
      </c>
      <c r="H60" s="335" t="s">
        <v>321</v>
      </c>
      <c r="I60" s="297"/>
      <c r="J60" s="298"/>
      <c r="K60" s="297"/>
      <c r="L60" s="158"/>
      <c r="M60" s="158"/>
      <c r="N60" s="158"/>
      <c r="O60" s="158"/>
      <c r="P60" s="158"/>
      <c r="Q60" s="158"/>
      <c r="R60" s="158"/>
      <c r="S60" s="158"/>
      <c r="T60" s="158"/>
      <c r="U60" s="158"/>
      <c r="V60" s="274"/>
      <c r="Y60" s="474"/>
    </row>
    <row r="61" spans="1:25" ht="47.1" customHeight="1" x14ac:dyDescent="0.25">
      <c r="A61" s="333">
        <v>1</v>
      </c>
      <c r="B61" s="242"/>
      <c r="C61" s="242"/>
      <c r="D61" s="242"/>
      <c r="E61" s="334"/>
      <c r="F61" s="335" t="s">
        <v>300</v>
      </c>
      <c r="G61" s="335" t="b">
        <f t="shared" ref="G61:G72" si="11">IFERROR(IF(E61&lt;&gt;"",TRUE,FALSE),FALSE)</f>
        <v>0</v>
      </c>
      <c r="H61" s="335" t="s">
        <v>374</v>
      </c>
      <c r="I61" s="297"/>
      <c r="J61" s="298"/>
      <c r="K61" s="297"/>
      <c r="L61" s="158"/>
      <c r="M61" s="158"/>
      <c r="N61" s="158"/>
      <c r="O61" s="158"/>
      <c r="P61" s="158"/>
      <c r="Q61" s="158"/>
      <c r="R61" s="158"/>
      <c r="S61" s="158"/>
      <c r="T61" s="158"/>
      <c r="U61" s="158"/>
      <c r="V61" s="274"/>
      <c r="Y61" s="302"/>
    </row>
    <row r="62" spans="1:25" ht="47.1" customHeight="1" x14ac:dyDescent="0.25">
      <c r="A62" s="333">
        <v>2</v>
      </c>
      <c r="B62" s="242"/>
      <c r="C62" s="242"/>
      <c r="D62" s="242"/>
      <c r="E62" s="334"/>
      <c r="F62" s="335" t="s">
        <v>300</v>
      </c>
      <c r="G62" s="335" t="b">
        <f t="shared" si="11"/>
        <v>0</v>
      </c>
      <c r="H62" s="335" t="s">
        <v>375</v>
      </c>
      <c r="I62" s="297"/>
      <c r="J62" s="298"/>
      <c r="K62" s="297"/>
      <c r="L62" s="158"/>
      <c r="M62" s="158"/>
      <c r="N62" s="158"/>
      <c r="O62" s="158"/>
      <c r="P62" s="158"/>
      <c r="Q62" s="158"/>
      <c r="R62" s="158"/>
      <c r="S62" s="158"/>
      <c r="T62" s="158"/>
      <c r="U62" s="158"/>
      <c r="V62" s="274"/>
      <c r="Y62" s="302"/>
    </row>
    <row r="63" spans="1:25" ht="47.1" customHeight="1" x14ac:dyDescent="0.25">
      <c r="A63" s="333">
        <v>3</v>
      </c>
      <c r="B63" s="242"/>
      <c r="C63" s="242"/>
      <c r="D63" s="242"/>
      <c r="E63" s="334"/>
      <c r="F63" s="335" t="s">
        <v>300</v>
      </c>
      <c r="G63" s="335" t="b">
        <f t="shared" si="11"/>
        <v>0</v>
      </c>
      <c r="H63" s="335" t="s">
        <v>376</v>
      </c>
      <c r="I63" s="297"/>
      <c r="J63" s="298"/>
      <c r="K63" s="297"/>
      <c r="L63" s="158"/>
      <c r="M63" s="158"/>
      <c r="N63" s="158"/>
      <c r="O63" s="158"/>
      <c r="P63" s="158"/>
      <c r="Q63" s="158"/>
      <c r="R63" s="158"/>
      <c r="S63" s="158"/>
      <c r="T63" s="158"/>
      <c r="U63" s="158"/>
      <c r="V63" s="274"/>
      <c r="Y63" s="302"/>
    </row>
    <row r="64" spans="1:25" ht="47.1" customHeight="1" x14ac:dyDescent="0.25">
      <c r="A64" s="333">
        <v>4</v>
      </c>
      <c r="B64" s="242"/>
      <c r="C64" s="242"/>
      <c r="D64" s="242"/>
      <c r="E64" s="334"/>
      <c r="F64" s="335" t="s">
        <v>300</v>
      </c>
      <c r="G64" s="335" t="b">
        <f t="shared" si="11"/>
        <v>0</v>
      </c>
      <c r="H64" s="335" t="s">
        <v>377</v>
      </c>
      <c r="I64" s="297"/>
      <c r="J64" s="298"/>
      <c r="K64" s="297"/>
      <c r="L64" s="158"/>
      <c r="M64" s="158"/>
      <c r="N64" s="158"/>
      <c r="O64" s="158"/>
      <c r="P64" s="158"/>
      <c r="Q64" s="158"/>
      <c r="R64" s="158"/>
      <c r="S64" s="158"/>
      <c r="T64" s="158"/>
      <c r="U64" s="158"/>
      <c r="V64" s="274"/>
      <c r="Y64" s="302"/>
    </row>
    <row r="65" spans="1:50" ht="47.1" customHeight="1" x14ac:dyDescent="0.25">
      <c r="A65" s="333">
        <v>5</v>
      </c>
      <c r="B65" s="242"/>
      <c r="C65" s="242"/>
      <c r="D65" s="242"/>
      <c r="E65" s="334"/>
      <c r="F65" s="335" t="s">
        <v>300</v>
      </c>
      <c r="G65" s="335" t="b">
        <f t="shared" si="11"/>
        <v>0</v>
      </c>
      <c r="H65" s="335" t="s">
        <v>378</v>
      </c>
      <c r="I65" s="297"/>
      <c r="J65" s="298"/>
      <c r="K65" s="297"/>
      <c r="L65" s="158"/>
      <c r="M65" s="158"/>
      <c r="N65" s="158"/>
      <c r="O65" s="158"/>
      <c r="P65" s="158"/>
      <c r="Q65" s="158"/>
      <c r="R65" s="158"/>
      <c r="S65" s="158"/>
      <c r="T65" s="158"/>
      <c r="U65" s="158"/>
      <c r="V65" s="274"/>
      <c r="Y65" s="302"/>
    </row>
    <row r="66" spans="1:50" ht="47.1" customHeight="1" x14ac:dyDescent="0.25">
      <c r="A66" s="333">
        <v>6</v>
      </c>
      <c r="B66" s="242"/>
      <c r="C66" s="242"/>
      <c r="D66" s="242"/>
      <c r="E66" s="334"/>
      <c r="F66" s="335" t="s">
        <v>300</v>
      </c>
      <c r="G66" s="335" t="b">
        <f t="shared" si="11"/>
        <v>0</v>
      </c>
      <c r="H66" s="335" t="s">
        <v>379</v>
      </c>
      <c r="I66" s="297"/>
      <c r="J66" s="298"/>
      <c r="K66" s="297"/>
      <c r="L66" s="158"/>
      <c r="M66" s="158"/>
      <c r="N66" s="158"/>
      <c r="O66" s="158"/>
      <c r="P66" s="158"/>
      <c r="Q66" s="158"/>
      <c r="R66" s="158"/>
      <c r="S66" s="158"/>
      <c r="T66" s="158"/>
      <c r="U66" s="158"/>
      <c r="V66" s="274"/>
      <c r="Y66" s="302"/>
    </row>
    <row r="67" spans="1:50" ht="47.1" customHeight="1" x14ac:dyDescent="0.25">
      <c r="A67" s="333">
        <v>7</v>
      </c>
      <c r="B67" s="242"/>
      <c r="C67" s="242"/>
      <c r="D67" s="242"/>
      <c r="E67" s="334"/>
      <c r="F67" s="335" t="s">
        <v>300</v>
      </c>
      <c r="G67" s="335" t="b">
        <f t="shared" si="11"/>
        <v>0</v>
      </c>
      <c r="H67" s="335" t="s">
        <v>380</v>
      </c>
      <c r="I67" s="297"/>
      <c r="J67" s="298"/>
      <c r="K67" s="297"/>
      <c r="L67" s="158"/>
      <c r="M67" s="158"/>
      <c r="N67" s="158"/>
      <c r="O67" s="158"/>
      <c r="P67" s="158"/>
      <c r="Q67" s="158"/>
      <c r="R67" s="158"/>
      <c r="S67" s="158"/>
      <c r="T67" s="158"/>
      <c r="U67" s="158"/>
      <c r="V67" s="274"/>
      <c r="Y67" s="302"/>
    </row>
    <row r="68" spans="1:50" ht="47.1" customHeight="1" x14ac:dyDescent="0.25">
      <c r="A68" s="333">
        <v>8</v>
      </c>
      <c r="B68" s="242"/>
      <c r="C68" s="242"/>
      <c r="D68" s="242"/>
      <c r="E68" s="334"/>
      <c r="F68" s="335" t="s">
        <v>300</v>
      </c>
      <c r="G68" s="335" t="b">
        <f t="shared" si="11"/>
        <v>0</v>
      </c>
      <c r="H68" s="335" t="s">
        <v>381</v>
      </c>
      <c r="I68" s="297"/>
      <c r="J68" s="298"/>
      <c r="K68" s="297"/>
      <c r="L68" s="158"/>
      <c r="M68" s="158"/>
      <c r="N68" s="158"/>
      <c r="O68" s="158"/>
      <c r="P68" s="158"/>
      <c r="Q68" s="158"/>
      <c r="R68" s="158"/>
      <c r="S68" s="158"/>
      <c r="T68" s="158"/>
      <c r="U68" s="158"/>
      <c r="V68" s="274"/>
      <c r="Y68" s="302"/>
    </row>
    <row r="69" spans="1:50" ht="47.1" customHeight="1" x14ac:dyDescent="0.25">
      <c r="A69" s="333">
        <v>9</v>
      </c>
      <c r="B69" s="242"/>
      <c r="C69" s="242"/>
      <c r="D69" s="242"/>
      <c r="E69" s="334"/>
      <c r="F69" s="335" t="s">
        <v>300</v>
      </c>
      <c r="G69" s="335" t="b">
        <f t="shared" si="11"/>
        <v>0</v>
      </c>
      <c r="H69" s="335" t="s">
        <v>382</v>
      </c>
      <c r="I69" s="297"/>
      <c r="J69" s="298"/>
      <c r="K69" s="297"/>
      <c r="L69" s="158"/>
      <c r="M69" s="158"/>
      <c r="N69" s="158"/>
      <c r="O69" s="158"/>
      <c r="P69" s="158"/>
      <c r="Q69" s="158"/>
      <c r="R69" s="158"/>
      <c r="S69" s="158"/>
      <c r="T69" s="158"/>
      <c r="U69" s="158"/>
      <c r="V69" s="274"/>
      <c r="Y69" s="302"/>
    </row>
    <row r="70" spans="1:50" ht="47.1" customHeight="1" x14ac:dyDescent="0.25">
      <c r="A70" s="333">
        <v>10</v>
      </c>
      <c r="B70" s="242"/>
      <c r="C70" s="242"/>
      <c r="D70" s="242"/>
      <c r="E70" s="334"/>
      <c r="F70" s="335" t="s">
        <v>300</v>
      </c>
      <c r="G70" s="335" t="b">
        <f t="shared" si="11"/>
        <v>0</v>
      </c>
      <c r="H70" s="335" t="s">
        <v>383</v>
      </c>
      <c r="I70" s="297"/>
      <c r="J70" s="298"/>
      <c r="K70" s="297"/>
      <c r="L70" s="158"/>
      <c r="M70" s="158"/>
      <c r="N70" s="158"/>
      <c r="O70" s="158"/>
      <c r="P70" s="158"/>
      <c r="Q70" s="158"/>
      <c r="R70" s="158"/>
      <c r="S70" s="158"/>
      <c r="T70" s="158"/>
      <c r="U70" s="158"/>
      <c r="V70" s="274"/>
      <c r="Y70" s="302"/>
    </row>
    <row r="71" spans="1:50" ht="47.1" customHeight="1" x14ac:dyDescent="0.25">
      <c r="A71" s="333">
        <v>11</v>
      </c>
      <c r="B71" s="242"/>
      <c r="C71" s="242"/>
      <c r="D71" s="242"/>
      <c r="E71" s="334"/>
      <c r="F71" s="335" t="s">
        <v>300</v>
      </c>
      <c r="G71" s="335" t="b">
        <f t="shared" si="11"/>
        <v>0</v>
      </c>
      <c r="H71" s="335" t="s">
        <v>384</v>
      </c>
      <c r="I71" s="297"/>
      <c r="J71" s="298"/>
      <c r="K71" s="297"/>
      <c r="L71" s="158"/>
      <c r="M71" s="158"/>
      <c r="N71" s="158"/>
      <c r="O71" s="158"/>
      <c r="P71" s="158"/>
      <c r="Q71" s="158"/>
      <c r="R71" s="158"/>
      <c r="S71" s="158"/>
      <c r="T71" s="158"/>
      <c r="U71" s="158"/>
      <c r="V71" s="274"/>
      <c r="Y71" s="302"/>
    </row>
    <row r="72" spans="1:50" ht="47.1" customHeight="1" x14ac:dyDescent="0.25">
      <c r="A72" s="333">
        <v>12</v>
      </c>
      <c r="B72" s="242"/>
      <c r="C72" s="242"/>
      <c r="D72" s="242"/>
      <c r="E72" s="334"/>
      <c r="F72" s="335" t="s">
        <v>300</v>
      </c>
      <c r="G72" s="335" t="b">
        <f t="shared" si="11"/>
        <v>0</v>
      </c>
      <c r="H72" s="335" t="s">
        <v>385</v>
      </c>
      <c r="I72" s="297"/>
      <c r="J72" s="298"/>
      <c r="K72" s="297"/>
      <c r="L72" s="158"/>
      <c r="M72" s="158"/>
      <c r="N72" s="158"/>
      <c r="O72" s="158"/>
      <c r="P72" s="158"/>
      <c r="Q72" s="158"/>
      <c r="R72" s="158"/>
      <c r="S72" s="158"/>
      <c r="T72" s="158"/>
      <c r="U72" s="158"/>
      <c r="V72" s="274"/>
      <c r="Y72" s="302"/>
    </row>
    <row r="73" spans="1:50" ht="2.85" customHeight="1" thickBot="1" x14ac:dyDescent="0.3">
      <c r="A73" s="299"/>
      <c r="B73" s="300"/>
      <c r="C73" s="300"/>
      <c r="D73" s="300"/>
      <c r="E73" s="300"/>
      <c r="F73" s="300"/>
      <c r="G73" s="300"/>
      <c r="H73" s="300"/>
      <c r="I73" s="300"/>
      <c r="J73" s="301"/>
      <c r="K73" s="130"/>
      <c r="L73" s="158"/>
      <c r="M73" s="158"/>
      <c r="N73" s="158"/>
      <c r="O73" s="158"/>
      <c r="P73" s="158"/>
      <c r="Q73" s="158"/>
      <c r="R73" s="158"/>
      <c r="S73" s="158"/>
      <c r="T73" s="158"/>
      <c r="U73" s="158"/>
      <c r="V73" s="274"/>
      <c r="Y73" s="302"/>
    </row>
    <row r="74" spans="1:50" ht="29.25" customHeight="1" x14ac:dyDescent="0.25">
      <c r="A74" s="130"/>
      <c r="B74" s="130"/>
      <c r="C74" s="130"/>
      <c r="D74" s="130"/>
      <c r="E74" s="130"/>
      <c r="F74" s="130"/>
      <c r="G74" s="130"/>
      <c r="H74" s="130"/>
      <c r="I74" s="130"/>
      <c r="J74" s="130"/>
      <c r="K74" s="130"/>
      <c r="L74" s="158"/>
      <c r="M74" s="158"/>
      <c r="N74" s="158"/>
      <c r="O74" s="158"/>
      <c r="P74" s="158"/>
      <c r="Q74" s="158"/>
      <c r="R74" s="158"/>
      <c r="S74" s="158"/>
      <c r="T74" s="158"/>
      <c r="U74" s="158"/>
      <c r="V74" s="274"/>
      <c r="Y74" s="302"/>
    </row>
    <row r="75" spans="1:50" s="130" customFormat="1" ht="30.75" customHeight="1" thickBot="1" x14ac:dyDescent="0.3">
      <c r="A75" s="303"/>
      <c r="B75" s="303"/>
      <c r="C75" s="303"/>
      <c r="D75" s="303"/>
      <c r="E75" s="303"/>
      <c r="F75" s="303"/>
      <c r="G75" s="303"/>
      <c r="H75" s="303"/>
      <c r="I75" s="303"/>
      <c r="J75" s="303"/>
      <c r="K75" s="303"/>
      <c r="L75" s="303"/>
      <c r="M75" s="303"/>
      <c r="N75" s="303"/>
      <c r="O75" s="303"/>
      <c r="P75" s="303"/>
      <c r="Q75" s="303"/>
      <c r="R75" s="303"/>
      <c r="S75" s="303"/>
      <c r="T75" s="303"/>
      <c r="U75" s="303"/>
      <c r="V75" s="52"/>
      <c r="W75" s="52"/>
      <c r="X75" s="52"/>
      <c r="Y75" s="52"/>
      <c r="Z75" s="52"/>
      <c r="AO75" s="225"/>
      <c r="AP75" s="225"/>
      <c r="AQ75" s="225"/>
      <c r="AR75" s="225"/>
      <c r="AS75" s="225"/>
      <c r="AT75" s="225"/>
      <c r="AU75" s="225"/>
      <c r="AV75" s="225"/>
      <c r="AW75" s="225"/>
      <c r="AX75" s="225"/>
    </row>
    <row r="76" spans="1:50" ht="30.75" customHeight="1" thickBot="1" x14ac:dyDescent="0.3">
      <c r="A76" s="475" t="s">
        <v>307</v>
      </c>
      <c r="B76" s="468"/>
      <c r="C76" s="468"/>
      <c r="D76" s="468"/>
      <c r="E76" s="476"/>
      <c r="F76" s="290"/>
      <c r="G76" s="290"/>
      <c r="H76" s="290"/>
      <c r="I76" s="290"/>
      <c r="J76" s="291"/>
      <c r="K76" s="292"/>
      <c r="L76" s="158"/>
      <c r="M76" s="158"/>
      <c r="N76" s="158"/>
      <c r="O76" s="158"/>
      <c r="P76" s="158"/>
      <c r="Q76" s="158"/>
      <c r="R76" s="158"/>
      <c r="S76" s="158"/>
      <c r="T76" s="158"/>
      <c r="U76" s="158"/>
      <c r="V76" s="274"/>
      <c r="W76" s="205"/>
    </row>
    <row r="77" spans="1:50" ht="30.75" customHeight="1" x14ac:dyDescent="0.25">
      <c r="A77" s="330" t="s">
        <v>386</v>
      </c>
      <c r="B77" s="330"/>
      <c r="C77" s="330"/>
      <c r="D77" s="330"/>
      <c r="E77" s="331" t="s">
        <v>387</v>
      </c>
      <c r="F77" s="332" t="s">
        <v>299</v>
      </c>
      <c r="G77" s="332" t="s">
        <v>325</v>
      </c>
      <c r="H77" s="332" t="s">
        <v>318</v>
      </c>
      <c r="I77" s="293"/>
      <c r="J77" s="294"/>
      <c r="K77" s="293"/>
      <c r="L77" s="295"/>
      <c r="M77" s="295"/>
      <c r="N77" s="295"/>
      <c r="O77" s="295"/>
      <c r="P77" s="295"/>
      <c r="Q77" s="295"/>
      <c r="R77" s="295"/>
      <c r="S77" s="295"/>
      <c r="T77" s="295"/>
      <c r="U77" s="295"/>
      <c r="V77" s="296"/>
      <c r="W77" s="205"/>
      <c r="Y77" s="474"/>
    </row>
    <row r="78" spans="1:50" ht="47.1" hidden="1" customHeight="1" x14ac:dyDescent="0.25">
      <c r="A78" s="333" t="s">
        <v>388</v>
      </c>
      <c r="B78" s="242"/>
      <c r="C78" s="242"/>
      <c r="D78" s="242"/>
      <c r="E78" s="334" t="s">
        <v>389</v>
      </c>
      <c r="F78" s="335" t="s">
        <v>321</v>
      </c>
      <c r="G78" s="335" t="b">
        <f>IFERROR(IF(E78&lt;&gt;"",TRUE,FALSE),FALSE)</f>
        <v>1</v>
      </c>
      <c r="H78" s="335" t="s">
        <v>321</v>
      </c>
      <c r="I78" s="297"/>
      <c r="J78" s="298"/>
      <c r="K78" s="297"/>
      <c r="L78" s="130"/>
      <c r="M78" s="130"/>
      <c r="N78" s="130"/>
      <c r="O78" s="130"/>
      <c r="P78" s="130"/>
      <c r="Q78" s="130"/>
      <c r="R78" s="130"/>
      <c r="S78" s="130"/>
      <c r="T78" s="130"/>
      <c r="U78" s="130"/>
      <c r="Y78" s="474"/>
    </row>
    <row r="79" spans="1:50" ht="47.1" customHeight="1" x14ac:dyDescent="0.25">
      <c r="A79" s="333">
        <v>1</v>
      </c>
      <c r="B79" s="242"/>
      <c r="C79" s="242"/>
      <c r="D79" s="242"/>
      <c r="E79" s="334"/>
      <c r="F79" s="335" t="s">
        <v>300</v>
      </c>
      <c r="G79" s="335" t="b">
        <f t="shared" ref="G79:G90" si="12">IFERROR(IF(E79&lt;&gt;"",TRUE,FALSE),FALSE)</f>
        <v>0</v>
      </c>
      <c r="H79" s="335" t="s">
        <v>390</v>
      </c>
      <c r="I79" s="297"/>
      <c r="J79" s="298"/>
      <c r="K79" s="297"/>
      <c r="L79" s="130"/>
      <c r="M79" s="130"/>
      <c r="N79" s="130"/>
      <c r="O79" s="130"/>
      <c r="P79" s="130"/>
      <c r="Q79" s="130"/>
      <c r="R79" s="130"/>
      <c r="S79" s="130"/>
      <c r="T79" s="130"/>
      <c r="U79" s="130"/>
      <c r="Y79" s="474"/>
    </row>
    <row r="80" spans="1:50" ht="47.1" customHeight="1" x14ac:dyDescent="0.25">
      <c r="A80" s="333">
        <v>2</v>
      </c>
      <c r="B80" s="242"/>
      <c r="C80" s="242"/>
      <c r="D80" s="242"/>
      <c r="E80" s="334"/>
      <c r="F80" s="335" t="s">
        <v>300</v>
      </c>
      <c r="G80" s="335" t="b">
        <f t="shared" si="12"/>
        <v>0</v>
      </c>
      <c r="H80" s="335" t="s">
        <v>391</v>
      </c>
      <c r="I80" s="297"/>
      <c r="J80" s="298"/>
      <c r="K80" s="297"/>
      <c r="L80" s="130"/>
      <c r="M80" s="130"/>
      <c r="N80" s="130"/>
      <c r="O80" s="130"/>
      <c r="P80" s="130"/>
      <c r="Q80" s="130"/>
      <c r="R80" s="130"/>
      <c r="S80" s="130"/>
      <c r="T80" s="130"/>
      <c r="U80" s="130"/>
      <c r="Y80" s="474"/>
    </row>
    <row r="81" spans="1:25" ht="47.1" customHeight="1" x14ac:dyDescent="0.25">
      <c r="A81" s="333">
        <v>3</v>
      </c>
      <c r="B81" s="242"/>
      <c r="C81" s="242"/>
      <c r="D81" s="242"/>
      <c r="E81" s="334"/>
      <c r="F81" s="335" t="s">
        <v>300</v>
      </c>
      <c r="G81" s="335" t="b">
        <f t="shared" si="12"/>
        <v>0</v>
      </c>
      <c r="H81" s="335" t="s">
        <v>392</v>
      </c>
      <c r="I81" s="297"/>
      <c r="J81" s="298"/>
      <c r="K81" s="297"/>
      <c r="L81" s="130"/>
      <c r="M81" s="130"/>
      <c r="N81" s="130"/>
      <c r="O81" s="130"/>
      <c r="P81" s="130"/>
      <c r="Q81" s="130"/>
      <c r="R81" s="130"/>
      <c r="S81" s="130"/>
      <c r="T81" s="130"/>
      <c r="U81" s="130"/>
      <c r="Y81" s="474"/>
    </row>
    <row r="82" spans="1:25" ht="47.1" customHeight="1" x14ac:dyDescent="0.25">
      <c r="A82" s="333">
        <v>4</v>
      </c>
      <c r="B82" s="242"/>
      <c r="C82" s="242"/>
      <c r="D82" s="242"/>
      <c r="E82" s="334"/>
      <c r="F82" s="335" t="s">
        <v>300</v>
      </c>
      <c r="G82" s="335" t="b">
        <f t="shared" si="12"/>
        <v>0</v>
      </c>
      <c r="H82" s="335" t="s">
        <v>393</v>
      </c>
      <c r="I82" s="297"/>
      <c r="J82" s="298"/>
      <c r="K82" s="297"/>
      <c r="L82" s="130"/>
      <c r="M82" s="130"/>
      <c r="N82" s="130"/>
      <c r="O82" s="130"/>
      <c r="P82" s="130"/>
      <c r="Q82" s="130"/>
      <c r="R82" s="130"/>
      <c r="S82" s="130"/>
      <c r="T82" s="130"/>
      <c r="U82" s="130"/>
      <c r="Y82" s="474"/>
    </row>
    <row r="83" spans="1:25" ht="47.1" customHeight="1" x14ac:dyDescent="0.25">
      <c r="A83" s="333">
        <v>5</v>
      </c>
      <c r="B83" s="242"/>
      <c r="C83" s="242"/>
      <c r="D83" s="242"/>
      <c r="E83" s="334"/>
      <c r="F83" s="335" t="s">
        <v>300</v>
      </c>
      <c r="G83" s="335" t="b">
        <f t="shared" si="12"/>
        <v>0</v>
      </c>
      <c r="H83" s="335" t="s">
        <v>394</v>
      </c>
      <c r="I83" s="297"/>
      <c r="J83" s="298"/>
      <c r="K83" s="297"/>
      <c r="L83" s="130"/>
      <c r="M83" s="130"/>
      <c r="N83" s="130"/>
      <c r="O83" s="130"/>
      <c r="P83" s="130"/>
      <c r="Q83" s="130"/>
      <c r="R83" s="130"/>
      <c r="S83" s="130"/>
      <c r="T83" s="130"/>
      <c r="U83" s="130"/>
      <c r="Y83" s="474"/>
    </row>
    <row r="84" spans="1:25" ht="47.1" customHeight="1" x14ac:dyDescent="0.25">
      <c r="A84" s="333">
        <v>6</v>
      </c>
      <c r="B84" s="242"/>
      <c r="C84" s="242"/>
      <c r="D84" s="242"/>
      <c r="E84" s="334"/>
      <c r="F84" s="335" t="s">
        <v>300</v>
      </c>
      <c r="G84" s="335" t="b">
        <f t="shared" si="12"/>
        <v>0</v>
      </c>
      <c r="H84" s="335" t="s">
        <v>395</v>
      </c>
      <c r="I84" s="297"/>
      <c r="J84" s="298"/>
      <c r="K84" s="297"/>
      <c r="L84" s="130"/>
      <c r="M84" s="130"/>
      <c r="N84" s="130"/>
      <c r="O84" s="130"/>
      <c r="P84" s="130"/>
      <c r="Q84" s="130"/>
      <c r="R84" s="130"/>
      <c r="S84" s="130"/>
      <c r="T84" s="130"/>
      <c r="U84" s="130"/>
      <c r="Y84" s="474"/>
    </row>
    <row r="85" spans="1:25" ht="47.1" customHeight="1" x14ac:dyDescent="0.25">
      <c r="A85" s="333">
        <v>7</v>
      </c>
      <c r="B85" s="242"/>
      <c r="C85" s="242"/>
      <c r="D85" s="242"/>
      <c r="E85" s="334"/>
      <c r="F85" s="335" t="s">
        <v>300</v>
      </c>
      <c r="G85" s="335" t="b">
        <f t="shared" si="12"/>
        <v>0</v>
      </c>
      <c r="H85" s="335" t="s">
        <v>396</v>
      </c>
      <c r="I85" s="297"/>
      <c r="J85" s="298"/>
      <c r="K85" s="297"/>
      <c r="L85" s="130"/>
      <c r="M85" s="130"/>
      <c r="N85" s="130"/>
      <c r="O85" s="130"/>
      <c r="P85" s="130"/>
      <c r="Q85" s="130"/>
      <c r="R85" s="130"/>
      <c r="S85" s="130"/>
      <c r="T85" s="130"/>
      <c r="U85" s="130"/>
      <c r="Y85" s="474"/>
    </row>
    <row r="86" spans="1:25" ht="47.1" customHeight="1" x14ac:dyDescent="0.25">
      <c r="A86" s="333">
        <v>8</v>
      </c>
      <c r="B86" s="242"/>
      <c r="C86" s="242"/>
      <c r="D86" s="242"/>
      <c r="E86" s="334"/>
      <c r="F86" s="335" t="s">
        <v>300</v>
      </c>
      <c r="G86" s="335" t="b">
        <f t="shared" si="12"/>
        <v>0</v>
      </c>
      <c r="H86" s="335" t="s">
        <v>397</v>
      </c>
      <c r="I86" s="297"/>
      <c r="J86" s="298"/>
      <c r="K86" s="297"/>
      <c r="L86" s="130"/>
      <c r="M86" s="130"/>
      <c r="N86" s="130"/>
      <c r="O86" s="130"/>
      <c r="P86" s="130"/>
      <c r="Q86" s="130"/>
      <c r="R86" s="130"/>
      <c r="S86" s="130"/>
      <c r="T86" s="130"/>
      <c r="U86" s="130"/>
      <c r="Y86" s="474"/>
    </row>
    <row r="87" spans="1:25" ht="47.1" customHeight="1" x14ac:dyDescent="0.25">
      <c r="A87" s="333">
        <v>9</v>
      </c>
      <c r="B87" s="242"/>
      <c r="C87" s="242"/>
      <c r="D87" s="242"/>
      <c r="E87" s="334"/>
      <c r="F87" s="335" t="s">
        <v>300</v>
      </c>
      <c r="G87" s="335" t="b">
        <f t="shared" si="12"/>
        <v>0</v>
      </c>
      <c r="H87" s="335" t="s">
        <v>398</v>
      </c>
      <c r="I87" s="297"/>
      <c r="J87" s="298"/>
      <c r="K87" s="297"/>
      <c r="L87" s="130"/>
      <c r="M87" s="130"/>
      <c r="N87" s="130"/>
      <c r="O87" s="130"/>
      <c r="P87" s="130"/>
      <c r="Q87" s="130"/>
      <c r="R87" s="130"/>
      <c r="S87" s="130"/>
      <c r="T87" s="130"/>
      <c r="U87" s="130"/>
      <c r="Y87" s="474"/>
    </row>
    <row r="88" spans="1:25" ht="47.1" customHeight="1" x14ac:dyDescent="0.25">
      <c r="A88" s="333">
        <v>10</v>
      </c>
      <c r="B88" s="242"/>
      <c r="C88" s="242"/>
      <c r="D88" s="242"/>
      <c r="E88" s="334"/>
      <c r="F88" s="335" t="s">
        <v>300</v>
      </c>
      <c r="G88" s="335" t="b">
        <f t="shared" si="12"/>
        <v>0</v>
      </c>
      <c r="H88" s="335" t="s">
        <v>399</v>
      </c>
      <c r="I88" s="297"/>
      <c r="J88" s="298"/>
      <c r="K88" s="297"/>
      <c r="L88" s="130"/>
      <c r="M88" s="130"/>
      <c r="N88" s="130"/>
      <c r="O88" s="130"/>
      <c r="P88" s="130"/>
      <c r="Q88" s="130"/>
      <c r="R88" s="130"/>
      <c r="S88" s="130"/>
      <c r="T88" s="130"/>
      <c r="U88" s="130"/>
      <c r="Y88" s="474"/>
    </row>
    <row r="89" spans="1:25" ht="47.1" customHeight="1" x14ac:dyDescent="0.25">
      <c r="A89" s="333">
        <v>11</v>
      </c>
      <c r="B89" s="242"/>
      <c r="C89" s="242"/>
      <c r="D89" s="242"/>
      <c r="E89" s="334"/>
      <c r="F89" s="335" t="s">
        <v>300</v>
      </c>
      <c r="G89" s="335" t="b">
        <f t="shared" si="12"/>
        <v>0</v>
      </c>
      <c r="H89" s="335" t="s">
        <v>400</v>
      </c>
      <c r="I89" s="297"/>
      <c r="J89" s="298"/>
      <c r="K89" s="297"/>
      <c r="L89" s="130"/>
      <c r="M89" s="130"/>
      <c r="N89" s="130"/>
      <c r="O89" s="130"/>
      <c r="P89" s="130"/>
      <c r="Q89" s="130"/>
      <c r="R89" s="130"/>
      <c r="S89" s="130"/>
      <c r="T89" s="130"/>
      <c r="U89" s="130"/>
      <c r="Y89" s="474"/>
    </row>
    <row r="90" spans="1:25" ht="47.1" customHeight="1" x14ac:dyDescent="0.25">
      <c r="A90" s="333">
        <v>12</v>
      </c>
      <c r="B90" s="242"/>
      <c r="C90" s="242"/>
      <c r="D90" s="242"/>
      <c r="E90" s="334"/>
      <c r="F90" s="335" t="s">
        <v>300</v>
      </c>
      <c r="G90" s="335" t="b">
        <f t="shared" si="12"/>
        <v>0</v>
      </c>
      <c r="H90" s="335" t="s">
        <v>401</v>
      </c>
      <c r="I90" s="297"/>
      <c r="J90" s="298"/>
      <c r="K90" s="297"/>
      <c r="L90" s="130"/>
      <c r="M90" s="130"/>
      <c r="N90" s="130"/>
      <c r="O90" s="130"/>
      <c r="P90" s="130"/>
      <c r="Q90" s="130"/>
      <c r="R90" s="130"/>
      <c r="S90" s="130"/>
      <c r="T90" s="130"/>
      <c r="U90" s="130"/>
      <c r="Y90" s="474"/>
    </row>
    <row r="91" spans="1:25" ht="2.85" customHeight="1" thickBot="1" x14ac:dyDescent="0.3">
      <c r="A91" s="287"/>
      <c r="B91" s="268"/>
      <c r="C91" s="268"/>
      <c r="D91" s="268"/>
      <c r="E91" s="268"/>
      <c r="F91" s="268"/>
      <c r="G91" s="268"/>
      <c r="H91" s="268"/>
      <c r="I91" s="268"/>
      <c r="J91" s="271"/>
      <c r="L91" s="130"/>
      <c r="M91" s="130"/>
      <c r="N91" s="130"/>
      <c r="O91" s="130"/>
      <c r="P91" s="130"/>
      <c r="Q91" s="130"/>
      <c r="R91" s="130"/>
      <c r="S91" s="130"/>
      <c r="T91" s="130"/>
      <c r="U91" s="130"/>
      <c r="Y91" s="474"/>
    </row>
    <row r="92" spans="1:25" ht="35.25" customHeight="1" x14ac:dyDescent="0.25">
      <c r="L92" s="130"/>
      <c r="M92" s="130"/>
      <c r="N92" s="130"/>
      <c r="O92" s="130"/>
      <c r="P92" s="130"/>
      <c r="Q92" s="130"/>
      <c r="R92" s="130"/>
      <c r="S92" s="130"/>
      <c r="T92" s="130"/>
      <c r="U92" s="130"/>
      <c r="Y92" s="474"/>
    </row>
    <row r="93" spans="1:25" ht="35.25" hidden="1" customHeight="1" x14ac:dyDescent="0.25">
      <c r="L93" s="130"/>
      <c r="M93" s="130"/>
      <c r="N93" s="130"/>
      <c r="O93" s="130"/>
      <c r="P93" s="130"/>
      <c r="Q93" s="130"/>
      <c r="R93" s="130"/>
      <c r="S93" s="130"/>
      <c r="T93" s="130"/>
      <c r="U93" s="130"/>
    </row>
    <row r="94" spans="1:25" ht="35.25" hidden="1" customHeight="1" x14ac:dyDescent="0.25">
      <c r="L94" s="130"/>
      <c r="M94" s="130"/>
      <c r="N94" s="130"/>
      <c r="O94" s="130"/>
      <c r="P94" s="130"/>
      <c r="Q94" s="130"/>
      <c r="R94" s="130"/>
      <c r="S94" s="130"/>
      <c r="T94" s="130"/>
      <c r="U94" s="130"/>
    </row>
    <row r="95" spans="1:25" ht="35.25" hidden="1" customHeight="1" x14ac:dyDescent="0.25">
      <c r="L95" s="130"/>
      <c r="M95" s="130"/>
      <c r="N95" s="130"/>
      <c r="O95" s="130"/>
      <c r="P95" s="130"/>
      <c r="Q95" s="130"/>
      <c r="R95" s="130"/>
      <c r="S95" s="130"/>
      <c r="T95" s="130"/>
      <c r="U95" s="130"/>
    </row>
    <row r="96" spans="1:25" ht="35.25" hidden="1" customHeight="1" x14ac:dyDescent="0.25">
      <c r="L96" s="130"/>
      <c r="M96" s="130"/>
      <c r="N96" s="130"/>
      <c r="O96" s="130"/>
      <c r="P96" s="130"/>
      <c r="Q96" s="130"/>
      <c r="R96" s="130"/>
      <c r="S96" s="130"/>
      <c r="T96" s="130"/>
      <c r="U96" s="130"/>
    </row>
    <row r="97" spans="1:45" ht="17.25" hidden="1" customHeight="1" x14ac:dyDescent="0.25">
      <c r="L97" s="130"/>
      <c r="M97" s="130"/>
      <c r="N97" s="130"/>
      <c r="O97" s="130"/>
      <c r="P97" s="130"/>
      <c r="Q97" s="130"/>
      <c r="R97" s="130"/>
      <c r="S97" s="130"/>
      <c r="T97" s="130"/>
      <c r="U97" s="130"/>
    </row>
    <row r="98" spans="1:45" ht="21.75" hidden="1" customHeight="1" x14ac:dyDescent="0.25">
      <c r="L98" s="130"/>
      <c r="M98" s="130"/>
      <c r="N98" s="130"/>
      <c r="O98" s="130"/>
      <c r="P98" s="130"/>
      <c r="Q98" s="130"/>
      <c r="R98" s="130"/>
      <c r="S98" s="130"/>
      <c r="T98" s="130"/>
      <c r="U98" s="130"/>
    </row>
    <row r="99" spans="1:45" ht="29.25" customHeight="1" thickBot="1" x14ac:dyDescent="0.3">
      <c r="L99" s="130"/>
      <c r="M99" s="130"/>
      <c r="N99" s="130"/>
      <c r="O99" s="130"/>
      <c r="P99" s="130"/>
      <c r="Q99" s="130"/>
      <c r="R99" s="130"/>
      <c r="S99" s="130"/>
      <c r="T99" s="130"/>
      <c r="U99" s="130"/>
    </row>
    <row r="100" spans="1:45" ht="29.25" customHeight="1" thickBot="1" x14ac:dyDescent="0.3">
      <c r="A100" s="475" t="s">
        <v>308</v>
      </c>
      <c r="B100" s="468"/>
      <c r="C100" s="468"/>
      <c r="D100" s="468"/>
      <c r="E100" s="476"/>
      <c r="F100" s="304"/>
      <c r="G100" s="304"/>
      <c r="H100" s="304"/>
      <c r="I100" s="304"/>
      <c r="J100" s="305"/>
      <c r="K100" s="292"/>
      <c r="L100" s="158"/>
      <c r="M100" s="158"/>
      <c r="N100" s="158"/>
      <c r="O100" s="158"/>
      <c r="P100" s="158"/>
      <c r="Q100" s="158"/>
      <c r="R100" s="158"/>
      <c r="S100" s="158"/>
      <c r="T100" s="158"/>
      <c r="U100" s="158"/>
      <c r="V100" s="274"/>
    </row>
    <row r="101" spans="1:45" ht="26.25" customHeight="1" x14ac:dyDescent="0.25">
      <c r="A101" s="330" t="s">
        <v>402</v>
      </c>
      <c r="B101" s="330"/>
      <c r="C101" s="336" t="s">
        <v>403</v>
      </c>
      <c r="D101" s="337" t="s">
        <v>404</v>
      </c>
      <c r="E101" s="330" t="s">
        <v>256</v>
      </c>
      <c r="F101" s="338" t="s">
        <v>405</v>
      </c>
      <c r="G101" s="338" t="s">
        <v>325</v>
      </c>
      <c r="H101" s="338" t="s">
        <v>318</v>
      </c>
      <c r="I101" s="339" t="s">
        <v>406</v>
      </c>
      <c r="J101" s="339" t="s">
        <v>299</v>
      </c>
      <c r="L101" s="295"/>
      <c r="M101" s="295"/>
      <c r="N101" s="295"/>
      <c r="O101" s="295"/>
      <c r="P101" s="295"/>
      <c r="Q101" s="295"/>
      <c r="R101" s="295"/>
      <c r="S101" s="295"/>
      <c r="T101" s="295"/>
      <c r="U101" s="295"/>
      <c r="V101" s="296"/>
    </row>
    <row r="102" spans="1:45" ht="47.1" hidden="1" customHeight="1" x14ac:dyDescent="0.25">
      <c r="A102" s="333" t="s">
        <v>407</v>
      </c>
      <c r="B102" s="340" t="str" cm="1">
        <f t="array" ref="B102">IFERROR(INDEX($E$102:$E$118, MATCH(0, COUNTIF($B$101:B101, $E$102:$E$118&amp;"") + IF($E$102:$E$118="",1,0),0)),"")</f>
        <v>--Select--</v>
      </c>
      <c r="C102" s="341" t="str">
        <f>IF(ISNUMBER(A102),IF(E102="","--select--",E102),"")</f>
        <v/>
      </c>
      <c r="D102" s="342" t="s">
        <v>408</v>
      </c>
      <c r="E102" s="343" t="str">
        <f>IFERROR(IF(F102="[Module Reference (Name)]","--Select--",VLOOKUP(F102,'Reference records(soft deleted)'!$B$86:$D$137,3,FALSE)),"")</f>
        <v>--Select--</v>
      </c>
      <c r="F102" s="344" t="s">
        <v>409</v>
      </c>
      <c r="G102" s="344" t="b">
        <f>IFERROR(IF(E102&lt;&gt;"",TRUE,FALSE),FALSE)</f>
        <v>1</v>
      </c>
      <c r="H102" s="345" t="s">
        <v>321</v>
      </c>
      <c r="I102" s="345" t="str">
        <f>IFERROR(VLOOKUP(E102,'Reference records(soft deleted)'!D$86:F$137,3,FALSE),"")</f>
        <v/>
      </c>
      <c r="J102" s="344" t="s">
        <v>321</v>
      </c>
      <c r="L102" s="130"/>
      <c r="M102" s="130"/>
      <c r="N102" s="130"/>
      <c r="O102" s="130"/>
      <c r="P102" s="130"/>
      <c r="Q102" s="130"/>
      <c r="R102" s="130"/>
      <c r="S102" s="130"/>
      <c r="T102" s="130"/>
      <c r="U102" s="130"/>
      <c r="Y102" s="302"/>
      <c r="AS102" s="52"/>
    </row>
    <row r="103" spans="1:45" ht="47.1" customHeight="1" x14ac:dyDescent="0.25">
      <c r="A103" s="333">
        <v>1</v>
      </c>
      <c r="B103" s="340" t="str" cm="1">
        <f t="array" ref="B103">IFERROR(INDEX($E$102:$E$118, MATCH(0, COUNTIF($B$101:B102, $E$102:$E$118&amp;"") + IF($E$102:$E$118="",1,0),0)),"")</f>
        <v>Prevention package for men who have sex with men (MSM) and their sexual partners</v>
      </c>
      <c r="C103" s="341" t="str">
        <f t="shared" ref="C103:C117" si="13">IF(ISNUMBER(A103),IF(E103="","--select--",E103),"")</f>
        <v>Prevention package for men who have sex with men (MSM) and their sexual partners</v>
      </c>
      <c r="D103" s="342" t="s">
        <v>410</v>
      </c>
      <c r="E103" s="343" t="s">
        <v>411</v>
      </c>
      <c r="F103" s="344"/>
      <c r="G103" s="344" t="b">
        <f t="shared" ref="G103:G117" si="14">IFERROR(IF(E103&lt;&gt;"",TRUE,FALSE),FALSE)</f>
        <v>1</v>
      </c>
      <c r="H103" s="345" t="s">
        <v>412</v>
      </c>
      <c r="I103" s="345" t="str">
        <f>IFERROR(VLOOKUP(E103,'Reference records(soft deleted)'!D$86:F$137,3,FALSE),"")</f>
        <v>a1ODm000000GnuJMAS</v>
      </c>
      <c r="J103" s="344" t="s">
        <v>300</v>
      </c>
      <c r="L103" s="130"/>
      <c r="M103" s="130"/>
      <c r="N103" s="130"/>
      <c r="O103" s="130"/>
      <c r="P103" s="130"/>
      <c r="Q103" s="130"/>
      <c r="R103" s="130"/>
      <c r="S103" s="130"/>
      <c r="T103" s="130"/>
      <c r="U103" s="130"/>
      <c r="Y103" s="302"/>
      <c r="AS103" s="52"/>
    </row>
    <row r="104" spans="1:45" ht="47.1" customHeight="1" x14ac:dyDescent="0.25">
      <c r="A104" s="333">
        <v>2</v>
      </c>
      <c r="B104" s="340" t="str" cm="1">
        <f t="array" ref="B104">IFERROR(INDEX($E$102:$E$118, MATCH(0, COUNTIF($B$101:B103, $E$102:$E$118&amp;"") + IF($E$102:$E$118="",1,0),0)),"")</f>
        <v>Prevention package for sex workers, their clients and other sexual partners</v>
      </c>
      <c r="C104" s="341" t="str">
        <f t="shared" si="13"/>
        <v>Prevention package for sex workers, their clients and other sexual partners</v>
      </c>
      <c r="D104" s="342" t="s">
        <v>413</v>
      </c>
      <c r="E104" s="343" t="s">
        <v>414</v>
      </c>
      <c r="F104" s="344"/>
      <c r="G104" s="344" t="b">
        <f t="shared" si="14"/>
        <v>1</v>
      </c>
      <c r="H104" s="345" t="s">
        <v>415</v>
      </c>
      <c r="I104" s="345" t="str">
        <f>IFERROR(VLOOKUP(E104,'Reference records(soft deleted)'!D$86:F$137,3,FALSE),"")</f>
        <v>a1ODm000000GnuKMAS</v>
      </c>
      <c r="J104" s="344" t="s">
        <v>300</v>
      </c>
      <c r="L104" s="130"/>
      <c r="M104" s="130"/>
      <c r="N104" s="130"/>
      <c r="O104" s="130"/>
      <c r="P104" s="130"/>
      <c r="Q104" s="130"/>
      <c r="R104" s="130"/>
      <c r="S104" s="130"/>
      <c r="T104" s="130"/>
      <c r="U104" s="130"/>
      <c r="Y104" s="302"/>
      <c r="AS104" s="52"/>
    </row>
    <row r="105" spans="1:45" ht="47.1" customHeight="1" x14ac:dyDescent="0.25">
      <c r="A105" s="333">
        <v>3</v>
      </c>
      <c r="B105" s="340" t="str" cm="1">
        <f t="array" ref="B105">IFERROR(INDEX($E$102:$E$118, MATCH(0, COUNTIF($B$101:B104, $E$102:$E$118&amp;"") + IF($E$102:$E$118="",1,0),0)),"")</f>
        <v>Prevention package for transgender people and their sexual partners</v>
      </c>
      <c r="C105" s="341" t="str">
        <f t="shared" si="13"/>
        <v>Prevention package for transgender people and their sexual partners</v>
      </c>
      <c r="D105" s="342" t="s">
        <v>416</v>
      </c>
      <c r="E105" s="343" t="s">
        <v>417</v>
      </c>
      <c r="F105" s="344"/>
      <c r="G105" s="344" t="b">
        <f t="shared" si="14"/>
        <v>1</v>
      </c>
      <c r="H105" s="345" t="s">
        <v>418</v>
      </c>
      <c r="I105" s="345" t="str">
        <f>IFERROR(VLOOKUP(E105,'Reference records(soft deleted)'!D$86:F$137,3,FALSE),"")</f>
        <v>a1ODm000000GnuLMAS</v>
      </c>
      <c r="J105" s="344" t="s">
        <v>300</v>
      </c>
      <c r="L105" s="130"/>
      <c r="M105" s="130"/>
      <c r="N105" s="130"/>
      <c r="O105" s="130"/>
      <c r="P105" s="130"/>
      <c r="Q105" s="130"/>
      <c r="R105" s="130"/>
      <c r="S105" s="130"/>
      <c r="T105" s="130"/>
      <c r="U105" s="130"/>
      <c r="Y105" s="302"/>
      <c r="AS105" s="52"/>
    </row>
    <row r="106" spans="1:45" ht="47.1" customHeight="1" x14ac:dyDescent="0.25">
      <c r="A106" s="333">
        <v>4</v>
      </c>
      <c r="B106" s="340" t="str" cm="1">
        <f t="array" ref="B106">IFERROR(INDEX($E$102:$E$118, MATCH(0, COUNTIF($B$101:B105, $E$102:$E$118&amp;"") + IF($E$102:$E$118="",1,0),0)),"")</f>
        <v>Prevention package for people who use drugs (PUD) and their sexual partners</v>
      </c>
      <c r="C106" s="341" t="str">
        <f t="shared" si="13"/>
        <v>Prevention package for people who use drugs (PUD) and their sexual partners</v>
      </c>
      <c r="D106" s="342" t="s">
        <v>419</v>
      </c>
      <c r="E106" s="343" t="s">
        <v>420</v>
      </c>
      <c r="F106" s="344"/>
      <c r="G106" s="344" t="b">
        <f t="shared" si="14"/>
        <v>1</v>
      </c>
      <c r="H106" s="345" t="s">
        <v>421</v>
      </c>
      <c r="I106" s="345" t="str">
        <f>IFERROR(VLOOKUP(E106,'Reference records(soft deleted)'!D$86:F$137,3,FALSE),"")</f>
        <v>a1ODm000000GnuMMAS</v>
      </c>
      <c r="J106" s="344" t="s">
        <v>300</v>
      </c>
      <c r="L106" s="130"/>
      <c r="M106" s="130"/>
      <c r="N106" s="130"/>
      <c r="O106" s="130"/>
      <c r="P106" s="130"/>
      <c r="Q106" s="130"/>
      <c r="R106" s="130"/>
      <c r="S106" s="130"/>
      <c r="T106" s="130"/>
      <c r="U106" s="130"/>
      <c r="Y106" s="302"/>
      <c r="AS106" s="52"/>
    </row>
    <row r="107" spans="1:45" ht="47.1" customHeight="1" x14ac:dyDescent="0.25">
      <c r="A107" s="333">
        <v>5</v>
      </c>
      <c r="B107" s="340" t="str" cm="1">
        <f t="array" ref="B107">IFERROR(INDEX($E$102:$E$118, MATCH(0, COUNTIF($B$101:B106, $E$102:$E$118&amp;"") + IF($E$102:$E$118="",1,0),0)),"")</f>
        <v>Differentiated HIV Testing Services</v>
      </c>
      <c r="C107" s="341" t="str">
        <f t="shared" si="13"/>
        <v>Differentiated HIV Testing Services</v>
      </c>
      <c r="D107" s="342" t="s">
        <v>422</v>
      </c>
      <c r="E107" s="343" t="s">
        <v>423</v>
      </c>
      <c r="F107" s="344"/>
      <c r="G107" s="344" t="b">
        <f t="shared" si="14"/>
        <v>1</v>
      </c>
      <c r="H107" s="345" t="s">
        <v>424</v>
      </c>
      <c r="I107" s="345" t="str">
        <f>IFERROR(VLOOKUP(E107,'Reference records(soft deleted)'!D$86:F$137,3,FALSE),"")</f>
        <v>a1ODm000000GnuSMAS</v>
      </c>
      <c r="J107" s="344" t="s">
        <v>300</v>
      </c>
      <c r="L107" s="130"/>
      <c r="M107" s="130"/>
      <c r="N107" s="130"/>
      <c r="O107" s="130"/>
      <c r="P107" s="130"/>
      <c r="Q107" s="130"/>
      <c r="R107" s="130"/>
      <c r="S107" s="130"/>
      <c r="T107" s="130"/>
      <c r="U107" s="130"/>
      <c r="Y107" s="302"/>
      <c r="AS107" s="52"/>
    </row>
    <row r="108" spans="1:45" ht="47.1" customHeight="1" x14ac:dyDescent="0.25">
      <c r="A108" s="333">
        <v>6</v>
      </c>
      <c r="B108" s="340" t="str" cm="1">
        <f t="array" ref="B108">IFERROR(INDEX($E$102:$E$118, MATCH(0, COUNTIF($B$101:B107, $E$102:$E$118&amp;"") + IF($E$102:$E$118="",1,0),0)),"")</f>
        <v>Treatment, care and support</v>
      </c>
      <c r="C108" s="341" t="str">
        <f t="shared" si="13"/>
        <v>Treatment, care and support</v>
      </c>
      <c r="D108" s="342" t="s">
        <v>425</v>
      </c>
      <c r="E108" s="343" t="s">
        <v>426</v>
      </c>
      <c r="F108" s="344"/>
      <c r="G108" s="344" t="b">
        <f t="shared" si="14"/>
        <v>1</v>
      </c>
      <c r="H108" s="345" t="s">
        <v>427</v>
      </c>
      <c r="I108" s="345" t="str">
        <f>IFERROR(VLOOKUP(E108,'Reference records(soft deleted)'!D$86:F$137,3,FALSE),"")</f>
        <v>a1ODm000000GnuTMAS</v>
      </c>
      <c r="J108" s="344" t="s">
        <v>300</v>
      </c>
      <c r="L108" s="130"/>
      <c r="M108" s="130"/>
      <c r="N108" s="130"/>
      <c r="O108" s="130"/>
      <c r="P108" s="130"/>
      <c r="Q108" s="130"/>
      <c r="R108" s="130"/>
      <c r="S108" s="130"/>
      <c r="T108" s="130"/>
      <c r="U108" s="130"/>
      <c r="Y108" s="302"/>
      <c r="AS108" s="52"/>
    </row>
    <row r="109" spans="1:45" ht="47.1" customHeight="1" x14ac:dyDescent="0.25">
      <c r="A109" s="333">
        <v>7</v>
      </c>
      <c r="B109" s="340" t="str" cm="1">
        <f t="array" ref="B109">IFERROR(INDEX($E$102:$E$118, MATCH(0, COUNTIF($B$101:B108, $E$102:$E$118&amp;"") + IF($E$102:$E$118="",1,0),0)),"")</f>
        <v>TB/HIV</v>
      </c>
      <c r="C109" s="341" t="str">
        <f t="shared" si="13"/>
        <v>TB/HIV</v>
      </c>
      <c r="D109" s="342" t="s">
        <v>428</v>
      </c>
      <c r="E109" s="343" t="s">
        <v>429</v>
      </c>
      <c r="F109" s="344"/>
      <c r="G109" s="344" t="b">
        <f t="shared" si="14"/>
        <v>1</v>
      </c>
      <c r="H109" s="345" t="s">
        <v>430</v>
      </c>
      <c r="I109" s="345" t="str">
        <f>IFERROR(VLOOKUP(E109,'Reference records(soft deleted)'!D$86:F$137,3,FALSE),"")</f>
        <v>a1ODm000000GnuaMAC</v>
      </c>
      <c r="J109" s="344" t="s">
        <v>300</v>
      </c>
      <c r="L109" s="130"/>
      <c r="M109" s="130"/>
      <c r="N109" s="130"/>
      <c r="O109" s="130"/>
      <c r="P109" s="130"/>
      <c r="Q109" s="130"/>
      <c r="R109" s="130"/>
      <c r="S109" s="130"/>
      <c r="T109" s="130"/>
      <c r="U109" s="130"/>
      <c r="Y109" s="302"/>
      <c r="AS109" s="52"/>
    </row>
    <row r="110" spans="1:45" ht="47.1" customHeight="1" x14ac:dyDescent="0.25">
      <c r="A110" s="333">
        <v>8</v>
      </c>
      <c r="B110" s="340" t="str" cm="1">
        <f t="array" ref="B110">IFERROR(INDEX($E$102:$E$118, MATCH(0, COUNTIF($B$101:B109, $E$102:$E$118&amp;"") + IF($E$102:$E$118="",1,0),0)),"")</f>
        <v>Drug-resistant (DR)-TB diagnosis, treatment and care</v>
      </c>
      <c r="C110" s="341" t="str">
        <f t="shared" si="13"/>
        <v>Drug-resistant (DR)-TB diagnosis, treatment and care</v>
      </c>
      <c r="D110" s="342" t="s">
        <v>431</v>
      </c>
      <c r="E110" s="343" t="s">
        <v>432</v>
      </c>
      <c r="F110" s="344"/>
      <c r="G110" s="344" t="b">
        <f t="shared" si="14"/>
        <v>1</v>
      </c>
      <c r="H110" s="345" t="s">
        <v>433</v>
      </c>
      <c r="I110" s="345" t="str">
        <f>IFERROR(VLOOKUP(E110,'Reference records(soft deleted)'!D$86:F$137,3,FALSE),"")</f>
        <v>a1ODm000000GnuWMAS</v>
      </c>
      <c r="J110" s="344" t="s">
        <v>300</v>
      </c>
      <c r="L110" s="130"/>
      <c r="M110" s="130"/>
      <c r="N110" s="130"/>
      <c r="O110" s="130"/>
      <c r="P110" s="130"/>
      <c r="Q110" s="130"/>
      <c r="R110" s="130"/>
      <c r="S110" s="130"/>
      <c r="T110" s="130"/>
      <c r="U110" s="130"/>
      <c r="Y110" s="302"/>
      <c r="AS110" s="52"/>
    </row>
    <row r="111" spans="1:45" ht="47.1" customHeight="1" x14ac:dyDescent="0.25">
      <c r="A111" s="333">
        <v>9</v>
      </c>
      <c r="B111" s="340" t="str" cm="1">
        <f t="array" ref="B111">IFERROR(INDEX($E$102:$E$118, MATCH(0, COUNTIF($B$101:B110, $E$102:$E$118&amp;"") + IF($E$102:$E$118="",1,0),0)),"")</f>
        <v/>
      </c>
      <c r="C111" s="341" t="str">
        <f t="shared" si="13"/>
        <v>--select--</v>
      </c>
      <c r="D111" s="342" t="s">
        <v>434</v>
      </c>
      <c r="E111" s="343" t="str">
        <f>IFERROR(IF(F111="[Module Reference (Name)]","--Select--",VLOOKUP(F111,'Reference records(soft deleted)'!$B$86:$D$137,3,FALSE)),"")</f>
        <v/>
      </c>
      <c r="F111" s="344"/>
      <c r="G111" s="344" t="b">
        <f t="shared" si="14"/>
        <v>0</v>
      </c>
      <c r="H111" s="345" t="s">
        <v>435</v>
      </c>
      <c r="I111" s="345" t="str">
        <f>IFERROR(VLOOKUP(E111,'Reference records(soft deleted)'!D$86:F$137,3,FALSE),"")</f>
        <v/>
      </c>
      <c r="J111" s="344" t="s">
        <v>300</v>
      </c>
      <c r="L111" s="130"/>
      <c r="M111" s="130"/>
      <c r="N111" s="130"/>
      <c r="O111" s="130"/>
      <c r="P111" s="130"/>
      <c r="Q111" s="130"/>
      <c r="R111" s="130"/>
      <c r="S111" s="130"/>
      <c r="T111" s="130"/>
      <c r="U111" s="130"/>
      <c r="Y111" s="302"/>
      <c r="AS111" s="52"/>
    </row>
    <row r="112" spans="1:45" ht="47.1" customHeight="1" x14ac:dyDescent="0.25">
      <c r="A112" s="333">
        <v>10</v>
      </c>
      <c r="B112" s="340" t="str" cm="1">
        <f t="array" ref="B112">IFERROR(INDEX($E$102:$E$118, MATCH(0, COUNTIF($B$101:B111, $E$102:$E$118&amp;"") + IF($E$102:$E$118="",1,0),0)),"")</f>
        <v/>
      </c>
      <c r="C112" s="341" t="str">
        <f t="shared" si="13"/>
        <v>--select--</v>
      </c>
      <c r="D112" s="342" t="s">
        <v>436</v>
      </c>
      <c r="E112" s="343" t="str">
        <f>IFERROR(IF(F112="[Module Reference (Name)]","--Select--",VLOOKUP(F112,'Reference records(soft deleted)'!$B$86:$D$137,3,FALSE)),"")</f>
        <v/>
      </c>
      <c r="F112" s="344"/>
      <c r="G112" s="344" t="b">
        <f t="shared" si="14"/>
        <v>0</v>
      </c>
      <c r="H112" s="345" t="s">
        <v>437</v>
      </c>
      <c r="I112" s="345" t="str">
        <f>IFERROR(VLOOKUP(E112,'Reference records(soft deleted)'!D$86:F$137,3,FALSE),"")</f>
        <v/>
      </c>
      <c r="J112" s="344" t="s">
        <v>300</v>
      </c>
      <c r="L112" s="130"/>
      <c r="M112" s="130"/>
      <c r="N112" s="130"/>
      <c r="O112" s="130"/>
      <c r="P112" s="130"/>
      <c r="Q112" s="130"/>
      <c r="R112" s="130"/>
      <c r="S112" s="130"/>
      <c r="T112" s="130"/>
      <c r="U112" s="130"/>
      <c r="Y112" s="302"/>
      <c r="AS112" s="52"/>
    </row>
    <row r="113" spans="1:45" ht="47.1" customHeight="1" x14ac:dyDescent="0.25">
      <c r="A113" s="333">
        <v>11</v>
      </c>
      <c r="B113" s="340" t="str" cm="1">
        <f t="array" ref="B113">IFERROR(INDEX($E$102:$E$118, MATCH(0, COUNTIF($B$101:B112, $E$102:$E$118&amp;"") + IF($E$102:$E$118="",1,0),0)),"")</f>
        <v/>
      </c>
      <c r="C113" s="341" t="str">
        <f t="shared" si="13"/>
        <v>--select--</v>
      </c>
      <c r="D113" s="342" t="s">
        <v>438</v>
      </c>
      <c r="E113" s="343" t="str">
        <f>IFERROR(IF(F113="[Module Reference (Name)]","--Select--",VLOOKUP(F113,'Reference records(soft deleted)'!$B$86:$D$137,3,FALSE)),"")</f>
        <v/>
      </c>
      <c r="F113" s="344"/>
      <c r="G113" s="344" t="b">
        <f t="shared" si="14"/>
        <v>0</v>
      </c>
      <c r="H113" s="345" t="s">
        <v>439</v>
      </c>
      <c r="I113" s="345" t="str">
        <f>IFERROR(VLOOKUP(E113,'Reference records(soft deleted)'!D$86:F$137,3,FALSE),"")</f>
        <v/>
      </c>
      <c r="J113" s="344" t="s">
        <v>300</v>
      </c>
      <c r="L113" s="130"/>
      <c r="M113" s="130"/>
      <c r="N113" s="130"/>
      <c r="O113" s="130"/>
      <c r="P113" s="130"/>
      <c r="Q113" s="130"/>
      <c r="R113" s="130"/>
      <c r="S113" s="130"/>
      <c r="T113" s="130"/>
      <c r="U113" s="130"/>
      <c r="Y113" s="302"/>
      <c r="AS113" s="52"/>
    </row>
    <row r="114" spans="1:45" ht="47.1" customHeight="1" x14ac:dyDescent="0.25">
      <c r="A114" s="333">
        <v>12</v>
      </c>
      <c r="B114" s="340" t="str" cm="1">
        <f t="array" ref="B114">IFERROR(INDEX($E$102:$E$118, MATCH(0, COUNTIF($B$101:B113, $E$102:$E$118&amp;"") + IF($E$102:$E$118="",1,0),0)),"")</f>
        <v/>
      </c>
      <c r="C114" s="341" t="str">
        <f t="shared" si="13"/>
        <v>--select--</v>
      </c>
      <c r="D114" s="342" t="s">
        <v>440</v>
      </c>
      <c r="E114" s="343" t="str">
        <f>IFERROR(IF(F114="[Module Reference (Name)]","--Select--",VLOOKUP(F114,'Reference records(soft deleted)'!$B$86:$D$137,3,FALSE)),"")</f>
        <v/>
      </c>
      <c r="F114" s="344"/>
      <c r="G114" s="344" t="b">
        <f t="shared" si="14"/>
        <v>0</v>
      </c>
      <c r="H114" s="345" t="s">
        <v>441</v>
      </c>
      <c r="I114" s="345" t="str">
        <f>IFERROR(VLOOKUP(E114,'Reference records(soft deleted)'!D$86:F$137,3,FALSE),"")</f>
        <v/>
      </c>
      <c r="J114" s="344" t="s">
        <v>300</v>
      </c>
      <c r="L114" s="130"/>
      <c r="M114" s="130"/>
      <c r="N114" s="130"/>
      <c r="O114" s="130"/>
      <c r="P114" s="130"/>
      <c r="Q114" s="130"/>
      <c r="R114" s="130"/>
      <c r="S114" s="130"/>
      <c r="T114" s="130"/>
      <c r="U114" s="130"/>
      <c r="Y114" s="302"/>
      <c r="AS114" s="52"/>
    </row>
    <row r="115" spans="1:45" ht="47.1" customHeight="1" x14ac:dyDescent="0.25">
      <c r="A115" s="333">
        <v>13</v>
      </c>
      <c r="B115" s="340" t="str" cm="1">
        <f t="array" ref="B115">IFERROR(INDEX($E$102:$E$118, MATCH(0, COUNTIF($B$101:B114, $E$102:$E$118&amp;"") + IF($E$102:$E$118="",1,0),0)),"")</f>
        <v/>
      </c>
      <c r="C115" s="341" t="str">
        <f t="shared" si="13"/>
        <v>--select--</v>
      </c>
      <c r="D115" s="342" t="s">
        <v>442</v>
      </c>
      <c r="E115" s="343" t="str">
        <f>IFERROR(IF(F115="[Module Reference (Name)]","--Select--",VLOOKUP(F115,'Reference records(soft deleted)'!$B$86:$D$137,3,FALSE)),"")</f>
        <v/>
      </c>
      <c r="F115" s="344"/>
      <c r="G115" s="344" t="b">
        <f t="shared" si="14"/>
        <v>0</v>
      </c>
      <c r="H115" s="345" t="s">
        <v>443</v>
      </c>
      <c r="I115" s="345" t="str">
        <f>IFERROR(VLOOKUP(E115,'Reference records(soft deleted)'!D$86:F$137,3,FALSE),"")</f>
        <v/>
      </c>
      <c r="J115" s="344" t="s">
        <v>300</v>
      </c>
      <c r="L115" s="130"/>
      <c r="M115" s="130"/>
      <c r="N115" s="130"/>
      <c r="O115" s="130"/>
      <c r="P115" s="130"/>
      <c r="Q115" s="130"/>
      <c r="R115" s="130"/>
      <c r="S115" s="130"/>
      <c r="T115" s="130"/>
      <c r="U115" s="130"/>
      <c r="Y115" s="302"/>
      <c r="AS115" s="52"/>
    </row>
    <row r="116" spans="1:45" ht="47.1" customHeight="1" x14ac:dyDescent="0.25">
      <c r="A116" s="333">
        <v>14</v>
      </c>
      <c r="B116" s="340" t="str" cm="1">
        <f t="array" ref="B116">IFERROR(INDEX($E$102:$E$118, MATCH(0, COUNTIF($B$101:B115, $E$102:$E$118&amp;"") + IF($E$102:$E$118="",1,0),0)),"")</f>
        <v/>
      </c>
      <c r="C116" s="341" t="str">
        <f t="shared" si="13"/>
        <v>--select--</v>
      </c>
      <c r="D116" s="342" t="s">
        <v>444</v>
      </c>
      <c r="E116" s="343" t="str">
        <f>IFERROR(IF(F116="[Module Reference (Name)]","--Select--",VLOOKUP(F116,'Reference records(soft deleted)'!$B$86:$D$137,3,FALSE)),"")</f>
        <v/>
      </c>
      <c r="F116" s="344"/>
      <c r="G116" s="344" t="b">
        <f t="shared" si="14"/>
        <v>0</v>
      </c>
      <c r="H116" s="345" t="s">
        <v>445</v>
      </c>
      <c r="I116" s="345" t="str">
        <f>IFERROR(VLOOKUP(E116,'Reference records(soft deleted)'!D$86:F$137,3,FALSE),"")</f>
        <v/>
      </c>
      <c r="J116" s="344" t="s">
        <v>300</v>
      </c>
      <c r="L116" s="130"/>
      <c r="M116" s="130"/>
      <c r="N116" s="130"/>
      <c r="O116" s="130"/>
      <c r="P116" s="130"/>
      <c r="Q116" s="130"/>
      <c r="R116" s="130"/>
      <c r="S116" s="130"/>
      <c r="T116" s="130"/>
      <c r="U116" s="130"/>
      <c r="Y116" s="302"/>
      <c r="AS116" s="52"/>
    </row>
    <row r="117" spans="1:45" ht="47.1" customHeight="1" x14ac:dyDescent="0.25">
      <c r="A117" s="333">
        <v>15</v>
      </c>
      <c r="B117" s="340" t="str" cm="1">
        <f t="array" ref="B117">IFERROR(INDEX($E$102:$E$118, MATCH(0, COUNTIF($B$101:B116, $E$102:$E$118&amp;"") + IF($E$102:$E$118="",1,0),0)),"")</f>
        <v/>
      </c>
      <c r="C117" s="341" t="str">
        <f t="shared" si="13"/>
        <v>--select--</v>
      </c>
      <c r="D117" s="342" t="s">
        <v>446</v>
      </c>
      <c r="E117" s="343" t="str">
        <f>IFERROR(IF(F117="[Module Reference (Name)]","--Select--",VLOOKUP(F117,'Reference records(soft deleted)'!$B$86:$D$137,3,FALSE)),"")</f>
        <v/>
      </c>
      <c r="F117" s="344"/>
      <c r="G117" s="344" t="b">
        <f t="shared" si="14"/>
        <v>0</v>
      </c>
      <c r="H117" s="345" t="s">
        <v>447</v>
      </c>
      <c r="I117" s="345" t="str">
        <f>IFERROR(VLOOKUP(E117,'Reference records(soft deleted)'!D$86:F$137,3,FALSE),"")</f>
        <v/>
      </c>
      <c r="J117" s="344" t="s">
        <v>300</v>
      </c>
      <c r="L117" s="130"/>
      <c r="M117" s="130"/>
      <c r="N117" s="130"/>
      <c r="O117" s="130"/>
      <c r="P117" s="130"/>
      <c r="Q117" s="130"/>
      <c r="R117" s="130"/>
      <c r="S117" s="130"/>
      <c r="T117" s="130"/>
      <c r="U117" s="130"/>
      <c r="Y117" s="302"/>
      <c r="AS117" s="52"/>
    </row>
    <row r="118" spans="1:45" ht="21" hidden="1" customHeight="1" thickBot="1" x14ac:dyDescent="0.3">
      <c r="A118" s="287"/>
      <c r="B118" s="268"/>
      <c r="C118" s="268"/>
      <c r="D118" s="268"/>
      <c r="E118" s="268"/>
      <c r="F118" s="268"/>
      <c r="G118" s="268"/>
      <c r="H118" s="268"/>
      <c r="I118" s="268"/>
      <c r="J118" s="271"/>
      <c r="L118" s="130"/>
      <c r="M118" s="130"/>
      <c r="N118" s="130"/>
      <c r="O118" s="130"/>
      <c r="P118" s="130"/>
      <c r="Q118" s="130"/>
      <c r="R118" s="130"/>
      <c r="S118" s="130"/>
      <c r="T118" s="130"/>
      <c r="U118" s="130"/>
    </row>
    <row r="119" spans="1:45" ht="35.25" customHeight="1" x14ac:dyDescent="0.25">
      <c r="L119" s="130"/>
      <c r="M119" s="130"/>
      <c r="N119" s="130"/>
      <c r="O119" s="130"/>
      <c r="P119" s="130"/>
      <c r="Q119" s="130"/>
      <c r="R119" s="130"/>
      <c r="S119" s="130"/>
      <c r="T119" s="130"/>
      <c r="U119" s="130"/>
    </row>
    <row r="120" spans="1:45" ht="27.75" customHeight="1" thickBot="1" x14ac:dyDescent="0.3">
      <c r="A120" s="306"/>
      <c r="B120" s="223"/>
      <c r="C120" s="223"/>
      <c r="D120" s="223"/>
      <c r="E120" s="130"/>
      <c r="F120" s="130"/>
      <c r="G120" s="130"/>
      <c r="H120" s="130"/>
      <c r="I120" s="130"/>
      <c r="J120" s="130"/>
      <c r="K120" s="130"/>
      <c r="L120" s="130"/>
      <c r="M120" s="130"/>
      <c r="N120" s="130"/>
      <c r="O120" s="130"/>
      <c r="P120" s="130"/>
      <c r="Q120" s="130"/>
      <c r="R120" s="130"/>
      <c r="S120" s="130"/>
      <c r="T120" s="130"/>
      <c r="U120" s="130"/>
    </row>
    <row r="121" spans="1:45" ht="16.5" customHeight="1" thickBot="1" x14ac:dyDescent="0.3">
      <c r="A121" s="472" t="s">
        <v>448</v>
      </c>
      <c r="B121" s="473"/>
      <c r="C121" s="473"/>
      <c r="D121" s="473"/>
      <c r="E121" s="473"/>
      <c r="F121" s="473"/>
      <c r="G121" s="473"/>
      <c r="H121" s="473"/>
      <c r="I121" s="473"/>
      <c r="J121" s="473"/>
      <c r="K121" s="473"/>
      <c r="L121" s="307"/>
      <c r="M121" s="307"/>
      <c r="N121" s="307"/>
      <c r="O121" s="307"/>
      <c r="P121" s="307"/>
      <c r="Q121" s="307"/>
      <c r="R121" s="307"/>
      <c r="S121" s="307"/>
      <c r="T121" s="322"/>
      <c r="U121" s="307"/>
      <c r="V121" s="137"/>
      <c r="W121" s="308"/>
      <c r="X121" s="308"/>
      <c r="Y121" s="308"/>
      <c r="Z121" s="308"/>
      <c r="AA121" s="308"/>
      <c r="AB121" s="308"/>
      <c r="AC121" s="309"/>
    </row>
    <row r="122" spans="1:45" ht="30" customHeight="1" thickBot="1" x14ac:dyDescent="0.3">
      <c r="A122" s="467" t="s">
        <v>309</v>
      </c>
      <c r="B122" s="468"/>
      <c r="C122" s="468"/>
      <c r="D122" s="468"/>
      <c r="E122" s="468"/>
      <c r="F122" s="468"/>
      <c r="G122" s="468"/>
      <c r="H122" s="468"/>
      <c r="I122" s="468"/>
      <c r="J122" s="468"/>
      <c r="K122" s="468"/>
      <c r="L122" s="310"/>
      <c r="M122" s="310"/>
      <c r="N122" s="310"/>
      <c r="O122" s="310"/>
      <c r="P122" s="310"/>
      <c r="Q122" s="310"/>
      <c r="R122" s="310"/>
      <c r="S122" s="310"/>
      <c r="T122" s="322"/>
      <c r="U122" s="311"/>
      <c r="V122" s="137"/>
      <c r="W122" s="312"/>
      <c r="X122" s="312"/>
      <c r="Y122" s="312"/>
      <c r="Z122" s="313"/>
      <c r="AA122" s="313"/>
      <c r="AB122" s="313"/>
      <c r="AC122" s="314"/>
    </row>
    <row r="123" spans="1:45" ht="46.5" customHeight="1" x14ac:dyDescent="0.25">
      <c r="A123" s="330" t="s">
        <v>449</v>
      </c>
      <c r="B123" s="330"/>
      <c r="C123" s="330"/>
      <c r="D123" s="330"/>
      <c r="E123" s="330" t="s">
        <v>308</v>
      </c>
      <c r="F123" s="330"/>
      <c r="G123" s="330" t="s">
        <v>450</v>
      </c>
      <c r="H123" s="330" t="s">
        <v>451</v>
      </c>
      <c r="I123" s="330" t="s">
        <v>452</v>
      </c>
      <c r="J123" s="330" t="s">
        <v>453</v>
      </c>
      <c r="K123" s="330" t="s">
        <v>454</v>
      </c>
      <c r="L123" s="346" t="s">
        <v>455</v>
      </c>
      <c r="M123" s="347" t="s">
        <v>456</v>
      </c>
      <c r="N123" s="347" t="s">
        <v>457</v>
      </c>
      <c r="O123" s="347" t="s">
        <v>458</v>
      </c>
      <c r="P123" s="347" t="s">
        <v>459</v>
      </c>
      <c r="Q123" s="347" t="s">
        <v>405</v>
      </c>
      <c r="R123" s="347" t="s">
        <v>460</v>
      </c>
      <c r="S123" s="346" t="s">
        <v>461</v>
      </c>
      <c r="T123" s="348"/>
      <c r="U123" s="349" t="s">
        <v>256</v>
      </c>
      <c r="V123" s="350"/>
      <c r="W123" s="351" t="s">
        <v>326</v>
      </c>
      <c r="X123" s="352" t="s">
        <v>404</v>
      </c>
      <c r="Y123" s="352" t="s">
        <v>325</v>
      </c>
      <c r="Z123" s="352" t="s">
        <v>462</v>
      </c>
      <c r="AA123" s="352" t="s">
        <v>463</v>
      </c>
      <c r="AB123" s="352" t="s">
        <v>318</v>
      </c>
      <c r="AC123" s="353"/>
      <c r="AD123" s="353" t="s">
        <v>464</v>
      </c>
      <c r="AE123" s="352" t="s">
        <v>465</v>
      </c>
      <c r="AF123" s="353" t="s">
        <v>466</v>
      </c>
      <c r="AG123" s="353" t="s">
        <v>463</v>
      </c>
      <c r="AH123" s="354" t="s">
        <v>467</v>
      </c>
      <c r="AI123" s="353" t="s">
        <v>468</v>
      </c>
      <c r="AJ123" s="353" t="s">
        <v>469</v>
      </c>
      <c r="AK123" s="353" t="s">
        <v>470</v>
      </c>
      <c r="AL123" s="353" t="s">
        <v>471</v>
      </c>
      <c r="AM123" s="353" t="s">
        <v>472</v>
      </c>
      <c r="AN123" s="353" t="s">
        <v>473</v>
      </c>
      <c r="AO123" s="353"/>
      <c r="AP123" s="353" t="s">
        <v>474</v>
      </c>
      <c r="AQ123" s="353" t="s">
        <v>475</v>
      </c>
      <c r="AR123" s="316"/>
      <c r="AS123" s="315"/>
    </row>
    <row r="124" spans="1:45" ht="47.1" hidden="1" customHeight="1" x14ac:dyDescent="0.25">
      <c r="A124" s="333"/>
      <c r="B124" s="355" t="str" cm="1">
        <f t="array" ref="B124">IFERROR(INDEX($E$123:$E$175, MATCH(0, COUNTIF($B$123:B123, $E$123:$E$175&amp;"") + IF($E$123:$E$175="",1,0),0)),"")</f>
        <v>Modules</v>
      </c>
      <c r="C124" s="356"/>
      <c r="D124" s="357"/>
      <c r="E124" s="358" t="str">
        <f>IFERROR(IF(AND(K124="",T124=""),"",(VLOOKUP(Q124,'Reference records(soft deleted)'!$B$86:$D$137,3,FALSE))),"")</f>
        <v/>
      </c>
      <c r="F124" s="359">
        <f>AQ124</f>
        <v>0</v>
      </c>
      <c r="G124" s="360"/>
      <c r="H124" s="360"/>
      <c r="I124" s="360"/>
      <c r="J124" s="360"/>
      <c r="K124" s="358" t="str">
        <f>IFERROR(VLOOKUP(R124,'Reference Records'!B$252:C419,2,0),"")</f>
        <v/>
      </c>
      <c r="L124" s="360" t="e">
        <f>VLOOKUP(U124&amp;K124,'Reference Records'!H$252:I419,2,0)</f>
        <v>#N/A</v>
      </c>
      <c r="M124" s="360" t="e">
        <f>MATCH($L124,'Reference Records'!$E$507:$E$509,0)+ROW(Population_by_intervention) -1</f>
        <v>#N/A</v>
      </c>
      <c r="N124" s="360" t="e">
        <f>MATCH($L124,'Reference Records'!$E$507:$E$509,1)+ROW(Population_by_intervention) -1</f>
        <v>#N/A</v>
      </c>
      <c r="O124" s="360" t="str">
        <f>IFERROR(VLOOKUP(AA124,'Reference Records'!B507:C509,2,0),"")</f>
        <v/>
      </c>
      <c r="P124" s="360"/>
      <c r="Q124" s="361" t="s">
        <v>409</v>
      </c>
      <c r="R124" s="362" t="s">
        <v>476</v>
      </c>
      <c r="S124" s="360"/>
      <c r="T124" s="363"/>
      <c r="U124" s="364" t="str">
        <f>IFERROR(IF(VLOOKUP(E124,'Reference Records'!$C$192:$D$250,2,FALSE)=0,"",VLOOKUP(E124,'Reference Records'!$C$192:$D$250,2,FALSE)),"")</f>
        <v/>
      </c>
      <c r="V124" s="350"/>
      <c r="W124" s="365" t="str">
        <f>K124&amp;T124</f>
        <v/>
      </c>
      <c r="X124" s="365" t="str">
        <f>IFERROR(VLOOKUP(E124,$E$102:$H$119,4,FALSE),"")</f>
        <v>a1PDm000000LZBmMAO</v>
      </c>
      <c r="Y124" s="365" t="b">
        <f>IFERROR(IF(OR(K124&lt;&gt;"",T124&lt;&gt;""),TRUE,FALSE),FALSE)</f>
        <v>0</v>
      </c>
      <c r="Z124" s="365" t="b">
        <f>IFERROR(TRUE,FALSE)</f>
        <v>1</v>
      </c>
      <c r="AA124" s="365" t="str">
        <f>IFERROR(VLOOKUP(L124,'Reference Records'!B$252:E419,4,0),"")</f>
        <v/>
      </c>
      <c r="AB124" s="365" t="s">
        <v>321</v>
      </c>
      <c r="AC124" s="353" t="e">
        <f>IF(R124="",L124,L124&amp;"|"&amp;R124)</f>
        <v>#N/A</v>
      </c>
      <c r="AD124" s="353" t="str">
        <f>E124</f>
        <v/>
      </c>
      <c r="AE124" s="353" t="str">
        <f t="array" ref="AE124">IFERROR(IF(INDEX($W$124:$W$175, MATCH(0, IF(AD124=$E$124:$E$175, COUNTIF($AE$123:$AE123, $W$124:$W$175), ""), 0))=0,"",INDEX($W$124:$W$175, MATCH(0, IF(AD124=$E$124:$E$175, COUNTIF($AE$123:$AE123, $W$124:$W$175), ""), 0))),"")</f>
        <v/>
      </c>
      <c r="AF124" s="353" t="str">
        <f>IF(AND(E124="",AQ124&lt;&gt;""),"|empty|",E124&amp;K124&amp;T124)</f>
        <v/>
      </c>
      <c r="AG124" s="353">
        <f>AQ124</f>
        <v>0</v>
      </c>
      <c r="AH124" s="353" t="str">
        <f>X124&amp;AP124</f>
        <v>a1PDm000000LZBmMAOSort Order for Intervention</v>
      </c>
      <c r="AI124" s="353">
        <f>IF(COUNTIF($AH$124:AH175,"&lt;="&amp;AH124)=0,"",COUNTIF($AH$124:AH175,"&lt;="&amp;AH124))</f>
        <v>51</v>
      </c>
      <c r="AJ124" s="353">
        <f>RANK(AI124,AI$124:AI175,1)</f>
        <v>51</v>
      </c>
      <c r="AK124" s="353">
        <f>INDEX(E$124:E175,MATCH(ROWS(AJ$124:AJ124),AJ$124:AJ175,0))</f>
        <v>0</v>
      </c>
      <c r="AL124" s="353" t="str">
        <f>INDEX(K$124:K175,MATCH(ROWS(AJ$124:AJ124),AJ$124:AJ175,0))</f>
        <v/>
      </c>
      <c r="AM124" s="353">
        <f>INDEX(V$124:V175,MATCH(ROWS(AJ$124:AJ124),AJ$124:AJ175,0))</f>
        <v>0</v>
      </c>
      <c r="AN124" s="353" t="str">
        <f>AK124&amp;AL124</f>
        <v>0</v>
      </c>
      <c r="AO124" s="353" t="e">
        <f>L124</f>
        <v>#N/A</v>
      </c>
      <c r="AP124" s="353" t="str">
        <f>Setup!A85</f>
        <v>Sort Order for Intervention</v>
      </c>
      <c r="AQ124" s="366"/>
      <c r="AR124" s="316"/>
      <c r="AS124" s="315"/>
    </row>
    <row r="125" spans="1:45" ht="47.1" customHeight="1" x14ac:dyDescent="0.25">
      <c r="A125" s="333">
        <v>1</v>
      </c>
      <c r="B125" s="355" t="str" cm="1">
        <f t="array" ref="B125">IFERROR(INDEX($E$123:$E$175, MATCH(0, COUNTIF($B$123:B124, $E$123:$E$175&amp;"") + IF($E$123:$E$175="",1,0),0)),"")</f>
        <v/>
      </c>
      <c r="C125" s="356"/>
      <c r="D125" s="357"/>
      <c r="E125" s="358"/>
      <c r="F125" s="359" t="str">
        <f t="shared" ref="F125:F174" si="15">AQ125</f>
        <v>INT-341506</v>
      </c>
      <c r="G125" s="360"/>
      <c r="H125" s="360"/>
      <c r="I125" s="360"/>
      <c r="J125" s="360"/>
      <c r="K125" s="358" t="str">
        <f>IFERROR(VLOOKUP(R125,'Reference Records'!B$252:C420,2,0),"")</f>
        <v/>
      </c>
      <c r="L125" s="360" t="e">
        <f>VLOOKUP(U125&amp;K125,'Reference Records'!H$252:I420,2,0)</f>
        <v>#N/A</v>
      </c>
      <c r="M125" s="360" t="e">
        <f>MATCH($L125,'Reference Records'!$E$507:$E$509,0)+ROW(Population_by_intervention) -1</f>
        <v>#N/A</v>
      </c>
      <c r="N125" s="360" t="e">
        <f>MATCH($L125,'Reference Records'!$E$507:$E$509,1)+ROW(Population_by_intervention) -1</f>
        <v>#N/A</v>
      </c>
      <c r="O125" s="360" t="str">
        <f>IFERROR(VLOOKUP(AA125,'Reference Records'!B508:C510,2,0),"")</f>
        <v/>
      </c>
      <c r="P125" s="360"/>
      <c r="Q125" s="361"/>
      <c r="R125" s="362"/>
      <c r="S125" s="360"/>
      <c r="T125" s="363"/>
      <c r="U125" s="364" t="str">
        <f>IFERROR(IF(VLOOKUP(E125,'Reference Records'!$C$192:$D$250,2,FALSE)=0,"",VLOOKUP(E125,'Reference Records'!$C$192:$D$250,2,FALSE)),"")</f>
        <v/>
      </c>
      <c r="V125" s="350"/>
      <c r="W125" s="365" t="str">
        <f t="shared" ref="W125:W174" si="16">K125&amp;T125</f>
        <v/>
      </c>
      <c r="X125" s="365" t="str">
        <f t="shared" ref="X125:X174" si="17">IFERROR(VLOOKUP(E125,$E$102:$H$119,4,FALSE),"")</f>
        <v/>
      </c>
      <c r="Y125" s="365" t="b">
        <f t="shared" ref="Y125:Y174" si="18">IFERROR(IF(OR(K125&lt;&gt;"",T125&lt;&gt;""),TRUE,FALSE),FALSE)</f>
        <v>0</v>
      </c>
      <c r="Z125" s="365" t="b">
        <f t="shared" ref="Z125:Z174" si="19">IFERROR(TRUE,FALSE)</f>
        <v>1</v>
      </c>
      <c r="AA125" s="365" t="str">
        <f>IFERROR(VLOOKUP(L125,'Reference Records'!B$252:E420,4,0),"")</f>
        <v/>
      </c>
      <c r="AB125" s="365" t="s">
        <v>477</v>
      </c>
      <c r="AC125" s="353" t="e">
        <f t="shared" ref="AC125:AC174" si="20">IF(R125="",L125,L125&amp;"|"&amp;R125)</f>
        <v>#N/A</v>
      </c>
      <c r="AD125" s="353">
        <f t="shared" ref="AD125:AD174" si="21">E125</f>
        <v>0</v>
      </c>
      <c r="AE125" s="353" t="str">
        <f t="array" ref="AE125">IFERROR(IF(INDEX($W$124:$W$175, MATCH(0, IF(AD125=$E$124:$E$175, COUNTIF($AE$123:$AE124, $W$124:$W$175), ""), 0))=0,"",INDEX($W$124:$W$175, MATCH(0, IF(AD125=$E$124:$E$175, COUNTIF($AE$123:$AE124, $W$124:$W$175), ""), 0))),"")</f>
        <v/>
      </c>
      <c r="AF125" s="353" t="str">
        <f t="shared" ref="AF125:AF174" si="22">IF(AND(E125="",AQ125&lt;&gt;""),"|empty|",E125&amp;K125&amp;T125)</f>
        <v>|empty|</v>
      </c>
      <c r="AG125" s="353" t="str">
        <f t="shared" ref="AG125:AG174" si="23">AQ125</f>
        <v>INT-341506</v>
      </c>
      <c r="AH125" s="353" t="str">
        <f t="shared" ref="AH125:AH174" si="24">X125&amp;AP125</f>
        <v>a11</v>
      </c>
      <c r="AI125" s="353">
        <f>IF(COUNTIF($AH$124:AH176,"&lt;="&amp;AH125)=0,"",COUNTIF($AH$124:AH176,"&lt;="&amp;AH125))</f>
        <v>1</v>
      </c>
      <c r="AJ125" s="353">
        <f>RANK(AI125,AI$124:AI176,1)</f>
        <v>1</v>
      </c>
      <c r="AK125" s="353" t="str">
        <f>INDEX(E$124:E176,MATCH(ROWS(AJ$124:AJ125),AJ$124:AJ176,0))</f>
        <v/>
      </c>
      <c r="AL125" s="353" t="str">
        <f>INDEX(K$124:K176,MATCH(ROWS(AJ$124:AJ125),AJ$124:AJ176,0))</f>
        <v/>
      </c>
      <c r="AM125" s="353">
        <f>INDEX(V$124:V176,MATCH(ROWS(AJ$124:AJ125),AJ$124:AJ176,0))</f>
        <v>0</v>
      </c>
      <c r="AN125" s="353" t="str">
        <f t="shared" ref="AN125:AN174" si="25">AK125&amp;AL125</f>
        <v/>
      </c>
      <c r="AO125" s="353" t="e">
        <f t="shared" ref="AO125:AO174" si="26">L125</f>
        <v>#N/A</v>
      </c>
      <c r="AP125" s="353" t="str">
        <f>Setup!A86</f>
        <v>a11</v>
      </c>
      <c r="AQ125" s="366" t="s">
        <v>478</v>
      </c>
      <c r="AR125" s="316"/>
      <c r="AS125" s="315"/>
    </row>
    <row r="126" spans="1:45" ht="47.1" customHeight="1" x14ac:dyDescent="0.25">
      <c r="A126" s="333">
        <v>2</v>
      </c>
      <c r="B126" s="355" t="str" cm="1">
        <f t="array" ref="B126">IFERROR(INDEX($E$123:$E$175, MATCH(0, COUNTIF($B$123:B125, $E$123:$E$175&amp;"") + IF($E$123:$E$175="",1,0),0)),"")</f>
        <v/>
      </c>
      <c r="C126" s="356"/>
      <c r="D126" s="357"/>
      <c r="E126" s="358" t="str">
        <f>IFERROR(IF(AND(K126="",T126=""),"",(VLOOKUP(Q126,'Reference records(soft deleted)'!$B$86:$D$137,3,FALSE))),"")</f>
        <v/>
      </c>
      <c r="F126" s="359" t="str">
        <f t="shared" si="15"/>
        <v>INT-341507</v>
      </c>
      <c r="G126" s="360"/>
      <c r="H126" s="360"/>
      <c r="I126" s="360"/>
      <c r="J126" s="360"/>
      <c r="K126" s="358" t="str">
        <f>IFERROR(VLOOKUP(R126,'Reference Records'!B$252:C421,2,0),"")</f>
        <v/>
      </c>
      <c r="L126" s="360" t="e">
        <f>VLOOKUP(U126&amp;K126,'Reference Records'!H$252:I421,2,0)</f>
        <v>#N/A</v>
      </c>
      <c r="M126" s="360" t="e">
        <f>MATCH($L126,'Reference Records'!$E$507:$E$509,0)+ROW(Population_by_intervention) -1</f>
        <v>#N/A</v>
      </c>
      <c r="N126" s="360" t="e">
        <f>MATCH($L126,'Reference Records'!$E$507:$E$509,1)+ROW(Population_by_intervention) -1</f>
        <v>#N/A</v>
      </c>
      <c r="O126" s="360" t="str">
        <f>IFERROR(VLOOKUP(AA126,'Reference Records'!B509:C511,2,0),"")</f>
        <v/>
      </c>
      <c r="P126" s="360"/>
      <c r="Q126" s="361"/>
      <c r="R126" s="362"/>
      <c r="S126" s="360"/>
      <c r="T126" s="363"/>
      <c r="U126" s="364" t="str">
        <f>IFERROR(IF(VLOOKUP(E126,'Reference Records'!$C$192:$D$250,2,FALSE)=0,"",VLOOKUP(E126,'Reference Records'!$C$192:$D$250,2,FALSE)),"")</f>
        <v/>
      </c>
      <c r="V126" s="350"/>
      <c r="W126" s="365" t="str">
        <f t="shared" si="16"/>
        <v/>
      </c>
      <c r="X126" s="365" t="str">
        <f t="shared" si="17"/>
        <v>a1PDm000000LZBmMAO</v>
      </c>
      <c r="Y126" s="365" t="b">
        <f t="shared" si="18"/>
        <v>0</v>
      </c>
      <c r="Z126" s="365" t="b">
        <f t="shared" si="19"/>
        <v>1</v>
      </c>
      <c r="AA126" s="365" t="str">
        <f>IFERROR(VLOOKUP(L126,'Reference Records'!B$252:E421,4,0),"")</f>
        <v/>
      </c>
      <c r="AB126" s="365" t="s">
        <v>479</v>
      </c>
      <c r="AC126" s="353" t="e">
        <f t="shared" si="20"/>
        <v>#N/A</v>
      </c>
      <c r="AD126" s="353" t="str">
        <f t="shared" si="21"/>
        <v/>
      </c>
      <c r="AE126" s="353" t="str">
        <f t="array" ref="AE126">IFERROR(IF(INDEX($W$124:$W$175, MATCH(0, IF(AD126=$E$124:$E$175, COUNTIF($AE$123:$AE125, $W$124:$W$175), ""), 0))=0,"",INDEX($W$124:$W$175, MATCH(0, IF(AD126=$E$124:$E$175, COUNTIF($AE$123:$AE125, $W$124:$W$175), ""), 0))),"")</f>
        <v/>
      </c>
      <c r="AF126" s="353" t="str">
        <f t="shared" si="22"/>
        <v>|empty|</v>
      </c>
      <c r="AG126" s="353" t="str">
        <f t="shared" si="23"/>
        <v>INT-341507</v>
      </c>
      <c r="AH126" s="353" t="str">
        <f t="shared" si="24"/>
        <v>a1PDm000000LZBmMAOa12</v>
      </c>
      <c r="AI126" s="353">
        <f>IF(COUNTIF($AH$124:AH177,"&lt;="&amp;AH126)=0,"",COUNTIF($AH$124:AH177,"&lt;="&amp;AH126))</f>
        <v>2</v>
      </c>
      <c r="AJ126" s="353">
        <f>RANK(AI126,AI$124:AI177,1)</f>
        <v>2</v>
      </c>
      <c r="AK126" s="353" t="str">
        <f>INDEX(E$124:E177,MATCH(ROWS(AJ$124:AJ126),AJ$124:AJ177,0))</f>
        <v/>
      </c>
      <c r="AL126" s="353" t="str">
        <f>INDEX(K$124:K177,MATCH(ROWS(AJ$124:AJ126),AJ$124:AJ177,0))</f>
        <v/>
      </c>
      <c r="AM126" s="353">
        <f>INDEX(V$124:V177,MATCH(ROWS(AJ$124:AJ126),AJ$124:AJ177,0))</f>
        <v>0</v>
      </c>
      <c r="AN126" s="353" t="str">
        <f t="shared" si="25"/>
        <v/>
      </c>
      <c r="AO126" s="353" t="e">
        <f t="shared" si="26"/>
        <v>#N/A</v>
      </c>
      <c r="AP126" s="353" t="str">
        <f>Setup!A87</f>
        <v>a12</v>
      </c>
      <c r="AQ126" s="366" t="s">
        <v>480</v>
      </c>
      <c r="AR126" s="316"/>
      <c r="AS126" s="315"/>
    </row>
    <row r="127" spans="1:45" ht="47.1" customHeight="1" x14ac:dyDescent="0.25">
      <c r="A127" s="333">
        <v>3</v>
      </c>
      <c r="B127" s="355" t="str" cm="1">
        <f t="array" ref="B127">IFERROR(INDEX($E$123:$E$175, MATCH(0, COUNTIF($B$123:B126, $E$123:$E$175&amp;"") + IF($E$123:$E$175="",1,0),0)),"")</f>
        <v/>
      </c>
      <c r="C127" s="356"/>
      <c r="D127" s="357"/>
      <c r="E127" s="358" t="str">
        <f>IFERROR(IF(AND(K127="",T127=""),"",(VLOOKUP(Q127,'Reference records(soft deleted)'!$B$86:$D$137,3,FALSE))),"")</f>
        <v/>
      </c>
      <c r="F127" s="359" t="str">
        <f t="shared" si="15"/>
        <v>INT-341508</v>
      </c>
      <c r="G127" s="360"/>
      <c r="H127" s="360"/>
      <c r="I127" s="360"/>
      <c r="J127" s="360"/>
      <c r="K127" s="358" t="str">
        <f>IFERROR(VLOOKUP(R127,'Reference Records'!B$252:C422,2,0),"")</f>
        <v/>
      </c>
      <c r="L127" s="360" t="e">
        <f>VLOOKUP(U127&amp;K127,'Reference Records'!H$252:I422,2,0)</f>
        <v>#N/A</v>
      </c>
      <c r="M127" s="360" t="e">
        <f>MATCH($L127,'Reference Records'!$E$507:$E$509,0)+ROW(Population_by_intervention) -1</f>
        <v>#N/A</v>
      </c>
      <c r="N127" s="360" t="e">
        <f>MATCH($L127,'Reference Records'!$E$507:$E$509,1)+ROW(Population_by_intervention) -1</f>
        <v>#N/A</v>
      </c>
      <c r="O127" s="360" t="str">
        <f>IFERROR(VLOOKUP(AA127,'Reference Records'!B510:C512,2,0),"")</f>
        <v/>
      </c>
      <c r="P127" s="360"/>
      <c r="Q127" s="361"/>
      <c r="R127" s="362"/>
      <c r="S127" s="360"/>
      <c r="T127" s="363"/>
      <c r="U127" s="364" t="str">
        <f>IFERROR(IF(VLOOKUP(E127,'Reference Records'!$C$192:$D$250,2,FALSE)=0,"",VLOOKUP(E127,'Reference Records'!$C$192:$D$250,2,FALSE)),"")</f>
        <v/>
      </c>
      <c r="V127" s="350"/>
      <c r="W127" s="365" t="str">
        <f t="shared" si="16"/>
        <v/>
      </c>
      <c r="X127" s="365" t="str">
        <f t="shared" si="17"/>
        <v>a1PDm000000LZBmMAO</v>
      </c>
      <c r="Y127" s="365" t="b">
        <f t="shared" si="18"/>
        <v>0</v>
      </c>
      <c r="Z127" s="365" t="b">
        <f t="shared" si="19"/>
        <v>1</v>
      </c>
      <c r="AA127" s="365" t="str">
        <f>IFERROR(VLOOKUP(L127,'Reference Records'!B$252:E422,4,0),"")</f>
        <v/>
      </c>
      <c r="AB127" s="365" t="s">
        <v>481</v>
      </c>
      <c r="AC127" s="353" t="e">
        <f t="shared" si="20"/>
        <v>#N/A</v>
      </c>
      <c r="AD127" s="353" t="str">
        <f t="shared" si="21"/>
        <v/>
      </c>
      <c r="AE127" s="353" t="str">
        <f t="array" ref="AE127">IFERROR(IF(INDEX($W$124:$W$175, MATCH(0, IF(AD127=$E$124:$E$175, COUNTIF($AE$123:$AE126, $W$124:$W$175), ""), 0))=0,"",INDEX($W$124:$W$175, MATCH(0, IF(AD127=$E$124:$E$175, COUNTIF($AE$123:$AE126, $W$124:$W$175), ""), 0))),"")</f>
        <v/>
      </c>
      <c r="AF127" s="353" t="str">
        <f t="shared" si="22"/>
        <v>|empty|</v>
      </c>
      <c r="AG127" s="353" t="str">
        <f t="shared" si="23"/>
        <v>INT-341508</v>
      </c>
      <c r="AH127" s="353" t="str">
        <f t="shared" si="24"/>
        <v>a1PDm000000LZBmMAOa13</v>
      </c>
      <c r="AI127" s="353">
        <f>IF(COUNTIF($AH$124:AH178,"&lt;="&amp;AH127)=0,"",COUNTIF($AH$124:AH178,"&lt;="&amp;AH127))</f>
        <v>3</v>
      </c>
      <c r="AJ127" s="353">
        <f>RANK(AI127,AI$124:AI178,1)</f>
        <v>3</v>
      </c>
      <c r="AK127" s="353" t="str">
        <f>INDEX(E$124:E178,MATCH(ROWS(AJ$124:AJ127),AJ$124:AJ178,0))</f>
        <v/>
      </c>
      <c r="AL127" s="353" t="str">
        <f>INDEX(K$124:K178,MATCH(ROWS(AJ$124:AJ127),AJ$124:AJ178,0))</f>
        <v/>
      </c>
      <c r="AM127" s="353">
        <f>INDEX(V$124:V178,MATCH(ROWS(AJ$124:AJ127),AJ$124:AJ178,0))</f>
        <v>0</v>
      </c>
      <c r="AN127" s="353" t="str">
        <f t="shared" si="25"/>
        <v/>
      </c>
      <c r="AO127" s="353" t="e">
        <f t="shared" si="26"/>
        <v>#N/A</v>
      </c>
      <c r="AP127" s="353" t="str">
        <f>Setup!A88</f>
        <v>a13</v>
      </c>
      <c r="AQ127" s="366" t="s">
        <v>482</v>
      </c>
      <c r="AR127" s="316"/>
      <c r="AS127" s="315"/>
    </row>
    <row r="128" spans="1:45" ht="47.1" customHeight="1" x14ac:dyDescent="0.25">
      <c r="A128" s="333">
        <v>4</v>
      </c>
      <c r="B128" s="355" t="str" cm="1">
        <f t="array" ref="B128">IFERROR(INDEX($E$123:$E$175, MATCH(0, COUNTIF($B$123:B127, $E$123:$E$175&amp;"") + IF($E$123:$E$175="",1,0),0)),"")</f>
        <v/>
      </c>
      <c r="C128" s="356"/>
      <c r="D128" s="357"/>
      <c r="E128" s="358" t="str">
        <f>IFERROR(IF(AND(K128="",T128=""),"",(VLOOKUP(Q128,'Reference records(soft deleted)'!$B$86:$D$137,3,FALSE))),"")</f>
        <v/>
      </c>
      <c r="F128" s="359" t="str">
        <f t="shared" si="15"/>
        <v>INT-341509</v>
      </c>
      <c r="G128" s="360"/>
      <c r="H128" s="360"/>
      <c r="I128" s="360"/>
      <c r="J128" s="360"/>
      <c r="K128" s="358" t="str">
        <f>IFERROR(VLOOKUP(R128,'Reference Records'!B$252:C423,2,0),"")</f>
        <v/>
      </c>
      <c r="L128" s="360" t="e">
        <f>VLOOKUP(U128&amp;K128,'Reference Records'!H$252:I423,2,0)</f>
        <v>#N/A</v>
      </c>
      <c r="M128" s="360" t="e">
        <f>MATCH($L128,'Reference Records'!$E$507:$E$509,0)+ROW(Population_by_intervention) -1</f>
        <v>#N/A</v>
      </c>
      <c r="N128" s="360" t="e">
        <f>MATCH($L128,'Reference Records'!$E$507:$E$509,1)+ROW(Population_by_intervention) -1</f>
        <v>#N/A</v>
      </c>
      <c r="O128" s="360" t="str">
        <f>IFERROR(VLOOKUP(AA128,'Reference Records'!B511:C513,2,0),"")</f>
        <v/>
      </c>
      <c r="P128" s="360"/>
      <c r="Q128" s="361"/>
      <c r="R128" s="362"/>
      <c r="S128" s="360"/>
      <c r="T128" s="363"/>
      <c r="U128" s="364" t="str">
        <f>IFERROR(IF(VLOOKUP(E128,'Reference Records'!$C$192:$D$250,2,FALSE)=0,"",VLOOKUP(E128,'Reference Records'!$C$192:$D$250,2,FALSE)),"")</f>
        <v/>
      </c>
      <c r="V128" s="350"/>
      <c r="W128" s="365" t="str">
        <f t="shared" si="16"/>
        <v/>
      </c>
      <c r="X128" s="365" t="str">
        <f t="shared" si="17"/>
        <v>a1PDm000000LZBmMAO</v>
      </c>
      <c r="Y128" s="365" t="b">
        <f t="shared" si="18"/>
        <v>0</v>
      </c>
      <c r="Z128" s="365" t="b">
        <f t="shared" si="19"/>
        <v>1</v>
      </c>
      <c r="AA128" s="365" t="str">
        <f>IFERROR(VLOOKUP(L128,'Reference Records'!B$252:E423,4,0),"")</f>
        <v/>
      </c>
      <c r="AB128" s="365" t="s">
        <v>483</v>
      </c>
      <c r="AC128" s="353" t="e">
        <f t="shared" si="20"/>
        <v>#N/A</v>
      </c>
      <c r="AD128" s="353" t="str">
        <f t="shared" si="21"/>
        <v/>
      </c>
      <c r="AE128" s="353" t="str">
        <f t="array" ref="AE128">IFERROR(IF(INDEX($W$124:$W$175, MATCH(0, IF(AD128=$E$124:$E$175, COUNTIF($AE$123:$AE127, $W$124:$W$175), ""), 0))=0,"",INDEX($W$124:$W$175, MATCH(0, IF(AD128=$E$124:$E$175, COUNTIF($AE$123:$AE127, $W$124:$W$175), ""), 0))),"")</f>
        <v/>
      </c>
      <c r="AF128" s="353" t="str">
        <f t="shared" si="22"/>
        <v>|empty|</v>
      </c>
      <c r="AG128" s="353" t="str">
        <f t="shared" si="23"/>
        <v>INT-341509</v>
      </c>
      <c r="AH128" s="353" t="str">
        <f t="shared" si="24"/>
        <v>a1PDm000000LZBmMAOa14</v>
      </c>
      <c r="AI128" s="353">
        <f>IF(COUNTIF($AH$124:AH179,"&lt;="&amp;AH128)=0,"",COUNTIF($AH$124:AH179,"&lt;="&amp;AH128))</f>
        <v>4</v>
      </c>
      <c r="AJ128" s="353">
        <f>RANK(AI128,AI$124:AI179,1)</f>
        <v>4</v>
      </c>
      <c r="AK128" s="353" t="str">
        <f>INDEX(E$124:E179,MATCH(ROWS(AJ$124:AJ128),AJ$124:AJ179,0))</f>
        <v/>
      </c>
      <c r="AL128" s="353" t="str">
        <f>INDEX(K$124:K179,MATCH(ROWS(AJ$124:AJ128),AJ$124:AJ179,0))</f>
        <v/>
      </c>
      <c r="AM128" s="353">
        <f>INDEX(V$124:V179,MATCH(ROWS(AJ$124:AJ128),AJ$124:AJ179,0))</f>
        <v>0</v>
      </c>
      <c r="AN128" s="353" t="str">
        <f t="shared" si="25"/>
        <v/>
      </c>
      <c r="AO128" s="353" t="e">
        <f t="shared" si="26"/>
        <v>#N/A</v>
      </c>
      <c r="AP128" s="353" t="str">
        <f>Setup!A89</f>
        <v>a14</v>
      </c>
      <c r="AQ128" s="366" t="s">
        <v>484</v>
      </c>
      <c r="AR128" s="316"/>
      <c r="AS128" s="315"/>
    </row>
    <row r="129" spans="1:45" ht="47.1" customHeight="1" x14ac:dyDescent="0.25">
      <c r="A129" s="333">
        <v>5</v>
      </c>
      <c r="B129" s="355" t="str" cm="1">
        <f t="array" ref="B129">IFERROR(INDEX($E$123:$E$175, MATCH(0, COUNTIF($B$123:B128, $E$123:$E$175&amp;"") + IF($E$123:$E$175="",1,0),0)),"")</f>
        <v/>
      </c>
      <c r="C129" s="356"/>
      <c r="D129" s="357"/>
      <c r="E129" s="358" t="str">
        <f>IFERROR(IF(AND(K129="",T129=""),"",(VLOOKUP(Q129,'Reference records(soft deleted)'!$B$86:$D$137,3,FALSE))),"")</f>
        <v/>
      </c>
      <c r="F129" s="359" t="str">
        <f t="shared" si="15"/>
        <v>INT-341510</v>
      </c>
      <c r="G129" s="360"/>
      <c r="H129" s="360"/>
      <c r="I129" s="360"/>
      <c r="J129" s="360"/>
      <c r="K129" s="358" t="str">
        <f>IFERROR(VLOOKUP(R129,'Reference Records'!B$252:C424,2,0),"")</f>
        <v/>
      </c>
      <c r="L129" s="360" t="e">
        <f>VLOOKUP(U129&amp;K129,'Reference Records'!H$252:I424,2,0)</f>
        <v>#N/A</v>
      </c>
      <c r="M129" s="360" t="e">
        <f>MATCH($L129,'Reference Records'!$E$507:$E$509,0)+ROW(Population_by_intervention) -1</f>
        <v>#N/A</v>
      </c>
      <c r="N129" s="360" t="e">
        <f>MATCH($L129,'Reference Records'!$E$507:$E$509,1)+ROW(Population_by_intervention) -1</f>
        <v>#N/A</v>
      </c>
      <c r="O129" s="360" t="str">
        <f>IFERROR(VLOOKUP(AA129,'Reference Records'!B512:C514,2,0),"")</f>
        <v/>
      </c>
      <c r="P129" s="360"/>
      <c r="Q129" s="361"/>
      <c r="R129" s="362"/>
      <c r="S129" s="360"/>
      <c r="T129" s="363"/>
      <c r="U129" s="364" t="str">
        <f>IFERROR(IF(VLOOKUP(E129,'Reference Records'!$C$192:$D$250,2,FALSE)=0,"",VLOOKUP(E129,'Reference Records'!$C$192:$D$250,2,FALSE)),"")</f>
        <v/>
      </c>
      <c r="V129" s="350"/>
      <c r="W129" s="365" t="str">
        <f t="shared" si="16"/>
        <v/>
      </c>
      <c r="X129" s="365" t="str">
        <f t="shared" si="17"/>
        <v>a1PDm000000LZBmMAO</v>
      </c>
      <c r="Y129" s="365" t="b">
        <f t="shared" si="18"/>
        <v>0</v>
      </c>
      <c r="Z129" s="365" t="b">
        <f t="shared" si="19"/>
        <v>1</v>
      </c>
      <c r="AA129" s="365" t="str">
        <f>IFERROR(VLOOKUP(L129,'Reference Records'!B$252:E424,4,0),"")</f>
        <v/>
      </c>
      <c r="AB129" s="365" t="s">
        <v>485</v>
      </c>
      <c r="AC129" s="353" t="e">
        <f t="shared" si="20"/>
        <v>#N/A</v>
      </c>
      <c r="AD129" s="353" t="str">
        <f t="shared" si="21"/>
        <v/>
      </c>
      <c r="AE129" s="353" t="str">
        <f t="array" ref="AE129">IFERROR(IF(INDEX($W$124:$W$175, MATCH(0, IF(AD129=$E$124:$E$175, COUNTIF($AE$123:$AE128, $W$124:$W$175), ""), 0))=0,"",INDEX($W$124:$W$175, MATCH(0, IF(AD129=$E$124:$E$175, COUNTIF($AE$123:$AE128, $W$124:$W$175), ""), 0))),"")</f>
        <v/>
      </c>
      <c r="AF129" s="353" t="str">
        <f t="shared" si="22"/>
        <v>|empty|</v>
      </c>
      <c r="AG129" s="353" t="str">
        <f t="shared" si="23"/>
        <v>INT-341510</v>
      </c>
      <c r="AH129" s="353" t="str">
        <f t="shared" si="24"/>
        <v>a1PDm000000LZBmMAOa15</v>
      </c>
      <c r="AI129" s="353">
        <f>IF(COUNTIF($AH$124:AH180,"&lt;="&amp;AH129)=0,"",COUNTIF($AH$124:AH180,"&lt;="&amp;AH129))</f>
        <v>5</v>
      </c>
      <c r="AJ129" s="353">
        <f>RANK(AI129,AI$124:AI180,1)</f>
        <v>5</v>
      </c>
      <c r="AK129" s="353" t="str">
        <f>INDEX(E$124:E180,MATCH(ROWS(AJ$124:AJ129),AJ$124:AJ180,0))</f>
        <v/>
      </c>
      <c r="AL129" s="353" t="str">
        <f>INDEX(K$124:K180,MATCH(ROWS(AJ$124:AJ129),AJ$124:AJ180,0))</f>
        <v/>
      </c>
      <c r="AM129" s="353">
        <f>INDEX(V$124:V180,MATCH(ROWS(AJ$124:AJ129),AJ$124:AJ180,0))</f>
        <v>0</v>
      </c>
      <c r="AN129" s="353" t="str">
        <f t="shared" si="25"/>
        <v/>
      </c>
      <c r="AO129" s="353" t="e">
        <f t="shared" si="26"/>
        <v>#N/A</v>
      </c>
      <c r="AP129" s="353" t="str">
        <f>Setup!A90</f>
        <v>a15</v>
      </c>
      <c r="AQ129" s="366" t="s">
        <v>486</v>
      </c>
      <c r="AR129" s="316"/>
      <c r="AS129" s="315"/>
    </row>
    <row r="130" spans="1:45" ht="47.1" customHeight="1" x14ac:dyDescent="0.25">
      <c r="A130" s="333">
        <v>6</v>
      </c>
      <c r="B130" s="355" t="str" cm="1">
        <f t="array" ref="B130">IFERROR(INDEX($E$123:$E$175, MATCH(0, COUNTIF($B$123:B129, $E$123:$E$175&amp;"") + IF($E$123:$E$175="",1,0),0)),"")</f>
        <v/>
      </c>
      <c r="C130" s="356"/>
      <c r="D130" s="357"/>
      <c r="E130" s="358" t="str">
        <f>IFERROR(IF(AND(K130="",T130=""),"",(VLOOKUP(Q130,'Reference records(soft deleted)'!$B$86:$D$137,3,FALSE))),"")</f>
        <v/>
      </c>
      <c r="F130" s="359" t="str">
        <f t="shared" si="15"/>
        <v>INT-341511</v>
      </c>
      <c r="G130" s="360"/>
      <c r="H130" s="360"/>
      <c r="I130" s="360"/>
      <c r="J130" s="360"/>
      <c r="K130" s="358" t="str">
        <f>IFERROR(VLOOKUP(R130,'Reference Records'!B$252:C425,2,0),"")</f>
        <v/>
      </c>
      <c r="L130" s="360" t="e">
        <f>VLOOKUP(U130&amp;K130,'Reference Records'!H$252:I425,2,0)</f>
        <v>#N/A</v>
      </c>
      <c r="M130" s="360" t="e">
        <f>MATCH($L130,'Reference Records'!$E$507:$E$509,0)+ROW(Population_by_intervention) -1</f>
        <v>#N/A</v>
      </c>
      <c r="N130" s="360" t="e">
        <f>MATCH($L130,'Reference Records'!$E$507:$E$509,1)+ROW(Population_by_intervention) -1</f>
        <v>#N/A</v>
      </c>
      <c r="O130" s="360" t="str">
        <f>IFERROR(VLOOKUP(AA130,'Reference Records'!B513:C515,2,0),"")</f>
        <v/>
      </c>
      <c r="P130" s="360"/>
      <c r="Q130" s="361"/>
      <c r="R130" s="362"/>
      <c r="S130" s="360"/>
      <c r="T130" s="363"/>
      <c r="U130" s="364" t="str">
        <f>IFERROR(IF(VLOOKUP(E130,'Reference Records'!$C$192:$D$250,2,FALSE)=0,"",VLOOKUP(E130,'Reference Records'!$C$192:$D$250,2,FALSE)),"")</f>
        <v/>
      </c>
      <c r="V130" s="350"/>
      <c r="W130" s="365" t="str">
        <f t="shared" si="16"/>
        <v/>
      </c>
      <c r="X130" s="365" t="str">
        <f t="shared" si="17"/>
        <v>a1PDm000000LZBmMAO</v>
      </c>
      <c r="Y130" s="365" t="b">
        <f t="shared" si="18"/>
        <v>0</v>
      </c>
      <c r="Z130" s="365" t="b">
        <f t="shared" si="19"/>
        <v>1</v>
      </c>
      <c r="AA130" s="365" t="str">
        <f>IFERROR(VLOOKUP(L130,'Reference Records'!B$252:E425,4,0),"")</f>
        <v/>
      </c>
      <c r="AB130" s="365" t="s">
        <v>487</v>
      </c>
      <c r="AC130" s="353" t="e">
        <f t="shared" si="20"/>
        <v>#N/A</v>
      </c>
      <c r="AD130" s="353" t="str">
        <f t="shared" si="21"/>
        <v/>
      </c>
      <c r="AE130" s="353" t="str">
        <f t="array" ref="AE130">IFERROR(IF(INDEX($W$124:$W$175, MATCH(0, IF(AD130=$E$124:$E$175, COUNTIF($AE$123:$AE129, $W$124:$W$175), ""), 0))=0,"",INDEX($W$124:$W$175, MATCH(0, IF(AD130=$E$124:$E$175, COUNTIF($AE$123:$AE129, $W$124:$W$175), ""), 0))),"")</f>
        <v/>
      </c>
      <c r="AF130" s="353" t="str">
        <f t="shared" si="22"/>
        <v>|empty|</v>
      </c>
      <c r="AG130" s="353" t="str">
        <f t="shared" si="23"/>
        <v>INT-341511</v>
      </c>
      <c r="AH130" s="353" t="str">
        <f t="shared" si="24"/>
        <v>a1PDm000000LZBmMAOa16</v>
      </c>
      <c r="AI130" s="353">
        <f>IF(COUNTIF($AH$124:AH181,"&lt;="&amp;AH130)=0,"",COUNTIF($AH$124:AH181,"&lt;="&amp;AH130))</f>
        <v>6</v>
      </c>
      <c r="AJ130" s="353">
        <f>RANK(AI130,AI$124:AI181,1)</f>
        <v>6</v>
      </c>
      <c r="AK130" s="353" t="str">
        <f>INDEX(E$124:E181,MATCH(ROWS(AJ$124:AJ130),AJ$124:AJ181,0))</f>
        <v/>
      </c>
      <c r="AL130" s="353" t="str">
        <f>INDEX(K$124:K181,MATCH(ROWS(AJ$124:AJ130),AJ$124:AJ181,0))</f>
        <v/>
      </c>
      <c r="AM130" s="353">
        <f>INDEX(V$124:V181,MATCH(ROWS(AJ$124:AJ130),AJ$124:AJ181,0))</f>
        <v>0</v>
      </c>
      <c r="AN130" s="353" t="str">
        <f t="shared" si="25"/>
        <v/>
      </c>
      <c r="AO130" s="353" t="e">
        <f t="shared" si="26"/>
        <v>#N/A</v>
      </c>
      <c r="AP130" s="353" t="str">
        <f>Setup!A91</f>
        <v>a16</v>
      </c>
      <c r="AQ130" s="366" t="s">
        <v>488</v>
      </c>
      <c r="AR130" s="316"/>
      <c r="AS130" s="315"/>
    </row>
    <row r="131" spans="1:45" ht="47.1" customHeight="1" x14ac:dyDescent="0.25">
      <c r="A131" s="333">
        <v>7</v>
      </c>
      <c r="B131" s="355" t="str" cm="1">
        <f t="array" ref="B131">IFERROR(INDEX($E$123:$E$175, MATCH(0, COUNTIF($B$123:B130, $E$123:$E$175&amp;"") + IF($E$123:$E$175="",1,0),0)),"")</f>
        <v/>
      </c>
      <c r="C131" s="356"/>
      <c r="D131" s="357"/>
      <c r="E131" s="358" t="str">
        <f>IFERROR(IF(AND(K131="",T131=""),"",(VLOOKUP(Q131,'Reference records(soft deleted)'!$B$86:$D$137,3,FALSE))),"")</f>
        <v/>
      </c>
      <c r="F131" s="359" t="str">
        <f t="shared" si="15"/>
        <v>INT-341512</v>
      </c>
      <c r="G131" s="360"/>
      <c r="H131" s="360"/>
      <c r="I131" s="360"/>
      <c r="J131" s="360"/>
      <c r="K131" s="358" t="str">
        <f>IFERROR(VLOOKUP(R131,'Reference Records'!B$252:C426,2,0),"")</f>
        <v/>
      </c>
      <c r="L131" s="360" t="e">
        <f>VLOOKUP(U131&amp;K131,'Reference Records'!H$252:I426,2,0)</f>
        <v>#N/A</v>
      </c>
      <c r="M131" s="360" t="e">
        <f>MATCH($L131,'Reference Records'!$E$507:$E$509,0)+ROW(Population_by_intervention) -1</f>
        <v>#N/A</v>
      </c>
      <c r="N131" s="360" t="e">
        <f>MATCH($L131,'Reference Records'!$E$507:$E$509,1)+ROW(Population_by_intervention) -1</f>
        <v>#N/A</v>
      </c>
      <c r="O131" s="360" t="str">
        <f>IFERROR(VLOOKUP(AA131,'Reference Records'!B514:C516,2,0),"")</f>
        <v/>
      </c>
      <c r="P131" s="360"/>
      <c r="Q131" s="361"/>
      <c r="R131" s="362"/>
      <c r="S131" s="360"/>
      <c r="T131" s="363"/>
      <c r="U131" s="364" t="str">
        <f>IFERROR(IF(VLOOKUP(E131,'Reference Records'!$C$192:$D$250,2,FALSE)=0,"",VLOOKUP(E131,'Reference Records'!$C$192:$D$250,2,FALSE)),"")</f>
        <v/>
      </c>
      <c r="V131" s="350"/>
      <c r="W131" s="365" t="str">
        <f t="shared" si="16"/>
        <v/>
      </c>
      <c r="X131" s="365" t="str">
        <f t="shared" si="17"/>
        <v>a1PDm000000LZBmMAO</v>
      </c>
      <c r="Y131" s="365" t="b">
        <f t="shared" si="18"/>
        <v>0</v>
      </c>
      <c r="Z131" s="365" t="b">
        <f t="shared" si="19"/>
        <v>1</v>
      </c>
      <c r="AA131" s="365" t="str">
        <f>IFERROR(VLOOKUP(L131,'Reference Records'!B$252:E426,4,0),"")</f>
        <v/>
      </c>
      <c r="AB131" s="365" t="s">
        <v>489</v>
      </c>
      <c r="AC131" s="353" t="e">
        <f t="shared" si="20"/>
        <v>#N/A</v>
      </c>
      <c r="AD131" s="353" t="str">
        <f t="shared" si="21"/>
        <v/>
      </c>
      <c r="AE131" s="353" t="str">
        <f t="array" ref="AE131">IFERROR(IF(INDEX($W$124:$W$175, MATCH(0, IF(AD131=$E$124:$E$175, COUNTIF($AE$123:$AE130, $W$124:$W$175), ""), 0))=0,"",INDEX($W$124:$W$175, MATCH(0, IF(AD131=$E$124:$E$175, COUNTIF($AE$123:$AE130, $W$124:$W$175), ""), 0))),"")</f>
        <v/>
      </c>
      <c r="AF131" s="353" t="str">
        <f t="shared" si="22"/>
        <v>|empty|</v>
      </c>
      <c r="AG131" s="353" t="str">
        <f t="shared" si="23"/>
        <v>INT-341512</v>
      </c>
      <c r="AH131" s="353" t="str">
        <f t="shared" si="24"/>
        <v>a1PDm000000LZBmMAOa17</v>
      </c>
      <c r="AI131" s="353">
        <f>IF(COUNTIF($AH$124:AH182,"&lt;="&amp;AH131)=0,"",COUNTIF($AH$124:AH182,"&lt;="&amp;AH131))</f>
        <v>7</v>
      </c>
      <c r="AJ131" s="353">
        <f>RANK(AI131,AI$124:AI182,1)</f>
        <v>7</v>
      </c>
      <c r="AK131" s="353" t="str">
        <f>INDEX(E$124:E182,MATCH(ROWS(AJ$124:AJ131),AJ$124:AJ182,0))</f>
        <v/>
      </c>
      <c r="AL131" s="353" t="str">
        <f>INDEX(K$124:K182,MATCH(ROWS(AJ$124:AJ131),AJ$124:AJ182,0))</f>
        <v/>
      </c>
      <c r="AM131" s="353">
        <f>INDEX(V$124:V182,MATCH(ROWS(AJ$124:AJ131),AJ$124:AJ182,0))</f>
        <v>0</v>
      </c>
      <c r="AN131" s="353" t="str">
        <f t="shared" si="25"/>
        <v/>
      </c>
      <c r="AO131" s="353" t="e">
        <f t="shared" si="26"/>
        <v>#N/A</v>
      </c>
      <c r="AP131" s="353" t="str">
        <f>Setup!A92</f>
        <v>a17</v>
      </c>
      <c r="AQ131" s="366" t="s">
        <v>490</v>
      </c>
      <c r="AR131" s="316"/>
      <c r="AS131" s="315"/>
    </row>
    <row r="132" spans="1:45" ht="47.1" customHeight="1" x14ac:dyDescent="0.25">
      <c r="A132" s="333">
        <v>8</v>
      </c>
      <c r="B132" s="355" t="str" cm="1">
        <f t="array" ref="B132">IFERROR(INDEX($E$123:$E$175, MATCH(0, COUNTIF($B$123:B131, $E$123:$E$175&amp;"") + IF($E$123:$E$175="",1,0),0)),"")</f>
        <v/>
      </c>
      <c r="C132" s="356"/>
      <c r="D132" s="357"/>
      <c r="E132" s="358" t="str">
        <f>IFERROR(IF(AND(K132="",T132=""),"",(VLOOKUP(Q132,'Reference records(soft deleted)'!$B$86:$D$137,3,FALSE))),"")</f>
        <v/>
      </c>
      <c r="F132" s="359" t="str">
        <f t="shared" si="15"/>
        <v>INT-341513</v>
      </c>
      <c r="G132" s="360"/>
      <c r="H132" s="360"/>
      <c r="I132" s="360"/>
      <c r="J132" s="360"/>
      <c r="K132" s="358" t="str">
        <f>IFERROR(VLOOKUP(R132,'Reference Records'!B$252:C427,2,0),"")</f>
        <v/>
      </c>
      <c r="L132" s="360" t="e">
        <f>VLOOKUP(U132&amp;K132,'Reference Records'!H$252:I427,2,0)</f>
        <v>#N/A</v>
      </c>
      <c r="M132" s="360" t="e">
        <f>MATCH($L132,'Reference Records'!$E$507:$E$509,0)+ROW(Population_by_intervention) -1</f>
        <v>#N/A</v>
      </c>
      <c r="N132" s="360" t="e">
        <f>MATCH($L132,'Reference Records'!$E$507:$E$509,1)+ROW(Population_by_intervention) -1</f>
        <v>#N/A</v>
      </c>
      <c r="O132" s="360" t="str">
        <f>IFERROR(VLOOKUP(AA132,'Reference Records'!B515:C517,2,0),"")</f>
        <v/>
      </c>
      <c r="P132" s="360"/>
      <c r="Q132" s="361"/>
      <c r="R132" s="362"/>
      <c r="S132" s="360"/>
      <c r="T132" s="363"/>
      <c r="U132" s="364" t="str">
        <f>IFERROR(IF(VLOOKUP(E132,'Reference Records'!$C$192:$D$250,2,FALSE)=0,"",VLOOKUP(E132,'Reference Records'!$C$192:$D$250,2,FALSE)),"")</f>
        <v/>
      </c>
      <c r="V132" s="350"/>
      <c r="W132" s="365" t="str">
        <f t="shared" si="16"/>
        <v/>
      </c>
      <c r="X132" s="365" t="str">
        <f t="shared" si="17"/>
        <v>a1PDm000000LZBmMAO</v>
      </c>
      <c r="Y132" s="365" t="b">
        <f t="shared" si="18"/>
        <v>0</v>
      </c>
      <c r="Z132" s="365" t="b">
        <f t="shared" si="19"/>
        <v>1</v>
      </c>
      <c r="AA132" s="365" t="str">
        <f>IFERROR(VLOOKUP(L132,'Reference Records'!B$252:E427,4,0),"")</f>
        <v/>
      </c>
      <c r="AB132" s="365" t="s">
        <v>491</v>
      </c>
      <c r="AC132" s="353" t="e">
        <f t="shared" si="20"/>
        <v>#N/A</v>
      </c>
      <c r="AD132" s="353" t="str">
        <f t="shared" si="21"/>
        <v/>
      </c>
      <c r="AE132" s="353" t="str">
        <f t="array" ref="AE132">IFERROR(IF(INDEX($W$124:$W$175, MATCH(0, IF(AD132=$E$124:$E$175, COUNTIF($AE$123:$AE131, $W$124:$W$175), ""), 0))=0,"",INDEX($W$124:$W$175, MATCH(0, IF(AD132=$E$124:$E$175, COUNTIF($AE$123:$AE131, $W$124:$W$175), ""), 0))),"")</f>
        <v/>
      </c>
      <c r="AF132" s="353" t="str">
        <f t="shared" si="22"/>
        <v>|empty|</v>
      </c>
      <c r="AG132" s="353" t="str">
        <f t="shared" si="23"/>
        <v>INT-341513</v>
      </c>
      <c r="AH132" s="353" t="str">
        <f t="shared" si="24"/>
        <v>a1PDm000000LZBmMAOa18</v>
      </c>
      <c r="AI132" s="353">
        <f>IF(COUNTIF($AH$124:AH183,"&lt;="&amp;AH132)=0,"",COUNTIF($AH$124:AH183,"&lt;="&amp;AH132))</f>
        <v>8</v>
      </c>
      <c r="AJ132" s="353">
        <f>RANK(AI132,AI$124:AI183,1)</f>
        <v>8</v>
      </c>
      <c r="AK132" s="353" t="str">
        <f>INDEX(E$124:E183,MATCH(ROWS(AJ$124:AJ132),AJ$124:AJ183,0))</f>
        <v/>
      </c>
      <c r="AL132" s="353" t="str">
        <f>INDEX(K$124:K183,MATCH(ROWS(AJ$124:AJ132),AJ$124:AJ183,0))</f>
        <v/>
      </c>
      <c r="AM132" s="353">
        <f>INDEX(V$124:V183,MATCH(ROWS(AJ$124:AJ132),AJ$124:AJ183,0))</f>
        <v>0</v>
      </c>
      <c r="AN132" s="353" t="str">
        <f t="shared" si="25"/>
        <v/>
      </c>
      <c r="AO132" s="353" t="e">
        <f t="shared" si="26"/>
        <v>#N/A</v>
      </c>
      <c r="AP132" s="353" t="str">
        <f>Setup!A93</f>
        <v>a18</v>
      </c>
      <c r="AQ132" s="366" t="s">
        <v>492</v>
      </c>
      <c r="AR132" s="316"/>
      <c r="AS132" s="315"/>
    </row>
    <row r="133" spans="1:45" ht="47.1" customHeight="1" x14ac:dyDescent="0.25">
      <c r="A133" s="333">
        <v>9</v>
      </c>
      <c r="B133" s="355" t="str" cm="1">
        <f t="array" ref="B133">IFERROR(INDEX($E$123:$E$175, MATCH(0, COUNTIF($B$123:B132, $E$123:$E$175&amp;"") + IF($E$123:$E$175="",1,0),0)),"")</f>
        <v/>
      </c>
      <c r="C133" s="356"/>
      <c r="D133" s="357"/>
      <c r="E133" s="358" t="str">
        <f>IFERROR(IF(AND(K133="",T133=""),"",(VLOOKUP(Q133,'Reference records(soft deleted)'!$B$86:$D$137,3,FALSE))),"")</f>
        <v/>
      </c>
      <c r="F133" s="359" t="str">
        <f t="shared" si="15"/>
        <v>INT-341514</v>
      </c>
      <c r="G133" s="360"/>
      <c r="H133" s="360"/>
      <c r="I133" s="360"/>
      <c r="J133" s="360"/>
      <c r="K133" s="358" t="str">
        <f>IFERROR(VLOOKUP(R133,'Reference Records'!B$252:C428,2,0),"")</f>
        <v/>
      </c>
      <c r="L133" s="360" t="e">
        <f>VLOOKUP(U133&amp;K133,'Reference Records'!H$252:I428,2,0)</f>
        <v>#N/A</v>
      </c>
      <c r="M133" s="360" t="e">
        <f>MATCH($L133,'Reference Records'!$E$507:$E$509,0)+ROW(Population_by_intervention) -1</f>
        <v>#N/A</v>
      </c>
      <c r="N133" s="360" t="e">
        <f>MATCH($L133,'Reference Records'!$E$507:$E$509,1)+ROW(Population_by_intervention) -1</f>
        <v>#N/A</v>
      </c>
      <c r="O133" s="360" t="str">
        <f>IFERROR(VLOOKUP(AA133,'Reference Records'!B516:C518,2,0),"")</f>
        <v/>
      </c>
      <c r="P133" s="360"/>
      <c r="Q133" s="361"/>
      <c r="R133" s="362"/>
      <c r="S133" s="360"/>
      <c r="T133" s="363"/>
      <c r="U133" s="364" t="str">
        <f>IFERROR(IF(VLOOKUP(E133,'Reference Records'!$C$192:$D$250,2,FALSE)=0,"",VLOOKUP(E133,'Reference Records'!$C$192:$D$250,2,FALSE)),"")</f>
        <v/>
      </c>
      <c r="V133" s="350"/>
      <c r="W133" s="365" t="str">
        <f t="shared" si="16"/>
        <v/>
      </c>
      <c r="X133" s="365" t="str">
        <f t="shared" si="17"/>
        <v>a1PDm000000LZBmMAO</v>
      </c>
      <c r="Y133" s="365" t="b">
        <f t="shared" si="18"/>
        <v>0</v>
      </c>
      <c r="Z133" s="365" t="b">
        <f t="shared" si="19"/>
        <v>1</v>
      </c>
      <c r="AA133" s="365" t="str">
        <f>IFERROR(VLOOKUP(L133,'Reference Records'!B$252:E428,4,0),"")</f>
        <v/>
      </c>
      <c r="AB133" s="365" t="s">
        <v>493</v>
      </c>
      <c r="AC133" s="353" t="e">
        <f t="shared" si="20"/>
        <v>#N/A</v>
      </c>
      <c r="AD133" s="353" t="str">
        <f t="shared" si="21"/>
        <v/>
      </c>
      <c r="AE133" s="353" t="str">
        <f t="array" ref="AE133">IFERROR(IF(INDEX($W$124:$W$175, MATCH(0, IF(AD133=$E$124:$E$175, COUNTIF($AE$123:$AE132, $W$124:$W$175), ""), 0))=0,"",INDEX($W$124:$W$175, MATCH(0, IF(AD133=$E$124:$E$175, COUNTIF($AE$123:$AE132, $W$124:$W$175), ""), 0))),"")</f>
        <v/>
      </c>
      <c r="AF133" s="353" t="str">
        <f t="shared" si="22"/>
        <v>|empty|</v>
      </c>
      <c r="AG133" s="353" t="str">
        <f t="shared" si="23"/>
        <v>INT-341514</v>
      </c>
      <c r="AH133" s="353" t="str">
        <f t="shared" si="24"/>
        <v>a1PDm000000LZBmMAOa19</v>
      </c>
      <c r="AI133" s="353">
        <f>IF(COUNTIF($AH$124:AH184,"&lt;="&amp;AH133)=0,"",COUNTIF($AH$124:AH184,"&lt;="&amp;AH133))</f>
        <v>9</v>
      </c>
      <c r="AJ133" s="353">
        <f>RANK(AI133,AI$124:AI184,1)</f>
        <v>9</v>
      </c>
      <c r="AK133" s="353" t="str">
        <f>INDEX(E$124:E184,MATCH(ROWS(AJ$124:AJ133),AJ$124:AJ184,0))</f>
        <v/>
      </c>
      <c r="AL133" s="353" t="str">
        <f>INDEX(K$124:K184,MATCH(ROWS(AJ$124:AJ133),AJ$124:AJ184,0))</f>
        <v/>
      </c>
      <c r="AM133" s="353">
        <f>INDEX(V$124:V184,MATCH(ROWS(AJ$124:AJ133),AJ$124:AJ184,0))</f>
        <v>0</v>
      </c>
      <c r="AN133" s="353" t="str">
        <f t="shared" si="25"/>
        <v/>
      </c>
      <c r="AO133" s="353" t="e">
        <f t="shared" si="26"/>
        <v>#N/A</v>
      </c>
      <c r="AP133" s="353" t="str">
        <f>Setup!A94</f>
        <v>a19</v>
      </c>
      <c r="AQ133" s="366" t="s">
        <v>494</v>
      </c>
      <c r="AR133" s="316"/>
      <c r="AS133" s="315"/>
    </row>
    <row r="134" spans="1:45" ht="47.1" customHeight="1" x14ac:dyDescent="0.25">
      <c r="A134" s="333">
        <v>10</v>
      </c>
      <c r="B134" s="355" t="str" cm="1">
        <f t="array" ref="B134">IFERROR(INDEX($E$123:$E$175, MATCH(0, COUNTIF($B$123:B133, $E$123:$E$175&amp;"") + IF($E$123:$E$175="",1,0),0)),"")</f>
        <v/>
      </c>
      <c r="C134" s="356"/>
      <c r="D134" s="357"/>
      <c r="E134" s="358" t="str">
        <f>IFERROR(IF(AND(K134="",T134=""),"",(VLOOKUP(Q134,'Reference records(soft deleted)'!$B$86:$D$137,3,FALSE))),"")</f>
        <v/>
      </c>
      <c r="F134" s="359" t="str">
        <f t="shared" si="15"/>
        <v>INT-341515</v>
      </c>
      <c r="G134" s="360"/>
      <c r="H134" s="360"/>
      <c r="I134" s="360"/>
      <c r="J134" s="360"/>
      <c r="K134" s="358" t="str">
        <f>IFERROR(VLOOKUP(R134,'Reference Records'!B$252:C429,2,0),"")</f>
        <v/>
      </c>
      <c r="L134" s="360" t="e">
        <f>VLOOKUP(U134&amp;K134,'Reference Records'!H$252:I429,2,0)</f>
        <v>#N/A</v>
      </c>
      <c r="M134" s="360" t="e">
        <f>MATCH($L134,'Reference Records'!$E$507:$E$509,0)+ROW(Population_by_intervention) -1</f>
        <v>#N/A</v>
      </c>
      <c r="N134" s="360" t="e">
        <f>MATCH($L134,'Reference Records'!$E$507:$E$509,1)+ROW(Population_by_intervention) -1</f>
        <v>#N/A</v>
      </c>
      <c r="O134" s="360" t="str">
        <f>IFERROR(VLOOKUP(AA134,'Reference Records'!B517:C519,2,0),"")</f>
        <v/>
      </c>
      <c r="P134" s="360"/>
      <c r="Q134" s="361"/>
      <c r="R134" s="362"/>
      <c r="S134" s="360"/>
      <c r="T134" s="363"/>
      <c r="U134" s="364" t="str">
        <f>IFERROR(IF(VLOOKUP(E134,'Reference Records'!$C$192:$D$250,2,FALSE)=0,"",VLOOKUP(E134,'Reference Records'!$C$192:$D$250,2,FALSE)),"")</f>
        <v/>
      </c>
      <c r="V134" s="350"/>
      <c r="W134" s="365" t="str">
        <f t="shared" si="16"/>
        <v/>
      </c>
      <c r="X134" s="365" t="str">
        <f t="shared" si="17"/>
        <v>a1PDm000000LZBmMAO</v>
      </c>
      <c r="Y134" s="365" t="b">
        <f t="shared" si="18"/>
        <v>0</v>
      </c>
      <c r="Z134" s="365" t="b">
        <f t="shared" si="19"/>
        <v>1</v>
      </c>
      <c r="AA134" s="365" t="str">
        <f>IFERROR(VLOOKUP(L134,'Reference Records'!B$252:E429,4,0),"")</f>
        <v/>
      </c>
      <c r="AB134" s="365" t="s">
        <v>495</v>
      </c>
      <c r="AC134" s="353" t="e">
        <f t="shared" si="20"/>
        <v>#N/A</v>
      </c>
      <c r="AD134" s="353" t="str">
        <f t="shared" si="21"/>
        <v/>
      </c>
      <c r="AE134" s="353" t="str">
        <f t="array" ref="AE134">IFERROR(IF(INDEX($W$124:$W$175, MATCH(0, IF(AD134=$E$124:$E$175, COUNTIF($AE$123:$AE133, $W$124:$W$175), ""), 0))=0,"",INDEX($W$124:$W$175, MATCH(0, IF(AD134=$E$124:$E$175, COUNTIF($AE$123:$AE133, $W$124:$W$175), ""), 0))),"")</f>
        <v/>
      </c>
      <c r="AF134" s="353" t="str">
        <f t="shared" si="22"/>
        <v>|empty|</v>
      </c>
      <c r="AG134" s="353" t="str">
        <f t="shared" si="23"/>
        <v>INT-341515</v>
      </c>
      <c r="AH134" s="353" t="str">
        <f t="shared" si="24"/>
        <v>a1PDm000000LZBmMAOa20</v>
      </c>
      <c r="AI134" s="353">
        <f>IF(COUNTIF($AH$124:AH185,"&lt;="&amp;AH134)=0,"",COUNTIF($AH$124:AH185,"&lt;="&amp;AH134))</f>
        <v>10</v>
      </c>
      <c r="AJ134" s="353">
        <f>RANK(AI134,AI$124:AI185,1)</f>
        <v>10</v>
      </c>
      <c r="AK134" s="353" t="str">
        <f>INDEX(E$124:E185,MATCH(ROWS(AJ$124:AJ134),AJ$124:AJ185,0))</f>
        <v/>
      </c>
      <c r="AL134" s="353" t="str">
        <f>INDEX(K$124:K185,MATCH(ROWS(AJ$124:AJ134),AJ$124:AJ185,0))</f>
        <v/>
      </c>
      <c r="AM134" s="353">
        <f>INDEX(V$124:V185,MATCH(ROWS(AJ$124:AJ134),AJ$124:AJ185,0))</f>
        <v>0</v>
      </c>
      <c r="AN134" s="353" t="str">
        <f t="shared" si="25"/>
        <v/>
      </c>
      <c r="AO134" s="353" t="e">
        <f t="shared" si="26"/>
        <v>#N/A</v>
      </c>
      <c r="AP134" s="353" t="str">
        <f>Setup!A95</f>
        <v>a20</v>
      </c>
      <c r="AQ134" s="366" t="s">
        <v>496</v>
      </c>
      <c r="AR134" s="316"/>
      <c r="AS134" s="315"/>
    </row>
    <row r="135" spans="1:45" ht="47.1" customHeight="1" x14ac:dyDescent="0.25">
      <c r="A135" s="333">
        <v>11</v>
      </c>
      <c r="B135" s="355" t="str" cm="1">
        <f t="array" ref="B135">IFERROR(INDEX($E$123:$E$175, MATCH(0, COUNTIF($B$123:B134, $E$123:$E$175&amp;"") + IF($E$123:$E$175="",1,0),0)),"")</f>
        <v/>
      </c>
      <c r="C135" s="356"/>
      <c r="D135" s="357"/>
      <c r="E135" s="358" t="str">
        <f>IFERROR(IF(AND(K135="",T135=""),"",(VLOOKUP(Q135,'Reference records(soft deleted)'!$B$86:$D$137,3,FALSE))),"")</f>
        <v/>
      </c>
      <c r="F135" s="359" t="str">
        <f t="shared" si="15"/>
        <v>INT-341516</v>
      </c>
      <c r="G135" s="360"/>
      <c r="H135" s="360"/>
      <c r="I135" s="360"/>
      <c r="J135" s="360"/>
      <c r="K135" s="358" t="str">
        <f>IFERROR(VLOOKUP(R135,'Reference Records'!B$252:C430,2,0),"")</f>
        <v/>
      </c>
      <c r="L135" s="360" t="e">
        <f>VLOOKUP(U135&amp;K135,'Reference Records'!H$252:I430,2,0)</f>
        <v>#N/A</v>
      </c>
      <c r="M135" s="360" t="e">
        <f>MATCH($L135,'Reference Records'!$E$507:$E$509,0)+ROW(Population_by_intervention) -1</f>
        <v>#N/A</v>
      </c>
      <c r="N135" s="360" t="e">
        <f>MATCH($L135,'Reference Records'!$E$507:$E$509,1)+ROW(Population_by_intervention) -1</f>
        <v>#N/A</v>
      </c>
      <c r="O135" s="360" t="str">
        <f>IFERROR(VLOOKUP(AA135,'Reference Records'!B518:C520,2,0),"")</f>
        <v/>
      </c>
      <c r="P135" s="360"/>
      <c r="Q135" s="361"/>
      <c r="R135" s="362"/>
      <c r="S135" s="360"/>
      <c r="T135" s="363"/>
      <c r="U135" s="364" t="str">
        <f>IFERROR(IF(VLOOKUP(E135,'Reference Records'!$C$192:$D$250,2,FALSE)=0,"",VLOOKUP(E135,'Reference Records'!$C$192:$D$250,2,FALSE)),"")</f>
        <v/>
      </c>
      <c r="V135" s="350"/>
      <c r="W135" s="365" t="str">
        <f t="shared" si="16"/>
        <v/>
      </c>
      <c r="X135" s="365" t="str">
        <f t="shared" si="17"/>
        <v>a1PDm000000LZBmMAO</v>
      </c>
      <c r="Y135" s="365" t="b">
        <f t="shared" si="18"/>
        <v>0</v>
      </c>
      <c r="Z135" s="365" t="b">
        <f t="shared" si="19"/>
        <v>1</v>
      </c>
      <c r="AA135" s="365" t="str">
        <f>IFERROR(VLOOKUP(L135,'Reference Records'!B$252:E430,4,0),"")</f>
        <v/>
      </c>
      <c r="AB135" s="365" t="s">
        <v>497</v>
      </c>
      <c r="AC135" s="353" t="e">
        <f t="shared" si="20"/>
        <v>#N/A</v>
      </c>
      <c r="AD135" s="353" t="str">
        <f t="shared" si="21"/>
        <v/>
      </c>
      <c r="AE135" s="353" t="str">
        <f t="array" ref="AE135">IFERROR(IF(INDEX($W$124:$W$175, MATCH(0, IF(AD135=$E$124:$E$175, COUNTIF($AE$123:$AE134, $W$124:$W$175), ""), 0))=0,"",INDEX($W$124:$W$175, MATCH(0, IF(AD135=$E$124:$E$175, COUNTIF($AE$123:$AE134, $W$124:$W$175), ""), 0))),"")</f>
        <v/>
      </c>
      <c r="AF135" s="353" t="str">
        <f t="shared" si="22"/>
        <v>|empty|</v>
      </c>
      <c r="AG135" s="353" t="str">
        <f t="shared" si="23"/>
        <v>INT-341516</v>
      </c>
      <c r="AH135" s="353" t="str">
        <f t="shared" si="24"/>
        <v>a1PDm000000LZBmMAOa21</v>
      </c>
      <c r="AI135" s="353">
        <f>IF(COUNTIF($AH$124:AH186,"&lt;="&amp;AH135)=0,"",COUNTIF($AH$124:AH186,"&lt;="&amp;AH135))</f>
        <v>11</v>
      </c>
      <c r="AJ135" s="353">
        <f>RANK(AI135,AI$124:AI186,1)</f>
        <v>11</v>
      </c>
      <c r="AK135" s="353" t="str">
        <f>INDEX(E$124:E186,MATCH(ROWS(AJ$124:AJ135),AJ$124:AJ186,0))</f>
        <v/>
      </c>
      <c r="AL135" s="353" t="str">
        <f>INDEX(K$124:K186,MATCH(ROWS(AJ$124:AJ135),AJ$124:AJ186,0))</f>
        <v/>
      </c>
      <c r="AM135" s="353">
        <f>INDEX(V$124:V186,MATCH(ROWS(AJ$124:AJ135),AJ$124:AJ186,0))</f>
        <v>0</v>
      </c>
      <c r="AN135" s="353" t="str">
        <f t="shared" si="25"/>
        <v/>
      </c>
      <c r="AO135" s="353" t="e">
        <f t="shared" si="26"/>
        <v>#N/A</v>
      </c>
      <c r="AP135" s="353" t="str">
        <f>Setup!A96</f>
        <v>a21</v>
      </c>
      <c r="AQ135" s="366" t="s">
        <v>498</v>
      </c>
      <c r="AR135" s="316"/>
      <c r="AS135" s="315"/>
    </row>
    <row r="136" spans="1:45" ht="47.1" customHeight="1" x14ac:dyDescent="0.25">
      <c r="A136" s="333">
        <v>12</v>
      </c>
      <c r="B136" s="355" t="str" cm="1">
        <f t="array" ref="B136">IFERROR(INDEX($E$123:$E$175, MATCH(0, COUNTIF($B$123:B135, $E$123:$E$175&amp;"") + IF($E$123:$E$175="",1,0),0)),"")</f>
        <v/>
      </c>
      <c r="C136" s="356"/>
      <c r="D136" s="357"/>
      <c r="E136" s="358" t="str">
        <f>IFERROR(IF(AND(K136="",T136=""),"",(VLOOKUP(Q136,'Reference records(soft deleted)'!$B$86:$D$137,3,FALSE))),"")</f>
        <v/>
      </c>
      <c r="F136" s="359" t="str">
        <f t="shared" si="15"/>
        <v>INT-341517</v>
      </c>
      <c r="G136" s="360"/>
      <c r="H136" s="360"/>
      <c r="I136" s="360"/>
      <c r="J136" s="360"/>
      <c r="K136" s="358" t="str">
        <f>IFERROR(VLOOKUP(R136,'Reference Records'!B$252:C431,2,0),"")</f>
        <v/>
      </c>
      <c r="L136" s="360" t="e">
        <f>VLOOKUP(U136&amp;K136,'Reference Records'!H$252:I431,2,0)</f>
        <v>#N/A</v>
      </c>
      <c r="M136" s="360" t="e">
        <f>MATCH($L136,'Reference Records'!$E$507:$E$509,0)+ROW(Population_by_intervention) -1</f>
        <v>#N/A</v>
      </c>
      <c r="N136" s="360" t="e">
        <f>MATCH($L136,'Reference Records'!$E$507:$E$509,1)+ROW(Population_by_intervention) -1</f>
        <v>#N/A</v>
      </c>
      <c r="O136" s="360" t="str">
        <f>IFERROR(VLOOKUP(AA136,'Reference Records'!B519:C521,2,0),"")</f>
        <v/>
      </c>
      <c r="P136" s="360"/>
      <c r="Q136" s="361"/>
      <c r="R136" s="362"/>
      <c r="S136" s="360"/>
      <c r="T136" s="363"/>
      <c r="U136" s="364" t="str">
        <f>IFERROR(IF(VLOOKUP(E136,'Reference Records'!$C$192:$D$250,2,FALSE)=0,"",VLOOKUP(E136,'Reference Records'!$C$192:$D$250,2,FALSE)),"")</f>
        <v/>
      </c>
      <c r="V136" s="350"/>
      <c r="W136" s="365" t="str">
        <f t="shared" si="16"/>
        <v/>
      </c>
      <c r="X136" s="365" t="str">
        <f t="shared" si="17"/>
        <v>a1PDm000000LZBmMAO</v>
      </c>
      <c r="Y136" s="365" t="b">
        <f t="shared" si="18"/>
        <v>0</v>
      </c>
      <c r="Z136" s="365" t="b">
        <f t="shared" si="19"/>
        <v>1</v>
      </c>
      <c r="AA136" s="365" t="str">
        <f>IFERROR(VLOOKUP(L136,'Reference Records'!B$252:E431,4,0),"")</f>
        <v/>
      </c>
      <c r="AB136" s="365" t="s">
        <v>499</v>
      </c>
      <c r="AC136" s="353" t="e">
        <f t="shared" si="20"/>
        <v>#N/A</v>
      </c>
      <c r="AD136" s="353" t="str">
        <f t="shared" si="21"/>
        <v/>
      </c>
      <c r="AE136" s="353" t="str">
        <f t="array" ref="AE136">IFERROR(IF(INDEX($W$124:$W$175, MATCH(0, IF(AD136=$E$124:$E$175, COUNTIF($AE$123:$AE135, $W$124:$W$175), ""), 0))=0,"",INDEX($W$124:$W$175, MATCH(0, IF(AD136=$E$124:$E$175, COUNTIF($AE$123:$AE135, $W$124:$W$175), ""), 0))),"")</f>
        <v/>
      </c>
      <c r="AF136" s="353" t="str">
        <f t="shared" si="22"/>
        <v>|empty|</v>
      </c>
      <c r="AG136" s="353" t="str">
        <f t="shared" si="23"/>
        <v>INT-341517</v>
      </c>
      <c r="AH136" s="353" t="str">
        <f t="shared" si="24"/>
        <v>a1PDm000000LZBmMAOa22</v>
      </c>
      <c r="AI136" s="353">
        <f>IF(COUNTIF($AH$124:AH187,"&lt;="&amp;AH136)=0,"",COUNTIF($AH$124:AH187,"&lt;="&amp;AH136))</f>
        <v>12</v>
      </c>
      <c r="AJ136" s="353">
        <f>RANK(AI136,AI$124:AI187,1)</f>
        <v>12</v>
      </c>
      <c r="AK136" s="353" t="str">
        <f>INDEX(E$124:E187,MATCH(ROWS(AJ$124:AJ136),AJ$124:AJ187,0))</f>
        <v/>
      </c>
      <c r="AL136" s="353" t="str">
        <f>INDEX(K$124:K187,MATCH(ROWS(AJ$124:AJ136),AJ$124:AJ187,0))</f>
        <v/>
      </c>
      <c r="AM136" s="353">
        <f>INDEX(V$124:V187,MATCH(ROWS(AJ$124:AJ136),AJ$124:AJ187,0))</f>
        <v>0</v>
      </c>
      <c r="AN136" s="353" t="str">
        <f t="shared" si="25"/>
        <v/>
      </c>
      <c r="AO136" s="353" t="e">
        <f t="shared" si="26"/>
        <v>#N/A</v>
      </c>
      <c r="AP136" s="353" t="str">
        <f>Setup!A97</f>
        <v>a22</v>
      </c>
      <c r="AQ136" s="366" t="s">
        <v>500</v>
      </c>
      <c r="AR136" s="316"/>
      <c r="AS136" s="315"/>
    </row>
    <row r="137" spans="1:45" ht="47.1" customHeight="1" x14ac:dyDescent="0.25">
      <c r="A137" s="333">
        <v>13</v>
      </c>
      <c r="B137" s="355" t="str" cm="1">
        <f t="array" ref="B137">IFERROR(INDEX($E$123:$E$175, MATCH(0, COUNTIF($B$123:B136, $E$123:$E$175&amp;"") + IF($E$123:$E$175="",1,0),0)),"")</f>
        <v/>
      </c>
      <c r="C137" s="356"/>
      <c r="D137" s="357"/>
      <c r="E137" s="358" t="str">
        <f>IFERROR(IF(AND(K137="",T137=""),"",(VLOOKUP(Q137,'Reference records(soft deleted)'!$B$86:$D$137,3,FALSE))),"")</f>
        <v/>
      </c>
      <c r="F137" s="359" t="str">
        <f t="shared" si="15"/>
        <v>INT-341518</v>
      </c>
      <c r="G137" s="360"/>
      <c r="H137" s="360"/>
      <c r="I137" s="360"/>
      <c r="J137" s="360"/>
      <c r="K137" s="358" t="str">
        <f>IFERROR(VLOOKUP(R137,'Reference Records'!B$252:C432,2,0),"")</f>
        <v/>
      </c>
      <c r="L137" s="360" t="e">
        <f>VLOOKUP(U137&amp;K137,'Reference Records'!H$252:I432,2,0)</f>
        <v>#N/A</v>
      </c>
      <c r="M137" s="360" t="e">
        <f>MATCH($L137,'Reference Records'!$E$507:$E$509,0)+ROW(Population_by_intervention) -1</f>
        <v>#N/A</v>
      </c>
      <c r="N137" s="360" t="e">
        <f>MATCH($L137,'Reference Records'!$E$507:$E$509,1)+ROW(Population_by_intervention) -1</f>
        <v>#N/A</v>
      </c>
      <c r="O137" s="360" t="str">
        <f>IFERROR(VLOOKUP(AA137,'Reference Records'!B520:C522,2,0),"")</f>
        <v/>
      </c>
      <c r="P137" s="360"/>
      <c r="Q137" s="361"/>
      <c r="R137" s="362"/>
      <c r="S137" s="360"/>
      <c r="T137" s="363"/>
      <c r="U137" s="364" t="str">
        <f>IFERROR(IF(VLOOKUP(E137,'Reference Records'!$C$192:$D$250,2,FALSE)=0,"",VLOOKUP(E137,'Reference Records'!$C$192:$D$250,2,FALSE)),"")</f>
        <v/>
      </c>
      <c r="V137" s="350"/>
      <c r="W137" s="365" t="str">
        <f t="shared" si="16"/>
        <v/>
      </c>
      <c r="X137" s="365" t="str">
        <f t="shared" si="17"/>
        <v>a1PDm000000LZBmMAO</v>
      </c>
      <c r="Y137" s="365" t="b">
        <f t="shared" si="18"/>
        <v>0</v>
      </c>
      <c r="Z137" s="365" t="b">
        <f t="shared" si="19"/>
        <v>1</v>
      </c>
      <c r="AA137" s="365" t="str">
        <f>IFERROR(VLOOKUP(L137,'Reference Records'!B$252:E432,4,0),"")</f>
        <v/>
      </c>
      <c r="AB137" s="365" t="s">
        <v>501</v>
      </c>
      <c r="AC137" s="353" t="e">
        <f t="shared" si="20"/>
        <v>#N/A</v>
      </c>
      <c r="AD137" s="353" t="str">
        <f t="shared" si="21"/>
        <v/>
      </c>
      <c r="AE137" s="353" t="str">
        <f t="array" ref="AE137">IFERROR(IF(INDEX($W$124:$W$175, MATCH(0, IF(AD137=$E$124:$E$175, COUNTIF($AE$123:$AE136, $W$124:$W$175), ""), 0))=0,"",INDEX($W$124:$W$175, MATCH(0, IF(AD137=$E$124:$E$175, COUNTIF($AE$123:$AE136, $W$124:$W$175), ""), 0))),"")</f>
        <v/>
      </c>
      <c r="AF137" s="353" t="str">
        <f t="shared" si="22"/>
        <v>|empty|</v>
      </c>
      <c r="AG137" s="353" t="str">
        <f t="shared" si="23"/>
        <v>INT-341518</v>
      </c>
      <c r="AH137" s="353" t="str">
        <f t="shared" si="24"/>
        <v>a1PDm000000LZBmMAOa23</v>
      </c>
      <c r="AI137" s="353">
        <f>IF(COUNTIF($AH$124:AH188,"&lt;="&amp;AH137)=0,"",COUNTIF($AH$124:AH188,"&lt;="&amp;AH137))</f>
        <v>13</v>
      </c>
      <c r="AJ137" s="353">
        <f>RANK(AI137,AI$124:AI188,1)</f>
        <v>13</v>
      </c>
      <c r="AK137" s="353" t="str">
        <f>INDEX(E$124:E188,MATCH(ROWS(AJ$124:AJ137),AJ$124:AJ188,0))</f>
        <v/>
      </c>
      <c r="AL137" s="353" t="str">
        <f>INDEX(K$124:K188,MATCH(ROWS(AJ$124:AJ137),AJ$124:AJ188,0))</f>
        <v/>
      </c>
      <c r="AM137" s="353">
        <f>INDEX(V$124:V188,MATCH(ROWS(AJ$124:AJ137),AJ$124:AJ188,0))</f>
        <v>0</v>
      </c>
      <c r="AN137" s="353" t="str">
        <f t="shared" si="25"/>
        <v/>
      </c>
      <c r="AO137" s="353" t="e">
        <f t="shared" si="26"/>
        <v>#N/A</v>
      </c>
      <c r="AP137" s="353" t="str">
        <f>Setup!A98</f>
        <v>a23</v>
      </c>
      <c r="AQ137" s="366" t="s">
        <v>502</v>
      </c>
      <c r="AR137" s="316"/>
      <c r="AS137" s="315"/>
    </row>
    <row r="138" spans="1:45" ht="47.1" customHeight="1" x14ac:dyDescent="0.25">
      <c r="A138" s="333">
        <v>14</v>
      </c>
      <c r="B138" s="355" t="str" cm="1">
        <f t="array" ref="B138">IFERROR(INDEX($E$123:$E$175, MATCH(0, COUNTIF($B$123:B137, $E$123:$E$175&amp;"") + IF($E$123:$E$175="",1,0),0)),"")</f>
        <v/>
      </c>
      <c r="C138" s="356"/>
      <c r="D138" s="357"/>
      <c r="E138" s="358" t="str">
        <f>IFERROR(IF(AND(K138="",T138=""),"",(VLOOKUP(Q138,'Reference records(soft deleted)'!$B$86:$D$137,3,FALSE))),"")</f>
        <v/>
      </c>
      <c r="F138" s="359" t="str">
        <f t="shared" si="15"/>
        <v>INT-341519</v>
      </c>
      <c r="G138" s="360"/>
      <c r="H138" s="360"/>
      <c r="I138" s="360"/>
      <c r="J138" s="360"/>
      <c r="K138" s="358" t="str">
        <f>IFERROR(VLOOKUP(R138,'Reference Records'!B$252:C433,2,0),"")</f>
        <v/>
      </c>
      <c r="L138" s="360" t="e">
        <f>VLOOKUP(U138&amp;K138,'Reference Records'!H$252:I433,2,0)</f>
        <v>#N/A</v>
      </c>
      <c r="M138" s="360" t="e">
        <f>MATCH($L138,'Reference Records'!$E$507:$E$509,0)+ROW(Population_by_intervention) -1</f>
        <v>#N/A</v>
      </c>
      <c r="N138" s="360" t="e">
        <f>MATCH($L138,'Reference Records'!$E$507:$E$509,1)+ROW(Population_by_intervention) -1</f>
        <v>#N/A</v>
      </c>
      <c r="O138" s="360" t="str">
        <f>IFERROR(VLOOKUP(AA138,'Reference Records'!B521:C523,2,0),"")</f>
        <v/>
      </c>
      <c r="P138" s="360"/>
      <c r="Q138" s="361"/>
      <c r="R138" s="362"/>
      <c r="S138" s="360"/>
      <c r="T138" s="363"/>
      <c r="U138" s="364" t="str">
        <f>IFERROR(IF(VLOOKUP(E138,'Reference Records'!$C$192:$D$250,2,FALSE)=0,"",VLOOKUP(E138,'Reference Records'!$C$192:$D$250,2,FALSE)),"")</f>
        <v/>
      </c>
      <c r="V138" s="350"/>
      <c r="W138" s="365" t="str">
        <f t="shared" si="16"/>
        <v/>
      </c>
      <c r="X138" s="365" t="str">
        <f t="shared" si="17"/>
        <v>a1PDm000000LZBmMAO</v>
      </c>
      <c r="Y138" s="365" t="b">
        <f t="shared" si="18"/>
        <v>0</v>
      </c>
      <c r="Z138" s="365" t="b">
        <f t="shared" si="19"/>
        <v>1</v>
      </c>
      <c r="AA138" s="365" t="str">
        <f>IFERROR(VLOOKUP(L138,'Reference Records'!B$252:E433,4,0),"")</f>
        <v/>
      </c>
      <c r="AB138" s="365" t="s">
        <v>503</v>
      </c>
      <c r="AC138" s="353" t="e">
        <f t="shared" si="20"/>
        <v>#N/A</v>
      </c>
      <c r="AD138" s="353" t="str">
        <f t="shared" si="21"/>
        <v/>
      </c>
      <c r="AE138" s="353" t="str">
        <f t="array" ref="AE138">IFERROR(IF(INDEX($W$124:$W$175, MATCH(0, IF(AD138=$E$124:$E$175, COUNTIF($AE$123:$AE137, $W$124:$W$175), ""), 0))=0,"",INDEX($W$124:$W$175, MATCH(0, IF(AD138=$E$124:$E$175, COUNTIF($AE$123:$AE137, $W$124:$W$175), ""), 0))),"")</f>
        <v/>
      </c>
      <c r="AF138" s="353" t="str">
        <f t="shared" si="22"/>
        <v>|empty|</v>
      </c>
      <c r="AG138" s="353" t="str">
        <f t="shared" si="23"/>
        <v>INT-341519</v>
      </c>
      <c r="AH138" s="353" t="str">
        <f t="shared" si="24"/>
        <v>a1PDm000000LZBmMAOa24</v>
      </c>
      <c r="AI138" s="353">
        <f>IF(COUNTIF($AH$124:AH189,"&lt;="&amp;AH138)=0,"",COUNTIF($AH$124:AH189,"&lt;="&amp;AH138))</f>
        <v>14</v>
      </c>
      <c r="AJ138" s="353">
        <f>RANK(AI138,AI$124:AI189,1)</f>
        <v>14</v>
      </c>
      <c r="AK138" s="353" t="str">
        <f>INDEX(E$124:E189,MATCH(ROWS(AJ$124:AJ138),AJ$124:AJ189,0))</f>
        <v/>
      </c>
      <c r="AL138" s="353" t="str">
        <f>INDEX(K$124:K189,MATCH(ROWS(AJ$124:AJ138),AJ$124:AJ189,0))</f>
        <v/>
      </c>
      <c r="AM138" s="353">
        <f>INDEX(V$124:V189,MATCH(ROWS(AJ$124:AJ138),AJ$124:AJ189,0))</f>
        <v>0</v>
      </c>
      <c r="AN138" s="353" t="str">
        <f t="shared" si="25"/>
        <v/>
      </c>
      <c r="AO138" s="353" t="e">
        <f t="shared" si="26"/>
        <v>#N/A</v>
      </c>
      <c r="AP138" s="353" t="str">
        <f>Setup!A99</f>
        <v>a24</v>
      </c>
      <c r="AQ138" s="366" t="s">
        <v>504</v>
      </c>
      <c r="AR138" s="316"/>
      <c r="AS138" s="315"/>
    </row>
    <row r="139" spans="1:45" ht="47.1" customHeight="1" x14ac:dyDescent="0.25">
      <c r="A139" s="333">
        <v>15</v>
      </c>
      <c r="B139" s="355" t="str" cm="1">
        <f t="array" ref="B139">IFERROR(INDEX($E$123:$E$175, MATCH(0, COUNTIF($B$123:B138, $E$123:$E$175&amp;"") + IF($E$123:$E$175="",1,0),0)),"")</f>
        <v/>
      </c>
      <c r="C139" s="356"/>
      <c r="D139" s="357"/>
      <c r="E139" s="358" t="str">
        <f>IFERROR(IF(AND(K139="",T139=""),"",(VLOOKUP(Q139,'Reference records(soft deleted)'!$B$86:$D$137,3,FALSE))),"")</f>
        <v/>
      </c>
      <c r="F139" s="359" t="str">
        <f t="shared" si="15"/>
        <v>INT-341520</v>
      </c>
      <c r="G139" s="360"/>
      <c r="H139" s="360"/>
      <c r="I139" s="360"/>
      <c r="J139" s="360"/>
      <c r="K139" s="358" t="str">
        <f>IFERROR(VLOOKUP(R139,'Reference Records'!B$252:C434,2,0),"")</f>
        <v/>
      </c>
      <c r="L139" s="360" t="e">
        <f>VLOOKUP(U139&amp;K139,'Reference Records'!H$252:I434,2,0)</f>
        <v>#N/A</v>
      </c>
      <c r="M139" s="360" t="e">
        <f>MATCH($L139,'Reference Records'!$E$507:$E$509,0)+ROW(Population_by_intervention) -1</f>
        <v>#N/A</v>
      </c>
      <c r="N139" s="360" t="e">
        <f>MATCH($L139,'Reference Records'!$E$507:$E$509,1)+ROW(Population_by_intervention) -1</f>
        <v>#N/A</v>
      </c>
      <c r="O139" s="360" t="str">
        <f>IFERROR(VLOOKUP(AA139,'Reference Records'!B522:C524,2,0),"")</f>
        <v/>
      </c>
      <c r="P139" s="360"/>
      <c r="Q139" s="361"/>
      <c r="R139" s="362"/>
      <c r="S139" s="360"/>
      <c r="T139" s="363"/>
      <c r="U139" s="364" t="str">
        <f>IFERROR(IF(VLOOKUP(E139,'Reference Records'!$C$192:$D$250,2,FALSE)=0,"",VLOOKUP(E139,'Reference Records'!$C$192:$D$250,2,FALSE)),"")</f>
        <v/>
      </c>
      <c r="V139" s="350"/>
      <c r="W139" s="365" t="str">
        <f t="shared" si="16"/>
        <v/>
      </c>
      <c r="X139" s="365" t="str">
        <f t="shared" si="17"/>
        <v>a1PDm000000LZBmMAO</v>
      </c>
      <c r="Y139" s="365" t="b">
        <f t="shared" si="18"/>
        <v>0</v>
      </c>
      <c r="Z139" s="365" t="b">
        <f t="shared" si="19"/>
        <v>1</v>
      </c>
      <c r="AA139" s="365" t="str">
        <f>IFERROR(VLOOKUP(L139,'Reference Records'!B$252:E434,4,0),"")</f>
        <v/>
      </c>
      <c r="AB139" s="365" t="s">
        <v>505</v>
      </c>
      <c r="AC139" s="353" t="e">
        <f t="shared" si="20"/>
        <v>#N/A</v>
      </c>
      <c r="AD139" s="353" t="str">
        <f t="shared" si="21"/>
        <v/>
      </c>
      <c r="AE139" s="353" t="str">
        <f t="array" ref="AE139">IFERROR(IF(INDEX($W$124:$W$175, MATCH(0, IF(AD139=$E$124:$E$175, COUNTIF($AE$123:$AE138, $W$124:$W$175), ""), 0))=0,"",INDEX($W$124:$W$175, MATCH(0, IF(AD139=$E$124:$E$175, COUNTIF($AE$123:$AE138, $W$124:$W$175), ""), 0))),"")</f>
        <v/>
      </c>
      <c r="AF139" s="353" t="str">
        <f t="shared" si="22"/>
        <v>|empty|</v>
      </c>
      <c r="AG139" s="353" t="str">
        <f t="shared" si="23"/>
        <v>INT-341520</v>
      </c>
      <c r="AH139" s="353" t="str">
        <f t="shared" si="24"/>
        <v>a1PDm000000LZBmMAOa25</v>
      </c>
      <c r="AI139" s="353">
        <f>IF(COUNTIF($AH$124:AH190,"&lt;="&amp;AH139)=0,"",COUNTIF($AH$124:AH190,"&lt;="&amp;AH139))</f>
        <v>15</v>
      </c>
      <c r="AJ139" s="353">
        <f>RANK(AI139,AI$124:AI190,1)</f>
        <v>15</v>
      </c>
      <c r="AK139" s="353" t="str">
        <f>INDEX(E$124:E190,MATCH(ROWS(AJ$124:AJ139),AJ$124:AJ190,0))</f>
        <v/>
      </c>
      <c r="AL139" s="353" t="str">
        <f>INDEX(K$124:K190,MATCH(ROWS(AJ$124:AJ139),AJ$124:AJ190,0))</f>
        <v/>
      </c>
      <c r="AM139" s="353">
        <f>INDEX(V$124:V190,MATCH(ROWS(AJ$124:AJ139),AJ$124:AJ190,0))</f>
        <v>0</v>
      </c>
      <c r="AN139" s="353" t="str">
        <f t="shared" si="25"/>
        <v/>
      </c>
      <c r="AO139" s="353" t="e">
        <f t="shared" si="26"/>
        <v>#N/A</v>
      </c>
      <c r="AP139" s="353" t="str">
        <f>Setup!A100</f>
        <v>a25</v>
      </c>
      <c r="AQ139" s="366" t="s">
        <v>506</v>
      </c>
      <c r="AR139" s="316"/>
      <c r="AS139" s="315"/>
    </row>
    <row r="140" spans="1:45" ht="47.1" customHeight="1" x14ac:dyDescent="0.25">
      <c r="A140" s="333">
        <v>16</v>
      </c>
      <c r="B140" s="355" t="str" cm="1">
        <f t="array" ref="B140">IFERROR(INDEX($E$123:$E$175, MATCH(0, COUNTIF($B$123:B139, $E$123:$E$175&amp;"") + IF($E$123:$E$175="",1,0),0)),"")</f>
        <v/>
      </c>
      <c r="C140" s="356"/>
      <c r="D140" s="357"/>
      <c r="E140" s="358" t="str">
        <f>IFERROR(IF(AND(K140="",T140=""),"",(VLOOKUP(Q140,'Reference records(soft deleted)'!$B$86:$D$137,3,FALSE))),"")</f>
        <v/>
      </c>
      <c r="F140" s="359" t="str">
        <f t="shared" si="15"/>
        <v>INT-341521</v>
      </c>
      <c r="G140" s="360"/>
      <c r="H140" s="360"/>
      <c r="I140" s="360"/>
      <c r="J140" s="360"/>
      <c r="K140" s="358" t="str">
        <f>IFERROR(VLOOKUP(R140,'Reference Records'!B$252:C435,2,0),"")</f>
        <v/>
      </c>
      <c r="L140" s="360" t="e">
        <f>VLOOKUP(U140&amp;K140,'Reference Records'!H$252:I435,2,0)</f>
        <v>#N/A</v>
      </c>
      <c r="M140" s="360" t="e">
        <f>MATCH($L140,'Reference Records'!$E$507:$E$509,0)+ROW(Population_by_intervention) -1</f>
        <v>#N/A</v>
      </c>
      <c r="N140" s="360" t="e">
        <f>MATCH($L140,'Reference Records'!$E$507:$E$509,1)+ROW(Population_by_intervention) -1</f>
        <v>#N/A</v>
      </c>
      <c r="O140" s="360" t="str">
        <f>IFERROR(VLOOKUP(AA140,'Reference Records'!B523:C525,2,0),"")</f>
        <v/>
      </c>
      <c r="P140" s="360"/>
      <c r="Q140" s="361"/>
      <c r="R140" s="362"/>
      <c r="S140" s="360"/>
      <c r="T140" s="363"/>
      <c r="U140" s="364" t="str">
        <f>IFERROR(IF(VLOOKUP(E140,'Reference Records'!$C$192:$D$250,2,FALSE)=0,"",VLOOKUP(E140,'Reference Records'!$C$192:$D$250,2,FALSE)),"")</f>
        <v/>
      </c>
      <c r="V140" s="350"/>
      <c r="W140" s="365" t="str">
        <f t="shared" si="16"/>
        <v/>
      </c>
      <c r="X140" s="365" t="str">
        <f t="shared" si="17"/>
        <v>a1PDm000000LZBmMAO</v>
      </c>
      <c r="Y140" s="365" t="b">
        <f t="shared" si="18"/>
        <v>0</v>
      </c>
      <c r="Z140" s="365" t="b">
        <f t="shared" si="19"/>
        <v>1</v>
      </c>
      <c r="AA140" s="365" t="str">
        <f>IFERROR(VLOOKUP(L140,'Reference Records'!B$252:E435,4,0),"")</f>
        <v/>
      </c>
      <c r="AB140" s="365" t="s">
        <v>507</v>
      </c>
      <c r="AC140" s="353" t="e">
        <f t="shared" si="20"/>
        <v>#N/A</v>
      </c>
      <c r="AD140" s="353" t="str">
        <f t="shared" si="21"/>
        <v/>
      </c>
      <c r="AE140" s="353" t="str">
        <f t="array" ref="AE140">IFERROR(IF(INDEX($W$124:$W$175, MATCH(0, IF(AD140=$E$124:$E$175, COUNTIF($AE$123:$AE139, $W$124:$W$175), ""), 0))=0,"",INDEX($W$124:$W$175, MATCH(0, IF(AD140=$E$124:$E$175, COUNTIF($AE$123:$AE139, $W$124:$W$175), ""), 0))),"")</f>
        <v/>
      </c>
      <c r="AF140" s="353" t="str">
        <f t="shared" si="22"/>
        <v>|empty|</v>
      </c>
      <c r="AG140" s="353" t="str">
        <f t="shared" si="23"/>
        <v>INT-341521</v>
      </c>
      <c r="AH140" s="353" t="str">
        <f t="shared" si="24"/>
        <v>a1PDm000000LZBmMAOa26</v>
      </c>
      <c r="AI140" s="353">
        <f>IF(COUNTIF($AH$124:AH191,"&lt;="&amp;AH140)=0,"",COUNTIF($AH$124:AH191,"&lt;="&amp;AH140))</f>
        <v>16</v>
      </c>
      <c r="AJ140" s="353">
        <f>RANK(AI140,AI$124:AI191,1)</f>
        <v>16</v>
      </c>
      <c r="AK140" s="353" t="str">
        <f>INDEX(E$124:E191,MATCH(ROWS(AJ$124:AJ140),AJ$124:AJ191,0))</f>
        <v/>
      </c>
      <c r="AL140" s="353" t="str">
        <f>INDEX(K$124:K191,MATCH(ROWS(AJ$124:AJ140),AJ$124:AJ191,0))</f>
        <v/>
      </c>
      <c r="AM140" s="353">
        <f>INDEX(V$124:V191,MATCH(ROWS(AJ$124:AJ140),AJ$124:AJ191,0))</f>
        <v>0</v>
      </c>
      <c r="AN140" s="353" t="str">
        <f t="shared" si="25"/>
        <v/>
      </c>
      <c r="AO140" s="353" t="e">
        <f t="shared" si="26"/>
        <v>#N/A</v>
      </c>
      <c r="AP140" s="353" t="str">
        <f>Setup!A101</f>
        <v>a26</v>
      </c>
      <c r="AQ140" s="366" t="s">
        <v>508</v>
      </c>
      <c r="AR140" s="316"/>
      <c r="AS140" s="315"/>
    </row>
    <row r="141" spans="1:45" ht="47.1" customHeight="1" x14ac:dyDescent="0.25">
      <c r="A141" s="333">
        <v>17</v>
      </c>
      <c r="B141" s="355" t="str" cm="1">
        <f t="array" ref="B141">IFERROR(INDEX($E$123:$E$175, MATCH(0, COUNTIF($B$123:B140, $E$123:$E$175&amp;"") + IF($E$123:$E$175="",1,0),0)),"")</f>
        <v/>
      </c>
      <c r="C141" s="356"/>
      <c r="D141" s="357"/>
      <c r="E141" s="358" t="str">
        <f>IFERROR(IF(AND(K141="",T141=""),"",(VLOOKUP(Q141,'Reference records(soft deleted)'!$B$86:$D$137,3,FALSE))),"")</f>
        <v/>
      </c>
      <c r="F141" s="359" t="str">
        <f t="shared" si="15"/>
        <v>INT-341522</v>
      </c>
      <c r="G141" s="360"/>
      <c r="H141" s="360"/>
      <c r="I141" s="360"/>
      <c r="J141" s="360"/>
      <c r="K141" s="358" t="str">
        <f>IFERROR(VLOOKUP(R141,'Reference Records'!B$252:C436,2,0),"")</f>
        <v/>
      </c>
      <c r="L141" s="360" t="e">
        <f>VLOOKUP(U141&amp;K141,'Reference Records'!H$252:I436,2,0)</f>
        <v>#N/A</v>
      </c>
      <c r="M141" s="360" t="e">
        <f>MATCH($L141,'Reference Records'!$E$507:$E$509,0)+ROW(Population_by_intervention) -1</f>
        <v>#N/A</v>
      </c>
      <c r="N141" s="360" t="e">
        <f>MATCH($L141,'Reference Records'!$E$507:$E$509,1)+ROW(Population_by_intervention) -1</f>
        <v>#N/A</v>
      </c>
      <c r="O141" s="360" t="str">
        <f>IFERROR(VLOOKUP(AA141,'Reference Records'!B524:C526,2,0),"")</f>
        <v/>
      </c>
      <c r="P141" s="360"/>
      <c r="Q141" s="361"/>
      <c r="R141" s="362"/>
      <c r="S141" s="360"/>
      <c r="T141" s="363"/>
      <c r="U141" s="364" t="str">
        <f>IFERROR(IF(VLOOKUP(E141,'Reference Records'!$C$192:$D$250,2,FALSE)=0,"",VLOOKUP(E141,'Reference Records'!$C$192:$D$250,2,FALSE)),"")</f>
        <v/>
      </c>
      <c r="V141" s="350"/>
      <c r="W141" s="365" t="str">
        <f t="shared" si="16"/>
        <v/>
      </c>
      <c r="X141" s="365" t="str">
        <f t="shared" si="17"/>
        <v>a1PDm000000LZBmMAO</v>
      </c>
      <c r="Y141" s="365" t="b">
        <f t="shared" si="18"/>
        <v>0</v>
      </c>
      <c r="Z141" s="365" t="b">
        <f t="shared" si="19"/>
        <v>1</v>
      </c>
      <c r="AA141" s="365" t="str">
        <f>IFERROR(VLOOKUP(L141,'Reference Records'!B$252:E436,4,0),"")</f>
        <v/>
      </c>
      <c r="AB141" s="365" t="s">
        <v>509</v>
      </c>
      <c r="AC141" s="353" t="e">
        <f t="shared" si="20"/>
        <v>#N/A</v>
      </c>
      <c r="AD141" s="353" t="str">
        <f t="shared" si="21"/>
        <v/>
      </c>
      <c r="AE141" s="353" t="str">
        <f t="array" ref="AE141">IFERROR(IF(INDEX($W$124:$W$175, MATCH(0, IF(AD141=$E$124:$E$175, COUNTIF($AE$123:$AE140, $W$124:$W$175), ""), 0))=0,"",INDEX($W$124:$W$175, MATCH(0, IF(AD141=$E$124:$E$175, COUNTIF($AE$123:$AE140, $W$124:$W$175), ""), 0))),"")</f>
        <v/>
      </c>
      <c r="AF141" s="353" t="str">
        <f t="shared" si="22"/>
        <v>|empty|</v>
      </c>
      <c r="AG141" s="353" t="str">
        <f t="shared" si="23"/>
        <v>INT-341522</v>
      </c>
      <c r="AH141" s="353" t="str">
        <f t="shared" si="24"/>
        <v>a1PDm000000LZBmMAOa27</v>
      </c>
      <c r="AI141" s="353">
        <f>IF(COUNTIF($AH$124:AH192,"&lt;="&amp;AH141)=0,"",COUNTIF($AH$124:AH192,"&lt;="&amp;AH141))</f>
        <v>17</v>
      </c>
      <c r="AJ141" s="353">
        <f>RANK(AI141,AI$124:AI192,1)</f>
        <v>17</v>
      </c>
      <c r="AK141" s="353" t="str">
        <f>INDEX(E$124:E192,MATCH(ROWS(AJ$124:AJ141),AJ$124:AJ192,0))</f>
        <v/>
      </c>
      <c r="AL141" s="353" t="str">
        <f>INDEX(K$124:K192,MATCH(ROWS(AJ$124:AJ141),AJ$124:AJ192,0))</f>
        <v/>
      </c>
      <c r="AM141" s="353">
        <f>INDEX(V$124:V192,MATCH(ROWS(AJ$124:AJ141),AJ$124:AJ192,0))</f>
        <v>0</v>
      </c>
      <c r="AN141" s="353" t="str">
        <f t="shared" si="25"/>
        <v/>
      </c>
      <c r="AO141" s="353" t="e">
        <f t="shared" si="26"/>
        <v>#N/A</v>
      </c>
      <c r="AP141" s="353" t="str">
        <f>Setup!A102</f>
        <v>a27</v>
      </c>
      <c r="AQ141" s="366" t="s">
        <v>510</v>
      </c>
      <c r="AR141" s="316"/>
      <c r="AS141" s="315"/>
    </row>
    <row r="142" spans="1:45" ht="47.1" customHeight="1" x14ac:dyDescent="0.25">
      <c r="A142" s="333">
        <v>18</v>
      </c>
      <c r="B142" s="355" t="str" cm="1">
        <f t="array" ref="B142">IFERROR(INDEX($E$123:$E$175, MATCH(0, COUNTIF($B$123:B141, $E$123:$E$175&amp;"") + IF($E$123:$E$175="",1,0),0)),"")</f>
        <v/>
      </c>
      <c r="C142" s="356"/>
      <c r="D142" s="357"/>
      <c r="E142" s="358" t="str">
        <f>IFERROR(IF(AND(K142="",T142=""),"",(VLOOKUP(Q142,'Reference records(soft deleted)'!$B$86:$D$137,3,FALSE))),"")</f>
        <v/>
      </c>
      <c r="F142" s="359" t="str">
        <f t="shared" si="15"/>
        <v>INT-341523</v>
      </c>
      <c r="G142" s="360"/>
      <c r="H142" s="360"/>
      <c r="I142" s="360"/>
      <c r="J142" s="360"/>
      <c r="K142" s="358" t="str">
        <f>IFERROR(VLOOKUP(R142,'Reference Records'!B$252:C437,2,0),"")</f>
        <v/>
      </c>
      <c r="L142" s="360" t="e">
        <f>VLOOKUP(U142&amp;K142,'Reference Records'!H$252:I437,2,0)</f>
        <v>#N/A</v>
      </c>
      <c r="M142" s="360" t="e">
        <f>MATCH($L142,'Reference Records'!$E$507:$E$509,0)+ROW(Population_by_intervention) -1</f>
        <v>#N/A</v>
      </c>
      <c r="N142" s="360" t="e">
        <f>MATCH($L142,'Reference Records'!$E$507:$E$509,1)+ROW(Population_by_intervention) -1</f>
        <v>#N/A</v>
      </c>
      <c r="O142" s="360" t="str">
        <f>IFERROR(VLOOKUP(AA142,'Reference Records'!B525:C527,2,0),"")</f>
        <v/>
      </c>
      <c r="P142" s="360"/>
      <c r="Q142" s="361"/>
      <c r="R142" s="362"/>
      <c r="S142" s="360"/>
      <c r="T142" s="363"/>
      <c r="U142" s="364" t="str">
        <f>IFERROR(IF(VLOOKUP(E142,'Reference Records'!$C$192:$D$250,2,FALSE)=0,"",VLOOKUP(E142,'Reference Records'!$C$192:$D$250,2,FALSE)),"")</f>
        <v/>
      </c>
      <c r="V142" s="350"/>
      <c r="W142" s="365" t="str">
        <f t="shared" si="16"/>
        <v/>
      </c>
      <c r="X142" s="365" t="str">
        <f t="shared" si="17"/>
        <v>a1PDm000000LZBmMAO</v>
      </c>
      <c r="Y142" s="365" t="b">
        <f t="shared" si="18"/>
        <v>0</v>
      </c>
      <c r="Z142" s="365" t="b">
        <f t="shared" si="19"/>
        <v>1</v>
      </c>
      <c r="AA142" s="365" t="str">
        <f>IFERROR(VLOOKUP(L142,'Reference Records'!B$252:E437,4,0),"")</f>
        <v/>
      </c>
      <c r="AB142" s="365" t="s">
        <v>511</v>
      </c>
      <c r="AC142" s="353" t="e">
        <f t="shared" si="20"/>
        <v>#N/A</v>
      </c>
      <c r="AD142" s="353" t="str">
        <f t="shared" si="21"/>
        <v/>
      </c>
      <c r="AE142" s="353" t="str">
        <f t="array" ref="AE142">IFERROR(IF(INDEX($W$124:$W$175, MATCH(0, IF(AD142=$E$124:$E$175, COUNTIF($AE$123:$AE141, $W$124:$W$175), ""), 0))=0,"",INDEX($W$124:$W$175, MATCH(0, IF(AD142=$E$124:$E$175, COUNTIF($AE$123:$AE141, $W$124:$W$175), ""), 0))),"")</f>
        <v/>
      </c>
      <c r="AF142" s="353" t="str">
        <f t="shared" si="22"/>
        <v>|empty|</v>
      </c>
      <c r="AG142" s="353" t="str">
        <f t="shared" si="23"/>
        <v>INT-341523</v>
      </c>
      <c r="AH142" s="353" t="str">
        <f t="shared" si="24"/>
        <v>a1PDm000000LZBmMAOa28</v>
      </c>
      <c r="AI142" s="353">
        <f>IF(COUNTIF($AH$124:AH193,"&lt;="&amp;AH142)=0,"",COUNTIF($AH$124:AH193,"&lt;="&amp;AH142))</f>
        <v>18</v>
      </c>
      <c r="AJ142" s="353">
        <f>RANK(AI142,AI$124:AI193,1)</f>
        <v>18</v>
      </c>
      <c r="AK142" s="353" t="str">
        <f>INDEX(E$124:E193,MATCH(ROWS(AJ$124:AJ142),AJ$124:AJ193,0))</f>
        <v/>
      </c>
      <c r="AL142" s="353" t="str">
        <f>INDEX(K$124:K193,MATCH(ROWS(AJ$124:AJ142),AJ$124:AJ193,0))</f>
        <v/>
      </c>
      <c r="AM142" s="353">
        <f>INDEX(V$124:V193,MATCH(ROWS(AJ$124:AJ142),AJ$124:AJ193,0))</f>
        <v>0</v>
      </c>
      <c r="AN142" s="353" t="str">
        <f t="shared" si="25"/>
        <v/>
      </c>
      <c r="AO142" s="353" t="e">
        <f t="shared" si="26"/>
        <v>#N/A</v>
      </c>
      <c r="AP142" s="353" t="str">
        <f>Setup!A103</f>
        <v>a28</v>
      </c>
      <c r="AQ142" s="366" t="s">
        <v>512</v>
      </c>
      <c r="AR142" s="316"/>
      <c r="AS142" s="315"/>
    </row>
    <row r="143" spans="1:45" ht="47.1" customHeight="1" x14ac:dyDescent="0.25">
      <c r="A143" s="333">
        <v>19</v>
      </c>
      <c r="B143" s="355" t="str" cm="1">
        <f t="array" ref="B143">IFERROR(INDEX($E$123:$E$175, MATCH(0, COUNTIF($B$123:B142, $E$123:$E$175&amp;"") + IF($E$123:$E$175="",1,0),0)),"")</f>
        <v/>
      </c>
      <c r="C143" s="356"/>
      <c r="D143" s="357"/>
      <c r="E143" s="358" t="str">
        <f>IFERROR(IF(AND(K143="",T143=""),"",(VLOOKUP(Q143,'Reference records(soft deleted)'!$B$86:$D$137,3,FALSE))),"")</f>
        <v/>
      </c>
      <c r="F143" s="359" t="str">
        <f t="shared" si="15"/>
        <v>INT-341524</v>
      </c>
      <c r="G143" s="360"/>
      <c r="H143" s="360"/>
      <c r="I143" s="360"/>
      <c r="J143" s="360"/>
      <c r="K143" s="358" t="str">
        <f>IFERROR(VLOOKUP(R143,'Reference Records'!B$252:C438,2,0),"")</f>
        <v/>
      </c>
      <c r="L143" s="360" t="e">
        <f>VLOOKUP(U143&amp;K143,'Reference Records'!H$252:I438,2,0)</f>
        <v>#N/A</v>
      </c>
      <c r="M143" s="360" t="e">
        <f>MATCH($L143,'Reference Records'!$E$507:$E$509,0)+ROW(Population_by_intervention) -1</f>
        <v>#N/A</v>
      </c>
      <c r="N143" s="360" t="e">
        <f>MATCH($L143,'Reference Records'!$E$507:$E$509,1)+ROW(Population_by_intervention) -1</f>
        <v>#N/A</v>
      </c>
      <c r="O143" s="360" t="str">
        <f>IFERROR(VLOOKUP(AA143,'Reference Records'!B526:C528,2,0),"")</f>
        <v/>
      </c>
      <c r="P143" s="360"/>
      <c r="Q143" s="361"/>
      <c r="R143" s="362"/>
      <c r="S143" s="360"/>
      <c r="T143" s="363"/>
      <c r="U143" s="364" t="str">
        <f>IFERROR(IF(VLOOKUP(E143,'Reference Records'!$C$192:$D$250,2,FALSE)=0,"",VLOOKUP(E143,'Reference Records'!$C$192:$D$250,2,FALSE)),"")</f>
        <v/>
      </c>
      <c r="V143" s="350"/>
      <c r="W143" s="365" t="str">
        <f t="shared" si="16"/>
        <v/>
      </c>
      <c r="X143" s="365" t="str">
        <f t="shared" si="17"/>
        <v>a1PDm000000LZBmMAO</v>
      </c>
      <c r="Y143" s="365" t="b">
        <f t="shared" si="18"/>
        <v>0</v>
      </c>
      <c r="Z143" s="365" t="b">
        <f t="shared" si="19"/>
        <v>1</v>
      </c>
      <c r="AA143" s="365" t="str">
        <f>IFERROR(VLOOKUP(L143,'Reference Records'!B$252:E438,4,0),"")</f>
        <v/>
      </c>
      <c r="AB143" s="365" t="s">
        <v>513</v>
      </c>
      <c r="AC143" s="353" t="e">
        <f t="shared" si="20"/>
        <v>#N/A</v>
      </c>
      <c r="AD143" s="353" t="str">
        <f t="shared" si="21"/>
        <v/>
      </c>
      <c r="AE143" s="353" t="str">
        <f t="array" ref="AE143">IFERROR(IF(INDEX($W$124:$W$175, MATCH(0, IF(AD143=$E$124:$E$175, COUNTIF($AE$123:$AE142, $W$124:$W$175), ""), 0))=0,"",INDEX($W$124:$W$175, MATCH(0, IF(AD143=$E$124:$E$175, COUNTIF($AE$123:$AE142, $W$124:$W$175), ""), 0))),"")</f>
        <v/>
      </c>
      <c r="AF143" s="353" t="str">
        <f t="shared" si="22"/>
        <v>|empty|</v>
      </c>
      <c r="AG143" s="353" t="str">
        <f t="shared" si="23"/>
        <v>INT-341524</v>
      </c>
      <c r="AH143" s="353" t="str">
        <f t="shared" si="24"/>
        <v>a1PDm000000LZBmMAOa29</v>
      </c>
      <c r="AI143" s="353">
        <f>IF(COUNTIF($AH$124:AH194,"&lt;="&amp;AH143)=0,"",COUNTIF($AH$124:AH194,"&lt;="&amp;AH143))</f>
        <v>19</v>
      </c>
      <c r="AJ143" s="353">
        <f>RANK(AI143,AI$124:AI194,1)</f>
        <v>19</v>
      </c>
      <c r="AK143" s="353" t="str">
        <f>INDEX(E$124:E194,MATCH(ROWS(AJ$124:AJ143),AJ$124:AJ194,0))</f>
        <v/>
      </c>
      <c r="AL143" s="353" t="str">
        <f>INDEX(K$124:K194,MATCH(ROWS(AJ$124:AJ143),AJ$124:AJ194,0))</f>
        <v/>
      </c>
      <c r="AM143" s="353">
        <f>INDEX(V$124:V194,MATCH(ROWS(AJ$124:AJ143),AJ$124:AJ194,0))</f>
        <v>0</v>
      </c>
      <c r="AN143" s="353" t="str">
        <f t="shared" si="25"/>
        <v/>
      </c>
      <c r="AO143" s="353" t="e">
        <f t="shared" si="26"/>
        <v>#N/A</v>
      </c>
      <c r="AP143" s="353" t="str">
        <f>Setup!A104</f>
        <v>a29</v>
      </c>
      <c r="AQ143" s="366" t="s">
        <v>514</v>
      </c>
      <c r="AR143" s="316"/>
      <c r="AS143" s="315"/>
    </row>
    <row r="144" spans="1:45" ht="47.1" customHeight="1" x14ac:dyDescent="0.25">
      <c r="A144" s="333">
        <v>20</v>
      </c>
      <c r="B144" s="355" t="str" cm="1">
        <f t="array" ref="B144">IFERROR(INDEX($E$123:$E$175, MATCH(0, COUNTIF($B$123:B143, $E$123:$E$175&amp;"") + IF($E$123:$E$175="",1,0),0)),"")</f>
        <v/>
      </c>
      <c r="C144" s="356"/>
      <c r="D144" s="357"/>
      <c r="E144" s="358" t="str">
        <f>IFERROR(IF(AND(K144="",T144=""),"",(VLOOKUP(Q144,'Reference records(soft deleted)'!$B$86:$D$137,3,FALSE))),"")</f>
        <v/>
      </c>
      <c r="F144" s="359" t="str">
        <f t="shared" si="15"/>
        <v>INT-341525</v>
      </c>
      <c r="G144" s="360"/>
      <c r="H144" s="360"/>
      <c r="I144" s="360"/>
      <c r="J144" s="360"/>
      <c r="K144" s="358" t="str">
        <f>IFERROR(VLOOKUP(R144,'Reference Records'!B$252:C439,2,0),"")</f>
        <v/>
      </c>
      <c r="L144" s="360" t="e">
        <f>VLOOKUP(U144&amp;K144,'Reference Records'!H$252:I439,2,0)</f>
        <v>#N/A</v>
      </c>
      <c r="M144" s="360" t="e">
        <f>MATCH($L144,'Reference Records'!$E$507:$E$509,0)+ROW(Population_by_intervention) -1</f>
        <v>#N/A</v>
      </c>
      <c r="N144" s="360" t="e">
        <f>MATCH($L144,'Reference Records'!$E$507:$E$509,1)+ROW(Population_by_intervention) -1</f>
        <v>#N/A</v>
      </c>
      <c r="O144" s="360" t="str">
        <f>IFERROR(VLOOKUP(AA144,'Reference Records'!B527:C529,2,0),"")</f>
        <v/>
      </c>
      <c r="P144" s="360"/>
      <c r="Q144" s="361"/>
      <c r="R144" s="362"/>
      <c r="S144" s="360"/>
      <c r="T144" s="363"/>
      <c r="U144" s="364" t="str">
        <f>IFERROR(IF(VLOOKUP(E144,'Reference Records'!$C$192:$D$250,2,FALSE)=0,"",VLOOKUP(E144,'Reference Records'!$C$192:$D$250,2,FALSE)),"")</f>
        <v/>
      </c>
      <c r="V144" s="350"/>
      <c r="W144" s="365" t="str">
        <f t="shared" si="16"/>
        <v/>
      </c>
      <c r="X144" s="365" t="str">
        <f t="shared" si="17"/>
        <v>a1PDm000000LZBmMAO</v>
      </c>
      <c r="Y144" s="365" t="b">
        <f t="shared" si="18"/>
        <v>0</v>
      </c>
      <c r="Z144" s="365" t="b">
        <f t="shared" si="19"/>
        <v>1</v>
      </c>
      <c r="AA144" s="365" t="str">
        <f>IFERROR(VLOOKUP(L144,'Reference Records'!B$252:E439,4,0),"")</f>
        <v/>
      </c>
      <c r="AB144" s="365" t="s">
        <v>515</v>
      </c>
      <c r="AC144" s="353" t="e">
        <f t="shared" si="20"/>
        <v>#N/A</v>
      </c>
      <c r="AD144" s="353" t="str">
        <f t="shared" si="21"/>
        <v/>
      </c>
      <c r="AE144" s="353" t="str">
        <f t="array" ref="AE144">IFERROR(IF(INDEX($W$124:$W$175, MATCH(0, IF(AD144=$E$124:$E$175, COUNTIF($AE$123:$AE143, $W$124:$W$175), ""), 0))=0,"",INDEX($W$124:$W$175, MATCH(0, IF(AD144=$E$124:$E$175, COUNTIF($AE$123:$AE143, $W$124:$W$175), ""), 0))),"")</f>
        <v/>
      </c>
      <c r="AF144" s="353" t="str">
        <f t="shared" si="22"/>
        <v>|empty|</v>
      </c>
      <c r="AG144" s="353" t="str">
        <f t="shared" si="23"/>
        <v>INT-341525</v>
      </c>
      <c r="AH144" s="353" t="str">
        <f t="shared" si="24"/>
        <v>a1PDm000000LZBmMAOa30</v>
      </c>
      <c r="AI144" s="353">
        <f>IF(COUNTIF($AH$124:AH195,"&lt;="&amp;AH144)=0,"",COUNTIF($AH$124:AH195,"&lt;="&amp;AH144))</f>
        <v>20</v>
      </c>
      <c r="AJ144" s="353">
        <f>RANK(AI144,AI$124:AI195,1)</f>
        <v>20</v>
      </c>
      <c r="AK144" s="353" t="str">
        <f>INDEX(E$124:E195,MATCH(ROWS(AJ$124:AJ144),AJ$124:AJ195,0))</f>
        <v/>
      </c>
      <c r="AL144" s="353" t="str">
        <f>INDEX(K$124:K195,MATCH(ROWS(AJ$124:AJ144),AJ$124:AJ195,0))</f>
        <v/>
      </c>
      <c r="AM144" s="353">
        <f>INDEX(V$124:V195,MATCH(ROWS(AJ$124:AJ144),AJ$124:AJ195,0))</f>
        <v>0</v>
      </c>
      <c r="AN144" s="353" t="str">
        <f t="shared" si="25"/>
        <v/>
      </c>
      <c r="AO144" s="353" t="e">
        <f t="shared" si="26"/>
        <v>#N/A</v>
      </c>
      <c r="AP144" s="353" t="str">
        <f>Setup!A105</f>
        <v>a30</v>
      </c>
      <c r="AQ144" s="366" t="s">
        <v>516</v>
      </c>
      <c r="AR144" s="316"/>
      <c r="AS144" s="315"/>
    </row>
    <row r="145" spans="1:45" ht="47.1" customHeight="1" x14ac:dyDescent="0.25">
      <c r="A145" s="333">
        <v>21</v>
      </c>
      <c r="B145" s="355" t="str" cm="1">
        <f t="array" ref="B145">IFERROR(INDEX($E$123:$E$175, MATCH(0, COUNTIF($B$123:B144, $E$123:$E$175&amp;"") + IF($E$123:$E$175="",1,0),0)),"")</f>
        <v/>
      </c>
      <c r="C145" s="356"/>
      <c r="D145" s="357"/>
      <c r="E145" s="358" t="str">
        <f>IFERROR(IF(AND(K145="",T145=""),"",(VLOOKUP(Q145,'Reference records(soft deleted)'!$B$86:$D$137,3,FALSE))),"")</f>
        <v/>
      </c>
      <c r="F145" s="359" t="str">
        <f t="shared" si="15"/>
        <v>INT-341526</v>
      </c>
      <c r="G145" s="360"/>
      <c r="H145" s="360"/>
      <c r="I145" s="360"/>
      <c r="J145" s="360"/>
      <c r="K145" s="358" t="str">
        <f>IFERROR(VLOOKUP(R145,'Reference Records'!B$252:C440,2,0),"")</f>
        <v/>
      </c>
      <c r="L145" s="360" t="e">
        <f>VLOOKUP(U145&amp;K145,'Reference Records'!H$252:I440,2,0)</f>
        <v>#N/A</v>
      </c>
      <c r="M145" s="360" t="e">
        <f>MATCH($L145,'Reference Records'!$E$507:$E$509,0)+ROW(Population_by_intervention) -1</f>
        <v>#N/A</v>
      </c>
      <c r="N145" s="360" t="e">
        <f>MATCH($L145,'Reference Records'!$E$507:$E$509,1)+ROW(Population_by_intervention) -1</f>
        <v>#N/A</v>
      </c>
      <c r="O145" s="360" t="str">
        <f>IFERROR(VLOOKUP(AA145,'Reference Records'!B528:C530,2,0),"")</f>
        <v/>
      </c>
      <c r="P145" s="360"/>
      <c r="Q145" s="361"/>
      <c r="R145" s="362"/>
      <c r="S145" s="360"/>
      <c r="T145" s="363"/>
      <c r="U145" s="364" t="str">
        <f>IFERROR(IF(VLOOKUP(E145,'Reference Records'!$C$192:$D$250,2,FALSE)=0,"",VLOOKUP(E145,'Reference Records'!$C$192:$D$250,2,FALSE)),"")</f>
        <v/>
      </c>
      <c r="V145" s="350"/>
      <c r="W145" s="365" t="str">
        <f t="shared" si="16"/>
        <v/>
      </c>
      <c r="X145" s="365" t="str">
        <f t="shared" si="17"/>
        <v>a1PDm000000LZBmMAO</v>
      </c>
      <c r="Y145" s="365" t="b">
        <f t="shared" si="18"/>
        <v>0</v>
      </c>
      <c r="Z145" s="365" t="b">
        <f t="shared" si="19"/>
        <v>1</v>
      </c>
      <c r="AA145" s="365" t="str">
        <f>IFERROR(VLOOKUP(L145,'Reference Records'!B$252:E440,4,0),"")</f>
        <v/>
      </c>
      <c r="AB145" s="365" t="s">
        <v>517</v>
      </c>
      <c r="AC145" s="353" t="e">
        <f t="shared" si="20"/>
        <v>#N/A</v>
      </c>
      <c r="AD145" s="353" t="str">
        <f t="shared" si="21"/>
        <v/>
      </c>
      <c r="AE145" s="353" t="str">
        <f t="array" ref="AE145">IFERROR(IF(INDEX($W$124:$W$175, MATCH(0, IF(AD145=$E$124:$E$175, COUNTIF($AE$123:$AE144, $W$124:$W$175), ""), 0))=0,"",INDEX($W$124:$W$175, MATCH(0, IF(AD145=$E$124:$E$175, COUNTIF($AE$123:$AE144, $W$124:$W$175), ""), 0))),"")</f>
        <v/>
      </c>
      <c r="AF145" s="353" t="str">
        <f t="shared" si="22"/>
        <v>|empty|</v>
      </c>
      <c r="AG145" s="353" t="str">
        <f t="shared" si="23"/>
        <v>INT-341526</v>
      </c>
      <c r="AH145" s="353" t="str">
        <f t="shared" si="24"/>
        <v>a1PDm000000LZBmMAOa31</v>
      </c>
      <c r="AI145" s="353">
        <f>IF(COUNTIF($AH$124:AH196,"&lt;="&amp;AH145)=0,"",COUNTIF($AH$124:AH196,"&lt;="&amp;AH145))</f>
        <v>21</v>
      </c>
      <c r="AJ145" s="353">
        <f>RANK(AI145,AI$124:AI196,1)</f>
        <v>21</v>
      </c>
      <c r="AK145" s="353" t="str">
        <f>INDEX(E$124:E196,MATCH(ROWS(AJ$124:AJ145),AJ$124:AJ196,0))</f>
        <v/>
      </c>
      <c r="AL145" s="353" t="str">
        <f>INDEX(K$124:K196,MATCH(ROWS(AJ$124:AJ145),AJ$124:AJ196,0))</f>
        <v/>
      </c>
      <c r="AM145" s="353">
        <f>INDEX(V$124:V196,MATCH(ROWS(AJ$124:AJ145),AJ$124:AJ196,0))</f>
        <v>0</v>
      </c>
      <c r="AN145" s="353" t="str">
        <f t="shared" si="25"/>
        <v/>
      </c>
      <c r="AO145" s="353" t="e">
        <f t="shared" si="26"/>
        <v>#N/A</v>
      </c>
      <c r="AP145" s="353" t="str">
        <f>Setup!A106</f>
        <v>a31</v>
      </c>
      <c r="AQ145" s="366" t="s">
        <v>518</v>
      </c>
      <c r="AR145" s="316"/>
      <c r="AS145" s="315"/>
    </row>
    <row r="146" spans="1:45" ht="47.1" customHeight="1" x14ac:dyDescent="0.25">
      <c r="A146" s="333">
        <v>22</v>
      </c>
      <c r="B146" s="355" t="str" cm="1">
        <f t="array" ref="B146">IFERROR(INDEX($E$123:$E$175, MATCH(0, COUNTIF($B$123:B145, $E$123:$E$175&amp;"") + IF($E$123:$E$175="",1,0),0)),"")</f>
        <v/>
      </c>
      <c r="C146" s="356"/>
      <c r="D146" s="357"/>
      <c r="E146" s="358" t="str">
        <f>IFERROR(IF(AND(K146="",T146=""),"",(VLOOKUP(Q146,'Reference records(soft deleted)'!$B$86:$D$137,3,FALSE))),"")</f>
        <v/>
      </c>
      <c r="F146" s="359" t="str">
        <f t="shared" si="15"/>
        <v>INT-341527</v>
      </c>
      <c r="G146" s="360"/>
      <c r="H146" s="360"/>
      <c r="I146" s="360"/>
      <c r="J146" s="360"/>
      <c r="K146" s="358" t="str">
        <f>IFERROR(VLOOKUP(R146,'Reference Records'!B$252:C495,2,0),"")</f>
        <v/>
      </c>
      <c r="L146" s="360" t="e">
        <f>VLOOKUP(U146&amp;K146,'Reference Records'!H$252:I495,2,0)</f>
        <v>#N/A</v>
      </c>
      <c r="M146" s="360" t="e">
        <f>MATCH($L146,'Reference Records'!$E$507:$E$509,0)+ROW(Population_by_intervention) -1</f>
        <v>#N/A</v>
      </c>
      <c r="N146" s="360" t="e">
        <f>MATCH($L146,'Reference Records'!$E$507:$E$509,1)+ROW(Population_by_intervention) -1</f>
        <v>#N/A</v>
      </c>
      <c r="O146" s="360" t="str">
        <f>IFERROR(VLOOKUP(AA146,'Reference Records'!B529:C531,2,0),"")</f>
        <v/>
      </c>
      <c r="P146" s="360"/>
      <c r="Q146" s="361"/>
      <c r="R146" s="362"/>
      <c r="S146" s="360"/>
      <c r="T146" s="363"/>
      <c r="U146" s="364" t="str">
        <f>IFERROR(IF(VLOOKUP(E146,'Reference Records'!$C$192:$D$250,2,FALSE)=0,"",VLOOKUP(E146,'Reference Records'!$C$192:$D$250,2,FALSE)),"")</f>
        <v/>
      </c>
      <c r="V146" s="350"/>
      <c r="W146" s="365" t="str">
        <f t="shared" si="16"/>
        <v/>
      </c>
      <c r="X146" s="365" t="str">
        <f t="shared" si="17"/>
        <v>a1PDm000000LZBmMAO</v>
      </c>
      <c r="Y146" s="365" t="b">
        <f t="shared" si="18"/>
        <v>0</v>
      </c>
      <c r="Z146" s="365" t="b">
        <f t="shared" si="19"/>
        <v>1</v>
      </c>
      <c r="AA146" s="365" t="str">
        <f>IFERROR(VLOOKUP(L146,'Reference Records'!B$252:E495,4,0),"")</f>
        <v/>
      </c>
      <c r="AB146" s="365" t="s">
        <v>519</v>
      </c>
      <c r="AC146" s="353" t="e">
        <f t="shared" si="20"/>
        <v>#N/A</v>
      </c>
      <c r="AD146" s="353" t="str">
        <f t="shared" si="21"/>
        <v/>
      </c>
      <c r="AE146" s="353" t="str">
        <f t="array" ref="AE146">IFERROR(IF(INDEX($W$124:$W$175, MATCH(0, IF(AD146=$E$124:$E$175, COUNTIF($AE$123:$AE145, $W$124:$W$175), ""), 0))=0,"",INDEX($W$124:$W$175, MATCH(0, IF(AD146=$E$124:$E$175, COUNTIF($AE$123:$AE145, $W$124:$W$175), ""), 0))),"")</f>
        <v/>
      </c>
      <c r="AF146" s="353" t="str">
        <f t="shared" si="22"/>
        <v>|empty|</v>
      </c>
      <c r="AG146" s="353" t="str">
        <f t="shared" si="23"/>
        <v>INT-341527</v>
      </c>
      <c r="AH146" s="353" t="str">
        <f t="shared" si="24"/>
        <v>a1PDm000000LZBmMAOa32</v>
      </c>
      <c r="AI146" s="353">
        <f>IF(COUNTIF($AH$124:AH197,"&lt;="&amp;AH146)=0,"",COUNTIF($AH$124:AH197,"&lt;="&amp;AH146))</f>
        <v>22</v>
      </c>
      <c r="AJ146" s="353">
        <f>RANK(AI146,AI$124:AI197,1)</f>
        <v>22</v>
      </c>
      <c r="AK146" s="353" t="str">
        <f>INDEX(E$124:E197,MATCH(ROWS(AJ$124:AJ146),AJ$124:AJ197,0))</f>
        <v/>
      </c>
      <c r="AL146" s="353" t="str">
        <f>INDEX(K$124:K197,MATCH(ROWS(AJ$124:AJ146),AJ$124:AJ197,0))</f>
        <v/>
      </c>
      <c r="AM146" s="353">
        <f>INDEX(V$124:V197,MATCH(ROWS(AJ$124:AJ146),AJ$124:AJ197,0))</f>
        <v>0</v>
      </c>
      <c r="AN146" s="353" t="str">
        <f t="shared" si="25"/>
        <v/>
      </c>
      <c r="AO146" s="353" t="e">
        <f t="shared" si="26"/>
        <v>#N/A</v>
      </c>
      <c r="AP146" s="353" t="str">
        <f>Setup!A107</f>
        <v>a32</v>
      </c>
      <c r="AQ146" s="366" t="s">
        <v>520</v>
      </c>
      <c r="AR146" s="316"/>
      <c r="AS146" s="315"/>
    </row>
    <row r="147" spans="1:45" ht="47.1" customHeight="1" x14ac:dyDescent="0.25">
      <c r="A147" s="333">
        <v>23</v>
      </c>
      <c r="B147" s="355" t="str" cm="1">
        <f t="array" ref="B147">IFERROR(INDEX($E$123:$E$175, MATCH(0, COUNTIF($B$123:B146, $E$123:$E$175&amp;"") + IF($E$123:$E$175="",1,0),0)),"")</f>
        <v/>
      </c>
      <c r="C147" s="356"/>
      <c r="D147" s="357"/>
      <c r="E147" s="358" t="str">
        <f>IFERROR(IF(AND(K147="",T147=""),"",(VLOOKUP(Q147,'Reference records(soft deleted)'!$B$86:$D$137,3,FALSE))),"")</f>
        <v/>
      </c>
      <c r="F147" s="359" t="str">
        <f t="shared" si="15"/>
        <v>INT-341528</v>
      </c>
      <c r="G147" s="360"/>
      <c r="H147" s="360"/>
      <c r="I147" s="360"/>
      <c r="J147" s="360"/>
      <c r="K147" s="358" t="str">
        <f>IFERROR(VLOOKUP(R147,'Reference Records'!B$252:C496,2,0),"")</f>
        <v/>
      </c>
      <c r="L147" s="360" t="e">
        <f>VLOOKUP(U147&amp;K147,'Reference Records'!H$252:I496,2,0)</f>
        <v>#N/A</v>
      </c>
      <c r="M147" s="360" t="e">
        <f>MATCH($L147,'Reference Records'!$E$507:$E$509,0)+ROW(Population_by_intervention) -1</f>
        <v>#N/A</v>
      </c>
      <c r="N147" s="360" t="e">
        <f>MATCH($L147,'Reference Records'!$E$507:$E$509,1)+ROW(Population_by_intervention) -1</f>
        <v>#N/A</v>
      </c>
      <c r="O147" s="360" t="str">
        <f>IFERROR(VLOOKUP(AA147,'Reference Records'!B530:C532,2,0),"")</f>
        <v/>
      </c>
      <c r="P147" s="360"/>
      <c r="Q147" s="361"/>
      <c r="R147" s="362"/>
      <c r="S147" s="360"/>
      <c r="T147" s="363"/>
      <c r="U147" s="364" t="str">
        <f>IFERROR(IF(VLOOKUP(E147,'Reference Records'!$C$192:$D$250,2,FALSE)=0,"",VLOOKUP(E147,'Reference Records'!$C$192:$D$250,2,FALSE)),"")</f>
        <v/>
      </c>
      <c r="V147" s="350"/>
      <c r="W147" s="365" t="str">
        <f t="shared" si="16"/>
        <v/>
      </c>
      <c r="X147" s="365" t="str">
        <f t="shared" si="17"/>
        <v>a1PDm000000LZBmMAO</v>
      </c>
      <c r="Y147" s="365" t="b">
        <f t="shared" si="18"/>
        <v>0</v>
      </c>
      <c r="Z147" s="365" t="b">
        <f t="shared" si="19"/>
        <v>1</v>
      </c>
      <c r="AA147" s="365" t="str">
        <f>IFERROR(VLOOKUP(L147,'Reference Records'!B$252:E496,4,0),"")</f>
        <v/>
      </c>
      <c r="AB147" s="365" t="s">
        <v>521</v>
      </c>
      <c r="AC147" s="353" t="e">
        <f t="shared" si="20"/>
        <v>#N/A</v>
      </c>
      <c r="AD147" s="353" t="str">
        <f t="shared" si="21"/>
        <v/>
      </c>
      <c r="AE147" s="353" t="str">
        <f t="array" ref="AE147">IFERROR(IF(INDEX($W$124:$W$175, MATCH(0, IF(AD147=$E$124:$E$175, COUNTIF($AE$123:$AE146, $W$124:$W$175), ""), 0))=0,"",INDEX($W$124:$W$175, MATCH(0, IF(AD147=$E$124:$E$175, COUNTIF($AE$123:$AE146, $W$124:$W$175), ""), 0))),"")</f>
        <v/>
      </c>
      <c r="AF147" s="353" t="str">
        <f t="shared" si="22"/>
        <v>|empty|</v>
      </c>
      <c r="AG147" s="353" t="str">
        <f t="shared" si="23"/>
        <v>INT-341528</v>
      </c>
      <c r="AH147" s="353" t="str">
        <f t="shared" si="24"/>
        <v>a1PDm000000LZBmMAOa33</v>
      </c>
      <c r="AI147" s="353">
        <f>IF(COUNTIF($AH$124:AH198,"&lt;="&amp;AH147)=0,"",COUNTIF($AH$124:AH198,"&lt;="&amp;AH147))</f>
        <v>23</v>
      </c>
      <c r="AJ147" s="353">
        <f>RANK(AI147,AI$124:AI198,1)</f>
        <v>23</v>
      </c>
      <c r="AK147" s="353" t="str">
        <f>INDEX(E$124:E198,MATCH(ROWS(AJ$124:AJ147),AJ$124:AJ198,0))</f>
        <v/>
      </c>
      <c r="AL147" s="353" t="str">
        <f>INDEX(K$124:K198,MATCH(ROWS(AJ$124:AJ147),AJ$124:AJ198,0))</f>
        <v/>
      </c>
      <c r="AM147" s="353">
        <f>INDEX(V$124:V198,MATCH(ROWS(AJ$124:AJ147),AJ$124:AJ198,0))</f>
        <v>0</v>
      </c>
      <c r="AN147" s="353" t="str">
        <f t="shared" si="25"/>
        <v/>
      </c>
      <c r="AO147" s="353" t="e">
        <f t="shared" si="26"/>
        <v>#N/A</v>
      </c>
      <c r="AP147" s="353" t="str">
        <f>Setup!A108</f>
        <v>a33</v>
      </c>
      <c r="AQ147" s="366" t="s">
        <v>522</v>
      </c>
      <c r="AR147" s="316"/>
      <c r="AS147" s="315"/>
    </row>
    <row r="148" spans="1:45" ht="47.1" customHeight="1" x14ac:dyDescent="0.25">
      <c r="A148" s="333">
        <v>24</v>
      </c>
      <c r="B148" s="355" t="str" cm="1">
        <f t="array" ref="B148">IFERROR(INDEX($E$123:$E$175, MATCH(0, COUNTIF($B$123:B147, $E$123:$E$175&amp;"") + IF($E$123:$E$175="",1,0),0)),"")</f>
        <v/>
      </c>
      <c r="C148" s="356"/>
      <c r="D148" s="357"/>
      <c r="E148" s="358" t="str">
        <f>IFERROR(IF(AND(K148="",T148=""),"",(VLOOKUP(Q148,'Reference records(soft deleted)'!$B$86:$D$137,3,FALSE))),"")</f>
        <v/>
      </c>
      <c r="F148" s="359" t="str">
        <f t="shared" si="15"/>
        <v>INT-341529</v>
      </c>
      <c r="G148" s="360"/>
      <c r="H148" s="360"/>
      <c r="I148" s="360"/>
      <c r="J148" s="360"/>
      <c r="K148" s="358" t="str">
        <f>IFERROR(VLOOKUP(R148,'Reference Records'!B$252:C497,2,0),"")</f>
        <v/>
      </c>
      <c r="L148" s="360" t="e">
        <f>VLOOKUP(U148&amp;K148,'Reference Records'!H$252:I497,2,0)</f>
        <v>#N/A</v>
      </c>
      <c r="M148" s="360" t="e">
        <f>MATCH($L148,'Reference Records'!$E$507:$E$509,0)+ROW(Population_by_intervention) -1</f>
        <v>#N/A</v>
      </c>
      <c r="N148" s="360" t="e">
        <f>MATCH($L148,'Reference Records'!$E$507:$E$509,1)+ROW(Population_by_intervention) -1</f>
        <v>#N/A</v>
      </c>
      <c r="O148" s="360" t="str">
        <f>IFERROR(VLOOKUP(AA148,'Reference Records'!B531:C533,2,0),"")</f>
        <v/>
      </c>
      <c r="P148" s="360"/>
      <c r="Q148" s="361"/>
      <c r="R148" s="362"/>
      <c r="S148" s="360"/>
      <c r="T148" s="363"/>
      <c r="U148" s="364" t="str">
        <f>IFERROR(IF(VLOOKUP(E148,'Reference Records'!$C$192:$D$250,2,FALSE)=0,"",VLOOKUP(E148,'Reference Records'!$C$192:$D$250,2,FALSE)),"")</f>
        <v/>
      </c>
      <c r="V148" s="350"/>
      <c r="W148" s="365" t="str">
        <f t="shared" si="16"/>
        <v/>
      </c>
      <c r="X148" s="365" t="str">
        <f t="shared" si="17"/>
        <v>a1PDm000000LZBmMAO</v>
      </c>
      <c r="Y148" s="365" t="b">
        <f t="shared" si="18"/>
        <v>0</v>
      </c>
      <c r="Z148" s="365" t="b">
        <f t="shared" si="19"/>
        <v>1</v>
      </c>
      <c r="AA148" s="365" t="str">
        <f>IFERROR(VLOOKUP(L148,'Reference Records'!B$252:E497,4,0),"")</f>
        <v/>
      </c>
      <c r="AB148" s="365" t="s">
        <v>523</v>
      </c>
      <c r="AC148" s="353" t="e">
        <f t="shared" si="20"/>
        <v>#N/A</v>
      </c>
      <c r="AD148" s="353" t="str">
        <f t="shared" si="21"/>
        <v/>
      </c>
      <c r="AE148" s="353" t="str">
        <f t="array" ref="AE148">IFERROR(IF(INDEX($W$124:$W$175, MATCH(0, IF(AD148=$E$124:$E$175, COUNTIF($AE$123:$AE147, $W$124:$W$175), ""), 0))=0,"",INDEX($W$124:$W$175, MATCH(0, IF(AD148=$E$124:$E$175, COUNTIF($AE$123:$AE147, $W$124:$W$175), ""), 0))),"")</f>
        <v/>
      </c>
      <c r="AF148" s="353" t="str">
        <f t="shared" si="22"/>
        <v>|empty|</v>
      </c>
      <c r="AG148" s="353" t="str">
        <f t="shared" si="23"/>
        <v>INT-341529</v>
      </c>
      <c r="AH148" s="353" t="str">
        <f t="shared" si="24"/>
        <v>a1PDm000000LZBmMAOa34</v>
      </c>
      <c r="AI148" s="353">
        <f>IF(COUNTIF($AH$124:AH199,"&lt;="&amp;AH148)=0,"",COUNTIF($AH$124:AH199,"&lt;="&amp;AH148))</f>
        <v>24</v>
      </c>
      <c r="AJ148" s="353">
        <f>RANK(AI148,AI$124:AI199,1)</f>
        <v>24</v>
      </c>
      <c r="AK148" s="353" t="str">
        <f>INDEX(E$124:E199,MATCH(ROWS(AJ$124:AJ148),AJ$124:AJ199,0))</f>
        <v/>
      </c>
      <c r="AL148" s="353" t="str">
        <f>INDEX(K$124:K199,MATCH(ROWS(AJ$124:AJ148),AJ$124:AJ199,0))</f>
        <v/>
      </c>
      <c r="AM148" s="353">
        <f>INDEX(V$124:V199,MATCH(ROWS(AJ$124:AJ148),AJ$124:AJ199,0))</f>
        <v>0</v>
      </c>
      <c r="AN148" s="353" t="str">
        <f t="shared" si="25"/>
        <v/>
      </c>
      <c r="AO148" s="353" t="e">
        <f t="shared" si="26"/>
        <v>#N/A</v>
      </c>
      <c r="AP148" s="353" t="str">
        <f>Setup!A109</f>
        <v>a34</v>
      </c>
      <c r="AQ148" s="366" t="s">
        <v>524</v>
      </c>
      <c r="AR148" s="316"/>
      <c r="AS148" s="315"/>
    </row>
    <row r="149" spans="1:45" ht="47.1" customHeight="1" x14ac:dyDescent="0.25">
      <c r="A149" s="333">
        <v>25</v>
      </c>
      <c r="B149" s="355" t="str" cm="1">
        <f t="array" ref="B149">IFERROR(INDEX($E$123:$E$175, MATCH(0, COUNTIF($B$123:B148, $E$123:$E$175&amp;"") + IF($E$123:$E$175="",1,0),0)),"")</f>
        <v/>
      </c>
      <c r="C149" s="356"/>
      <c r="D149" s="357"/>
      <c r="E149" s="358" t="str">
        <f>IFERROR(IF(AND(K149="",T149=""),"",(VLOOKUP(Q149,'Reference records(soft deleted)'!$B$86:$D$137,3,FALSE))),"")</f>
        <v/>
      </c>
      <c r="F149" s="359" t="str">
        <f t="shared" si="15"/>
        <v>INT-341530</v>
      </c>
      <c r="G149" s="360"/>
      <c r="H149" s="360"/>
      <c r="I149" s="360"/>
      <c r="J149" s="360"/>
      <c r="K149" s="358" t="str">
        <f>IFERROR(VLOOKUP(R149,'Reference Records'!B$252:C498,2,0),"")</f>
        <v/>
      </c>
      <c r="L149" s="360" t="e">
        <f>VLOOKUP(U149&amp;K149,'Reference Records'!H$252:I498,2,0)</f>
        <v>#N/A</v>
      </c>
      <c r="M149" s="360" t="e">
        <f>MATCH($L149,'Reference Records'!$E$507:$E$509,0)+ROW(Population_by_intervention) -1</f>
        <v>#N/A</v>
      </c>
      <c r="N149" s="360" t="e">
        <f>MATCH($L149,'Reference Records'!$E$507:$E$509,1)+ROW(Population_by_intervention) -1</f>
        <v>#N/A</v>
      </c>
      <c r="O149" s="360" t="str">
        <f>IFERROR(VLOOKUP(AA149,'Reference Records'!B532:C534,2,0),"")</f>
        <v/>
      </c>
      <c r="P149" s="360"/>
      <c r="Q149" s="361"/>
      <c r="R149" s="362"/>
      <c r="S149" s="360"/>
      <c r="T149" s="363"/>
      <c r="U149" s="364" t="str">
        <f>IFERROR(IF(VLOOKUP(E149,'Reference Records'!$C$192:$D$250,2,FALSE)=0,"",VLOOKUP(E149,'Reference Records'!$C$192:$D$250,2,FALSE)),"")</f>
        <v/>
      </c>
      <c r="V149" s="350"/>
      <c r="W149" s="365" t="str">
        <f t="shared" si="16"/>
        <v/>
      </c>
      <c r="X149" s="365" t="str">
        <f t="shared" si="17"/>
        <v>a1PDm000000LZBmMAO</v>
      </c>
      <c r="Y149" s="365" t="b">
        <f t="shared" si="18"/>
        <v>0</v>
      </c>
      <c r="Z149" s="365" t="b">
        <f t="shared" si="19"/>
        <v>1</v>
      </c>
      <c r="AA149" s="365" t="str">
        <f>IFERROR(VLOOKUP(L149,'Reference Records'!B$252:E498,4,0),"")</f>
        <v/>
      </c>
      <c r="AB149" s="365" t="s">
        <v>525</v>
      </c>
      <c r="AC149" s="353" t="e">
        <f t="shared" si="20"/>
        <v>#N/A</v>
      </c>
      <c r="AD149" s="353" t="str">
        <f t="shared" si="21"/>
        <v/>
      </c>
      <c r="AE149" s="353" t="str">
        <f t="array" ref="AE149">IFERROR(IF(INDEX($W$124:$W$175, MATCH(0, IF(AD149=$E$124:$E$175, COUNTIF($AE$123:$AE148, $W$124:$W$175), ""), 0))=0,"",INDEX($W$124:$W$175, MATCH(0, IF(AD149=$E$124:$E$175, COUNTIF($AE$123:$AE148, $W$124:$W$175), ""), 0))),"")</f>
        <v/>
      </c>
      <c r="AF149" s="353" t="str">
        <f t="shared" si="22"/>
        <v>|empty|</v>
      </c>
      <c r="AG149" s="353" t="str">
        <f t="shared" si="23"/>
        <v>INT-341530</v>
      </c>
      <c r="AH149" s="353" t="str">
        <f t="shared" si="24"/>
        <v>a1PDm000000LZBmMAOa35</v>
      </c>
      <c r="AI149" s="353">
        <f>IF(COUNTIF($AH$124:AH200,"&lt;="&amp;AH149)=0,"",COUNTIF($AH$124:AH200,"&lt;="&amp;AH149))</f>
        <v>25</v>
      </c>
      <c r="AJ149" s="353">
        <f>RANK(AI149,AI$124:AI200,1)</f>
        <v>25</v>
      </c>
      <c r="AK149" s="353" t="str">
        <f>INDEX(E$124:E200,MATCH(ROWS(AJ$124:AJ149),AJ$124:AJ200,0))</f>
        <v/>
      </c>
      <c r="AL149" s="353" t="str">
        <f>INDEX(K$124:K200,MATCH(ROWS(AJ$124:AJ149),AJ$124:AJ200,0))</f>
        <v/>
      </c>
      <c r="AM149" s="353">
        <f>INDEX(V$124:V200,MATCH(ROWS(AJ$124:AJ149),AJ$124:AJ200,0))</f>
        <v>0</v>
      </c>
      <c r="AN149" s="353" t="str">
        <f t="shared" si="25"/>
        <v/>
      </c>
      <c r="AO149" s="353" t="e">
        <f t="shared" si="26"/>
        <v>#N/A</v>
      </c>
      <c r="AP149" s="353" t="str">
        <f>Setup!A110</f>
        <v>a35</v>
      </c>
      <c r="AQ149" s="366" t="s">
        <v>526</v>
      </c>
      <c r="AR149" s="316"/>
      <c r="AS149" s="315"/>
    </row>
    <row r="150" spans="1:45" ht="47.1" customHeight="1" x14ac:dyDescent="0.25">
      <c r="A150" s="333">
        <v>26</v>
      </c>
      <c r="B150" s="355" t="str" cm="1">
        <f t="array" ref="B150">IFERROR(INDEX($E$123:$E$175, MATCH(0, COUNTIF($B$123:B149, $E$123:$E$175&amp;"") + IF($E$123:$E$175="",1,0),0)),"")</f>
        <v/>
      </c>
      <c r="C150" s="356"/>
      <c r="D150" s="357"/>
      <c r="E150" s="358" t="str">
        <f>IFERROR(IF(AND(K150="",T150=""),"",(VLOOKUP(Q150,'Reference records(soft deleted)'!$B$86:$D$137,3,FALSE))),"")</f>
        <v/>
      </c>
      <c r="F150" s="359" t="str">
        <f t="shared" si="15"/>
        <v>INT-341531</v>
      </c>
      <c r="G150" s="360"/>
      <c r="H150" s="360"/>
      <c r="I150" s="360"/>
      <c r="J150" s="360"/>
      <c r="K150" s="358" t="str">
        <f>IFERROR(VLOOKUP(R150,'Reference Records'!B$252:C499,2,0),"")</f>
        <v/>
      </c>
      <c r="L150" s="360" t="e">
        <f>VLOOKUP(U150&amp;K150,'Reference Records'!H$252:I499,2,0)</f>
        <v>#N/A</v>
      </c>
      <c r="M150" s="360" t="e">
        <f>MATCH($L150,'Reference Records'!$E$507:$E$509,0)+ROW(Population_by_intervention) -1</f>
        <v>#N/A</v>
      </c>
      <c r="N150" s="360" t="e">
        <f>MATCH($L150,'Reference Records'!$E$507:$E$509,1)+ROW(Population_by_intervention) -1</f>
        <v>#N/A</v>
      </c>
      <c r="O150" s="360" t="str">
        <f>IFERROR(VLOOKUP(AA150,'Reference Records'!B533:C535,2,0),"")</f>
        <v/>
      </c>
      <c r="P150" s="360"/>
      <c r="Q150" s="361"/>
      <c r="R150" s="362"/>
      <c r="S150" s="360"/>
      <c r="T150" s="363"/>
      <c r="U150" s="364" t="str">
        <f>IFERROR(IF(VLOOKUP(E150,'Reference Records'!$C$192:$D$250,2,FALSE)=0,"",VLOOKUP(E150,'Reference Records'!$C$192:$D$250,2,FALSE)),"")</f>
        <v/>
      </c>
      <c r="V150" s="350"/>
      <c r="W150" s="365" t="str">
        <f t="shared" si="16"/>
        <v/>
      </c>
      <c r="X150" s="365" t="str">
        <f t="shared" si="17"/>
        <v>a1PDm000000LZBmMAO</v>
      </c>
      <c r="Y150" s="365" t="b">
        <f t="shared" si="18"/>
        <v>0</v>
      </c>
      <c r="Z150" s="365" t="b">
        <f t="shared" si="19"/>
        <v>1</v>
      </c>
      <c r="AA150" s="365" t="str">
        <f>IFERROR(VLOOKUP(L150,'Reference Records'!B$252:E499,4,0),"")</f>
        <v/>
      </c>
      <c r="AB150" s="365" t="s">
        <v>527</v>
      </c>
      <c r="AC150" s="353" t="e">
        <f t="shared" si="20"/>
        <v>#N/A</v>
      </c>
      <c r="AD150" s="353" t="str">
        <f t="shared" si="21"/>
        <v/>
      </c>
      <c r="AE150" s="353" t="str">
        <f t="array" ref="AE150">IFERROR(IF(INDEX($W$124:$W$175, MATCH(0, IF(AD150=$E$124:$E$175, COUNTIF($AE$123:$AE149, $W$124:$W$175), ""), 0))=0,"",INDEX($W$124:$W$175, MATCH(0, IF(AD150=$E$124:$E$175, COUNTIF($AE$123:$AE149, $W$124:$W$175), ""), 0))),"")</f>
        <v/>
      </c>
      <c r="AF150" s="353" t="str">
        <f t="shared" si="22"/>
        <v>|empty|</v>
      </c>
      <c r="AG150" s="353" t="str">
        <f t="shared" si="23"/>
        <v>INT-341531</v>
      </c>
      <c r="AH150" s="353" t="str">
        <f t="shared" si="24"/>
        <v>a1PDm000000LZBmMAOa36</v>
      </c>
      <c r="AI150" s="353">
        <f>IF(COUNTIF($AH$124:AH201,"&lt;="&amp;AH150)=0,"",COUNTIF($AH$124:AH201,"&lt;="&amp;AH150))</f>
        <v>26</v>
      </c>
      <c r="AJ150" s="353">
        <f>RANK(AI150,AI$124:AI201,1)</f>
        <v>26</v>
      </c>
      <c r="AK150" s="353" t="str">
        <f>INDEX(E$124:E201,MATCH(ROWS(AJ$124:AJ150),AJ$124:AJ201,0))</f>
        <v/>
      </c>
      <c r="AL150" s="353" t="str">
        <f>INDEX(K$124:K201,MATCH(ROWS(AJ$124:AJ150),AJ$124:AJ201,0))</f>
        <v/>
      </c>
      <c r="AM150" s="353">
        <f>INDEX(V$124:V201,MATCH(ROWS(AJ$124:AJ150),AJ$124:AJ201,0))</f>
        <v>0</v>
      </c>
      <c r="AN150" s="353" t="str">
        <f t="shared" si="25"/>
        <v/>
      </c>
      <c r="AO150" s="353" t="e">
        <f t="shared" si="26"/>
        <v>#N/A</v>
      </c>
      <c r="AP150" s="353" t="str">
        <f>Setup!A111</f>
        <v>a36</v>
      </c>
      <c r="AQ150" s="366" t="s">
        <v>528</v>
      </c>
      <c r="AR150" s="316"/>
      <c r="AS150" s="315"/>
    </row>
    <row r="151" spans="1:45" ht="47.1" customHeight="1" x14ac:dyDescent="0.25">
      <c r="A151" s="333">
        <v>27</v>
      </c>
      <c r="B151" s="355" t="str" cm="1">
        <f t="array" ref="B151">IFERROR(INDEX($E$123:$E$175, MATCH(0, COUNTIF($B$123:B150, $E$123:$E$175&amp;"") + IF($E$123:$E$175="",1,0),0)),"")</f>
        <v/>
      </c>
      <c r="C151" s="356"/>
      <c r="D151" s="357"/>
      <c r="E151" s="358" t="str">
        <f>IFERROR(IF(AND(K151="",T151=""),"",(VLOOKUP(Q151,'Reference records(soft deleted)'!$B$86:$D$137,3,FALSE))),"")</f>
        <v/>
      </c>
      <c r="F151" s="359" t="str">
        <f t="shared" si="15"/>
        <v>INT-341532</v>
      </c>
      <c r="G151" s="360"/>
      <c r="H151" s="360"/>
      <c r="I151" s="360"/>
      <c r="J151" s="360"/>
      <c r="K151" s="358" t="str">
        <f>IFERROR(VLOOKUP(R151,'Reference Records'!B$252:C500,2,0),"")</f>
        <v/>
      </c>
      <c r="L151" s="360" t="e">
        <f>VLOOKUP(U151&amp;K151,'Reference Records'!H$252:I500,2,0)</f>
        <v>#N/A</v>
      </c>
      <c r="M151" s="360" t="e">
        <f>MATCH($L151,'Reference Records'!$E$507:$E$509,0)+ROW(Population_by_intervention) -1</f>
        <v>#N/A</v>
      </c>
      <c r="N151" s="360" t="e">
        <f>MATCH($L151,'Reference Records'!$E$507:$E$509,1)+ROW(Population_by_intervention) -1</f>
        <v>#N/A</v>
      </c>
      <c r="O151" s="360" t="str">
        <f>IFERROR(VLOOKUP(AA151,'Reference Records'!B534:C536,2,0),"")</f>
        <v/>
      </c>
      <c r="P151" s="360"/>
      <c r="Q151" s="361"/>
      <c r="R151" s="362"/>
      <c r="S151" s="360"/>
      <c r="T151" s="363"/>
      <c r="U151" s="364" t="str">
        <f>IFERROR(IF(VLOOKUP(E151,'Reference Records'!$C$192:$D$250,2,FALSE)=0,"",VLOOKUP(E151,'Reference Records'!$C$192:$D$250,2,FALSE)),"")</f>
        <v/>
      </c>
      <c r="V151" s="350"/>
      <c r="W151" s="365" t="str">
        <f t="shared" si="16"/>
        <v/>
      </c>
      <c r="X151" s="365" t="str">
        <f t="shared" si="17"/>
        <v>a1PDm000000LZBmMAO</v>
      </c>
      <c r="Y151" s="365" t="b">
        <f t="shared" si="18"/>
        <v>0</v>
      </c>
      <c r="Z151" s="365" t="b">
        <f t="shared" si="19"/>
        <v>1</v>
      </c>
      <c r="AA151" s="365" t="str">
        <f>IFERROR(VLOOKUP(L151,'Reference Records'!B$252:E500,4,0),"")</f>
        <v/>
      </c>
      <c r="AB151" s="365" t="s">
        <v>529</v>
      </c>
      <c r="AC151" s="353" t="e">
        <f t="shared" si="20"/>
        <v>#N/A</v>
      </c>
      <c r="AD151" s="353" t="str">
        <f t="shared" si="21"/>
        <v/>
      </c>
      <c r="AE151" s="353" t="str">
        <f t="array" ref="AE151">IFERROR(IF(INDEX($W$124:$W$175, MATCH(0, IF(AD151=$E$124:$E$175, COUNTIF($AE$123:$AE150, $W$124:$W$175), ""), 0))=0,"",INDEX($W$124:$W$175, MATCH(0, IF(AD151=$E$124:$E$175, COUNTIF($AE$123:$AE150, $W$124:$W$175), ""), 0))),"")</f>
        <v/>
      </c>
      <c r="AF151" s="353" t="str">
        <f t="shared" si="22"/>
        <v>|empty|</v>
      </c>
      <c r="AG151" s="353" t="str">
        <f t="shared" si="23"/>
        <v>INT-341532</v>
      </c>
      <c r="AH151" s="353" t="str">
        <f t="shared" si="24"/>
        <v>a1PDm000000LZBmMAOa37</v>
      </c>
      <c r="AI151" s="353">
        <f>IF(COUNTIF($AH$124:AH202,"&lt;="&amp;AH151)=0,"",COUNTIF($AH$124:AH202,"&lt;="&amp;AH151))</f>
        <v>27</v>
      </c>
      <c r="AJ151" s="353">
        <f>RANK(AI151,AI$124:AI202,1)</f>
        <v>27</v>
      </c>
      <c r="AK151" s="353" t="str">
        <f>INDEX(E$124:E202,MATCH(ROWS(AJ$124:AJ151),AJ$124:AJ202,0))</f>
        <v/>
      </c>
      <c r="AL151" s="353" t="str">
        <f>INDEX(K$124:K202,MATCH(ROWS(AJ$124:AJ151),AJ$124:AJ202,0))</f>
        <v/>
      </c>
      <c r="AM151" s="353">
        <f>INDEX(V$124:V202,MATCH(ROWS(AJ$124:AJ151),AJ$124:AJ202,0))</f>
        <v>0</v>
      </c>
      <c r="AN151" s="353" t="str">
        <f t="shared" si="25"/>
        <v/>
      </c>
      <c r="AO151" s="353" t="e">
        <f t="shared" si="26"/>
        <v>#N/A</v>
      </c>
      <c r="AP151" s="353" t="str">
        <f>Setup!A112</f>
        <v>a37</v>
      </c>
      <c r="AQ151" s="366" t="s">
        <v>530</v>
      </c>
      <c r="AR151" s="316"/>
      <c r="AS151" s="315"/>
    </row>
    <row r="152" spans="1:45" ht="47.1" customHeight="1" x14ac:dyDescent="0.25">
      <c r="A152" s="333">
        <v>28</v>
      </c>
      <c r="B152" s="355" t="str" cm="1">
        <f t="array" ref="B152">IFERROR(INDEX($E$123:$E$175, MATCH(0, COUNTIF($B$123:B151, $E$123:$E$175&amp;"") + IF($E$123:$E$175="",1,0),0)),"")</f>
        <v/>
      </c>
      <c r="C152" s="356"/>
      <c r="D152" s="357"/>
      <c r="E152" s="358" t="str">
        <f>IFERROR(IF(AND(K152="",T152=""),"",(VLOOKUP(Q152,'Reference records(soft deleted)'!$B$86:$D$137,3,FALSE))),"")</f>
        <v/>
      </c>
      <c r="F152" s="359" t="str">
        <f t="shared" si="15"/>
        <v>INT-341533</v>
      </c>
      <c r="G152" s="360"/>
      <c r="H152" s="360"/>
      <c r="I152" s="360"/>
      <c r="J152" s="360"/>
      <c r="K152" s="358" t="str">
        <f>IFERROR(VLOOKUP(R152,'Reference Records'!B$252:C501,2,0),"")</f>
        <v/>
      </c>
      <c r="L152" s="360" t="e">
        <f>VLOOKUP(U152&amp;K152,'Reference Records'!H$252:I501,2,0)</f>
        <v>#N/A</v>
      </c>
      <c r="M152" s="360" t="e">
        <f>MATCH($L152,'Reference Records'!$E$507:$E$509,0)+ROW(Population_by_intervention) -1</f>
        <v>#N/A</v>
      </c>
      <c r="N152" s="360" t="e">
        <f>MATCH($L152,'Reference Records'!$E$507:$E$509,1)+ROW(Population_by_intervention) -1</f>
        <v>#N/A</v>
      </c>
      <c r="O152" s="360" t="str">
        <f>IFERROR(VLOOKUP(AA152,'Reference Records'!B535:C537,2,0),"")</f>
        <v/>
      </c>
      <c r="P152" s="360"/>
      <c r="Q152" s="361"/>
      <c r="R152" s="362"/>
      <c r="S152" s="360"/>
      <c r="T152" s="363"/>
      <c r="U152" s="364" t="str">
        <f>IFERROR(IF(VLOOKUP(E152,'Reference Records'!$C$192:$D$250,2,FALSE)=0,"",VLOOKUP(E152,'Reference Records'!$C$192:$D$250,2,FALSE)),"")</f>
        <v/>
      </c>
      <c r="V152" s="350"/>
      <c r="W152" s="365" t="str">
        <f t="shared" si="16"/>
        <v/>
      </c>
      <c r="X152" s="365" t="str">
        <f t="shared" si="17"/>
        <v>a1PDm000000LZBmMAO</v>
      </c>
      <c r="Y152" s="365" t="b">
        <f t="shared" si="18"/>
        <v>0</v>
      </c>
      <c r="Z152" s="365" t="b">
        <f t="shared" si="19"/>
        <v>1</v>
      </c>
      <c r="AA152" s="365" t="str">
        <f>IFERROR(VLOOKUP(L152,'Reference Records'!B$252:E501,4,0),"")</f>
        <v/>
      </c>
      <c r="AB152" s="365" t="s">
        <v>531</v>
      </c>
      <c r="AC152" s="353" t="e">
        <f t="shared" si="20"/>
        <v>#N/A</v>
      </c>
      <c r="AD152" s="353" t="str">
        <f t="shared" si="21"/>
        <v/>
      </c>
      <c r="AE152" s="353" t="str">
        <f t="array" ref="AE152">IFERROR(IF(INDEX($W$124:$W$175, MATCH(0, IF(AD152=$E$124:$E$175, COUNTIF($AE$123:$AE151, $W$124:$W$175), ""), 0))=0,"",INDEX($W$124:$W$175, MATCH(0, IF(AD152=$E$124:$E$175, COUNTIF($AE$123:$AE151, $W$124:$W$175), ""), 0))),"")</f>
        <v/>
      </c>
      <c r="AF152" s="353" t="str">
        <f t="shared" si="22"/>
        <v>|empty|</v>
      </c>
      <c r="AG152" s="353" t="str">
        <f t="shared" si="23"/>
        <v>INT-341533</v>
      </c>
      <c r="AH152" s="353" t="str">
        <f t="shared" si="24"/>
        <v>a1PDm000000LZBmMAOa38</v>
      </c>
      <c r="AI152" s="353">
        <f>IF(COUNTIF($AH$124:AH203,"&lt;="&amp;AH152)=0,"",COUNTIF($AH$124:AH203,"&lt;="&amp;AH152))</f>
        <v>28</v>
      </c>
      <c r="AJ152" s="353">
        <f>RANK(AI152,AI$124:AI203,1)</f>
        <v>28</v>
      </c>
      <c r="AK152" s="353" t="str">
        <f>INDEX(E$124:E203,MATCH(ROWS(AJ$124:AJ152),AJ$124:AJ203,0))</f>
        <v/>
      </c>
      <c r="AL152" s="353" t="str">
        <f>INDEX(K$124:K203,MATCH(ROWS(AJ$124:AJ152),AJ$124:AJ203,0))</f>
        <v/>
      </c>
      <c r="AM152" s="353">
        <f>INDEX(V$124:V203,MATCH(ROWS(AJ$124:AJ152),AJ$124:AJ203,0))</f>
        <v>0</v>
      </c>
      <c r="AN152" s="353" t="str">
        <f t="shared" si="25"/>
        <v/>
      </c>
      <c r="AO152" s="353" t="e">
        <f t="shared" si="26"/>
        <v>#N/A</v>
      </c>
      <c r="AP152" s="353" t="str">
        <f>Setup!A113</f>
        <v>a38</v>
      </c>
      <c r="AQ152" s="366" t="s">
        <v>532</v>
      </c>
      <c r="AR152" s="316"/>
      <c r="AS152" s="315"/>
    </row>
    <row r="153" spans="1:45" ht="47.1" customHeight="1" x14ac:dyDescent="0.25">
      <c r="A153" s="333">
        <v>29</v>
      </c>
      <c r="B153" s="355" t="str" cm="1">
        <f t="array" ref="B153">IFERROR(INDEX($E$123:$E$175, MATCH(0, COUNTIF($B$123:B152, $E$123:$E$175&amp;"") + IF($E$123:$E$175="",1,0),0)),"")</f>
        <v/>
      </c>
      <c r="C153" s="356"/>
      <c r="D153" s="357"/>
      <c r="E153" s="358" t="str">
        <f>IFERROR(IF(AND(K153="",T153=""),"",(VLOOKUP(Q153,'Reference records(soft deleted)'!$B$86:$D$137,3,FALSE))),"")</f>
        <v/>
      </c>
      <c r="F153" s="359" t="str">
        <f t="shared" si="15"/>
        <v>INT-341534</v>
      </c>
      <c r="G153" s="360"/>
      <c r="H153" s="360"/>
      <c r="I153" s="360"/>
      <c r="J153" s="360"/>
      <c r="K153" s="358" t="str">
        <f>IFERROR(VLOOKUP(R153,'Reference Records'!B$252:C502,2,0),"")</f>
        <v/>
      </c>
      <c r="L153" s="360" t="e">
        <f>VLOOKUP(U153&amp;K153,'Reference Records'!H$252:I502,2,0)</f>
        <v>#N/A</v>
      </c>
      <c r="M153" s="360" t="e">
        <f>MATCH($L153,'Reference Records'!$E$507:$E$509,0)+ROW(Population_by_intervention) -1</f>
        <v>#N/A</v>
      </c>
      <c r="N153" s="360" t="e">
        <f>MATCH($L153,'Reference Records'!$E$507:$E$509,1)+ROW(Population_by_intervention) -1</f>
        <v>#N/A</v>
      </c>
      <c r="O153" s="360" t="str">
        <f>IFERROR(VLOOKUP(AA153,'Reference Records'!B536:C538,2,0),"")</f>
        <v/>
      </c>
      <c r="P153" s="360"/>
      <c r="Q153" s="361"/>
      <c r="R153" s="362"/>
      <c r="S153" s="360"/>
      <c r="T153" s="363"/>
      <c r="U153" s="364" t="str">
        <f>IFERROR(IF(VLOOKUP(E153,'Reference Records'!$C$192:$D$250,2,FALSE)=0,"",VLOOKUP(E153,'Reference Records'!$C$192:$D$250,2,FALSE)),"")</f>
        <v/>
      </c>
      <c r="V153" s="350"/>
      <c r="W153" s="365" t="str">
        <f t="shared" si="16"/>
        <v/>
      </c>
      <c r="X153" s="365" t="str">
        <f t="shared" si="17"/>
        <v>a1PDm000000LZBmMAO</v>
      </c>
      <c r="Y153" s="365" t="b">
        <f t="shared" si="18"/>
        <v>0</v>
      </c>
      <c r="Z153" s="365" t="b">
        <f t="shared" si="19"/>
        <v>1</v>
      </c>
      <c r="AA153" s="365" t="str">
        <f>IFERROR(VLOOKUP(L153,'Reference Records'!B$252:E502,4,0),"")</f>
        <v/>
      </c>
      <c r="AB153" s="365" t="s">
        <v>533</v>
      </c>
      <c r="AC153" s="353" t="e">
        <f t="shared" si="20"/>
        <v>#N/A</v>
      </c>
      <c r="AD153" s="353" t="str">
        <f t="shared" si="21"/>
        <v/>
      </c>
      <c r="AE153" s="353" t="str">
        <f t="array" ref="AE153">IFERROR(IF(INDEX($W$124:$W$175, MATCH(0, IF(AD153=$E$124:$E$175, COUNTIF($AE$123:$AE152, $W$124:$W$175), ""), 0))=0,"",INDEX($W$124:$W$175, MATCH(0, IF(AD153=$E$124:$E$175, COUNTIF($AE$123:$AE152, $W$124:$W$175), ""), 0))),"")</f>
        <v/>
      </c>
      <c r="AF153" s="353" t="str">
        <f t="shared" si="22"/>
        <v>|empty|</v>
      </c>
      <c r="AG153" s="353" t="str">
        <f t="shared" si="23"/>
        <v>INT-341534</v>
      </c>
      <c r="AH153" s="353" t="str">
        <f t="shared" si="24"/>
        <v>a1PDm000000LZBmMAOa39</v>
      </c>
      <c r="AI153" s="353">
        <f>IF(COUNTIF($AH$124:AH204,"&lt;="&amp;AH153)=0,"",COUNTIF($AH$124:AH204,"&lt;="&amp;AH153))</f>
        <v>29</v>
      </c>
      <c r="AJ153" s="353">
        <f>RANK(AI153,AI$124:AI204,1)</f>
        <v>29</v>
      </c>
      <c r="AK153" s="353" t="str">
        <f>INDEX(E$124:E204,MATCH(ROWS(AJ$124:AJ153),AJ$124:AJ204,0))</f>
        <v/>
      </c>
      <c r="AL153" s="353" t="str">
        <f>INDEX(K$124:K204,MATCH(ROWS(AJ$124:AJ153),AJ$124:AJ204,0))</f>
        <v/>
      </c>
      <c r="AM153" s="353">
        <f>INDEX(V$124:V204,MATCH(ROWS(AJ$124:AJ153),AJ$124:AJ204,0))</f>
        <v>0</v>
      </c>
      <c r="AN153" s="353" t="str">
        <f t="shared" si="25"/>
        <v/>
      </c>
      <c r="AO153" s="353" t="e">
        <f t="shared" si="26"/>
        <v>#N/A</v>
      </c>
      <c r="AP153" s="353" t="str">
        <f>Setup!A114</f>
        <v>a39</v>
      </c>
      <c r="AQ153" s="366" t="s">
        <v>534</v>
      </c>
      <c r="AR153" s="316"/>
      <c r="AS153" s="315"/>
    </row>
    <row r="154" spans="1:45" ht="47.1" customHeight="1" x14ac:dyDescent="0.25">
      <c r="A154" s="333">
        <v>30</v>
      </c>
      <c r="B154" s="355" t="str" cm="1">
        <f t="array" ref="B154">IFERROR(INDEX($E$123:$E$175, MATCH(0, COUNTIF($B$123:B153, $E$123:$E$175&amp;"") + IF($E$123:$E$175="",1,0),0)),"")</f>
        <v/>
      </c>
      <c r="C154" s="356"/>
      <c r="D154" s="357"/>
      <c r="E154" s="358" t="str">
        <f>IFERROR(IF(AND(K154="",T154=""),"",(VLOOKUP(Q154,'Reference records(soft deleted)'!$B$86:$D$137,3,FALSE))),"")</f>
        <v/>
      </c>
      <c r="F154" s="359" t="str">
        <f t="shared" si="15"/>
        <v>INT-341535</v>
      </c>
      <c r="G154" s="360"/>
      <c r="H154" s="360"/>
      <c r="I154" s="360"/>
      <c r="J154" s="360"/>
      <c r="K154" s="358" t="str">
        <f>IFERROR(VLOOKUP(R154,'Reference Records'!B$252:C503,2,0),"")</f>
        <v/>
      </c>
      <c r="L154" s="360" t="e">
        <f>VLOOKUP(U154&amp;K154,'Reference Records'!H$252:I503,2,0)</f>
        <v>#N/A</v>
      </c>
      <c r="M154" s="360" t="e">
        <f>MATCH($L154,'Reference Records'!$E$507:$E$509,0)+ROW(Population_by_intervention) -1</f>
        <v>#N/A</v>
      </c>
      <c r="N154" s="360" t="e">
        <f>MATCH($L154,'Reference Records'!$E$507:$E$509,1)+ROW(Population_by_intervention) -1</f>
        <v>#N/A</v>
      </c>
      <c r="O154" s="360" t="str">
        <f>IFERROR(VLOOKUP(AA154,'Reference Records'!B537:C539,2,0),"")</f>
        <v/>
      </c>
      <c r="P154" s="360"/>
      <c r="Q154" s="361"/>
      <c r="R154" s="362"/>
      <c r="S154" s="360"/>
      <c r="T154" s="363"/>
      <c r="U154" s="364" t="str">
        <f>IFERROR(IF(VLOOKUP(E154,'Reference Records'!$C$192:$D$250,2,FALSE)=0,"",VLOOKUP(E154,'Reference Records'!$C$192:$D$250,2,FALSE)),"")</f>
        <v/>
      </c>
      <c r="V154" s="350"/>
      <c r="W154" s="365" t="str">
        <f t="shared" si="16"/>
        <v/>
      </c>
      <c r="X154" s="365" t="str">
        <f t="shared" si="17"/>
        <v>a1PDm000000LZBmMAO</v>
      </c>
      <c r="Y154" s="365" t="b">
        <f t="shared" si="18"/>
        <v>0</v>
      </c>
      <c r="Z154" s="365" t="b">
        <f t="shared" si="19"/>
        <v>1</v>
      </c>
      <c r="AA154" s="365" t="str">
        <f>IFERROR(VLOOKUP(L154,'Reference Records'!B$252:E503,4,0),"")</f>
        <v/>
      </c>
      <c r="AB154" s="365" t="s">
        <v>535</v>
      </c>
      <c r="AC154" s="353" t="e">
        <f t="shared" si="20"/>
        <v>#N/A</v>
      </c>
      <c r="AD154" s="353" t="str">
        <f t="shared" si="21"/>
        <v/>
      </c>
      <c r="AE154" s="353" t="str">
        <f t="array" ref="AE154">IFERROR(IF(INDEX($W$124:$W$175, MATCH(0, IF(AD154=$E$124:$E$175, COUNTIF($AE$123:$AE153, $W$124:$W$175), ""), 0))=0,"",INDEX($W$124:$W$175, MATCH(0, IF(AD154=$E$124:$E$175, COUNTIF($AE$123:$AE153, $W$124:$W$175), ""), 0))),"")</f>
        <v/>
      </c>
      <c r="AF154" s="353" t="str">
        <f t="shared" si="22"/>
        <v>|empty|</v>
      </c>
      <c r="AG154" s="353" t="str">
        <f t="shared" si="23"/>
        <v>INT-341535</v>
      </c>
      <c r="AH154" s="353" t="str">
        <f t="shared" si="24"/>
        <v>a1PDm000000LZBmMAOa40</v>
      </c>
      <c r="AI154" s="353">
        <f>IF(COUNTIF($AH$124:AH205,"&lt;="&amp;AH154)=0,"",COUNTIF($AH$124:AH205,"&lt;="&amp;AH154))</f>
        <v>30</v>
      </c>
      <c r="AJ154" s="353">
        <f>RANK(AI154,AI$124:AI205,1)</f>
        <v>30</v>
      </c>
      <c r="AK154" s="353" t="str">
        <f>INDEX(E$124:E205,MATCH(ROWS(AJ$124:AJ154),AJ$124:AJ205,0))</f>
        <v/>
      </c>
      <c r="AL154" s="353" t="str">
        <f>INDEX(K$124:K205,MATCH(ROWS(AJ$124:AJ154),AJ$124:AJ205,0))</f>
        <v/>
      </c>
      <c r="AM154" s="353">
        <f>INDEX(V$124:V205,MATCH(ROWS(AJ$124:AJ154),AJ$124:AJ205,0))</f>
        <v>0</v>
      </c>
      <c r="AN154" s="353" t="str">
        <f t="shared" si="25"/>
        <v/>
      </c>
      <c r="AO154" s="353" t="e">
        <f t="shared" si="26"/>
        <v>#N/A</v>
      </c>
      <c r="AP154" s="353" t="str">
        <f>Setup!A115</f>
        <v>a40</v>
      </c>
      <c r="AQ154" s="366" t="s">
        <v>536</v>
      </c>
      <c r="AR154" s="316"/>
      <c r="AS154" s="315"/>
    </row>
    <row r="155" spans="1:45" ht="47.1" customHeight="1" x14ac:dyDescent="0.25">
      <c r="A155" s="333">
        <v>31</v>
      </c>
      <c r="B155" s="355" t="str" cm="1">
        <f t="array" ref="B155">IFERROR(INDEX($E$123:$E$175, MATCH(0, COUNTIF($B$123:B154, $E$123:$E$175&amp;"") + IF($E$123:$E$175="",1,0),0)),"")</f>
        <v/>
      </c>
      <c r="C155" s="356"/>
      <c r="D155" s="357"/>
      <c r="E155" s="358" t="str">
        <f>IFERROR(IF(AND(K155="",T155=""),"",(VLOOKUP(Q155,'Reference records(soft deleted)'!$B$86:$D$137,3,FALSE))),"")</f>
        <v/>
      </c>
      <c r="F155" s="359" t="str">
        <f t="shared" si="15"/>
        <v>INT-341536</v>
      </c>
      <c r="G155" s="360"/>
      <c r="H155" s="360"/>
      <c r="I155" s="360"/>
      <c r="J155" s="360"/>
      <c r="K155" s="358" t="str">
        <f>IFERROR(VLOOKUP(R155,'Reference Records'!B$252:C504,2,0),"")</f>
        <v/>
      </c>
      <c r="L155" s="360" t="e">
        <f>VLOOKUP(U155&amp;K155,'Reference Records'!H$252:I504,2,0)</f>
        <v>#N/A</v>
      </c>
      <c r="M155" s="360" t="e">
        <f>MATCH($L155,'Reference Records'!$E$507:$E$509,0)+ROW(Population_by_intervention) -1</f>
        <v>#N/A</v>
      </c>
      <c r="N155" s="360" t="e">
        <f>MATCH($L155,'Reference Records'!$E$507:$E$509,1)+ROW(Population_by_intervention) -1</f>
        <v>#N/A</v>
      </c>
      <c r="O155" s="360" t="str">
        <f>IFERROR(VLOOKUP(AA155,'Reference Records'!B538:C540,2,0),"")</f>
        <v/>
      </c>
      <c r="P155" s="360"/>
      <c r="Q155" s="361"/>
      <c r="R155" s="362"/>
      <c r="S155" s="360"/>
      <c r="T155" s="363"/>
      <c r="U155" s="364" t="str">
        <f>IFERROR(IF(VLOOKUP(E155,'Reference Records'!$C$192:$D$250,2,FALSE)=0,"",VLOOKUP(E155,'Reference Records'!$C$192:$D$250,2,FALSE)),"")</f>
        <v/>
      </c>
      <c r="V155" s="350"/>
      <c r="W155" s="365" t="str">
        <f t="shared" si="16"/>
        <v/>
      </c>
      <c r="X155" s="365" t="str">
        <f t="shared" si="17"/>
        <v>a1PDm000000LZBmMAO</v>
      </c>
      <c r="Y155" s="365" t="b">
        <f t="shared" si="18"/>
        <v>0</v>
      </c>
      <c r="Z155" s="365" t="b">
        <f t="shared" si="19"/>
        <v>1</v>
      </c>
      <c r="AA155" s="365" t="str">
        <f>IFERROR(VLOOKUP(L155,'Reference Records'!B$252:E504,4,0),"")</f>
        <v/>
      </c>
      <c r="AB155" s="365" t="s">
        <v>537</v>
      </c>
      <c r="AC155" s="353" t="e">
        <f t="shared" si="20"/>
        <v>#N/A</v>
      </c>
      <c r="AD155" s="353" t="str">
        <f t="shared" si="21"/>
        <v/>
      </c>
      <c r="AE155" s="353" t="str">
        <f t="array" ref="AE155">IFERROR(IF(INDEX($W$124:$W$175, MATCH(0, IF(AD155=$E$124:$E$175, COUNTIF($AE$123:$AE154, $W$124:$W$175), ""), 0))=0,"",INDEX($W$124:$W$175, MATCH(0, IF(AD155=$E$124:$E$175, COUNTIF($AE$123:$AE154, $W$124:$W$175), ""), 0))),"")</f>
        <v/>
      </c>
      <c r="AF155" s="353" t="str">
        <f t="shared" si="22"/>
        <v>|empty|</v>
      </c>
      <c r="AG155" s="353" t="str">
        <f t="shared" si="23"/>
        <v>INT-341536</v>
      </c>
      <c r="AH155" s="353" t="str">
        <f t="shared" si="24"/>
        <v>a1PDm000000LZBmMAOa41</v>
      </c>
      <c r="AI155" s="353">
        <f>IF(COUNTIF($AH$124:AH206,"&lt;="&amp;AH155)=0,"",COUNTIF($AH$124:AH206,"&lt;="&amp;AH155))</f>
        <v>31</v>
      </c>
      <c r="AJ155" s="353">
        <f>RANK(AI155,AI$124:AI206,1)</f>
        <v>31</v>
      </c>
      <c r="AK155" s="353" t="str">
        <f>INDEX(E$124:E206,MATCH(ROWS(AJ$124:AJ155),AJ$124:AJ206,0))</f>
        <v/>
      </c>
      <c r="AL155" s="353" t="str">
        <f>INDEX(K$124:K206,MATCH(ROWS(AJ$124:AJ155),AJ$124:AJ206,0))</f>
        <v/>
      </c>
      <c r="AM155" s="353">
        <f>INDEX(V$124:V206,MATCH(ROWS(AJ$124:AJ155),AJ$124:AJ206,0))</f>
        <v>0</v>
      </c>
      <c r="AN155" s="353" t="str">
        <f t="shared" si="25"/>
        <v/>
      </c>
      <c r="AO155" s="353" t="e">
        <f t="shared" si="26"/>
        <v>#N/A</v>
      </c>
      <c r="AP155" s="353" t="str">
        <f>Setup!A116</f>
        <v>a41</v>
      </c>
      <c r="AQ155" s="366" t="s">
        <v>538</v>
      </c>
      <c r="AR155" s="316"/>
      <c r="AS155" s="315"/>
    </row>
    <row r="156" spans="1:45" ht="47.1" customHeight="1" x14ac:dyDescent="0.25">
      <c r="A156" s="333">
        <v>32</v>
      </c>
      <c r="B156" s="355" t="str" cm="1">
        <f t="array" ref="B156">IFERROR(INDEX($E$123:$E$175, MATCH(0, COUNTIF($B$123:B155, $E$123:$E$175&amp;"") + IF($E$123:$E$175="",1,0),0)),"")</f>
        <v/>
      </c>
      <c r="C156" s="356"/>
      <c r="D156" s="357"/>
      <c r="E156" s="358" t="str">
        <f>IFERROR(IF(AND(K156="",T156=""),"",(VLOOKUP(Q156,'Reference records(soft deleted)'!$B$86:$D$137,3,FALSE))),"")</f>
        <v/>
      </c>
      <c r="F156" s="359" t="str">
        <f t="shared" si="15"/>
        <v>INT-341537</v>
      </c>
      <c r="G156" s="360"/>
      <c r="H156" s="360"/>
      <c r="I156" s="360"/>
      <c r="J156" s="360"/>
      <c r="K156" s="358" t="str">
        <f>IFERROR(VLOOKUP(R156,'Reference Records'!B$252:C505,2,0),"")</f>
        <v/>
      </c>
      <c r="L156" s="360" t="e">
        <f>VLOOKUP(U156&amp;K156,'Reference Records'!H$252:I505,2,0)</f>
        <v>#N/A</v>
      </c>
      <c r="M156" s="360" t="e">
        <f>MATCH($L156,'Reference Records'!$E$507:$E$509,0)+ROW(Population_by_intervention) -1</f>
        <v>#N/A</v>
      </c>
      <c r="N156" s="360" t="e">
        <f>MATCH($L156,'Reference Records'!$E$507:$E$509,1)+ROW(Population_by_intervention) -1</f>
        <v>#N/A</v>
      </c>
      <c r="O156" s="360" t="str">
        <f>IFERROR(VLOOKUP(AA156,'Reference Records'!B539:C541,2,0),"")</f>
        <v/>
      </c>
      <c r="P156" s="360"/>
      <c r="Q156" s="361"/>
      <c r="R156" s="362"/>
      <c r="S156" s="360"/>
      <c r="T156" s="363"/>
      <c r="U156" s="364" t="str">
        <f>IFERROR(IF(VLOOKUP(E156,'Reference Records'!$C$192:$D$250,2,FALSE)=0,"",VLOOKUP(E156,'Reference Records'!$C$192:$D$250,2,FALSE)),"")</f>
        <v/>
      </c>
      <c r="V156" s="350"/>
      <c r="W156" s="365" t="str">
        <f t="shared" si="16"/>
        <v/>
      </c>
      <c r="X156" s="365" t="str">
        <f t="shared" si="17"/>
        <v>a1PDm000000LZBmMAO</v>
      </c>
      <c r="Y156" s="365" t="b">
        <f t="shared" si="18"/>
        <v>0</v>
      </c>
      <c r="Z156" s="365" t="b">
        <f t="shared" si="19"/>
        <v>1</v>
      </c>
      <c r="AA156" s="365" t="str">
        <f>IFERROR(VLOOKUP(L156,'Reference Records'!B$252:E505,4,0),"")</f>
        <v/>
      </c>
      <c r="AB156" s="365" t="s">
        <v>539</v>
      </c>
      <c r="AC156" s="353" t="e">
        <f t="shared" si="20"/>
        <v>#N/A</v>
      </c>
      <c r="AD156" s="353" t="str">
        <f t="shared" si="21"/>
        <v/>
      </c>
      <c r="AE156" s="353" t="str">
        <f t="array" ref="AE156">IFERROR(IF(INDEX($W$124:$W$175, MATCH(0, IF(AD156=$E$124:$E$175, COUNTIF($AE$123:$AE155, $W$124:$W$175), ""), 0))=0,"",INDEX($W$124:$W$175, MATCH(0, IF(AD156=$E$124:$E$175, COUNTIF($AE$123:$AE155, $W$124:$W$175), ""), 0))),"")</f>
        <v/>
      </c>
      <c r="AF156" s="353" t="str">
        <f t="shared" si="22"/>
        <v>|empty|</v>
      </c>
      <c r="AG156" s="353" t="str">
        <f t="shared" si="23"/>
        <v>INT-341537</v>
      </c>
      <c r="AH156" s="353" t="str">
        <f t="shared" si="24"/>
        <v>a1PDm000000LZBmMAOa42</v>
      </c>
      <c r="AI156" s="353">
        <f>IF(COUNTIF($AH$124:AH207,"&lt;="&amp;AH156)=0,"",COUNTIF($AH$124:AH207,"&lt;="&amp;AH156))</f>
        <v>32</v>
      </c>
      <c r="AJ156" s="353">
        <f>RANK(AI156,AI$124:AI207,1)</f>
        <v>32</v>
      </c>
      <c r="AK156" s="353" t="str">
        <f>INDEX(E$124:E207,MATCH(ROWS(AJ$124:AJ156),AJ$124:AJ207,0))</f>
        <v/>
      </c>
      <c r="AL156" s="353" t="str">
        <f>INDEX(K$124:K207,MATCH(ROWS(AJ$124:AJ156),AJ$124:AJ207,0))</f>
        <v/>
      </c>
      <c r="AM156" s="353">
        <f>INDEX(V$124:V207,MATCH(ROWS(AJ$124:AJ156),AJ$124:AJ207,0))</f>
        <v>0</v>
      </c>
      <c r="AN156" s="353" t="str">
        <f t="shared" si="25"/>
        <v/>
      </c>
      <c r="AO156" s="353" t="e">
        <f t="shared" si="26"/>
        <v>#N/A</v>
      </c>
      <c r="AP156" s="353" t="str">
        <f>Setup!A117</f>
        <v>a42</v>
      </c>
      <c r="AQ156" s="366" t="s">
        <v>540</v>
      </c>
      <c r="AR156" s="316"/>
      <c r="AS156" s="315"/>
    </row>
    <row r="157" spans="1:45" ht="47.1" customHeight="1" x14ac:dyDescent="0.25">
      <c r="A157" s="333">
        <v>33</v>
      </c>
      <c r="B157" s="355" t="str" cm="1">
        <f t="array" ref="B157">IFERROR(INDEX($E$123:$E$175, MATCH(0, COUNTIF($B$123:B156, $E$123:$E$175&amp;"") + IF($E$123:$E$175="",1,0),0)),"")</f>
        <v/>
      </c>
      <c r="C157" s="356"/>
      <c r="D157" s="357"/>
      <c r="E157" s="358" t="str">
        <f>IFERROR(IF(AND(K157="",T157=""),"",(VLOOKUP(Q157,'Reference records(soft deleted)'!$B$86:$D$137,3,FALSE))),"")</f>
        <v/>
      </c>
      <c r="F157" s="359" t="str">
        <f t="shared" si="15"/>
        <v>INT-341538</v>
      </c>
      <c r="G157" s="360"/>
      <c r="H157" s="360"/>
      <c r="I157" s="360"/>
      <c r="J157" s="360"/>
      <c r="K157" s="358" t="str">
        <f>IFERROR(VLOOKUP(R157,'Reference Records'!B$252:C506,2,0),"")</f>
        <v/>
      </c>
      <c r="L157" s="360" t="e">
        <f>VLOOKUP(U157&amp;K157,'Reference Records'!H$252:I506,2,0)</f>
        <v>#N/A</v>
      </c>
      <c r="M157" s="360" t="e">
        <f>MATCH($L157,'Reference Records'!$E$507:$E$509,0)+ROW(Population_by_intervention) -1</f>
        <v>#N/A</v>
      </c>
      <c r="N157" s="360" t="e">
        <f>MATCH($L157,'Reference Records'!$E$507:$E$509,1)+ROW(Population_by_intervention) -1</f>
        <v>#N/A</v>
      </c>
      <c r="O157" s="360" t="str">
        <f>IFERROR(VLOOKUP(AA157,'Reference Records'!B540:C542,2,0),"")</f>
        <v/>
      </c>
      <c r="P157" s="360"/>
      <c r="Q157" s="361"/>
      <c r="R157" s="362"/>
      <c r="S157" s="360"/>
      <c r="T157" s="363"/>
      <c r="U157" s="364" t="str">
        <f>IFERROR(IF(VLOOKUP(E157,'Reference Records'!$C$192:$D$250,2,FALSE)=0,"",VLOOKUP(E157,'Reference Records'!$C$192:$D$250,2,FALSE)),"")</f>
        <v/>
      </c>
      <c r="V157" s="350"/>
      <c r="W157" s="365" t="str">
        <f t="shared" si="16"/>
        <v/>
      </c>
      <c r="X157" s="365" t="str">
        <f t="shared" si="17"/>
        <v>a1PDm000000LZBmMAO</v>
      </c>
      <c r="Y157" s="365" t="b">
        <f t="shared" si="18"/>
        <v>0</v>
      </c>
      <c r="Z157" s="365" t="b">
        <f t="shared" si="19"/>
        <v>1</v>
      </c>
      <c r="AA157" s="365" t="str">
        <f>IFERROR(VLOOKUP(L157,'Reference Records'!B$252:E506,4,0),"")</f>
        <v/>
      </c>
      <c r="AB157" s="365" t="s">
        <v>541</v>
      </c>
      <c r="AC157" s="353" t="e">
        <f t="shared" si="20"/>
        <v>#N/A</v>
      </c>
      <c r="AD157" s="353" t="str">
        <f t="shared" si="21"/>
        <v/>
      </c>
      <c r="AE157" s="353" t="str">
        <f t="array" ref="AE157">IFERROR(IF(INDEX($W$124:$W$175, MATCH(0, IF(AD157=$E$124:$E$175, COUNTIF($AE$123:$AE156, $W$124:$W$175), ""), 0))=0,"",INDEX($W$124:$W$175, MATCH(0, IF(AD157=$E$124:$E$175, COUNTIF($AE$123:$AE156, $W$124:$W$175), ""), 0))),"")</f>
        <v/>
      </c>
      <c r="AF157" s="353" t="str">
        <f t="shared" si="22"/>
        <v>|empty|</v>
      </c>
      <c r="AG157" s="353" t="str">
        <f t="shared" si="23"/>
        <v>INT-341538</v>
      </c>
      <c r="AH157" s="353" t="str">
        <f t="shared" si="24"/>
        <v>a1PDm000000LZBmMAOa43</v>
      </c>
      <c r="AI157" s="353">
        <f>IF(COUNTIF($AH$124:AH208,"&lt;="&amp;AH157)=0,"",COUNTIF($AH$124:AH208,"&lt;="&amp;AH157))</f>
        <v>33</v>
      </c>
      <c r="AJ157" s="353">
        <f>RANK(AI157,AI$124:AI208,1)</f>
        <v>33</v>
      </c>
      <c r="AK157" s="353" t="str">
        <f>INDEX(E$124:E208,MATCH(ROWS(AJ$124:AJ157),AJ$124:AJ208,0))</f>
        <v/>
      </c>
      <c r="AL157" s="353" t="str">
        <f>INDEX(K$124:K208,MATCH(ROWS(AJ$124:AJ157),AJ$124:AJ208,0))</f>
        <v/>
      </c>
      <c r="AM157" s="353">
        <f>INDEX(V$124:V208,MATCH(ROWS(AJ$124:AJ157),AJ$124:AJ208,0))</f>
        <v>0</v>
      </c>
      <c r="AN157" s="353" t="str">
        <f t="shared" si="25"/>
        <v/>
      </c>
      <c r="AO157" s="353" t="e">
        <f t="shared" si="26"/>
        <v>#N/A</v>
      </c>
      <c r="AP157" s="353" t="str">
        <f>Setup!A118</f>
        <v>a43</v>
      </c>
      <c r="AQ157" s="366" t="s">
        <v>542</v>
      </c>
      <c r="AR157" s="316"/>
      <c r="AS157" s="315"/>
    </row>
    <row r="158" spans="1:45" ht="47.1" customHeight="1" x14ac:dyDescent="0.25">
      <c r="A158" s="333">
        <v>34</v>
      </c>
      <c r="B158" s="355" t="str" cm="1">
        <f t="array" ref="B158">IFERROR(INDEX($E$123:$E$175, MATCH(0, COUNTIF($B$123:B157, $E$123:$E$175&amp;"") + IF($E$123:$E$175="",1,0),0)),"")</f>
        <v/>
      </c>
      <c r="C158" s="356"/>
      <c r="D158" s="357"/>
      <c r="E158" s="358" t="str">
        <f>IFERROR(IF(AND(K158="",T158=""),"",(VLOOKUP(Q158,'Reference records(soft deleted)'!$B$86:$D$137,3,FALSE))),"")</f>
        <v/>
      </c>
      <c r="F158" s="359" t="str">
        <f t="shared" si="15"/>
        <v>INT-341539</v>
      </c>
      <c r="G158" s="360"/>
      <c r="H158" s="360"/>
      <c r="I158" s="360"/>
      <c r="J158" s="360"/>
      <c r="K158" s="358" t="str">
        <f>IFERROR(VLOOKUP(R158,'Reference Records'!B$252:C507,2,0),"")</f>
        <v/>
      </c>
      <c r="L158" s="360" t="e">
        <f>VLOOKUP(U158&amp;K158,'Reference Records'!H$252:I507,2,0)</f>
        <v>#N/A</v>
      </c>
      <c r="M158" s="360" t="e">
        <f>MATCH($L158,'Reference Records'!$E$507:$E$509,0)+ROW(Population_by_intervention) -1</f>
        <v>#N/A</v>
      </c>
      <c r="N158" s="360" t="e">
        <f>MATCH($L158,'Reference Records'!$E$507:$E$509,1)+ROW(Population_by_intervention) -1</f>
        <v>#N/A</v>
      </c>
      <c r="O158" s="360" t="str">
        <f>IFERROR(VLOOKUP(AA158,'Reference Records'!B541:C543,2,0),"")</f>
        <v/>
      </c>
      <c r="P158" s="360"/>
      <c r="Q158" s="361"/>
      <c r="R158" s="362"/>
      <c r="S158" s="360"/>
      <c r="T158" s="363"/>
      <c r="U158" s="364" t="str">
        <f>IFERROR(IF(VLOOKUP(E158,'Reference Records'!$C$192:$D$250,2,FALSE)=0,"",VLOOKUP(E158,'Reference Records'!$C$192:$D$250,2,FALSE)),"")</f>
        <v/>
      </c>
      <c r="V158" s="350"/>
      <c r="W158" s="365" t="str">
        <f t="shared" si="16"/>
        <v/>
      </c>
      <c r="X158" s="365" t="str">
        <f t="shared" si="17"/>
        <v>a1PDm000000LZBmMAO</v>
      </c>
      <c r="Y158" s="365" t="b">
        <f t="shared" si="18"/>
        <v>0</v>
      </c>
      <c r="Z158" s="365" t="b">
        <f t="shared" si="19"/>
        <v>1</v>
      </c>
      <c r="AA158" s="365" t="str">
        <f>IFERROR(VLOOKUP(L158,'Reference Records'!B$252:E507,4,0),"")</f>
        <v/>
      </c>
      <c r="AB158" s="365" t="s">
        <v>543</v>
      </c>
      <c r="AC158" s="353" t="e">
        <f t="shared" si="20"/>
        <v>#N/A</v>
      </c>
      <c r="AD158" s="353" t="str">
        <f t="shared" si="21"/>
        <v/>
      </c>
      <c r="AE158" s="353" t="str">
        <f t="array" ref="AE158">IFERROR(IF(INDEX($W$124:$W$175, MATCH(0, IF(AD158=$E$124:$E$175, COUNTIF($AE$123:$AE157, $W$124:$W$175), ""), 0))=0,"",INDEX($W$124:$W$175, MATCH(0, IF(AD158=$E$124:$E$175, COUNTIF($AE$123:$AE157, $W$124:$W$175), ""), 0))),"")</f>
        <v/>
      </c>
      <c r="AF158" s="353" t="str">
        <f t="shared" si="22"/>
        <v>|empty|</v>
      </c>
      <c r="AG158" s="353" t="str">
        <f t="shared" si="23"/>
        <v>INT-341539</v>
      </c>
      <c r="AH158" s="353" t="str">
        <f t="shared" si="24"/>
        <v>a1PDm000000LZBmMAOa44</v>
      </c>
      <c r="AI158" s="353">
        <f>IF(COUNTIF($AH$124:AH209,"&lt;="&amp;AH158)=0,"",COUNTIF($AH$124:AH209,"&lt;="&amp;AH158))</f>
        <v>34</v>
      </c>
      <c r="AJ158" s="353">
        <f>RANK(AI158,AI$124:AI209,1)</f>
        <v>34</v>
      </c>
      <c r="AK158" s="353" t="str">
        <f>INDEX(E$124:E209,MATCH(ROWS(AJ$124:AJ158),AJ$124:AJ209,0))</f>
        <v/>
      </c>
      <c r="AL158" s="353" t="str">
        <f>INDEX(K$124:K209,MATCH(ROWS(AJ$124:AJ158),AJ$124:AJ209,0))</f>
        <v/>
      </c>
      <c r="AM158" s="353">
        <f>INDEX(V$124:V209,MATCH(ROWS(AJ$124:AJ158),AJ$124:AJ209,0))</f>
        <v>0</v>
      </c>
      <c r="AN158" s="353" t="str">
        <f t="shared" si="25"/>
        <v/>
      </c>
      <c r="AO158" s="353" t="e">
        <f t="shared" si="26"/>
        <v>#N/A</v>
      </c>
      <c r="AP158" s="353" t="str">
        <f>Setup!A119</f>
        <v>a44</v>
      </c>
      <c r="AQ158" s="366" t="s">
        <v>544</v>
      </c>
      <c r="AR158" s="316"/>
      <c r="AS158" s="315"/>
    </row>
    <row r="159" spans="1:45" ht="47.1" customHeight="1" x14ac:dyDescent="0.25">
      <c r="A159" s="333">
        <v>35</v>
      </c>
      <c r="B159" s="355" t="str" cm="1">
        <f t="array" ref="B159">IFERROR(INDEX($E$123:$E$175, MATCH(0, COUNTIF($B$123:B158, $E$123:$E$175&amp;"") + IF($E$123:$E$175="",1,0),0)),"")</f>
        <v/>
      </c>
      <c r="C159" s="356"/>
      <c r="D159" s="357"/>
      <c r="E159" s="358" t="str">
        <f>IFERROR(IF(AND(K159="",T159=""),"",(VLOOKUP(Q159,'Reference records(soft deleted)'!$B$86:$D$137,3,FALSE))),"")</f>
        <v/>
      </c>
      <c r="F159" s="359" t="str">
        <f t="shared" si="15"/>
        <v>INT-341540</v>
      </c>
      <c r="G159" s="360"/>
      <c r="H159" s="360"/>
      <c r="I159" s="360"/>
      <c r="J159" s="360"/>
      <c r="K159" s="358" t="str">
        <f>IFERROR(VLOOKUP(R159,'Reference Records'!B$252:C508,2,0),"")</f>
        <v/>
      </c>
      <c r="L159" s="360" t="e">
        <f>VLOOKUP(U159&amp;K159,'Reference Records'!H$252:I508,2,0)</f>
        <v>#N/A</v>
      </c>
      <c r="M159" s="360" t="e">
        <f>MATCH($L159,'Reference Records'!$E$507:$E$509,0)+ROW(Population_by_intervention) -1</f>
        <v>#N/A</v>
      </c>
      <c r="N159" s="360" t="e">
        <f>MATCH($L159,'Reference Records'!$E$507:$E$509,1)+ROW(Population_by_intervention) -1</f>
        <v>#N/A</v>
      </c>
      <c r="O159" s="360" t="str">
        <f>IFERROR(VLOOKUP(AA159,'Reference Records'!B542:C544,2,0),"")</f>
        <v/>
      </c>
      <c r="P159" s="360"/>
      <c r="Q159" s="361"/>
      <c r="R159" s="362"/>
      <c r="S159" s="360"/>
      <c r="T159" s="363"/>
      <c r="U159" s="364" t="str">
        <f>IFERROR(IF(VLOOKUP(E159,'Reference Records'!$C$192:$D$250,2,FALSE)=0,"",VLOOKUP(E159,'Reference Records'!$C$192:$D$250,2,FALSE)),"")</f>
        <v/>
      </c>
      <c r="V159" s="350"/>
      <c r="W159" s="365" t="str">
        <f t="shared" si="16"/>
        <v/>
      </c>
      <c r="X159" s="365" t="str">
        <f t="shared" si="17"/>
        <v>a1PDm000000LZBmMAO</v>
      </c>
      <c r="Y159" s="365" t="b">
        <f t="shared" si="18"/>
        <v>0</v>
      </c>
      <c r="Z159" s="365" t="b">
        <f t="shared" si="19"/>
        <v>1</v>
      </c>
      <c r="AA159" s="365" t="str">
        <f>IFERROR(VLOOKUP(L159,'Reference Records'!B$252:E508,4,0),"")</f>
        <v/>
      </c>
      <c r="AB159" s="365" t="s">
        <v>545</v>
      </c>
      <c r="AC159" s="353" t="e">
        <f t="shared" si="20"/>
        <v>#N/A</v>
      </c>
      <c r="AD159" s="353" t="str">
        <f t="shared" si="21"/>
        <v/>
      </c>
      <c r="AE159" s="353" t="str">
        <f t="array" ref="AE159">IFERROR(IF(INDEX($W$124:$W$175, MATCH(0, IF(AD159=$E$124:$E$175, COUNTIF($AE$123:$AE158, $W$124:$W$175), ""), 0))=0,"",INDEX($W$124:$W$175, MATCH(0, IF(AD159=$E$124:$E$175, COUNTIF($AE$123:$AE158, $W$124:$W$175), ""), 0))),"")</f>
        <v/>
      </c>
      <c r="AF159" s="353" t="str">
        <f t="shared" si="22"/>
        <v>|empty|</v>
      </c>
      <c r="AG159" s="353" t="str">
        <f t="shared" si="23"/>
        <v>INT-341540</v>
      </c>
      <c r="AH159" s="353" t="str">
        <f t="shared" si="24"/>
        <v>a1PDm000000LZBmMAOa45</v>
      </c>
      <c r="AI159" s="353">
        <f>IF(COUNTIF($AH$124:AH210,"&lt;="&amp;AH159)=0,"",COUNTIF($AH$124:AH210,"&lt;="&amp;AH159))</f>
        <v>35</v>
      </c>
      <c r="AJ159" s="353">
        <f>RANK(AI159,AI$124:AI210,1)</f>
        <v>35</v>
      </c>
      <c r="AK159" s="353" t="str">
        <f>INDEX(E$124:E210,MATCH(ROWS(AJ$124:AJ159),AJ$124:AJ210,0))</f>
        <v/>
      </c>
      <c r="AL159" s="353" t="str">
        <f>INDEX(K$124:K210,MATCH(ROWS(AJ$124:AJ159),AJ$124:AJ210,0))</f>
        <v/>
      </c>
      <c r="AM159" s="353">
        <f>INDEX(V$124:V210,MATCH(ROWS(AJ$124:AJ159),AJ$124:AJ210,0))</f>
        <v>0</v>
      </c>
      <c r="AN159" s="353" t="str">
        <f t="shared" si="25"/>
        <v/>
      </c>
      <c r="AO159" s="353" t="e">
        <f t="shared" si="26"/>
        <v>#N/A</v>
      </c>
      <c r="AP159" s="353" t="str">
        <f>Setup!A120</f>
        <v>a45</v>
      </c>
      <c r="AQ159" s="366" t="s">
        <v>546</v>
      </c>
      <c r="AR159" s="316"/>
      <c r="AS159" s="315"/>
    </row>
    <row r="160" spans="1:45" ht="47.1" customHeight="1" x14ac:dyDescent="0.25">
      <c r="A160" s="333">
        <v>36</v>
      </c>
      <c r="B160" s="355" t="str" cm="1">
        <f t="array" ref="B160">IFERROR(INDEX($E$123:$E$175, MATCH(0, COUNTIF($B$123:B159, $E$123:$E$175&amp;"") + IF($E$123:$E$175="",1,0),0)),"")</f>
        <v/>
      </c>
      <c r="C160" s="356"/>
      <c r="D160" s="357"/>
      <c r="E160" s="358" t="str">
        <f>IFERROR(IF(AND(K160="",T160=""),"",(VLOOKUP(Q160,'Reference records(soft deleted)'!$B$86:$D$137,3,FALSE))),"")</f>
        <v/>
      </c>
      <c r="F160" s="359" t="str">
        <f t="shared" si="15"/>
        <v>INT-341541</v>
      </c>
      <c r="G160" s="360"/>
      <c r="H160" s="360"/>
      <c r="I160" s="360"/>
      <c r="J160" s="360"/>
      <c r="K160" s="358" t="str">
        <f>IFERROR(VLOOKUP(R160,'Reference Records'!B$252:C509,2,0),"")</f>
        <v/>
      </c>
      <c r="L160" s="360" t="e">
        <f>VLOOKUP(U160&amp;K160,'Reference Records'!H$252:I509,2,0)</f>
        <v>#N/A</v>
      </c>
      <c r="M160" s="360" t="e">
        <f>MATCH($L160,'Reference Records'!$E$507:$E$509,0)+ROW(Population_by_intervention) -1</f>
        <v>#N/A</v>
      </c>
      <c r="N160" s="360" t="e">
        <f>MATCH($L160,'Reference Records'!$E$507:$E$509,1)+ROW(Population_by_intervention) -1</f>
        <v>#N/A</v>
      </c>
      <c r="O160" s="360" t="str">
        <f>IFERROR(VLOOKUP(AA160,'Reference Records'!B543:C545,2,0),"")</f>
        <v/>
      </c>
      <c r="P160" s="360"/>
      <c r="Q160" s="361"/>
      <c r="R160" s="362"/>
      <c r="S160" s="360"/>
      <c r="T160" s="363"/>
      <c r="U160" s="364" t="str">
        <f>IFERROR(IF(VLOOKUP(E160,'Reference Records'!$C$192:$D$250,2,FALSE)=0,"",VLOOKUP(E160,'Reference Records'!$C$192:$D$250,2,FALSE)),"")</f>
        <v/>
      </c>
      <c r="V160" s="350"/>
      <c r="W160" s="365" t="str">
        <f t="shared" si="16"/>
        <v/>
      </c>
      <c r="X160" s="365" t="str">
        <f t="shared" si="17"/>
        <v>a1PDm000000LZBmMAO</v>
      </c>
      <c r="Y160" s="365" t="b">
        <f t="shared" si="18"/>
        <v>0</v>
      </c>
      <c r="Z160" s="365" t="b">
        <f t="shared" si="19"/>
        <v>1</v>
      </c>
      <c r="AA160" s="365" t="str">
        <f>IFERROR(VLOOKUP(L160,'Reference Records'!B$252:E509,4,0),"")</f>
        <v/>
      </c>
      <c r="AB160" s="365" t="s">
        <v>547</v>
      </c>
      <c r="AC160" s="353" t="e">
        <f t="shared" si="20"/>
        <v>#N/A</v>
      </c>
      <c r="AD160" s="353" t="str">
        <f t="shared" si="21"/>
        <v/>
      </c>
      <c r="AE160" s="353" t="str">
        <f t="array" ref="AE160">IFERROR(IF(INDEX($W$124:$W$175, MATCH(0, IF(AD160=$E$124:$E$175, COUNTIF($AE$123:$AE159, $W$124:$W$175), ""), 0))=0,"",INDEX($W$124:$W$175, MATCH(0, IF(AD160=$E$124:$E$175, COUNTIF($AE$123:$AE159, $W$124:$W$175), ""), 0))),"")</f>
        <v/>
      </c>
      <c r="AF160" s="353" t="str">
        <f t="shared" si="22"/>
        <v>|empty|</v>
      </c>
      <c r="AG160" s="353" t="str">
        <f t="shared" si="23"/>
        <v>INT-341541</v>
      </c>
      <c r="AH160" s="353" t="str">
        <f t="shared" si="24"/>
        <v>a1PDm000000LZBmMAOa46</v>
      </c>
      <c r="AI160" s="353">
        <f>IF(COUNTIF($AH$124:AH211,"&lt;="&amp;AH160)=0,"",COUNTIF($AH$124:AH211,"&lt;="&amp;AH160))</f>
        <v>36</v>
      </c>
      <c r="AJ160" s="353">
        <f>RANK(AI160,AI$124:AI211,1)</f>
        <v>36</v>
      </c>
      <c r="AK160" s="353" t="str">
        <f>INDEX(E$124:E211,MATCH(ROWS(AJ$124:AJ160),AJ$124:AJ211,0))</f>
        <v/>
      </c>
      <c r="AL160" s="353" t="str">
        <f>INDEX(K$124:K211,MATCH(ROWS(AJ$124:AJ160),AJ$124:AJ211,0))</f>
        <v/>
      </c>
      <c r="AM160" s="353">
        <f>INDEX(V$124:V211,MATCH(ROWS(AJ$124:AJ160),AJ$124:AJ211,0))</f>
        <v>0</v>
      </c>
      <c r="AN160" s="353" t="str">
        <f t="shared" si="25"/>
        <v/>
      </c>
      <c r="AO160" s="353" t="e">
        <f t="shared" si="26"/>
        <v>#N/A</v>
      </c>
      <c r="AP160" s="353" t="str">
        <f>Setup!A121</f>
        <v>a46</v>
      </c>
      <c r="AQ160" s="366" t="s">
        <v>548</v>
      </c>
      <c r="AR160" s="316"/>
      <c r="AS160" s="315"/>
    </row>
    <row r="161" spans="1:45" ht="47.1" customHeight="1" x14ac:dyDescent="0.25">
      <c r="A161" s="333">
        <v>37</v>
      </c>
      <c r="B161" s="355" t="str" cm="1">
        <f t="array" ref="B161">IFERROR(INDEX($E$123:$E$175, MATCH(0, COUNTIF($B$123:B160, $E$123:$E$175&amp;"") + IF($E$123:$E$175="",1,0),0)),"")</f>
        <v/>
      </c>
      <c r="C161" s="356"/>
      <c r="D161" s="357"/>
      <c r="E161" s="358" t="str">
        <f>IFERROR(IF(AND(K161="",T161=""),"",(VLOOKUP(Q161,'Reference records(soft deleted)'!$B$86:$D$137,3,FALSE))),"")</f>
        <v/>
      </c>
      <c r="F161" s="359" t="str">
        <f t="shared" si="15"/>
        <v>INT-341542</v>
      </c>
      <c r="G161" s="360"/>
      <c r="H161" s="360"/>
      <c r="I161" s="360"/>
      <c r="J161" s="360"/>
      <c r="K161" s="358" t="str">
        <f>IFERROR(VLOOKUP(R161,'Reference Records'!B$252:C510,2,0),"")</f>
        <v/>
      </c>
      <c r="L161" s="360" t="e">
        <f>VLOOKUP(U161&amp;K161,'Reference Records'!H$252:I510,2,0)</f>
        <v>#N/A</v>
      </c>
      <c r="M161" s="360" t="e">
        <f>MATCH($L161,'Reference Records'!$E$507:$E$509,0)+ROW(Population_by_intervention) -1</f>
        <v>#N/A</v>
      </c>
      <c r="N161" s="360" t="e">
        <f>MATCH($L161,'Reference Records'!$E$507:$E$509,1)+ROW(Population_by_intervention) -1</f>
        <v>#N/A</v>
      </c>
      <c r="O161" s="360" t="str">
        <f>IFERROR(VLOOKUP(AA161,'Reference Records'!B544:C546,2,0),"")</f>
        <v/>
      </c>
      <c r="P161" s="360"/>
      <c r="Q161" s="361"/>
      <c r="R161" s="362"/>
      <c r="S161" s="360"/>
      <c r="T161" s="363"/>
      <c r="U161" s="364" t="str">
        <f>IFERROR(IF(VLOOKUP(E161,'Reference Records'!$C$192:$D$250,2,FALSE)=0,"",VLOOKUP(E161,'Reference Records'!$C$192:$D$250,2,FALSE)),"")</f>
        <v/>
      </c>
      <c r="V161" s="350"/>
      <c r="W161" s="365" t="str">
        <f t="shared" si="16"/>
        <v/>
      </c>
      <c r="X161" s="365" t="str">
        <f t="shared" si="17"/>
        <v>a1PDm000000LZBmMAO</v>
      </c>
      <c r="Y161" s="365" t="b">
        <f t="shared" si="18"/>
        <v>0</v>
      </c>
      <c r="Z161" s="365" t="b">
        <f t="shared" si="19"/>
        <v>1</v>
      </c>
      <c r="AA161" s="365" t="str">
        <f>IFERROR(VLOOKUP(L161,'Reference Records'!B$252:E510,4,0),"")</f>
        <v/>
      </c>
      <c r="AB161" s="365" t="s">
        <v>549</v>
      </c>
      <c r="AC161" s="353" t="e">
        <f t="shared" si="20"/>
        <v>#N/A</v>
      </c>
      <c r="AD161" s="353" t="str">
        <f t="shared" si="21"/>
        <v/>
      </c>
      <c r="AE161" s="353" t="str">
        <f t="array" ref="AE161">IFERROR(IF(INDEX($W$124:$W$175, MATCH(0, IF(AD161=$E$124:$E$175, COUNTIF($AE$123:$AE160, $W$124:$W$175), ""), 0))=0,"",INDEX($W$124:$W$175, MATCH(0, IF(AD161=$E$124:$E$175, COUNTIF($AE$123:$AE160, $W$124:$W$175), ""), 0))),"")</f>
        <v/>
      </c>
      <c r="AF161" s="353" t="str">
        <f t="shared" si="22"/>
        <v>|empty|</v>
      </c>
      <c r="AG161" s="353" t="str">
        <f t="shared" si="23"/>
        <v>INT-341542</v>
      </c>
      <c r="AH161" s="353" t="str">
        <f t="shared" si="24"/>
        <v>a1PDm000000LZBmMAOa47</v>
      </c>
      <c r="AI161" s="353">
        <f>IF(COUNTIF($AH$124:AH212,"&lt;="&amp;AH161)=0,"",COUNTIF($AH$124:AH212,"&lt;="&amp;AH161))</f>
        <v>37</v>
      </c>
      <c r="AJ161" s="353">
        <f>RANK(AI161,AI$124:AI212,1)</f>
        <v>37</v>
      </c>
      <c r="AK161" s="353" t="str">
        <f>INDEX(E$124:E212,MATCH(ROWS(AJ$124:AJ161),AJ$124:AJ212,0))</f>
        <v/>
      </c>
      <c r="AL161" s="353" t="str">
        <f>INDEX(K$124:K212,MATCH(ROWS(AJ$124:AJ161),AJ$124:AJ212,0))</f>
        <v/>
      </c>
      <c r="AM161" s="353">
        <f>INDEX(V$124:V212,MATCH(ROWS(AJ$124:AJ161),AJ$124:AJ212,0))</f>
        <v>0</v>
      </c>
      <c r="AN161" s="353" t="str">
        <f t="shared" si="25"/>
        <v/>
      </c>
      <c r="AO161" s="353" t="e">
        <f t="shared" si="26"/>
        <v>#N/A</v>
      </c>
      <c r="AP161" s="353" t="str">
        <f>Setup!A122</f>
        <v>a47</v>
      </c>
      <c r="AQ161" s="366" t="s">
        <v>550</v>
      </c>
      <c r="AR161" s="316"/>
      <c r="AS161" s="315"/>
    </row>
    <row r="162" spans="1:45" ht="47.1" customHeight="1" x14ac:dyDescent="0.25">
      <c r="A162" s="333">
        <v>38</v>
      </c>
      <c r="B162" s="355" t="str" cm="1">
        <f t="array" ref="B162">IFERROR(INDEX($E$123:$E$175, MATCH(0, COUNTIF($B$123:B161, $E$123:$E$175&amp;"") + IF($E$123:$E$175="",1,0),0)),"")</f>
        <v/>
      </c>
      <c r="C162" s="356"/>
      <c r="D162" s="357"/>
      <c r="E162" s="358" t="str">
        <f>IFERROR(IF(AND(K162="",T162=""),"",(VLOOKUP(Q162,'Reference records(soft deleted)'!$B$86:$D$137,3,FALSE))),"")</f>
        <v/>
      </c>
      <c r="F162" s="359" t="str">
        <f t="shared" si="15"/>
        <v>INT-341543</v>
      </c>
      <c r="G162" s="360"/>
      <c r="H162" s="360"/>
      <c r="I162" s="360"/>
      <c r="J162" s="360"/>
      <c r="K162" s="358" t="str">
        <f>IFERROR(VLOOKUP(R162,'Reference Records'!B$252:C511,2,0),"")</f>
        <v/>
      </c>
      <c r="L162" s="360" t="e">
        <f>VLOOKUP(U162&amp;K162,'Reference Records'!H$252:I511,2,0)</f>
        <v>#N/A</v>
      </c>
      <c r="M162" s="360" t="e">
        <f>MATCH($L162,'Reference Records'!$E$507:$E$509,0)+ROW(Population_by_intervention) -1</f>
        <v>#N/A</v>
      </c>
      <c r="N162" s="360" t="e">
        <f>MATCH($L162,'Reference Records'!$E$507:$E$509,1)+ROW(Population_by_intervention) -1</f>
        <v>#N/A</v>
      </c>
      <c r="O162" s="360" t="str">
        <f>IFERROR(VLOOKUP(AA162,'Reference Records'!B545:C547,2,0),"")</f>
        <v/>
      </c>
      <c r="P162" s="360"/>
      <c r="Q162" s="361"/>
      <c r="R162" s="362"/>
      <c r="S162" s="360"/>
      <c r="T162" s="363"/>
      <c r="U162" s="364" t="str">
        <f>IFERROR(IF(VLOOKUP(E162,'Reference Records'!$C$192:$D$250,2,FALSE)=0,"",VLOOKUP(E162,'Reference Records'!$C$192:$D$250,2,FALSE)),"")</f>
        <v/>
      </c>
      <c r="V162" s="350"/>
      <c r="W162" s="365" t="str">
        <f t="shared" si="16"/>
        <v/>
      </c>
      <c r="X162" s="365" t="str">
        <f t="shared" si="17"/>
        <v>a1PDm000000LZBmMAO</v>
      </c>
      <c r="Y162" s="365" t="b">
        <f t="shared" si="18"/>
        <v>0</v>
      </c>
      <c r="Z162" s="365" t="b">
        <f t="shared" si="19"/>
        <v>1</v>
      </c>
      <c r="AA162" s="365" t="str">
        <f>IFERROR(VLOOKUP(L162,'Reference Records'!B$252:E511,4,0),"")</f>
        <v/>
      </c>
      <c r="AB162" s="365" t="s">
        <v>551</v>
      </c>
      <c r="AC162" s="353" t="e">
        <f t="shared" si="20"/>
        <v>#N/A</v>
      </c>
      <c r="AD162" s="353" t="str">
        <f t="shared" si="21"/>
        <v/>
      </c>
      <c r="AE162" s="353" t="str">
        <f t="array" ref="AE162">IFERROR(IF(INDEX($W$124:$W$175, MATCH(0, IF(AD162=$E$124:$E$175, COUNTIF($AE$123:$AE161, $W$124:$W$175), ""), 0))=0,"",INDEX($W$124:$W$175, MATCH(0, IF(AD162=$E$124:$E$175, COUNTIF($AE$123:$AE161, $W$124:$W$175), ""), 0))),"")</f>
        <v/>
      </c>
      <c r="AF162" s="353" t="str">
        <f t="shared" si="22"/>
        <v>|empty|</v>
      </c>
      <c r="AG162" s="353" t="str">
        <f t="shared" si="23"/>
        <v>INT-341543</v>
      </c>
      <c r="AH162" s="353" t="str">
        <f t="shared" si="24"/>
        <v>a1PDm000000LZBmMAOa48</v>
      </c>
      <c r="AI162" s="353">
        <f>IF(COUNTIF($AH$124:AH213,"&lt;="&amp;AH162)=0,"",COUNTIF($AH$124:AH213,"&lt;="&amp;AH162))</f>
        <v>38</v>
      </c>
      <c r="AJ162" s="353">
        <f>RANK(AI162,AI$124:AI213,1)</f>
        <v>38</v>
      </c>
      <c r="AK162" s="353" t="str">
        <f>INDEX(E$124:E213,MATCH(ROWS(AJ$124:AJ162),AJ$124:AJ213,0))</f>
        <v/>
      </c>
      <c r="AL162" s="353" t="str">
        <f>INDEX(K$124:K213,MATCH(ROWS(AJ$124:AJ162),AJ$124:AJ213,0))</f>
        <v/>
      </c>
      <c r="AM162" s="353">
        <f>INDEX(V$124:V213,MATCH(ROWS(AJ$124:AJ162),AJ$124:AJ213,0))</f>
        <v>0</v>
      </c>
      <c r="AN162" s="353" t="str">
        <f t="shared" si="25"/>
        <v/>
      </c>
      <c r="AO162" s="353" t="e">
        <f t="shared" si="26"/>
        <v>#N/A</v>
      </c>
      <c r="AP162" s="353" t="str">
        <f>Setup!A123</f>
        <v>a48</v>
      </c>
      <c r="AQ162" s="366" t="s">
        <v>552</v>
      </c>
      <c r="AR162" s="316"/>
      <c r="AS162" s="315"/>
    </row>
    <row r="163" spans="1:45" ht="47.1" customHeight="1" x14ac:dyDescent="0.25">
      <c r="A163" s="333">
        <v>39</v>
      </c>
      <c r="B163" s="355" t="str" cm="1">
        <f t="array" ref="B163">IFERROR(INDEX($E$123:$E$175, MATCH(0, COUNTIF($B$123:B162, $E$123:$E$175&amp;"") + IF($E$123:$E$175="",1,0),0)),"")</f>
        <v/>
      </c>
      <c r="C163" s="356"/>
      <c r="D163" s="357"/>
      <c r="E163" s="358" t="str">
        <f>IFERROR(IF(AND(K163="",T163=""),"",(VLOOKUP(Q163,'Reference records(soft deleted)'!$B$86:$D$137,3,FALSE))),"")</f>
        <v/>
      </c>
      <c r="F163" s="359" t="str">
        <f t="shared" si="15"/>
        <v>INT-341544</v>
      </c>
      <c r="G163" s="360"/>
      <c r="H163" s="360"/>
      <c r="I163" s="360"/>
      <c r="J163" s="360"/>
      <c r="K163" s="358" t="str">
        <f>IFERROR(VLOOKUP(R163,'Reference Records'!B$252:C512,2,0),"")</f>
        <v/>
      </c>
      <c r="L163" s="360" t="e">
        <f>VLOOKUP(U163&amp;K163,'Reference Records'!H$252:I512,2,0)</f>
        <v>#N/A</v>
      </c>
      <c r="M163" s="360" t="e">
        <f>MATCH($L163,'Reference Records'!$E$507:$E$509,0)+ROW(Population_by_intervention) -1</f>
        <v>#N/A</v>
      </c>
      <c r="N163" s="360" t="e">
        <f>MATCH($L163,'Reference Records'!$E$507:$E$509,1)+ROW(Population_by_intervention) -1</f>
        <v>#N/A</v>
      </c>
      <c r="O163" s="360" t="str">
        <f>IFERROR(VLOOKUP(AA163,'Reference Records'!B546:C548,2,0),"")</f>
        <v/>
      </c>
      <c r="P163" s="360"/>
      <c r="Q163" s="361"/>
      <c r="R163" s="362"/>
      <c r="S163" s="360"/>
      <c r="T163" s="363"/>
      <c r="U163" s="364" t="str">
        <f>IFERROR(IF(VLOOKUP(E163,'Reference Records'!$C$192:$D$250,2,FALSE)=0,"",VLOOKUP(E163,'Reference Records'!$C$192:$D$250,2,FALSE)),"")</f>
        <v/>
      </c>
      <c r="V163" s="350"/>
      <c r="W163" s="365" t="str">
        <f t="shared" si="16"/>
        <v/>
      </c>
      <c r="X163" s="365" t="str">
        <f t="shared" si="17"/>
        <v>a1PDm000000LZBmMAO</v>
      </c>
      <c r="Y163" s="365" t="b">
        <f t="shared" si="18"/>
        <v>0</v>
      </c>
      <c r="Z163" s="365" t="b">
        <f t="shared" si="19"/>
        <v>1</v>
      </c>
      <c r="AA163" s="365" t="str">
        <f>IFERROR(VLOOKUP(L163,'Reference Records'!B$252:E512,4,0),"")</f>
        <v/>
      </c>
      <c r="AB163" s="365" t="s">
        <v>553</v>
      </c>
      <c r="AC163" s="353" t="e">
        <f t="shared" si="20"/>
        <v>#N/A</v>
      </c>
      <c r="AD163" s="353" t="str">
        <f t="shared" si="21"/>
        <v/>
      </c>
      <c r="AE163" s="353" t="str">
        <f t="array" ref="AE163">IFERROR(IF(INDEX($W$124:$W$175, MATCH(0, IF(AD163=$E$124:$E$175, COUNTIF($AE$123:$AE162, $W$124:$W$175), ""), 0))=0,"",INDEX($W$124:$W$175, MATCH(0, IF(AD163=$E$124:$E$175, COUNTIF($AE$123:$AE162, $W$124:$W$175), ""), 0))),"")</f>
        <v/>
      </c>
      <c r="AF163" s="353" t="str">
        <f t="shared" si="22"/>
        <v>|empty|</v>
      </c>
      <c r="AG163" s="353" t="str">
        <f t="shared" si="23"/>
        <v>INT-341544</v>
      </c>
      <c r="AH163" s="353" t="str">
        <f t="shared" si="24"/>
        <v>a1PDm000000LZBmMAOa49</v>
      </c>
      <c r="AI163" s="353">
        <f>IF(COUNTIF($AH$124:AH214,"&lt;="&amp;AH163)=0,"",COUNTIF($AH$124:AH214,"&lt;="&amp;AH163))</f>
        <v>39</v>
      </c>
      <c r="AJ163" s="353">
        <f>RANK(AI163,AI$124:AI214,1)</f>
        <v>39</v>
      </c>
      <c r="AK163" s="353" t="str">
        <f>INDEX(E$124:E214,MATCH(ROWS(AJ$124:AJ163),AJ$124:AJ214,0))</f>
        <v/>
      </c>
      <c r="AL163" s="353" t="str">
        <f>INDEX(K$124:K214,MATCH(ROWS(AJ$124:AJ163),AJ$124:AJ214,0))</f>
        <v/>
      </c>
      <c r="AM163" s="353">
        <f>INDEX(V$124:V214,MATCH(ROWS(AJ$124:AJ163),AJ$124:AJ214,0))</f>
        <v>0</v>
      </c>
      <c r="AN163" s="353" t="str">
        <f t="shared" si="25"/>
        <v/>
      </c>
      <c r="AO163" s="353" t="e">
        <f t="shared" si="26"/>
        <v>#N/A</v>
      </c>
      <c r="AP163" s="353" t="str">
        <f>Setup!A124</f>
        <v>a49</v>
      </c>
      <c r="AQ163" s="366" t="s">
        <v>554</v>
      </c>
      <c r="AR163" s="316"/>
      <c r="AS163" s="315"/>
    </row>
    <row r="164" spans="1:45" ht="47.1" customHeight="1" x14ac:dyDescent="0.25">
      <c r="A164" s="333">
        <v>40</v>
      </c>
      <c r="B164" s="355" t="str" cm="1">
        <f t="array" ref="B164">IFERROR(INDEX($E$123:$E$175, MATCH(0, COUNTIF($B$123:B163, $E$123:$E$175&amp;"") + IF($E$123:$E$175="",1,0),0)),"")</f>
        <v/>
      </c>
      <c r="C164" s="356"/>
      <c r="D164" s="357"/>
      <c r="E164" s="358" t="str">
        <f>IFERROR(IF(AND(K164="",T164=""),"",(VLOOKUP(Q164,'Reference records(soft deleted)'!$B$86:$D$137,3,FALSE))),"")</f>
        <v/>
      </c>
      <c r="F164" s="359" t="str">
        <f t="shared" si="15"/>
        <v>INT-341545</v>
      </c>
      <c r="G164" s="360"/>
      <c r="H164" s="360"/>
      <c r="I164" s="360"/>
      <c r="J164" s="360"/>
      <c r="K164" s="358" t="str">
        <f>IFERROR(VLOOKUP(R164,'Reference Records'!B$252:C513,2,0),"")</f>
        <v/>
      </c>
      <c r="L164" s="360" t="e">
        <f>VLOOKUP(U164&amp;K164,'Reference Records'!H$252:I513,2,0)</f>
        <v>#N/A</v>
      </c>
      <c r="M164" s="360" t="e">
        <f>MATCH($L164,'Reference Records'!$E$507:$E$509,0)+ROW(Population_by_intervention) -1</f>
        <v>#N/A</v>
      </c>
      <c r="N164" s="360" t="e">
        <f>MATCH($L164,'Reference Records'!$E$507:$E$509,1)+ROW(Population_by_intervention) -1</f>
        <v>#N/A</v>
      </c>
      <c r="O164" s="360" t="str">
        <f>IFERROR(VLOOKUP(AA164,'Reference Records'!B547:C549,2,0),"")</f>
        <v/>
      </c>
      <c r="P164" s="360"/>
      <c r="Q164" s="361"/>
      <c r="R164" s="362"/>
      <c r="S164" s="360"/>
      <c r="T164" s="363"/>
      <c r="U164" s="364" t="str">
        <f>IFERROR(IF(VLOOKUP(E164,'Reference Records'!$C$192:$D$250,2,FALSE)=0,"",VLOOKUP(E164,'Reference Records'!$C$192:$D$250,2,FALSE)),"")</f>
        <v/>
      </c>
      <c r="V164" s="350"/>
      <c r="W164" s="365" t="str">
        <f t="shared" si="16"/>
        <v/>
      </c>
      <c r="X164" s="365" t="str">
        <f t="shared" si="17"/>
        <v>a1PDm000000LZBmMAO</v>
      </c>
      <c r="Y164" s="365" t="b">
        <f t="shared" si="18"/>
        <v>0</v>
      </c>
      <c r="Z164" s="365" t="b">
        <f t="shared" si="19"/>
        <v>1</v>
      </c>
      <c r="AA164" s="365" t="str">
        <f>IFERROR(VLOOKUP(L164,'Reference Records'!B$252:E513,4,0),"")</f>
        <v/>
      </c>
      <c r="AB164" s="365" t="s">
        <v>555</v>
      </c>
      <c r="AC164" s="353" t="e">
        <f t="shared" si="20"/>
        <v>#N/A</v>
      </c>
      <c r="AD164" s="353" t="str">
        <f t="shared" si="21"/>
        <v/>
      </c>
      <c r="AE164" s="353" t="str">
        <f t="array" ref="AE164">IFERROR(IF(INDEX($W$124:$W$175, MATCH(0, IF(AD164=$E$124:$E$175, COUNTIF($AE$123:$AE163, $W$124:$W$175), ""), 0))=0,"",INDEX($W$124:$W$175, MATCH(0, IF(AD164=$E$124:$E$175, COUNTIF($AE$123:$AE163, $W$124:$W$175), ""), 0))),"")</f>
        <v/>
      </c>
      <c r="AF164" s="353" t="str">
        <f t="shared" si="22"/>
        <v>|empty|</v>
      </c>
      <c r="AG164" s="353" t="str">
        <f t="shared" si="23"/>
        <v>INT-341545</v>
      </c>
      <c r="AH164" s="353" t="str">
        <f t="shared" si="24"/>
        <v>a1PDm000000LZBmMAOa50</v>
      </c>
      <c r="AI164" s="353">
        <f>IF(COUNTIF($AH$124:AH215,"&lt;="&amp;AH164)=0,"",COUNTIF($AH$124:AH215,"&lt;="&amp;AH164))</f>
        <v>40</v>
      </c>
      <c r="AJ164" s="353">
        <f>RANK(AI164,AI$124:AI215,1)</f>
        <v>40</v>
      </c>
      <c r="AK164" s="353" t="str">
        <f>INDEX(E$124:E215,MATCH(ROWS(AJ$124:AJ164),AJ$124:AJ215,0))</f>
        <v/>
      </c>
      <c r="AL164" s="353" t="str">
        <f>INDEX(K$124:K215,MATCH(ROWS(AJ$124:AJ164),AJ$124:AJ215,0))</f>
        <v/>
      </c>
      <c r="AM164" s="353">
        <f>INDEX(V$124:V215,MATCH(ROWS(AJ$124:AJ164),AJ$124:AJ215,0))</f>
        <v>0</v>
      </c>
      <c r="AN164" s="353" t="str">
        <f t="shared" si="25"/>
        <v/>
      </c>
      <c r="AO164" s="353" t="e">
        <f t="shared" si="26"/>
        <v>#N/A</v>
      </c>
      <c r="AP164" s="353" t="str">
        <f>Setup!A125</f>
        <v>a50</v>
      </c>
      <c r="AQ164" s="366" t="s">
        <v>556</v>
      </c>
      <c r="AR164" s="316"/>
      <c r="AS164" s="315"/>
    </row>
    <row r="165" spans="1:45" ht="47.1" customHeight="1" x14ac:dyDescent="0.25">
      <c r="A165" s="333">
        <v>41</v>
      </c>
      <c r="B165" s="355" t="str" cm="1">
        <f t="array" ref="B165">IFERROR(INDEX($E$123:$E$175, MATCH(0, COUNTIF($B$123:B164, $E$123:$E$175&amp;"") + IF($E$123:$E$175="",1,0),0)),"")</f>
        <v/>
      </c>
      <c r="C165" s="356"/>
      <c r="D165" s="357"/>
      <c r="E165" s="358" t="str">
        <f>IFERROR(IF(AND(K165="",T165=""),"",(VLOOKUP(Q165,'Reference records(soft deleted)'!$B$86:$D$137,3,FALSE))),"")</f>
        <v/>
      </c>
      <c r="F165" s="359" t="str">
        <f t="shared" si="15"/>
        <v>INT-341546</v>
      </c>
      <c r="G165" s="360"/>
      <c r="H165" s="360"/>
      <c r="I165" s="360"/>
      <c r="J165" s="360"/>
      <c r="K165" s="358" t="str">
        <f>IFERROR(VLOOKUP(R165,'Reference Records'!B$252:C514,2,0),"")</f>
        <v/>
      </c>
      <c r="L165" s="360" t="e">
        <f>VLOOKUP(U165&amp;K165,'Reference Records'!H$252:I514,2,0)</f>
        <v>#N/A</v>
      </c>
      <c r="M165" s="360" t="e">
        <f>MATCH($L165,'Reference Records'!$E$507:$E$509,0)+ROW(Population_by_intervention) -1</f>
        <v>#N/A</v>
      </c>
      <c r="N165" s="360" t="e">
        <f>MATCH($L165,'Reference Records'!$E$507:$E$509,1)+ROW(Population_by_intervention) -1</f>
        <v>#N/A</v>
      </c>
      <c r="O165" s="360" t="str">
        <f>IFERROR(VLOOKUP(AA165,'Reference Records'!B548:C550,2,0),"")</f>
        <v/>
      </c>
      <c r="P165" s="360"/>
      <c r="Q165" s="361"/>
      <c r="R165" s="362"/>
      <c r="S165" s="360"/>
      <c r="T165" s="363"/>
      <c r="U165" s="364" t="str">
        <f>IFERROR(IF(VLOOKUP(E165,'Reference Records'!$C$192:$D$250,2,FALSE)=0,"",VLOOKUP(E165,'Reference Records'!$C$192:$D$250,2,FALSE)),"")</f>
        <v/>
      </c>
      <c r="V165" s="350"/>
      <c r="W165" s="365" t="str">
        <f t="shared" si="16"/>
        <v/>
      </c>
      <c r="X165" s="365" t="str">
        <f t="shared" si="17"/>
        <v>a1PDm000000LZBmMAO</v>
      </c>
      <c r="Y165" s="365" t="b">
        <f t="shared" si="18"/>
        <v>0</v>
      </c>
      <c r="Z165" s="365" t="b">
        <f t="shared" si="19"/>
        <v>1</v>
      </c>
      <c r="AA165" s="365" t="str">
        <f>IFERROR(VLOOKUP(L165,'Reference Records'!B$252:E514,4,0),"")</f>
        <v/>
      </c>
      <c r="AB165" s="365" t="s">
        <v>557</v>
      </c>
      <c r="AC165" s="353" t="e">
        <f t="shared" si="20"/>
        <v>#N/A</v>
      </c>
      <c r="AD165" s="353" t="str">
        <f t="shared" si="21"/>
        <v/>
      </c>
      <c r="AE165" s="353" t="str">
        <f t="array" ref="AE165">IFERROR(IF(INDEX($W$124:$W$175, MATCH(0, IF(AD165=$E$124:$E$175, COUNTIF($AE$123:$AE164, $W$124:$W$175), ""), 0))=0,"",INDEX($W$124:$W$175, MATCH(0, IF(AD165=$E$124:$E$175, COUNTIF($AE$123:$AE164, $W$124:$W$175), ""), 0))),"")</f>
        <v/>
      </c>
      <c r="AF165" s="353" t="str">
        <f t="shared" si="22"/>
        <v>|empty|</v>
      </c>
      <c r="AG165" s="353" t="str">
        <f t="shared" si="23"/>
        <v>INT-341546</v>
      </c>
      <c r="AH165" s="353" t="str">
        <f t="shared" si="24"/>
        <v>a1PDm000000LZBmMAOa51</v>
      </c>
      <c r="AI165" s="353">
        <f>IF(COUNTIF($AH$124:AH216,"&lt;="&amp;AH165)=0,"",COUNTIF($AH$124:AH216,"&lt;="&amp;AH165))</f>
        <v>41</v>
      </c>
      <c r="AJ165" s="353">
        <f>RANK(AI165,AI$124:AI216,1)</f>
        <v>41</v>
      </c>
      <c r="AK165" s="353" t="str">
        <f>INDEX(E$124:E216,MATCH(ROWS(AJ$124:AJ165),AJ$124:AJ216,0))</f>
        <v/>
      </c>
      <c r="AL165" s="353" t="str">
        <f>INDEX(K$124:K216,MATCH(ROWS(AJ$124:AJ165),AJ$124:AJ216,0))</f>
        <v/>
      </c>
      <c r="AM165" s="353">
        <f>INDEX(V$124:V216,MATCH(ROWS(AJ$124:AJ165),AJ$124:AJ216,0))</f>
        <v>0</v>
      </c>
      <c r="AN165" s="353" t="str">
        <f t="shared" si="25"/>
        <v/>
      </c>
      <c r="AO165" s="353" t="e">
        <f t="shared" si="26"/>
        <v>#N/A</v>
      </c>
      <c r="AP165" s="353" t="str">
        <f>Setup!A126</f>
        <v>a51</v>
      </c>
      <c r="AQ165" s="366" t="s">
        <v>558</v>
      </c>
      <c r="AR165" s="316"/>
      <c r="AS165" s="315"/>
    </row>
    <row r="166" spans="1:45" ht="47.1" customHeight="1" x14ac:dyDescent="0.25">
      <c r="A166" s="333">
        <v>42</v>
      </c>
      <c r="B166" s="355" t="str" cm="1">
        <f t="array" ref="B166">IFERROR(INDEX($E$123:$E$175, MATCH(0, COUNTIF($B$123:B165, $E$123:$E$175&amp;"") + IF($E$123:$E$175="",1,0),0)),"")</f>
        <v/>
      </c>
      <c r="C166" s="356"/>
      <c r="D166" s="357"/>
      <c r="E166" s="358" t="str">
        <f>IFERROR(IF(AND(K166="",T166=""),"",(VLOOKUP(Q166,'Reference records(soft deleted)'!$B$86:$D$137,3,FALSE))),"")</f>
        <v/>
      </c>
      <c r="F166" s="359" t="str">
        <f t="shared" si="15"/>
        <v>INT-341547</v>
      </c>
      <c r="G166" s="360"/>
      <c r="H166" s="360"/>
      <c r="I166" s="360"/>
      <c r="J166" s="360"/>
      <c r="K166" s="358" t="str">
        <f>IFERROR(VLOOKUP(R166,'Reference Records'!B$252:C515,2,0),"")</f>
        <v/>
      </c>
      <c r="L166" s="360" t="e">
        <f>VLOOKUP(U166&amp;K166,'Reference Records'!H$252:I515,2,0)</f>
        <v>#N/A</v>
      </c>
      <c r="M166" s="360" t="e">
        <f>MATCH($L166,'Reference Records'!$E$507:$E$509,0)+ROW(Population_by_intervention) -1</f>
        <v>#N/A</v>
      </c>
      <c r="N166" s="360" t="e">
        <f>MATCH($L166,'Reference Records'!$E$507:$E$509,1)+ROW(Population_by_intervention) -1</f>
        <v>#N/A</v>
      </c>
      <c r="O166" s="360" t="str">
        <f>IFERROR(VLOOKUP(AA166,'Reference Records'!B549:C551,2,0),"")</f>
        <v/>
      </c>
      <c r="P166" s="360"/>
      <c r="Q166" s="361"/>
      <c r="R166" s="362"/>
      <c r="S166" s="360"/>
      <c r="T166" s="363"/>
      <c r="U166" s="364" t="str">
        <f>IFERROR(IF(VLOOKUP(E166,'Reference Records'!$C$192:$D$250,2,FALSE)=0,"",VLOOKUP(E166,'Reference Records'!$C$192:$D$250,2,FALSE)),"")</f>
        <v/>
      </c>
      <c r="V166" s="350"/>
      <c r="W166" s="365" t="str">
        <f t="shared" si="16"/>
        <v/>
      </c>
      <c r="X166" s="365" t="str">
        <f t="shared" si="17"/>
        <v>a1PDm000000LZBmMAO</v>
      </c>
      <c r="Y166" s="365" t="b">
        <f t="shared" si="18"/>
        <v>0</v>
      </c>
      <c r="Z166" s="365" t="b">
        <f t="shared" si="19"/>
        <v>1</v>
      </c>
      <c r="AA166" s="365" t="str">
        <f>IFERROR(VLOOKUP(L166,'Reference Records'!B$252:E515,4,0),"")</f>
        <v/>
      </c>
      <c r="AB166" s="365" t="s">
        <v>559</v>
      </c>
      <c r="AC166" s="353" t="e">
        <f t="shared" si="20"/>
        <v>#N/A</v>
      </c>
      <c r="AD166" s="353" t="str">
        <f t="shared" si="21"/>
        <v/>
      </c>
      <c r="AE166" s="353" t="str">
        <f t="array" ref="AE166">IFERROR(IF(INDEX($W$124:$W$175, MATCH(0, IF(AD166=$E$124:$E$175, COUNTIF($AE$123:$AE165, $W$124:$W$175), ""), 0))=0,"",INDEX($W$124:$W$175, MATCH(0, IF(AD166=$E$124:$E$175, COUNTIF($AE$123:$AE165, $W$124:$W$175), ""), 0))),"")</f>
        <v/>
      </c>
      <c r="AF166" s="353" t="str">
        <f t="shared" si="22"/>
        <v>|empty|</v>
      </c>
      <c r="AG166" s="353" t="str">
        <f t="shared" si="23"/>
        <v>INT-341547</v>
      </c>
      <c r="AH166" s="353" t="str">
        <f t="shared" si="24"/>
        <v>a1PDm000000LZBmMAOa52</v>
      </c>
      <c r="AI166" s="353">
        <f>IF(COUNTIF($AH$124:AH217,"&lt;="&amp;AH166)=0,"",COUNTIF($AH$124:AH217,"&lt;="&amp;AH166))</f>
        <v>42</v>
      </c>
      <c r="AJ166" s="353">
        <f>RANK(AI166,AI$124:AI217,1)</f>
        <v>42</v>
      </c>
      <c r="AK166" s="353" t="str">
        <f>INDEX(E$124:E217,MATCH(ROWS(AJ$124:AJ166),AJ$124:AJ217,0))</f>
        <v/>
      </c>
      <c r="AL166" s="353" t="str">
        <f>INDEX(K$124:K217,MATCH(ROWS(AJ$124:AJ166),AJ$124:AJ217,0))</f>
        <v/>
      </c>
      <c r="AM166" s="353">
        <f>INDEX(V$124:V217,MATCH(ROWS(AJ$124:AJ166),AJ$124:AJ217,0))</f>
        <v>0</v>
      </c>
      <c r="AN166" s="353" t="str">
        <f t="shared" si="25"/>
        <v/>
      </c>
      <c r="AO166" s="353" t="e">
        <f t="shared" si="26"/>
        <v>#N/A</v>
      </c>
      <c r="AP166" s="353" t="str">
        <f>Setup!A127</f>
        <v>a52</v>
      </c>
      <c r="AQ166" s="366" t="s">
        <v>560</v>
      </c>
      <c r="AR166" s="316"/>
      <c r="AS166" s="315"/>
    </row>
    <row r="167" spans="1:45" ht="47.1" customHeight="1" x14ac:dyDescent="0.25">
      <c r="A167" s="333">
        <v>43</v>
      </c>
      <c r="B167" s="355" t="str" cm="1">
        <f t="array" ref="B167">IFERROR(INDEX($E$123:$E$175, MATCH(0, COUNTIF($B$123:B166, $E$123:$E$175&amp;"") + IF($E$123:$E$175="",1,0),0)),"")</f>
        <v/>
      </c>
      <c r="C167" s="356"/>
      <c r="D167" s="357"/>
      <c r="E167" s="358" t="str">
        <f>IFERROR(IF(AND(K167="",T167=""),"",(VLOOKUP(Q167,'Reference records(soft deleted)'!$B$86:$D$137,3,FALSE))),"")</f>
        <v/>
      </c>
      <c r="F167" s="359" t="str">
        <f t="shared" si="15"/>
        <v>INT-341548</v>
      </c>
      <c r="G167" s="360"/>
      <c r="H167" s="360"/>
      <c r="I167" s="360"/>
      <c r="J167" s="360"/>
      <c r="K167" s="358" t="str">
        <f>IFERROR(VLOOKUP(R167,'Reference Records'!B$252:C516,2,0),"")</f>
        <v/>
      </c>
      <c r="L167" s="360" t="e">
        <f>VLOOKUP(U167&amp;K167,'Reference Records'!H$252:I516,2,0)</f>
        <v>#N/A</v>
      </c>
      <c r="M167" s="360" t="e">
        <f>MATCH($L167,'Reference Records'!$E$507:$E$509,0)+ROW(Population_by_intervention) -1</f>
        <v>#N/A</v>
      </c>
      <c r="N167" s="360" t="e">
        <f>MATCH($L167,'Reference Records'!$E$507:$E$509,1)+ROW(Population_by_intervention) -1</f>
        <v>#N/A</v>
      </c>
      <c r="O167" s="360" t="str">
        <f>IFERROR(VLOOKUP(AA167,'Reference Records'!B550:C552,2,0),"")</f>
        <v/>
      </c>
      <c r="P167" s="360"/>
      <c r="Q167" s="361"/>
      <c r="R167" s="362"/>
      <c r="S167" s="360"/>
      <c r="T167" s="363"/>
      <c r="U167" s="364" t="str">
        <f>IFERROR(IF(VLOOKUP(E167,'Reference Records'!$C$192:$D$250,2,FALSE)=0,"",VLOOKUP(E167,'Reference Records'!$C$192:$D$250,2,FALSE)),"")</f>
        <v/>
      </c>
      <c r="V167" s="350"/>
      <c r="W167" s="365" t="str">
        <f t="shared" si="16"/>
        <v/>
      </c>
      <c r="X167" s="365" t="str">
        <f t="shared" si="17"/>
        <v>a1PDm000000LZBmMAO</v>
      </c>
      <c r="Y167" s="365" t="b">
        <f t="shared" si="18"/>
        <v>0</v>
      </c>
      <c r="Z167" s="365" t="b">
        <f t="shared" si="19"/>
        <v>1</v>
      </c>
      <c r="AA167" s="365" t="str">
        <f>IFERROR(VLOOKUP(L167,'Reference Records'!B$252:E516,4,0),"")</f>
        <v/>
      </c>
      <c r="AB167" s="365" t="s">
        <v>561</v>
      </c>
      <c r="AC167" s="353" t="e">
        <f t="shared" si="20"/>
        <v>#N/A</v>
      </c>
      <c r="AD167" s="353" t="str">
        <f t="shared" si="21"/>
        <v/>
      </c>
      <c r="AE167" s="353" t="str">
        <f t="array" ref="AE167">IFERROR(IF(INDEX($W$124:$W$175, MATCH(0, IF(AD167=$E$124:$E$175, COUNTIF($AE$123:$AE166, $W$124:$W$175), ""), 0))=0,"",INDEX($W$124:$W$175, MATCH(0, IF(AD167=$E$124:$E$175, COUNTIF($AE$123:$AE166, $W$124:$W$175), ""), 0))),"")</f>
        <v/>
      </c>
      <c r="AF167" s="353" t="str">
        <f t="shared" si="22"/>
        <v>|empty|</v>
      </c>
      <c r="AG167" s="353" t="str">
        <f t="shared" si="23"/>
        <v>INT-341548</v>
      </c>
      <c r="AH167" s="353" t="str">
        <f t="shared" si="24"/>
        <v>a1PDm000000LZBmMAOa53</v>
      </c>
      <c r="AI167" s="353">
        <f>IF(COUNTIF($AH$124:AH218,"&lt;="&amp;AH167)=0,"",COUNTIF($AH$124:AH218,"&lt;="&amp;AH167))</f>
        <v>43</v>
      </c>
      <c r="AJ167" s="353">
        <f>RANK(AI167,AI$124:AI218,1)</f>
        <v>43</v>
      </c>
      <c r="AK167" s="353" t="str">
        <f>INDEX(E$124:E218,MATCH(ROWS(AJ$124:AJ167),AJ$124:AJ218,0))</f>
        <v/>
      </c>
      <c r="AL167" s="353" t="str">
        <f>INDEX(K$124:K218,MATCH(ROWS(AJ$124:AJ167),AJ$124:AJ218,0))</f>
        <v/>
      </c>
      <c r="AM167" s="353">
        <f>INDEX(V$124:V218,MATCH(ROWS(AJ$124:AJ167),AJ$124:AJ218,0))</f>
        <v>0</v>
      </c>
      <c r="AN167" s="353" t="str">
        <f t="shared" si="25"/>
        <v/>
      </c>
      <c r="AO167" s="353" t="e">
        <f t="shared" si="26"/>
        <v>#N/A</v>
      </c>
      <c r="AP167" s="353" t="str">
        <f>Setup!A128</f>
        <v>a53</v>
      </c>
      <c r="AQ167" s="366" t="s">
        <v>562</v>
      </c>
      <c r="AR167" s="316"/>
      <c r="AS167" s="315"/>
    </row>
    <row r="168" spans="1:45" ht="47.1" customHeight="1" x14ac:dyDescent="0.25">
      <c r="A168" s="333">
        <v>44</v>
      </c>
      <c r="B168" s="355" t="str" cm="1">
        <f t="array" ref="B168">IFERROR(INDEX($E$123:$E$175, MATCH(0, COUNTIF($B$123:B167, $E$123:$E$175&amp;"") + IF($E$123:$E$175="",1,0),0)),"")</f>
        <v/>
      </c>
      <c r="C168" s="356"/>
      <c r="D168" s="357"/>
      <c r="E168" s="358" t="str">
        <f>IFERROR(IF(AND(K168="",T168=""),"",(VLOOKUP(Q168,'Reference records(soft deleted)'!$B$86:$D$137,3,FALSE))),"")</f>
        <v/>
      </c>
      <c r="F168" s="359" t="str">
        <f t="shared" si="15"/>
        <v>INT-341549</v>
      </c>
      <c r="G168" s="360"/>
      <c r="H168" s="360"/>
      <c r="I168" s="360"/>
      <c r="J168" s="360"/>
      <c r="K168" s="358" t="str">
        <f>IFERROR(VLOOKUP(R168,'Reference Records'!B$252:C517,2,0),"")</f>
        <v/>
      </c>
      <c r="L168" s="360" t="e">
        <f>VLOOKUP(U168&amp;K168,'Reference Records'!H$252:I517,2,0)</f>
        <v>#N/A</v>
      </c>
      <c r="M168" s="360" t="e">
        <f>MATCH($L168,'Reference Records'!$E$507:$E$509,0)+ROW(Population_by_intervention) -1</f>
        <v>#N/A</v>
      </c>
      <c r="N168" s="360" t="e">
        <f>MATCH($L168,'Reference Records'!$E$507:$E$509,1)+ROW(Population_by_intervention) -1</f>
        <v>#N/A</v>
      </c>
      <c r="O168" s="360" t="str">
        <f>IFERROR(VLOOKUP(AA168,'Reference Records'!B551:C553,2,0),"")</f>
        <v/>
      </c>
      <c r="P168" s="360"/>
      <c r="Q168" s="361"/>
      <c r="R168" s="362"/>
      <c r="S168" s="360"/>
      <c r="T168" s="363"/>
      <c r="U168" s="364" t="str">
        <f>IFERROR(IF(VLOOKUP(E168,'Reference Records'!$C$192:$D$250,2,FALSE)=0,"",VLOOKUP(E168,'Reference Records'!$C$192:$D$250,2,FALSE)),"")</f>
        <v/>
      </c>
      <c r="V168" s="350"/>
      <c r="W168" s="365" t="str">
        <f t="shared" si="16"/>
        <v/>
      </c>
      <c r="X168" s="365" t="str">
        <f t="shared" si="17"/>
        <v>a1PDm000000LZBmMAO</v>
      </c>
      <c r="Y168" s="365" t="b">
        <f t="shared" si="18"/>
        <v>0</v>
      </c>
      <c r="Z168" s="365" t="b">
        <f t="shared" si="19"/>
        <v>1</v>
      </c>
      <c r="AA168" s="365" t="str">
        <f>IFERROR(VLOOKUP(L168,'Reference Records'!B$252:E517,4,0),"")</f>
        <v/>
      </c>
      <c r="AB168" s="365" t="s">
        <v>563</v>
      </c>
      <c r="AC168" s="353" t="e">
        <f t="shared" si="20"/>
        <v>#N/A</v>
      </c>
      <c r="AD168" s="353" t="str">
        <f t="shared" si="21"/>
        <v/>
      </c>
      <c r="AE168" s="353" t="str">
        <f t="array" ref="AE168">IFERROR(IF(INDEX($W$124:$W$175, MATCH(0, IF(AD168=$E$124:$E$175, COUNTIF($AE$123:$AE167, $W$124:$W$175), ""), 0))=0,"",INDEX($W$124:$W$175, MATCH(0, IF(AD168=$E$124:$E$175, COUNTIF($AE$123:$AE167, $W$124:$W$175), ""), 0))),"")</f>
        <v/>
      </c>
      <c r="AF168" s="353" t="str">
        <f t="shared" si="22"/>
        <v>|empty|</v>
      </c>
      <c r="AG168" s="353" t="str">
        <f t="shared" si="23"/>
        <v>INT-341549</v>
      </c>
      <c r="AH168" s="353" t="str">
        <f t="shared" si="24"/>
        <v>a1PDm000000LZBmMAOa54</v>
      </c>
      <c r="AI168" s="353">
        <f>IF(COUNTIF($AH$124:AH219,"&lt;="&amp;AH168)=0,"",COUNTIF($AH$124:AH219,"&lt;="&amp;AH168))</f>
        <v>44</v>
      </c>
      <c r="AJ168" s="353">
        <f>RANK(AI168,AI$124:AI219,1)</f>
        <v>44</v>
      </c>
      <c r="AK168" s="353" t="str">
        <f>INDEX(E$124:E219,MATCH(ROWS(AJ$124:AJ168),AJ$124:AJ219,0))</f>
        <v/>
      </c>
      <c r="AL168" s="353" t="str">
        <f>INDEX(K$124:K219,MATCH(ROWS(AJ$124:AJ168),AJ$124:AJ219,0))</f>
        <v/>
      </c>
      <c r="AM168" s="353">
        <f>INDEX(V$124:V219,MATCH(ROWS(AJ$124:AJ168),AJ$124:AJ219,0))</f>
        <v>0</v>
      </c>
      <c r="AN168" s="353" t="str">
        <f t="shared" si="25"/>
        <v/>
      </c>
      <c r="AO168" s="353" t="e">
        <f t="shared" si="26"/>
        <v>#N/A</v>
      </c>
      <c r="AP168" s="353" t="str">
        <f>Setup!A129</f>
        <v>a54</v>
      </c>
      <c r="AQ168" s="366" t="s">
        <v>564</v>
      </c>
      <c r="AR168" s="316"/>
      <c r="AS168" s="315"/>
    </row>
    <row r="169" spans="1:45" ht="47.1" customHeight="1" x14ac:dyDescent="0.25">
      <c r="A169" s="333">
        <v>45</v>
      </c>
      <c r="B169" s="355" t="str" cm="1">
        <f t="array" ref="B169">IFERROR(INDEX($E$123:$E$175, MATCH(0, COUNTIF($B$123:B168, $E$123:$E$175&amp;"") + IF($E$123:$E$175="",1,0),0)),"")</f>
        <v/>
      </c>
      <c r="C169" s="356"/>
      <c r="D169" s="357"/>
      <c r="E169" s="358" t="str">
        <f>IFERROR(IF(AND(K169="",T169=""),"",(VLOOKUP(Q169,'Reference records(soft deleted)'!$B$86:$D$137,3,FALSE))),"")</f>
        <v/>
      </c>
      <c r="F169" s="359" t="str">
        <f t="shared" si="15"/>
        <v>INT-341550</v>
      </c>
      <c r="G169" s="360"/>
      <c r="H169" s="360"/>
      <c r="I169" s="360"/>
      <c r="J169" s="360"/>
      <c r="K169" s="358" t="str">
        <f>IFERROR(VLOOKUP(R169,'Reference Records'!B$252:C518,2,0),"")</f>
        <v/>
      </c>
      <c r="L169" s="360" t="e">
        <f>VLOOKUP(U169&amp;K169,'Reference Records'!H$252:I518,2,0)</f>
        <v>#N/A</v>
      </c>
      <c r="M169" s="360" t="e">
        <f>MATCH($L169,'Reference Records'!$E$507:$E$509,0)+ROW(Population_by_intervention) -1</f>
        <v>#N/A</v>
      </c>
      <c r="N169" s="360" t="e">
        <f>MATCH($L169,'Reference Records'!$E$507:$E$509,1)+ROW(Population_by_intervention) -1</f>
        <v>#N/A</v>
      </c>
      <c r="O169" s="360" t="str">
        <f>IFERROR(VLOOKUP(AA169,'Reference Records'!B552:C554,2,0),"")</f>
        <v/>
      </c>
      <c r="P169" s="360"/>
      <c r="Q169" s="361"/>
      <c r="R169" s="362"/>
      <c r="S169" s="360"/>
      <c r="T169" s="363"/>
      <c r="U169" s="364" t="str">
        <f>IFERROR(IF(VLOOKUP(E169,'Reference Records'!$C$192:$D$250,2,FALSE)=0,"",VLOOKUP(E169,'Reference Records'!$C$192:$D$250,2,FALSE)),"")</f>
        <v/>
      </c>
      <c r="V169" s="350"/>
      <c r="W169" s="365" t="str">
        <f t="shared" si="16"/>
        <v/>
      </c>
      <c r="X169" s="365" t="str">
        <f t="shared" si="17"/>
        <v>a1PDm000000LZBmMAO</v>
      </c>
      <c r="Y169" s="365" t="b">
        <f t="shared" si="18"/>
        <v>0</v>
      </c>
      <c r="Z169" s="365" t="b">
        <f t="shared" si="19"/>
        <v>1</v>
      </c>
      <c r="AA169" s="365" t="str">
        <f>IFERROR(VLOOKUP(L169,'Reference Records'!B$252:E518,4,0),"")</f>
        <v/>
      </c>
      <c r="AB169" s="365" t="s">
        <v>565</v>
      </c>
      <c r="AC169" s="353" t="e">
        <f t="shared" si="20"/>
        <v>#N/A</v>
      </c>
      <c r="AD169" s="353" t="str">
        <f t="shared" si="21"/>
        <v/>
      </c>
      <c r="AE169" s="353" t="str">
        <f t="array" ref="AE169">IFERROR(IF(INDEX($W$124:$W$175, MATCH(0, IF(AD169=$E$124:$E$175, COUNTIF($AE$123:$AE168, $W$124:$W$175), ""), 0))=0,"",INDEX($W$124:$W$175, MATCH(0, IF(AD169=$E$124:$E$175, COUNTIF($AE$123:$AE168, $W$124:$W$175), ""), 0))),"")</f>
        <v/>
      </c>
      <c r="AF169" s="353" t="str">
        <f t="shared" si="22"/>
        <v>|empty|</v>
      </c>
      <c r="AG169" s="353" t="str">
        <f t="shared" si="23"/>
        <v>INT-341550</v>
      </c>
      <c r="AH169" s="353" t="str">
        <f t="shared" si="24"/>
        <v>a1PDm000000LZBmMAOa55</v>
      </c>
      <c r="AI169" s="353">
        <f>IF(COUNTIF($AH$124:AH220,"&lt;="&amp;AH169)=0,"",COUNTIF($AH$124:AH220,"&lt;="&amp;AH169))</f>
        <v>45</v>
      </c>
      <c r="AJ169" s="353">
        <f>RANK(AI169,AI$124:AI220,1)</f>
        <v>45</v>
      </c>
      <c r="AK169" s="353" t="str">
        <f>INDEX(E$124:E220,MATCH(ROWS(AJ$124:AJ169),AJ$124:AJ220,0))</f>
        <v/>
      </c>
      <c r="AL169" s="353" t="str">
        <f>INDEX(K$124:K220,MATCH(ROWS(AJ$124:AJ169),AJ$124:AJ220,0))</f>
        <v/>
      </c>
      <c r="AM169" s="353">
        <f>INDEX(V$124:V220,MATCH(ROWS(AJ$124:AJ169),AJ$124:AJ220,0))</f>
        <v>0</v>
      </c>
      <c r="AN169" s="353" t="str">
        <f t="shared" si="25"/>
        <v/>
      </c>
      <c r="AO169" s="353" t="e">
        <f t="shared" si="26"/>
        <v>#N/A</v>
      </c>
      <c r="AP169" s="353" t="str">
        <f>Setup!A130</f>
        <v>a55</v>
      </c>
      <c r="AQ169" s="366" t="s">
        <v>566</v>
      </c>
      <c r="AR169" s="316"/>
      <c r="AS169" s="315"/>
    </row>
    <row r="170" spans="1:45" ht="47.1" customHeight="1" x14ac:dyDescent="0.25">
      <c r="A170" s="333">
        <v>46</v>
      </c>
      <c r="B170" s="355" t="str" cm="1">
        <f t="array" ref="B170">IFERROR(INDEX($E$123:$E$175, MATCH(0, COUNTIF($B$123:B169, $E$123:$E$175&amp;"") + IF($E$123:$E$175="",1,0),0)),"")</f>
        <v/>
      </c>
      <c r="C170" s="356"/>
      <c r="D170" s="357"/>
      <c r="E170" s="358" t="str">
        <f>IFERROR(IF(AND(K170="",T170=""),"",(VLOOKUP(Q170,'Reference records(soft deleted)'!$B$86:$D$137,3,FALSE))),"")</f>
        <v/>
      </c>
      <c r="F170" s="359" t="str">
        <f t="shared" si="15"/>
        <v>INT-341551</v>
      </c>
      <c r="G170" s="360"/>
      <c r="H170" s="360"/>
      <c r="I170" s="360"/>
      <c r="J170" s="360"/>
      <c r="K170" s="358" t="str">
        <f>IFERROR(VLOOKUP(R170,'Reference Records'!B$252:C519,2,0),"")</f>
        <v/>
      </c>
      <c r="L170" s="360" t="e">
        <f>VLOOKUP(U170&amp;K170,'Reference Records'!H$252:I519,2,0)</f>
        <v>#N/A</v>
      </c>
      <c r="M170" s="360" t="e">
        <f>MATCH($L170,'Reference Records'!$E$507:$E$509,0)+ROW(Population_by_intervention) -1</f>
        <v>#N/A</v>
      </c>
      <c r="N170" s="360" t="e">
        <f>MATCH($L170,'Reference Records'!$E$507:$E$509,1)+ROW(Population_by_intervention) -1</f>
        <v>#N/A</v>
      </c>
      <c r="O170" s="360" t="str">
        <f>IFERROR(VLOOKUP(AA170,'Reference Records'!B553:C555,2,0),"")</f>
        <v/>
      </c>
      <c r="P170" s="360"/>
      <c r="Q170" s="361"/>
      <c r="R170" s="362"/>
      <c r="S170" s="360"/>
      <c r="T170" s="363"/>
      <c r="U170" s="364" t="str">
        <f>IFERROR(IF(VLOOKUP(E170,'Reference Records'!$C$192:$D$250,2,FALSE)=0,"",VLOOKUP(E170,'Reference Records'!$C$192:$D$250,2,FALSE)),"")</f>
        <v/>
      </c>
      <c r="V170" s="350"/>
      <c r="W170" s="365" t="str">
        <f t="shared" si="16"/>
        <v/>
      </c>
      <c r="X170" s="365" t="str">
        <f t="shared" si="17"/>
        <v>a1PDm000000LZBmMAO</v>
      </c>
      <c r="Y170" s="365" t="b">
        <f t="shared" si="18"/>
        <v>0</v>
      </c>
      <c r="Z170" s="365" t="b">
        <f t="shared" si="19"/>
        <v>1</v>
      </c>
      <c r="AA170" s="365" t="str">
        <f>IFERROR(VLOOKUP(L170,'Reference Records'!B$252:E519,4,0),"")</f>
        <v/>
      </c>
      <c r="AB170" s="365" t="s">
        <v>567</v>
      </c>
      <c r="AC170" s="353" t="e">
        <f t="shared" si="20"/>
        <v>#N/A</v>
      </c>
      <c r="AD170" s="353" t="str">
        <f t="shared" si="21"/>
        <v/>
      </c>
      <c r="AE170" s="353" t="str">
        <f t="array" ref="AE170">IFERROR(IF(INDEX($W$124:$W$175, MATCH(0, IF(AD170=$E$124:$E$175, COUNTIF($AE$123:$AE169, $W$124:$W$175), ""), 0))=0,"",INDEX($W$124:$W$175, MATCH(0, IF(AD170=$E$124:$E$175, COUNTIF($AE$123:$AE169, $W$124:$W$175), ""), 0))),"")</f>
        <v/>
      </c>
      <c r="AF170" s="353" t="str">
        <f t="shared" si="22"/>
        <v>|empty|</v>
      </c>
      <c r="AG170" s="353" t="str">
        <f t="shared" si="23"/>
        <v>INT-341551</v>
      </c>
      <c r="AH170" s="353" t="str">
        <f t="shared" si="24"/>
        <v>a1PDm000000LZBmMAOa56</v>
      </c>
      <c r="AI170" s="353">
        <f>IF(COUNTIF($AH$124:AH221,"&lt;="&amp;AH170)=0,"",COUNTIF($AH$124:AH221,"&lt;="&amp;AH170))</f>
        <v>46</v>
      </c>
      <c r="AJ170" s="353">
        <f>RANK(AI170,AI$124:AI221,1)</f>
        <v>46</v>
      </c>
      <c r="AK170" s="353" t="str">
        <f>INDEX(E$124:E221,MATCH(ROWS(AJ$124:AJ170),AJ$124:AJ221,0))</f>
        <v/>
      </c>
      <c r="AL170" s="353" t="str">
        <f>INDEX(K$124:K221,MATCH(ROWS(AJ$124:AJ170),AJ$124:AJ221,0))</f>
        <v/>
      </c>
      <c r="AM170" s="353">
        <f>INDEX(V$124:V221,MATCH(ROWS(AJ$124:AJ170),AJ$124:AJ221,0))</f>
        <v>0</v>
      </c>
      <c r="AN170" s="353" t="str">
        <f t="shared" si="25"/>
        <v/>
      </c>
      <c r="AO170" s="353" t="e">
        <f t="shared" si="26"/>
        <v>#N/A</v>
      </c>
      <c r="AP170" s="353" t="str">
        <f>Setup!A131</f>
        <v>a56</v>
      </c>
      <c r="AQ170" s="366" t="s">
        <v>568</v>
      </c>
      <c r="AR170" s="316"/>
      <c r="AS170" s="315"/>
    </row>
    <row r="171" spans="1:45" ht="47.1" customHeight="1" x14ac:dyDescent="0.25">
      <c r="A171" s="333">
        <v>47</v>
      </c>
      <c r="B171" s="355" t="str" cm="1">
        <f t="array" ref="B171">IFERROR(INDEX($E$123:$E$175, MATCH(0, COUNTIF($B$123:B170, $E$123:$E$175&amp;"") + IF($E$123:$E$175="",1,0),0)),"")</f>
        <v/>
      </c>
      <c r="C171" s="356"/>
      <c r="D171" s="357"/>
      <c r="E171" s="358" t="str">
        <f>IFERROR(IF(AND(K171="",T171=""),"",(VLOOKUP(Q171,'Reference records(soft deleted)'!$B$86:$D$137,3,FALSE))),"")</f>
        <v/>
      </c>
      <c r="F171" s="359" t="str">
        <f t="shared" si="15"/>
        <v>INT-341552</v>
      </c>
      <c r="G171" s="360"/>
      <c r="H171" s="360"/>
      <c r="I171" s="360"/>
      <c r="J171" s="360"/>
      <c r="K171" s="358" t="str">
        <f>IFERROR(VLOOKUP(R171,'Reference Records'!B$252:C520,2,0),"")</f>
        <v/>
      </c>
      <c r="L171" s="360" t="e">
        <f>VLOOKUP(U171&amp;K171,'Reference Records'!H$252:I520,2,0)</f>
        <v>#N/A</v>
      </c>
      <c r="M171" s="360" t="e">
        <f>MATCH($L171,'Reference Records'!$E$507:$E$509,0)+ROW(Population_by_intervention) -1</f>
        <v>#N/A</v>
      </c>
      <c r="N171" s="360" t="e">
        <f>MATCH($L171,'Reference Records'!$E$507:$E$509,1)+ROW(Population_by_intervention) -1</f>
        <v>#N/A</v>
      </c>
      <c r="O171" s="360" t="str">
        <f>IFERROR(VLOOKUP(AA171,'Reference Records'!B554:C556,2,0),"")</f>
        <v/>
      </c>
      <c r="P171" s="360"/>
      <c r="Q171" s="361"/>
      <c r="R171" s="362"/>
      <c r="S171" s="360"/>
      <c r="T171" s="363"/>
      <c r="U171" s="364" t="str">
        <f>IFERROR(IF(VLOOKUP(E171,'Reference Records'!$C$192:$D$250,2,FALSE)=0,"",VLOOKUP(E171,'Reference Records'!$C$192:$D$250,2,FALSE)),"")</f>
        <v/>
      </c>
      <c r="V171" s="350"/>
      <c r="W171" s="365" t="str">
        <f t="shared" si="16"/>
        <v/>
      </c>
      <c r="X171" s="365" t="str">
        <f t="shared" si="17"/>
        <v>a1PDm000000LZBmMAO</v>
      </c>
      <c r="Y171" s="365" t="b">
        <f t="shared" si="18"/>
        <v>0</v>
      </c>
      <c r="Z171" s="365" t="b">
        <f t="shared" si="19"/>
        <v>1</v>
      </c>
      <c r="AA171" s="365" t="str">
        <f>IFERROR(VLOOKUP(L171,'Reference Records'!B$252:E520,4,0),"")</f>
        <v/>
      </c>
      <c r="AB171" s="365" t="s">
        <v>569</v>
      </c>
      <c r="AC171" s="353" t="e">
        <f t="shared" si="20"/>
        <v>#N/A</v>
      </c>
      <c r="AD171" s="353" t="str">
        <f t="shared" si="21"/>
        <v/>
      </c>
      <c r="AE171" s="353" t="str">
        <f t="array" ref="AE171">IFERROR(IF(INDEX($W$124:$W$175, MATCH(0, IF(AD171=$E$124:$E$175, COUNTIF($AE$123:$AE170, $W$124:$W$175), ""), 0))=0,"",INDEX($W$124:$W$175, MATCH(0, IF(AD171=$E$124:$E$175, COUNTIF($AE$123:$AE170, $W$124:$W$175), ""), 0))),"")</f>
        <v/>
      </c>
      <c r="AF171" s="353" t="str">
        <f t="shared" si="22"/>
        <v>|empty|</v>
      </c>
      <c r="AG171" s="353" t="str">
        <f t="shared" si="23"/>
        <v>INT-341552</v>
      </c>
      <c r="AH171" s="353" t="str">
        <f t="shared" si="24"/>
        <v>a1PDm000000LZBmMAOa57</v>
      </c>
      <c r="AI171" s="353">
        <f>IF(COUNTIF($AH$124:AH222,"&lt;="&amp;AH171)=0,"",COUNTIF($AH$124:AH222,"&lt;="&amp;AH171))</f>
        <v>47</v>
      </c>
      <c r="AJ171" s="353">
        <f>RANK(AI171,AI$124:AI222,1)</f>
        <v>47</v>
      </c>
      <c r="AK171" s="353" t="str">
        <f>INDEX(E$124:E222,MATCH(ROWS(AJ$124:AJ171),AJ$124:AJ222,0))</f>
        <v/>
      </c>
      <c r="AL171" s="353" t="str">
        <f>INDEX(K$124:K222,MATCH(ROWS(AJ$124:AJ171),AJ$124:AJ222,0))</f>
        <v/>
      </c>
      <c r="AM171" s="353">
        <f>INDEX(V$124:V222,MATCH(ROWS(AJ$124:AJ171),AJ$124:AJ222,0))</f>
        <v>0</v>
      </c>
      <c r="AN171" s="353" t="str">
        <f t="shared" si="25"/>
        <v/>
      </c>
      <c r="AO171" s="353" t="e">
        <f t="shared" si="26"/>
        <v>#N/A</v>
      </c>
      <c r="AP171" s="353" t="str">
        <f>Setup!A132</f>
        <v>a57</v>
      </c>
      <c r="AQ171" s="366" t="s">
        <v>570</v>
      </c>
      <c r="AR171" s="316"/>
      <c r="AS171" s="315"/>
    </row>
    <row r="172" spans="1:45" ht="47.1" customHeight="1" x14ac:dyDescent="0.25">
      <c r="A172" s="333">
        <v>48</v>
      </c>
      <c r="B172" s="355" t="str" cm="1">
        <f t="array" ref="B172">IFERROR(INDEX($E$123:$E$175, MATCH(0, COUNTIF($B$123:B171, $E$123:$E$175&amp;"") + IF($E$123:$E$175="",1,0),0)),"")</f>
        <v/>
      </c>
      <c r="C172" s="356"/>
      <c r="D172" s="357"/>
      <c r="E172" s="358" t="str">
        <f>IFERROR(IF(AND(K172="",T172=""),"",(VLOOKUP(Q172,'Reference records(soft deleted)'!$B$86:$D$137,3,FALSE))),"")</f>
        <v/>
      </c>
      <c r="F172" s="359" t="str">
        <f t="shared" si="15"/>
        <v>INT-341553</v>
      </c>
      <c r="G172" s="360"/>
      <c r="H172" s="360"/>
      <c r="I172" s="360"/>
      <c r="J172" s="360"/>
      <c r="K172" s="358" t="str">
        <f>IFERROR(VLOOKUP(R172,'Reference Records'!B$252:C521,2,0),"")</f>
        <v/>
      </c>
      <c r="L172" s="360" t="e">
        <f>VLOOKUP(U172&amp;K172,'Reference Records'!H$252:I521,2,0)</f>
        <v>#N/A</v>
      </c>
      <c r="M172" s="360" t="e">
        <f>MATCH($L172,'Reference Records'!$E$507:$E$509,0)+ROW(Population_by_intervention) -1</f>
        <v>#N/A</v>
      </c>
      <c r="N172" s="360" t="e">
        <f>MATCH($L172,'Reference Records'!$E$507:$E$509,1)+ROW(Population_by_intervention) -1</f>
        <v>#N/A</v>
      </c>
      <c r="O172" s="360" t="str">
        <f>IFERROR(VLOOKUP(AA172,'Reference Records'!B555:C557,2,0),"")</f>
        <v/>
      </c>
      <c r="P172" s="360"/>
      <c r="Q172" s="361"/>
      <c r="R172" s="362"/>
      <c r="S172" s="360"/>
      <c r="T172" s="363"/>
      <c r="U172" s="364" t="str">
        <f>IFERROR(IF(VLOOKUP(E172,'Reference Records'!$C$192:$D$250,2,FALSE)=0,"",VLOOKUP(E172,'Reference Records'!$C$192:$D$250,2,FALSE)),"")</f>
        <v/>
      </c>
      <c r="V172" s="350"/>
      <c r="W172" s="365" t="str">
        <f t="shared" si="16"/>
        <v/>
      </c>
      <c r="X172" s="365" t="str">
        <f t="shared" si="17"/>
        <v>a1PDm000000LZBmMAO</v>
      </c>
      <c r="Y172" s="365" t="b">
        <f t="shared" si="18"/>
        <v>0</v>
      </c>
      <c r="Z172" s="365" t="b">
        <f t="shared" si="19"/>
        <v>1</v>
      </c>
      <c r="AA172" s="365" t="str">
        <f>IFERROR(VLOOKUP(L172,'Reference Records'!B$252:E521,4,0),"")</f>
        <v/>
      </c>
      <c r="AB172" s="365" t="s">
        <v>571</v>
      </c>
      <c r="AC172" s="353" t="e">
        <f t="shared" si="20"/>
        <v>#N/A</v>
      </c>
      <c r="AD172" s="353" t="str">
        <f t="shared" si="21"/>
        <v/>
      </c>
      <c r="AE172" s="353" t="str">
        <f t="array" ref="AE172">IFERROR(IF(INDEX($W$124:$W$175, MATCH(0, IF(AD172=$E$124:$E$175, COUNTIF($AE$123:$AE171, $W$124:$W$175), ""), 0))=0,"",INDEX($W$124:$W$175, MATCH(0, IF(AD172=$E$124:$E$175, COUNTIF($AE$123:$AE171, $W$124:$W$175), ""), 0))),"")</f>
        <v/>
      </c>
      <c r="AF172" s="353" t="str">
        <f t="shared" si="22"/>
        <v>|empty|</v>
      </c>
      <c r="AG172" s="353" t="str">
        <f t="shared" si="23"/>
        <v>INT-341553</v>
      </c>
      <c r="AH172" s="353" t="str">
        <f t="shared" si="24"/>
        <v>a1PDm000000LZBmMAOa58</v>
      </c>
      <c r="AI172" s="353">
        <f>IF(COUNTIF($AH$124:AH223,"&lt;="&amp;AH172)=0,"",COUNTIF($AH$124:AH223,"&lt;="&amp;AH172))</f>
        <v>48</v>
      </c>
      <c r="AJ172" s="353">
        <f>RANK(AI172,AI$124:AI223,1)</f>
        <v>48</v>
      </c>
      <c r="AK172" s="353" t="str">
        <f>INDEX(E$124:E223,MATCH(ROWS(AJ$124:AJ172),AJ$124:AJ223,0))</f>
        <v/>
      </c>
      <c r="AL172" s="353" t="str">
        <f>INDEX(K$124:K223,MATCH(ROWS(AJ$124:AJ172),AJ$124:AJ223,0))</f>
        <v/>
      </c>
      <c r="AM172" s="353">
        <f>INDEX(V$124:V223,MATCH(ROWS(AJ$124:AJ172),AJ$124:AJ223,0))</f>
        <v>0</v>
      </c>
      <c r="AN172" s="353" t="str">
        <f t="shared" si="25"/>
        <v/>
      </c>
      <c r="AO172" s="353" t="e">
        <f t="shared" si="26"/>
        <v>#N/A</v>
      </c>
      <c r="AP172" s="353" t="str">
        <f>Setup!A133</f>
        <v>a58</v>
      </c>
      <c r="AQ172" s="366" t="s">
        <v>572</v>
      </c>
      <c r="AR172" s="316"/>
      <c r="AS172" s="315"/>
    </row>
    <row r="173" spans="1:45" ht="47.1" customHeight="1" x14ac:dyDescent="0.25">
      <c r="A173" s="333">
        <v>49</v>
      </c>
      <c r="B173" s="355" t="str" cm="1">
        <f t="array" ref="B173">IFERROR(INDEX($E$123:$E$175, MATCH(0, COUNTIF($B$123:B172, $E$123:$E$175&amp;"") + IF($E$123:$E$175="",1,0),0)),"")</f>
        <v/>
      </c>
      <c r="C173" s="356"/>
      <c r="D173" s="357"/>
      <c r="E173" s="358" t="str">
        <f>IFERROR(IF(AND(K173="",T173=""),"",(VLOOKUP(Q173,'Reference records(soft deleted)'!$B$86:$D$137,3,FALSE))),"")</f>
        <v/>
      </c>
      <c r="F173" s="359" t="str">
        <f t="shared" si="15"/>
        <v>INT-341554</v>
      </c>
      <c r="G173" s="360"/>
      <c r="H173" s="360"/>
      <c r="I173" s="360"/>
      <c r="J173" s="360"/>
      <c r="K173" s="358" t="str">
        <f>IFERROR(VLOOKUP(R173,'Reference Records'!B$252:C522,2,0),"")</f>
        <v/>
      </c>
      <c r="L173" s="360" t="e">
        <f>VLOOKUP(U173&amp;K173,'Reference Records'!H$252:I522,2,0)</f>
        <v>#N/A</v>
      </c>
      <c r="M173" s="360" t="e">
        <f>MATCH($L173,'Reference Records'!$E$507:$E$509,0)+ROW(Population_by_intervention) -1</f>
        <v>#N/A</v>
      </c>
      <c r="N173" s="360" t="e">
        <f>MATCH($L173,'Reference Records'!$E$507:$E$509,1)+ROW(Population_by_intervention) -1</f>
        <v>#N/A</v>
      </c>
      <c r="O173" s="360" t="str">
        <f>IFERROR(VLOOKUP(AA173,'Reference Records'!B556:C558,2,0),"")</f>
        <v/>
      </c>
      <c r="P173" s="360"/>
      <c r="Q173" s="361"/>
      <c r="R173" s="362"/>
      <c r="S173" s="360"/>
      <c r="T173" s="363"/>
      <c r="U173" s="364" t="str">
        <f>IFERROR(IF(VLOOKUP(E173,'Reference Records'!$C$192:$D$250,2,FALSE)=0,"",VLOOKUP(E173,'Reference Records'!$C$192:$D$250,2,FALSE)),"")</f>
        <v/>
      </c>
      <c r="V173" s="350"/>
      <c r="W173" s="365" t="str">
        <f t="shared" si="16"/>
        <v/>
      </c>
      <c r="X173" s="365" t="str">
        <f t="shared" si="17"/>
        <v>a1PDm000000LZBmMAO</v>
      </c>
      <c r="Y173" s="365" t="b">
        <f t="shared" si="18"/>
        <v>0</v>
      </c>
      <c r="Z173" s="365" t="b">
        <f t="shared" si="19"/>
        <v>1</v>
      </c>
      <c r="AA173" s="365" t="str">
        <f>IFERROR(VLOOKUP(L173,'Reference Records'!B$252:E522,4,0),"")</f>
        <v/>
      </c>
      <c r="AB173" s="365" t="s">
        <v>573</v>
      </c>
      <c r="AC173" s="353" t="e">
        <f t="shared" si="20"/>
        <v>#N/A</v>
      </c>
      <c r="AD173" s="353" t="str">
        <f t="shared" si="21"/>
        <v/>
      </c>
      <c r="AE173" s="353" t="str">
        <f t="array" ref="AE173">IFERROR(IF(INDEX($W$124:$W$175, MATCH(0, IF(AD173=$E$124:$E$175, COUNTIF($AE$123:$AE172, $W$124:$W$175), ""), 0))=0,"",INDEX($W$124:$W$175, MATCH(0, IF(AD173=$E$124:$E$175, COUNTIF($AE$123:$AE172, $W$124:$W$175), ""), 0))),"")</f>
        <v/>
      </c>
      <c r="AF173" s="353" t="str">
        <f t="shared" si="22"/>
        <v>|empty|</v>
      </c>
      <c r="AG173" s="353" t="str">
        <f t="shared" si="23"/>
        <v>INT-341554</v>
      </c>
      <c r="AH173" s="353" t="str">
        <f t="shared" si="24"/>
        <v>a1PDm000000LZBmMAOa59</v>
      </c>
      <c r="AI173" s="353">
        <f>IF(COUNTIF($AH$124:AH224,"&lt;="&amp;AH173)=0,"",COUNTIF($AH$124:AH224,"&lt;="&amp;AH173))</f>
        <v>49</v>
      </c>
      <c r="AJ173" s="353">
        <f>RANK(AI173,AI$124:AI224,1)</f>
        <v>49</v>
      </c>
      <c r="AK173" s="353" t="str">
        <f>INDEX(E$124:E224,MATCH(ROWS(AJ$124:AJ173),AJ$124:AJ224,0))</f>
        <v/>
      </c>
      <c r="AL173" s="353" t="str">
        <f>INDEX(K$124:K224,MATCH(ROWS(AJ$124:AJ173),AJ$124:AJ224,0))</f>
        <v/>
      </c>
      <c r="AM173" s="353">
        <f>INDEX(V$124:V224,MATCH(ROWS(AJ$124:AJ173),AJ$124:AJ224,0))</f>
        <v>0</v>
      </c>
      <c r="AN173" s="353" t="str">
        <f t="shared" si="25"/>
        <v/>
      </c>
      <c r="AO173" s="353" t="e">
        <f t="shared" si="26"/>
        <v>#N/A</v>
      </c>
      <c r="AP173" s="353" t="str">
        <f>Setup!A134</f>
        <v>a59</v>
      </c>
      <c r="AQ173" s="366" t="s">
        <v>574</v>
      </c>
      <c r="AR173" s="316"/>
      <c r="AS173" s="315"/>
    </row>
    <row r="174" spans="1:45" ht="47.1" customHeight="1" x14ac:dyDescent="0.25">
      <c r="A174" s="333">
        <v>50</v>
      </c>
      <c r="B174" s="355" t="str" cm="1">
        <f t="array" ref="B174">IFERROR(INDEX($E$123:$E$175, MATCH(0, COUNTIF($B$123:B173, $E$123:$E$175&amp;"") + IF($E$123:$E$175="",1,0),0)),"")</f>
        <v/>
      </c>
      <c r="C174" s="356"/>
      <c r="D174" s="357"/>
      <c r="E174" s="358" t="str">
        <f>IFERROR(IF(AND(K174="",T174=""),"",(VLOOKUP(Q174,'Reference records(soft deleted)'!$B$86:$D$137,3,FALSE))),"")</f>
        <v/>
      </c>
      <c r="F174" s="359" t="str">
        <f t="shared" si="15"/>
        <v>INT-341555</v>
      </c>
      <c r="G174" s="360"/>
      <c r="H174" s="360"/>
      <c r="I174" s="360"/>
      <c r="J174" s="360"/>
      <c r="K174" s="358" t="str">
        <f>IFERROR(VLOOKUP(R174,'Reference Records'!B$252:C523,2,0),"")</f>
        <v/>
      </c>
      <c r="L174" s="360" t="e">
        <f>VLOOKUP(U174&amp;K174,'Reference Records'!H$252:I523,2,0)</f>
        <v>#N/A</v>
      </c>
      <c r="M174" s="360" t="e">
        <f>MATCH($L174,'Reference Records'!$E$507:$E$509,0)+ROW(Population_by_intervention) -1</f>
        <v>#N/A</v>
      </c>
      <c r="N174" s="360" t="e">
        <f>MATCH($L174,'Reference Records'!$E$507:$E$509,1)+ROW(Population_by_intervention) -1</f>
        <v>#N/A</v>
      </c>
      <c r="O174" s="360" t="str">
        <f>IFERROR(VLOOKUP(AA174,'Reference Records'!B557:C559,2,0),"")</f>
        <v/>
      </c>
      <c r="P174" s="360"/>
      <c r="Q174" s="361"/>
      <c r="R174" s="362"/>
      <c r="S174" s="360"/>
      <c r="T174" s="363"/>
      <c r="U174" s="364" t="str">
        <f>IFERROR(IF(VLOOKUP(E174,'Reference Records'!$C$192:$D$250,2,FALSE)=0,"",VLOOKUP(E174,'Reference Records'!$C$192:$D$250,2,FALSE)),"")</f>
        <v/>
      </c>
      <c r="V174" s="350"/>
      <c r="W174" s="365" t="str">
        <f t="shared" si="16"/>
        <v/>
      </c>
      <c r="X174" s="365" t="str">
        <f t="shared" si="17"/>
        <v>a1PDm000000LZBmMAO</v>
      </c>
      <c r="Y174" s="365" t="b">
        <f t="shared" si="18"/>
        <v>0</v>
      </c>
      <c r="Z174" s="365" t="b">
        <f t="shared" si="19"/>
        <v>1</v>
      </c>
      <c r="AA174" s="365" t="str">
        <f>IFERROR(VLOOKUP(L174,'Reference Records'!B$252:E523,4,0),"")</f>
        <v/>
      </c>
      <c r="AB174" s="365" t="s">
        <v>575</v>
      </c>
      <c r="AC174" s="353" t="e">
        <f t="shared" si="20"/>
        <v>#N/A</v>
      </c>
      <c r="AD174" s="353" t="str">
        <f t="shared" si="21"/>
        <v/>
      </c>
      <c r="AE174" s="353" t="str">
        <f t="array" ref="AE174">IFERROR(IF(INDEX($W$124:$W$175, MATCH(0, IF(AD174=$E$124:$E$175, COUNTIF($AE$123:$AE173, $W$124:$W$175), ""), 0))=0,"",INDEX($W$124:$W$175, MATCH(0, IF(AD174=$E$124:$E$175, COUNTIF($AE$123:$AE173, $W$124:$W$175), ""), 0))),"")</f>
        <v/>
      </c>
      <c r="AF174" s="353" t="str">
        <f t="shared" si="22"/>
        <v>|empty|</v>
      </c>
      <c r="AG174" s="353" t="str">
        <f t="shared" si="23"/>
        <v>INT-341555</v>
      </c>
      <c r="AH174" s="353" t="str">
        <f t="shared" si="24"/>
        <v>a1PDm000000LZBmMAOa60</v>
      </c>
      <c r="AI174" s="353">
        <f>IF(COUNTIF($AH$124:AH225,"&lt;="&amp;AH174)=0,"",COUNTIF($AH$124:AH225,"&lt;="&amp;AH174))</f>
        <v>50</v>
      </c>
      <c r="AJ174" s="353">
        <f>RANK(AI174,AI$124:AI225,1)</f>
        <v>50</v>
      </c>
      <c r="AK174" s="353" t="str">
        <f>INDEX(E$124:E225,MATCH(ROWS(AJ$124:AJ174),AJ$124:AJ225,0))</f>
        <v/>
      </c>
      <c r="AL174" s="353" t="str">
        <f>INDEX(K$124:K225,MATCH(ROWS(AJ$124:AJ174),AJ$124:AJ225,0))</f>
        <v/>
      </c>
      <c r="AM174" s="353">
        <f>INDEX(V$124:V225,MATCH(ROWS(AJ$124:AJ174),AJ$124:AJ225,0))</f>
        <v>0</v>
      </c>
      <c r="AN174" s="353" t="str">
        <f t="shared" si="25"/>
        <v/>
      </c>
      <c r="AO174" s="353" t="e">
        <f t="shared" si="26"/>
        <v>#N/A</v>
      </c>
      <c r="AP174" s="353" t="str">
        <f>Setup!A135</f>
        <v>a60</v>
      </c>
      <c r="AQ174" s="366" t="s">
        <v>576</v>
      </c>
      <c r="AR174" s="316"/>
      <c r="AS174" s="315"/>
    </row>
    <row r="175" spans="1:45" ht="21.6" customHeight="1" thickBot="1" x14ac:dyDescent="0.3">
      <c r="A175" s="317"/>
      <c r="B175" s="318"/>
      <c r="C175" s="318"/>
      <c r="D175" s="318"/>
      <c r="E175" s="319"/>
      <c r="F175" s="318"/>
      <c r="G175" s="318"/>
      <c r="H175" s="318"/>
      <c r="I175" s="318"/>
      <c r="J175" s="318"/>
      <c r="K175" s="319"/>
      <c r="L175" s="318"/>
      <c r="M175" s="318"/>
      <c r="N175" s="318"/>
      <c r="O175" s="318"/>
      <c r="P175" s="318"/>
      <c r="Q175" s="318"/>
      <c r="R175" s="318"/>
      <c r="S175" s="318"/>
      <c r="T175" s="268"/>
      <c r="U175" s="268"/>
      <c r="V175" s="137"/>
      <c r="W175" s="268"/>
      <c r="X175" s="268"/>
      <c r="Y175" s="268"/>
      <c r="Z175" s="268"/>
      <c r="AA175" s="268"/>
      <c r="AB175" s="268"/>
      <c r="AC175" s="271"/>
      <c r="AE175" s="211"/>
      <c r="AF175" s="211"/>
      <c r="AG175" s="211"/>
      <c r="AH175" s="211"/>
    </row>
    <row r="176" spans="1:45" x14ac:dyDescent="0.25">
      <c r="E176" s="136"/>
      <c r="K176" s="136"/>
      <c r="T176" s="136"/>
      <c r="AE176" s="211"/>
      <c r="AF176" s="211"/>
      <c r="AG176" s="211"/>
      <c r="AH176" s="211"/>
    </row>
    <row r="177" spans="1:34 16384:16384" x14ac:dyDescent="0.25">
      <c r="E177" s="136"/>
      <c r="K177" s="136"/>
      <c r="T177" s="136"/>
      <c r="AE177" s="211"/>
      <c r="AF177" s="211"/>
      <c r="AG177" s="211"/>
      <c r="AH177" s="211"/>
    </row>
    <row r="178" spans="1:34 16384:16384" x14ac:dyDescent="0.25">
      <c r="E178" s="136"/>
      <c r="K178" s="136"/>
      <c r="T178" s="136"/>
    </row>
    <row r="183" spans="1:34 16384:16384" x14ac:dyDescent="0.25">
      <c r="A183" s="320"/>
      <c r="B183" s="320"/>
      <c r="C183" s="320"/>
      <c r="D183" s="320"/>
      <c r="XFD183" s="52" t="s">
        <v>577</v>
      </c>
    </row>
    <row r="187" spans="1:34 16384:16384" x14ac:dyDescent="0.25">
      <c r="AE187" s="211" t="s">
        <v>578</v>
      </c>
    </row>
    <row r="198" spans="44:45" x14ac:dyDescent="0.25">
      <c r="AS198" s="211"/>
    </row>
    <row r="199" spans="44:45" x14ac:dyDescent="0.25">
      <c r="AR199" s="211">
        <f>IF(C9="","",C9)</f>
        <v>12</v>
      </c>
      <c r="AS199" s="211">
        <v>3</v>
      </c>
    </row>
    <row r="200" spans="44:45" x14ac:dyDescent="0.25">
      <c r="AS200" s="211">
        <v>6</v>
      </c>
    </row>
    <row r="201" spans="44:45" x14ac:dyDescent="0.25">
      <c r="AS201" s="211">
        <v>12</v>
      </c>
    </row>
    <row r="202" spans="44:45" x14ac:dyDescent="0.25">
      <c r="AS202" s="211"/>
    </row>
  </sheetData>
  <sheetProtection algorithmName="SHA-512" hashValue="sDLE04nUYjgyoIS9er1KsoLE9WaVksHikR4kNJRl6R5NGBGqNiDWJAL48WsCQ1zUCa5TKwbmFrekYdOkRYcFnQ==" saltValue="tH/egFS0AT5JGeMbvlOH5A==" spinCount="100000" sheet="1" objects="1" scenarios="1" formatCells="0" formatRows="0" sort="0" autoFilter="0"/>
  <autoFilter ref="A30:R40"/>
  <mergeCells count="12">
    <mergeCell ref="A121:K121"/>
    <mergeCell ref="A122:K122"/>
    <mergeCell ref="Y59:Y60"/>
    <mergeCell ref="A58:E58"/>
    <mergeCell ref="A100:E100"/>
    <mergeCell ref="A76:E76"/>
    <mergeCell ref="Y77:Y92"/>
    <mergeCell ref="A1:T2"/>
    <mergeCell ref="A45:T45"/>
    <mergeCell ref="K10:K11"/>
    <mergeCell ref="A13:A14"/>
    <mergeCell ref="A43:L43"/>
  </mergeCells>
  <conditionalFormatting sqref="E102:E118">
    <cfRule type="expression" dxfId="2138" priority="31">
      <formula>AND(COUNTIF($E$102:$E$118,$E102)&gt;1,E102&lt;&gt;"")</formula>
    </cfRule>
  </conditionalFormatting>
  <conditionalFormatting sqref="A30:I30 K30:K40 R30:R40 B31:I40">
    <cfRule type="expression" dxfId="2137" priority="30">
      <formula>OR($AN$5="Grant Making", $AN$5="Grant Revision")</formula>
    </cfRule>
  </conditionalFormatting>
  <conditionalFormatting sqref="B9:E9">
    <cfRule type="expression" dxfId="2136" priority="26">
      <formula>$AN$5="Funding Request_old"</formula>
    </cfRule>
  </conditionalFormatting>
  <conditionalFormatting sqref="A31:A40">
    <cfRule type="expression" dxfId="2135" priority="21">
      <formula>OR($AN$5="Grant Making", $AN$5="Grant Revision")</formula>
    </cfRule>
  </conditionalFormatting>
  <conditionalFormatting sqref="K8">
    <cfRule type="expression" dxfId="2134" priority="20">
      <formula>OR($AN$9="Additional Funding", $AN$9="Other Revison")</formula>
    </cfRule>
  </conditionalFormatting>
  <conditionalFormatting sqref="K31:K40 E31:E40">
    <cfRule type="expression" dxfId="2133" priority="37">
      <formula>AND($E31&lt;&gt;"",$K31&lt;&gt;"")</formula>
    </cfRule>
  </conditionalFormatting>
  <conditionalFormatting sqref="E11 E8">
    <cfRule type="expression" dxfId="2132" priority="19">
      <formula>$E$8&gt;$E$11</formula>
    </cfRule>
  </conditionalFormatting>
  <conditionalFormatting sqref="K31:K40 R31:R40 A31:I40">
    <cfRule type="expression" dxfId="2131" priority="18">
      <formula>$P31:$P41="[Record ID]"</formula>
    </cfRule>
  </conditionalFormatting>
  <conditionalFormatting sqref="A60:E65 A78:E89">
    <cfRule type="expression" dxfId="2130" priority="16">
      <formula>$H60:$H73="[Record ID]"</formula>
    </cfRule>
  </conditionalFormatting>
  <conditionalFormatting sqref="A102:E108">
    <cfRule type="expression" dxfId="2129" priority="11">
      <formula>$H102:$H118="[Record ID]"</formula>
    </cfRule>
  </conditionalFormatting>
  <conditionalFormatting sqref="A124:S174">
    <cfRule type="expression" dxfId="2128" priority="10">
      <formula>$AB124:$AB175="[Record ID]"</formula>
    </cfRule>
  </conditionalFormatting>
  <conditionalFormatting sqref="A47:T53">
    <cfRule type="expression" dxfId="2127" priority="8">
      <formula>$A47&gt;$E$8</formula>
    </cfRule>
  </conditionalFormatting>
  <conditionalFormatting sqref="E31:E41">
    <cfRule type="expression" dxfId="2126" priority="4">
      <formula>AND(COUNTIF($E$31:$E$41,$E31)&gt;1,E31&lt;&gt;"")</formula>
    </cfRule>
  </conditionalFormatting>
  <conditionalFormatting sqref="E7 E10">
    <cfRule type="expression" dxfId="2125" priority="3">
      <formula>$E$7&lt;$E$10</formula>
    </cfRule>
  </conditionalFormatting>
  <conditionalFormatting sqref="A66:E72">
    <cfRule type="expression" dxfId="2124" priority="2375">
      <formula>$H66:$H91="[Record ID]"</formula>
    </cfRule>
  </conditionalFormatting>
  <conditionalFormatting sqref="A90:E90">
    <cfRule type="expression" dxfId="2123" priority="2377">
      <formula>$H90:$H118="[Record ID]"</formula>
    </cfRule>
  </conditionalFormatting>
  <conditionalFormatting sqref="A109:E117">
    <cfRule type="expression" dxfId="2122" priority="2379">
      <formula>$H109:$H175="[Record ID]"</formula>
    </cfRule>
  </conditionalFormatting>
  <dataValidations count="20">
    <dataValidation type="list" allowBlank="1" showInputMessage="1" showErrorMessage="1" sqref="E124:E174">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24:K174">
      <formula1>OFFSET(ModuleStart,MATCH(U124,ModuleColumn,0)-1,2,COUNTIF(ModuleColumn,U124),1)</formula1>
    </dataValidation>
    <dataValidation type="list" allowBlank="1" showInputMessage="1" showErrorMessage="1" sqref="E31:E40">
      <formula1>FundingRequestPR</formula1>
    </dataValidation>
    <dataValidation type="list" allowBlank="1" showInputMessage="1" showErrorMessage="1" sqref="E9">
      <formula1>$AS$200:$AS$201</formula1>
    </dataValidation>
    <dataValidation type="date" allowBlank="1" showInputMessage="1" showErrorMessage="1" sqref="E8">
      <formula1>1</formula1>
      <formula2>767376</formula2>
    </dataValidation>
    <dataValidation type="custom" allowBlank="1" showInputMessage="1" showErrorMessage="1" sqref="K31:K41">
      <formula1>E31=""</formula1>
    </dataValidation>
    <dataValidation type="list" allowBlank="1" showInputMessage="1" showErrorMessage="1" sqref="K47:K53">
      <formula1>"Yes,No"</formula1>
    </dataValidation>
    <dataValidation type="list" allowBlank="1" showInputMessage="1" showErrorMessage="1" sqref="E102:E117">
      <formula1>Module_List</formula1>
    </dataValidation>
    <dataValidation type="list" allowBlank="1" showInputMessage="1" showErrorMessage="1" errorTitle="X-Author for Excel" error="Please select either TRUE or FALSE from the dropdown." promptTitle="X-Author for Excel" sqref="Y124:Z174 G60:G72 G78:G90 G102:G117 M47:N53 L31:L40">
      <formula1>"TRUE,FALSE"</formula1>
    </dataValidation>
    <dataValidation type="date" allowBlank="1" showInputMessage="1" showErrorMessage="1" errorTitle="X-Author for Excel" error="Please enter a valid date." promptTitle="X-Author for Excel" sqref="O47:P53 E10:E11">
      <formula1>1</formula1>
      <formula2>767376</formula2>
    </dataValidation>
    <dataValidation type="custom" allowBlank="1" showInputMessage="1" showErrorMessage="1" errorTitle="X-Author for Excel" error="Id and Lookup fields are not editable." promptTitle="X-Author for Excel" sqref="Q47:Q53 U47:U53 H60:H72 F60:F72 AN10 H78:H90 F78:F90 H102:J117 X124:X174 AA124:AB174 O31:P40">
      <formula1>""</formula1>
    </dataValidation>
    <dataValidation showInputMessage="1" showErrorMessage="1" sqref="T124:T174"/>
    <dataValidation type="list" allowBlank="1" showInputMessage="1" showErrorMessage="1" sqref="T3">
      <formula1>#REF!</formula1>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60:A72">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8:A9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2:A117">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4:A174">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31:A40">
      <formula1>-1000000000000000000</formula1>
      <formula2>1000000000000000000</formula2>
    </dataValidation>
  </dataValidations>
  <hyperlinks>
    <hyperlink ref="E14" location="Overview_Objectives" display="Objectives"/>
    <hyperlink ref="T13" location="Overview_Goals" display="Goals"/>
    <hyperlink ref="T14" location="Overview_WPTM_Intervention" display="Interventions"/>
    <hyperlink ref="E13" location="Overview_Principal_Recipient_Number" display="Principal Recipients"/>
    <hyperlink ref="K13" location="Overview_Reporting_Period" display="Reporting Periods"/>
    <hyperlink ref="K14" location="Overview_Modules" display="Modules"/>
    <hyperlink ref="AT13" location="Instructions!InstructionA" display="Instructions"/>
  </hyperlinks>
  <pageMargins left="0.7" right="0.7" top="0.75" bottom="0.75" header="0.3" footer="0.3"/>
  <pageSetup paperSize="8" scale="10" fitToHeight="0" orientation="landscape" r:id="rId1"/>
  <rowBreaks count="4" manualBreakCount="4">
    <brk id="17" max="16383" man="1"/>
    <brk id="41" max="16383" man="1"/>
    <brk id="58" max="16383" man="1"/>
    <brk id="17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'Account Role'!$C$2:$C$17</xm:f>
          </x14:formula1>
          <xm:sqref>J27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12"/>
  <sheetViews>
    <sheetView zoomScale="70" zoomScaleNormal="70" workbookViewId="0">
      <selection activeCell="A3" sqref="A3"/>
    </sheetView>
  </sheetViews>
  <sheetFormatPr defaultColWidth="8.59765625" defaultRowHeight="13.2" x14ac:dyDescent="0.25"/>
  <cols>
    <col min="1" max="1" width="18.59765625" style="1" customWidth="1"/>
    <col min="2" max="2" width="43.09765625" style="1" customWidth="1"/>
    <col min="3" max="3" width="8.59765625" style="1"/>
    <col min="4" max="4" width="40.09765625" style="1" customWidth="1"/>
    <col min="5" max="6" width="14.09765625" style="1" customWidth="1"/>
    <col min="7" max="7" width="8.59765625" style="1"/>
    <col min="8" max="8" width="37.59765625" style="1" customWidth="1"/>
    <col min="9" max="9" width="22" style="1" customWidth="1"/>
    <col min="10" max="16384" width="8.59765625" style="1"/>
  </cols>
  <sheetData>
    <row r="1" spans="1:8" x14ac:dyDescent="0.25">
      <c r="A1" s="2" t="s">
        <v>4471</v>
      </c>
    </row>
    <row r="2" spans="1:8" x14ac:dyDescent="0.25">
      <c r="A2" s="14" t="s">
        <v>4472</v>
      </c>
      <c r="B2" s="14" t="s">
        <v>784</v>
      </c>
      <c r="C2" s="14">
        <v>0</v>
      </c>
      <c r="D2" s="14" t="s">
        <v>4473</v>
      </c>
      <c r="E2" s="14" t="s">
        <v>2216</v>
      </c>
      <c r="F2" s="14" t="s">
        <v>2217</v>
      </c>
      <c r="G2" s="14" t="s">
        <v>318</v>
      </c>
      <c r="H2" s="14" t="s">
        <v>4474</v>
      </c>
    </row>
    <row r="3" spans="1:8" hidden="1" x14ac:dyDescent="0.25">
      <c r="A3" s="14" t="s">
        <v>4475</v>
      </c>
      <c r="B3" s="15" t="s">
        <v>2154</v>
      </c>
      <c r="C3" s="14">
        <f>IF(B3=B2,C2+1,0)</f>
        <v>0</v>
      </c>
      <c r="D3" s="14" t="str">
        <f>B3&amp;"-"&amp;C3</f>
        <v>[Name]-0</v>
      </c>
      <c r="E3" s="15" t="s">
        <v>4476</v>
      </c>
      <c r="F3" s="15" t="s">
        <v>4477</v>
      </c>
      <c r="G3" s="14" t="s">
        <v>321</v>
      </c>
      <c r="H3" s="15" t="s">
        <v>4478</v>
      </c>
    </row>
    <row r="4" spans="1:8" x14ac:dyDescent="0.25">
      <c r="A4" s="14" t="s">
        <v>802</v>
      </c>
      <c r="B4" s="15" t="s">
        <v>803</v>
      </c>
      <c r="C4" s="14">
        <f t="shared" ref="C4:C67" si="0">IF(B4=B3,C3+1,0)</f>
        <v>0</v>
      </c>
      <c r="D4" s="14" t="str">
        <f t="shared" ref="D4:D67" si="1">B4&amp;"-"&amp;C4</f>
        <v>HIV I-13 Percentage of people living with HIV-0</v>
      </c>
      <c r="E4" s="15" t="s">
        <v>821</v>
      </c>
      <c r="F4" s="15" t="s">
        <v>4479</v>
      </c>
      <c r="G4" s="14" t="s">
        <v>4480</v>
      </c>
      <c r="H4" s="15" t="s">
        <v>4481</v>
      </c>
    </row>
    <row r="5" spans="1:8" x14ac:dyDescent="0.25">
      <c r="A5" s="14" t="s">
        <v>802</v>
      </c>
      <c r="B5" s="15" t="s">
        <v>803</v>
      </c>
      <c r="C5" s="14">
        <f t="shared" si="0"/>
        <v>1</v>
      </c>
      <c r="D5" s="14" t="str">
        <f t="shared" si="1"/>
        <v>HIV I-13 Percentage of people living with HIV-1</v>
      </c>
      <c r="E5" s="15" t="s">
        <v>821</v>
      </c>
      <c r="F5" s="15" t="s">
        <v>4482</v>
      </c>
      <c r="G5" s="14" t="s">
        <v>4483</v>
      </c>
      <c r="H5" s="15" t="s">
        <v>4484</v>
      </c>
    </row>
    <row r="6" spans="1:8" x14ac:dyDescent="0.25">
      <c r="A6" s="14" t="s">
        <v>802</v>
      </c>
      <c r="B6" s="15" t="s">
        <v>803</v>
      </c>
      <c r="C6" s="14">
        <f t="shared" si="0"/>
        <v>2</v>
      </c>
      <c r="D6" s="14" t="str">
        <f t="shared" si="1"/>
        <v>HIV I-13 Percentage of people living with HIV-2</v>
      </c>
      <c r="E6" s="15" t="s">
        <v>4485</v>
      </c>
      <c r="F6" s="15" t="s">
        <v>4486</v>
      </c>
      <c r="G6" s="14" t="s">
        <v>4487</v>
      </c>
      <c r="H6" s="15" t="s">
        <v>4488</v>
      </c>
    </row>
    <row r="7" spans="1:8" x14ac:dyDescent="0.25">
      <c r="A7" s="14" t="s">
        <v>802</v>
      </c>
      <c r="B7" s="15" t="s">
        <v>803</v>
      </c>
      <c r="C7" s="14">
        <f t="shared" si="0"/>
        <v>3</v>
      </c>
      <c r="D7" s="14" t="str">
        <f t="shared" si="1"/>
        <v>HIV I-13 Percentage of people living with HIV-3</v>
      </c>
      <c r="E7" s="15" t="s">
        <v>4485</v>
      </c>
      <c r="F7" s="15" t="s">
        <v>4489</v>
      </c>
      <c r="G7" s="14" t="s">
        <v>4490</v>
      </c>
      <c r="H7" s="15" t="s">
        <v>4491</v>
      </c>
    </row>
    <row r="8" spans="1:8" x14ac:dyDescent="0.25">
      <c r="A8" s="14" t="s">
        <v>802</v>
      </c>
      <c r="B8" s="15" t="s">
        <v>803</v>
      </c>
      <c r="C8" s="14">
        <f t="shared" si="0"/>
        <v>4</v>
      </c>
      <c r="D8" s="14" t="str">
        <f t="shared" si="1"/>
        <v>HIV I-13 Percentage of people living with HIV-4</v>
      </c>
      <c r="E8" s="15" t="s">
        <v>1168</v>
      </c>
      <c r="F8" s="15" t="s">
        <v>4492</v>
      </c>
      <c r="G8" s="14" t="s">
        <v>4493</v>
      </c>
      <c r="H8" s="15" t="s">
        <v>4494</v>
      </c>
    </row>
    <row r="9" spans="1:8" x14ac:dyDescent="0.25">
      <c r="A9" s="14" t="s">
        <v>802</v>
      </c>
      <c r="B9" s="15" t="s">
        <v>803</v>
      </c>
      <c r="C9" s="14">
        <f t="shared" si="0"/>
        <v>5</v>
      </c>
      <c r="D9" s="14" t="str">
        <f t="shared" si="1"/>
        <v>HIV I-13 Percentage of people living with HIV-5</v>
      </c>
      <c r="E9" s="15" t="s">
        <v>4485</v>
      </c>
      <c r="F9" s="15" t="s">
        <v>4495</v>
      </c>
      <c r="G9" s="14" t="s">
        <v>4496</v>
      </c>
      <c r="H9" s="15" t="s">
        <v>4497</v>
      </c>
    </row>
    <row r="10" spans="1:8" x14ac:dyDescent="0.25">
      <c r="A10" s="14" t="s">
        <v>802</v>
      </c>
      <c r="B10" s="15" t="s">
        <v>803</v>
      </c>
      <c r="C10" s="14">
        <f t="shared" si="0"/>
        <v>6</v>
      </c>
      <c r="D10" s="14" t="str">
        <f t="shared" si="1"/>
        <v>HIV I-13 Percentage of people living with HIV-6</v>
      </c>
      <c r="E10" s="15" t="s">
        <v>4485</v>
      </c>
      <c r="F10" s="15" t="s">
        <v>4498</v>
      </c>
      <c r="G10" s="14" t="s">
        <v>4499</v>
      </c>
      <c r="H10" s="15" t="s">
        <v>4500</v>
      </c>
    </row>
    <row r="11" spans="1:8" x14ac:dyDescent="0.25">
      <c r="A11" s="14" t="s">
        <v>802</v>
      </c>
      <c r="B11" s="15" t="s">
        <v>803</v>
      </c>
      <c r="C11" s="14">
        <f t="shared" si="0"/>
        <v>7</v>
      </c>
      <c r="D11" s="14" t="str">
        <f t="shared" si="1"/>
        <v>HIV I-13 Percentage of people living with HIV-7</v>
      </c>
      <c r="E11" s="15" t="s">
        <v>1168</v>
      </c>
      <c r="F11" s="15" t="s">
        <v>4501</v>
      </c>
      <c r="G11" s="14" t="s">
        <v>4502</v>
      </c>
      <c r="H11" s="15" t="s">
        <v>4503</v>
      </c>
    </row>
    <row r="12" spans="1:8" x14ac:dyDescent="0.25">
      <c r="A12" s="14" t="s">
        <v>808</v>
      </c>
      <c r="B12" s="15" t="s">
        <v>809</v>
      </c>
      <c r="C12" s="14">
        <f t="shared" si="0"/>
        <v>0</v>
      </c>
      <c r="D12" s="14" t="str">
        <f t="shared" si="1"/>
        <v>HIV I-14 Number of new HIV infections per 1000 uninfected population-0</v>
      </c>
      <c r="E12" s="15" t="s">
        <v>821</v>
      </c>
      <c r="F12" s="15" t="s">
        <v>4479</v>
      </c>
      <c r="G12" s="14" t="s">
        <v>4504</v>
      </c>
      <c r="H12" s="15" t="s">
        <v>4505</v>
      </c>
    </row>
    <row r="13" spans="1:8" x14ac:dyDescent="0.25">
      <c r="A13" s="14" t="s">
        <v>808</v>
      </c>
      <c r="B13" s="15" t="s">
        <v>809</v>
      </c>
      <c r="C13" s="14">
        <f t="shared" si="0"/>
        <v>1</v>
      </c>
      <c r="D13" s="14" t="str">
        <f t="shared" si="1"/>
        <v>HIV I-14 Number of new HIV infections per 1000 uninfected population-1</v>
      </c>
      <c r="E13" s="15" t="s">
        <v>821</v>
      </c>
      <c r="F13" s="15" t="s">
        <v>4482</v>
      </c>
      <c r="G13" s="14" t="s">
        <v>4506</v>
      </c>
      <c r="H13" s="15" t="s">
        <v>4507</v>
      </c>
    </row>
    <row r="14" spans="1:8" x14ac:dyDescent="0.25">
      <c r="A14" s="14" t="s">
        <v>808</v>
      </c>
      <c r="B14" s="15" t="s">
        <v>809</v>
      </c>
      <c r="C14" s="14">
        <f t="shared" si="0"/>
        <v>2</v>
      </c>
      <c r="D14" s="14" t="str">
        <f t="shared" si="1"/>
        <v>HIV I-14 Number of new HIV infections per 1000 uninfected population-2</v>
      </c>
      <c r="E14" s="15" t="s">
        <v>4485</v>
      </c>
      <c r="F14" s="15" t="s">
        <v>4486</v>
      </c>
      <c r="G14" s="14" t="s">
        <v>4508</v>
      </c>
      <c r="H14" s="15" t="s">
        <v>4509</v>
      </c>
    </row>
    <row r="15" spans="1:8" x14ac:dyDescent="0.25">
      <c r="A15" s="14" t="s">
        <v>808</v>
      </c>
      <c r="B15" s="15" t="s">
        <v>809</v>
      </c>
      <c r="C15" s="14">
        <f t="shared" si="0"/>
        <v>3</v>
      </c>
      <c r="D15" s="14" t="str">
        <f t="shared" si="1"/>
        <v>HIV I-14 Number of new HIV infections per 1000 uninfected population-3</v>
      </c>
      <c r="E15" s="15" t="s">
        <v>4485</v>
      </c>
      <c r="F15" s="15" t="s">
        <v>4489</v>
      </c>
      <c r="G15" s="14" t="s">
        <v>4510</v>
      </c>
      <c r="H15" s="15" t="s">
        <v>4511</v>
      </c>
    </row>
    <row r="16" spans="1:8" x14ac:dyDescent="0.25">
      <c r="A16" s="14" t="s">
        <v>808</v>
      </c>
      <c r="B16" s="15" t="s">
        <v>809</v>
      </c>
      <c r="C16" s="14">
        <f t="shared" si="0"/>
        <v>4</v>
      </c>
      <c r="D16" s="14" t="str">
        <f t="shared" si="1"/>
        <v>HIV I-14 Number of new HIV infections per 1000 uninfected population-4</v>
      </c>
      <c r="E16" s="15" t="s">
        <v>1168</v>
      </c>
      <c r="F16" s="15" t="s">
        <v>4492</v>
      </c>
      <c r="G16" s="14" t="s">
        <v>4512</v>
      </c>
      <c r="H16" s="15" t="s">
        <v>4513</v>
      </c>
    </row>
    <row r="17" spans="1:8" x14ac:dyDescent="0.25">
      <c r="A17" s="14" t="s">
        <v>808</v>
      </c>
      <c r="B17" s="15" t="s">
        <v>809</v>
      </c>
      <c r="C17" s="14">
        <f t="shared" si="0"/>
        <v>5</v>
      </c>
      <c r="D17" s="14" t="str">
        <f t="shared" si="1"/>
        <v>HIV I-14 Number of new HIV infections per 1000 uninfected population-5</v>
      </c>
      <c r="E17" s="15" t="s">
        <v>4485</v>
      </c>
      <c r="F17" s="15" t="s">
        <v>4495</v>
      </c>
      <c r="G17" s="14" t="s">
        <v>4514</v>
      </c>
      <c r="H17" s="15" t="s">
        <v>4515</v>
      </c>
    </row>
    <row r="18" spans="1:8" x14ac:dyDescent="0.25">
      <c r="A18" s="14" t="s">
        <v>808</v>
      </c>
      <c r="B18" s="15" t="s">
        <v>809</v>
      </c>
      <c r="C18" s="14">
        <f t="shared" si="0"/>
        <v>6</v>
      </c>
      <c r="D18" s="14" t="str">
        <f t="shared" si="1"/>
        <v>HIV I-14 Number of new HIV infections per 1000 uninfected population-6</v>
      </c>
      <c r="E18" s="15" t="s">
        <v>4485</v>
      </c>
      <c r="F18" s="15" t="s">
        <v>4498</v>
      </c>
      <c r="G18" s="14" t="s">
        <v>4516</v>
      </c>
      <c r="H18" s="15" t="s">
        <v>4517</v>
      </c>
    </row>
    <row r="19" spans="1:8" x14ac:dyDescent="0.25">
      <c r="A19" s="14" t="s">
        <v>808</v>
      </c>
      <c r="B19" s="15" t="s">
        <v>809</v>
      </c>
      <c r="C19" s="14">
        <f t="shared" si="0"/>
        <v>7</v>
      </c>
      <c r="D19" s="14" t="str">
        <f t="shared" si="1"/>
        <v>HIV I-14 Number of new HIV infections per 1000 uninfected population-7</v>
      </c>
      <c r="E19" s="15" t="s">
        <v>1168</v>
      </c>
      <c r="F19" s="15" t="s">
        <v>4501</v>
      </c>
      <c r="G19" s="14" t="s">
        <v>4518</v>
      </c>
      <c r="H19" s="15" t="s">
        <v>4519</v>
      </c>
    </row>
    <row r="20" spans="1:8" x14ac:dyDescent="0.25">
      <c r="A20" s="14" t="s">
        <v>812</v>
      </c>
      <c r="B20" s="15" t="s">
        <v>750</v>
      </c>
      <c r="C20" s="14">
        <f t="shared" si="0"/>
        <v>0</v>
      </c>
      <c r="D20" s="14" t="str">
        <f t="shared" si="1"/>
        <v>HIV I-4 Number of AIDS-related deaths per 100,000 population-0</v>
      </c>
      <c r="E20" s="15" t="s">
        <v>821</v>
      </c>
      <c r="F20" s="15" t="s">
        <v>4479</v>
      </c>
      <c r="G20" s="14" t="s">
        <v>4520</v>
      </c>
      <c r="H20" s="15" t="s">
        <v>4521</v>
      </c>
    </row>
    <row r="21" spans="1:8" x14ac:dyDescent="0.25">
      <c r="A21" s="14" t="s">
        <v>812</v>
      </c>
      <c r="B21" s="15" t="s">
        <v>750</v>
      </c>
      <c r="C21" s="14">
        <f t="shared" si="0"/>
        <v>1</v>
      </c>
      <c r="D21" s="14" t="str">
        <f t="shared" si="1"/>
        <v>HIV I-4 Number of AIDS-related deaths per 100,000 population-1</v>
      </c>
      <c r="E21" s="15" t="s">
        <v>4485</v>
      </c>
      <c r="F21" s="15" t="s">
        <v>4486</v>
      </c>
      <c r="G21" s="14" t="s">
        <v>4522</v>
      </c>
      <c r="H21" s="15" t="s">
        <v>4523</v>
      </c>
    </row>
    <row r="22" spans="1:8" x14ac:dyDescent="0.25">
      <c r="A22" s="14" t="s">
        <v>812</v>
      </c>
      <c r="B22" s="15" t="s">
        <v>750</v>
      </c>
      <c r="C22" s="14">
        <f t="shared" si="0"/>
        <v>2</v>
      </c>
      <c r="D22" s="14" t="str">
        <f t="shared" si="1"/>
        <v>HIV I-4 Number of AIDS-related deaths per 100,000 population-2</v>
      </c>
      <c r="E22" s="15" t="s">
        <v>4485</v>
      </c>
      <c r="F22" s="15" t="s">
        <v>4489</v>
      </c>
      <c r="G22" s="14" t="s">
        <v>4524</v>
      </c>
      <c r="H22" s="15" t="s">
        <v>4525</v>
      </c>
    </row>
    <row r="23" spans="1:8" x14ac:dyDescent="0.25">
      <c r="A23" s="14" t="s">
        <v>812</v>
      </c>
      <c r="B23" s="15" t="s">
        <v>750</v>
      </c>
      <c r="C23" s="14">
        <f t="shared" si="0"/>
        <v>3</v>
      </c>
      <c r="D23" s="14" t="str">
        <f t="shared" si="1"/>
        <v>HIV I-4 Number of AIDS-related deaths per 100,000 population-3</v>
      </c>
      <c r="E23" s="15" t="s">
        <v>1168</v>
      </c>
      <c r="F23" s="15" t="s">
        <v>4492</v>
      </c>
      <c r="G23" s="14" t="s">
        <v>4526</v>
      </c>
      <c r="H23" s="15" t="s">
        <v>4527</v>
      </c>
    </row>
    <row r="24" spans="1:8" x14ac:dyDescent="0.25">
      <c r="A24" s="14" t="s">
        <v>812</v>
      </c>
      <c r="B24" s="15" t="s">
        <v>750</v>
      </c>
      <c r="C24" s="14">
        <f t="shared" si="0"/>
        <v>4</v>
      </c>
      <c r="D24" s="14" t="str">
        <f t="shared" si="1"/>
        <v>HIV I-4 Number of AIDS-related deaths per 100,000 population-4</v>
      </c>
      <c r="E24" s="15" t="s">
        <v>821</v>
      </c>
      <c r="F24" s="15" t="s">
        <v>4528</v>
      </c>
      <c r="G24" s="14" t="s">
        <v>4529</v>
      </c>
      <c r="H24" s="15" t="s">
        <v>4530</v>
      </c>
    </row>
    <row r="25" spans="1:8" x14ac:dyDescent="0.25">
      <c r="A25" s="14" t="s">
        <v>812</v>
      </c>
      <c r="B25" s="15" t="s">
        <v>750</v>
      </c>
      <c r="C25" s="14">
        <f t="shared" si="0"/>
        <v>5</v>
      </c>
      <c r="D25" s="14" t="str">
        <f t="shared" si="1"/>
        <v>HIV I-4 Number of AIDS-related deaths per 100,000 population-5</v>
      </c>
      <c r="E25" s="15" t="s">
        <v>4485</v>
      </c>
      <c r="F25" s="15" t="s">
        <v>4495</v>
      </c>
      <c r="G25" s="14" t="s">
        <v>4531</v>
      </c>
      <c r="H25" s="15" t="s">
        <v>4532</v>
      </c>
    </row>
    <row r="26" spans="1:8" x14ac:dyDescent="0.25">
      <c r="A26" s="14" t="s">
        <v>812</v>
      </c>
      <c r="B26" s="15" t="s">
        <v>750</v>
      </c>
      <c r="C26" s="14">
        <f t="shared" si="0"/>
        <v>6</v>
      </c>
      <c r="D26" s="14" t="str">
        <f t="shared" si="1"/>
        <v>HIV I-4 Number of AIDS-related deaths per 100,000 population-6</v>
      </c>
      <c r="E26" s="15" t="s">
        <v>4485</v>
      </c>
      <c r="F26" s="15" t="s">
        <v>4498</v>
      </c>
      <c r="G26" s="14" t="s">
        <v>4533</v>
      </c>
      <c r="H26" s="15" t="s">
        <v>4534</v>
      </c>
    </row>
    <row r="27" spans="1:8" x14ac:dyDescent="0.25">
      <c r="A27" s="14" t="s">
        <v>812</v>
      </c>
      <c r="B27" s="15" t="s">
        <v>750</v>
      </c>
      <c r="C27" s="14">
        <f t="shared" si="0"/>
        <v>7</v>
      </c>
      <c r="D27" s="14" t="str">
        <f t="shared" si="1"/>
        <v>HIV I-4 Number of AIDS-related deaths per 100,000 population-7</v>
      </c>
      <c r="E27" s="15" t="s">
        <v>821</v>
      </c>
      <c r="F27" s="15" t="s">
        <v>4535</v>
      </c>
      <c r="G27" s="14" t="s">
        <v>4536</v>
      </c>
      <c r="H27" s="15" t="s">
        <v>4537</v>
      </c>
    </row>
    <row r="28" spans="1:8" x14ac:dyDescent="0.25">
      <c r="A28" s="14" t="s">
        <v>812</v>
      </c>
      <c r="B28" s="15" t="s">
        <v>750</v>
      </c>
      <c r="C28" s="14">
        <f t="shared" si="0"/>
        <v>8</v>
      </c>
      <c r="D28" s="14" t="str">
        <f t="shared" si="1"/>
        <v>HIV I-4 Number of AIDS-related deaths per 100,000 population-8</v>
      </c>
      <c r="E28" s="15" t="s">
        <v>1168</v>
      </c>
      <c r="F28" s="15" t="s">
        <v>4501</v>
      </c>
      <c r="G28" s="14" t="s">
        <v>4538</v>
      </c>
      <c r="H28" s="15" t="s">
        <v>4539</v>
      </c>
    </row>
    <row r="29" spans="1:8" x14ac:dyDescent="0.25">
      <c r="A29" s="14" t="s">
        <v>820</v>
      </c>
      <c r="B29" s="15" t="s">
        <v>755</v>
      </c>
      <c r="C29" s="14">
        <f t="shared" si="0"/>
        <v>0</v>
      </c>
      <c r="D29" s="14" t="str">
        <f t="shared" si="1"/>
        <v>HIV I-9a⁽ᴹ⁾ Percentage of men who have sex with men who are living with HIV-0</v>
      </c>
      <c r="E29" s="15" t="s">
        <v>821</v>
      </c>
      <c r="F29" s="15" t="s">
        <v>4540</v>
      </c>
      <c r="G29" s="14" t="s">
        <v>4541</v>
      </c>
      <c r="H29" s="15" t="s">
        <v>4542</v>
      </c>
    </row>
    <row r="30" spans="1:8" x14ac:dyDescent="0.25">
      <c r="A30" s="14" t="s">
        <v>820</v>
      </c>
      <c r="B30" s="15" t="s">
        <v>755</v>
      </c>
      <c r="C30" s="14">
        <f t="shared" si="0"/>
        <v>1</v>
      </c>
      <c r="D30" s="14" t="str">
        <f t="shared" si="1"/>
        <v>HIV I-9a⁽ᴹ⁾ Percentage of men who have sex with men who are living with HIV-1</v>
      </c>
      <c r="E30" s="15" t="s">
        <v>821</v>
      </c>
      <c r="F30" s="15" t="s">
        <v>4543</v>
      </c>
      <c r="G30" s="14" t="s">
        <v>4544</v>
      </c>
      <c r="H30" s="15" t="s">
        <v>4545</v>
      </c>
    </row>
    <row r="31" spans="1:8" x14ac:dyDescent="0.25">
      <c r="A31" s="14" t="s">
        <v>824</v>
      </c>
      <c r="B31" s="15" t="s">
        <v>761</v>
      </c>
      <c r="C31" s="14">
        <f t="shared" si="0"/>
        <v>0</v>
      </c>
      <c r="D31" s="14" t="str">
        <f t="shared" si="1"/>
        <v>HIV I-9b⁽ᴹ⁾ Percentage of transgender people who are living with HIV-0</v>
      </c>
      <c r="E31" s="15" t="s">
        <v>821</v>
      </c>
      <c r="F31" s="15" t="s">
        <v>4540</v>
      </c>
      <c r="G31" s="14" t="s">
        <v>4546</v>
      </c>
      <c r="H31" s="15" t="s">
        <v>4547</v>
      </c>
    </row>
    <row r="32" spans="1:8" x14ac:dyDescent="0.25">
      <c r="A32" s="14" t="s">
        <v>824</v>
      </c>
      <c r="B32" s="15" t="s">
        <v>761</v>
      </c>
      <c r="C32" s="14">
        <f t="shared" si="0"/>
        <v>1</v>
      </c>
      <c r="D32" s="14" t="str">
        <f t="shared" si="1"/>
        <v>HIV I-9b⁽ᴹ⁾ Percentage of transgender people who are living with HIV-1</v>
      </c>
      <c r="E32" s="15" t="s">
        <v>821</v>
      </c>
      <c r="F32" s="15" t="s">
        <v>4543</v>
      </c>
      <c r="G32" s="14" t="s">
        <v>4548</v>
      </c>
      <c r="H32" s="15" t="s">
        <v>4549</v>
      </c>
    </row>
    <row r="33" spans="1:8" x14ac:dyDescent="0.25">
      <c r="A33" s="14" t="s">
        <v>827</v>
      </c>
      <c r="B33" s="15" t="s">
        <v>758</v>
      </c>
      <c r="C33" s="14">
        <f t="shared" si="0"/>
        <v>0</v>
      </c>
      <c r="D33" s="14" t="str">
        <f t="shared" si="1"/>
        <v>HIV I-10⁽ᴹ⁾ Percentage of sex workers who are living with HIV-0</v>
      </c>
      <c r="E33" s="15" t="s">
        <v>821</v>
      </c>
      <c r="F33" s="15" t="s">
        <v>4540</v>
      </c>
      <c r="G33" s="14" t="s">
        <v>4550</v>
      </c>
      <c r="H33" s="15" t="s">
        <v>4551</v>
      </c>
    </row>
    <row r="34" spans="1:8" x14ac:dyDescent="0.25">
      <c r="A34" s="14" t="s">
        <v>827</v>
      </c>
      <c r="B34" s="15" t="s">
        <v>758</v>
      </c>
      <c r="C34" s="14">
        <f t="shared" si="0"/>
        <v>1</v>
      </c>
      <c r="D34" s="14" t="str">
        <f t="shared" si="1"/>
        <v>HIV I-10⁽ᴹ⁾ Percentage of sex workers who are living with HIV-1</v>
      </c>
      <c r="E34" s="15" t="s">
        <v>821</v>
      </c>
      <c r="F34" s="15" t="s">
        <v>4543</v>
      </c>
      <c r="G34" s="14" t="s">
        <v>4552</v>
      </c>
      <c r="H34" s="15" t="s">
        <v>4553</v>
      </c>
    </row>
    <row r="35" spans="1:8" x14ac:dyDescent="0.25">
      <c r="A35" s="14" t="s">
        <v>827</v>
      </c>
      <c r="B35" s="15" t="s">
        <v>758</v>
      </c>
      <c r="C35" s="14">
        <f t="shared" si="0"/>
        <v>2</v>
      </c>
      <c r="D35" s="14" t="str">
        <f t="shared" si="1"/>
        <v>HIV I-10⁽ᴹ⁾ Percentage of sex workers who are living with HIV-2</v>
      </c>
      <c r="E35" s="15" t="s">
        <v>1168</v>
      </c>
      <c r="F35" s="15" t="s">
        <v>4554</v>
      </c>
      <c r="G35" s="14" t="s">
        <v>4555</v>
      </c>
      <c r="H35" s="15" t="s">
        <v>4556</v>
      </c>
    </row>
    <row r="36" spans="1:8" x14ac:dyDescent="0.25">
      <c r="A36" s="14" t="s">
        <v>827</v>
      </c>
      <c r="B36" s="15" t="s">
        <v>758</v>
      </c>
      <c r="C36" s="14">
        <f t="shared" si="0"/>
        <v>3</v>
      </c>
      <c r="D36" s="14" t="str">
        <f t="shared" si="1"/>
        <v>HIV I-10⁽ᴹ⁾ Percentage of sex workers who are living with HIV-3</v>
      </c>
      <c r="E36" s="15" t="s">
        <v>1168</v>
      </c>
      <c r="F36" s="15" t="s">
        <v>4492</v>
      </c>
      <c r="G36" s="14" t="s">
        <v>4557</v>
      </c>
      <c r="H36" s="15" t="s">
        <v>4558</v>
      </c>
    </row>
    <row r="37" spans="1:8" x14ac:dyDescent="0.25">
      <c r="A37" s="14" t="s">
        <v>827</v>
      </c>
      <c r="B37" s="15" t="s">
        <v>758</v>
      </c>
      <c r="C37" s="14">
        <f t="shared" si="0"/>
        <v>4</v>
      </c>
      <c r="D37" s="14" t="str">
        <f t="shared" si="1"/>
        <v>HIV I-10⁽ᴹ⁾ Percentage of sex workers who are living with HIV-4</v>
      </c>
      <c r="E37" s="15" t="s">
        <v>1168</v>
      </c>
      <c r="F37" s="15" t="s">
        <v>4501</v>
      </c>
      <c r="G37" s="14" t="s">
        <v>4559</v>
      </c>
      <c r="H37" s="15" t="s">
        <v>4560</v>
      </c>
    </row>
    <row r="38" spans="1:8" x14ac:dyDescent="0.25">
      <c r="A38" s="14" t="s">
        <v>831</v>
      </c>
      <c r="B38" s="15" t="s">
        <v>763</v>
      </c>
      <c r="C38" s="14">
        <f t="shared" si="0"/>
        <v>0</v>
      </c>
      <c r="D38" s="14" t="str">
        <f t="shared" si="1"/>
        <v>HIV I-11⁽ᴹ⁾ Percentage of people who inject drugs who are living with HIV-0</v>
      </c>
      <c r="E38" s="15" t="s">
        <v>821</v>
      </c>
      <c r="F38" s="15" t="s">
        <v>4540</v>
      </c>
      <c r="G38" s="14" t="s">
        <v>4561</v>
      </c>
      <c r="H38" s="15" t="s">
        <v>4562</v>
      </c>
    </row>
    <row r="39" spans="1:8" x14ac:dyDescent="0.25">
      <c r="A39" s="14" t="s">
        <v>831</v>
      </c>
      <c r="B39" s="15" t="s">
        <v>763</v>
      </c>
      <c r="C39" s="14">
        <f t="shared" si="0"/>
        <v>1</v>
      </c>
      <c r="D39" s="14" t="str">
        <f t="shared" si="1"/>
        <v>HIV I-11⁽ᴹ⁾ Percentage of people who inject drugs who are living with HIV-1</v>
      </c>
      <c r="E39" s="15" t="s">
        <v>821</v>
      </c>
      <c r="F39" s="15" t="s">
        <v>4543</v>
      </c>
      <c r="G39" s="14" t="s">
        <v>4563</v>
      </c>
      <c r="H39" s="15" t="s">
        <v>4564</v>
      </c>
    </row>
    <row r="40" spans="1:8" x14ac:dyDescent="0.25">
      <c r="A40" s="14" t="s">
        <v>831</v>
      </c>
      <c r="B40" s="15" t="s">
        <v>763</v>
      </c>
      <c r="C40" s="14">
        <f t="shared" si="0"/>
        <v>2</v>
      </c>
      <c r="D40" s="14" t="str">
        <f t="shared" si="1"/>
        <v>HIV I-11⁽ᴹ⁾ Percentage of people who inject drugs who are living with HIV-2</v>
      </c>
      <c r="E40" s="15" t="s">
        <v>1168</v>
      </c>
      <c r="F40" s="15" t="s">
        <v>4554</v>
      </c>
      <c r="G40" s="14" t="s">
        <v>4565</v>
      </c>
      <c r="H40" s="15" t="s">
        <v>4566</v>
      </c>
    </row>
    <row r="41" spans="1:8" x14ac:dyDescent="0.25">
      <c r="A41" s="14" t="s">
        <v>831</v>
      </c>
      <c r="B41" s="15" t="s">
        <v>763</v>
      </c>
      <c r="C41" s="14">
        <f t="shared" si="0"/>
        <v>3</v>
      </c>
      <c r="D41" s="14" t="str">
        <f t="shared" si="1"/>
        <v>HIV I-11⁽ᴹ⁾ Percentage of people who inject drugs who are living with HIV-3</v>
      </c>
      <c r="E41" s="15" t="s">
        <v>1168</v>
      </c>
      <c r="F41" s="15" t="s">
        <v>4492</v>
      </c>
      <c r="G41" s="14" t="s">
        <v>4567</v>
      </c>
      <c r="H41" s="15" t="s">
        <v>4568</v>
      </c>
    </row>
    <row r="42" spans="1:8" x14ac:dyDescent="0.25">
      <c r="A42" s="14" t="s">
        <v>831</v>
      </c>
      <c r="B42" s="15" t="s">
        <v>763</v>
      </c>
      <c r="C42" s="14">
        <f t="shared" si="0"/>
        <v>4</v>
      </c>
      <c r="D42" s="14" t="str">
        <f t="shared" si="1"/>
        <v>HIV I-11⁽ᴹ⁾ Percentage of people who inject drugs who are living with HIV-4</v>
      </c>
      <c r="E42" s="15" t="s">
        <v>1168</v>
      </c>
      <c r="F42" s="15" t="s">
        <v>4501</v>
      </c>
      <c r="G42" s="14" t="s">
        <v>4569</v>
      </c>
      <c r="H42" s="15" t="s">
        <v>4570</v>
      </c>
    </row>
    <row r="43" spans="1:8" x14ac:dyDescent="0.25">
      <c r="A43" s="14" t="s">
        <v>4571</v>
      </c>
      <c r="B43" s="15" t="s">
        <v>4572</v>
      </c>
      <c r="C43" s="14">
        <f t="shared" si="0"/>
        <v>0</v>
      </c>
      <c r="D43" s="14" t="str">
        <f t="shared" si="1"/>
        <v>Malaria I-1⁽ᴹ⁾ Reported malaria cases (presumed and confirmed)-0</v>
      </c>
      <c r="E43" s="15" t="s">
        <v>821</v>
      </c>
      <c r="F43" s="15" t="s">
        <v>4479</v>
      </c>
      <c r="G43" s="14" t="s">
        <v>4573</v>
      </c>
      <c r="H43" s="15" t="s">
        <v>4574</v>
      </c>
    </row>
    <row r="44" spans="1:8" x14ac:dyDescent="0.25">
      <c r="A44" s="14" t="s">
        <v>4571</v>
      </c>
      <c r="B44" s="15" t="s">
        <v>4572</v>
      </c>
      <c r="C44" s="14">
        <f t="shared" si="0"/>
        <v>1</v>
      </c>
      <c r="D44" s="14" t="str">
        <f t="shared" si="1"/>
        <v>Malaria I-1⁽ᴹ⁾ Reported malaria cases (presumed and confirmed)-1</v>
      </c>
      <c r="E44" s="15" t="s">
        <v>821</v>
      </c>
      <c r="F44" s="15" t="s">
        <v>4528</v>
      </c>
      <c r="G44" s="14" t="s">
        <v>4575</v>
      </c>
      <c r="H44" s="15" t="s">
        <v>4576</v>
      </c>
    </row>
    <row r="45" spans="1:8" x14ac:dyDescent="0.25">
      <c r="A45" s="14" t="s">
        <v>4571</v>
      </c>
      <c r="B45" s="15" t="s">
        <v>4572</v>
      </c>
      <c r="C45" s="14">
        <f t="shared" si="0"/>
        <v>2</v>
      </c>
      <c r="D45" s="14" t="str">
        <f t="shared" si="1"/>
        <v>Malaria I-1⁽ᴹ⁾ Reported malaria cases (presumed and confirmed)-2</v>
      </c>
      <c r="E45" s="15" t="s">
        <v>4577</v>
      </c>
      <c r="F45" s="15" t="s">
        <v>4578</v>
      </c>
      <c r="G45" s="14" t="s">
        <v>4579</v>
      </c>
      <c r="H45" s="15" t="s">
        <v>4580</v>
      </c>
    </row>
    <row r="46" spans="1:8" x14ac:dyDescent="0.25">
      <c r="A46" s="14" t="s">
        <v>4571</v>
      </c>
      <c r="B46" s="15" t="s">
        <v>4572</v>
      </c>
      <c r="C46" s="14">
        <f t="shared" si="0"/>
        <v>3</v>
      </c>
      <c r="D46" s="14" t="str">
        <f t="shared" si="1"/>
        <v>Malaria I-1⁽ᴹ⁾ Reported malaria cases (presumed and confirmed)-3</v>
      </c>
      <c r="E46" s="15" t="s">
        <v>4577</v>
      </c>
      <c r="F46" s="15" t="s">
        <v>4581</v>
      </c>
      <c r="G46" s="14" t="s">
        <v>4582</v>
      </c>
      <c r="H46" s="15" t="s">
        <v>4583</v>
      </c>
    </row>
    <row r="47" spans="1:8" x14ac:dyDescent="0.25">
      <c r="A47" s="14" t="s">
        <v>4571</v>
      </c>
      <c r="B47" s="15" t="s">
        <v>4572</v>
      </c>
      <c r="C47" s="14">
        <f t="shared" si="0"/>
        <v>4</v>
      </c>
      <c r="D47" s="14" t="str">
        <f t="shared" si="1"/>
        <v>Malaria I-1⁽ᴹ⁾ Reported malaria cases (presumed and confirmed)-4</v>
      </c>
      <c r="E47" s="15" t="s">
        <v>821</v>
      </c>
      <c r="F47" s="15" t="s">
        <v>4535</v>
      </c>
      <c r="G47" s="14" t="s">
        <v>4584</v>
      </c>
      <c r="H47" s="15" t="s">
        <v>4585</v>
      </c>
    </row>
    <row r="48" spans="1:8" x14ac:dyDescent="0.25">
      <c r="A48" s="14" t="s">
        <v>4586</v>
      </c>
      <c r="B48" s="15" t="s">
        <v>4587</v>
      </c>
      <c r="C48" s="14">
        <f t="shared" si="0"/>
        <v>0</v>
      </c>
      <c r="D48" s="14" t="str">
        <f t="shared" si="1"/>
        <v>Malaria I-2.1 Confirmed malaria cases (microscopy or RDT): rate per 1000 persons per year-0</v>
      </c>
      <c r="E48" s="15" t="s">
        <v>821</v>
      </c>
      <c r="F48" s="15" t="s">
        <v>4479</v>
      </c>
      <c r="G48" s="14" t="s">
        <v>4588</v>
      </c>
      <c r="H48" s="15" t="s">
        <v>4589</v>
      </c>
    </row>
    <row r="49" spans="1:8" x14ac:dyDescent="0.25">
      <c r="A49" s="14" t="s">
        <v>4586</v>
      </c>
      <c r="B49" s="15" t="s">
        <v>4587</v>
      </c>
      <c r="C49" s="14">
        <f t="shared" si="0"/>
        <v>1</v>
      </c>
      <c r="D49" s="14" t="str">
        <f t="shared" si="1"/>
        <v>Malaria I-2.1 Confirmed malaria cases (microscopy or RDT): rate per 1000 persons per year-1</v>
      </c>
      <c r="E49" s="15" t="s">
        <v>4590</v>
      </c>
      <c r="F49" s="15" t="s">
        <v>4591</v>
      </c>
      <c r="G49" s="14" t="s">
        <v>4592</v>
      </c>
      <c r="H49" s="15" t="s">
        <v>4593</v>
      </c>
    </row>
    <row r="50" spans="1:8" x14ac:dyDescent="0.25">
      <c r="A50" s="14" t="s">
        <v>4586</v>
      </c>
      <c r="B50" s="15" t="s">
        <v>4587</v>
      </c>
      <c r="C50" s="14">
        <f t="shared" si="0"/>
        <v>2</v>
      </c>
      <c r="D50" s="14" t="str">
        <f t="shared" si="1"/>
        <v>Malaria I-2.1 Confirmed malaria cases (microscopy or RDT): rate per 1000 persons per year-2</v>
      </c>
      <c r="E50" s="15" t="s">
        <v>4590</v>
      </c>
      <c r="F50" s="15" t="s">
        <v>4594</v>
      </c>
      <c r="G50" s="14" t="s">
        <v>4595</v>
      </c>
      <c r="H50" s="15" t="s">
        <v>4596</v>
      </c>
    </row>
    <row r="51" spans="1:8" x14ac:dyDescent="0.25">
      <c r="A51" s="14" t="s">
        <v>4586</v>
      </c>
      <c r="B51" s="15" t="s">
        <v>4587</v>
      </c>
      <c r="C51" s="14">
        <f t="shared" si="0"/>
        <v>3</v>
      </c>
      <c r="D51" s="14" t="str">
        <f t="shared" si="1"/>
        <v>Malaria I-2.1 Confirmed malaria cases (microscopy or RDT): rate per 1000 persons per year-3</v>
      </c>
      <c r="E51" s="15" t="s">
        <v>821</v>
      </c>
      <c r="F51" s="15" t="s">
        <v>4528</v>
      </c>
      <c r="G51" s="14" t="s">
        <v>4597</v>
      </c>
      <c r="H51" s="15" t="s">
        <v>4598</v>
      </c>
    </row>
    <row r="52" spans="1:8" x14ac:dyDescent="0.25">
      <c r="A52" s="14" t="s">
        <v>4586</v>
      </c>
      <c r="B52" s="15" t="s">
        <v>4587</v>
      </c>
      <c r="C52" s="14">
        <f t="shared" si="0"/>
        <v>4</v>
      </c>
      <c r="D52" s="14" t="str">
        <f t="shared" si="1"/>
        <v>Malaria I-2.1 Confirmed malaria cases (microscopy or RDT): rate per 1000 persons per year-4</v>
      </c>
      <c r="E52" s="15" t="s">
        <v>4590</v>
      </c>
      <c r="F52" s="15" t="s">
        <v>4599</v>
      </c>
      <c r="G52" s="14" t="s">
        <v>4600</v>
      </c>
      <c r="H52" s="15" t="s">
        <v>4601</v>
      </c>
    </row>
    <row r="53" spans="1:8" x14ac:dyDescent="0.25">
      <c r="A53" s="14" t="s">
        <v>4586</v>
      </c>
      <c r="B53" s="15" t="s">
        <v>4587</v>
      </c>
      <c r="C53" s="14">
        <f t="shared" si="0"/>
        <v>5</v>
      </c>
      <c r="D53" s="14" t="str">
        <f t="shared" si="1"/>
        <v>Malaria I-2.1 Confirmed malaria cases (microscopy or RDT): rate per 1000 persons per year-5</v>
      </c>
      <c r="E53" s="15" t="s">
        <v>4590</v>
      </c>
      <c r="F53" s="15" t="s">
        <v>4602</v>
      </c>
      <c r="G53" s="14" t="s">
        <v>4603</v>
      </c>
      <c r="H53" s="15" t="s">
        <v>4604</v>
      </c>
    </row>
    <row r="54" spans="1:8" x14ac:dyDescent="0.25">
      <c r="A54" s="14" t="s">
        <v>4586</v>
      </c>
      <c r="B54" s="15" t="s">
        <v>4587</v>
      </c>
      <c r="C54" s="14">
        <f t="shared" si="0"/>
        <v>6</v>
      </c>
      <c r="D54" s="14" t="str">
        <f t="shared" si="1"/>
        <v>Malaria I-2.1 Confirmed malaria cases (microscopy or RDT): rate per 1000 persons per year-6</v>
      </c>
      <c r="E54" s="15" t="s">
        <v>821</v>
      </c>
      <c r="F54" s="15" t="s">
        <v>4535</v>
      </c>
      <c r="G54" s="14" t="s">
        <v>4605</v>
      </c>
      <c r="H54" s="15" t="s">
        <v>4606</v>
      </c>
    </row>
    <row r="55" spans="1:8" x14ac:dyDescent="0.25">
      <c r="A55" s="14" t="s">
        <v>4607</v>
      </c>
      <c r="B55" s="15" t="s">
        <v>4608</v>
      </c>
      <c r="C55" s="14">
        <f t="shared" si="0"/>
        <v>0</v>
      </c>
      <c r="D55" s="14" t="str">
        <f t="shared" si="1"/>
        <v>Malaria I-3.1⁽ᴹ⁾ In-patient malaria deaths: rate per 100,000 persons per year-0</v>
      </c>
      <c r="E55" s="15" t="s">
        <v>821</v>
      </c>
      <c r="F55" s="15" t="s">
        <v>4479</v>
      </c>
      <c r="G55" s="14" t="s">
        <v>4609</v>
      </c>
      <c r="H55" s="15" t="s">
        <v>4610</v>
      </c>
    </row>
    <row r="56" spans="1:8" x14ac:dyDescent="0.25">
      <c r="A56" s="14" t="s">
        <v>4607</v>
      </c>
      <c r="B56" s="15" t="s">
        <v>4608</v>
      </c>
      <c r="C56" s="14">
        <f t="shared" si="0"/>
        <v>1</v>
      </c>
      <c r="D56" s="14" t="str">
        <f t="shared" si="1"/>
        <v>Malaria I-3.1⁽ᴹ⁾ In-patient malaria deaths: rate per 100,000 persons per year-1</v>
      </c>
      <c r="E56" s="15" t="s">
        <v>821</v>
      </c>
      <c r="F56" s="15" t="s">
        <v>4528</v>
      </c>
      <c r="G56" s="14" t="s">
        <v>4611</v>
      </c>
      <c r="H56" s="15" t="s">
        <v>4612</v>
      </c>
    </row>
    <row r="57" spans="1:8" x14ac:dyDescent="0.25">
      <c r="A57" s="14" t="s">
        <v>4607</v>
      </c>
      <c r="B57" s="15" t="s">
        <v>4608</v>
      </c>
      <c r="C57" s="14">
        <f t="shared" si="0"/>
        <v>2</v>
      </c>
      <c r="D57" s="14" t="str">
        <f t="shared" si="1"/>
        <v>Malaria I-3.1⁽ᴹ⁾ In-patient malaria deaths: rate per 100,000 persons per year-2</v>
      </c>
      <c r="E57" s="15" t="s">
        <v>821</v>
      </c>
      <c r="F57" s="15" t="s">
        <v>4535</v>
      </c>
      <c r="G57" s="14" t="s">
        <v>4613</v>
      </c>
      <c r="H57" s="15" t="s">
        <v>4614</v>
      </c>
    </row>
    <row r="58" spans="1:8" x14ac:dyDescent="0.25">
      <c r="A58" s="14" t="s">
        <v>4615</v>
      </c>
      <c r="B58" s="15" t="s">
        <v>4616</v>
      </c>
      <c r="C58" s="14">
        <f t="shared" si="0"/>
        <v>0</v>
      </c>
      <c r="D58" s="14" t="str">
        <f t="shared" si="1"/>
        <v>Malaria I-4 Malaria test positivity rate-0</v>
      </c>
      <c r="E58" s="15" t="s">
        <v>4617</v>
      </c>
      <c r="F58" s="15" t="s">
        <v>4618</v>
      </c>
      <c r="G58" s="14" t="s">
        <v>4619</v>
      </c>
      <c r="H58" s="15" t="s">
        <v>4620</v>
      </c>
    </row>
    <row r="59" spans="1:8" x14ac:dyDescent="0.25">
      <c r="A59" s="14" t="s">
        <v>4615</v>
      </c>
      <c r="B59" s="15" t="s">
        <v>4616</v>
      </c>
      <c r="C59" s="14">
        <f t="shared" si="0"/>
        <v>1</v>
      </c>
      <c r="D59" s="14" t="str">
        <f t="shared" si="1"/>
        <v>Malaria I-4 Malaria test positivity rate-1</v>
      </c>
      <c r="E59" s="15" t="s">
        <v>4617</v>
      </c>
      <c r="F59" s="15" t="s">
        <v>4621</v>
      </c>
      <c r="G59" s="14" t="s">
        <v>4622</v>
      </c>
      <c r="H59" s="15" t="s">
        <v>4623</v>
      </c>
    </row>
    <row r="60" spans="1:8" x14ac:dyDescent="0.25">
      <c r="A60" s="14" t="s">
        <v>4624</v>
      </c>
      <c r="B60" s="15" t="s">
        <v>4625</v>
      </c>
      <c r="C60" s="14">
        <f t="shared" si="0"/>
        <v>0</v>
      </c>
      <c r="D60" s="14" t="str">
        <f t="shared" si="1"/>
        <v>Malaria I-5.1 Malaria Parasite prevalence: Proportion of population with malaria infection-0</v>
      </c>
      <c r="E60" s="15" t="s">
        <v>821</v>
      </c>
      <c r="F60" s="15" t="s">
        <v>4479</v>
      </c>
      <c r="G60" s="14" t="s">
        <v>4626</v>
      </c>
      <c r="H60" s="15" t="s">
        <v>4627</v>
      </c>
    </row>
    <row r="61" spans="1:8" x14ac:dyDescent="0.25">
      <c r="A61" s="14" t="s">
        <v>4624</v>
      </c>
      <c r="B61" s="15" t="s">
        <v>4625</v>
      </c>
      <c r="C61" s="14">
        <f t="shared" si="0"/>
        <v>1</v>
      </c>
      <c r="D61" s="14" t="str">
        <f t="shared" si="1"/>
        <v>Malaria I-5.1 Malaria Parasite prevalence: Proportion of population with malaria infection-1</v>
      </c>
      <c r="E61" s="15" t="s">
        <v>821</v>
      </c>
      <c r="F61" s="15" t="s">
        <v>4528</v>
      </c>
      <c r="G61" s="14" t="s">
        <v>4628</v>
      </c>
      <c r="H61" s="15" t="s">
        <v>4629</v>
      </c>
    </row>
    <row r="62" spans="1:8" x14ac:dyDescent="0.25">
      <c r="A62" s="14" t="s">
        <v>4624</v>
      </c>
      <c r="B62" s="15" t="s">
        <v>4625</v>
      </c>
      <c r="C62" s="14">
        <f t="shared" si="0"/>
        <v>2</v>
      </c>
      <c r="D62" s="14" t="str">
        <f t="shared" si="1"/>
        <v>Malaria I-5.1 Malaria Parasite prevalence: Proportion of population with malaria infection-2</v>
      </c>
      <c r="E62" s="15" t="s">
        <v>1168</v>
      </c>
      <c r="F62" s="15" t="s">
        <v>4492</v>
      </c>
      <c r="G62" s="14" t="s">
        <v>4630</v>
      </c>
      <c r="H62" s="15" t="s">
        <v>4631</v>
      </c>
    </row>
    <row r="63" spans="1:8" x14ac:dyDescent="0.25">
      <c r="A63" s="14" t="s">
        <v>4624</v>
      </c>
      <c r="B63" s="15" t="s">
        <v>4625</v>
      </c>
      <c r="C63" s="14">
        <f t="shared" si="0"/>
        <v>3</v>
      </c>
      <c r="D63" s="14" t="str">
        <f t="shared" si="1"/>
        <v>Malaria I-5.1 Malaria Parasite prevalence: Proportion of population with malaria infection-3</v>
      </c>
      <c r="E63" s="15" t="s">
        <v>1168</v>
      </c>
      <c r="F63" s="15" t="s">
        <v>4501</v>
      </c>
      <c r="G63" s="14" t="s">
        <v>4632</v>
      </c>
      <c r="H63" s="15" t="s">
        <v>4633</v>
      </c>
    </row>
    <row r="64" spans="1:8" x14ac:dyDescent="0.25">
      <c r="A64" s="14" t="s">
        <v>4624</v>
      </c>
      <c r="B64" s="15" t="s">
        <v>4625</v>
      </c>
      <c r="C64" s="14">
        <f t="shared" si="0"/>
        <v>4</v>
      </c>
      <c r="D64" s="14" t="str">
        <f t="shared" si="1"/>
        <v>Malaria I-5.1 Malaria Parasite prevalence: Proportion of population with malaria infection-4</v>
      </c>
      <c r="E64" s="15" t="s">
        <v>821</v>
      </c>
      <c r="F64" s="15" t="s">
        <v>4535</v>
      </c>
      <c r="G64" s="14" t="s">
        <v>4634</v>
      </c>
      <c r="H64" s="15" t="s">
        <v>4635</v>
      </c>
    </row>
    <row r="65" spans="1:8" x14ac:dyDescent="0.25">
      <c r="A65" s="14" t="s">
        <v>4636</v>
      </c>
      <c r="B65" s="15" t="s">
        <v>4637</v>
      </c>
      <c r="C65" s="14">
        <f t="shared" si="0"/>
        <v>0</v>
      </c>
      <c r="D65" s="14" t="str">
        <f t="shared" si="1"/>
        <v>Malaria I-10⁽ᴹ⁾ Annual parasite incidence: Confirmed malaria cases (microscopy or RDT): rate per 1000 persons per year (Elimination settings)-0</v>
      </c>
      <c r="E65" s="15" t="s">
        <v>4638</v>
      </c>
      <c r="F65" s="15" t="s">
        <v>4639</v>
      </c>
      <c r="G65" s="14" t="s">
        <v>4640</v>
      </c>
      <c r="H65" s="15" t="s">
        <v>4641</v>
      </c>
    </row>
    <row r="66" spans="1:8" x14ac:dyDescent="0.25">
      <c r="A66" s="14" t="s">
        <v>4636</v>
      </c>
      <c r="B66" s="15" t="s">
        <v>4637</v>
      </c>
      <c r="C66" s="14">
        <f t="shared" si="0"/>
        <v>1</v>
      </c>
      <c r="D66" s="14" t="str">
        <f t="shared" si="1"/>
        <v>Malaria I-10⁽ᴹ⁾ Annual parasite incidence: Confirmed malaria cases (microscopy or RDT): rate per 1000 persons per year (Elimination settings)-1</v>
      </c>
      <c r="E66" s="15" t="s">
        <v>4638</v>
      </c>
      <c r="F66" s="15" t="s">
        <v>4642</v>
      </c>
      <c r="G66" s="14" t="s">
        <v>4643</v>
      </c>
      <c r="H66" s="15" t="s">
        <v>4644</v>
      </c>
    </row>
    <row r="67" spans="1:8" x14ac:dyDescent="0.25">
      <c r="A67" s="14" t="s">
        <v>4645</v>
      </c>
      <c r="B67" s="15" t="s">
        <v>4646</v>
      </c>
      <c r="C67" s="14">
        <f t="shared" si="0"/>
        <v>0</v>
      </c>
      <c r="D67" s="14" t="str">
        <f t="shared" si="1"/>
        <v>Malaria I-12 Malaria mortality: rate per 100 000 people per year-0</v>
      </c>
      <c r="E67" s="15" t="s">
        <v>821</v>
      </c>
      <c r="F67" s="15" t="s">
        <v>4479</v>
      </c>
      <c r="G67" s="14" t="s">
        <v>4647</v>
      </c>
      <c r="H67" s="15" t="s">
        <v>4648</v>
      </c>
    </row>
    <row r="68" spans="1:8" x14ac:dyDescent="0.25">
      <c r="A68" s="14" t="s">
        <v>4645</v>
      </c>
      <c r="B68" s="15" t="s">
        <v>4646</v>
      </c>
      <c r="C68" s="14">
        <f t="shared" ref="C68:C79" si="2">IF(B68=B67,C67+1,0)</f>
        <v>1</v>
      </c>
      <c r="D68" s="14" t="str">
        <f t="shared" ref="D68:D79" si="3">B68&amp;"-"&amp;C68</f>
        <v>Malaria I-12 Malaria mortality: rate per 100 000 people per year-1</v>
      </c>
      <c r="E68" s="15" t="s">
        <v>821</v>
      </c>
      <c r="F68" s="15" t="s">
        <v>4528</v>
      </c>
      <c r="G68" s="14" t="s">
        <v>4649</v>
      </c>
      <c r="H68" s="15" t="s">
        <v>4650</v>
      </c>
    </row>
    <row r="69" spans="1:8" x14ac:dyDescent="0.25">
      <c r="A69" s="14" t="s">
        <v>4645</v>
      </c>
      <c r="B69" s="15" t="s">
        <v>4646</v>
      </c>
      <c r="C69" s="14">
        <f t="shared" si="2"/>
        <v>2</v>
      </c>
      <c r="D69" s="14" t="str">
        <f t="shared" si="3"/>
        <v>Malaria I-12 Malaria mortality: rate per 100 000 people per year-2</v>
      </c>
      <c r="E69" s="15" t="s">
        <v>821</v>
      </c>
      <c r="F69" s="15" t="s">
        <v>4535</v>
      </c>
      <c r="G69" s="14" t="s">
        <v>4651</v>
      </c>
      <c r="H69" s="15" t="s">
        <v>4652</v>
      </c>
    </row>
    <row r="70" spans="1:8" x14ac:dyDescent="0.25">
      <c r="A70" s="14" t="s">
        <v>4653</v>
      </c>
      <c r="B70" s="15" t="s">
        <v>4654</v>
      </c>
      <c r="C70" s="14">
        <f t="shared" si="2"/>
        <v>0</v>
      </c>
      <c r="D70" s="14" t="str">
        <f t="shared" si="3"/>
        <v>Malaria I-13 Malaria case fatality rate: Percentage of deaths among confirmed malaria cases (for elimination settings)-0</v>
      </c>
      <c r="E70" s="15" t="s">
        <v>821</v>
      </c>
      <c r="F70" s="15" t="s">
        <v>4479</v>
      </c>
      <c r="G70" s="14" t="s">
        <v>4655</v>
      </c>
      <c r="H70" s="15" t="s">
        <v>4656</v>
      </c>
    </row>
    <row r="71" spans="1:8" x14ac:dyDescent="0.25">
      <c r="A71" s="14" t="s">
        <v>4653</v>
      </c>
      <c r="B71" s="15" t="s">
        <v>4654</v>
      </c>
      <c r="C71" s="14">
        <f t="shared" si="2"/>
        <v>1</v>
      </c>
      <c r="D71" s="14" t="str">
        <f t="shared" si="3"/>
        <v>Malaria I-13 Malaria case fatality rate: Percentage of deaths among confirmed malaria cases (for elimination settings)-1</v>
      </c>
      <c r="E71" s="15" t="s">
        <v>821</v>
      </c>
      <c r="F71" s="15" t="s">
        <v>4528</v>
      </c>
      <c r="G71" s="14" t="s">
        <v>4657</v>
      </c>
      <c r="H71" s="15" t="s">
        <v>4658</v>
      </c>
    </row>
    <row r="72" spans="1:8" x14ac:dyDescent="0.25">
      <c r="A72" s="14" t="s">
        <v>4653</v>
      </c>
      <c r="B72" s="15" t="s">
        <v>4654</v>
      </c>
      <c r="C72" s="14">
        <f t="shared" si="2"/>
        <v>2</v>
      </c>
      <c r="D72" s="14" t="str">
        <f t="shared" si="3"/>
        <v>Malaria I-13 Malaria case fatality rate: Percentage of deaths among confirmed malaria cases (for elimination settings)-2</v>
      </c>
      <c r="E72" s="15" t="s">
        <v>821</v>
      </c>
      <c r="F72" s="15" t="s">
        <v>4535</v>
      </c>
      <c r="G72" s="14" t="s">
        <v>4659</v>
      </c>
      <c r="H72" s="15" t="s">
        <v>4660</v>
      </c>
    </row>
    <row r="73" spans="1:8" x14ac:dyDescent="0.25">
      <c r="A73" s="14" t="s">
        <v>4661</v>
      </c>
      <c r="B73" s="15" t="s">
        <v>4662</v>
      </c>
      <c r="C73" s="14">
        <f t="shared" si="2"/>
        <v>0</v>
      </c>
      <c r="D73" s="14" t="str">
        <f t="shared" si="3"/>
        <v>Malaria I-14 Malaria admissions: rate per 100,000 pop per year-0</v>
      </c>
      <c r="E73" s="15" t="s">
        <v>821</v>
      </c>
      <c r="F73" s="15" t="s">
        <v>4479</v>
      </c>
      <c r="G73" s="14" t="s">
        <v>4663</v>
      </c>
      <c r="H73" s="15" t="s">
        <v>4664</v>
      </c>
    </row>
    <row r="74" spans="1:8" x14ac:dyDescent="0.25">
      <c r="A74" s="14" t="s">
        <v>4661</v>
      </c>
      <c r="B74" s="15" t="s">
        <v>4662</v>
      </c>
      <c r="C74" s="14">
        <f t="shared" si="2"/>
        <v>1</v>
      </c>
      <c r="D74" s="14" t="str">
        <f t="shared" si="3"/>
        <v>Malaria I-14 Malaria admissions: rate per 100,000 pop per year-1</v>
      </c>
      <c r="E74" s="15" t="s">
        <v>821</v>
      </c>
      <c r="F74" s="15" t="s">
        <v>4528</v>
      </c>
      <c r="G74" s="14" t="s">
        <v>4665</v>
      </c>
      <c r="H74" s="15" t="s">
        <v>4666</v>
      </c>
    </row>
    <row r="75" spans="1:8" x14ac:dyDescent="0.25">
      <c r="A75" s="14" t="s">
        <v>4661</v>
      </c>
      <c r="B75" s="15" t="s">
        <v>4662</v>
      </c>
      <c r="C75" s="14">
        <f t="shared" si="2"/>
        <v>2</v>
      </c>
      <c r="D75" s="14" t="str">
        <f t="shared" si="3"/>
        <v>Malaria I-14 Malaria admissions: rate per 100,000 pop per year-2</v>
      </c>
      <c r="E75" s="15" t="s">
        <v>821</v>
      </c>
      <c r="F75" s="15" t="s">
        <v>4535</v>
      </c>
      <c r="G75" s="14" t="s">
        <v>4667</v>
      </c>
      <c r="H75" s="15" t="s">
        <v>4668</v>
      </c>
    </row>
    <row r="76" spans="1:8" x14ac:dyDescent="0.25">
      <c r="A76" s="14" t="s">
        <v>4669</v>
      </c>
      <c r="B76" s="15" t="s">
        <v>4670</v>
      </c>
      <c r="C76" s="14">
        <f t="shared" si="2"/>
        <v>0</v>
      </c>
      <c r="D76" s="14" t="str">
        <f t="shared" si="3"/>
        <v>Malaria I-15 Number of locally acquired malaria cases-0</v>
      </c>
      <c r="E76" s="15" t="s">
        <v>4590</v>
      </c>
      <c r="F76" s="15" t="s">
        <v>4591</v>
      </c>
      <c r="G76" s="14" t="s">
        <v>4671</v>
      </c>
      <c r="H76" s="15" t="s">
        <v>4672</v>
      </c>
    </row>
    <row r="77" spans="1:8" x14ac:dyDescent="0.25">
      <c r="A77" s="14" t="s">
        <v>4669</v>
      </c>
      <c r="B77" s="15" t="s">
        <v>4670</v>
      </c>
      <c r="C77" s="14">
        <f t="shared" si="2"/>
        <v>1</v>
      </c>
      <c r="D77" s="14" t="str">
        <f t="shared" si="3"/>
        <v>Malaria I-15 Number of locally acquired malaria cases-1</v>
      </c>
      <c r="E77" s="15" t="s">
        <v>4590</v>
      </c>
      <c r="F77" s="15" t="s">
        <v>4594</v>
      </c>
      <c r="G77" s="14" t="s">
        <v>4673</v>
      </c>
      <c r="H77" s="15" t="s">
        <v>4674</v>
      </c>
    </row>
    <row r="78" spans="1:8" x14ac:dyDescent="0.25">
      <c r="A78" s="14" t="s">
        <v>4669</v>
      </c>
      <c r="B78" s="15" t="s">
        <v>4670</v>
      </c>
      <c r="C78" s="14">
        <f t="shared" si="2"/>
        <v>2</v>
      </c>
      <c r="D78" s="14" t="str">
        <f t="shared" si="3"/>
        <v>Malaria I-15 Number of locally acquired malaria cases-2</v>
      </c>
      <c r="E78" s="15" t="s">
        <v>4590</v>
      </c>
      <c r="F78" s="15" t="s">
        <v>4599</v>
      </c>
      <c r="G78" s="14" t="s">
        <v>4675</v>
      </c>
      <c r="H78" s="15" t="s">
        <v>4676</v>
      </c>
    </row>
    <row r="79" spans="1:8" x14ac:dyDescent="0.25">
      <c r="A79" s="14" t="s">
        <v>4669</v>
      </c>
      <c r="B79" s="15" t="s">
        <v>4670</v>
      </c>
      <c r="C79" s="14">
        <f t="shared" si="2"/>
        <v>3</v>
      </c>
      <c r="D79" s="14" t="str">
        <f t="shared" si="3"/>
        <v>Malaria I-15 Number of locally acquired malaria cases-3</v>
      </c>
      <c r="E79" s="15" t="s">
        <v>4590</v>
      </c>
      <c r="F79" s="15" t="s">
        <v>4602</v>
      </c>
      <c r="G79" s="14" t="s">
        <v>4677</v>
      </c>
      <c r="H79" s="15" t="s">
        <v>4678</v>
      </c>
    </row>
    <row r="81" spans="1:8" x14ac:dyDescent="0.25">
      <c r="A81" s="2" t="s">
        <v>4679</v>
      </c>
    </row>
    <row r="82" spans="1:8" x14ac:dyDescent="0.25">
      <c r="A82" s="14" t="s">
        <v>4472</v>
      </c>
      <c r="B82" s="14" t="s">
        <v>784</v>
      </c>
      <c r="C82" s="14">
        <v>0</v>
      </c>
      <c r="D82" s="14" t="s">
        <v>4473</v>
      </c>
      <c r="E82" s="14" t="s">
        <v>2216</v>
      </c>
      <c r="F82" s="14" t="s">
        <v>2217</v>
      </c>
      <c r="G82" s="14" t="s">
        <v>318</v>
      </c>
      <c r="H82" s="14" t="s">
        <v>4474</v>
      </c>
    </row>
    <row r="83" spans="1:8" hidden="1" x14ac:dyDescent="0.25">
      <c r="A83" s="14" t="s">
        <v>4475</v>
      </c>
      <c r="B83" s="15" t="s">
        <v>2154</v>
      </c>
      <c r="C83" s="14">
        <f>IF(B83=B82,C82+1,0)</f>
        <v>0</v>
      </c>
      <c r="D83" s="14" t="str">
        <f>B83&amp;"-"&amp;C83</f>
        <v>[Name]-0</v>
      </c>
      <c r="E83" s="15" t="s">
        <v>4476</v>
      </c>
      <c r="F83" s="15" t="s">
        <v>4477</v>
      </c>
      <c r="G83" s="14" t="s">
        <v>321</v>
      </c>
      <c r="H83" s="15" t="s">
        <v>4478</v>
      </c>
    </row>
    <row r="84" spans="1:8" x14ac:dyDescent="0.25">
      <c r="A84" s="14" t="s">
        <v>862</v>
      </c>
      <c r="B84" s="15" t="s">
        <v>863</v>
      </c>
      <c r="C84" s="14">
        <f t="shared" ref="C84:C147" si="4">IF(B84=B83,C83+1,0)</f>
        <v>0</v>
      </c>
      <c r="D84" s="14" t="str">
        <f t="shared" ref="D84:D147" si="5">B84&amp;"-"&amp;C84</f>
        <v>HIV O-10 Percentage of high risk AGYW (15-24) who say they used a condom the last time they had sex with a non-regular partner, of those who have had sex with such a partner in the last 12 months-0</v>
      </c>
      <c r="E84" s="15" t="s">
        <v>821</v>
      </c>
      <c r="F84" s="15" t="s">
        <v>4680</v>
      </c>
      <c r="G84" s="14" t="s">
        <v>4681</v>
      </c>
      <c r="H84" s="15" t="s">
        <v>4682</v>
      </c>
    </row>
    <row r="85" spans="1:8" x14ac:dyDescent="0.25">
      <c r="A85" s="14" t="s">
        <v>862</v>
      </c>
      <c r="B85" s="15" t="s">
        <v>863</v>
      </c>
      <c r="C85" s="14">
        <f t="shared" si="4"/>
        <v>1</v>
      </c>
      <c r="D85" s="14" t="str">
        <f t="shared" si="5"/>
        <v>HIV O-10 Percentage of high risk AGYW (15-24) who say they used a condom the last time they had sex with a non-regular partner, of those who have had sex with such a partner in the last 12 months-1</v>
      </c>
      <c r="E85" s="15" t="s">
        <v>821</v>
      </c>
      <c r="F85" s="15" t="s">
        <v>4683</v>
      </c>
      <c r="G85" s="14" t="s">
        <v>4684</v>
      </c>
      <c r="H85" s="15" t="s">
        <v>4685</v>
      </c>
    </row>
    <row r="86" spans="1:8" x14ac:dyDescent="0.25">
      <c r="A86" s="14" t="s">
        <v>891</v>
      </c>
      <c r="B86" s="15" t="s">
        <v>892</v>
      </c>
      <c r="C86" s="14">
        <f t="shared" si="4"/>
        <v>0</v>
      </c>
      <c r="D86" s="14" t="str">
        <f t="shared" si="5"/>
        <v>HIV O-11⁽ᴹ⁾ Percentage of people living with HIV who know their HIV status at the end of the reporting period-0</v>
      </c>
      <c r="E86" s="15" t="s">
        <v>821</v>
      </c>
      <c r="F86" s="15" t="s">
        <v>4479</v>
      </c>
      <c r="G86" s="14" t="s">
        <v>4686</v>
      </c>
      <c r="H86" s="15" t="s">
        <v>4687</v>
      </c>
    </row>
    <row r="87" spans="1:8" x14ac:dyDescent="0.25">
      <c r="A87" s="14" t="s">
        <v>891</v>
      </c>
      <c r="B87" s="15" t="s">
        <v>892</v>
      </c>
      <c r="C87" s="14">
        <f t="shared" si="4"/>
        <v>1</v>
      </c>
      <c r="D87" s="14" t="str">
        <f t="shared" si="5"/>
        <v>HIV O-11⁽ᴹ⁾ Percentage of people living with HIV who know their HIV status at the end of the reporting period-1</v>
      </c>
      <c r="E87" s="15" t="s">
        <v>821</v>
      </c>
      <c r="F87" s="15" t="s">
        <v>4482</v>
      </c>
      <c r="G87" s="14" t="s">
        <v>4688</v>
      </c>
      <c r="H87" s="15" t="s">
        <v>4689</v>
      </c>
    </row>
    <row r="88" spans="1:8" x14ac:dyDescent="0.25">
      <c r="A88" s="14" t="s">
        <v>891</v>
      </c>
      <c r="B88" s="15" t="s">
        <v>892</v>
      </c>
      <c r="C88" s="14">
        <f t="shared" si="4"/>
        <v>2</v>
      </c>
      <c r="D88" s="14" t="str">
        <f t="shared" si="5"/>
        <v>HIV O-11⁽ᴹ⁾ Percentage of people living with HIV who know their HIV status at the end of the reporting period-2</v>
      </c>
      <c r="E88" s="15" t="s">
        <v>4485</v>
      </c>
      <c r="F88" s="15" t="s">
        <v>4690</v>
      </c>
      <c r="G88" s="14" t="s">
        <v>4691</v>
      </c>
      <c r="H88" s="15" t="s">
        <v>4692</v>
      </c>
    </row>
    <row r="89" spans="1:8" x14ac:dyDescent="0.25">
      <c r="A89" s="14" t="s">
        <v>891</v>
      </c>
      <c r="B89" s="15" t="s">
        <v>892</v>
      </c>
      <c r="C89" s="14">
        <f t="shared" si="4"/>
        <v>3</v>
      </c>
      <c r="D89" s="14" t="str">
        <f t="shared" si="5"/>
        <v>HIV O-11⁽ᴹ⁾ Percentage of people living with HIV who know their HIV status at the end of the reporting period-3</v>
      </c>
      <c r="E89" s="15" t="s">
        <v>4485</v>
      </c>
      <c r="F89" s="15" t="s">
        <v>4693</v>
      </c>
      <c r="G89" s="14" t="s">
        <v>4694</v>
      </c>
      <c r="H89" s="15" t="s">
        <v>4695</v>
      </c>
    </row>
    <row r="90" spans="1:8" x14ac:dyDescent="0.25">
      <c r="A90" s="14" t="s">
        <v>896</v>
      </c>
      <c r="B90" s="15" t="s">
        <v>897</v>
      </c>
      <c r="C90" s="14">
        <f t="shared" si="4"/>
        <v>0</v>
      </c>
      <c r="D90" s="14" t="str">
        <f t="shared" si="5"/>
        <v>HIV O-21 Percentage of people living with HIV reported on ART at the end of the last reporting period and newly initiating ART during the current reporting period who were not on ART at the end of current reporting period-0</v>
      </c>
      <c r="E90" s="15" t="s">
        <v>821</v>
      </c>
      <c r="F90" s="15" t="s">
        <v>4479</v>
      </c>
      <c r="G90" s="14" t="s">
        <v>4696</v>
      </c>
      <c r="H90" s="15" t="s">
        <v>4697</v>
      </c>
    </row>
    <row r="91" spans="1:8" x14ac:dyDescent="0.25">
      <c r="A91" s="14" t="s">
        <v>896</v>
      </c>
      <c r="B91" s="15" t="s">
        <v>897</v>
      </c>
      <c r="C91" s="14">
        <f t="shared" si="4"/>
        <v>1</v>
      </c>
      <c r="D91" s="14" t="str">
        <f t="shared" si="5"/>
        <v>HIV O-21 Percentage of people living with HIV reported on ART at the end of the last reporting period and newly initiating ART during the current reporting period who were not on ART at the end of current reporting period-1</v>
      </c>
      <c r="E91" s="15" t="s">
        <v>821</v>
      </c>
      <c r="F91" s="15" t="s">
        <v>4482</v>
      </c>
      <c r="G91" s="14" t="s">
        <v>4698</v>
      </c>
      <c r="H91" s="15" t="s">
        <v>4699</v>
      </c>
    </row>
    <row r="92" spans="1:8" x14ac:dyDescent="0.25">
      <c r="A92" s="14" t="s">
        <v>896</v>
      </c>
      <c r="B92" s="15" t="s">
        <v>897</v>
      </c>
      <c r="C92" s="14">
        <f t="shared" si="4"/>
        <v>2</v>
      </c>
      <c r="D92" s="14" t="str">
        <f t="shared" si="5"/>
        <v>HIV O-21 Percentage of people living with HIV reported on ART at the end of the last reporting period and newly initiating ART during the current reporting period who were not on ART at the end of current reporting period-2</v>
      </c>
      <c r="E92" s="15" t="s">
        <v>4485</v>
      </c>
      <c r="F92" s="15" t="s">
        <v>4690</v>
      </c>
      <c r="G92" s="14" t="s">
        <v>4700</v>
      </c>
      <c r="H92" s="15" t="s">
        <v>4701</v>
      </c>
    </row>
    <row r="93" spans="1:8" x14ac:dyDescent="0.25">
      <c r="A93" s="14" t="s">
        <v>896</v>
      </c>
      <c r="B93" s="15" t="s">
        <v>897</v>
      </c>
      <c r="C93" s="14">
        <f t="shared" si="4"/>
        <v>3</v>
      </c>
      <c r="D93" s="14" t="str">
        <f t="shared" si="5"/>
        <v>HIV O-21 Percentage of people living with HIV reported on ART at the end of the last reporting period and newly initiating ART during the current reporting period who were not on ART at the end of current reporting period-3</v>
      </c>
      <c r="E93" s="15" t="s">
        <v>4485</v>
      </c>
      <c r="F93" s="15" t="s">
        <v>4693</v>
      </c>
      <c r="G93" s="14" t="s">
        <v>4702</v>
      </c>
      <c r="H93" s="15" t="s">
        <v>4703</v>
      </c>
    </row>
    <row r="94" spans="1:8" x14ac:dyDescent="0.25">
      <c r="A94" s="14" t="s">
        <v>900</v>
      </c>
      <c r="B94" s="15" t="s">
        <v>901</v>
      </c>
      <c r="C94" s="14">
        <f t="shared" si="4"/>
        <v>0</v>
      </c>
      <c r="D94" s="14" t="str">
        <f t="shared" si="5"/>
        <v>HIV O-12 Percentage of people living with HIV and on ART who are virologically suppressed-0</v>
      </c>
      <c r="E94" s="15" t="s">
        <v>821</v>
      </c>
      <c r="F94" s="15" t="s">
        <v>4479</v>
      </c>
      <c r="G94" s="14" t="s">
        <v>4704</v>
      </c>
      <c r="H94" s="15" t="s">
        <v>4705</v>
      </c>
    </row>
    <row r="95" spans="1:8" x14ac:dyDescent="0.25">
      <c r="A95" s="14" t="s">
        <v>900</v>
      </c>
      <c r="B95" s="15" t="s">
        <v>901</v>
      </c>
      <c r="C95" s="14">
        <f t="shared" si="4"/>
        <v>1</v>
      </c>
      <c r="D95" s="14" t="str">
        <f t="shared" si="5"/>
        <v>HIV O-12 Percentage of people living with HIV and on ART who are virologically suppressed-1</v>
      </c>
      <c r="E95" s="15" t="s">
        <v>821</v>
      </c>
      <c r="F95" s="15" t="s">
        <v>4482</v>
      </c>
      <c r="G95" s="14" t="s">
        <v>4706</v>
      </c>
      <c r="H95" s="15" t="s">
        <v>4707</v>
      </c>
    </row>
    <row r="96" spans="1:8" x14ac:dyDescent="0.25">
      <c r="A96" s="14" t="s">
        <v>900</v>
      </c>
      <c r="B96" s="15" t="s">
        <v>901</v>
      </c>
      <c r="C96" s="14">
        <f t="shared" si="4"/>
        <v>2</v>
      </c>
      <c r="D96" s="14" t="str">
        <f t="shared" si="5"/>
        <v>HIV O-12 Percentage of people living with HIV and on ART who are virologically suppressed-2</v>
      </c>
      <c r="E96" s="15" t="s">
        <v>4485</v>
      </c>
      <c r="F96" s="15" t="s">
        <v>4690</v>
      </c>
      <c r="G96" s="14" t="s">
        <v>4708</v>
      </c>
      <c r="H96" s="15" t="s">
        <v>4709</v>
      </c>
    </row>
    <row r="97" spans="1:8" x14ac:dyDescent="0.25">
      <c r="A97" s="14" t="s">
        <v>900</v>
      </c>
      <c r="B97" s="15" t="s">
        <v>901</v>
      </c>
      <c r="C97" s="14">
        <f t="shared" si="4"/>
        <v>3</v>
      </c>
      <c r="D97" s="14" t="str">
        <f t="shared" si="5"/>
        <v>HIV O-12 Percentage of people living with HIV and on ART who are virologically suppressed-3</v>
      </c>
      <c r="E97" s="15" t="s">
        <v>4485</v>
      </c>
      <c r="F97" s="15" t="s">
        <v>4693</v>
      </c>
      <c r="G97" s="14" t="s">
        <v>4710</v>
      </c>
      <c r="H97" s="15" t="s">
        <v>4711</v>
      </c>
    </row>
    <row r="98" spans="1:8" x14ac:dyDescent="0.25">
      <c r="A98" s="14" t="s">
        <v>904</v>
      </c>
      <c r="B98" s="15" t="s">
        <v>905</v>
      </c>
      <c r="C98" s="14">
        <f t="shared" si="4"/>
        <v>0</v>
      </c>
      <c r="D98" s="14" t="str">
        <f t="shared" si="5"/>
        <v>HIV O-13 Percentage of ever-married or partnered women aged 15-49 who experienced physical or sexual violence from a male intimate partner in the past 12 months-0</v>
      </c>
      <c r="E98" s="15" t="s">
        <v>821</v>
      </c>
      <c r="F98" s="15" t="s">
        <v>4712</v>
      </c>
      <c r="G98" s="14" t="s">
        <v>4713</v>
      </c>
      <c r="H98" s="15" t="s">
        <v>4714</v>
      </c>
    </row>
    <row r="99" spans="1:8" x14ac:dyDescent="0.25">
      <c r="A99" s="14" t="s">
        <v>904</v>
      </c>
      <c r="B99" s="15" t="s">
        <v>905</v>
      </c>
      <c r="C99" s="14">
        <f t="shared" si="4"/>
        <v>1</v>
      </c>
      <c r="D99" s="14" t="str">
        <f t="shared" si="5"/>
        <v>HIV O-13 Percentage of ever-married or partnered women aged 15-49 who experienced physical or sexual violence from a male intimate partner in the past 12 months-1</v>
      </c>
      <c r="E99" s="15" t="s">
        <v>821</v>
      </c>
      <c r="F99" s="15" t="s">
        <v>4680</v>
      </c>
      <c r="G99" s="14" t="s">
        <v>4715</v>
      </c>
      <c r="H99" s="15" t="s">
        <v>4716</v>
      </c>
    </row>
    <row r="100" spans="1:8" x14ac:dyDescent="0.25">
      <c r="A100" s="14" t="s">
        <v>904</v>
      </c>
      <c r="B100" s="15" t="s">
        <v>905</v>
      </c>
      <c r="C100" s="14">
        <f t="shared" si="4"/>
        <v>2</v>
      </c>
      <c r="D100" s="14" t="str">
        <f t="shared" si="5"/>
        <v>HIV O-13 Percentage of ever-married or partnered women aged 15-49 who experienced physical or sexual violence from a male intimate partner in the past 12 months-2</v>
      </c>
      <c r="E100" s="15" t="s">
        <v>821</v>
      </c>
      <c r="F100" s="15" t="s">
        <v>4683</v>
      </c>
      <c r="G100" s="14" t="s">
        <v>4717</v>
      </c>
      <c r="H100" s="15" t="s">
        <v>4718</v>
      </c>
    </row>
    <row r="101" spans="1:8" x14ac:dyDescent="0.25">
      <c r="A101" s="14" t="s">
        <v>908</v>
      </c>
      <c r="B101" s="15" t="s">
        <v>909</v>
      </c>
      <c r="C101" s="14">
        <f t="shared" si="4"/>
        <v>0</v>
      </c>
      <c r="D101" s="14" t="str">
        <f t="shared" si="5"/>
        <v>HIV O-17 Percentage of people living with HIV who have experienced rights abuses in the last 12 months and have sought redress-0</v>
      </c>
      <c r="E101" s="15" t="s">
        <v>4719</v>
      </c>
      <c r="F101" s="15" t="s">
        <v>4554</v>
      </c>
      <c r="G101" s="14" t="s">
        <v>4720</v>
      </c>
      <c r="H101" s="15" t="s">
        <v>4721</v>
      </c>
    </row>
    <row r="102" spans="1:8" x14ac:dyDescent="0.25">
      <c r="A102" s="14" t="s">
        <v>908</v>
      </c>
      <c r="B102" s="15" t="s">
        <v>909</v>
      </c>
      <c r="C102" s="14">
        <f t="shared" si="4"/>
        <v>1</v>
      </c>
      <c r="D102" s="14" t="str">
        <f t="shared" si="5"/>
        <v>HIV O-17 Percentage of people living with HIV who have experienced rights abuses in the last 12 months and have sought redress-1</v>
      </c>
      <c r="E102" s="15" t="s">
        <v>4719</v>
      </c>
      <c r="F102" s="15" t="s">
        <v>4722</v>
      </c>
      <c r="G102" s="14" t="s">
        <v>4723</v>
      </c>
      <c r="H102" s="15" t="s">
        <v>4724</v>
      </c>
    </row>
    <row r="103" spans="1:8" x14ac:dyDescent="0.25">
      <c r="A103" s="14" t="s">
        <v>908</v>
      </c>
      <c r="B103" s="15" t="s">
        <v>909</v>
      </c>
      <c r="C103" s="14">
        <f t="shared" si="4"/>
        <v>2</v>
      </c>
      <c r="D103" s="14" t="str">
        <f t="shared" si="5"/>
        <v>HIV O-17 Percentage of people living with HIV who have experienced rights abuses in the last 12 months and have sought redress-2</v>
      </c>
      <c r="E103" s="15" t="s">
        <v>4719</v>
      </c>
      <c r="F103" s="15" t="s">
        <v>4725</v>
      </c>
      <c r="G103" s="14" t="s">
        <v>4726</v>
      </c>
      <c r="H103" s="15" t="s">
        <v>4727</v>
      </c>
    </row>
    <row r="104" spans="1:8" x14ac:dyDescent="0.25">
      <c r="A104" s="14" t="s">
        <v>908</v>
      </c>
      <c r="B104" s="15" t="s">
        <v>909</v>
      </c>
      <c r="C104" s="14">
        <f t="shared" si="4"/>
        <v>3</v>
      </c>
      <c r="D104" s="14" t="str">
        <f t="shared" si="5"/>
        <v>HIV O-17 Percentage of people living with HIV who have experienced rights abuses in the last 12 months and have sought redress-3</v>
      </c>
      <c r="E104" s="15" t="s">
        <v>4719</v>
      </c>
      <c r="F104" s="15" t="s">
        <v>4728</v>
      </c>
      <c r="G104" s="14" t="s">
        <v>4729</v>
      </c>
      <c r="H104" s="15" t="s">
        <v>4730</v>
      </c>
    </row>
    <row r="105" spans="1:8" x14ac:dyDescent="0.25">
      <c r="A105" s="14" t="s">
        <v>908</v>
      </c>
      <c r="B105" s="15" t="s">
        <v>909</v>
      </c>
      <c r="C105" s="14">
        <f t="shared" si="4"/>
        <v>4</v>
      </c>
      <c r="D105" s="14" t="str">
        <f t="shared" si="5"/>
        <v>HIV O-17 Percentage of people living with HIV who have experienced rights abuses in the last 12 months and have sought redress-4</v>
      </c>
      <c r="E105" s="15" t="s">
        <v>4719</v>
      </c>
      <c r="F105" s="15" t="s">
        <v>4731</v>
      </c>
      <c r="G105" s="14" t="s">
        <v>4732</v>
      </c>
      <c r="H105" s="15" t="s">
        <v>4733</v>
      </c>
    </row>
    <row r="106" spans="1:8" x14ac:dyDescent="0.25">
      <c r="A106" s="14" t="s">
        <v>908</v>
      </c>
      <c r="B106" s="15" t="s">
        <v>909</v>
      </c>
      <c r="C106" s="14">
        <f t="shared" si="4"/>
        <v>5</v>
      </c>
      <c r="D106" s="14" t="str">
        <f t="shared" si="5"/>
        <v>HIV O-17 Percentage of people living with HIV who have experienced rights abuses in the last 12 months and have sought redress-5</v>
      </c>
      <c r="E106" s="15" t="s">
        <v>1168</v>
      </c>
      <c r="F106" s="15" t="s">
        <v>4554</v>
      </c>
      <c r="G106" s="14" t="s">
        <v>4734</v>
      </c>
      <c r="H106" s="15" t="s">
        <v>4735</v>
      </c>
    </row>
    <row r="107" spans="1:8" x14ac:dyDescent="0.25">
      <c r="A107" s="14" t="s">
        <v>908</v>
      </c>
      <c r="B107" s="15" t="s">
        <v>909</v>
      </c>
      <c r="C107" s="14">
        <f t="shared" si="4"/>
        <v>6</v>
      </c>
      <c r="D107" s="14" t="str">
        <f t="shared" si="5"/>
        <v>HIV O-17 Percentage of people living with HIV who have experienced rights abuses in the last 12 months and have sought redress-6</v>
      </c>
      <c r="E107" s="15" t="s">
        <v>1168</v>
      </c>
      <c r="F107" s="15" t="s">
        <v>4492</v>
      </c>
      <c r="G107" s="14" t="s">
        <v>4736</v>
      </c>
      <c r="H107" s="15" t="s">
        <v>4737</v>
      </c>
    </row>
    <row r="108" spans="1:8" x14ac:dyDescent="0.25">
      <c r="A108" s="14" t="s">
        <v>908</v>
      </c>
      <c r="B108" s="15" t="s">
        <v>909</v>
      </c>
      <c r="C108" s="14">
        <f t="shared" si="4"/>
        <v>7</v>
      </c>
      <c r="D108" s="14" t="str">
        <f t="shared" si="5"/>
        <v>HIV O-17 Percentage of people living with HIV who have experienced rights abuses in the last 12 months and have sought redress-7</v>
      </c>
      <c r="E108" s="15" t="s">
        <v>1168</v>
      </c>
      <c r="F108" s="15" t="s">
        <v>4501</v>
      </c>
      <c r="G108" s="14" t="s">
        <v>4738</v>
      </c>
      <c r="H108" s="15" t="s">
        <v>4739</v>
      </c>
    </row>
    <row r="109" spans="1:8" x14ac:dyDescent="0.25">
      <c r="A109" s="14" t="s">
        <v>921</v>
      </c>
      <c r="B109" s="15" t="s">
        <v>922</v>
      </c>
      <c r="C109" s="14">
        <f t="shared" si="4"/>
        <v>0</v>
      </c>
      <c r="D109" s="14" t="str">
        <f t="shared" si="5"/>
        <v>HIV O-16a Percentage of men who have sex with men who avoid health care because of stigma and discrimination-0</v>
      </c>
      <c r="E109" s="15" t="s">
        <v>821</v>
      </c>
      <c r="F109" s="15" t="s">
        <v>4540</v>
      </c>
      <c r="G109" s="14" t="s">
        <v>4740</v>
      </c>
      <c r="H109" s="15" t="s">
        <v>4741</v>
      </c>
    </row>
    <row r="110" spans="1:8" x14ac:dyDescent="0.25">
      <c r="A110" s="14" t="s">
        <v>921</v>
      </c>
      <c r="B110" s="15" t="s">
        <v>922</v>
      </c>
      <c r="C110" s="14">
        <f t="shared" si="4"/>
        <v>1</v>
      </c>
      <c r="D110" s="14" t="str">
        <f t="shared" si="5"/>
        <v>HIV O-16a Percentage of men who have sex with men who avoid health care because of stigma and discrimination-1</v>
      </c>
      <c r="E110" s="15" t="s">
        <v>821</v>
      </c>
      <c r="F110" s="15" t="s">
        <v>4543</v>
      </c>
      <c r="G110" s="14" t="s">
        <v>4742</v>
      </c>
      <c r="H110" s="15" t="s">
        <v>4743</v>
      </c>
    </row>
    <row r="111" spans="1:8" x14ac:dyDescent="0.25">
      <c r="A111" s="14" t="s">
        <v>925</v>
      </c>
      <c r="B111" s="15" t="s">
        <v>926</v>
      </c>
      <c r="C111" s="14">
        <f t="shared" si="4"/>
        <v>0</v>
      </c>
      <c r="D111" s="14" t="str">
        <f t="shared" si="5"/>
        <v>HIV O-16b Percentage of transgender people who avoid health care because of stigma and discrimination-0</v>
      </c>
      <c r="E111" s="15" t="s">
        <v>821</v>
      </c>
      <c r="F111" s="15" t="s">
        <v>4540</v>
      </c>
      <c r="G111" s="14" t="s">
        <v>4744</v>
      </c>
      <c r="H111" s="15" t="s">
        <v>4745</v>
      </c>
    </row>
    <row r="112" spans="1:8" x14ac:dyDescent="0.25">
      <c r="A112" s="14" t="s">
        <v>925</v>
      </c>
      <c r="B112" s="15" t="s">
        <v>926</v>
      </c>
      <c r="C112" s="14">
        <f t="shared" si="4"/>
        <v>1</v>
      </c>
      <c r="D112" s="14" t="str">
        <f t="shared" si="5"/>
        <v>HIV O-16b Percentage of transgender people who avoid health care because of stigma and discrimination-1</v>
      </c>
      <c r="E112" s="15" t="s">
        <v>821</v>
      </c>
      <c r="F112" s="15" t="s">
        <v>4543</v>
      </c>
      <c r="G112" s="14" t="s">
        <v>4746</v>
      </c>
      <c r="H112" s="15" t="s">
        <v>4747</v>
      </c>
    </row>
    <row r="113" spans="1:8" x14ac:dyDescent="0.25">
      <c r="A113" s="14" t="s">
        <v>929</v>
      </c>
      <c r="B113" s="15" t="s">
        <v>930</v>
      </c>
      <c r="C113" s="14">
        <f t="shared" si="4"/>
        <v>0</v>
      </c>
      <c r="D113" s="14" t="str">
        <f t="shared" si="5"/>
        <v>HIV O-16c Percentage of sex workers who avoid health care because of stigma and discrimination-0</v>
      </c>
      <c r="E113" s="15" t="s">
        <v>821</v>
      </c>
      <c r="F113" s="15" t="s">
        <v>4540</v>
      </c>
      <c r="G113" s="14" t="s">
        <v>4748</v>
      </c>
      <c r="H113" s="15" t="s">
        <v>4749</v>
      </c>
    </row>
    <row r="114" spans="1:8" x14ac:dyDescent="0.25">
      <c r="A114" s="14" t="s">
        <v>929</v>
      </c>
      <c r="B114" s="15" t="s">
        <v>930</v>
      </c>
      <c r="C114" s="14">
        <f t="shared" si="4"/>
        <v>1</v>
      </c>
      <c r="D114" s="14" t="str">
        <f t="shared" si="5"/>
        <v>HIV O-16c Percentage of sex workers who avoid health care because of stigma and discrimination-1</v>
      </c>
      <c r="E114" s="15" t="s">
        <v>821</v>
      </c>
      <c r="F114" s="15" t="s">
        <v>4543</v>
      </c>
      <c r="G114" s="14" t="s">
        <v>4750</v>
      </c>
      <c r="H114" s="15" t="s">
        <v>4751</v>
      </c>
    </row>
    <row r="115" spans="1:8" x14ac:dyDescent="0.25">
      <c r="A115" s="14" t="s">
        <v>929</v>
      </c>
      <c r="B115" s="15" t="s">
        <v>930</v>
      </c>
      <c r="C115" s="14">
        <f t="shared" si="4"/>
        <v>2</v>
      </c>
      <c r="D115" s="14" t="str">
        <f t="shared" si="5"/>
        <v>HIV O-16c Percentage of sex workers who avoid health care because of stigma and discrimination-2</v>
      </c>
      <c r="E115" s="15" t="s">
        <v>1168</v>
      </c>
      <c r="F115" s="15" t="s">
        <v>4554</v>
      </c>
      <c r="G115" s="14" t="s">
        <v>4752</v>
      </c>
      <c r="H115" s="15" t="s">
        <v>4753</v>
      </c>
    </row>
    <row r="116" spans="1:8" x14ac:dyDescent="0.25">
      <c r="A116" s="14" t="s">
        <v>929</v>
      </c>
      <c r="B116" s="15" t="s">
        <v>930</v>
      </c>
      <c r="C116" s="14">
        <f t="shared" si="4"/>
        <v>3</v>
      </c>
      <c r="D116" s="14" t="str">
        <f t="shared" si="5"/>
        <v>HIV O-16c Percentage of sex workers who avoid health care because of stigma and discrimination-3</v>
      </c>
      <c r="E116" s="15" t="s">
        <v>1168</v>
      </c>
      <c r="F116" s="15" t="s">
        <v>4492</v>
      </c>
      <c r="G116" s="14" t="s">
        <v>4754</v>
      </c>
      <c r="H116" s="15" t="s">
        <v>4755</v>
      </c>
    </row>
    <row r="117" spans="1:8" x14ac:dyDescent="0.25">
      <c r="A117" s="14" t="s">
        <v>929</v>
      </c>
      <c r="B117" s="15" t="s">
        <v>930</v>
      </c>
      <c r="C117" s="14">
        <f t="shared" si="4"/>
        <v>4</v>
      </c>
      <c r="D117" s="14" t="str">
        <f t="shared" si="5"/>
        <v>HIV O-16c Percentage of sex workers who avoid health care because of stigma and discrimination-4</v>
      </c>
      <c r="E117" s="15" t="s">
        <v>1168</v>
      </c>
      <c r="F117" s="15" t="s">
        <v>4501</v>
      </c>
      <c r="G117" s="14" t="s">
        <v>4756</v>
      </c>
      <c r="H117" s="15" t="s">
        <v>4757</v>
      </c>
    </row>
    <row r="118" spans="1:8" x14ac:dyDescent="0.25">
      <c r="A118" s="14" t="s">
        <v>933</v>
      </c>
      <c r="B118" s="15" t="s">
        <v>934</v>
      </c>
      <c r="C118" s="14">
        <f t="shared" si="4"/>
        <v>0</v>
      </c>
      <c r="D118" s="14" t="str">
        <f t="shared" si="5"/>
        <v>HIV O-16d Percentage of people who inject drugs who avoid health care because of stigma and discrimination-0</v>
      </c>
      <c r="E118" s="15" t="s">
        <v>821</v>
      </c>
      <c r="F118" s="15" t="s">
        <v>4540</v>
      </c>
      <c r="G118" s="14" t="s">
        <v>4758</v>
      </c>
      <c r="H118" s="15" t="s">
        <v>4759</v>
      </c>
    </row>
    <row r="119" spans="1:8" x14ac:dyDescent="0.25">
      <c r="A119" s="14" t="s">
        <v>933</v>
      </c>
      <c r="B119" s="15" t="s">
        <v>934</v>
      </c>
      <c r="C119" s="14">
        <f t="shared" si="4"/>
        <v>1</v>
      </c>
      <c r="D119" s="14" t="str">
        <f t="shared" si="5"/>
        <v>HIV O-16d Percentage of people who inject drugs who avoid health care because of stigma and discrimination-1</v>
      </c>
      <c r="E119" s="15" t="s">
        <v>821</v>
      </c>
      <c r="F119" s="15" t="s">
        <v>4543</v>
      </c>
      <c r="G119" s="14" t="s">
        <v>4760</v>
      </c>
      <c r="H119" s="15" t="s">
        <v>4761</v>
      </c>
    </row>
    <row r="120" spans="1:8" x14ac:dyDescent="0.25">
      <c r="A120" s="14" t="s">
        <v>933</v>
      </c>
      <c r="B120" s="15" t="s">
        <v>934</v>
      </c>
      <c r="C120" s="14">
        <f t="shared" si="4"/>
        <v>2</v>
      </c>
      <c r="D120" s="14" t="str">
        <f t="shared" si="5"/>
        <v>HIV O-16d Percentage of people who inject drugs who avoid health care because of stigma and discrimination-2</v>
      </c>
      <c r="E120" s="15" t="s">
        <v>1168</v>
      </c>
      <c r="F120" s="15" t="s">
        <v>4554</v>
      </c>
      <c r="G120" s="14" t="s">
        <v>4762</v>
      </c>
      <c r="H120" s="15" t="s">
        <v>4763</v>
      </c>
    </row>
    <row r="121" spans="1:8" x14ac:dyDescent="0.25">
      <c r="A121" s="14" t="s">
        <v>933</v>
      </c>
      <c r="B121" s="15" t="s">
        <v>934</v>
      </c>
      <c r="C121" s="14">
        <f t="shared" si="4"/>
        <v>3</v>
      </c>
      <c r="D121" s="14" t="str">
        <f t="shared" si="5"/>
        <v>HIV O-16d Percentage of people who inject drugs who avoid health care because of stigma and discrimination-3</v>
      </c>
      <c r="E121" s="15" t="s">
        <v>1168</v>
      </c>
      <c r="F121" s="15" t="s">
        <v>4492</v>
      </c>
      <c r="G121" s="14" t="s">
        <v>4764</v>
      </c>
      <c r="H121" s="15" t="s">
        <v>4765</v>
      </c>
    </row>
    <row r="122" spans="1:8" x14ac:dyDescent="0.25">
      <c r="A122" s="14" t="s">
        <v>933</v>
      </c>
      <c r="B122" s="15" t="s">
        <v>934</v>
      </c>
      <c r="C122" s="14">
        <f t="shared" si="4"/>
        <v>4</v>
      </c>
      <c r="D122" s="14" t="str">
        <f t="shared" si="5"/>
        <v>HIV O-16d Percentage of people who inject drugs who avoid health care because of stigma and discrimination-4</v>
      </c>
      <c r="E122" s="15" t="s">
        <v>1168</v>
      </c>
      <c r="F122" s="15" t="s">
        <v>4501</v>
      </c>
      <c r="G122" s="14" t="s">
        <v>4766</v>
      </c>
      <c r="H122" s="15" t="s">
        <v>4767</v>
      </c>
    </row>
    <row r="123" spans="1:8" x14ac:dyDescent="0.25">
      <c r="A123" s="14" t="s">
        <v>1011</v>
      </c>
      <c r="B123" s="15" t="s">
        <v>1012</v>
      </c>
      <c r="C123" s="14">
        <f t="shared" si="4"/>
        <v>0</v>
      </c>
      <c r="D123" s="14" t="str">
        <f t="shared" si="5"/>
        <v>TB O-5⁽ᴹ⁾ TB treatment coverage: Percentage of patients with new and relapse TB that were notified and treated among the estimated number of incident TB in the same year (all forms of TB - bacteriologically confirmed plus clinically diagnosed-0</v>
      </c>
      <c r="E123" s="15" t="s">
        <v>821</v>
      </c>
      <c r="F123" s="15" t="s">
        <v>4479</v>
      </c>
      <c r="G123" s="14" t="s">
        <v>4768</v>
      </c>
      <c r="H123" s="15" t="s">
        <v>4769</v>
      </c>
    </row>
    <row r="124" spans="1:8" x14ac:dyDescent="0.25">
      <c r="A124" s="14" t="s">
        <v>1011</v>
      </c>
      <c r="B124" s="15" t="s">
        <v>1012</v>
      </c>
      <c r="C124" s="14">
        <f t="shared" si="4"/>
        <v>1</v>
      </c>
      <c r="D124" s="14" t="str">
        <f t="shared" si="5"/>
        <v>TB O-5⁽ᴹ⁾ TB treatment coverage: Percentage of patients with new and relapse TB that were notified and treated among the estimated number of incident TB in the same year (all forms of TB - bacteriologically confirmed plus clinically diagnosed-1</v>
      </c>
      <c r="E124" s="15" t="s">
        <v>821</v>
      </c>
      <c r="F124" s="15" t="s">
        <v>4482</v>
      </c>
      <c r="G124" s="14" t="s">
        <v>4770</v>
      </c>
      <c r="H124" s="15" t="s">
        <v>4771</v>
      </c>
    </row>
    <row r="125" spans="1:8" x14ac:dyDescent="0.25">
      <c r="A125" s="14" t="s">
        <v>1011</v>
      </c>
      <c r="B125" s="15" t="s">
        <v>1012</v>
      </c>
      <c r="C125" s="14">
        <f t="shared" si="4"/>
        <v>2</v>
      </c>
      <c r="D125" s="14" t="str">
        <f t="shared" si="5"/>
        <v>TB O-5⁽ᴹ⁾ TB treatment coverage: Percentage of patients with new and relapse TB that were notified and treated among the estimated number of incident TB in the same year (all forms of TB - bacteriologically confirmed plus clinically diagnosed-2</v>
      </c>
      <c r="E125" s="15" t="s">
        <v>1168</v>
      </c>
      <c r="F125" s="15" t="s">
        <v>4492</v>
      </c>
      <c r="G125" s="14" t="s">
        <v>4772</v>
      </c>
      <c r="H125" s="15" t="s">
        <v>4773</v>
      </c>
    </row>
    <row r="126" spans="1:8" x14ac:dyDescent="0.25">
      <c r="A126" s="14" t="s">
        <v>1011</v>
      </c>
      <c r="B126" s="15" t="s">
        <v>1012</v>
      </c>
      <c r="C126" s="14">
        <f t="shared" si="4"/>
        <v>3</v>
      </c>
      <c r="D126" s="14" t="str">
        <f t="shared" si="5"/>
        <v>TB O-5⁽ᴹ⁾ TB treatment coverage: Percentage of patients with new and relapse TB that were notified and treated among the estimated number of incident TB in the same year (all forms of TB - bacteriologically confirmed plus clinically diagnosed-3</v>
      </c>
      <c r="E126" s="15" t="s">
        <v>1168</v>
      </c>
      <c r="F126" s="15" t="s">
        <v>4501</v>
      </c>
      <c r="G126" s="14" t="s">
        <v>4774</v>
      </c>
      <c r="H126" s="15" t="s">
        <v>4775</v>
      </c>
    </row>
    <row r="127" spans="1:8" x14ac:dyDescent="0.25">
      <c r="A127" s="14" t="s">
        <v>4776</v>
      </c>
      <c r="B127" s="15" t="s">
        <v>4777</v>
      </c>
      <c r="C127" s="14">
        <f t="shared" si="4"/>
        <v>0</v>
      </c>
      <c r="D127" s="14" t="str">
        <f t="shared" si="5"/>
        <v>Malaria O-1a Proportion of population that slept under an insecticide-treated net the previous night-0</v>
      </c>
      <c r="E127" s="15" t="s">
        <v>1168</v>
      </c>
      <c r="F127" s="15" t="s">
        <v>4492</v>
      </c>
      <c r="G127" s="14" t="s">
        <v>4778</v>
      </c>
      <c r="H127" s="15" t="s">
        <v>4779</v>
      </c>
    </row>
    <row r="128" spans="1:8" x14ac:dyDescent="0.25">
      <c r="A128" s="14" t="s">
        <v>4776</v>
      </c>
      <c r="B128" s="15" t="s">
        <v>4777</v>
      </c>
      <c r="C128" s="14">
        <f t="shared" si="4"/>
        <v>1</v>
      </c>
      <c r="D128" s="14" t="str">
        <f t="shared" si="5"/>
        <v>Malaria O-1a Proportion of population that slept under an insecticide-treated net the previous night-1</v>
      </c>
      <c r="E128" s="15" t="s">
        <v>1168</v>
      </c>
      <c r="F128" s="15" t="s">
        <v>4501</v>
      </c>
      <c r="G128" s="14" t="s">
        <v>4780</v>
      </c>
      <c r="H128" s="15" t="s">
        <v>4781</v>
      </c>
    </row>
    <row r="129" spans="1:8" x14ac:dyDescent="0.25">
      <c r="A129" s="14" t="s">
        <v>4782</v>
      </c>
      <c r="B129" s="15" t="s">
        <v>4783</v>
      </c>
      <c r="C129" s="14">
        <f t="shared" si="4"/>
        <v>0</v>
      </c>
      <c r="D129" s="14" t="str">
        <f t="shared" si="5"/>
        <v>Malaria O-12 Proportion of targeted risk groups covered by distributed ITNs-0</v>
      </c>
      <c r="E129" s="15" t="s">
        <v>4719</v>
      </c>
      <c r="F129" s="15" t="s">
        <v>4784</v>
      </c>
      <c r="G129" s="14" t="s">
        <v>4785</v>
      </c>
      <c r="H129" s="15" t="s">
        <v>4786</v>
      </c>
    </row>
    <row r="130" spans="1:8" x14ac:dyDescent="0.25">
      <c r="A130" s="14" t="s">
        <v>4782</v>
      </c>
      <c r="B130" s="15" t="s">
        <v>4783</v>
      </c>
      <c r="C130" s="14">
        <f t="shared" si="4"/>
        <v>1</v>
      </c>
      <c r="D130" s="14" t="str">
        <f t="shared" si="5"/>
        <v>Malaria O-12 Proportion of targeted risk groups covered by distributed ITNs-1</v>
      </c>
      <c r="E130" s="15" t="s">
        <v>4719</v>
      </c>
      <c r="F130" s="15" t="s">
        <v>4722</v>
      </c>
      <c r="G130" s="14" t="s">
        <v>4787</v>
      </c>
      <c r="H130" s="15" t="s">
        <v>4788</v>
      </c>
    </row>
    <row r="131" spans="1:8" x14ac:dyDescent="0.25">
      <c r="A131" s="14" t="s">
        <v>4782</v>
      </c>
      <c r="B131" s="15" t="s">
        <v>4783</v>
      </c>
      <c r="C131" s="14">
        <f t="shared" si="4"/>
        <v>2</v>
      </c>
      <c r="D131" s="14" t="str">
        <f t="shared" si="5"/>
        <v>Malaria O-12 Proportion of targeted risk groups covered by distributed ITNs-2</v>
      </c>
      <c r="E131" s="15" t="s">
        <v>4719</v>
      </c>
      <c r="F131" s="15" t="s">
        <v>4789</v>
      </c>
      <c r="G131" s="14" t="s">
        <v>4790</v>
      </c>
      <c r="H131" s="15" t="s">
        <v>4791</v>
      </c>
    </row>
    <row r="132" spans="1:8" x14ac:dyDescent="0.25">
      <c r="A132" s="14" t="s">
        <v>4792</v>
      </c>
      <c r="B132" s="15" t="s">
        <v>4793</v>
      </c>
      <c r="C132" s="14">
        <f t="shared" si="4"/>
        <v>0</v>
      </c>
      <c r="D132" s="14" t="str">
        <f t="shared" si="5"/>
        <v>Malaria O-9⁽ᴹ⁾ Annual blood examination rate: per 100 population per year (Elimination settings)-0</v>
      </c>
      <c r="E132" s="15" t="s">
        <v>4794</v>
      </c>
      <c r="F132" s="15" t="s">
        <v>4795</v>
      </c>
      <c r="G132" s="14" t="s">
        <v>4796</v>
      </c>
      <c r="H132" s="15" t="s">
        <v>4797</v>
      </c>
    </row>
    <row r="133" spans="1:8" x14ac:dyDescent="0.25">
      <c r="A133" s="14" t="s">
        <v>4792</v>
      </c>
      <c r="B133" s="15" t="s">
        <v>4793</v>
      </c>
      <c r="C133" s="14">
        <f t="shared" si="4"/>
        <v>1</v>
      </c>
      <c r="D133" s="14" t="str">
        <f t="shared" si="5"/>
        <v>Malaria O-9⁽ᴹ⁾ Annual blood examination rate: per 100 population per year (Elimination settings)-1</v>
      </c>
      <c r="E133" s="15" t="s">
        <v>4794</v>
      </c>
      <c r="F133" s="15" t="s">
        <v>4798</v>
      </c>
      <c r="G133" s="14" t="s">
        <v>4799</v>
      </c>
      <c r="H133" s="15" t="s">
        <v>4800</v>
      </c>
    </row>
    <row r="134" spans="1:8" x14ac:dyDescent="0.25">
      <c r="A134" s="14" t="s">
        <v>985</v>
      </c>
      <c r="B134" s="15" t="s">
        <v>986</v>
      </c>
      <c r="C134" s="14">
        <f t="shared" si="4"/>
        <v>0</v>
      </c>
      <c r="D134" s="14" t="str">
        <f t="shared" si="5"/>
        <v>RSSH O-1 Percentage of facilities providing HIV, TB and malaria integrated services to pregnant women-0</v>
      </c>
      <c r="E134" s="15" t="s">
        <v>987</v>
      </c>
      <c r="F134" s="15" t="s">
        <v>4801</v>
      </c>
      <c r="G134" s="14" t="s">
        <v>4802</v>
      </c>
      <c r="H134" s="15" t="s">
        <v>4803</v>
      </c>
    </row>
    <row r="135" spans="1:8" x14ac:dyDescent="0.25">
      <c r="A135" s="14" t="s">
        <v>985</v>
      </c>
      <c r="B135" s="15" t="s">
        <v>986</v>
      </c>
      <c r="C135" s="14">
        <f t="shared" si="4"/>
        <v>1</v>
      </c>
      <c r="D135" s="14" t="str">
        <f t="shared" si="5"/>
        <v>RSSH O-1 Percentage of facilities providing HIV, TB and malaria integrated services to pregnant women-1</v>
      </c>
      <c r="E135" s="15" t="s">
        <v>987</v>
      </c>
      <c r="F135" s="15" t="s">
        <v>4804</v>
      </c>
      <c r="G135" s="14" t="s">
        <v>4805</v>
      </c>
      <c r="H135" s="15" t="s">
        <v>4806</v>
      </c>
    </row>
    <row r="136" spans="1:8" x14ac:dyDescent="0.25">
      <c r="A136" s="14" t="s">
        <v>985</v>
      </c>
      <c r="B136" s="15" t="s">
        <v>986</v>
      </c>
      <c r="C136" s="14">
        <f t="shared" si="4"/>
        <v>2</v>
      </c>
      <c r="D136" s="14" t="str">
        <f t="shared" si="5"/>
        <v>RSSH O-1 Percentage of facilities providing HIV, TB and malaria integrated services to pregnant women-2</v>
      </c>
      <c r="E136" s="15" t="s">
        <v>987</v>
      </c>
      <c r="F136" s="15" t="s">
        <v>4807</v>
      </c>
      <c r="G136" s="14" t="s">
        <v>4808</v>
      </c>
      <c r="H136" s="15" t="s">
        <v>4809</v>
      </c>
    </row>
    <row r="137" spans="1:8" x14ac:dyDescent="0.25">
      <c r="A137" s="14" t="s">
        <v>990</v>
      </c>
      <c r="B137" s="15" t="s">
        <v>991</v>
      </c>
      <c r="C137" s="14">
        <f t="shared" si="4"/>
        <v>0</v>
      </c>
      <c r="D137" s="14" t="str">
        <f t="shared" si="5"/>
        <v>RSSH O-2 Percentage of population with large household expenditure on health as a share of total household expenditure or income (catastrophic spending on health)-0</v>
      </c>
      <c r="E137" s="15" t="s">
        <v>992</v>
      </c>
      <c r="F137" s="15" t="s">
        <v>4810</v>
      </c>
      <c r="G137" s="14" t="s">
        <v>4811</v>
      </c>
      <c r="H137" s="15" t="s">
        <v>4812</v>
      </c>
    </row>
    <row r="138" spans="1:8" x14ac:dyDescent="0.25">
      <c r="A138" s="14" t="s">
        <v>990</v>
      </c>
      <c r="B138" s="15" t="s">
        <v>991</v>
      </c>
      <c r="C138" s="14">
        <f t="shared" si="4"/>
        <v>1</v>
      </c>
      <c r="D138" s="14" t="str">
        <f t="shared" si="5"/>
        <v>RSSH O-2 Percentage of population with large household expenditure on health as a share of total household expenditure or income (catastrophic spending on health)-1</v>
      </c>
      <c r="E138" s="15" t="s">
        <v>992</v>
      </c>
      <c r="F138" s="15" t="s">
        <v>4813</v>
      </c>
      <c r="G138" s="14" t="s">
        <v>4814</v>
      </c>
      <c r="H138" s="15" t="s">
        <v>4815</v>
      </c>
    </row>
    <row r="139" spans="1:8" x14ac:dyDescent="0.25">
      <c r="A139" s="14" t="s">
        <v>995</v>
      </c>
      <c r="B139" s="15" t="s">
        <v>996</v>
      </c>
      <c r="C139" s="14">
        <f t="shared" si="4"/>
        <v>0</v>
      </c>
      <c r="D139" s="14" t="str">
        <f t="shared" si="5"/>
        <v>RSSH O-3 On-shelf availability: Percentage of facilities with tracer health products for the three diseases - HIV, TB, malaria (as applicable) available on the day of the visit or day of reporting-0</v>
      </c>
      <c r="E139" s="15" t="s">
        <v>997</v>
      </c>
      <c r="F139" s="15" t="s">
        <v>4816</v>
      </c>
      <c r="G139" s="14" t="s">
        <v>4817</v>
      </c>
      <c r="H139" s="15" t="s">
        <v>4818</v>
      </c>
    </row>
    <row r="140" spans="1:8" x14ac:dyDescent="0.25">
      <c r="A140" s="14" t="s">
        <v>995</v>
      </c>
      <c r="B140" s="15" t="s">
        <v>996</v>
      </c>
      <c r="C140" s="14">
        <f t="shared" si="4"/>
        <v>1</v>
      </c>
      <c r="D140" s="14" t="str">
        <f t="shared" si="5"/>
        <v>RSSH O-3 On-shelf availability: Percentage of facilities with tracer health products for the three diseases - HIV, TB, malaria (as applicable) available on the day of the visit or day of reporting-1</v>
      </c>
      <c r="E140" s="15" t="s">
        <v>997</v>
      </c>
      <c r="F140" s="15" t="s">
        <v>4819</v>
      </c>
      <c r="G140" s="14" t="s">
        <v>4820</v>
      </c>
      <c r="H140" s="15" t="s">
        <v>4821</v>
      </c>
    </row>
    <row r="141" spans="1:8" x14ac:dyDescent="0.25">
      <c r="A141" s="14" t="s">
        <v>1000</v>
      </c>
      <c r="B141" s="15" t="s">
        <v>1001</v>
      </c>
      <c r="C141" s="14">
        <f t="shared" si="4"/>
        <v>0</v>
      </c>
      <c r="D141" s="14" t="str">
        <f t="shared" si="5"/>
        <v>RSSH O-4 Maturity level of the national medical products regulatory system-0</v>
      </c>
      <c r="E141" s="15" t="s">
        <v>1002</v>
      </c>
      <c r="F141" s="15" t="s">
        <v>4822</v>
      </c>
      <c r="G141" s="14" t="s">
        <v>4823</v>
      </c>
      <c r="H141" s="15" t="s">
        <v>4824</v>
      </c>
    </row>
    <row r="142" spans="1:8" x14ac:dyDescent="0.25">
      <c r="A142" s="14" t="s">
        <v>1000</v>
      </c>
      <c r="B142" s="15" t="s">
        <v>1001</v>
      </c>
      <c r="C142" s="14">
        <f t="shared" si="4"/>
        <v>1</v>
      </c>
      <c r="D142" s="14" t="str">
        <f t="shared" si="5"/>
        <v>RSSH O-4 Maturity level of the national medical products regulatory system-1</v>
      </c>
      <c r="E142" s="15" t="s">
        <v>1002</v>
      </c>
      <c r="F142" s="15" t="s">
        <v>4825</v>
      </c>
      <c r="G142" s="14" t="s">
        <v>4826</v>
      </c>
      <c r="H142" s="15" t="s">
        <v>4827</v>
      </c>
    </row>
    <row r="143" spans="1:8" x14ac:dyDescent="0.25">
      <c r="A143" s="14" t="s">
        <v>1000</v>
      </c>
      <c r="B143" s="15" t="s">
        <v>1001</v>
      </c>
      <c r="C143" s="14">
        <f t="shared" si="4"/>
        <v>2</v>
      </c>
      <c r="D143" s="14" t="str">
        <f t="shared" si="5"/>
        <v>RSSH O-4 Maturity level of the national medical products regulatory system-2</v>
      </c>
      <c r="E143" s="15" t="s">
        <v>1002</v>
      </c>
      <c r="F143" s="15" t="s">
        <v>4828</v>
      </c>
      <c r="G143" s="14" t="s">
        <v>4829</v>
      </c>
      <c r="H143" s="15" t="s">
        <v>4830</v>
      </c>
    </row>
    <row r="144" spans="1:8" x14ac:dyDescent="0.25">
      <c r="A144" s="14" t="s">
        <v>1000</v>
      </c>
      <c r="B144" s="15" t="s">
        <v>1001</v>
      </c>
      <c r="C144" s="14">
        <f t="shared" si="4"/>
        <v>3</v>
      </c>
      <c r="D144" s="14" t="str">
        <f t="shared" si="5"/>
        <v>RSSH O-4 Maturity level of the national medical products regulatory system-3</v>
      </c>
      <c r="E144" s="15" t="s">
        <v>1002</v>
      </c>
      <c r="F144" s="15" t="s">
        <v>4831</v>
      </c>
      <c r="G144" s="14" t="s">
        <v>4832</v>
      </c>
      <c r="H144" s="15" t="s">
        <v>4833</v>
      </c>
    </row>
    <row r="145" spans="1:8" x14ac:dyDescent="0.25">
      <c r="A145" s="14" t="s">
        <v>1000</v>
      </c>
      <c r="B145" s="15" t="s">
        <v>1001</v>
      </c>
      <c r="C145" s="14">
        <f t="shared" si="4"/>
        <v>4</v>
      </c>
      <c r="D145" s="14" t="str">
        <f t="shared" si="5"/>
        <v>RSSH O-4 Maturity level of the national medical products regulatory system-4</v>
      </c>
      <c r="E145" s="15" t="s">
        <v>1002</v>
      </c>
      <c r="F145" s="15" t="s">
        <v>4834</v>
      </c>
      <c r="G145" s="14" t="s">
        <v>4835</v>
      </c>
      <c r="H145" s="15" t="s">
        <v>4836</v>
      </c>
    </row>
    <row r="146" spans="1:8" x14ac:dyDescent="0.25">
      <c r="A146" s="14" t="s">
        <v>1000</v>
      </c>
      <c r="B146" s="15" t="s">
        <v>1001</v>
      </c>
      <c r="C146" s="14">
        <f t="shared" si="4"/>
        <v>5</v>
      </c>
      <c r="D146" s="14" t="str">
        <f t="shared" si="5"/>
        <v>RSSH O-4 Maturity level of the national medical products regulatory system-5</v>
      </c>
      <c r="E146" s="15" t="s">
        <v>1002</v>
      </c>
      <c r="F146" s="15" t="s">
        <v>4837</v>
      </c>
      <c r="G146" s="14" t="s">
        <v>4838</v>
      </c>
      <c r="H146" s="15" t="s">
        <v>4839</v>
      </c>
    </row>
    <row r="147" spans="1:8" x14ac:dyDescent="0.25">
      <c r="A147" s="14" t="s">
        <v>1000</v>
      </c>
      <c r="B147" s="15" t="s">
        <v>1001</v>
      </c>
      <c r="C147" s="14">
        <f t="shared" si="4"/>
        <v>6</v>
      </c>
      <c r="D147" s="14" t="str">
        <f t="shared" si="5"/>
        <v>RSSH O-4 Maturity level of the national medical products regulatory system-6</v>
      </c>
      <c r="E147" s="15" t="s">
        <v>1002</v>
      </c>
      <c r="F147" s="15" t="s">
        <v>4840</v>
      </c>
      <c r="G147" s="14" t="s">
        <v>4841</v>
      </c>
      <c r="H147" s="15" t="s">
        <v>4842</v>
      </c>
    </row>
    <row r="148" spans="1:8" x14ac:dyDescent="0.25">
      <c r="A148" s="14" t="s">
        <v>1000</v>
      </c>
      <c r="B148" s="15" t="s">
        <v>1001</v>
      </c>
      <c r="C148" s="14">
        <f t="shared" ref="C148" si="6">IF(B148=B147,C147+1,0)</f>
        <v>7</v>
      </c>
      <c r="D148" s="14" t="str">
        <f t="shared" ref="D148" si="7">B148&amp;"-"&amp;C148</f>
        <v>RSSH O-4 Maturity level of the national medical products regulatory system-7</v>
      </c>
      <c r="E148" s="15" t="s">
        <v>1002</v>
      </c>
      <c r="F148" s="15" t="s">
        <v>4843</v>
      </c>
      <c r="G148" s="14" t="s">
        <v>4844</v>
      </c>
      <c r="H148" s="15" t="s">
        <v>4845</v>
      </c>
    </row>
    <row r="150" spans="1:8" x14ac:dyDescent="0.25">
      <c r="A150" s="2" t="s">
        <v>4846</v>
      </c>
    </row>
    <row r="151" spans="1:8" x14ac:dyDescent="0.25">
      <c r="A151" s="14" t="s">
        <v>4847</v>
      </c>
      <c r="B151" s="14" t="s">
        <v>784</v>
      </c>
      <c r="C151" s="14">
        <v>0</v>
      </c>
      <c r="D151" s="14" t="s">
        <v>4473</v>
      </c>
      <c r="E151" s="14" t="s">
        <v>2216</v>
      </c>
      <c r="F151" s="14" t="s">
        <v>2217</v>
      </c>
      <c r="G151" s="14" t="s">
        <v>318</v>
      </c>
      <c r="H151" s="14" t="s">
        <v>4474</v>
      </c>
    </row>
    <row r="152" spans="1:8" hidden="1" x14ac:dyDescent="0.25">
      <c r="A152" s="14" t="s">
        <v>4848</v>
      </c>
      <c r="B152" s="15" t="s">
        <v>2154</v>
      </c>
      <c r="C152" s="14">
        <f>IF(B152=B151,C151+1,0)</f>
        <v>0</v>
      </c>
      <c r="D152" s="14" t="str">
        <f>B152&amp;"-"&amp;C152</f>
        <v>[Name]-0</v>
      </c>
      <c r="E152" s="15" t="s">
        <v>4476</v>
      </c>
      <c r="F152" s="15" t="s">
        <v>4477</v>
      </c>
      <c r="G152" s="14" t="s">
        <v>321</v>
      </c>
      <c r="H152" s="15" t="s">
        <v>4478</v>
      </c>
    </row>
    <row r="153" spans="1:8" x14ac:dyDescent="0.25">
      <c r="A153" s="14" t="s">
        <v>1074</v>
      </c>
      <c r="B153" s="15" t="s">
        <v>1075</v>
      </c>
      <c r="C153" s="14">
        <f t="shared" ref="C153:C216" si="8">IF(B153=B152,C152+1,0)</f>
        <v>0</v>
      </c>
      <c r="D153" s="14" t="str">
        <f t="shared" ref="D153:D216" si="9">B153&amp;"-"&amp;C153</f>
        <v>KP-1c⁽ᴹ⁾ Percentage of sex workers reached with HIV prevention programs - defined package of services-0</v>
      </c>
      <c r="E153" s="15" t="s">
        <v>821</v>
      </c>
      <c r="F153" s="15" t="s">
        <v>4540</v>
      </c>
      <c r="G153" s="14" t="s">
        <v>4849</v>
      </c>
      <c r="H153" s="15" t="s">
        <v>4850</v>
      </c>
    </row>
    <row r="154" spans="1:8" x14ac:dyDescent="0.25">
      <c r="A154" s="14" t="s">
        <v>1074</v>
      </c>
      <c r="B154" s="15" t="s">
        <v>1075</v>
      </c>
      <c r="C154" s="14">
        <f t="shared" si="8"/>
        <v>1</v>
      </c>
      <c r="D154" s="14" t="str">
        <f t="shared" si="9"/>
        <v>KP-1c⁽ᴹ⁾ Percentage of sex workers reached with HIV prevention programs - defined package of services-1</v>
      </c>
      <c r="E154" s="15" t="s">
        <v>821</v>
      </c>
      <c r="F154" s="15" t="s">
        <v>4680</v>
      </c>
      <c r="G154" s="14" t="s">
        <v>4851</v>
      </c>
      <c r="H154" s="15" t="s">
        <v>4852</v>
      </c>
    </row>
    <row r="155" spans="1:8" x14ac:dyDescent="0.25">
      <c r="A155" s="14" t="s">
        <v>1074</v>
      </c>
      <c r="B155" s="15" t="s">
        <v>1075</v>
      </c>
      <c r="C155" s="14">
        <f t="shared" si="8"/>
        <v>2</v>
      </c>
      <c r="D155" s="14" t="str">
        <f t="shared" si="9"/>
        <v>KP-1c⁽ᴹ⁾ Percentage of sex workers reached with HIV prevention programs - defined package of services-2</v>
      </c>
      <c r="E155" s="15" t="s">
        <v>821</v>
      </c>
      <c r="F155" s="15" t="s">
        <v>4683</v>
      </c>
      <c r="G155" s="14" t="s">
        <v>4853</v>
      </c>
      <c r="H155" s="15" t="s">
        <v>4854</v>
      </c>
    </row>
    <row r="156" spans="1:8" x14ac:dyDescent="0.25">
      <c r="A156" s="14" t="s">
        <v>1074</v>
      </c>
      <c r="B156" s="15" t="s">
        <v>1075</v>
      </c>
      <c r="C156" s="14">
        <f t="shared" si="8"/>
        <v>3</v>
      </c>
      <c r="D156" s="14" t="str">
        <f t="shared" si="9"/>
        <v>KP-1c⁽ᴹ⁾ Percentage of sex workers reached with HIV prevention programs - defined package of services-3</v>
      </c>
      <c r="E156" s="15" t="s">
        <v>1168</v>
      </c>
      <c r="F156" s="15" t="s">
        <v>4554</v>
      </c>
      <c r="G156" s="14" t="s">
        <v>4855</v>
      </c>
      <c r="H156" s="15" t="s">
        <v>4856</v>
      </c>
    </row>
    <row r="157" spans="1:8" x14ac:dyDescent="0.25">
      <c r="A157" s="14" t="s">
        <v>1074</v>
      </c>
      <c r="B157" s="15" t="s">
        <v>1075</v>
      </c>
      <c r="C157" s="14">
        <f t="shared" si="8"/>
        <v>4</v>
      </c>
      <c r="D157" s="14" t="str">
        <f t="shared" si="9"/>
        <v>KP-1c⁽ᴹ⁾ Percentage of sex workers reached with HIV prevention programs - defined package of services-4</v>
      </c>
      <c r="E157" s="15" t="s">
        <v>1168</v>
      </c>
      <c r="F157" s="15" t="s">
        <v>4492</v>
      </c>
      <c r="G157" s="14" t="s">
        <v>4857</v>
      </c>
      <c r="H157" s="15" t="s">
        <v>4858</v>
      </c>
    </row>
    <row r="158" spans="1:8" x14ac:dyDescent="0.25">
      <c r="A158" s="14" t="s">
        <v>1074</v>
      </c>
      <c r="B158" s="15" t="s">
        <v>1075</v>
      </c>
      <c r="C158" s="14">
        <f t="shared" si="8"/>
        <v>5</v>
      </c>
      <c r="D158" s="14" t="str">
        <f t="shared" si="9"/>
        <v>KP-1c⁽ᴹ⁾ Percentage of sex workers reached with HIV prevention programs - defined package of services-5</v>
      </c>
      <c r="E158" s="15" t="s">
        <v>1168</v>
      </c>
      <c r="F158" s="15" t="s">
        <v>4501</v>
      </c>
      <c r="G158" s="14" t="s">
        <v>4859</v>
      </c>
      <c r="H158" s="15" t="s">
        <v>4860</v>
      </c>
    </row>
    <row r="159" spans="1:8" x14ac:dyDescent="0.25">
      <c r="A159" s="14" t="s">
        <v>1078</v>
      </c>
      <c r="B159" s="15" t="s">
        <v>1079</v>
      </c>
      <c r="C159" s="14">
        <f t="shared" si="8"/>
        <v>0</v>
      </c>
      <c r="D159" s="14" t="str">
        <f t="shared" si="9"/>
        <v>KP-6c Number of sex workers who received any PrEP product at least once during the reporting period-0</v>
      </c>
      <c r="E159" s="15" t="s">
        <v>821</v>
      </c>
      <c r="F159" s="15" t="s">
        <v>4540</v>
      </c>
      <c r="G159" s="14" t="s">
        <v>4861</v>
      </c>
      <c r="H159" s="15" t="s">
        <v>4862</v>
      </c>
    </row>
    <row r="160" spans="1:8" x14ac:dyDescent="0.25">
      <c r="A160" s="14" t="s">
        <v>1078</v>
      </c>
      <c r="B160" s="15" t="s">
        <v>1079</v>
      </c>
      <c r="C160" s="14">
        <f t="shared" si="8"/>
        <v>1</v>
      </c>
      <c r="D160" s="14" t="str">
        <f t="shared" si="9"/>
        <v>KP-6c Number of sex workers who received any PrEP product at least once during the reporting period-1</v>
      </c>
      <c r="E160" s="15" t="s">
        <v>821</v>
      </c>
      <c r="F160" s="15" t="s">
        <v>4680</v>
      </c>
      <c r="G160" s="14" t="s">
        <v>4863</v>
      </c>
      <c r="H160" s="15" t="s">
        <v>4864</v>
      </c>
    </row>
    <row r="161" spans="1:8" x14ac:dyDescent="0.25">
      <c r="A161" s="14" t="s">
        <v>1078</v>
      </c>
      <c r="B161" s="15" t="s">
        <v>1079</v>
      </c>
      <c r="C161" s="14">
        <f t="shared" si="8"/>
        <v>2</v>
      </c>
      <c r="D161" s="14" t="str">
        <f t="shared" si="9"/>
        <v>KP-6c Number of sex workers who received any PrEP product at least once during the reporting period-2</v>
      </c>
      <c r="E161" s="15" t="s">
        <v>821</v>
      </c>
      <c r="F161" s="15" t="s">
        <v>4683</v>
      </c>
      <c r="G161" s="14" t="s">
        <v>4865</v>
      </c>
      <c r="H161" s="15" t="s">
        <v>4866</v>
      </c>
    </row>
    <row r="162" spans="1:8" x14ac:dyDescent="0.25">
      <c r="A162" s="14" t="s">
        <v>1078</v>
      </c>
      <c r="B162" s="15" t="s">
        <v>1079</v>
      </c>
      <c r="C162" s="14">
        <f t="shared" si="8"/>
        <v>3</v>
      </c>
      <c r="D162" s="14" t="str">
        <f t="shared" si="9"/>
        <v>KP-6c Number of sex workers who received any PrEP product at least once during the reporting period-3</v>
      </c>
      <c r="E162" s="15" t="s">
        <v>1168</v>
      </c>
      <c r="F162" s="15" t="s">
        <v>4554</v>
      </c>
      <c r="G162" s="14" t="s">
        <v>4867</v>
      </c>
      <c r="H162" s="15" t="s">
        <v>4868</v>
      </c>
    </row>
    <row r="163" spans="1:8" x14ac:dyDescent="0.25">
      <c r="A163" s="14" t="s">
        <v>1078</v>
      </c>
      <c r="B163" s="15" t="s">
        <v>1079</v>
      </c>
      <c r="C163" s="14">
        <f t="shared" si="8"/>
        <v>4</v>
      </c>
      <c r="D163" s="14" t="str">
        <f t="shared" si="9"/>
        <v>KP-6c Number of sex workers who received any PrEP product at least once during the reporting period-4</v>
      </c>
      <c r="E163" s="15" t="s">
        <v>4869</v>
      </c>
      <c r="F163" s="15" t="s">
        <v>4870</v>
      </c>
      <c r="G163" s="14" t="s">
        <v>4871</v>
      </c>
      <c r="H163" s="15" t="s">
        <v>4872</v>
      </c>
    </row>
    <row r="164" spans="1:8" x14ac:dyDescent="0.25">
      <c r="A164" s="14" t="s">
        <v>1078</v>
      </c>
      <c r="B164" s="15" t="s">
        <v>1079</v>
      </c>
      <c r="C164" s="14">
        <f t="shared" si="8"/>
        <v>5</v>
      </c>
      <c r="D164" s="14" t="str">
        <f t="shared" si="9"/>
        <v>KP-6c Number of sex workers who received any PrEP product at least once during the reporting period-5</v>
      </c>
      <c r="E164" s="15" t="s">
        <v>4869</v>
      </c>
      <c r="F164" s="15" t="s">
        <v>4873</v>
      </c>
      <c r="G164" s="14" t="s">
        <v>4874</v>
      </c>
      <c r="H164" s="15" t="s">
        <v>4875</v>
      </c>
    </row>
    <row r="165" spans="1:8" x14ac:dyDescent="0.25">
      <c r="A165" s="14" t="s">
        <v>1078</v>
      </c>
      <c r="B165" s="15" t="s">
        <v>1079</v>
      </c>
      <c r="C165" s="14">
        <f t="shared" si="8"/>
        <v>6</v>
      </c>
      <c r="D165" s="14" t="str">
        <f t="shared" si="9"/>
        <v>KP-6c Number of sex workers who received any PrEP product at least once during the reporting period-6</v>
      </c>
      <c r="E165" s="15" t="s">
        <v>1168</v>
      </c>
      <c r="F165" s="15" t="s">
        <v>4492</v>
      </c>
      <c r="G165" s="14" t="s">
        <v>4876</v>
      </c>
      <c r="H165" s="15" t="s">
        <v>4877</v>
      </c>
    </row>
    <row r="166" spans="1:8" x14ac:dyDescent="0.25">
      <c r="A166" s="14" t="s">
        <v>1078</v>
      </c>
      <c r="B166" s="15" t="s">
        <v>1079</v>
      </c>
      <c r="C166" s="14">
        <f t="shared" si="8"/>
        <v>7</v>
      </c>
      <c r="D166" s="14" t="str">
        <f t="shared" si="9"/>
        <v>KP-6c Number of sex workers who received any PrEP product at least once during the reporting period-7</v>
      </c>
      <c r="E166" s="15" t="s">
        <v>1168</v>
      </c>
      <c r="F166" s="15" t="s">
        <v>4501</v>
      </c>
      <c r="G166" s="14" t="s">
        <v>4878</v>
      </c>
      <c r="H166" s="15" t="s">
        <v>4879</v>
      </c>
    </row>
    <row r="167" spans="1:8" x14ac:dyDescent="0.25">
      <c r="A167" s="14" t="s">
        <v>1078</v>
      </c>
      <c r="B167" s="15" t="s">
        <v>1079</v>
      </c>
      <c r="C167" s="14">
        <f t="shared" si="8"/>
        <v>8</v>
      </c>
      <c r="D167" s="14" t="str">
        <f t="shared" si="9"/>
        <v>KP-6c Number of sex workers who received any PrEP product at least once during the reporting period-8</v>
      </c>
      <c r="E167" s="15" t="s">
        <v>4869</v>
      </c>
      <c r="F167" s="15" t="s">
        <v>4880</v>
      </c>
      <c r="G167" s="14" t="s">
        <v>4881</v>
      </c>
      <c r="H167" s="15" t="s">
        <v>4882</v>
      </c>
    </row>
    <row r="168" spans="1:8" x14ac:dyDescent="0.25">
      <c r="A168" s="14" t="s">
        <v>1082</v>
      </c>
      <c r="B168" s="15" t="s">
        <v>1083</v>
      </c>
      <c r="C168" s="14">
        <f t="shared" si="8"/>
        <v>0</v>
      </c>
      <c r="D168" s="14" t="str">
        <f t="shared" si="9"/>
        <v>KP-7c Percentage of sex workers tested for STIs during the reporting period-0</v>
      </c>
      <c r="E168" s="15" t="s">
        <v>821</v>
      </c>
      <c r="F168" s="15" t="s">
        <v>4540</v>
      </c>
      <c r="G168" s="14" t="s">
        <v>4883</v>
      </c>
      <c r="H168" s="15" t="s">
        <v>4884</v>
      </c>
    </row>
    <row r="169" spans="1:8" x14ac:dyDescent="0.25">
      <c r="A169" s="14" t="s">
        <v>1082</v>
      </c>
      <c r="B169" s="15" t="s">
        <v>1083</v>
      </c>
      <c r="C169" s="14">
        <f t="shared" si="8"/>
        <v>1</v>
      </c>
      <c r="D169" s="14" t="str">
        <f t="shared" si="9"/>
        <v>KP-7c Percentage of sex workers tested for STIs during the reporting period-1</v>
      </c>
      <c r="E169" s="15" t="s">
        <v>821</v>
      </c>
      <c r="F169" s="15" t="s">
        <v>4680</v>
      </c>
      <c r="G169" s="14" t="s">
        <v>4885</v>
      </c>
      <c r="H169" s="15" t="s">
        <v>4886</v>
      </c>
    </row>
    <row r="170" spans="1:8" x14ac:dyDescent="0.25">
      <c r="A170" s="14" t="s">
        <v>1082</v>
      </c>
      <c r="B170" s="15" t="s">
        <v>1083</v>
      </c>
      <c r="C170" s="14">
        <f t="shared" si="8"/>
        <v>2</v>
      </c>
      <c r="D170" s="14" t="str">
        <f t="shared" si="9"/>
        <v>KP-7c Percentage of sex workers tested for STIs during the reporting period-2</v>
      </c>
      <c r="E170" s="15" t="s">
        <v>821</v>
      </c>
      <c r="F170" s="15" t="s">
        <v>4683</v>
      </c>
      <c r="G170" s="14" t="s">
        <v>4887</v>
      </c>
      <c r="H170" s="15" t="s">
        <v>4888</v>
      </c>
    </row>
    <row r="171" spans="1:8" x14ac:dyDescent="0.25">
      <c r="A171" s="14" t="s">
        <v>1082</v>
      </c>
      <c r="B171" s="15" t="s">
        <v>1083</v>
      </c>
      <c r="C171" s="14">
        <f t="shared" si="8"/>
        <v>3</v>
      </c>
      <c r="D171" s="14" t="str">
        <f t="shared" si="9"/>
        <v>KP-7c Percentage of sex workers tested for STIs during the reporting period-3</v>
      </c>
      <c r="E171" s="15" t="s">
        <v>1168</v>
      </c>
      <c r="F171" s="15" t="s">
        <v>4554</v>
      </c>
      <c r="G171" s="14" t="s">
        <v>4889</v>
      </c>
      <c r="H171" s="15" t="s">
        <v>4890</v>
      </c>
    </row>
    <row r="172" spans="1:8" x14ac:dyDescent="0.25">
      <c r="A172" s="14" t="s">
        <v>1082</v>
      </c>
      <c r="B172" s="15" t="s">
        <v>1083</v>
      </c>
      <c r="C172" s="14">
        <f t="shared" si="8"/>
        <v>4</v>
      </c>
      <c r="D172" s="14" t="str">
        <f t="shared" si="9"/>
        <v>KP-7c Percentage of sex workers tested for STIs during the reporting period-4</v>
      </c>
      <c r="E172" s="15" t="s">
        <v>1168</v>
      </c>
      <c r="F172" s="15" t="s">
        <v>4492</v>
      </c>
      <c r="G172" s="14" t="s">
        <v>4891</v>
      </c>
      <c r="H172" s="15" t="s">
        <v>4892</v>
      </c>
    </row>
    <row r="173" spans="1:8" x14ac:dyDescent="0.25">
      <c r="A173" s="14" t="s">
        <v>1082</v>
      </c>
      <c r="B173" s="15" t="s">
        <v>1083</v>
      </c>
      <c r="C173" s="14">
        <f t="shared" si="8"/>
        <v>5</v>
      </c>
      <c r="D173" s="14" t="str">
        <f t="shared" si="9"/>
        <v>KP-7c Percentage of sex workers tested for STIs during the reporting period-5</v>
      </c>
      <c r="E173" s="15" t="s">
        <v>4893</v>
      </c>
      <c r="F173" s="15" t="s">
        <v>4894</v>
      </c>
      <c r="G173" s="14" t="s">
        <v>4895</v>
      </c>
      <c r="H173" s="15" t="s">
        <v>4896</v>
      </c>
    </row>
    <row r="174" spans="1:8" x14ac:dyDescent="0.25">
      <c r="A174" s="14" t="s">
        <v>1082</v>
      </c>
      <c r="B174" s="15" t="s">
        <v>1083</v>
      </c>
      <c r="C174" s="14">
        <f t="shared" si="8"/>
        <v>6</v>
      </c>
      <c r="D174" s="14" t="str">
        <f t="shared" si="9"/>
        <v>KP-7c Percentage of sex workers tested for STIs during the reporting period-6</v>
      </c>
      <c r="E174" s="15" t="s">
        <v>1168</v>
      </c>
      <c r="F174" s="15" t="s">
        <v>4501</v>
      </c>
      <c r="G174" s="14" t="s">
        <v>4897</v>
      </c>
      <c r="H174" s="15" t="s">
        <v>4898</v>
      </c>
    </row>
    <row r="175" spans="1:8" x14ac:dyDescent="0.25">
      <c r="A175" s="14" t="s">
        <v>1082</v>
      </c>
      <c r="B175" s="15" t="s">
        <v>1083</v>
      </c>
      <c r="C175" s="14">
        <f t="shared" si="8"/>
        <v>7</v>
      </c>
      <c r="D175" s="14" t="str">
        <f t="shared" si="9"/>
        <v>KP-7c Percentage of sex workers tested for STIs during the reporting period-7</v>
      </c>
      <c r="E175" s="15" t="s">
        <v>4893</v>
      </c>
      <c r="F175" s="15" t="s">
        <v>4899</v>
      </c>
      <c r="G175" s="14" t="s">
        <v>4900</v>
      </c>
      <c r="H175" s="15" t="s">
        <v>4901</v>
      </c>
    </row>
    <row r="176" spans="1:8" x14ac:dyDescent="0.25">
      <c r="A176" s="14" t="s">
        <v>1099</v>
      </c>
      <c r="B176" s="15" t="s">
        <v>1100</v>
      </c>
      <c r="C176" s="14">
        <f t="shared" si="8"/>
        <v>0</v>
      </c>
      <c r="D176" s="14" t="str">
        <f t="shared" si="9"/>
        <v>KP-1d⁽ᴹ⁾ Percentage of people who inject drugs reached with HIV prevention programs - defined package of services-0</v>
      </c>
      <c r="E176" s="15" t="s">
        <v>821</v>
      </c>
      <c r="F176" s="15" t="s">
        <v>4540</v>
      </c>
      <c r="G176" s="14" t="s">
        <v>4902</v>
      </c>
      <c r="H176" s="15" t="s">
        <v>4903</v>
      </c>
    </row>
    <row r="177" spans="1:8" x14ac:dyDescent="0.25">
      <c r="A177" s="14" t="s">
        <v>1099</v>
      </c>
      <c r="B177" s="15" t="s">
        <v>1100</v>
      </c>
      <c r="C177" s="14">
        <f t="shared" si="8"/>
        <v>1</v>
      </c>
      <c r="D177" s="14" t="str">
        <f t="shared" si="9"/>
        <v>KP-1d⁽ᴹ⁾ Percentage of people who inject drugs reached with HIV prevention programs - defined package of services-1</v>
      </c>
      <c r="E177" s="15" t="s">
        <v>821</v>
      </c>
      <c r="F177" s="15" t="s">
        <v>4680</v>
      </c>
      <c r="G177" s="14" t="s">
        <v>4904</v>
      </c>
      <c r="H177" s="15" t="s">
        <v>4905</v>
      </c>
    </row>
    <row r="178" spans="1:8" x14ac:dyDescent="0.25">
      <c r="A178" s="14" t="s">
        <v>1099</v>
      </c>
      <c r="B178" s="15" t="s">
        <v>1100</v>
      </c>
      <c r="C178" s="14">
        <f t="shared" si="8"/>
        <v>2</v>
      </c>
      <c r="D178" s="14" t="str">
        <f t="shared" si="9"/>
        <v>KP-1d⁽ᴹ⁾ Percentage of people who inject drugs reached with HIV prevention programs - defined package of services-2</v>
      </c>
      <c r="E178" s="15" t="s">
        <v>821</v>
      </c>
      <c r="F178" s="15" t="s">
        <v>4683</v>
      </c>
      <c r="G178" s="14" t="s">
        <v>4906</v>
      </c>
      <c r="H178" s="15" t="s">
        <v>4907</v>
      </c>
    </row>
    <row r="179" spans="1:8" x14ac:dyDescent="0.25">
      <c r="A179" s="14" t="s">
        <v>1099</v>
      </c>
      <c r="B179" s="15" t="s">
        <v>1100</v>
      </c>
      <c r="C179" s="14">
        <f t="shared" si="8"/>
        <v>3</v>
      </c>
      <c r="D179" s="14" t="str">
        <f t="shared" si="9"/>
        <v>KP-1d⁽ᴹ⁾ Percentage of people who inject drugs reached with HIV prevention programs - defined package of services-3</v>
      </c>
      <c r="E179" s="15" t="s">
        <v>1168</v>
      </c>
      <c r="F179" s="15" t="s">
        <v>4492</v>
      </c>
      <c r="G179" s="14" t="s">
        <v>4908</v>
      </c>
      <c r="H179" s="15" t="s">
        <v>4909</v>
      </c>
    </row>
    <row r="180" spans="1:8" x14ac:dyDescent="0.25">
      <c r="A180" s="14" t="s">
        <v>1099</v>
      </c>
      <c r="B180" s="15" t="s">
        <v>1100</v>
      </c>
      <c r="C180" s="14">
        <f t="shared" si="8"/>
        <v>4</v>
      </c>
      <c r="D180" s="14" t="str">
        <f t="shared" si="9"/>
        <v>KP-1d⁽ᴹ⁾ Percentage of people who inject drugs reached with HIV prevention programs - defined package of services-4</v>
      </c>
      <c r="E180" s="15" t="s">
        <v>1168</v>
      </c>
      <c r="F180" s="15" t="s">
        <v>4501</v>
      </c>
      <c r="G180" s="14" t="s">
        <v>4910</v>
      </c>
      <c r="H180" s="15" t="s">
        <v>4911</v>
      </c>
    </row>
    <row r="181" spans="1:8" x14ac:dyDescent="0.25">
      <c r="A181" s="14" t="s">
        <v>1105</v>
      </c>
      <c r="B181" s="15" t="s">
        <v>1106</v>
      </c>
      <c r="C181" s="14">
        <f t="shared" si="8"/>
        <v>0</v>
      </c>
      <c r="D181" s="14" t="str">
        <f t="shared" si="9"/>
        <v>KP-5 Percentage of individuals receiving opioid substitution therapy who received treatment for at least 6 months-0</v>
      </c>
      <c r="E181" s="15" t="s">
        <v>821</v>
      </c>
      <c r="F181" s="15" t="s">
        <v>4540</v>
      </c>
      <c r="G181" s="14" t="s">
        <v>4912</v>
      </c>
      <c r="H181" s="15" t="s">
        <v>4913</v>
      </c>
    </row>
    <row r="182" spans="1:8" x14ac:dyDescent="0.25">
      <c r="A182" s="14" t="s">
        <v>1105</v>
      </c>
      <c r="B182" s="15" t="s">
        <v>1106</v>
      </c>
      <c r="C182" s="14">
        <f t="shared" si="8"/>
        <v>1</v>
      </c>
      <c r="D182" s="14" t="str">
        <f t="shared" si="9"/>
        <v>KP-5 Percentage of individuals receiving opioid substitution therapy who received treatment for at least 6 months-1</v>
      </c>
      <c r="E182" s="15" t="s">
        <v>821</v>
      </c>
      <c r="F182" s="15" t="s">
        <v>4680</v>
      </c>
      <c r="G182" s="14" t="s">
        <v>4914</v>
      </c>
      <c r="H182" s="15" t="s">
        <v>4915</v>
      </c>
    </row>
    <row r="183" spans="1:8" x14ac:dyDescent="0.25">
      <c r="A183" s="14" t="s">
        <v>1105</v>
      </c>
      <c r="B183" s="15" t="s">
        <v>1106</v>
      </c>
      <c r="C183" s="14">
        <f t="shared" si="8"/>
        <v>2</v>
      </c>
      <c r="D183" s="14" t="str">
        <f t="shared" si="9"/>
        <v>KP-5 Percentage of individuals receiving opioid substitution therapy who received treatment for at least 6 months-2</v>
      </c>
      <c r="E183" s="15" t="s">
        <v>821</v>
      </c>
      <c r="F183" s="15" t="s">
        <v>4683</v>
      </c>
      <c r="G183" s="14" t="s">
        <v>4916</v>
      </c>
      <c r="H183" s="15" t="s">
        <v>4917</v>
      </c>
    </row>
    <row r="184" spans="1:8" x14ac:dyDescent="0.25">
      <c r="A184" s="14" t="s">
        <v>1105</v>
      </c>
      <c r="B184" s="15" t="s">
        <v>1106</v>
      </c>
      <c r="C184" s="14">
        <f t="shared" si="8"/>
        <v>3</v>
      </c>
      <c r="D184" s="14" t="str">
        <f t="shared" si="9"/>
        <v>KP-5 Percentage of individuals receiving opioid substitution therapy who received treatment for at least 6 months-3</v>
      </c>
      <c r="E184" s="15" t="s">
        <v>1168</v>
      </c>
      <c r="F184" s="15" t="s">
        <v>4492</v>
      </c>
      <c r="G184" s="14" t="s">
        <v>4918</v>
      </c>
      <c r="H184" s="15" t="s">
        <v>4919</v>
      </c>
    </row>
    <row r="185" spans="1:8" x14ac:dyDescent="0.25">
      <c r="A185" s="14" t="s">
        <v>1105</v>
      </c>
      <c r="B185" s="15" t="s">
        <v>1106</v>
      </c>
      <c r="C185" s="14">
        <f t="shared" si="8"/>
        <v>4</v>
      </c>
      <c r="D185" s="14" t="str">
        <f t="shared" si="9"/>
        <v>KP-5 Percentage of individuals receiving opioid substitution therapy who received treatment for at least 6 months-4</v>
      </c>
      <c r="E185" s="15" t="s">
        <v>1168</v>
      </c>
      <c r="F185" s="15" t="s">
        <v>4501</v>
      </c>
      <c r="G185" s="14" t="s">
        <v>4920</v>
      </c>
      <c r="H185" s="15" t="s">
        <v>4921</v>
      </c>
    </row>
    <row r="186" spans="1:8" x14ac:dyDescent="0.25">
      <c r="A186" s="14" t="s">
        <v>1108</v>
      </c>
      <c r="B186" s="15" t="s">
        <v>1109</v>
      </c>
      <c r="C186" s="14">
        <f t="shared" si="8"/>
        <v>0</v>
      </c>
      <c r="D186" s="14" t="str">
        <f t="shared" si="9"/>
        <v>KP-6d Number of PWID who received any PrEP product at least once during the reporting period-0</v>
      </c>
      <c r="E186" s="15" t="s">
        <v>821</v>
      </c>
      <c r="F186" s="15" t="s">
        <v>4540</v>
      </c>
      <c r="G186" s="14" t="s">
        <v>4922</v>
      </c>
      <c r="H186" s="15" t="s">
        <v>4923</v>
      </c>
    </row>
    <row r="187" spans="1:8" x14ac:dyDescent="0.25">
      <c r="A187" s="14" t="s">
        <v>1108</v>
      </c>
      <c r="B187" s="15" t="s">
        <v>1109</v>
      </c>
      <c r="C187" s="14">
        <f t="shared" si="8"/>
        <v>1</v>
      </c>
      <c r="D187" s="14" t="str">
        <f t="shared" si="9"/>
        <v>KP-6d Number of PWID who received any PrEP product at least once during the reporting period-1</v>
      </c>
      <c r="E187" s="15" t="s">
        <v>821</v>
      </c>
      <c r="F187" s="15" t="s">
        <v>4680</v>
      </c>
      <c r="G187" s="14" t="s">
        <v>4924</v>
      </c>
      <c r="H187" s="15" t="s">
        <v>4925</v>
      </c>
    </row>
    <row r="188" spans="1:8" x14ac:dyDescent="0.25">
      <c r="A188" s="14" t="s">
        <v>1108</v>
      </c>
      <c r="B188" s="15" t="s">
        <v>1109</v>
      </c>
      <c r="C188" s="14">
        <f t="shared" si="8"/>
        <v>2</v>
      </c>
      <c r="D188" s="14" t="str">
        <f t="shared" si="9"/>
        <v>KP-6d Number of PWID who received any PrEP product at least once during the reporting period-2</v>
      </c>
      <c r="E188" s="15" t="s">
        <v>821</v>
      </c>
      <c r="F188" s="15" t="s">
        <v>4683</v>
      </c>
      <c r="G188" s="14" t="s">
        <v>4926</v>
      </c>
      <c r="H188" s="15" t="s">
        <v>4927</v>
      </c>
    </row>
    <row r="189" spans="1:8" x14ac:dyDescent="0.25">
      <c r="A189" s="14" t="s">
        <v>1108</v>
      </c>
      <c r="B189" s="15" t="s">
        <v>1109</v>
      </c>
      <c r="C189" s="14">
        <f t="shared" si="8"/>
        <v>3</v>
      </c>
      <c r="D189" s="14" t="str">
        <f t="shared" si="9"/>
        <v>KP-6d Number of PWID who received any PrEP product at least once during the reporting period-3</v>
      </c>
      <c r="E189" s="15" t="s">
        <v>4869</v>
      </c>
      <c r="F189" s="15" t="s">
        <v>4870</v>
      </c>
      <c r="G189" s="14" t="s">
        <v>4928</v>
      </c>
      <c r="H189" s="15" t="s">
        <v>4929</v>
      </c>
    </row>
    <row r="190" spans="1:8" x14ac:dyDescent="0.25">
      <c r="A190" s="14" t="s">
        <v>1108</v>
      </c>
      <c r="B190" s="15" t="s">
        <v>1109</v>
      </c>
      <c r="C190" s="14">
        <f t="shared" si="8"/>
        <v>4</v>
      </c>
      <c r="D190" s="14" t="str">
        <f t="shared" si="9"/>
        <v>KP-6d Number of PWID who received any PrEP product at least once during the reporting period-4</v>
      </c>
      <c r="E190" s="15" t="s">
        <v>1168</v>
      </c>
      <c r="F190" s="15" t="s">
        <v>4492</v>
      </c>
      <c r="G190" s="14" t="s">
        <v>4930</v>
      </c>
      <c r="H190" s="15" t="s">
        <v>4931</v>
      </c>
    </row>
    <row r="191" spans="1:8" x14ac:dyDescent="0.25">
      <c r="A191" s="14" t="s">
        <v>1108</v>
      </c>
      <c r="B191" s="15" t="s">
        <v>1109</v>
      </c>
      <c r="C191" s="14">
        <f t="shared" si="8"/>
        <v>5</v>
      </c>
      <c r="D191" s="14" t="str">
        <f t="shared" si="9"/>
        <v>KP-6d Number of PWID who received any PrEP product at least once during the reporting period-5</v>
      </c>
      <c r="E191" s="15" t="s">
        <v>4869</v>
      </c>
      <c r="F191" s="15" t="s">
        <v>4873</v>
      </c>
      <c r="G191" s="14" t="s">
        <v>4932</v>
      </c>
      <c r="H191" s="15" t="s">
        <v>4933</v>
      </c>
    </row>
    <row r="192" spans="1:8" x14ac:dyDescent="0.25">
      <c r="A192" s="14" t="s">
        <v>1108</v>
      </c>
      <c r="B192" s="15" t="s">
        <v>1109</v>
      </c>
      <c r="C192" s="14">
        <f t="shared" si="8"/>
        <v>6</v>
      </c>
      <c r="D192" s="14" t="str">
        <f t="shared" si="9"/>
        <v>KP-6d Number of PWID who received any PrEP product at least once during the reporting period-6</v>
      </c>
      <c r="E192" s="15" t="s">
        <v>1168</v>
      </c>
      <c r="F192" s="15" t="s">
        <v>4501</v>
      </c>
      <c r="G192" s="14" t="s">
        <v>4934</v>
      </c>
      <c r="H192" s="15" t="s">
        <v>4935</v>
      </c>
    </row>
    <row r="193" spans="1:8" x14ac:dyDescent="0.25">
      <c r="A193" s="14" t="s">
        <v>1108</v>
      </c>
      <c r="B193" s="15" t="s">
        <v>1109</v>
      </c>
      <c r="C193" s="14">
        <f t="shared" si="8"/>
        <v>7</v>
      </c>
      <c r="D193" s="14" t="str">
        <f t="shared" si="9"/>
        <v>KP-6d Number of PWID who received any PrEP product at least once during the reporting period-7</v>
      </c>
      <c r="E193" s="15" t="s">
        <v>4869</v>
      </c>
      <c r="F193" s="15" t="s">
        <v>4880</v>
      </c>
      <c r="G193" s="14" t="s">
        <v>4936</v>
      </c>
      <c r="H193" s="15" t="s">
        <v>4937</v>
      </c>
    </row>
    <row r="194" spans="1:8" x14ac:dyDescent="0.25">
      <c r="A194" s="14" t="s">
        <v>1112</v>
      </c>
      <c r="B194" s="15" t="s">
        <v>1113</v>
      </c>
      <c r="C194" s="14">
        <f t="shared" si="8"/>
        <v>0</v>
      </c>
      <c r="D194" s="14" t="str">
        <f t="shared" si="9"/>
        <v>KP-8 Percentage of people who inject drugs receiving opioid substitution therapy-0</v>
      </c>
      <c r="E194" s="15" t="s">
        <v>821</v>
      </c>
      <c r="F194" s="15" t="s">
        <v>4540</v>
      </c>
      <c r="G194" s="14" t="s">
        <v>4938</v>
      </c>
      <c r="H194" s="15" t="s">
        <v>4939</v>
      </c>
    </row>
    <row r="195" spans="1:8" x14ac:dyDescent="0.25">
      <c r="A195" s="14" t="s">
        <v>1112</v>
      </c>
      <c r="B195" s="15" t="s">
        <v>1113</v>
      </c>
      <c r="C195" s="14">
        <f t="shared" si="8"/>
        <v>1</v>
      </c>
      <c r="D195" s="14" t="str">
        <f t="shared" si="9"/>
        <v>KP-8 Percentage of people who inject drugs receiving opioid substitution therapy-1</v>
      </c>
      <c r="E195" s="15" t="s">
        <v>821</v>
      </c>
      <c r="F195" s="15" t="s">
        <v>4680</v>
      </c>
      <c r="G195" s="14" t="s">
        <v>4940</v>
      </c>
      <c r="H195" s="15" t="s">
        <v>4941</v>
      </c>
    </row>
    <row r="196" spans="1:8" x14ac:dyDescent="0.25">
      <c r="A196" s="14" t="s">
        <v>1112</v>
      </c>
      <c r="B196" s="15" t="s">
        <v>1113</v>
      </c>
      <c r="C196" s="14">
        <f t="shared" si="8"/>
        <v>2</v>
      </c>
      <c r="D196" s="14" t="str">
        <f t="shared" si="9"/>
        <v>KP-8 Percentage of people who inject drugs receiving opioid substitution therapy-2</v>
      </c>
      <c r="E196" s="15" t="s">
        <v>821</v>
      </c>
      <c r="F196" s="15" t="s">
        <v>4683</v>
      </c>
      <c r="G196" s="14" t="s">
        <v>4942</v>
      </c>
      <c r="H196" s="15" t="s">
        <v>4943</v>
      </c>
    </row>
    <row r="197" spans="1:8" x14ac:dyDescent="0.25">
      <c r="A197" s="14" t="s">
        <v>1112</v>
      </c>
      <c r="B197" s="15" t="s">
        <v>1113</v>
      </c>
      <c r="C197" s="14">
        <f t="shared" si="8"/>
        <v>3</v>
      </c>
      <c r="D197" s="14" t="str">
        <f t="shared" si="9"/>
        <v>KP-8 Percentage of people who inject drugs receiving opioid substitution therapy-3</v>
      </c>
      <c r="E197" s="15" t="s">
        <v>1168</v>
      </c>
      <c r="F197" s="15" t="s">
        <v>4492</v>
      </c>
      <c r="G197" s="14" t="s">
        <v>4944</v>
      </c>
      <c r="H197" s="15" t="s">
        <v>4945</v>
      </c>
    </row>
    <row r="198" spans="1:8" x14ac:dyDescent="0.25">
      <c r="A198" s="14" t="s">
        <v>1112</v>
      </c>
      <c r="B198" s="15" t="s">
        <v>1113</v>
      </c>
      <c r="C198" s="14">
        <f t="shared" si="8"/>
        <v>4</v>
      </c>
      <c r="D198" s="14" t="str">
        <f t="shared" si="9"/>
        <v>KP-8 Percentage of people who inject drugs receiving opioid substitution therapy-4</v>
      </c>
      <c r="E198" s="15" t="s">
        <v>1168</v>
      </c>
      <c r="F198" s="15" t="s">
        <v>4501</v>
      </c>
      <c r="G198" s="14" t="s">
        <v>4946</v>
      </c>
      <c r="H198" s="15" t="s">
        <v>4947</v>
      </c>
    </row>
    <row r="199" spans="1:8" x14ac:dyDescent="0.25">
      <c r="A199" s="14" t="s">
        <v>1120</v>
      </c>
      <c r="B199" s="15" t="s">
        <v>1121</v>
      </c>
      <c r="C199" s="14">
        <f t="shared" si="8"/>
        <v>0</v>
      </c>
      <c r="D199" s="14" t="str">
        <f t="shared" si="9"/>
        <v>KP-1e Percentage of other vulnerable populations reached with HIV prevention programs - defined package of services-0</v>
      </c>
      <c r="E199" s="15" t="s">
        <v>821</v>
      </c>
      <c r="F199" s="15" t="s">
        <v>4540</v>
      </c>
      <c r="G199" s="14" t="s">
        <v>4948</v>
      </c>
      <c r="H199" s="15" t="s">
        <v>4949</v>
      </c>
    </row>
    <row r="200" spans="1:8" x14ac:dyDescent="0.25">
      <c r="A200" s="14" t="s">
        <v>1120</v>
      </c>
      <c r="B200" s="15" t="s">
        <v>1121</v>
      </c>
      <c r="C200" s="14">
        <f t="shared" si="8"/>
        <v>1</v>
      </c>
      <c r="D200" s="14" t="str">
        <f t="shared" si="9"/>
        <v>KP-1e Percentage of other vulnerable populations reached with HIV prevention programs - defined package of services-1</v>
      </c>
      <c r="E200" s="15" t="s">
        <v>821</v>
      </c>
      <c r="F200" s="15" t="s">
        <v>4680</v>
      </c>
      <c r="G200" s="14" t="s">
        <v>4950</v>
      </c>
      <c r="H200" s="15" t="s">
        <v>4951</v>
      </c>
    </row>
    <row r="201" spans="1:8" x14ac:dyDescent="0.25">
      <c r="A201" s="14" t="s">
        <v>1120</v>
      </c>
      <c r="B201" s="15" t="s">
        <v>1121</v>
      </c>
      <c r="C201" s="14">
        <f t="shared" si="8"/>
        <v>2</v>
      </c>
      <c r="D201" s="14" t="str">
        <f t="shared" si="9"/>
        <v>KP-1e Percentage of other vulnerable populations reached with HIV prevention programs - defined package of services-2</v>
      </c>
      <c r="E201" s="15" t="s">
        <v>821</v>
      </c>
      <c r="F201" s="15" t="s">
        <v>4683</v>
      </c>
      <c r="G201" s="14" t="s">
        <v>4952</v>
      </c>
      <c r="H201" s="15" t="s">
        <v>4953</v>
      </c>
    </row>
    <row r="202" spans="1:8" x14ac:dyDescent="0.25">
      <c r="A202" s="14" t="s">
        <v>1137</v>
      </c>
      <c r="B202" s="15" t="s">
        <v>1138</v>
      </c>
      <c r="C202" s="14">
        <f t="shared" si="8"/>
        <v>0</v>
      </c>
      <c r="D202" s="14" t="str">
        <f t="shared" si="9"/>
        <v>VT-1 Percentage of pregnant women who know their HIV status-0</v>
      </c>
      <c r="E202" s="15" t="s">
        <v>1139</v>
      </c>
      <c r="F202" s="15" t="s">
        <v>4954</v>
      </c>
      <c r="G202" s="14" t="s">
        <v>4955</v>
      </c>
      <c r="H202" s="15" t="s">
        <v>4956</v>
      </c>
    </row>
    <row r="203" spans="1:8" x14ac:dyDescent="0.25">
      <c r="A203" s="14" t="s">
        <v>1137</v>
      </c>
      <c r="B203" s="15" t="s">
        <v>1138</v>
      </c>
      <c r="C203" s="14">
        <f t="shared" si="8"/>
        <v>1</v>
      </c>
      <c r="D203" s="14" t="str">
        <f t="shared" si="9"/>
        <v>VT-1 Percentage of pregnant women who know their HIV status-1</v>
      </c>
      <c r="E203" s="15" t="s">
        <v>1139</v>
      </c>
      <c r="F203" s="15" t="s">
        <v>4957</v>
      </c>
      <c r="G203" s="14" t="s">
        <v>4958</v>
      </c>
      <c r="H203" s="15" t="s">
        <v>4959</v>
      </c>
    </row>
    <row r="204" spans="1:8" x14ac:dyDescent="0.25">
      <c r="A204" s="14" t="s">
        <v>1137</v>
      </c>
      <c r="B204" s="15" t="s">
        <v>1138</v>
      </c>
      <c r="C204" s="14">
        <f t="shared" si="8"/>
        <v>2</v>
      </c>
      <c r="D204" s="14" t="str">
        <f t="shared" si="9"/>
        <v>VT-1 Percentage of pregnant women who know their HIV status-2</v>
      </c>
      <c r="E204" s="15" t="s">
        <v>1139</v>
      </c>
      <c r="F204" s="15" t="s">
        <v>4960</v>
      </c>
      <c r="G204" s="14" t="s">
        <v>4961</v>
      </c>
      <c r="H204" s="15" t="s">
        <v>4962</v>
      </c>
    </row>
    <row r="205" spans="1:8" x14ac:dyDescent="0.25">
      <c r="A205" s="14" t="s">
        <v>1141</v>
      </c>
      <c r="B205" s="15" t="s">
        <v>1142</v>
      </c>
      <c r="C205" s="14">
        <f t="shared" si="8"/>
        <v>0</v>
      </c>
      <c r="D205" s="14" t="str">
        <f t="shared" si="9"/>
        <v>VT-2 Percentage of HIV-exposed infants receiving a virological test for HIV within 2 months of birth-0</v>
      </c>
      <c r="E205" s="15" t="s">
        <v>1139</v>
      </c>
      <c r="F205" s="15" t="s">
        <v>4954</v>
      </c>
      <c r="G205" s="14" t="s">
        <v>4963</v>
      </c>
      <c r="H205" s="15" t="s">
        <v>4964</v>
      </c>
    </row>
    <row r="206" spans="1:8" x14ac:dyDescent="0.25">
      <c r="A206" s="14" t="s">
        <v>1141</v>
      </c>
      <c r="B206" s="15" t="s">
        <v>1142</v>
      </c>
      <c r="C206" s="14">
        <f t="shared" si="8"/>
        <v>1</v>
      </c>
      <c r="D206" s="14" t="str">
        <f t="shared" si="9"/>
        <v>VT-2 Percentage of HIV-exposed infants receiving a virological test for HIV within 2 months of birth-1</v>
      </c>
      <c r="E206" s="15" t="s">
        <v>1139</v>
      </c>
      <c r="F206" s="15" t="s">
        <v>4957</v>
      </c>
      <c r="G206" s="14" t="s">
        <v>4965</v>
      </c>
      <c r="H206" s="15" t="s">
        <v>4966</v>
      </c>
    </row>
    <row r="207" spans="1:8" x14ac:dyDescent="0.25">
      <c r="A207" s="14" t="s">
        <v>1141</v>
      </c>
      <c r="B207" s="15" t="s">
        <v>1142</v>
      </c>
      <c r="C207" s="14">
        <f t="shared" si="8"/>
        <v>2</v>
      </c>
      <c r="D207" s="14" t="str">
        <f t="shared" si="9"/>
        <v>VT-2 Percentage of HIV-exposed infants receiving a virological test for HIV within 2 months of birth-2</v>
      </c>
      <c r="E207" s="15" t="s">
        <v>1139</v>
      </c>
      <c r="F207" s="15" t="s">
        <v>4960</v>
      </c>
      <c r="G207" s="14" t="s">
        <v>4967</v>
      </c>
      <c r="H207" s="15" t="s">
        <v>4968</v>
      </c>
    </row>
    <row r="208" spans="1:8" x14ac:dyDescent="0.25">
      <c r="A208" s="14" t="s">
        <v>1181</v>
      </c>
      <c r="B208" s="15" t="s">
        <v>1182</v>
      </c>
      <c r="C208" s="14">
        <f t="shared" si="8"/>
        <v>0</v>
      </c>
      <c r="D208" s="14" t="str">
        <f t="shared" si="9"/>
        <v>TCS-1.1⁽ᴹ⁾ Percentage of people on ART among all people living with HIV at the end of the reporting period-0</v>
      </c>
      <c r="E208" s="15" t="s">
        <v>1168</v>
      </c>
      <c r="F208" s="15" t="s">
        <v>4492</v>
      </c>
      <c r="G208" s="14" t="s">
        <v>4969</v>
      </c>
      <c r="H208" s="15" t="s">
        <v>4970</v>
      </c>
    </row>
    <row r="209" spans="1:8" x14ac:dyDescent="0.25">
      <c r="A209" s="14" t="s">
        <v>1181</v>
      </c>
      <c r="B209" s="15" t="s">
        <v>1182</v>
      </c>
      <c r="C209" s="14">
        <f t="shared" si="8"/>
        <v>1</v>
      </c>
      <c r="D209" s="14" t="str">
        <f t="shared" si="9"/>
        <v>TCS-1.1⁽ᴹ⁾ Percentage of people on ART among all people living with HIV at the end of the reporting period-1</v>
      </c>
      <c r="E209" s="15" t="s">
        <v>1168</v>
      </c>
      <c r="F209" s="15" t="s">
        <v>4501</v>
      </c>
      <c r="G209" s="14" t="s">
        <v>4971</v>
      </c>
      <c r="H209" s="15" t="s">
        <v>4972</v>
      </c>
    </row>
    <row r="210" spans="1:8" x14ac:dyDescent="0.25">
      <c r="A210" s="14" t="s">
        <v>1184</v>
      </c>
      <c r="B210" s="15" t="s">
        <v>1185</v>
      </c>
      <c r="C210" s="14">
        <f t="shared" si="8"/>
        <v>0</v>
      </c>
      <c r="D210" s="14" t="str">
        <f t="shared" si="9"/>
        <v>TCS-1b⁽ᴹ⁾ Percentage of adults (15 and above) on ART among all adults living with HIV at the end of the reporting period-0</v>
      </c>
      <c r="E210" s="15" t="s">
        <v>1168</v>
      </c>
      <c r="F210" s="15" t="s">
        <v>4492</v>
      </c>
      <c r="G210" s="14" t="s">
        <v>4973</v>
      </c>
      <c r="H210" s="15" t="s">
        <v>4974</v>
      </c>
    </row>
    <row r="211" spans="1:8" x14ac:dyDescent="0.25">
      <c r="A211" s="14" t="s">
        <v>1184</v>
      </c>
      <c r="B211" s="15" t="s">
        <v>1185</v>
      </c>
      <c r="C211" s="14">
        <f t="shared" si="8"/>
        <v>1</v>
      </c>
      <c r="D211" s="14" t="str">
        <f t="shared" si="9"/>
        <v>TCS-1b⁽ᴹ⁾ Percentage of adults (15 and above) on ART among all adults living with HIV at the end of the reporting period-1</v>
      </c>
      <c r="E211" s="15" t="s">
        <v>1168</v>
      </c>
      <c r="F211" s="15" t="s">
        <v>4501</v>
      </c>
      <c r="G211" s="14" t="s">
        <v>4975</v>
      </c>
      <c r="H211" s="15" t="s">
        <v>4976</v>
      </c>
    </row>
    <row r="212" spans="1:8" x14ac:dyDescent="0.25">
      <c r="A212" s="14" t="s">
        <v>1187</v>
      </c>
      <c r="B212" s="15" t="s">
        <v>1188</v>
      </c>
      <c r="C212" s="14">
        <f t="shared" si="8"/>
        <v>0</v>
      </c>
      <c r="D212" s="14" t="str">
        <f t="shared" si="9"/>
        <v>TCS-1c⁽ᴹ⁾ Percentage of children (under 15) on ART among all children living with HIV at the end of the reporting period-0</v>
      </c>
      <c r="E212" s="15" t="s">
        <v>1168</v>
      </c>
      <c r="F212" s="15" t="s">
        <v>4492</v>
      </c>
      <c r="G212" s="14" t="s">
        <v>4977</v>
      </c>
      <c r="H212" s="15" t="s">
        <v>4978</v>
      </c>
    </row>
    <row r="213" spans="1:8" x14ac:dyDescent="0.25">
      <c r="A213" s="14" t="s">
        <v>1187</v>
      </c>
      <c r="B213" s="15" t="s">
        <v>1188</v>
      </c>
      <c r="C213" s="14">
        <f t="shared" si="8"/>
        <v>1</v>
      </c>
      <c r="D213" s="14" t="str">
        <f t="shared" si="9"/>
        <v>TCS-1c⁽ᴹ⁾ Percentage of children (under 15) on ART among all children living with HIV at the end of the reporting period-1</v>
      </c>
      <c r="E213" s="15" t="s">
        <v>1168</v>
      </c>
      <c r="F213" s="15" t="s">
        <v>4501</v>
      </c>
      <c r="G213" s="14" t="s">
        <v>4979</v>
      </c>
      <c r="H213" s="15" t="s">
        <v>4980</v>
      </c>
    </row>
    <row r="214" spans="1:8" x14ac:dyDescent="0.25">
      <c r="A214" s="14" t="s">
        <v>1190</v>
      </c>
      <c r="B214" s="15" t="s">
        <v>1191</v>
      </c>
      <c r="C214" s="14">
        <f t="shared" si="8"/>
        <v>0</v>
      </c>
      <c r="D214" s="14" t="str">
        <f t="shared" si="9"/>
        <v>TCS-8 Percentage of people living with HIV and on ART with viral load test result-0</v>
      </c>
      <c r="E214" s="15" t="s">
        <v>821</v>
      </c>
      <c r="F214" s="15" t="s">
        <v>4479</v>
      </c>
      <c r="G214" s="14" t="s">
        <v>4981</v>
      </c>
      <c r="H214" s="15" t="s">
        <v>4982</v>
      </c>
    </row>
    <row r="215" spans="1:8" x14ac:dyDescent="0.25">
      <c r="A215" s="14" t="s">
        <v>1190</v>
      </c>
      <c r="B215" s="15" t="s">
        <v>1191</v>
      </c>
      <c r="C215" s="14">
        <f t="shared" si="8"/>
        <v>1</v>
      </c>
      <c r="D215" s="14" t="str">
        <f t="shared" si="9"/>
        <v>TCS-8 Percentage of people living with HIV and on ART with viral load test result-1</v>
      </c>
      <c r="E215" s="15" t="s">
        <v>821</v>
      </c>
      <c r="F215" s="15" t="s">
        <v>4482</v>
      </c>
      <c r="G215" s="14" t="s">
        <v>4983</v>
      </c>
      <c r="H215" s="15" t="s">
        <v>4984</v>
      </c>
    </row>
    <row r="216" spans="1:8" x14ac:dyDescent="0.25">
      <c r="A216" s="14" t="s">
        <v>1190</v>
      </c>
      <c r="B216" s="15" t="s">
        <v>1191</v>
      </c>
      <c r="C216" s="14">
        <f t="shared" si="8"/>
        <v>2</v>
      </c>
      <c r="D216" s="14" t="str">
        <f t="shared" si="9"/>
        <v>TCS-8 Percentage of people living with HIV and on ART with viral load test result-2</v>
      </c>
      <c r="E216" s="15" t="s">
        <v>4485</v>
      </c>
      <c r="F216" s="15" t="s">
        <v>4690</v>
      </c>
      <c r="G216" s="14" t="s">
        <v>4985</v>
      </c>
      <c r="H216" s="15" t="s">
        <v>4986</v>
      </c>
    </row>
    <row r="217" spans="1:8" x14ac:dyDescent="0.25">
      <c r="A217" s="14" t="s">
        <v>1190</v>
      </c>
      <c r="B217" s="15" t="s">
        <v>1191</v>
      </c>
      <c r="C217" s="14">
        <f t="shared" ref="C217:C280" si="10">IF(B217=B216,C216+1,0)</f>
        <v>3</v>
      </c>
      <c r="D217" s="14" t="str">
        <f t="shared" ref="D217:D280" si="11">B217&amp;"-"&amp;C217</f>
        <v>TCS-8 Percentage of people living with HIV and on ART with viral load test result-3</v>
      </c>
      <c r="E217" s="15" t="s">
        <v>4485</v>
      </c>
      <c r="F217" s="15" t="s">
        <v>4693</v>
      </c>
      <c r="G217" s="14" t="s">
        <v>4987</v>
      </c>
      <c r="H217" s="15" t="s">
        <v>4988</v>
      </c>
    </row>
    <row r="218" spans="1:8" x14ac:dyDescent="0.25">
      <c r="A218" s="14" t="s">
        <v>1193</v>
      </c>
      <c r="B218" s="15" t="s">
        <v>1194</v>
      </c>
      <c r="C218" s="14">
        <f t="shared" si="10"/>
        <v>0</v>
      </c>
      <c r="D218" s="14" t="str">
        <f t="shared" si="11"/>
        <v>TCS-9 Percentage of people living with HIV and currently on antiretroviral therapy who are receiving multi month dispensing of antiretroviral medicine-0</v>
      </c>
      <c r="E218" s="15" t="s">
        <v>821</v>
      </c>
      <c r="F218" s="15" t="s">
        <v>4479</v>
      </c>
      <c r="G218" s="14" t="s">
        <v>4989</v>
      </c>
      <c r="H218" s="15" t="s">
        <v>4990</v>
      </c>
    </row>
    <row r="219" spans="1:8" x14ac:dyDescent="0.25">
      <c r="A219" s="14" t="s">
        <v>1193</v>
      </c>
      <c r="B219" s="15" t="s">
        <v>1194</v>
      </c>
      <c r="C219" s="14">
        <f t="shared" si="10"/>
        <v>1</v>
      </c>
      <c r="D219" s="14" t="str">
        <f t="shared" si="11"/>
        <v>TCS-9 Percentage of people living with HIV and currently on antiretroviral therapy who are receiving multi month dispensing of antiretroviral medicine-1</v>
      </c>
      <c r="E219" s="15" t="s">
        <v>821</v>
      </c>
      <c r="F219" s="15" t="s">
        <v>4482</v>
      </c>
      <c r="G219" s="14" t="s">
        <v>4991</v>
      </c>
      <c r="H219" s="15" t="s">
        <v>4992</v>
      </c>
    </row>
    <row r="220" spans="1:8" x14ac:dyDescent="0.25">
      <c r="A220" s="14" t="s">
        <v>1193</v>
      </c>
      <c r="B220" s="15" t="s">
        <v>1194</v>
      </c>
      <c r="C220" s="14">
        <f t="shared" si="10"/>
        <v>2</v>
      </c>
      <c r="D220" s="14" t="str">
        <f t="shared" si="11"/>
        <v>TCS-9 Percentage of people living with HIV and currently on antiretroviral therapy who are receiving multi month dispensing of antiretroviral medicine-2</v>
      </c>
      <c r="E220" s="15" t="s">
        <v>4485</v>
      </c>
      <c r="F220" s="15" t="s">
        <v>4690</v>
      </c>
      <c r="G220" s="14" t="s">
        <v>4993</v>
      </c>
      <c r="H220" s="15" t="s">
        <v>4994</v>
      </c>
    </row>
    <row r="221" spans="1:8" x14ac:dyDescent="0.25">
      <c r="A221" s="14" t="s">
        <v>1193</v>
      </c>
      <c r="B221" s="15" t="s">
        <v>1194</v>
      </c>
      <c r="C221" s="14">
        <f t="shared" si="10"/>
        <v>3</v>
      </c>
      <c r="D221" s="14" t="str">
        <f t="shared" si="11"/>
        <v>TCS-9 Percentage of people living with HIV and currently on antiretroviral therapy who are receiving multi month dispensing of antiretroviral medicine-3</v>
      </c>
      <c r="E221" s="15" t="s">
        <v>4485</v>
      </c>
      <c r="F221" s="15" t="s">
        <v>4693</v>
      </c>
      <c r="G221" s="14" t="s">
        <v>4995</v>
      </c>
      <c r="H221" s="15" t="s">
        <v>4996</v>
      </c>
    </row>
    <row r="222" spans="1:8" x14ac:dyDescent="0.25">
      <c r="A222" s="14" t="s">
        <v>1200</v>
      </c>
      <c r="B222" s="15" t="s">
        <v>1201</v>
      </c>
      <c r="C222" s="14">
        <f t="shared" si="10"/>
        <v>0</v>
      </c>
      <c r="D222" s="14" t="str">
        <f t="shared" si="11"/>
        <v>TBDT-1⁽ᴹ⁾ Number of patients with of all forms of TB notified (i.e., bacteriologically confirmed + clinically diagnosed); *includes only those with new and relapse TB-0</v>
      </c>
      <c r="E222" s="15" t="s">
        <v>821</v>
      </c>
      <c r="F222" s="15" t="s">
        <v>4479</v>
      </c>
      <c r="G222" s="14" t="s">
        <v>4997</v>
      </c>
      <c r="H222" s="15" t="s">
        <v>4998</v>
      </c>
    </row>
    <row r="223" spans="1:8" x14ac:dyDescent="0.25">
      <c r="A223" s="14" t="s">
        <v>1200</v>
      </c>
      <c r="B223" s="15" t="s">
        <v>1201</v>
      </c>
      <c r="C223" s="14">
        <f t="shared" si="10"/>
        <v>1</v>
      </c>
      <c r="D223" s="14" t="str">
        <f t="shared" si="11"/>
        <v>TBDT-1⁽ᴹ⁾ Number of patients with of all forms of TB notified (i.e., bacteriologically confirmed + clinically diagnosed); *includes only those with new and relapse TB-1</v>
      </c>
      <c r="E223" s="15" t="s">
        <v>1139</v>
      </c>
      <c r="F223" s="15" t="s">
        <v>4954</v>
      </c>
      <c r="G223" s="14" t="s">
        <v>4999</v>
      </c>
      <c r="H223" s="15" t="s">
        <v>5000</v>
      </c>
    </row>
    <row r="224" spans="1:8" x14ac:dyDescent="0.25">
      <c r="A224" s="14" t="s">
        <v>1200</v>
      </c>
      <c r="B224" s="15" t="s">
        <v>1201</v>
      </c>
      <c r="C224" s="14">
        <f t="shared" si="10"/>
        <v>2</v>
      </c>
      <c r="D224" s="14" t="str">
        <f t="shared" si="11"/>
        <v>TBDT-1⁽ᴹ⁾ Number of patients with of all forms of TB notified (i.e., bacteriologically confirmed + clinically diagnosed); *includes only those with new and relapse TB-2</v>
      </c>
      <c r="E224" s="15" t="s">
        <v>821</v>
      </c>
      <c r="F224" s="15" t="s">
        <v>4482</v>
      </c>
      <c r="G224" s="14" t="s">
        <v>5001</v>
      </c>
      <c r="H224" s="15" t="s">
        <v>5002</v>
      </c>
    </row>
    <row r="225" spans="1:8" x14ac:dyDescent="0.25">
      <c r="A225" s="14" t="s">
        <v>1200</v>
      </c>
      <c r="B225" s="15" t="s">
        <v>1201</v>
      </c>
      <c r="C225" s="14">
        <f t="shared" si="10"/>
        <v>3</v>
      </c>
      <c r="D225" s="14" t="str">
        <f t="shared" si="11"/>
        <v>TBDT-1⁽ᴹ⁾ Number of patients with of all forms of TB notified (i.e., bacteriologically confirmed + clinically diagnosed); *includes only those with new and relapse TB-3</v>
      </c>
      <c r="E225" s="15" t="s">
        <v>1168</v>
      </c>
      <c r="F225" s="15" t="s">
        <v>4492</v>
      </c>
      <c r="G225" s="14" t="s">
        <v>5003</v>
      </c>
      <c r="H225" s="15" t="s">
        <v>5004</v>
      </c>
    </row>
    <row r="226" spans="1:8" x14ac:dyDescent="0.25">
      <c r="A226" s="14" t="s">
        <v>1200</v>
      </c>
      <c r="B226" s="15" t="s">
        <v>1201</v>
      </c>
      <c r="C226" s="14">
        <f t="shared" si="10"/>
        <v>4</v>
      </c>
      <c r="D226" s="14" t="str">
        <f t="shared" si="11"/>
        <v>TBDT-1⁽ᴹ⁾ Number of patients with of all forms of TB notified (i.e., bacteriologically confirmed + clinically diagnosed); *includes only those with new and relapse TB-4</v>
      </c>
      <c r="E226" s="15" t="s">
        <v>1139</v>
      </c>
      <c r="F226" s="15" t="s">
        <v>4957</v>
      </c>
      <c r="G226" s="14" t="s">
        <v>5005</v>
      </c>
      <c r="H226" s="15" t="s">
        <v>5006</v>
      </c>
    </row>
    <row r="227" spans="1:8" x14ac:dyDescent="0.25">
      <c r="A227" s="14" t="s">
        <v>1200</v>
      </c>
      <c r="B227" s="15" t="s">
        <v>1201</v>
      </c>
      <c r="C227" s="14">
        <f t="shared" si="10"/>
        <v>5</v>
      </c>
      <c r="D227" s="14" t="str">
        <f t="shared" si="11"/>
        <v>TBDT-1⁽ᴹ⁾ Number of patients with of all forms of TB notified (i.e., bacteriologically confirmed + clinically diagnosed); *includes only those with new and relapse TB-5</v>
      </c>
      <c r="E227" s="15" t="s">
        <v>5007</v>
      </c>
      <c r="F227" s="15" t="s">
        <v>5008</v>
      </c>
      <c r="G227" s="14" t="s">
        <v>5009</v>
      </c>
      <c r="H227" s="15" t="s">
        <v>5010</v>
      </c>
    </row>
    <row r="228" spans="1:8" x14ac:dyDescent="0.25">
      <c r="A228" s="14" t="s">
        <v>1200</v>
      </c>
      <c r="B228" s="15" t="s">
        <v>1201</v>
      </c>
      <c r="C228" s="14">
        <f t="shared" si="10"/>
        <v>6</v>
      </c>
      <c r="D228" s="14" t="str">
        <f t="shared" si="11"/>
        <v>TBDT-1⁽ᴹ⁾ Number of patients with of all forms of TB notified (i.e., bacteriologically confirmed + clinically diagnosed); *includes only those with new and relapse TB-6</v>
      </c>
      <c r="E228" s="15" t="s">
        <v>1168</v>
      </c>
      <c r="F228" s="15" t="s">
        <v>4501</v>
      </c>
      <c r="G228" s="14" t="s">
        <v>5011</v>
      </c>
      <c r="H228" s="15" t="s">
        <v>5012</v>
      </c>
    </row>
    <row r="229" spans="1:8" x14ac:dyDescent="0.25">
      <c r="A229" s="14" t="s">
        <v>1200</v>
      </c>
      <c r="B229" s="15" t="s">
        <v>1201</v>
      </c>
      <c r="C229" s="14">
        <f t="shared" si="10"/>
        <v>7</v>
      </c>
      <c r="D229" s="14" t="str">
        <f t="shared" si="11"/>
        <v>TBDT-1⁽ᴹ⁾ Number of patients with of all forms of TB notified (i.e., bacteriologically confirmed + clinically diagnosed); *includes only those with new and relapse TB-7</v>
      </c>
      <c r="E229" s="15" t="s">
        <v>1139</v>
      </c>
      <c r="F229" s="15" t="s">
        <v>4960</v>
      </c>
      <c r="G229" s="14" t="s">
        <v>5013</v>
      </c>
      <c r="H229" s="15" t="s">
        <v>5014</v>
      </c>
    </row>
    <row r="230" spans="1:8" x14ac:dyDescent="0.25">
      <c r="A230" s="14" t="s">
        <v>1204</v>
      </c>
      <c r="B230" s="15" t="s">
        <v>1205</v>
      </c>
      <c r="C230" s="14">
        <f t="shared" si="10"/>
        <v>0</v>
      </c>
      <c r="D230" s="14" t="str">
        <f t="shared" si="11"/>
        <v>TBDT-3a Percentage of notified patients with all forms of TB (i.e., bacteriologically confirmed + clinically diagnosed) contributed by non-national TB program providers- private/non-governmental facilities; *includes only those with new and relapse TB-0</v>
      </c>
      <c r="E230" s="15" t="s">
        <v>5015</v>
      </c>
      <c r="F230" s="15" t="s">
        <v>5016</v>
      </c>
      <c r="G230" s="14" t="s">
        <v>5017</v>
      </c>
      <c r="H230" s="15" t="s">
        <v>5018</v>
      </c>
    </row>
    <row r="231" spans="1:8" x14ac:dyDescent="0.25">
      <c r="A231" s="14" t="s">
        <v>1204</v>
      </c>
      <c r="B231" s="15" t="s">
        <v>1205</v>
      </c>
      <c r="C231" s="14">
        <f t="shared" si="10"/>
        <v>1</v>
      </c>
      <c r="D231" s="14" t="str">
        <f t="shared" si="11"/>
        <v>TBDT-3a Percentage of notified patients with all forms of TB (i.e., bacteriologically confirmed + clinically diagnosed) contributed by non-national TB program providers- private/non-governmental facilities; *includes only those with new and relapse TB-1</v>
      </c>
      <c r="E231" s="15" t="s">
        <v>5007</v>
      </c>
      <c r="F231" s="15" t="s">
        <v>5008</v>
      </c>
      <c r="G231" s="14" t="s">
        <v>5019</v>
      </c>
      <c r="H231" s="15" t="s">
        <v>5020</v>
      </c>
    </row>
    <row r="232" spans="1:8" x14ac:dyDescent="0.25">
      <c r="A232" s="14" t="s">
        <v>1204</v>
      </c>
      <c r="B232" s="15" t="s">
        <v>1205</v>
      </c>
      <c r="C232" s="14">
        <f t="shared" si="10"/>
        <v>2</v>
      </c>
      <c r="D232" s="14" t="str">
        <f t="shared" si="11"/>
        <v>TBDT-3a Percentage of notified patients with all forms of TB (i.e., bacteriologically confirmed + clinically diagnosed) contributed by non-national TB program providers- private/non-governmental facilities; *includes only those with new and relapse TB-2</v>
      </c>
      <c r="E232" s="15" t="s">
        <v>5015</v>
      </c>
      <c r="F232" s="15" t="s">
        <v>5021</v>
      </c>
      <c r="G232" s="14" t="s">
        <v>5022</v>
      </c>
      <c r="H232" s="15" t="s">
        <v>5023</v>
      </c>
    </row>
    <row r="233" spans="1:8" x14ac:dyDescent="0.25">
      <c r="A233" s="14" t="s">
        <v>1214</v>
      </c>
      <c r="B233" s="15" t="s">
        <v>1215</v>
      </c>
      <c r="C233" s="14">
        <f t="shared" si="10"/>
        <v>0</v>
      </c>
      <c r="D233" s="14" t="str">
        <f t="shared" si="11"/>
        <v>TBDT-4⁽ᴹ⁾ Percentage of new and relapse TB patients tested using WHO recommended rapid diagnostic tests at the time of diagnosis-0</v>
      </c>
      <c r="E233" s="15" t="s">
        <v>997</v>
      </c>
      <c r="F233" s="15" t="s">
        <v>4816</v>
      </c>
      <c r="G233" s="14" t="s">
        <v>5024</v>
      </c>
      <c r="H233" s="15" t="s">
        <v>5025</v>
      </c>
    </row>
    <row r="234" spans="1:8" x14ac:dyDescent="0.25">
      <c r="A234" s="14" t="s">
        <v>1214</v>
      </c>
      <c r="B234" s="15" t="s">
        <v>1215</v>
      </c>
      <c r="C234" s="14">
        <f t="shared" si="10"/>
        <v>1</v>
      </c>
      <c r="D234" s="14" t="str">
        <f t="shared" si="11"/>
        <v>TBDT-4⁽ᴹ⁾ Percentage of new and relapse TB patients tested using WHO recommended rapid diagnostic tests at the time of diagnosis-1</v>
      </c>
      <c r="E234" s="15" t="s">
        <v>997</v>
      </c>
      <c r="F234" s="15" t="s">
        <v>4819</v>
      </c>
      <c r="G234" s="14" t="s">
        <v>5026</v>
      </c>
      <c r="H234" s="15" t="s">
        <v>5027</v>
      </c>
    </row>
    <row r="235" spans="1:8" x14ac:dyDescent="0.25">
      <c r="A235" s="14" t="s">
        <v>1217</v>
      </c>
      <c r="B235" s="15" t="s">
        <v>1218</v>
      </c>
      <c r="C235" s="14">
        <f t="shared" si="10"/>
        <v>0</v>
      </c>
      <c r="D235" s="14"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TB-0</v>
      </c>
      <c r="E235" s="15" t="s">
        <v>821</v>
      </c>
      <c r="F235" s="15" t="s">
        <v>4479</v>
      </c>
      <c r="G235" s="14" t="s">
        <v>5028</v>
      </c>
      <c r="H235" s="15" t="s">
        <v>5029</v>
      </c>
    </row>
    <row r="236" spans="1:8" x14ac:dyDescent="0.25">
      <c r="A236" s="14" t="s">
        <v>1217</v>
      </c>
      <c r="B236" s="15" t="s">
        <v>1218</v>
      </c>
      <c r="C236" s="14">
        <f t="shared" si="10"/>
        <v>1</v>
      </c>
      <c r="D236" s="14"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TB-1</v>
      </c>
      <c r="E236" s="15" t="s">
        <v>1139</v>
      </c>
      <c r="F236" s="15" t="s">
        <v>4954</v>
      </c>
      <c r="G236" s="14" t="s">
        <v>5030</v>
      </c>
      <c r="H236" s="15" t="s">
        <v>5031</v>
      </c>
    </row>
    <row r="237" spans="1:8" x14ac:dyDescent="0.25">
      <c r="A237" s="14" t="s">
        <v>1217</v>
      </c>
      <c r="B237" s="15" t="s">
        <v>1218</v>
      </c>
      <c r="C237" s="14">
        <f t="shared" si="10"/>
        <v>2</v>
      </c>
      <c r="D237" s="14"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TB-2</v>
      </c>
      <c r="E237" s="15" t="s">
        <v>821</v>
      </c>
      <c r="F237" s="15" t="s">
        <v>4482</v>
      </c>
      <c r="G237" s="14" t="s">
        <v>5032</v>
      </c>
      <c r="H237" s="15" t="s">
        <v>5033</v>
      </c>
    </row>
    <row r="238" spans="1:8" x14ac:dyDescent="0.25">
      <c r="A238" s="14" t="s">
        <v>1217</v>
      </c>
      <c r="B238" s="15" t="s">
        <v>1218</v>
      </c>
      <c r="C238" s="14">
        <f t="shared" si="10"/>
        <v>3</v>
      </c>
      <c r="D238" s="14"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TB-3</v>
      </c>
      <c r="E238" s="15" t="s">
        <v>1168</v>
      </c>
      <c r="F238" s="15" t="s">
        <v>4492</v>
      </c>
      <c r="G238" s="14" t="s">
        <v>5034</v>
      </c>
      <c r="H238" s="15" t="s">
        <v>5035</v>
      </c>
    </row>
    <row r="239" spans="1:8" x14ac:dyDescent="0.25">
      <c r="A239" s="14" t="s">
        <v>1217</v>
      </c>
      <c r="B239" s="15" t="s">
        <v>1218</v>
      </c>
      <c r="C239" s="14">
        <f t="shared" si="10"/>
        <v>4</v>
      </c>
      <c r="D239" s="14"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TB-4</v>
      </c>
      <c r="E239" s="15" t="s">
        <v>1139</v>
      </c>
      <c r="F239" s="15" t="s">
        <v>4957</v>
      </c>
      <c r="G239" s="14" t="s">
        <v>5036</v>
      </c>
      <c r="H239" s="15" t="s">
        <v>5037</v>
      </c>
    </row>
    <row r="240" spans="1:8" x14ac:dyDescent="0.25">
      <c r="A240" s="14" t="s">
        <v>1217</v>
      </c>
      <c r="B240" s="15" t="s">
        <v>1218</v>
      </c>
      <c r="C240" s="14">
        <f t="shared" si="10"/>
        <v>5</v>
      </c>
      <c r="D240" s="14"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TB-5</v>
      </c>
      <c r="E240" s="15" t="s">
        <v>1168</v>
      </c>
      <c r="F240" s="15" t="s">
        <v>4501</v>
      </c>
      <c r="G240" s="14" t="s">
        <v>5038</v>
      </c>
      <c r="H240" s="15" t="s">
        <v>5039</v>
      </c>
    </row>
    <row r="241" spans="1:8" x14ac:dyDescent="0.25">
      <c r="A241" s="14" t="s">
        <v>1217</v>
      </c>
      <c r="B241" s="15" t="s">
        <v>1218</v>
      </c>
      <c r="C241" s="14">
        <f t="shared" si="10"/>
        <v>6</v>
      </c>
      <c r="D241" s="14"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TB-6</v>
      </c>
      <c r="E241" s="15" t="s">
        <v>1139</v>
      </c>
      <c r="F241" s="15" t="s">
        <v>4960</v>
      </c>
      <c r="G241" s="14" t="s">
        <v>5040</v>
      </c>
      <c r="H241" s="15" t="s">
        <v>5041</v>
      </c>
    </row>
    <row r="242" spans="1:8" x14ac:dyDescent="0.25">
      <c r="A242" s="14" t="s">
        <v>1281</v>
      </c>
      <c r="B242" s="15" t="s">
        <v>1282</v>
      </c>
      <c r="C242" s="14">
        <f t="shared" si="10"/>
        <v>0</v>
      </c>
      <c r="D242" s="14" t="str">
        <f t="shared" si="11"/>
        <v>TB/HIV-3.1a Percentage of people living with HIV newly initiated on ART who were screened for TB-0</v>
      </c>
      <c r="E242" s="15" t="s">
        <v>821</v>
      </c>
      <c r="F242" s="15" t="s">
        <v>4479</v>
      </c>
      <c r="G242" s="14" t="s">
        <v>5042</v>
      </c>
      <c r="H242" s="15" t="s">
        <v>5043</v>
      </c>
    </row>
    <row r="243" spans="1:8" x14ac:dyDescent="0.25">
      <c r="A243" s="14" t="s">
        <v>1281</v>
      </c>
      <c r="B243" s="15" t="s">
        <v>1282</v>
      </c>
      <c r="C243" s="14">
        <f t="shared" si="10"/>
        <v>1</v>
      </c>
      <c r="D243" s="14" t="str">
        <f t="shared" si="11"/>
        <v>TB/HIV-3.1a Percentage of people living with HIV newly initiated on ART who were screened for TB-1</v>
      </c>
      <c r="E243" s="15" t="s">
        <v>1168</v>
      </c>
      <c r="F243" s="15" t="s">
        <v>4492</v>
      </c>
      <c r="G243" s="14" t="s">
        <v>5044</v>
      </c>
      <c r="H243" s="15" t="s">
        <v>5045</v>
      </c>
    </row>
    <row r="244" spans="1:8" x14ac:dyDescent="0.25">
      <c r="A244" s="14" t="s">
        <v>1281</v>
      </c>
      <c r="B244" s="15" t="s">
        <v>1282</v>
      </c>
      <c r="C244" s="14">
        <f t="shared" si="10"/>
        <v>2</v>
      </c>
      <c r="D244" s="14" t="str">
        <f t="shared" si="11"/>
        <v>TB/HIV-3.1a Percentage of people living with HIV newly initiated on ART who were screened for TB-2</v>
      </c>
      <c r="E244" s="15" t="s">
        <v>821</v>
      </c>
      <c r="F244" s="15" t="s">
        <v>4528</v>
      </c>
      <c r="G244" s="14" t="s">
        <v>5046</v>
      </c>
      <c r="H244" s="15" t="s">
        <v>5047</v>
      </c>
    </row>
    <row r="245" spans="1:8" x14ac:dyDescent="0.25">
      <c r="A245" s="14" t="s">
        <v>1281</v>
      </c>
      <c r="B245" s="15" t="s">
        <v>1282</v>
      </c>
      <c r="C245" s="14">
        <f t="shared" si="10"/>
        <v>3</v>
      </c>
      <c r="D245" s="14" t="str">
        <f t="shared" si="11"/>
        <v>TB/HIV-3.1a Percentage of people living with HIV newly initiated on ART who were screened for TB-3</v>
      </c>
      <c r="E245" s="15" t="s">
        <v>821</v>
      </c>
      <c r="F245" s="15" t="s">
        <v>4535</v>
      </c>
      <c r="G245" s="14" t="s">
        <v>5048</v>
      </c>
      <c r="H245" s="15" t="s">
        <v>5049</v>
      </c>
    </row>
    <row r="246" spans="1:8" x14ac:dyDescent="0.25">
      <c r="A246" s="14" t="s">
        <v>1281</v>
      </c>
      <c r="B246" s="15" t="s">
        <v>1282</v>
      </c>
      <c r="C246" s="14">
        <f t="shared" si="10"/>
        <v>4</v>
      </c>
      <c r="D246" s="14" t="str">
        <f t="shared" si="11"/>
        <v>TB/HIV-3.1a Percentage of people living with HIV newly initiated on ART who were screened for TB-4</v>
      </c>
      <c r="E246" s="15" t="s">
        <v>1168</v>
      </c>
      <c r="F246" s="15" t="s">
        <v>4501</v>
      </c>
      <c r="G246" s="14" t="s">
        <v>5050</v>
      </c>
      <c r="H246" s="15" t="s">
        <v>5051</v>
      </c>
    </row>
    <row r="247" spans="1:8" x14ac:dyDescent="0.25">
      <c r="A247" s="14" t="s">
        <v>1284</v>
      </c>
      <c r="B247" s="15" t="s">
        <v>1285</v>
      </c>
      <c r="C247" s="14">
        <f t="shared" si="10"/>
        <v>0</v>
      </c>
      <c r="D247" s="14" t="str">
        <f t="shared" si="11"/>
        <v>TB/HIV-5 Percentage of registered new and relapse TB patients with documented HIV status-0</v>
      </c>
      <c r="E247" s="15" t="s">
        <v>821</v>
      </c>
      <c r="F247" s="15" t="s">
        <v>4479</v>
      </c>
      <c r="G247" s="14" t="s">
        <v>5052</v>
      </c>
      <c r="H247" s="15" t="s">
        <v>5053</v>
      </c>
    </row>
    <row r="248" spans="1:8" x14ac:dyDescent="0.25">
      <c r="A248" s="14" t="s">
        <v>1284</v>
      </c>
      <c r="B248" s="15" t="s">
        <v>1285</v>
      </c>
      <c r="C248" s="14">
        <f t="shared" si="10"/>
        <v>1</v>
      </c>
      <c r="D248" s="14" t="str">
        <f t="shared" si="11"/>
        <v>TB/HIV-5 Percentage of registered new and relapse TB patients with documented HIV status-1</v>
      </c>
      <c r="E248" s="15" t="s">
        <v>1139</v>
      </c>
      <c r="F248" s="15" t="s">
        <v>4954</v>
      </c>
      <c r="G248" s="14" t="s">
        <v>5054</v>
      </c>
      <c r="H248" s="15" t="s">
        <v>5055</v>
      </c>
    </row>
    <row r="249" spans="1:8" x14ac:dyDescent="0.25">
      <c r="A249" s="14" t="s">
        <v>1284</v>
      </c>
      <c r="B249" s="15" t="s">
        <v>1285</v>
      </c>
      <c r="C249" s="14">
        <f t="shared" si="10"/>
        <v>2</v>
      </c>
      <c r="D249" s="14" t="str">
        <f t="shared" si="11"/>
        <v>TB/HIV-5 Percentage of registered new and relapse TB patients with documented HIV status-2</v>
      </c>
      <c r="E249" s="15" t="s">
        <v>1168</v>
      </c>
      <c r="F249" s="15" t="s">
        <v>4492</v>
      </c>
      <c r="G249" s="14" t="s">
        <v>5056</v>
      </c>
      <c r="H249" s="15" t="s">
        <v>5057</v>
      </c>
    </row>
    <row r="250" spans="1:8" x14ac:dyDescent="0.25">
      <c r="A250" s="14" t="s">
        <v>1284</v>
      </c>
      <c r="B250" s="15" t="s">
        <v>1285</v>
      </c>
      <c r="C250" s="14">
        <f t="shared" si="10"/>
        <v>3</v>
      </c>
      <c r="D250" s="14" t="str">
        <f t="shared" si="11"/>
        <v>TB/HIV-5 Percentage of registered new and relapse TB patients with documented HIV status-3</v>
      </c>
      <c r="E250" s="15" t="s">
        <v>1139</v>
      </c>
      <c r="F250" s="15" t="s">
        <v>4957</v>
      </c>
      <c r="G250" s="14" t="s">
        <v>5058</v>
      </c>
      <c r="H250" s="15" t="s">
        <v>5059</v>
      </c>
    </row>
    <row r="251" spans="1:8" x14ac:dyDescent="0.25">
      <c r="A251" s="14" t="s">
        <v>1284</v>
      </c>
      <c r="B251" s="15" t="s">
        <v>1285</v>
      </c>
      <c r="C251" s="14">
        <f t="shared" si="10"/>
        <v>4</v>
      </c>
      <c r="D251" s="14" t="str">
        <f t="shared" si="11"/>
        <v>TB/HIV-5 Percentage of registered new and relapse TB patients with documented HIV status-4</v>
      </c>
      <c r="E251" s="15" t="s">
        <v>821</v>
      </c>
      <c r="F251" s="15" t="s">
        <v>4528</v>
      </c>
      <c r="G251" s="14" t="s">
        <v>5060</v>
      </c>
      <c r="H251" s="15" t="s">
        <v>5061</v>
      </c>
    </row>
    <row r="252" spans="1:8" x14ac:dyDescent="0.25">
      <c r="A252" s="14" t="s">
        <v>1284</v>
      </c>
      <c r="B252" s="15" t="s">
        <v>1285</v>
      </c>
      <c r="C252" s="14">
        <f t="shared" si="10"/>
        <v>5</v>
      </c>
      <c r="D252" s="14" t="str">
        <f t="shared" si="11"/>
        <v>TB/HIV-5 Percentage of registered new and relapse TB patients with documented HIV status-5</v>
      </c>
      <c r="E252" s="15" t="s">
        <v>821</v>
      </c>
      <c r="F252" s="15" t="s">
        <v>4535</v>
      </c>
      <c r="G252" s="14" t="s">
        <v>5062</v>
      </c>
      <c r="H252" s="15" t="s">
        <v>5063</v>
      </c>
    </row>
    <row r="253" spans="1:8" x14ac:dyDescent="0.25">
      <c r="A253" s="14" t="s">
        <v>1284</v>
      </c>
      <c r="B253" s="15" t="s">
        <v>1285</v>
      </c>
      <c r="C253" s="14">
        <f t="shared" si="10"/>
        <v>6</v>
      </c>
      <c r="D253" s="14" t="str">
        <f t="shared" si="11"/>
        <v>TB/HIV-5 Percentage of registered new and relapse TB patients with documented HIV status-6</v>
      </c>
      <c r="E253" s="15" t="s">
        <v>1139</v>
      </c>
      <c r="F253" s="15" t="s">
        <v>4960</v>
      </c>
      <c r="G253" s="14" t="s">
        <v>5064</v>
      </c>
      <c r="H253" s="15" t="s">
        <v>5065</v>
      </c>
    </row>
    <row r="254" spans="1:8" x14ac:dyDescent="0.25">
      <c r="A254" s="14" t="s">
        <v>1284</v>
      </c>
      <c r="B254" s="15" t="s">
        <v>1285</v>
      </c>
      <c r="C254" s="14">
        <f t="shared" si="10"/>
        <v>7</v>
      </c>
      <c r="D254" s="14" t="str">
        <f t="shared" si="11"/>
        <v>TB/HIV-5 Percentage of registered new and relapse TB patients with documented HIV status-7</v>
      </c>
      <c r="E254" s="15" t="s">
        <v>1168</v>
      </c>
      <c r="F254" s="15" t="s">
        <v>4501</v>
      </c>
      <c r="G254" s="14" t="s">
        <v>5066</v>
      </c>
      <c r="H254" s="15" t="s">
        <v>5067</v>
      </c>
    </row>
    <row r="255" spans="1:8" x14ac:dyDescent="0.25">
      <c r="A255" s="14" t="s">
        <v>1288</v>
      </c>
      <c r="B255" s="15" t="s">
        <v>1289</v>
      </c>
      <c r="C255" s="14">
        <f t="shared" si="10"/>
        <v>0</v>
      </c>
      <c r="D255" s="14" t="str">
        <f t="shared" si="11"/>
        <v>TB/HIV-6⁽ᴹ⁾ Percentage of HIV-positive new and relapse TB patients on ART during TB treatment-0</v>
      </c>
      <c r="E255" s="15" t="s">
        <v>821</v>
      </c>
      <c r="F255" s="15" t="s">
        <v>4479</v>
      </c>
      <c r="G255" s="14" t="s">
        <v>5068</v>
      </c>
      <c r="H255" s="15" t="s">
        <v>5069</v>
      </c>
    </row>
    <row r="256" spans="1:8" x14ac:dyDescent="0.25">
      <c r="A256" s="14" t="s">
        <v>1288</v>
      </c>
      <c r="B256" s="15" t="s">
        <v>1289</v>
      </c>
      <c r="C256" s="14">
        <f t="shared" si="10"/>
        <v>1</v>
      </c>
      <c r="D256" s="14" t="str">
        <f t="shared" si="11"/>
        <v>TB/HIV-6⁽ᴹ⁾ Percentage of HIV-positive new and relapse TB patients on ART during TB treatment-1</v>
      </c>
      <c r="E256" s="15" t="s">
        <v>1168</v>
      </c>
      <c r="F256" s="15" t="s">
        <v>4492</v>
      </c>
      <c r="G256" s="14" t="s">
        <v>5070</v>
      </c>
      <c r="H256" s="15" t="s">
        <v>5071</v>
      </c>
    </row>
    <row r="257" spans="1:8" x14ac:dyDescent="0.25">
      <c r="A257" s="14" t="s">
        <v>1288</v>
      </c>
      <c r="B257" s="15" t="s">
        <v>1289</v>
      </c>
      <c r="C257" s="14">
        <f t="shared" si="10"/>
        <v>2</v>
      </c>
      <c r="D257" s="14" t="str">
        <f t="shared" si="11"/>
        <v>TB/HIV-6⁽ᴹ⁾ Percentage of HIV-positive new and relapse TB patients on ART during TB treatment-2</v>
      </c>
      <c r="E257" s="15" t="s">
        <v>821</v>
      </c>
      <c r="F257" s="15" t="s">
        <v>4528</v>
      </c>
      <c r="G257" s="14" t="s">
        <v>5072</v>
      </c>
      <c r="H257" s="15" t="s">
        <v>5073</v>
      </c>
    </row>
    <row r="258" spans="1:8" x14ac:dyDescent="0.25">
      <c r="A258" s="14" t="s">
        <v>1288</v>
      </c>
      <c r="B258" s="15" t="s">
        <v>1289</v>
      </c>
      <c r="C258" s="14">
        <f t="shared" si="10"/>
        <v>3</v>
      </c>
      <c r="D258" s="14" t="str">
        <f t="shared" si="11"/>
        <v>TB/HIV-6⁽ᴹ⁾ Percentage of HIV-positive new and relapse TB patients on ART during TB treatment-3</v>
      </c>
      <c r="E258" s="15" t="s">
        <v>821</v>
      </c>
      <c r="F258" s="15" t="s">
        <v>4535</v>
      </c>
      <c r="G258" s="14" t="s">
        <v>5074</v>
      </c>
      <c r="H258" s="15" t="s">
        <v>5075</v>
      </c>
    </row>
    <row r="259" spans="1:8" x14ac:dyDescent="0.25">
      <c r="A259" s="14" t="s">
        <v>1288</v>
      </c>
      <c r="B259" s="15" t="s">
        <v>1289</v>
      </c>
      <c r="C259" s="14">
        <f t="shared" si="10"/>
        <v>4</v>
      </c>
      <c r="D259" s="14" t="str">
        <f t="shared" si="11"/>
        <v>TB/HIV-6⁽ᴹ⁾ Percentage of HIV-positive new and relapse TB patients on ART during TB treatment-4</v>
      </c>
      <c r="E259" s="15" t="s">
        <v>1168</v>
      </c>
      <c r="F259" s="15" t="s">
        <v>4501</v>
      </c>
      <c r="G259" s="14" t="s">
        <v>5076</v>
      </c>
      <c r="H259" s="15" t="s">
        <v>5077</v>
      </c>
    </row>
    <row r="260" spans="1:8" x14ac:dyDescent="0.25">
      <c r="A260" s="14" t="s">
        <v>1291</v>
      </c>
      <c r="B260" s="15" t="s">
        <v>1292</v>
      </c>
      <c r="C260" s="14">
        <f t="shared" si="10"/>
        <v>0</v>
      </c>
      <c r="D260" s="14" t="str">
        <f t="shared" si="11"/>
        <v>TB/HIV-7.1 Percentage of people living with HIV currently enrolled on antiretroviral therapy who started TB preventive treatment (TPT) during the reporting period-0</v>
      </c>
      <c r="E260" s="15" t="s">
        <v>821</v>
      </c>
      <c r="F260" s="15" t="s">
        <v>4479</v>
      </c>
      <c r="G260" s="14" t="s">
        <v>5078</v>
      </c>
      <c r="H260" s="15" t="s">
        <v>5079</v>
      </c>
    </row>
    <row r="261" spans="1:8" x14ac:dyDescent="0.25">
      <c r="A261" s="14" t="s">
        <v>1291</v>
      </c>
      <c r="B261" s="15" t="s">
        <v>1292</v>
      </c>
      <c r="C261" s="14">
        <f t="shared" si="10"/>
        <v>1</v>
      </c>
      <c r="D261" s="14" t="str">
        <f t="shared" si="11"/>
        <v>TB/HIV-7.1 Percentage of people living with HIV currently enrolled on antiretroviral therapy who started TB preventive treatment (TPT) during the reporting period-1</v>
      </c>
      <c r="E261" s="15" t="s">
        <v>5080</v>
      </c>
      <c r="F261" s="15" t="s">
        <v>5081</v>
      </c>
      <c r="G261" s="14" t="s">
        <v>5082</v>
      </c>
      <c r="H261" s="15" t="s">
        <v>5083</v>
      </c>
    </row>
    <row r="262" spans="1:8" x14ac:dyDescent="0.25">
      <c r="A262" s="14" t="s">
        <v>1291</v>
      </c>
      <c r="B262" s="15" t="s">
        <v>1292</v>
      </c>
      <c r="C262" s="14">
        <f t="shared" si="10"/>
        <v>2</v>
      </c>
      <c r="D262" s="14" t="str">
        <f t="shared" si="11"/>
        <v>TB/HIV-7.1 Percentage of people living with HIV currently enrolled on antiretroviral therapy who started TB preventive treatment (TPT) during the reporting period-2</v>
      </c>
      <c r="E262" s="15" t="s">
        <v>5080</v>
      </c>
      <c r="F262" s="15" t="s">
        <v>5084</v>
      </c>
      <c r="G262" s="14" t="s">
        <v>5085</v>
      </c>
      <c r="H262" s="15" t="s">
        <v>5086</v>
      </c>
    </row>
    <row r="263" spans="1:8" x14ac:dyDescent="0.25">
      <c r="A263" s="14" t="s">
        <v>1291</v>
      </c>
      <c r="B263" s="15" t="s">
        <v>1292</v>
      </c>
      <c r="C263" s="14">
        <f t="shared" si="10"/>
        <v>3</v>
      </c>
      <c r="D263" s="14" t="str">
        <f t="shared" si="11"/>
        <v>TB/HIV-7.1 Percentage of people living with HIV currently enrolled on antiretroviral therapy who started TB preventive treatment (TPT) during the reporting period-3</v>
      </c>
      <c r="E263" s="15" t="s">
        <v>5080</v>
      </c>
      <c r="F263" s="15" t="s">
        <v>5087</v>
      </c>
      <c r="G263" s="14" t="s">
        <v>5088</v>
      </c>
      <c r="H263" s="15" t="s">
        <v>5089</v>
      </c>
    </row>
    <row r="264" spans="1:8" x14ac:dyDescent="0.25">
      <c r="A264" s="14" t="s">
        <v>1291</v>
      </c>
      <c r="B264" s="15" t="s">
        <v>1292</v>
      </c>
      <c r="C264" s="14">
        <f t="shared" si="10"/>
        <v>4</v>
      </c>
      <c r="D264" s="14" t="str">
        <f t="shared" si="11"/>
        <v>TB/HIV-7.1 Percentage of people living with HIV currently enrolled on antiretroviral therapy who started TB preventive treatment (TPT) during the reporting period-4</v>
      </c>
      <c r="E264" s="15" t="s">
        <v>1168</v>
      </c>
      <c r="F264" s="15" t="s">
        <v>4492</v>
      </c>
      <c r="G264" s="14" t="s">
        <v>5090</v>
      </c>
      <c r="H264" s="15" t="s">
        <v>5091</v>
      </c>
    </row>
    <row r="265" spans="1:8" x14ac:dyDescent="0.25">
      <c r="A265" s="14" t="s">
        <v>1291</v>
      </c>
      <c r="B265" s="15" t="s">
        <v>1292</v>
      </c>
      <c r="C265" s="14">
        <f t="shared" si="10"/>
        <v>5</v>
      </c>
      <c r="D265" s="14" t="str">
        <f t="shared" si="11"/>
        <v>TB/HIV-7.1 Percentage of people living with HIV currently enrolled on antiretroviral therapy who started TB preventive treatment (TPT) during the reporting period-5</v>
      </c>
      <c r="E265" s="15" t="s">
        <v>821</v>
      </c>
      <c r="F265" s="15" t="s">
        <v>4528</v>
      </c>
      <c r="G265" s="14" t="s">
        <v>5092</v>
      </c>
      <c r="H265" s="15" t="s">
        <v>5093</v>
      </c>
    </row>
    <row r="266" spans="1:8" x14ac:dyDescent="0.25">
      <c r="A266" s="14" t="s">
        <v>1291</v>
      </c>
      <c r="B266" s="15" t="s">
        <v>1292</v>
      </c>
      <c r="C266" s="14">
        <f t="shared" si="10"/>
        <v>6</v>
      </c>
      <c r="D266" s="14" t="str">
        <f t="shared" si="11"/>
        <v>TB/HIV-7.1 Percentage of people living with HIV currently enrolled on antiretroviral therapy who started TB preventive treatment (TPT) during the reporting period-6</v>
      </c>
      <c r="E266" s="15" t="s">
        <v>5080</v>
      </c>
      <c r="F266" s="15" t="s">
        <v>5094</v>
      </c>
      <c r="G266" s="14" t="s">
        <v>5095</v>
      </c>
      <c r="H266" s="15" t="s">
        <v>5096</v>
      </c>
    </row>
    <row r="267" spans="1:8" x14ac:dyDescent="0.25">
      <c r="A267" s="14" t="s">
        <v>1291</v>
      </c>
      <c r="B267" s="15" t="s">
        <v>1292</v>
      </c>
      <c r="C267" s="14">
        <f t="shared" si="10"/>
        <v>7</v>
      </c>
      <c r="D267" s="14" t="str">
        <f t="shared" si="11"/>
        <v>TB/HIV-7.1 Percentage of people living with HIV currently enrolled on antiretroviral therapy who started TB preventive treatment (TPT) during the reporting period-7</v>
      </c>
      <c r="E267" s="15" t="s">
        <v>821</v>
      </c>
      <c r="F267" s="15" t="s">
        <v>4535</v>
      </c>
      <c r="G267" s="14" t="s">
        <v>5097</v>
      </c>
      <c r="H267" s="15" t="s">
        <v>5098</v>
      </c>
    </row>
    <row r="268" spans="1:8" x14ac:dyDescent="0.25">
      <c r="A268" s="14" t="s">
        <v>1291</v>
      </c>
      <c r="B268" s="15" t="s">
        <v>1292</v>
      </c>
      <c r="C268" s="14">
        <f t="shared" si="10"/>
        <v>8</v>
      </c>
      <c r="D268" s="14" t="str">
        <f t="shared" si="11"/>
        <v>TB/HIV-7.1 Percentage of people living with HIV currently enrolled on antiretroviral therapy who started TB preventive treatment (TPT) during the reporting period-8</v>
      </c>
      <c r="E268" s="15" t="s">
        <v>5080</v>
      </c>
      <c r="F268" s="15" t="s">
        <v>5099</v>
      </c>
      <c r="G268" s="14" t="s">
        <v>5100</v>
      </c>
      <c r="H268" s="15" t="s">
        <v>5101</v>
      </c>
    </row>
    <row r="269" spans="1:8" x14ac:dyDescent="0.25">
      <c r="A269" s="14" t="s">
        <v>1291</v>
      </c>
      <c r="B269" s="15" t="s">
        <v>1292</v>
      </c>
      <c r="C269" s="14">
        <f t="shared" si="10"/>
        <v>9</v>
      </c>
      <c r="D269" s="14" t="str">
        <f t="shared" si="11"/>
        <v>TB/HIV-7.1 Percentage of people living with HIV currently enrolled on antiretroviral therapy who started TB preventive treatment (TPT) during the reporting period-9</v>
      </c>
      <c r="E269" s="15" t="s">
        <v>1168</v>
      </c>
      <c r="F269" s="15" t="s">
        <v>4501</v>
      </c>
      <c r="G269" s="14" t="s">
        <v>5102</v>
      </c>
      <c r="H269" s="15" t="s">
        <v>5103</v>
      </c>
    </row>
    <row r="270" spans="1:8" x14ac:dyDescent="0.25">
      <c r="A270" s="14" t="s">
        <v>1222</v>
      </c>
      <c r="B270" s="15" t="s">
        <v>1223</v>
      </c>
      <c r="C270" s="14">
        <f t="shared" si="10"/>
        <v>0</v>
      </c>
      <c r="D270" s="14" t="str">
        <f t="shared" si="11"/>
        <v>DRTB-2⁽ᴹ⁾ Number of people with confirmed RR-TB and/or MDR-TB notified-0</v>
      </c>
      <c r="E270" s="15" t="s">
        <v>821</v>
      </c>
      <c r="F270" s="15" t="s">
        <v>4479</v>
      </c>
      <c r="G270" s="14" t="s">
        <v>5104</v>
      </c>
      <c r="H270" s="15" t="s">
        <v>5105</v>
      </c>
    </row>
    <row r="271" spans="1:8" x14ac:dyDescent="0.25">
      <c r="A271" s="14" t="s">
        <v>1222</v>
      </c>
      <c r="B271" s="15" t="s">
        <v>1223</v>
      </c>
      <c r="C271" s="14">
        <f t="shared" si="10"/>
        <v>1</v>
      </c>
      <c r="D271" s="14" t="str">
        <f t="shared" si="11"/>
        <v>DRTB-2⁽ᴹ⁾ Number of people with confirmed RR-TB and/or MDR-TB notified-1</v>
      </c>
      <c r="E271" s="15" t="s">
        <v>1139</v>
      </c>
      <c r="F271" s="15" t="s">
        <v>4954</v>
      </c>
      <c r="G271" s="14" t="s">
        <v>5106</v>
      </c>
      <c r="H271" s="15" t="s">
        <v>5107</v>
      </c>
    </row>
    <row r="272" spans="1:8" x14ac:dyDescent="0.25">
      <c r="A272" s="14" t="s">
        <v>1222</v>
      </c>
      <c r="B272" s="15" t="s">
        <v>1223</v>
      </c>
      <c r="C272" s="14">
        <f t="shared" si="10"/>
        <v>2</v>
      </c>
      <c r="D272" s="14" t="str">
        <f t="shared" si="11"/>
        <v>DRTB-2⁽ᴹ⁾ Number of people with confirmed RR-TB and/or MDR-TB notified-2</v>
      </c>
      <c r="E272" s="15" t="s">
        <v>821</v>
      </c>
      <c r="F272" s="15" t="s">
        <v>4482</v>
      </c>
      <c r="G272" s="14" t="s">
        <v>5108</v>
      </c>
      <c r="H272" s="15" t="s">
        <v>5109</v>
      </c>
    </row>
    <row r="273" spans="1:8" x14ac:dyDescent="0.25">
      <c r="A273" s="14" t="s">
        <v>1222</v>
      </c>
      <c r="B273" s="15" t="s">
        <v>1223</v>
      </c>
      <c r="C273" s="14">
        <f t="shared" si="10"/>
        <v>3</v>
      </c>
      <c r="D273" s="14" t="str">
        <f t="shared" si="11"/>
        <v>DRTB-2⁽ᴹ⁾ Number of people with confirmed RR-TB and/or MDR-TB notified-3</v>
      </c>
      <c r="E273" s="15" t="s">
        <v>1168</v>
      </c>
      <c r="F273" s="15" t="s">
        <v>4492</v>
      </c>
      <c r="G273" s="14" t="s">
        <v>5110</v>
      </c>
      <c r="H273" s="15" t="s">
        <v>5111</v>
      </c>
    </row>
    <row r="274" spans="1:8" x14ac:dyDescent="0.25">
      <c r="A274" s="14" t="s">
        <v>1222</v>
      </c>
      <c r="B274" s="15" t="s">
        <v>1223</v>
      </c>
      <c r="C274" s="14">
        <f t="shared" si="10"/>
        <v>4</v>
      </c>
      <c r="D274" s="14" t="str">
        <f t="shared" si="11"/>
        <v>DRTB-2⁽ᴹ⁾ Number of people with confirmed RR-TB and/or MDR-TB notified-4</v>
      </c>
      <c r="E274" s="15" t="s">
        <v>1139</v>
      </c>
      <c r="F274" s="15" t="s">
        <v>4957</v>
      </c>
      <c r="G274" s="14" t="s">
        <v>5112</v>
      </c>
      <c r="H274" s="15" t="s">
        <v>5113</v>
      </c>
    </row>
    <row r="275" spans="1:8" x14ac:dyDescent="0.25">
      <c r="A275" s="14" t="s">
        <v>1222</v>
      </c>
      <c r="B275" s="15" t="s">
        <v>1223</v>
      </c>
      <c r="C275" s="14">
        <f t="shared" si="10"/>
        <v>5</v>
      </c>
      <c r="D275" s="14" t="str">
        <f t="shared" si="11"/>
        <v>DRTB-2⁽ᴹ⁾ Number of people with confirmed RR-TB and/or MDR-TB notified-5</v>
      </c>
      <c r="E275" s="15" t="s">
        <v>1168</v>
      </c>
      <c r="F275" s="15" t="s">
        <v>4501</v>
      </c>
      <c r="G275" s="14" t="s">
        <v>5114</v>
      </c>
      <c r="H275" s="15" t="s">
        <v>5115</v>
      </c>
    </row>
    <row r="276" spans="1:8" x14ac:dyDescent="0.25">
      <c r="A276" s="14" t="s">
        <v>1222</v>
      </c>
      <c r="B276" s="15" t="s">
        <v>1223</v>
      </c>
      <c r="C276" s="14">
        <f t="shared" si="10"/>
        <v>6</v>
      </c>
      <c r="D276" s="14" t="str">
        <f t="shared" si="11"/>
        <v>DRTB-2⁽ᴹ⁾ Number of people with confirmed RR-TB and/or MDR-TB notified-6</v>
      </c>
      <c r="E276" s="15" t="s">
        <v>1139</v>
      </c>
      <c r="F276" s="15" t="s">
        <v>4960</v>
      </c>
      <c r="G276" s="14" t="s">
        <v>5116</v>
      </c>
      <c r="H276" s="15" t="s">
        <v>5117</v>
      </c>
    </row>
    <row r="277" spans="1:8" x14ac:dyDescent="0.25">
      <c r="A277" s="14" t="s">
        <v>1225</v>
      </c>
      <c r="B277" s="15" t="s">
        <v>1226</v>
      </c>
      <c r="C277" s="14">
        <f t="shared" si="10"/>
        <v>0</v>
      </c>
      <c r="D277" s="14" t="str">
        <f t="shared" si="11"/>
        <v>DRTB-3⁽ᴹ⁾ Percentage of people with confirmed RR-TB and/or MDR-TB that began second-line treatment-0</v>
      </c>
      <c r="E277" s="15" t="s">
        <v>821</v>
      </c>
      <c r="F277" s="15" t="s">
        <v>4479</v>
      </c>
      <c r="G277" s="14" t="s">
        <v>5118</v>
      </c>
      <c r="H277" s="15" t="s">
        <v>5119</v>
      </c>
    </row>
    <row r="278" spans="1:8" x14ac:dyDescent="0.25">
      <c r="A278" s="14" t="s">
        <v>1225</v>
      </c>
      <c r="B278" s="15" t="s">
        <v>1226</v>
      </c>
      <c r="C278" s="14">
        <f t="shared" si="10"/>
        <v>1</v>
      </c>
      <c r="D278" s="14" t="str">
        <f t="shared" si="11"/>
        <v>DRTB-3⁽ᴹ⁾ Percentage of people with confirmed RR-TB and/or MDR-TB that began second-line treatment-1</v>
      </c>
      <c r="E278" s="15" t="s">
        <v>821</v>
      </c>
      <c r="F278" s="15" t="s">
        <v>4482</v>
      </c>
      <c r="G278" s="14" t="s">
        <v>5120</v>
      </c>
      <c r="H278" s="15" t="s">
        <v>5121</v>
      </c>
    </row>
    <row r="279" spans="1:8" x14ac:dyDescent="0.25">
      <c r="A279" s="14" t="s">
        <v>1225</v>
      </c>
      <c r="B279" s="15" t="s">
        <v>1226</v>
      </c>
      <c r="C279" s="14">
        <f t="shared" si="10"/>
        <v>2</v>
      </c>
      <c r="D279" s="14" t="str">
        <f t="shared" si="11"/>
        <v>DRTB-3⁽ᴹ⁾ Percentage of people with confirmed RR-TB and/or MDR-TB that began second-line treatment-2</v>
      </c>
      <c r="E279" s="15" t="s">
        <v>1168</v>
      </c>
      <c r="F279" s="15" t="s">
        <v>4492</v>
      </c>
      <c r="G279" s="14" t="s">
        <v>5122</v>
      </c>
      <c r="H279" s="15" t="s">
        <v>5123</v>
      </c>
    </row>
    <row r="280" spans="1:8" x14ac:dyDescent="0.25">
      <c r="A280" s="14" t="s">
        <v>1225</v>
      </c>
      <c r="B280" s="15" t="s">
        <v>1226</v>
      </c>
      <c r="C280" s="14">
        <f t="shared" si="10"/>
        <v>3</v>
      </c>
      <c r="D280" s="14" t="str">
        <f t="shared" si="11"/>
        <v>DRTB-3⁽ᴹ⁾ Percentage of people with confirmed RR-TB and/or MDR-TB that began second-line treatment-3</v>
      </c>
      <c r="E280" s="15" t="s">
        <v>5124</v>
      </c>
      <c r="F280" s="15" t="s">
        <v>5125</v>
      </c>
      <c r="G280" s="14" t="s">
        <v>5126</v>
      </c>
      <c r="H280" s="15" t="s">
        <v>5127</v>
      </c>
    </row>
    <row r="281" spans="1:8" x14ac:dyDescent="0.25">
      <c r="A281" s="14" t="s">
        <v>1225</v>
      </c>
      <c r="B281" s="15" t="s">
        <v>1226</v>
      </c>
      <c r="C281" s="14">
        <f t="shared" ref="C281:C344" si="12">IF(B281=B280,C280+1,0)</f>
        <v>4</v>
      </c>
      <c r="D281" s="14" t="str">
        <f t="shared" ref="D281:D344" si="13">B281&amp;"-"&amp;C281</f>
        <v>DRTB-3⁽ᴹ⁾ Percentage of people with confirmed RR-TB and/or MDR-TB that began second-line treatment-4</v>
      </c>
      <c r="E281" s="15" t="s">
        <v>1168</v>
      </c>
      <c r="F281" s="15" t="s">
        <v>4501</v>
      </c>
      <c r="G281" s="14" t="s">
        <v>5128</v>
      </c>
      <c r="H281" s="15" t="s">
        <v>5129</v>
      </c>
    </row>
    <row r="282" spans="1:8" x14ac:dyDescent="0.25">
      <c r="A282" s="14" t="s">
        <v>1225</v>
      </c>
      <c r="B282" s="15" t="s">
        <v>1226</v>
      </c>
      <c r="C282" s="14">
        <f t="shared" si="12"/>
        <v>5</v>
      </c>
      <c r="D282" s="14" t="str">
        <f t="shared" si="13"/>
        <v>DRTB-3⁽ᴹ⁾ Percentage of people with confirmed RR-TB and/or MDR-TB that began second-line treatment-5</v>
      </c>
      <c r="E282" s="15" t="s">
        <v>5124</v>
      </c>
      <c r="F282" s="15" t="s">
        <v>5130</v>
      </c>
      <c r="G282" s="14" t="s">
        <v>5131</v>
      </c>
      <c r="H282" s="15" t="s">
        <v>5132</v>
      </c>
    </row>
    <row r="283" spans="1:8" x14ac:dyDescent="0.25">
      <c r="A283" s="14" t="s">
        <v>1251</v>
      </c>
      <c r="B283" s="15" t="s">
        <v>1252</v>
      </c>
      <c r="C283" s="14">
        <f t="shared" si="12"/>
        <v>0</v>
      </c>
      <c r="D283" s="14" t="str">
        <f t="shared" si="13"/>
        <v>DRTB-9 Treatment success rate of RR-TB and/or MDR-TB: Percentage of patients with RR and/or MDR-TB successfully treated-0</v>
      </c>
      <c r="E283" s="15" t="s">
        <v>821</v>
      </c>
      <c r="F283" s="15" t="s">
        <v>4479</v>
      </c>
      <c r="G283" s="14" t="s">
        <v>5133</v>
      </c>
      <c r="H283" s="15" t="s">
        <v>5134</v>
      </c>
    </row>
    <row r="284" spans="1:8" x14ac:dyDescent="0.25">
      <c r="A284" s="14" t="s">
        <v>1251</v>
      </c>
      <c r="B284" s="15" t="s">
        <v>1252</v>
      </c>
      <c r="C284" s="14">
        <f t="shared" si="12"/>
        <v>1</v>
      </c>
      <c r="D284" s="14" t="str">
        <f t="shared" si="13"/>
        <v>DRTB-9 Treatment success rate of RR-TB and/or MDR-TB: Percentage of patients with RR and/or MDR-TB successfully treated-1</v>
      </c>
      <c r="E284" s="15" t="s">
        <v>821</v>
      </c>
      <c r="F284" s="15" t="s">
        <v>4482</v>
      </c>
      <c r="G284" s="14" t="s">
        <v>5135</v>
      </c>
      <c r="H284" s="15" t="s">
        <v>5136</v>
      </c>
    </row>
    <row r="285" spans="1:8" x14ac:dyDescent="0.25">
      <c r="A285" s="14" t="s">
        <v>1251</v>
      </c>
      <c r="B285" s="15" t="s">
        <v>1252</v>
      </c>
      <c r="C285" s="14">
        <f t="shared" si="12"/>
        <v>2</v>
      </c>
      <c r="D285" s="14" t="str">
        <f t="shared" si="13"/>
        <v>DRTB-9 Treatment success rate of RR-TB and/or MDR-TB: Percentage of patients with RR and/or MDR-TB successfully treated-2</v>
      </c>
      <c r="E285" s="15" t="s">
        <v>1139</v>
      </c>
      <c r="F285" s="15" t="s">
        <v>4954</v>
      </c>
      <c r="G285" s="14" t="s">
        <v>5137</v>
      </c>
      <c r="H285" s="15" t="s">
        <v>5138</v>
      </c>
    </row>
    <row r="286" spans="1:8" x14ac:dyDescent="0.25">
      <c r="A286" s="14" t="s">
        <v>1251</v>
      </c>
      <c r="B286" s="15" t="s">
        <v>1252</v>
      </c>
      <c r="C286" s="14">
        <f t="shared" si="12"/>
        <v>3</v>
      </c>
      <c r="D286" s="14" t="str">
        <f t="shared" si="13"/>
        <v>DRTB-9 Treatment success rate of RR-TB and/or MDR-TB: Percentage of patients with RR and/or MDR-TB successfully treated-3</v>
      </c>
      <c r="E286" s="15" t="s">
        <v>5124</v>
      </c>
      <c r="F286" s="15" t="s">
        <v>5125</v>
      </c>
      <c r="G286" s="14" t="s">
        <v>5139</v>
      </c>
      <c r="H286" s="15" t="s">
        <v>5140</v>
      </c>
    </row>
    <row r="287" spans="1:8" x14ac:dyDescent="0.25">
      <c r="A287" s="14" t="s">
        <v>1251</v>
      </c>
      <c r="B287" s="15" t="s">
        <v>1252</v>
      </c>
      <c r="C287" s="14">
        <f t="shared" si="12"/>
        <v>4</v>
      </c>
      <c r="D287" s="14" t="str">
        <f t="shared" si="13"/>
        <v>DRTB-9 Treatment success rate of RR-TB and/or MDR-TB: Percentage of patients with RR and/or MDR-TB successfully treated-4</v>
      </c>
      <c r="E287" s="15" t="s">
        <v>1139</v>
      </c>
      <c r="F287" s="15" t="s">
        <v>4957</v>
      </c>
      <c r="G287" s="14" t="s">
        <v>5141</v>
      </c>
      <c r="H287" s="15" t="s">
        <v>5142</v>
      </c>
    </row>
    <row r="288" spans="1:8" x14ac:dyDescent="0.25">
      <c r="A288" s="14" t="s">
        <v>1251</v>
      </c>
      <c r="B288" s="15" t="s">
        <v>1252</v>
      </c>
      <c r="C288" s="14">
        <f t="shared" si="12"/>
        <v>5</v>
      </c>
      <c r="D288" s="14" t="str">
        <f t="shared" si="13"/>
        <v>DRTB-9 Treatment success rate of RR-TB and/or MDR-TB: Percentage of patients with RR and/or MDR-TB successfully treated-5</v>
      </c>
      <c r="E288" s="15" t="s">
        <v>1168</v>
      </c>
      <c r="F288" s="15" t="s">
        <v>4492</v>
      </c>
      <c r="G288" s="14" t="s">
        <v>5143</v>
      </c>
      <c r="H288" s="15" t="s">
        <v>5144</v>
      </c>
    </row>
    <row r="289" spans="1:8" x14ac:dyDescent="0.25">
      <c r="A289" s="14" t="s">
        <v>1251</v>
      </c>
      <c r="B289" s="15" t="s">
        <v>1252</v>
      </c>
      <c r="C289" s="14">
        <f t="shared" si="12"/>
        <v>6</v>
      </c>
      <c r="D289" s="14" t="str">
        <f t="shared" si="13"/>
        <v>DRTB-9 Treatment success rate of RR-TB and/or MDR-TB: Percentage of patients with RR and/or MDR-TB successfully treated-6</v>
      </c>
      <c r="E289" s="15" t="s">
        <v>997</v>
      </c>
      <c r="F289" s="15" t="s">
        <v>4816</v>
      </c>
      <c r="G289" s="14" t="s">
        <v>5145</v>
      </c>
      <c r="H289" s="15" t="s">
        <v>5146</v>
      </c>
    </row>
    <row r="290" spans="1:8" x14ac:dyDescent="0.25">
      <c r="A290" s="14" t="s">
        <v>1251</v>
      </c>
      <c r="B290" s="15" t="s">
        <v>1252</v>
      </c>
      <c r="C290" s="14">
        <f t="shared" si="12"/>
        <v>7</v>
      </c>
      <c r="D290" s="14" t="str">
        <f t="shared" si="13"/>
        <v>DRTB-9 Treatment success rate of RR-TB and/or MDR-TB: Percentage of patients with RR and/or MDR-TB successfully treated-7</v>
      </c>
      <c r="E290" s="15" t="s">
        <v>997</v>
      </c>
      <c r="F290" s="15" t="s">
        <v>4819</v>
      </c>
      <c r="G290" s="14" t="s">
        <v>5147</v>
      </c>
      <c r="H290" s="15" t="s">
        <v>5148</v>
      </c>
    </row>
    <row r="291" spans="1:8" x14ac:dyDescent="0.25">
      <c r="A291" s="14" t="s">
        <v>1251</v>
      </c>
      <c r="B291" s="15" t="s">
        <v>1252</v>
      </c>
      <c r="C291" s="14">
        <f t="shared" si="12"/>
        <v>8</v>
      </c>
      <c r="D291" s="14" t="str">
        <f t="shared" si="13"/>
        <v>DRTB-9 Treatment success rate of RR-TB and/or MDR-TB: Percentage of patients with RR and/or MDR-TB successfully treated-8</v>
      </c>
      <c r="E291" s="15" t="s">
        <v>1168</v>
      </c>
      <c r="F291" s="15" t="s">
        <v>4501</v>
      </c>
      <c r="G291" s="14" t="s">
        <v>5149</v>
      </c>
      <c r="H291" s="15" t="s">
        <v>5150</v>
      </c>
    </row>
    <row r="292" spans="1:8" x14ac:dyDescent="0.25">
      <c r="A292" s="14" t="s">
        <v>1251</v>
      </c>
      <c r="B292" s="15" t="s">
        <v>1252</v>
      </c>
      <c r="C292" s="14">
        <f t="shared" si="12"/>
        <v>9</v>
      </c>
      <c r="D292" s="14" t="str">
        <f t="shared" si="13"/>
        <v>DRTB-9 Treatment success rate of RR-TB and/or MDR-TB: Percentage of patients with RR and/or MDR-TB successfully treated-9</v>
      </c>
      <c r="E292" s="15" t="s">
        <v>5124</v>
      </c>
      <c r="F292" s="15" t="s">
        <v>5130</v>
      </c>
      <c r="G292" s="14" t="s">
        <v>5151</v>
      </c>
      <c r="H292" s="15" t="s">
        <v>5152</v>
      </c>
    </row>
    <row r="293" spans="1:8" x14ac:dyDescent="0.25">
      <c r="A293" s="14" t="s">
        <v>1251</v>
      </c>
      <c r="B293" s="15" t="s">
        <v>1252</v>
      </c>
      <c r="C293" s="14">
        <f t="shared" si="12"/>
        <v>10</v>
      </c>
      <c r="D293" s="14" t="str">
        <f t="shared" si="13"/>
        <v>DRTB-9 Treatment success rate of RR-TB and/or MDR-TB: Percentage of patients with RR and/or MDR-TB successfully treated-10</v>
      </c>
      <c r="E293" s="15" t="s">
        <v>1139</v>
      </c>
      <c r="F293" s="15" t="s">
        <v>4960</v>
      </c>
      <c r="G293" s="14" t="s">
        <v>5153</v>
      </c>
      <c r="H293" s="15" t="s">
        <v>5154</v>
      </c>
    </row>
    <row r="294" spans="1:8" x14ac:dyDescent="0.25">
      <c r="A294" s="14" t="s">
        <v>1255</v>
      </c>
      <c r="B294" s="15" t="s">
        <v>1256</v>
      </c>
      <c r="C294" s="14">
        <f t="shared" si="12"/>
        <v>0</v>
      </c>
      <c r="D294" s="14" t="str">
        <f t="shared" si="13"/>
        <v>DRTB-10 Treatment Success Rate (TSR) for pre-XDR/XDR-TB: Percentage of bacteriologically confirmed pre-XDR/XDR-TB patients enrolled on treatment successfully treated-0</v>
      </c>
      <c r="E294" s="15" t="s">
        <v>821</v>
      </c>
      <c r="F294" s="15" t="s">
        <v>4479</v>
      </c>
      <c r="G294" s="14" t="s">
        <v>5155</v>
      </c>
      <c r="H294" s="15" t="s">
        <v>5156</v>
      </c>
    </row>
    <row r="295" spans="1:8" x14ac:dyDescent="0.25">
      <c r="A295" s="14" t="s">
        <v>1255</v>
      </c>
      <c r="B295" s="15" t="s">
        <v>1256</v>
      </c>
      <c r="C295" s="14">
        <f t="shared" si="12"/>
        <v>1</v>
      </c>
      <c r="D295" s="14" t="str">
        <f t="shared" si="13"/>
        <v>DRTB-10 Treatment Success Rate (TSR) for pre-XDR/XDR-TB: Percentage of bacteriologically confirmed pre-XDR/XDR-TB patients enrolled on treatment successfully treated-1</v>
      </c>
      <c r="E295" s="15" t="s">
        <v>1139</v>
      </c>
      <c r="F295" s="15" t="s">
        <v>4954</v>
      </c>
      <c r="G295" s="14" t="s">
        <v>5157</v>
      </c>
      <c r="H295" s="15" t="s">
        <v>5158</v>
      </c>
    </row>
    <row r="296" spans="1:8" x14ac:dyDescent="0.25">
      <c r="A296" s="14" t="s">
        <v>1255</v>
      </c>
      <c r="B296" s="15" t="s">
        <v>1256</v>
      </c>
      <c r="C296" s="14">
        <f t="shared" si="12"/>
        <v>2</v>
      </c>
      <c r="D296" s="14" t="str">
        <f t="shared" si="13"/>
        <v>DRTB-10 Treatment Success Rate (TSR) for pre-XDR/XDR-TB: Percentage of bacteriologically confirmed pre-XDR/XDR-TB patients enrolled on treatment successfully treated-2</v>
      </c>
      <c r="E296" s="15" t="s">
        <v>821</v>
      </c>
      <c r="F296" s="15" t="s">
        <v>4482</v>
      </c>
      <c r="G296" s="14" t="s">
        <v>5159</v>
      </c>
      <c r="H296" s="15" t="s">
        <v>5160</v>
      </c>
    </row>
    <row r="297" spans="1:8" x14ac:dyDescent="0.25">
      <c r="A297" s="14" t="s">
        <v>1255</v>
      </c>
      <c r="B297" s="15" t="s">
        <v>1256</v>
      </c>
      <c r="C297" s="14">
        <f t="shared" si="12"/>
        <v>3</v>
      </c>
      <c r="D297" s="14" t="str">
        <f t="shared" si="13"/>
        <v>DRTB-10 Treatment Success Rate (TSR) for pre-XDR/XDR-TB: Percentage of bacteriologically confirmed pre-XDR/XDR-TB patients enrolled on treatment successfully treated-3</v>
      </c>
      <c r="E297" s="15" t="s">
        <v>1168</v>
      </c>
      <c r="F297" s="15" t="s">
        <v>4492</v>
      </c>
      <c r="G297" s="14" t="s">
        <v>5161</v>
      </c>
      <c r="H297" s="15" t="s">
        <v>5162</v>
      </c>
    </row>
    <row r="298" spans="1:8" x14ac:dyDescent="0.25">
      <c r="A298" s="14" t="s">
        <v>1255</v>
      </c>
      <c r="B298" s="15" t="s">
        <v>1256</v>
      </c>
      <c r="C298" s="14">
        <f t="shared" si="12"/>
        <v>4</v>
      </c>
      <c r="D298" s="14" t="str">
        <f t="shared" si="13"/>
        <v>DRTB-10 Treatment Success Rate (TSR) for pre-XDR/XDR-TB: Percentage of bacteriologically confirmed pre-XDR/XDR-TB patients enrolled on treatment successfully treated-4</v>
      </c>
      <c r="E298" s="15" t="s">
        <v>1139</v>
      </c>
      <c r="F298" s="15" t="s">
        <v>4957</v>
      </c>
      <c r="G298" s="14" t="s">
        <v>5163</v>
      </c>
      <c r="H298" s="15" t="s">
        <v>5164</v>
      </c>
    </row>
    <row r="299" spans="1:8" x14ac:dyDescent="0.25">
      <c r="A299" s="14" t="s">
        <v>1255</v>
      </c>
      <c r="B299" s="15" t="s">
        <v>1256</v>
      </c>
      <c r="C299" s="14">
        <f t="shared" si="12"/>
        <v>5</v>
      </c>
      <c r="D299" s="14" t="str">
        <f t="shared" si="13"/>
        <v>DRTB-10 Treatment Success Rate (TSR) for pre-XDR/XDR-TB: Percentage of bacteriologically confirmed pre-XDR/XDR-TB patients enrolled on treatment successfully treated-5</v>
      </c>
      <c r="E299" s="15" t="s">
        <v>1168</v>
      </c>
      <c r="F299" s="15" t="s">
        <v>4501</v>
      </c>
      <c r="G299" s="14" t="s">
        <v>5165</v>
      </c>
      <c r="H299" s="15" t="s">
        <v>5166</v>
      </c>
    </row>
    <row r="300" spans="1:8" x14ac:dyDescent="0.25">
      <c r="A300" s="14" t="s">
        <v>1255</v>
      </c>
      <c r="B300" s="15" t="s">
        <v>1256</v>
      </c>
      <c r="C300" s="14">
        <f t="shared" si="12"/>
        <v>6</v>
      </c>
      <c r="D300" s="14" t="str">
        <f t="shared" si="13"/>
        <v>DRTB-10 Treatment Success Rate (TSR) for pre-XDR/XDR-TB: Percentage of bacteriologically confirmed pre-XDR/XDR-TB patients enrolled on treatment successfully treated-6</v>
      </c>
      <c r="E300" s="15" t="s">
        <v>1139</v>
      </c>
      <c r="F300" s="15" t="s">
        <v>4960</v>
      </c>
      <c r="G300" s="14" t="s">
        <v>5167</v>
      </c>
      <c r="H300" s="15" t="s">
        <v>5168</v>
      </c>
    </row>
    <row r="301" spans="1:8" x14ac:dyDescent="0.25">
      <c r="A301" s="14" t="s">
        <v>5169</v>
      </c>
      <c r="B301" s="15" t="s">
        <v>5170</v>
      </c>
      <c r="C301" s="14">
        <f t="shared" si="12"/>
        <v>0</v>
      </c>
      <c r="D301" s="14" t="str">
        <f t="shared" si="13"/>
        <v>VC-3⁽ᴹ⁾ Number of insecticide-treated nets distributed to targeted risk groups through continuous distribution-0</v>
      </c>
      <c r="E301" s="15" t="s">
        <v>4719</v>
      </c>
      <c r="F301" s="15" t="s">
        <v>4784</v>
      </c>
      <c r="G301" s="14" t="s">
        <v>5171</v>
      </c>
      <c r="H301" s="15" t="s">
        <v>5172</v>
      </c>
    </row>
    <row r="302" spans="1:8" x14ac:dyDescent="0.25">
      <c r="A302" s="14" t="s">
        <v>5169</v>
      </c>
      <c r="B302" s="15" t="s">
        <v>5170</v>
      </c>
      <c r="C302" s="14">
        <f t="shared" si="12"/>
        <v>1</v>
      </c>
      <c r="D302" s="14" t="str">
        <f t="shared" si="13"/>
        <v>VC-3⁽ᴹ⁾ Number of insecticide-treated nets distributed to targeted risk groups through continuous distribution-1</v>
      </c>
      <c r="E302" s="15" t="s">
        <v>4719</v>
      </c>
      <c r="F302" s="15" t="s">
        <v>5173</v>
      </c>
      <c r="G302" s="14" t="s">
        <v>5174</v>
      </c>
      <c r="H302" s="15" t="s">
        <v>5175</v>
      </c>
    </row>
    <row r="303" spans="1:8" x14ac:dyDescent="0.25">
      <c r="A303" s="14" t="s">
        <v>5169</v>
      </c>
      <c r="B303" s="15" t="s">
        <v>5170</v>
      </c>
      <c r="C303" s="14">
        <f t="shared" si="12"/>
        <v>2</v>
      </c>
      <c r="D303" s="14" t="str">
        <f t="shared" si="13"/>
        <v>VC-3⁽ᴹ⁾ Number of insecticide-treated nets distributed to targeted risk groups through continuous distribution-2</v>
      </c>
      <c r="E303" s="15" t="s">
        <v>4719</v>
      </c>
      <c r="F303" s="15" t="s">
        <v>5176</v>
      </c>
      <c r="G303" s="14" t="s">
        <v>5177</v>
      </c>
      <c r="H303" s="15" t="s">
        <v>5178</v>
      </c>
    </row>
    <row r="304" spans="1:8" x14ac:dyDescent="0.25">
      <c r="A304" s="14" t="s">
        <v>5169</v>
      </c>
      <c r="B304" s="15" t="s">
        <v>5170</v>
      </c>
      <c r="C304" s="14">
        <f t="shared" si="12"/>
        <v>3</v>
      </c>
      <c r="D304" s="14" t="str">
        <f t="shared" si="13"/>
        <v>VC-3⁽ᴹ⁾ Number of insecticide-treated nets distributed to targeted risk groups through continuous distribution-3</v>
      </c>
      <c r="E304" s="15" t="s">
        <v>4719</v>
      </c>
      <c r="F304" s="15" t="s">
        <v>5179</v>
      </c>
      <c r="G304" s="14" t="s">
        <v>5180</v>
      </c>
      <c r="H304" s="15" t="s">
        <v>5181</v>
      </c>
    </row>
    <row r="305" spans="1:8" x14ac:dyDescent="0.25">
      <c r="A305" s="14" t="s">
        <v>5182</v>
      </c>
      <c r="B305" s="15" t="s">
        <v>5183</v>
      </c>
      <c r="C305" s="14">
        <f t="shared" si="12"/>
        <v>0</v>
      </c>
      <c r="D305" s="14" t="str">
        <f t="shared" si="13"/>
        <v>CM-1a⁽ᴹ⁾ Proportion of suspected malaria cases that receive a parasitological test at public sector health facilities-0</v>
      </c>
      <c r="E305" s="15" t="s">
        <v>821</v>
      </c>
      <c r="F305" s="15" t="s">
        <v>5184</v>
      </c>
      <c r="G305" s="14" t="s">
        <v>5185</v>
      </c>
      <c r="H305" s="15" t="s">
        <v>5186</v>
      </c>
    </row>
    <row r="306" spans="1:8" x14ac:dyDescent="0.25">
      <c r="A306" s="14" t="s">
        <v>5182</v>
      </c>
      <c r="B306" s="15" t="s">
        <v>5183</v>
      </c>
      <c r="C306" s="14">
        <f t="shared" si="12"/>
        <v>1</v>
      </c>
      <c r="D306" s="14" t="str">
        <f t="shared" si="13"/>
        <v>CM-1a⁽ᴹ⁾ Proportion of suspected malaria cases that receive a parasitological test at public sector health facilities-1</v>
      </c>
      <c r="E306" s="15" t="s">
        <v>4617</v>
      </c>
      <c r="F306" s="15" t="s">
        <v>4618</v>
      </c>
      <c r="G306" s="14" t="s">
        <v>5187</v>
      </c>
      <c r="H306" s="15" t="s">
        <v>5188</v>
      </c>
    </row>
    <row r="307" spans="1:8" x14ac:dyDescent="0.25">
      <c r="A307" s="14" t="s">
        <v>5182</v>
      </c>
      <c r="B307" s="15" t="s">
        <v>5183</v>
      </c>
      <c r="C307" s="14">
        <f t="shared" si="12"/>
        <v>2</v>
      </c>
      <c r="D307" s="14" t="str">
        <f t="shared" si="13"/>
        <v>CM-1a⁽ᴹ⁾ Proportion of suspected malaria cases that receive a parasitological test at public sector health facilities-2</v>
      </c>
      <c r="E307" s="15" t="s">
        <v>4617</v>
      </c>
      <c r="F307" s="15" t="s">
        <v>4621</v>
      </c>
      <c r="G307" s="14" t="s">
        <v>5189</v>
      </c>
      <c r="H307" s="15" t="s">
        <v>5190</v>
      </c>
    </row>
    <row r="308" spans="1:8" x14ac:dyDescent="0.25">
      <c r="A308" s="14" t="s">
        <v>5182</v>
      </c>
      <c r="B308" s="15" t="s">
        <v>5183</v>
      </c>
      <c r="C308" s="14">
        <f t="shared" si="12"/>
        <v>3</v>
      </c>
      <c r="D308" s="14" t="str">
        <f t="shared" si="13"/>
        <v>CM-1a⁽ᴹ⁾ Proportion of suspected malaria cases that receive a parasitological test at public sector health facilities-3</v>
      </c>
      <c r="E308" s="15" t="s">
        <v>821</v>
      </c>
      <c r="F308" s="15" t="s">
        <v>4535</v>
      </c>
      <c r="G308" s="14" t="s">
        <v>5191</v>
      </c>
      <c r="H308" s="15" t="s">
        <v>5192</v>
      </c>
    </row>
    <row r="309" spans="1:8" x14ac:dyDescent="0.25">
      <c r="A309" s="14" t="s">
        <v>5193</v>
      </c>
      <c r="B309" s="15" t="s">
        <v>5194</v>
      </c>
      <c r="C309" s="14">
        <f t="shared" si="12"/>
        <v>0</v>
      </c>
      <c r="D309" s="14" t="str">
        <f t="shared" si="13"/>
        <v>CM-1b⁽ᴹ⁾ Proportion of suspected malaria cases that receive a parasitological test in the community-0</v>
      </c>
      <c r="E309" s="15" t="s">
        <v>821</v>
      </c>
      <c r="F309" s="15" t="s">
        <v>5184</v>
      </c>
      <c r="G309" s="14" t="s">
        <v>5195</v>
      </c>
      <c r="H309" s="15" t="s">
        <v>5196</v>
      </c>
    </row>
    <row r="310" spans="1:8" x14ac:dyDescent="0.25">
      <c r="A310" s="14" t="s">
        <v>5193</v>
      </c>
      <c r="B310" s="15" t="s">
        <v>5194</v>
      </c>
      <c r="C310" s="14">
        <f t="shared" si="12"/>
        <v>1</v>
      </c>
      <c r="D310" s="14" t="str">
        <f t="shared" si="13"/>
        <v>CM-1b⁽ᴹ⁾ Proportion of suspected malaria cases that receive a parasitological test in the community-1</v>
      </c>
      <c r="E310" s="15" t="s">
        <v>4617</v>
      </c>
      <c r="F310" s="15" t="s">
        <v>4618</v>
      </c>
      <c r="G310" s="14" t="s">
        <v>5197</v>
      </c>
      <c r="H310" s="15" t="s">
        <v>5198</v>
      </c>
    </row>
    <row r="311" spans="1:8" x14ac:dyDescent="0.25">
      <c r="A311" s="14" t="s">
        <v>5193</v>
      </c>
      <c r="B311" s="15" t="s">
        <v>5194</v>
      </c>
      <c r="C311" s="14">
        <f t="shared" si="12"/>
        <v>2</v>
      </c>
      <c r="D311" s="14" t="str">
        <f t="shared" si="13"/>
        <v>CM-1b⁽ᴹ⁾ Proportion of suspected malaria cases that receive a parasitological test in the community-2</v>
      </c>
      <c r="E311" s="15" t="s">
        <v>821</v>
      </c>
      <c r="F311" s="15" t="s">
        <v>4535</v>
      </c>
      <c r="G311" s="14" t="s">
        <v>5199</v>
      </c>
      <c r="H311" s="15" t="s">
        <v>5200</v>
      </c>
    </row>
    <row r="312" spans="1:8" x14ac:dyDescent="0.25">
      <c r="A312" s="14" t="s">
        <v>5193</v>
      </c>
      <c r="B312" s="15" t="s">
        <v>5194</v>
      </c>
      <c r="C312" s="14">
        <f t="shared" si="12"/>
        <v>3</v>
      </c>
      <c r="D312" s="14" t="str">
        <f t="shared" si="13"/>
        <v>CM-1b⁽ᴹ⁾ Proportion of suspected malaria cases that receive a parasitological test in the community-3</v>
      </c>
      <c r="E312" s="15" t="s">
        <v>4617</v>
      </c>
      <c r="F312" s="15" t="s">
        <v>4621</v>
      </c>
      <c r="G312" s="14" t="s">
        <v>5201</v>
      </c>
      <c r="H312" s="15" t="s">
        <v>5202</v>
      </c>
    </row>
    <row r="313" spans="1:8" x14ac:dyDescent="0.25">
      <c r="A313" s="14" t="s">
        <v>5203</v>
      </c>
      <c r="B313" s="15" t="s">
        <v>5204</v>
      </c>
      <c r="C313" s="14">
        <f t="shared" si="12"/>
        <v>0</v>
      </c>
      <c r="D313" s="14" t="str">
        <f t="shared" si="13"/>
        <v>CM-1c⁽ᴹ⁾ Proportion of suspected malaria cases that receive a parasitological test at private sector sites-0</v>
      </c>
      <c r="E313" s="15" t="s">
        <v>821</v>
      </c>
      <c r="F313" s="15" t="s">
        <v>5184</v>
      </c>
      <c r="G313" s="14" t="s">
        <v>5205</v>
      </c>
      <c r="H313" s="15" t="s">
        <v>5206</v>
      </c>
    </row>
    <row r="314" spans="1:8" x14ac:dyDescent="0.25">
      <c r="A314" s="14" t="s">
        <v>5203</v>
      </c>
      <c r="B314" s="15" t="s">
        <v>5204</v>
      </c>
      <c r="C314" s="14">
        <f t="shared" si="12"/>
        <v>1</v>
      </c>
      <c r="D314" s="14" t="str">
        <f t="shared" si="13"/>
        <v>CM-1c⁽ᴹ⁾ Proportion of suspected malaria cases that receive a parasitological test at private sector sites-1</v>
      </c>
      <c r="E314" s="15" t="s">
        <v>4617</v>
      </c>
      <c r="F314" s="15" t="s">
        <v>4618</v>
      </c>
      <c r="G314" s="14" t="s">
        <v>5207</v>
      </c>
      <c r="H314" s="15" t="s">
        <v>5208</v>
      </c>
    </row>
    <row r="315" spans="1:8" x14ac:dyDescent="0.25">
      <c r="A315" s="14" t="s">
        <v>5203</v>
      </c>
      <c r="B315" s="15" t="s">
        <v>5204</v>
      </c>
      <c r="C315" s="14">
        <f t="shared" si="12"/>
        <v>2</v>
      </c>
      <c r="D315" s="14" t="str">
        <f t="shared" si="13"/>
        <v>CM-1c⁽ᴹ⁾ Proportion of suspected malaria cases that receive a parasitological test at private sector sites-2</v>
      </c>
      <c r="E315" s="15" t="s">
        <v>821</v>
      </c>
      <c r="F315" s="15" t="s">
        <v>4535</v>
      </c>
      <c r="G315" s="14" t="s">
        <v>5209</v>
      </c>
      <c r="H315" s="15" t="s">
        <v>5210</v>
      </c>
    </row>
    <row r="316" spans="1:8" x14ac:dyDescent="0.25">
      <c r="A316" s="14" t="s">
        <v>5203</v>
      </c>
      <c r="B316" s="15" t="s">
        <v>5204</v>
      </c>
      <c r="C316" s="14">
        <f t="shared" si="12"/>
        <v>3</v>
      </c>
      <c r="D316" s="14" t="str">
        <f t="shared" si="13"/>
        <v>CM-1c⁽ᴹ⁾ Proportion of suspected malaria cases that receive a parasitological test at private sector sites-3</v>
      </c>
      <c r="E316" s="15" t="s">
        <v>4617</v>
      </c>
      <c r="F316" s="15" t="s">
        <v>4621</v>
      </c>
      <c r="G316" s="14" t="s">
        <v>5211</v>
      </c>
      <c r="H316" s="15" t="s">
        <v>5212</v>
      </c>
    </row>
    <row r="317" spans="1:8" x14ac:dyDescent="0.25">
      <c r="A317" s="14" t="s">
        <v>5213</v>
      </c>
      <c r="B317" s="15" t="s">
        <v>5214</v>
      </c>
      <c r="C317" s="14">
        <f t="shared" si="12"/>
        <v>0</v>
      </c>
      <c r="D317" s="14" t="str">
        <f t="shared" si="13"/>
        <v>CM-2a⁽ᴹ⁾ Proportion of confirmed malaria cases that received first-line antimalarial treatment at public sector health facilities-0</v>
      </c>
      <c r="E317" s="15" t="s">
        <v>821</v>
      </c>
      <c r="F317" s="15" t="s">
        <v>5184</v>
      </c>
      <c r="G317" s="14" t="s">
        <v>5215</v>
      </c>
      <c r="H317" s="15" t="s">
        <v>5216</v>
      </c>
    </row>
    <row r="318" spans="1:8" x14ac:dyDescent="0.25">
      <c r="A318" s="14" t="s">
        <v>5213</v>
      </c>
      <c r="B318" s="15" t="s">
        <v>5214</v>
      </c>
      <c r="C318" s="14">
        <f t="shared" si="12"/>
        <v>1</v>
      </c>
      <c r="D318" s="14" t="str">
        <f t="shared" si="13"/>
        <v>CM-2a⁽ᴹ⁾ Proportion of confirmed malaria cases that received first-line antimalarial treatment at public sector health facilities-1</v>
      </c>
      <c r="E318" s="15" t="s">
        <v>821</v>
      </c>
      <c r="F318" s="15" t="s">
        <v>4535</v>
      </c>
      <c r="G318" s="14" t="s">
        <v>5217</v>
      </c>
      <c r="H318" s="15" t="s">
        <v>5218</v>
      </c>
    </row>
    <row r="319" spans="1:8" x14ac:dyDescent="0.25">
      <c r="A319" s="14" t="s">
        <v>5219</v>
      </c>
      <c r="B319" s="15" t="s">
        <v>5220</v>
      </c>
      <c r="C319" s="14">
        <f t="shared" si="12"/>
        <v>0</v>
      </c>
      <c r="D319" s="14" t="str">
        <f t="shared" si="13"/>
        <v>CM-2b⁽ᴹ⁾ Proportion of confirmed malaria cases that received first-line antimalarial treatment in the community-0</v>
      </c>
      <c r="E319" s="15" t="s">
        <v>821</v>
      </c>
      <c r="F319" s="15" t="s">
        <v>5184</v>
      </c>
      <c r="G319" s="14" t="s">
        <v>5221</v>
      </c>
      <c r="H319" s="15" t="s">
        <v>5222</v>
      </c>
    </row>
    <row r="320" spans="1:8" x14ac:dyDescent="0.25">
      <c r="A320" s="14" t="s">
        <v>5219</v>
      </c>
      <c r="B320" s="15" t="s">
        <v>5220</v>
      </c>
      <c r="C320" s="14">
        <f t="shared" si="12"/>
        <v>1</v>
      </c>
      <c r="D320" s="14" t="str">
        <f t="shared" si="13"/>
        <v>CM-2b⁽ᴹ⁾ Proportion of confirmed malaria cases that received first-line antimalarial treatment in the community-1</v>
      </c>
      <c r="E320" s="15" t="s">
        <v>821</v>
      </c>
      <c r="F320" s="15" t="s">
        <v>4535</v>
      </c>
      <c r="G320" s="14" t="s">
        <v>5223</v>
      </c>
      <c r="H320" s="15" t="s">
        <v>5224</v>
      </c>
    </row>
    <row r="321" spans="1:8" x14ac:dyDescent="0.25">
      <c r="A321" s="14" t="s">
        <v>5225</v>
      </c>
      <c r="B321" s="15" t="s">
        <v>5226</v>
      </c>
      <c r="C321" s="14">
        <f t="shared" si="12"/>
        <v>0</v>
      </c>
      <c r="D321" s="14" t="str">
        <f t="shared" si="13"/>
        <v>CM-2c⁽ᴹ⁾ Proportion of confirmed malaria cases that received first-line antimalarial treatment at private sector sites-0</v>
      </c>
      <c r="E321" s="15" t="s">
        <v>821</v>
      </c>
      <c r="F321" s="15" t="s">
        <v>5184</v>
      </c>
      <c r="G321" s="14" t="s">
        <v>5227</v>
      </c>
      <c r="H321" s="15" t="s">
        <v>5228</v>
      </c>
    </row>
    <row r="322" spans="1:8" x14ac:dyDescent="0.25">
      <c r="A322" s="14" t="s">
        <v>5225</v>
      </c>
      <c r="B322" s="15" t="s">
        <v>5226</v>
      </c>
      <c r="C322" s="14">
        <f t="shared" si="12"/>
        <v>1</v>
      </c>
      <c r="D322" s="14" t="str">
        <f t="shared" si="13"/>
        <v>CM-2c⁽ᴹ⁾ Proportion of confirmed malaria cases that received first-line antimalarial treatment at private sector sites-1</v>
      </c>
      <c r="E322" s="15" t="s">
        <v>821</v>
      </c>
      <c r="F322" s="15" t="s">
        <v>4535</v>
      </c>
      <c r="G322" s="14" t="s">
        <v>5229</v>
      </c>
      <c r="H322" s="15" t="s">
        <v>5230</v>
      </c>
    </row>
    <row r="323" spans="1:8" x14ac:dyDescent="0.25">
      <c r="A323" s="14" t="s">
        <v>5231</v>
      </c>
      <c r="B323" s="15" t="s">
        <v>5232</v>
      </c>
      <c r="C323" s="14">
        <f t="shared" si="12"/>
        <v>0</v>
      </c>
      <c r="D323" s="14" t="str">
        <f t="shared" si="13"/>
        <v>CM-5⁽ᴹ⁾ Percentage of confirmed cases fully investigated and classified as per national guidance-0</v>
      </c>
      <c r="E323" s="15" t="s">
        <v>4638</v>
      </c>
      <c r="F323" s="15" t="s">
        <v>4639</v>
      </c>
      <c r="G323" s="14" t="s">
        <v>5233</v>
      </c>
      <c r="H323" s="15" t="s">
        <v>5234</v>
      </c>
    </row>
    <row r="324" spans="1:8" x14ac:dyDescent="0.25">
      <c r="A324" s="14" t="s">
        <v>5231</v>
      </c>
      <c r="B324" s="15" t="s">
        <v>5232</v>
      </c>
      <c r="C324" s="14">
        <f t="shared" si="12"/>
        <v>1</v>
      </c>
      <c r="D324" s="14" t="str">
        <f t="shared" si="13"/>
        <v>CM-5⁽ᴹ⁾ Percentage of confirmed cases fully investigated and classified as per national guidance-1</v>
      </c>
      <c r="E324" s="15" t="s">
        <v>4638</v>
      </c>
      <c r="F324" s="15" t="s">
        <v>4642</v>
      </c>
      <c r="G324" s="14" t="s">
        <v>5235</v>
      </c>
      <c r="H324" s="15" t="s">
        <v>5236</v>
      </c>
    </row>
    <row r="325" spans="1:8" x14ac:dyDescent="0.25">
      <c r="A325" s="14" t="s">
        <v>5237</v>
      </c>
      <c r="B325" s="15" t="s">
        <v>5238</v>
      </c>
      <c r="C325" s="14">
        <f t="shared" si="12"/>
        <v>0</v>
      </c>
      <c r="D325" s="14" t="str">
        <f t="shared" si="13"/>
        <v>CM-7 Percentage of districts achieving national target for the proportion of suspected malaria patients who receive a parasitological test-0</v>
      </c>
      <c r="E325" s="15" t="s">
        <v>997</v>
      </c>
      <c r="F325" s="15" t="s">
        <v>5239</v>
      </c>
      <c r="G325" s="14" t="s">
        <v>5240</v>
      </c>
      <c r="H325" s="15" t="s">
        <v>5241</v>
      </c>
    </row>
    <row r="326" spans="1:8" x14ac:dyDescent="0.25">
      <c r="A326" s="14" t="s">
        <v>5237</v>
      </c>
      <c r="B326" s="15" t="s">
        <v>5238</v>
      </c>
      <c r="C326" s="14">
        <f t="shared" si="12"/>
        <v>1</v>
      </c>
      <c r="D326" s="14" t="str">
        <f t="shared" si="13"/>
        <v>CM-7 Percentage of districts achieving national target for the proportion of suspected malaria patients who receive a parasitological test-1</v>
      </c>
      <c r="E326" s="15" t="s">
        <v>997</v>
      </c>
      <c r="F326" s="15" t="s">
        <v>4816</v>
      </c>
      <c r="G326" s="14" t="s">
        <v>5242</v>
      </c>
      <c r="H326" s="15" t="s">
        <v>5243</v>
      </c>
    </row>
    <row r="327" spans="1:8" x14ac:dyDescent="0.25">
      <c r="A327" s="14" t="s">
        <v>5237</v>
      </c>
      <c r="B327" s="15" t="s">
        <v>5238</v>
      </c>
      <c r="C327" s="14">
        <f t="shared" si="12"/>
        <v>2</v>
      </c>
      <c r="D327" s="14" t="str">
        <f t="shared" si="13"/>
        <v>CM-7 Percentage of districts achieving national target for the proportion of suspected malaria patients who receive a parasitological test-2</v>
      </c>
      <c r="E327" s="15" t="s">
        <v>997</v>
      </c>
      <c r="F327" s="15" t="s">
        <v>4819</v>
      </c>
      <c r="G327" s="14" t="s">
        <v>5244</v>
      </c>
      <c r="H327" s="15" t="s">
        <v>5245</v>
      </c>
    </row>
    <row r="328" spans="1:8" x14ac:dyDescent="0.25">
      <c r="A328" s="14" t="s">
        <v>5246</v>
      </c>
      <c r="B328" s="15" t="s">
        <v>5247</v>
      </c>
      <c r="C328" s="14">
        <f t="shared" si="12"/>
        <v>0</v>
      </c>
      <c r="D328" s="14" t="str">
        <f t="shared" si="13"/>
        <v>CM-8 Percentage of districts achieving national target for the proportion of confirmed malaria patients who received first-line antimalarial treatment-0</v>
      </c>
      <c r="E328" s="15" t="s">
        <v>997</v>
      </c>
      <c r="F328" s="15" t="s">
        <v>5239</v>
      </c>
      <c r="G328" s="14" t="s">
        <v>5248</v>
      </c>
      <c r="H328" s="15" t="s">
        <v>5249</v>
      </c>
    </row>
    <row r="329" spans="1:8" x14ac:dyDescent="0.25">
      <c r="A329" s="14" t="s">
        <v>5246</v>
      </c>
      <c r="B329" s="15" t="s">
        <v>5247</v>
      </c>
      <c r="C329" s="14">
        <f t="shared" si="12"/>
        <v>1</v>
      </c>
      <c r="D329" s="14" t="str">
        <f t="shared" si="13"/>
        <v>CM-8 Percentage of districts achieving national target for the proportion of confirmed malaria patients who received first-line antimalarial treatment-1</v>
      </c>
      <c r="E329" s="15" t="s">
        <v>997</v>
      </c>
      <c r="F329" s="15" t="s">
        <v>4816</v>
      </c>
      <c r="G329" s="14" t="s">
        <v>5250</v>
      </c>
      <c r="H329" s="15" t="s">
        <v>5251</v>
      </c>
    </row>
    <row r="330" spans="1:8" x14ac:dyDescent="0.25">
      <c r="A330" s="14" t="s">
        <v>5246</v>
      </c>
      <c r="B330" s="15" t="s">
        <v>5247</v>
      </c>
      <c r="C330" s="14">
        <f t="shared" si="12"/>
        <v>2</v>
      </c>
      <c r="D330" s="14" t="str">
        <f t="shared" si="13"/>
        <v>CM-8 Percentage of districts achieving national target for the proportion of confirmed malaria patients who received first-line antimalarial treatment-2</v>
      </c>
      <c r="E330" s="15" t="s">
        <v>997</v>
      </c>
      <c r="F330" s="15" t="s">
        <v>4819</v>
      </c>
      <c r="G330" s="14" t="s">
        <v>5252</v>
      </c>
      <c r="H330" s="15" t="s">
        <v>5253</v>
      </c>
    </row>
    <row r="331" spans="1:8" x14ac:dyDescent="0.25">
      <c r="A331" s="14" t="s">
        <v>1345</v>
      </c>
      <c r="B331" s="15" t="s">
        <v>1346</v>
      </c>
      <c r="C331" s="14">
        <f t="shared" si="12"/>
        <v>0</v>
      </c>
      <c r="D331" s="14" t="str">
        <f t="shared" si="13"/>
        <v>RSSH/PP HRH-1 Vacancy rate: Ratio of unfilled posts to total number of posts-0</v>
      </c>
      <c r="E331" s="15" t="s">
        <v>1347</v>
      </c>
      <c r="F331" s="15" t="s">
        <v>5254</v>
      </c>
      <c r="G331" s="14" t="s">
        <v>5255</v>
      </c>
      <c r="H331" s="15" t="s">
        <v>5256</v>
      </c>
    </row>
    <row r="332" spans="1:8" x14ac:dyDescent="0.25">
      <c r="A332" s="14" t="s">
        <v>1345</v>
      </c>
      <c r="B332" s="15" t="s">
        <v>1346</v>
      </c>
      <c r="C332" s="14">
        <f t="shared" si="12"/>
        <v>1</v>
      </c>
      <c r="D332" s="14" t="str">
        <f t="shared" si="13"/>
        <v>RSSH/PP HRH-1 Vacancy rate: Ratio of unfilled posts to total number of posts-1</v>
      </c>
      <c r="E332" s="15" t="s">
        <v>1347</v>
      </c>
      <c r="F332" s="15" t="s">
        <v>5257</v>
      </c>
      <c r="G332" s="14" t="s">
        <v>5258</v>
      </c>
      <c r="H332" s="15" t="s">
        <v>5259</v>
      </c>
    </row>
    <row r="333" spans="1:8" x14ac:dyDescent="0.25">
      <c r="A333" s="14" t="s">
        <v>1345</v>
      </c>
      <c r="B333" s="15" t="s">
        <v>1346</v>
      </c>
      <c r="C333" s="14">
        <f t="shared" si="12"/>
        <v>2</v>
      </c>
      <c r="D333" s="14" t="str">
        <f t="shared" si="13"/>
        <v>RSSH/PP HRH-1 Vacancy rate: Ratio of unfilled posts to total number of posts-2</v>
      </c>
      <c r="E333" s="15" t="s">
        <v>1347</v>
      </c>
      <c r="F333" s="15" t="s">
        <v>5260</v>
      </c>
      <c r="G333" s="14" t="s">
        <v>5261</v>
      </c>
      <c r="H333" s="15" t="s">
        <v>5262</v>
      </c>
    </row>
    <row r="334" spans="1:8" x14ac:dyDescent="0.25">
      <c r="A334" s="14" t="s">
        <v>1345</v>
      </c>
      <c r="B334" s="15" t="s">
        <v>1346</v>
      </c>
      <c r="C334" s="14">
        <f t="shared" si="12"/>
        <v>3</v>
      </c>
      <c r="D334" s="14" t="str">
        <f t="shared" si="13"/>
        <v>RSSH/PP HRH-1 Vacancy rate: Ratio of unfilled posts to total number of posts-3</v>
      </c>
      <c r="E334" s="15" t="s">
        <v>1347</v>
      </c>
      <c r="F334" s="15" t="s">
        <v>5263</v>
      </c>
      <c r="G334" s="14" t="s">
        <v>5264</v>
      </c>
      <c r="H334" s="15" t="s">
        <v>5265</v>
      </c>
    </row>
    <row r="335" spans="1:8" x14ac:dyDescent="0.25">
      <c r="A335" s="14" t="s">
        <v>1345</v>
      </c>
      <c r="B335" s="15" t="s">
        <v>1346</v>
      </c>
      <c r="C335" s="14">
        <f t="shared" si="12"/>
        <v>4</v>
      </c>
      <c r="D335" s="14" t="str">
        <f t="shared" si="13"/>
        <v>RSSH/PP HRH-1 Vacancy rate: Ratio of unfilled posts to total number of posts-4</v>
      </c>
      <c r="E335" s="15" t="s">
        <v>1347</v>
      </c>
      <c r="F335" s="15" t="s">
        <v>5266</v>
      </c>
      <c r="G335" s="14" t="s">
        <v>5267</v>
      </c>
      <c r="H335" s="15" t="s">
        <v>5268</v>
      </c>
    </row>
    <row r="336" spans="1:8" x14ac:dyDescent="0.25">
      <c r="A336" s="14" t="s">
        <v>1349</v>
      </c>
      <c r="B336" s="15" t="s">
        <v>1350</v>
      </c>
      <c r="C336" s="14">
        <f t="shared" si="12"/>
        <v>0</v>
      </c>
      <c r="D336" s="14" t="str">
        <f t="shared" si="13"/>
        <v>RSSH/PP HRH-2 Density of active health workers per 10,000 population-0</v>
      </c>
      <c r="E336" s="15" t="s">
        <v>1347</v>
      </c>
      <c r="F336" s="15" t="s">
        <v>5254</v>
      </c>
      <c r="G336" s="14" t="s">
        <v>5269</v>
      </c>
      <c r="H336" s="15" t="s">
        <v>5270</v>
      </c>
    </row>
    <row r="337" spans="1:8" x14ac:dyDescent="0.25">
      <c r="A337" s="14" t="s">
        <v>1349</v>
      </c>
      <c r="B337" s="15" t="s">
        <v>1350</v>
      </c>
      <c r="C337" s="14">
        <f t="shared" si="12"/>
        <v>1</v>
      </c>
      <c r="D337" s="14" t="str">
        <f t="shared" si="13"/>
        <v>RSSH/PP HRH-2 Density of active health workers per 10,000 population-1</v>
      </c>
      <c r="E337" s="15" t="s">
        <v>1347</v>
      </c>
      <c r="F337" s="15" t="s">
        <v>5257</v>
      </c>
      <c r="G337" s="14" t="s">
        <v>5271</v>
      </c>
      <c r="H337" s="15" t="s">
        <v>5272</v>
      </c>
    </row>
    <row r="338" spans="1:8" x14ac:dyDescent="0.25">
      <c r="A338" s="14" t="s">
        <v>1349</v>
      </c>
      <c r="B338" s="15" t="s">
        <v>1350</v>
      </c>
      <c r="C338" s="14">
        <f t="shared" si="12"/>
        <v>2</v>
      </c>
      <c r="D338" s="14" t="str">
        <f t="shared" si="13"/>
        <v>RSSH/PP HRH-2 Density of active health workers per 10,000 population-2</v>
      </c>
      <c r="E338" s="15" t="s">
        <v>1347</v>
      </c>
      <c r="F338" s="15" t="s">
        <v>5260</v>
      </c>
      <c r="G338" s="14" t="s">
        <v>5273</v>
      </c>
      <c r="H338" s="15" t="s">
        <v>5274</v>
      </c>
    </row>
    <row r="339" spans="1:8" x14ac:dyDescent="0.25">
      <c r="A339" s="14" t="s">
        <v>1349</v>
      </c>
      <c r="B339" s="15" t="s">
        <v>1350</v>
      </c>
      <c r="C339" s="14">
        <f t="shared" si="12"/>
        <v>3</v>
      </c>
      <c r="D339" s="14" t="str">
        <f t="shared" si="13"/>
        <v>RSSH/PP HRH-2 Density of active health workers per 10,000 population-3</v>
      </c>
      <c r="E339" s="15" t="s">
        <v>1347</v>
      </c>
      <c r="F339" s="15" t="s">
        <v>5263</v>
      </c>
      <c r="G339" s="14" t="s">
        <v>5275</v>
      </c>
      <c r="H339" s="15" t="s">
        <v>5276</v>
      </c>
    </row>
    <row r="340" spans="1:8" x14ac:dyDescent="0.25">
      <c r="A340" s="14" t="s">
        <v>1349</v>
      </c>
      <c r="B340" s="15" t="s">
        <v>1350</v>
      </c>
      <c r="C340" s="14">
        <f t="shared" si="12"/>
        <v>4</v>
      </c>
      <c r="D340" s="14" t="str">
        <f t="shared" si="13"/>
        <v>RSSH/PP HRH-2 Density of active health workers per 10,000 population-4</v>
      </c>
      <c r="E340" s="15" t="s">
        <v>1347</v>
      </c>
      <c r="F340" s="15" t="s">
        <v>5266</v>
      </c>
      <c r="G340" s="14" t="s">
        <v>5277</v>
      </c>
      <c r="H340" s="15" t="s">
        <v>5278</v>
      </c>
    </row>
    <row r="341" spans="1:8" x14ac:dyDescent="0.25">
      <c r="A341" s="14" t="s">
        <v>1352</v>
      </c>
      <c r="B341" s="15" t="s">
        <v>1353</v>
      </c>
      <c r="C341" s="14">
        <f t="shared" si="12"/>
        <v>0</v>
      </c>
      <c r="D341" s="14" t="str">
        <f t="shared" si="13"/>
        <v>RSSH/PP HRH-3 Percentage of community health workers remunerated on time and in-full (as per their contract) every month during the reporting period-0</v>
      </c>
      <c r="E341" s="15" t="s">
        <v>1168</v>
      </c>
      <c r="F341" s="15" t="s">
        <v>4554</v>
      </c>
      <c r="G341" s="14" t="s">
        <v>5279</v>
      </c>
      <c r="H341" s="15" t="s">
        <v>5280</v>
      </c>
    </row>
    <row r="342" spans="1:8" x14ac:dyDescent="0.25">
      <c r="A342" s="14" t="s">
        <v>1352</v>
      </c>
      <c r="B342" s="15" t="s">
        <v>1353</v>
      </c>
      <c r="C342" s="14">
        <f t="shared" si="12"/>
        <v>1</v>
      </c>
      <c r="D342" s="14" t="str">
        <f t="shared" si="13"/>
        <v>RSSH/PP HRH-3 Percentage of community health workers remunerated on time and in-full (as per their contract) every month during the reporting period-1</v>
      </c>
      <c r="E342" s="15" t="s">
        <v>1168</v>
      </c>
      <c r="F342" s="15" t="s">
        <v>4492</v>
      </c>
      <c r="G342" s="14" t="s">
        <v>5281</v>
      </c>
      <c r="H342" s="15" t="s">
        <v>5282</v>
      </c>
    </row>
    <row r="343" spans="1:8" x14ac:dyDescent="0.25">
      <c r="A343" s="14" t="s">
        <v>1352</v>
      </c>
      <c r="B343" s="15" t="s">
        <v>1353</v>
      </c>
      <c r="C343" s="14">
        <f t="shared" si="12"/>
        <v>2</v>
      </c>
      <c r="D343" s="14" t="str">
        <f t="shared" si="13"/>
        <v>RSSH/PP HRH-3 Percentage of community health workers remunerated on time and in-full (as per their contract) every month during the reporting period-2</v>
      </c>
      <c r="E343" s="15" t="s">
        <v>5283</v>
      </c>
      <c r="F343" s="15" t="s">
        <v>5284</v>
      </c>
      <c r="G343" s="14" t="s">
        <v>5285</v>
      </c>
      <c r="H343" s="15" t="s">
        <v>5286</v>
      </c>
    </row>
    <row r="344" spans="1:8" x14ac:dyDescent="0.25">
      <c r="A344" s="14" t="s">
        <v>1352</v>
      </c>
      <c r="B344" s="15" t="s">
        <v>1353</v>
      </c>
      <c r="C344" s="14">
        <f t="shared" si="12"/>
        <v>3</v>
      </c>
      <c r="D344" s="14" t="str">
        <f t="shared" si="13"/>
        <v>RSSH/PP HRH-3 Percentage of community health workers remunerated on time and in-full (as per their contract) every month during the reporting period-3</v>
      </c>
      <c r="E344" s="15" t="s">
        <v>5283</v>
      </c>
      <c r="F344" s="15" t="s">
        <v>5287</v>
      </c>
      <c r="G344" s="14" t="s">
        <v>5288</v>
      </c>
      <c r="H344" s="15" t="s">
        <v>5289</v>
      </c>
    </row>
    <row r="345" spans="1:8" x14ac:dyDescent="0.25">
      <c r="A345" s="14" t="s">
        <v>1352</v>
      </c>
      <c r="B345" s="15" t="s">
        <v>1353</v>
      </c>
      <c r="C345" s="14">
        <f t="shared" ref="C345:C408" si="14">IF(B345=B344,C344+1,0)</f>
        <v>4</v>
      </c>
      <c r="D345" s="14" t="str">
        <f t="shared" ref="D345:D408" si="15">B345&amp;"-"&amp;C345</f>
        <v>RSSH/PP HRH-3 Percentage of community health workers remunerated on time and in-full (as per their contract) every month during the reporting period-4</v>
      </c>
      <c r="E345" s="15" t="s">
        <v>1168</v>
      </c>
      <c r="F345" s="15" t="s">
        <v>4501</v>
      </c>
      <c r="G345" s="14" t="s">
        <v>5290</v>
      </c>
      <c r="H345" s="15" t="s">
        <v>5291</v>
      </c>
    </row>
    <row r="346" spans="1:8" x14ac:dyDescent="0.25">
      <c r="A346" s="14" t="s">
        <v>1315</v>
      </c>
      <c r="B346" s="15" t="s">
        <v>1316</v>
      </c>
      <c r="C346" s="14">
        <f t="shared" si="14"/>
        <v>0</v>
      </c>
      <c r="D346" s="14" t="str">
        <f t="shared" si="15"/>
        <v>HFS-2 Percentage of the government budget allocated to health-0</v>
      </c>
      <c r="E346" s="15" t="s">
        <v>5292</v>
      </c>
      <c r="F346" s="15" t="s">
        <v>5293</v>
      </c>
      <c r="G346" s="14" t="s">
        <v>5294</v>
      </c>
      <c r="H346" s="15" t="s">
        <v>5295</v>
      </c>
    </row>
    <row r="347" spans="1:8" x14ac:dyDescent="0.25">
      <c r="A347" s="14" t="s">
        <v>1315</v>
      </c>
      <c r="B347" s="15" t="s">
        <v>1316</v>
      </c>
      <c r="C347" s="14">
        <f t="shared" si="14"/>
        <v>1</v>
      </c>
      <c r="D347" s="14" t="str">
        <f t="shared" si="15"/>
        <v>HFS-2 Percentage of the government budget allocated to health-1</v>
      </c>
      <c r="E347" s="15" t="s">
        <v>5292</v>
      </c>
      <c r="F347" s="15" t="s">
        <v>5296</v>
      </c>
      <c r="G347" s="14" t="s">
        <v>5297</v>
      </c>
      <c r="H347" s="15" t="s">
        <v>5298</v>
      </c>
    </row>
    <row r="348" spans="1:8" x14ac:dyDescent="0.25">
      <c r="A348" s="14" t="s">
        <v>1315</v>
      </c>
      <c r="B348" s="15" t="s">
        <v>1316</v>
      </c>
      <c r="C348" s="14">
        <f t="shared" si="14"/>
        <v>2</v>
      </c>
      <c r="D348" s="14" t="str">
        <f t="shared" si="15"/>
        <v>HFS-2 Percentage of the government budget allocated to health-2</v>
      </c>
      <c r="E348" s="15" t="s">
        <v>5299</v>
      </c>
      <c r="F348" s="15" t="s">
        <v>5300</v>
      </c>
      <c r="G348" s="14" t="s">
        <v>5301</v>
      </c>
      <c r="H348" s="15" t="s">
        <v>5302</v>
      </c>
    </row>
    <row r="349" spans="1:8" x14ac:dyDescent="0.25">
      <c r="A349" s="14" t="s">
        <v>1315</v>
      </c>
      <c r="B349" s="15" t="s">
        <v>1316</v>
      </c>
      <c r="C349" s="14">
        <f t="shared" si="14"/>
        <v>3</v>
      </c>
      <c r="D349" s="14" t="str">
        <f t="shared" si="15"/>
        <v>HFS-2 Percentage of the government budget allocated to health-3</v>
      </c>
      <c r="E349" s="15" t="s">
        <v>5299</v>
      </c>
      <c r="F349" s="15" t="s">
        <v>5303</v>
      </c>
      <c r="G349" s="14" t="s">
        <v>5304</v>
      </c>
      <c r="H349" s="15" t="s">
        <v>5305</v>
      </c>
    </row>
    <row r="350" spans="1:8" x14ac:dyDescent="0.25">
      <c r="A350" s="14" t="s">
        <v>1319</v>
      </c>
      <c r="B350" s="15" t="s">
        <v>1320</v>
      </c>
      <c r="C350" s="14">
        <f t="shared" si="14"/>
        <v>0</v>
      </c>
      <c r="D350" s="14" t="str">
        <f t="shared" si="15"/>
        <v>HFS-3 Percentage execution of the government budget allocated to health-0</v>
      </c>
      <c r="E350" s="15" t="s">
        <v>5292</v>
      </c>
      <c r="F350" s="15" t="s">
        <v>5293</v>
      </c>
      <c r="G350" s="14" t="s">
        <v>5306</v>
      </c>
      <c r="H350" s="15" t="s">
        <v>5307</v>
      </c>
    </row>
    <row r="351" spans="1:8" x14ac:dyDescent="0.25">
      <c r="A351" s="14" t="s">
        <v>1319</v>
      </c>
      <c r="B351" s="15" t="s">
        <v>1320</v>
      </c>
      <c r="C351" s="14">
        <f t="shared" si="14"/>
        <v>1</v>
      </c>
      <c r="D351" s="14" t="str">
        <f t="shared" si="15"/>
        <v>HFS-3 Percentage execution of the government budget allocated to health-1</v>
      </c>
      <c r="E351" s="15" t="s">
        <v>5292</v>
      </c>
      <c r="F351" s="15" t="s">
        <v>5296</v>
      </c>
      <c r="G351" s="14" t="s">
        <v>5308</v>
      </c>
      <c r="H351" s="15" t="s">
        <v>5309</v>
      </c>
    </row>
    <row r="352" spans="1:8" x14ac:dyDescent="0.25">
      <c r="A352" s="14" t="s">
        <v>1319</v>
      </c>
      <c r="B352" s="15" t="s">
        <v>1320</v>
      </c>
      <c r="C352" s="14">
        <f t="shared" si="14"/>
        <v>2</v>
      </c>
      <c r="D352" s="14" t="str">
        <f t="shared" si="15"/>
        <v>HFS-3 Percentage execution of the government budget allocated to health-2</v>
      </c>
      <c r="E352" s="15" t="s">
        <v>5299</v>
      </c>
      <c r="F352" s="15" t="s">
        <v>5300</v>
      </c>
      <c r="G352" s="14" t="s">
        <v>5310</v>
      </c>
      <c r="H352" s="15" t="s">
        <v>5311</v>
      </c>
    </row>
    <row r="353" spans="1:8" x14ac:dyDescent="0.25">
      <c r="A353" s="14" t="s">
        <v>1319</v>
      </c>
      <c r="B353" s="15" t="s">
        <v>1320</v>
      </c>
      <c r="C353" s="14">
        <f t="shared" si="14"/>
        <v>3</v>
      </c>
      <c r="D353" s="14" t="str">
        <f t="shared" si="15"/>
        <v>HFS-3 Percentage execution of the government budget allocated to health-3</v>
      </c>
      <c r="E353" s="15" t="s">
        <v>5299</v>
      </c>
      <c r="F353" s="15" t="s">
        <v>5303</v>
      </c>
      <c r="G353" s="14" t="s">
        <v>5312</v>
      </c>
      <c r="H353" s="15" t="s">
        <v>5313</v>
      </c>
    </row>
    <row r="354" spans="1:8" x14ac:dyDescent="0.25">
      <c r="A354" s="14" t="s">
        <v>1322</v>
      </c>
      <c r="B354" s="15" t="s">
        <v>1323</v>
      </c>
      <c r="C354" s="14">
        <f t="shared" si="14"/>
        <v>0</v>
      </c>
      <c r="D354" s="14" t="str">
        <f t="shared" si="15"/>
        <v>HFS-4 Percentage of population covered by financial risk protection schemes-0</v>
      </c>
      <c r="E354" s="15" t="s">
        <v>4719</v>
      </c>
      <c r="F354" s="15" t="s">
        <v>5314</v>
      </c>
      <c r="G354" s="14" t="s">
        <v>5315</v>
      </c>
      <c r="H354" s="15" t="s">
        <v>5316</v>
      </c>
    </row>
    <row r="355" spans="1:8" x14ac:dyDescent="0.25">
      <c r="A355" s="14" t="s">
        <v>1322</v>
      </c>
      <c r="B355" s="15" t="s">
        <v>1323</v>
      </c>
      <c r="C355" s="14">
        <f t="shared" si="14"/>
        <v>1</v>
      </c>
      <c r="D355" s="14" t="str">
        <f t="shared" si="15"/>
        <v>HFS-4 Percentage of population covered by financial risk protection schemes-1</v>
      </c>
      <c r="E355" s="15" t="s">
        <v>5317</v>
      </c>
      <c r="F355" s="15" t="s">
        <v>5318</v>
      </c>
      <c r="G355" s="14" t="s">
        <v>5319</v>
      </c>
      <c r="H355" s="15" t="s">
        <v>5320</v>
      </c>
    </row>
    <row r="356" spans="1:8" x14ac:dyDescent="0.25">
      <c r="A356" s="14" t="s">
        <v>1322</v>
      </c>
      <c r="B356" s="15" t="s">
        <v>1323</v>
      </c>
      <c r="C356" s="14">
        <f t="shared" si="14"/>
        <v>2</v>
      </c>
      <c r="D356" s="14" t="str">
        <f t="shared" si="15"/>
        <v>HFS-4 Percentage of population covered by financial risk protection schemes-2</v>
      </c>
      <c r="E356" s="15" t="s">
        <v>5317</v>
      </c>
      <c r="F356" s="15" t="s">
        <v>5321</v>
      </c>
      <c r="G356" s="14" t="s">
        <v>5322</v>
      </c>
      <c r="H356" s="15" t="s">
        <v>5323</v>
      </c>
    </row>
    <row r="357" spans="1:8" x14ac:dyDescent="0.25">
      <c r="A357" s="14" t="s">
        <v>1322</v>
      </c>
      <c r="B357" s="15" t="s">
        <v>1323</v>
      </c>
      <c r="C357" s="14">
        <f t="shared" si="14"/>
        <v>3</v>
      </c>
      <c r="D357" s="14" t="str">
        <f t="shared" si="15"/>
        <v>HFS-4 Percentage of population covered by financial risk protection schemes-3</v>
      </c>
      <c r="E357" s="15" t="s">
        <v>5317</v>
      </c>
      <c r="F357" s="15" t="s">
        <v>5324</v>
      </c>
      <c r="G357" s="14" t="s">
        <v>5325</v>
      </c>
      <c r="H357" s="15" t="s">
        <v>5326</v>
      </c>
    </row>
    <row r="358" spans="1:8" x14ac:dyDescent="0.25">
      <c r="A358" s="14" t="s">
        <v>1326</v>
      </c>
      <c r="B358" s="15" t="s">
        <v>1327</v>
      </c>
      <c r="C358" s="14">
        <f t="shared" si="14"/>
        <v>0</v>
      </c>
      <c r="D358" s="14" t="str">
        <f t="shared" si="15"/>
        <v>HFS-5 Percentage of civil society organizations contracted by public entities for provision of community-based services to key populations-0</v>
      </c>
      <c r="E358" s="15" t="s">
        <v>4719</v>
      </c>
      <c r="F358" s="15" t="s">
        <v>4784</v>
      </c>
      <c r="G358" s="14" t="s">
        <v>5327</v>
      </c>
      <c r="H358" s="15" t="s">
        <v>5328</v>
      </c>
    </row>
    <row r="359" spans="1:8" x14ac:dyDescent="0.25">
      <c r="A359" s="14" t="s">
        <v>1326</v>
      </c>
      <c r="B359" s="15" t="s">
        <v>1327</v>
      </c>
      <c r="C359" s="14">
        <f t="shared" si="14"/>
        <v>1</v>
      </c>
      <c r="D359" s="14" t="str">
        <f t="shared" si="15"/>
        <v>HFS-5 Percentage of civil society organizations contracted by public entities for provision of community-based services to key populations-1</v>
      </c>
      <c r="E359" s="15" t="s">
        <v>4719</v>
      </c>
      <c r="F359" s="15" t="s">
        <v>4789</v>
      </c>
      <c r="G359" s="14" t="s">
        <v>5329</v>
      </c>
      <c r="H359" s="15" t="s">
        <v>5330</v>
      </c>
    </row>
    <row r="360" spans="1:8" x14ac:dyDescent="0.25">
      <c r="A360" s="14" t="s">
        <v>1326</v>
      </c>
      <c r="B360" s="15" t="s">
        <v>1327</v>
      </c>
      <c r="C360" s="14">
        <f t="shared" si="14"/>
        <v>2</v>
      </c>
      <c r="D360" s="14" t="str">
        <f t="shared" si="15"/>
        <v>HFS-5 Percentage of civil society organizations contracted by public entities for provision of community-based services to key populations-2</v>
      </c>
      <c r="E360" s="15" t="s">
        <v>4719</v>
      </c>
      <c r="F360" s="15" t="s">
        <v>5331</v>
      </c>
      <c r="G360" s="14" t="s">
        <v>5332</v>
      </c>
      <c r="H360" s="15" t="s">
        <v>5333</v>
      </c>
    </row>
    <row r="361" spans="1:8" x14ac:dyDescent="0.25">
      <c r="A361" s="14" t="s">
        <v>1326</v>
      </c>
      <c r="B361" s="15" t="s">
        <v>1327</v>
      </c>
      <c r="C361" s="14">
        <f t="shared" si="14"/>
        <v>3</v>
      </c>
      <c r="D361" s="14" t="str">
        <f t="shared" si="15"/>
        <v>HFS-5 Percentage of civil society organizations contracted by public entities for provision of community-based services to key populations-3</v>
      </c>
      <c r="E361" s="15" t="s">
        <v>4719</v>
      </c>
      <c r="F361" s="15" t="s">
        <v>4728</v>
      </c>
      <c r="G361" s="14" t="s">
        <v>5334</v>
      </c>
      <c r="H361" s="15" t="s">
        <v>5335</v>
      </c>
    </row>
    <row r="362" spans="1:8" x14ac:dyDescent="0.25">
      <c r="A362" s="14" t="s">
        <v>1326</v>
      </c>
      <c r="B362" s="15" t="s">
        <v>1327</v>
      </c>
      <c r="C362" s="14">
        <f t="shared" si="14"/>
        <v>4</v>
      </c>
      <c r="D362" s="14" t="str">
        <f t="shared" si="15"/>
        <v>HFS-5 Percentage of civil society organizations contracted by public entities for provision of community-based services to key populations-4</v>
      </c>
      <c r="E362" s="15" t="s">
        <v>4719</v>
      </c>
      <c r="F362" s="15" t="s">
        <v>4731</v>
      </c>
      <c r="G362" s="14" t="s">
        <v>5336</v>
      </c>
      <c r="H362" s="15" t="s">
        <v>5337</v>
      </c>
    </row>
    <row r="363" spans="1:8" x14ac:dyDescent="0.25">
      <c r="A363" s="14" t="s">
        <v>1326</v>
      </c>
      <c r="B363" s="15" t="s">
        <v>1327</v>
      </c>
      <c r="C363" s="14">
        <f t="shared" si="14"/>
        <v>5</v>
      </c>
      <c r="D363" s="14" t="str">
        <f t="shared" si="15"/>
        <v>HFS-5 Percentage of civil society organizations contracted by public entities for provision of community-based services to key populations-5</v>
      </c>
      <c r="E363" s="15" t="s">
        <v>1378</v>
      </c>
      <c r="F363" s="15" t="s">
        <v>5338</v>
      </c>
      <c r="G363" s="14" t="s">
        <v>5339</v>
      </c>
      <c r="H363" s="15" t="s">
        <v>5340</v>
      </c>
    </row>
    <row r="364" spans="1:8" x14ac:dyDescent="0.25">
      <c r="A364" s="14" t="s">
        <v>1326</v>
      </c>
      <c r="B364" s="15" t="s">
        <v>1327</v>
      </c>
      <c r="C364" s="14">
        <f t="shared" si="14"/>
        <v>6</v>
      </c>
      <c r="D364" s="14" t="str">
        <f t="shared" si="15"/>
        <v>HFS-5 Percentage of civil society organizations contracted by public entities for provision of community-based services to key populations-6</v>
      </c>
      <c r="E364" s="15" t="s">
        <v>1378</v>
      </c>
      <c r="F364" s="15" t="s">
        <v>5341</v>
      </c>
      <c r="G364" s="14" t="s">
        <v>5342</v>
      </c>
      <c r="H364" s="15" t="s">
        <v>5343</v>
      </c>
    </row>
    <row r="365" spans="1:8" x14ac:dyDescent="0.25">
      <c r="A365" s="14" t="s">
        <v>1326</v>
      </c>
      <c r="B365" s="15" t="s">
        <v>1327</v>
      </c>
      <c r="C365" s="14">
        <f t="shared" si="14"/>
        <v>7</v>
      </c>
      <c r="D365" s="14" t="str">
        <f t="shared" si="15"/>
        <v>HFS-5 Percentage of civil society organizations contracted by public entities for provision of community-based services to key populations-7</v>
      </c>
      <c r="E365" s="15" t="s">
        <v>1378</v>
      </c>
      <c r="F365" s="15" t="s">
        <v>5344</v>
      </c>
      <c r="G365" s="14" t="s">
        <v>5345</v>
      </c>
      <c r="H365" s="15" t="s">
        <v>5346</v>
      </c>
    </row>
    <row r="366" spans="1:8" x14ac:dyDescent="0.25">
      <c r="A366" s="14" t="s">
        <v>1326</v>
      </c>
      <c r="B366" s="15" t="s">
        <v>1327</v>
      </c>
      <c r="C366" s="14">
        <f t="shared" si="14"/>
        <v>8</v>
      </c>
      <c r="D366" s="14" t="str">
        <f t="shared" si="15"/>
        <v>HFS-5 Percentage of civil society organizations contracted by public entities for provision of community-based services to key populations-8</v>
      </c>
      <c r="E366" s="15" t="s">
        <v>5299</v>
      </c>
      <c r="F366" s="15" t="s">
        <v>5303</v>
      </c>
      <c r="G366" s="14" t="s">
        <v>5347</v>
      </c>
      <c r="H366" s="15" t="s">
        <v>5348</v>
      </c>
    </row>
    <row r="367" spans="1:8" x14ac:dyDescent="0.25">
      <c r="A367" s="14" t="s">
        <v>1326</v>
      </c>
      <c r="B367" s="15" t="s">
        <v>1327</v>
      </c>
      <c r="C367" s="14">
        <f t="shared" si="14"/>
        <v>9</v>
      </c>
      <c r="D367" s="14" t="str">
        <f t="shared" si="15"/>
        <v>HFS-5 Percentage of civil society organizations contracted by public entities for provision of community-based services to key populations-9</v>
      </c>
      <c r="E367" s="15" t="s">
        <v>5299</v>
      </c>
      <c r="F367" s="15" t="s">
        <v>5300</v>
      </c>
      <c r="G367" s="14" t="s">
        <v>5349</v>
      </c>
      <c r="H367" s="15" t="s">
        <v>5350</v>
      </c>
    </row>
    <row r="368" spans="1:8" x14ac:dyDescent="0.25">
      <c r="A368" s="14" t="s">
        <v>1330</v>
      </c>
      <c r="B368" s="15" t="s">
        <v>1331</v>
      </c>
      <c r="C368" s="14">
        <f t="shared" si="14"/>
        <v>0</v>
      </c>
      <c r="D368" s="14" t="str">
        <f t="shared" si="15"/>
        <v>HFS-6 Percentage of healthcare facilities having performance-based contracts with public entities-0</v>
      </c>
      <c r="E368" s="15" t="s">
        <v>5351</v>
      </c>
      <c r="F368" s="15" t="s">
        <v>4804</v>
      </c>
      <c r="G368" s="14" t="s">
        <v>5352</v>
      </c>
      <c r="H368" s="15" t="s">
        <v>5353</v>
      </c>
    </row>
    <row r="369" spans="1:8" x14ac:dyDescent="0.25">
      <c r="A369" s="14" t="s">
        <v>1330</v>
      </c>
      <c r="B369" s="15" t="s">
        <v>1331</v>
      </c>
      <c r="C369" s="14">
        <f t="shared" si="14"/>
        <v>1</v>
      </c>
      <c r="D369" s="14" t="str">
        <f t="shared" si="15"/>
        <v>HFS-6 Percentage of healthcare facilities having performance-based contracts with public entities-1</v>
      </c>
      <c r="E369" s="15" t="s">
        <v>997</v>
      </c>
      <c r="F369" s="15" t="s">
        <v>4816</v>
      </c>
      <c r="G369" s="14" t="s">
        <v>5354</v>
      </c>
      <c r="H369" s="15" t="s">
        <v>5355</v>
      </c>
    </row>
    <row r="370" spans="1:8" x14ac:dyDescent="0.25">
      <c r="A370" s="14" t="s">
        <v>1330</v>
      </c>
      <c r="B370" s="15" t="s">
        <v>1331</v>
      </c>
      <c r="C370" s="14">
        <f t="shared" si="14"/>
        <v>2</v>
      </c>
      <c r="D370" s="14" t="str">
        <f t="shared" si="15"/>
        <v>HFS-6 Percentage of healthcare facilities having performance-based contracts with public entities-2</v>
      </c>
      <c r="E370" s="15" t="s">
        <v>997</v>
      </c>
      <c r="F370" s="15" t="s">
        <v>4819</v>
      </c>
      <c r="G370" s="14" t="s">
        <v>5356</v>
      </c>
      <c r="H370" s="15" t="s">
        <v>5357</v>
      </c>
    </row>
    <row r="371" spans="1:8" x14ac:dyDescent="0.25">
      <c r="A371" s="14" t="s">
        <v>1330</v>
      </c>
      <c r="B371" s="15" t="s">
        <v>1331</v>
      </c>
      <c r="C371" s="14">
        <f t="shared" si="14"/>
        <v>3</v>
      </c>
      <c r="D371" s="14" t="str">
        <f t="shared" si="15"/>
        <v>HFS-6 Percentage of healthcare facilities having performance-based contracts with public entities-3</v>
      </c>
      <c r="E371" s="15" t="s">
        <v>5351</v>
      </c>
      <c r="F371" s="15" t="s">
        <v>4807</v>
      </c>
      <c r="G371" s="14" t="s">
        <v>5358</v>
      </c>
      <c r="H371" s="15" t="s">
        <v>5359</v>
      </c>
    </row>
    <row r="372" spans="1:8" x14ac:dyDescent="0.25">
      <c r="A372" s="14" t="s">
        <v>1303</v>
      </c>
      <c r="B372" s="15" t="s">
        <v>1304</v>
      </c>
      <c r="C372" s="14">
        <f t="shared" si="14"/>
        <v>0</v>
      </c>
      <c r="D372" s="14" t="str">
        <f t="shared" si="15"/>
        <v>CSS-2 Number of community organizations that received a pre-defined package of training-0</v>
      </c>
      <c r="E372" s="15" t="s">
        <v>5360</v>
      </c>
      <c r="F372" s="15" t="s">
        <v>5361</v>
      </c>
      <c r="G372" s="14" t="s">
        <v>5362</v>
      </c>
      <c r="H372" s="15" t="s">
        <v>5363</v>
      </c>
    </row>
    <row r="373" spans="1:8" x14ac:dyDescent="0.25">
      <c r="A373" s="14" t="s">
        <v>1303</v>
      </c>
      <c r="B373" s="15" t="s">
        <v>1304</v>
      </c>
      <c r="C373" s="14">
        <f t="shared" si="14"/>
        <v>1</v>
      </c>
      <c r="D373" s="14" t="str">
        <f t="shared" si="15"/>
        <v>CSS-2 Number of community organizations that received a pre-defined package of training-1</v>
      </c>
      <c r="E373" s="15" t="s">
        <v>5364</v>
      </c>
      <c r="F373" s="15" t="s">
        <v>5365</v>
      </c>
      <c r="G373" s="14" t="s">
        <v>5366</v>
      </c>
      <c r="H373" s="15" t="s">
        <v>5367</v>
      </c>
    </row>
    <row r="374" spans="1:8" x14ac:dyDescent="0.25">
      <c r="A374" s="14" t="s">
        <v>1303</v>
      </c>
      <c r="B374" s="15" t="s">
        <v>1304</v>
      </c>
      <c r="C374" s="14">
        <f t="shared" si="14"/>
        <v>2</v>
      </c>
      <c r="D374" s="14" t="str">
        <f t="shared" si="15"/>
        <v>CSS-2 Number of community organizations that received a pre-defined package of training-2</v>
      </c>
      <c r="E374" s="15" t="s">
        <v>5360</v>
      </c>
      <c r="F374" s="15" t="s">
        <v>5368</v>
      </c>
      <c r="G374" s="14" t="s">
        <v>5369</v>
      </c>
      <c r="H374" s="15" t="s">
        <v>5370</v>
      </c>
    </row>
    <row r="375" spans="1:8" x14ac:dyDescent="0.25">
      <c r="A375" s="14" t="s">
        <v>1303</v>
      </c>
      <c r="B375" s="15" t="s">
        <v>1304</v>
      </c>
      <c r="C375" s="14">
        <f t="shared" si="14"/>
        <v>3</v>
      </c>
      <c r="D375" s="14" t="str">
        <f t="shared" si="15"/>
        <v>CSS-2 Number of community organizations that received a pre-defined package of training-3</v>
      </c>
      <c r="E375" s="15" t="s">
        <v>5360</v>
      </c>
      <c r="F375" s="15" t="s">
        <v>5371</v>
      </c>
      <c r="G375" s="14" t="s">
        <v>5372</v>
      </c>
      <c r="H375" s="15" t="s">
        <v>5373</v>
      </c>
    </row>
    <row r="376" spans="1:8" x14ac:dyDescent="0.25">
      <c r="A376" s="14" t="s">
        <v>1303</v>
      </c>
      <c r="B376" s="15" t="s">
        <v>1304</v>
      </c>
      <c r="C376" s="14">
        <f t="shared" si="14"/>
        <v>4</v>
      </c>
      <c r="D376" s="14" t="str">
        <f t="shared" si="15"/>
        <v>CSS-2 Number of community organizations that received a pre-defined package of training-4</v>
      </c>
      <c r="E376" s="15" t="s">
        <v>5364</v>
      </c>
      <c r="F376" s="15" t="s">
        <v>5374</v>
      </c>
      <c r="G376" s="14" t="s">
        <v>5375</v>
      </c>
      <c r="H376" s="15" t="s">
        <v>5376</v>
      </c>
    </row>
    <row r="377" spans="1:8" x14ac:dyDescent="0.25">
      <c r="A377" s="14" t="s">
        <v>1307</v>
      </c>
      <c r="B377" s="15" t="s">
        <v>1308</v>
      </c>
      <c r="C377" s="14">
        <f t="shared" si="14"/>
        <v>0</v>
      </c>
      <c r="D377" s="14" t="str">
        <f t="shared" si="15"/>
        <v>CSS-3 Percentage of health service delivery sites with a community-led monitoring mechanism in place-0</v>
      </c>
      <c r="E377" s="15" t="s">
        <v>1309</v>
      </c>
      <c r="F377" s="15" t="s">
        <v>5377</v>
      </c>
      <c r="G377" s="14" t="s">
        <v>5378</v>
      </c>
      <c r="H377" s="15" t="s">
        <v>5379</v>
      </c>
    </row>
    <row r="378" spans="1:8" x14ac:dyDescent="0.25">
      <c r="A378" s="14" t="s">
        <v>1307</v>
      </c>
      <c r="B378" s="15" t="s">
        <v>1308</v>
      </c>
      <c r="C378" s="14">
        <f t="shared" si="14"/>
        <v>1</v>
      </c>
      <c r="D378" s="14" t="str">
        <f t="shared" si="15"/>
        <v>CSS-3 Percentage of health service delivery sites with a community-led monitoring mechanism in place-1</v>
      </c>
      <c r="E378" s="15" t="s">
        <v>1309</v>
      </c>
      <c r="F378" s="15" t="s">
        <v>429</v>
      </c>
      <c r="G378" s="14" t="s">
        <v>5380</v>
      </c>
      <c r="H378" s="15" t="s">
        <v>5381</v>
      </c>
    </row>
    <row r="379" spans="1:8" x14ac:dyDescent="0.25">
      <c r="A379" s="14" t="s">
        <v>1307</v>
      </c>
      <c r="B379" s="15" t="s">
        <v>1308</v>
      </c>
      <c r="C379" s="14">
        <f t="shared" si="14"/>
        <v>2</v>
      </c>
      <c r="D379" s="14" t="str">
        <f t="shared" si="15"/>
        <v>CSS-3 Percentage of health service delivery sites with a community-led monitoring mechanism in place-2</v>
      </c>
      <c r="E379" s="15" t="s">
        <v>1309</v>
      </c>
      <c r="F379" s="15" t="s">
        <v>5338</v>
      </c>
      <c r="G379" s="14" t="s">
        <v>5382</v>
      </c>
      <c r="H379" s="15" t="s">
        <v>5383</v>
      </c>
    </row>
    <row r="380" spans="1:8" x14ac:dyDescent="0.25">
      <c r="A380" s="14" t="s">
        <v>1307</v>
      </c>
      <c r="B380" s="15" t="s">
        <v>1308</v>
      </c>
      <c r="C380" s="14">
        <f t="shared" si="14"/>
        <v>3</v>
      </c>
      <c r="D380" s="14" t="str">
        <f t="shared" si="15"/>
        <v>CSS-3 Percentage of health service delivery sites with a community-led monitoring mechanism in place-3</v>
      </c>
      <c r="E380" s="15" t="s">
        <v>1309</v>
      </c>
      <c r="F380" s="15" t="s">
        <v>5341</v>
      </c>
      <c r="G380" s="14" t="s">
        <v>5384</v>
      </c>
      <c r="H380" s="15" t="s">
        <v>5385</v>
      </c>
    </row>
    <row r="381" spans="1:8" x14ac:dyDescent="0.25">
      <c r="A381" s="14" t="s">
        <v>1307</v>
      </c>
      <c r="B381" s="15" t="s">
        <v>1308</v>
      </c>
      <c r="C381" s="14">
        <f t="shared" si="14"/>
        <v>4</v>
      </c>
      <c r="D381" s="14" t="str">
        <f t="shared" si="15"/>
        <v>CSS-3 Percentage of health service delivery sites with a community-led monitoring mechanism in place-4</v>
      </c>
      <c r="E381" s="15" t="s">
        <v>1309</v>
      </c>
      <c r="F381" s="15" t="s">
        <v>5344</v>
      </c>
      <c r="G381" s="14" t="s">
        <v>5386</v>
      </c>
      <c r="H381" s="15" t="s">
        <v>5387</v>
      </c>
    </row>
    <row r="382" spans="1:8" x14ac:dyDescent="0.25">
      <c r="A382" s="14" t="s">
        <v>1392</v>
      </c>
      <c r="B382" s="15" t="s">
        <v>1393</v>
      </c>
      <c r="C382" s="14">
        <f t="shared" si="14"/>
        <v>0</v>
      </c>
      <c r="D382" s="14" t="str">
        <f t="shared" si="15"/>
        <v>RSSH/PP M&amp;E-1 Completeness of reporting: Percentage of expected monthly reports (for the reporting period) that are actually received-0</v>
      </c>
      <c r="E382" s="15" t="s">
        <v>1411</v>
      </c>
      <c r="F382" s="15" t="s">
        <v>5388</v>
      </c>
      <c r="G382" s="14" t="s">
        <v>5389</v>
      </c>
      <c r="H382" s="15" t="s">
        <v>5390</v>
      </c>
    </row>
    <row r="383" spans="1:8" x14ac:dyDescent="0.25">
      <c r="A383" s="14" t="s">
        <v>1392</v>
      </c>
      <c r="B383" s="15" t="s">
        <v>1393</v>
      </c>
      <c r="C383" s="14">
        <f t="shared" si="14"/>
        <v>1</v>
      </c>
      <c r="D383" s="14" t="str">
        <f t="shared" si="15"/>
        <v>RSSH/PP M&amp;E-1 Completeness of reporting: Percentage of expected monthly reports (for the reporting period) that are actually received-1</v>
      </c>
      <c r="E383" s="15" t="s">
        <v>997</v>
      </c>
      <c r="F383" s="15" t="s">
        <v>5239</v>
      </c>
      <c r="G383" s="14" t="s">
        <v>5391</v>
      </c>
      <c r="H383" s="15" t="s">
        <v>5392</v>
      </c>
    </row>
    <row r="384" spans="1:8" x14ac:dyDescent="0.25">
      <c r="A384" s="14" t="s">
        <v>1392</v>
      </c>
      <c r="B384" s="15" t="s">
        <v>1393</v>
      </c>
      <c r="C384" s="14">
        <f t="shared" si="14"/>
        <v>2</v>
      </c>
      <c r="D384" s="14" t="str">
        <f t="shared" si="15"/>
        <v>RSSH/PP M&amp;E-1 Completeness of reporting: Percentage of expected monthly reports (for the reporting period) that are actually received-2</v>
      </c>
      <c r="E384" s="15" t="s">
        <v>1411</v>
      </c>
      <c r="F384" s="15" t="s">
        <v>5393</v>
      </c>
      <c r="G384" s="14" t="s">
        <v>5394</v>
      </c>
      <c r="H384" s="15" t="s">
        <v>5395</v>
      </c>
    </row>
    <row r="385" spans="1:8" x14ac:dyDescent="0.25">
      <c r="A385" s="14" t="s">
        <v>1392</v>
      </c>
      <c r="B385" s="15" t="s">
        <v>1393</v>
      </c>
      <c r="C385" s="14">
        <f t="shared" si="14"/>
        <v>3</v>
      </c>
      <c r="D385" s="14" t="str">
        <f t="shared" si="15"/>
        <v>RSSH/PP M&amp;E-1 Completeness of reporting: Percentage of expected monthly reports (for the reporting period) that are actually received-3</v>
      </c>
      <c r="E385" s="15" t="s">
        <v>1411</v>
      </c>
      <c r="F385" s="15" t="s">
        <v>5396</v>
      </c>
      <c r="G385" s="14" t="s">
        <v>5397</v>
      </c>
      <c r="H385" s="15" t="s">
        <v>5398</v>
      </c>
    </row>
    <row r="386" spans="1:8" x14ac:dyDescent="0.25">
      <c r="A386" s="14" t="s">
        <v>1392</v>
      </c>
      <c r="B386" s="15" t="s">
        <v>1393</v>
      </c>
      <c r="C386" s="14">
        <f t="shared" si="14"/>
        <v>4</v>
      </c>
      <c r="D386" s="14" t="str">
        <f t="shared" si="15"/>
        <v>RSSH/PP M&amp;E-1 Completeness of reporting: Percentage of expected monthly reports (for the reporting period) that are actually received-4</v>
      </c>
      <c r="E386" s="15" t="s">
        <v>997</v>
      </c>
      <c r="F386" s="15" t="s">
        <v>4816</v>
      </c>
      <c r="G386" s="14" t="s">
        <v>5399</v>
      </c>
      <c r="H386" s="15" t="s">
        <v>5400</v>
      </c>
    </row>
    <row r="387" spans="1:8" x14ac:dyDescent="0.25">
      <c r="A387" s="14" t="s">
        <v>1392</v>
      </c>
      <c r="B387" s="15" t="s">
        <v>1393</v>
      </c>
      <c r="C387" s="14">
        <f t="shared" si="14"/>
        <v>5</v>
      </c>
      <c r="D387" s="14" t="str">
        <f t="shared" si="15"/>
        <v>RSSH/PP M&amp;E-1 Completeness of reporting: Percentage of expected monthly reports (for the reporting period) that are actually received-5</v>
      </c>
      <c r="E387" s="15" t="s">
        <v>1411</v>
      </c>
      <c r="F387" s="15" t="s">
        <v>5401</v>
      </c>
      <c r="G387" s="14" t="s">
        <v>5402</v>
      </c>
      <c r="H387" s="15" t="s">
        <v>5403</v>
      </c>
    </row>
    <row r="388" spans="1:8" x14ac:dyDescent="0.25">
      <c r="A388" s="14" t="s">
        <v>1392</v>
      </c>
      <c r="B388" s="15" t="s">
        <v>1393</v>
      </c>
      <c r="C388" s="14">
        <f t="shared" si="14"/>
        <v>6</v>
      </c>
      <c r="D388" s="14" t="str">
        <f t="shared" si="15"/>
        <v>RSSH/PP M&amp;E-1 Completeness of reporting: Percentage of expected monthly reports (for the reporting period) that are actually received-6</v>
      </c>
      <c r="E388" s="15" t="s">
        <v>1411</v>
      </c>
      <c r="F388" s="15" t="s">
        <v>5404</v>
      </c>
      <c r="G388" s="14" t="s">
        <v>5405</v>
      </c>
      <c r="H388" s="15" t="s">
        <v>5406</v>
      </c>
    </row>
    <row r="389" spans="1:8" x14ac:dyDescent="0.25">
      <c r="A389" s="14" t="s">
        <v>1392</v>
      </c>
      <c r="B389" s="15" t="s">
        <v>1393</v>
      </c>
      <c r="C389" s="14">
        <f t="shared" si="14"/>
        <v>7</v>
      </c>
      <c r="D389" s="14" t="str">
        <f t="shared" si="15"/>
        <v>RSSH/PP M&amp;E-1 Completeness of reporting: Percentage of expected monthly reports (for the reporting period) that are actually received-7</v>
      </c>
      <c r="E389" s="15" t="s">
        <v>997</v>
      </c>
      <c r="F389" s="15" t="s">
        <v>4819</v>
      </c>
      <c r="G389" s="14" t="s">
        <v>5407</v>
      </c>
      <c r="H389" s="15" t="s">
        <v>5408</v>
      </c>
    </row>
    <row r="390" spans="1:8" x14ac:dyDescent="0.25">
      <c r="A390" s="14" t="s">
        <v>1396</v>
      </c>
      <c r="B390" s="15" t="s">
        <v>1397</v>
      </c>
      <c r="C390" s="14">
        <f t="shared" si="14"/>
        <v>0</v>
      </c>
      <c r="D390" s="14" t="str">
        <f t="shared" si="15"/>
        <v>RSSH/PP M&amp;E-2 Timeliness of reporting: Percentage of submitted monthly reports (for the reporting period) that are received on time per the national guidelines-0</v>
      </c>
      <c r="E390" s="15" t="s">
        <v>1411</v>
      </c>
      <c r="F390" s="15" t="s">
        <v>5388</v>
      </c>
      <c r="G390" s="14" t="s">
        <v>5409</v>
      </c>
      <c r="H390" s="15" t="s">
        <v>5410</v>
      </c>
    </row>
    <row r="391" spans="1:8" x14ac:dyDescent="0.25">
      <c r="A391" s="14" t="s">
        <v>1396</v>
      </c>
      <c r="B391" s="15" t="s">
        <v>1397</v>
      </c>
      <c r="C391" s="14">
        <f t="shared" si="14"/>
        <v>1</v>
      </c>
      <c r="D391" s="14" t="str">
        <f t="shared" si="15"/>
        <v>RSSH/PP M&amp;E-2 Timeliness of reporting: Percentage of submitted monthly reports (for the reporting period) that are received on time per the national guidelines-1</v>
      </c>
      <c r="E391" s="15" t="s">
        <v>997</v>
      </c>
      <c r="F391" s="15" t="s">
        <v>5239</v>
      </c>
      <c r="G391" s="14" t="s">
        <v>5411</v>
      </c>
      <c r="H391" s="15" t="s">
        <v>5412</v>
      </c>
    </row>
    <row r="392" spans="1:8" x14ac:dyDescent="0.25">
      <c r="A392" s="14" t="s">
        <v>1396</v>
      </c>
      <c r="B392" s="15" t="s">
        <v>1397</v>
      </c>
      <c r="C392" s="14">
        <f t="shared" si="14"/>
        <v>2</v>
      </c>
      <c r="D392" s="14" t="str">
        <f t="shared" si="15"/>
        <v>RSSH/PP M&amp;E-2 Timeliness of reporting: Percentage of submitted monthly reports (for the reporting period) that are received on time per the national guidelines-2</v>
      </c>
      <c r="E392" s="15" t="s">
        <v>1411</v>
      </c>
      <c r="F392" s="15" t="s">
        <v>5396</v>
      </c>
      <c r="G392" s="14" t="s">
        <v>5413</v>
      </c>
      <c r="H392" s="15" t="s">
        <v>5414</v>
      </c>
    </row>
    <row r="393" spans="1:8" x14ac:dyDescent="0.25">
      <c r="A393" s="14" t="s">
        <v>1396</v>
      </c>
      <c r="B393" s="15" t="s">
        <v>1397</v>
      </c>
      <c r="C393" s="14">
        <f t="shared" si="14"/>
        <v>3</v>
      </c>
      <c r="D393" s="14" t="str">
        <f t="shared" si="15"/>
        <v>RSSH/PP M&amp;E-2 Timeliness of reporting: Percentage of submitted monthly reports (for the reporting period) that are received on time per the national guidelines-3</v>
      </c>
      <c r="E393" s="15" t="s">
        <v>997</v>
      </c>
      <c r="F393" s="15" t="s">
        <v>4816</v>
      </c>
      <c r="G393" s="14" t="s">
        <v>5415</v>
      </c>
      <c r="H393" s="15" t="s">
        <v>5416</v>
      </c>
    </row>
    <row r="394" spans="1:8" x14ac:dyDescent="0.25">
      <c r="A394" s="14" t="s">
        <v>1396</v>
      </c>
      <c r="B394" s="15" t="s">
        <v>1397</v>
      </c>
      <c r="C394" s="14">
        <f t="shared" si="14"/>
        <v>4</v>
      </c>
      <c r="D394" s="14" t="str">
        <f t="shared" si="15"/>
        <v>RSSH/PP M&amp;E-2 Timeliness of reporting: Percentage of submitted monthly reports (for the reporting period) that are received on time per the national guidelines-4</v>
      </c>
      <c r="E394" s="15" t="s">
        <v>1411</v>
      </c>
      <c r="F394" s="15" t="s">
        <v>5401</v>
      </c>
      <c r="G394" s="14" t="s">
        <v>5417</v>
      </c>
      <c r="H394" s="15" t="s">
        <v>5418</v>
      </c>
    </row>
    <row r="395" spans="1:8" x14ac:dyDescent="0.25">
      <c r="A395" s="14" t="s">
        <v>1396</v>
      </c>
      <c r="B395" s="15" t="s">
        <v>1397</v>
      </c>
      <c r="C395" s="14">
        <f t="shared" si="14"/>
        <v>5</v>
      </c>
      <c r="D395" s="14" t="str">
        <f t="shared" si="15"/>
        <v>RSSH/PP M&amp;E-2 Timeliness of reporting: Percentage of submitted monthly reports (for the reporting period) that are received on time per the national guidelines-5</v>
      </c>
      <c r="E395" s="15" t="s">
        <v>1411</v>
      </c>
      <c r="F395" s="15" t="s">
        <v>5404</v>
      </c>
      <c r="G395" s="14" t="s">
        <v>5419</v>
      </c>
      <c r="H395" s="15" t="s">
        <v>5420</v>
      </c>
    </row>
    <row r="396" spans="1:8" x14ac:dyDescent="0.25">
      <c r="A396" s="14" t="s">
        <v>1396</v>
      </c>
      <c r="B396" s="15" t="s">
        <v>1397</v>
      </c>
      <c r="C396" s="14">
        <f t="shared" si="14"/>
        <v>6</v>
      </c>
      <c r="D396" s="14" t="str">
        <f t="shared" si="15"/>
        <v>RSSH/PP M&amp;E-2 Timeliness of reporting: Percentage of submitted monthly reports (for the reporting period) that are received on time per the national guidelines-6</v>
      </c>
      <c r="E396" s="15" t="s">
        <v>997</v>
      </c>
      <c r="F396" s="15" t="s">
        <v>4819</v>
      </c>
      <c r="G396" s="14" t="s">
        <v>5421</v>
      </c>
      <c r="H396" s="15" t="s">
        <v>5422</v>
      </c>
    </row>
    <row r="397" spans="1:8" x14ac:dyDescent="0.25">
      <c r="A397" s="14" t="s">
        <v>1399</v>
      </c>
      <c r="B397" s="15" t="s">
        <v>1400</v>
      </c>
      <c r="C397" s="14">
        <f t="shared" si="14"/>
        <v>0</v>
      </c>
      <c r="D397" s="14" t="str">
        <f t="shared" si="15"/>
        <v>RSSH/PP M&amp;E-3 Percentage of health facilities which are reporting key programmatic indicator results on at least a monthly basis using a digital, individual level data system-0</v>
      </c>
      <c r="E397" s="15" t="s">
        <v>1378</v>
      </c>
      <c r="F397" s="15" t="s">
        <v>5423</v>
      </c>
      <c r="G397" s="14" t="s">
        <v>5424</v>
      </c>
      <c r="H397" s="15" t="s">
        <v>5425</v>
      </c>
    </row>
    <row r="398" spans="1:8" x14ac:dyDescent="0.25">
      <c r="A398" s="14" t="s">
        <v>1399</v>
      </c>
      <c r="B398" s="15" t="s">
        <v>1400</v>
      </c>
      <c r="C398" s="14">
        <f t="shared" si="14"/>
        <v>1</v>
      </c>
      <c r="D398" s="14" t="str">
        <f t="shared" si="15"/>
        <v>RSSH/PP M&amp;E-3 Percentage of health facilities which are reporting key programmatic indicator results on at least a monthly basis using a digital, individual level data system-1</v>
      </c>
      <c r="E398" s="15" t="s">
        <v>5426</v>
      </c>
      <c r="F398" s="15" t="s">
        <v>5427</v>
      </c>
      <c r="G398" s="14" t="s">
        <v>5428</v>
      </c>
      <c r="H398" s="15" t="s">
        <v>5429</v>
      </c>
    </row>
    <row r="399" spans="1:8" x14ac:dyDescent="0.25">
      <c r="A399" s="14" t="s">
        <v>1399</v>
      </c>
      <c r="B399" s="15" t="s">
        <v>1400</v>
      </c>
      <c r="C399" s="14">
        <f t="shared" si="14"/>
        <v>2</v>
      </c>
      <c r="D399" s="14" t="str">
        <f t="shared" si="15"/>
        <v>RSSH/PP M&amp;E-3 Percentage of health facilities which are reporting key programmatic indicator results on at least a monthly basis using a digital, individual level data system-2</v>
      </c>
      <c r="E399" s="15" t="s">
        <v>1378</v>
      </c>
      <c r="F399" s="15" t="s">
        <v>5338</v>
      </c>
      <c r="G399" s="14" t="s">
        <v>5430</v>
      </c>
      <c r="H399" s="15" t="s">
        <v>5431</v>
      </c>
    </row>
    <row r="400" spans="1:8" x14ac:dyDescent="0.25">
      <c r="A400" s="14" t="s">
        <v>1399</v>
      </c>
      <c r="B400" s="15" t="s">
        <v>1400</v>
      </c>
      <c r="C400" s="14">
        <f t="shared" si="14"/>
        <v>3</v>
      </c>
      <c r="D400" s="14" t="str">
        <f t="shared" si="15"/>
        <v>RSSH/PP M&amp;E-3 Percentage of health facilities which are reporting key programmatic indicator results on at least a monthly basis using a digital, individual level data system-3</v>
      </c>
      <c r="E400" s="15" t="s">
        <v>1378</v>
      </c>
      <c r="F400" s="15" t="s">
        <v>5341</v>
      </c>
      <c r="G400" s="14" t="s">
        <v>5432</v>
      </c>
      <c r="H400" s="15" t="s">
        <v>5433</v>
      </c>
    </row>
    <row r="401" spans="1:8" x14ac:dyDescent="0.25">
      <c r="A401" s="14" t="s">
        <v>1399</v>
      </c>
      <c r="B401" s="15" t="s">
        <v>1400</v>
      </c>
      <c r="C401" s="14">
        <f t="shared" si="14"/>
        <v>4</v>
      </c>
      <c r="D401" s="14" t="str">
        <f t="shared" si="15"/>
        <v>RSSH/PP M&amp;E-3 Percentage of health facilities which are reporting key programmatic indicator results on at least a monthly basis using a digital, individual level data system-4</v>
      </c>
      <c r="E401" s="15" t="s">
        <v>5426</v>
      </c>
      <c r="F401" s="15" t="s">
        <v>5434</v>
      </c>
      <c r="G401" s="14" t="s">
        <v>5435</v>
      </c>
      <c r="H401" s="15" t="s">
        <v>5436</v>
      </c>
    </row>
    <row r="402" spans="1:8" x14ac:dyDescent="0.25">
      <c r="A402" s="14" t="s">
        <v>1399</v>
      </c>
      <c r="B402" s="15" t="s">
        <v>1400</v>
      </c>
      <c r="C402" s="14">
        <f t="shared" si="14"/>
        <v>5</v>
      </c>
      <c r="D402" s="14" t="str">
        <f t="shared" si="15"/>
        <v>RSSH/PP M&amp;E-3 Percentage of health facilities which are reporting key programmatic indicator results on at least a monthly basis using a digital, individual level data system-5</v>
      </c>
      <c r="E402" s="15" t="s">
        <v>1378</v>
      </c>
      <c r="F402" s="15" t="s">
        <v>5344</v>
      </c>
      <c r="G402" s="14" t="s">
        <v>5437</v>
      </c>
      <c r="H402" s="15" t="s">
        <v>5438</v>
      </c>
    </row>
    <row r="403" spans="1:8" x14ac:dyDescent="0.25">
      <c r="A403" s="14" t="s">
        <v>1399</v>
      </c>
      <c r="B403" s="15" t="s">
        <v>1400</v>
      </c>
      <c r="C403" s="14">
        <f t="shared" si="14"/>
        <v>6</v>
      </c>
      <c r="D403" s="14" t="str">
        <f t="shared" si="15"/>
        <v>RSSH/PP M&amp;E-3 Percentage of health facilities which are reporting key programmatic indicator results on at least a monthly basis using a digital, individual level data system-6</v>
      </c>
      <c r="E403" s="15" t="s">
        <v>5426</v>
      </c>
      <c r="F403" s="15" t="s">
        <v>5439</v>
      </c>
      <c r="G403" s="14" t="s">
        <v>5440</v>
      </c>
      <c r="H403" s="15" t="s">
        <v>5441</v>
      </c>
    </row>
    <row r="404" spans="1:8" x14ac:dyDescent="0.25">
      <c r="A404" s="14" t="s">
        <v>1409</v>
      </c>
      <c r="B404" s="15" t="s">
        <v>1410</v>
      </c>
      <c r="C404" s="14">
        <f t="shared" si="14"/>
        <v>0</v>
      </c>
      <c r="D404" s="14" t="str">
        <f t="shared" si="15"/>
        <v>RSSH/PP M&amp;E-6 Percentage of private health units that report data into the national HMIS-0</v>
      </c>
      <c r="E404" s="15" t="s">
        <v>1411</v>
      </c>
      <c r="F404" s="15" t="s">
        <v>5388</v>
      </c>
      <c r="G404" s="14" t="s">
        <v>5442</v>
      </c>
      <c r="H404" s="15" t="s">
        <v>5443</v>
      </c>
    </row>
    <row r="405" spans="1:8" x14ac:dyDescent="0.25">
      <c r="A405" s="14" t="s">
        <v>1409</v>
      </c>
      <c r="B405" s="15" t="s">
        <v>1410</v>
      </c>
      <c r="C405" s="14">
        <f t="shared" si="14"/>
        <v>1</v>
      </c>
      <c r="D405" s="14" t="str">
        <f t="shared" si="15"/>
        <v>RSSH/PP M&amp;E-6 Percentage of private health units that report data into the national HMIS-1</v>
      </c>
      <c r="E405" s="15" t="s">
        <v>1411</v>
      </c>
      <c r="F405" s="15" t="s">
        <v>5393</v>
      </c>
      <c r="G405" s="14" t="s">
        <v>5444</v>
      </c>
      <c r="H405" s="15" t="s">
        <v>5445</v>
      </c>
    </row>
    <row r="406" spans="1:8" x14ac:dyDescent="0.25">
      <c r="A406" s="14" t="s">
        <v>1409</v>
      </c>
      <c r="B406" s="15" t="s">
        <v>1410</v>
      </c>
      <c r="C406" s="14">
        <f t="shared" si="14"/>
        <v>2</v>
      </c>
      <c r="D406" s="14" t="str">
        <f t="shared" si="15"/>
        <v>RSSH/PP M&amp;E-6 Percentage of private health units that report data into the national HMIS-2</v>
      </c>
      <c r="E406" s="15" t="s">
        <v>1411</v>
      </c>
      <c r="F406" s="15" t="s">
        <v>5396</v>
      </c>
      <c r="G406" s="14" t="s">
        <v>5446</v>
      </c>
      <c r="H406" s="15" t="s">
        <v>5447</v>
      </c>
    </row>
    <row r="407" spans="1:8" x14ac:dyDescent="0.25">
      <c r="A407" s="14" t="s">
        <v>1409</v>
      </c>
      <c r="B407" s="15" t="s">
        <v>1410</v>
      </c>
      <c r="C407" s="14">
        <f t="shared" si="14"/>
        <v>3</v>
      </c>
      <c r="D407" s="14" t="str">
        <f t="shared" si="15"/>
        <v>RSSH/PP M&amp;E-6 Percentage of private health units that report data into the national HMIS-3</v>
      </c>
      <c r="E407" s="15" t="s">
        <v>1411</v>
      </c>
      <c r="F407" s="15" t="s">
        <v>5401</v>
      </c>
      <c r="G407" s="14" t="s">
        <v>5448</v>
      </c>
      <c r="H407" s="15" t="s">
        <v>5449</v>
      </c>
    </row>
    <row r="408" spans="1:8" x14ac:dyDescent="0.25">
      <c r="A408" s="14" t="s">
        <v>1409</v>
      </c>
      <c r="B408" s="15" t="s">
        <v>1410</v>
      </c>
      <c r="C408" s="14">
        <f t="shared" si="14"/>
        <v>4</v>
      </c>
      <c r="D408" s="14" t="str">
        <f t="shared" si="15"/>
        <v>RSSH/PP M&amp;E-6 Percentage of private health units that report data into the national HMIS-4</v>
      </c>
      <c r="E408" s="15" t="s">
        <v>1411</v>
      </c>
      <c r="F408" s="15" t="s">
        <v>5404</v>
      </c>
      <c r="G408" s="14" t="s">
        <v>5450</v>
      </c>
      <c r="H408" s="15" t="s">
        <v>5451</v>
      </c>
    </row>
    <row r="409" spans="1:8" x14ac:dyDescent="0.25">
      <c r="A409" s="14" t="s">
        <v>1419</v>
      </c>
      <c r="B409" s="15" t="s">
        <v>1420</v>
      </c>
      <c r="C409" s="14">
        <f t="shared" ref="C409:C472" si="16">IF(B409=B408,C408+1,0)</f>
        <v>0</v>
      </c>
      <c r="D409" s="14" t="str">
        <f t="shared" ref="D409:D472" si="17">B409&amp;"-"&amp;C409</f>
        <v>M&amp;E-6.1 Percentage of districts that produce at least semi-annual analytical reports-0</v>
      </c>
      <c r="E409" s="15" t="s">
        <v>1411</v>
      </c>
      <c r="F409" s="15" t="s">
        <v>5393</v>
      </c>
      <c r="G409" s="14" t="s">
        <v>5452</v>
      </c>
      <c r="H409" s="15" t="s">
        <v>5453</v>
      </c>
    </row>
    <row r="410" spans="1:8" x14ac:dyDescent="0.25">
      <c r="A410" s="14" t="s">
        <v>1419</v>
      </c>
      <c r="B410" s="15" t="s">
        <v>1420</v>
      </c>
      <c r="C410" s="14">
        <f t="shared" si="16"/>
        <v>1</v>
      </c>
      <c r="D410" s="14" t="str">
        <f t="shared" si="17"/>
        <v>M&amp;E-6.1 Percentage of districts that produce at least semi-annual analytical reports-1</v>
      </c>
      <c r="E410" s="15" t="s">
        <v>1411</v>
      </c>
      <c r="F410" s="15" t="s">
        <v>5396</v>
      </c>
      <c r="G410" s="14" t="s">
        <v>5454</v>
      </c>
      <c r="H410" s="15" t="s">
        <v>5455</v>
      </c>
    </row>
    <row r="411" spans="1:8" x14ac:dyDescent="0.25">
      <c r="A411" s="14" t="s">
        <v>1419</v>
      </c>
      <c r="B411" s="15" t="s">
        <v>1420</v>
      </c>
      <c r="C411" s="14">
        <f t="shared" si="16"/>
        <v>2</v>
      </c>
      <c r="D411" s="14" t="str">
        <f t="shared" si="17"/>
        <v>M&amp;E-6.1 Percentage of districts that produce at least semi-annual analytical reports-2</v>
      </c>
      <c r="E411" s="15" t="s">
        <v>1411</v>
      </c>
      <c r="F411" s="15" t="s">
        <v>5401</v>
      </c>
      <c r="G411" s="14" t="s">
        <v>5456</v>
      </c>
      <c r="H411" s="15" t="s">
        <v>5457</v>
      </c>
    </row>
    <row r="412" spans="1:8" x14ac:dyDescent="0.25">
      <c r="A412" s="14" t="s">
        <v>1419</v>
      </c>
      <c r="B412" s="15" t="s">
        <v>1420</v>
      </c>
      <c r="C412" s="14">
        <f t="shared" si="16"/>
        <v>3</v>
      </c>
      <c r="D412" s="14" t="str">
        <f t="shared" si="17"/>
        <v>M&amp;E-6.1 Percentage of districts that produce at least semi-annual analytical reports-3</v>
      </c>
      <c r="E412" s="15" t="s">
        <v>1411</v>
      </c>
      <c r="F412" s="15" t="s">
        <v>5404</v>
      </c>
      <c r="G412" s="14" t="s">
        <v>5458</v>
      </c>
      <c r="H412" s="15" t="s">
        <v>5459</v>
      </c>
    </row>
    <row r="413" spans="1:8" x14ac:dyDescent="0.25">
      <c r="A413" s="14" t="s">
        <v>1087</v>
      </c>
      <c r="B413" s="15" t="s">
        <v>1088</v>
      </c>
      <c r="C413" s="14">
        <f t="shared" si="16"/>
        <v>0</v>
      </c>
      <c r="D413" s="14" t="str">
        <f t="shared" si="17"/>
        <v>KP-1b⁽ᴹ⁾ Percentage of transgender people reached with HIV prevention programs - defined package of services-0</v>
      </c>
      <c r="E413" s="15" t="s">
        <v>821</v>
      </c>
      <c r="F413" s="15" t="s">
        <v>4540</v>
      </c>
      <c r="G413" s="14" t="s">
        <v>5460</v>
      </c>
      <c r="H413" s="15" t="s">
        <v>5461</v>
      </c>
    </row>
    <row r="414" spans="1:8" x14ac:dyDescent="0.25">
      <c r="A414" s="14" t="s">
        <v>1087</v>
      </c>
      <c r="B414" s="15" t="s">
        <v>1088</v>
      </c>
      <c r="C414" s="14">
        <f t="shared" si="16"/>
        <v>1</v>
      </c>
      <c r="D414" s="14" t="str">
        <f t="shared" si="17"/>
        <v>KP-1b⁽ᴹ⁾ Percentage of transgender people reached with HIV prevention programs - defined package of services-1</v>
      </c>
      <c r="E414" s="15" t="s">
        <v>821</v>
      </c>
      <c r="F414" s="15" t="s">
        <v>4680</v>
      </c>
      <c r="G414" s="14" t="s">
        <v>5462</v>
      </c>
      <c r="H414" s="15" t="s">
        <v>5463</v>
      </c>
    </row>
    <row r="415" spans="1:8" x14ac:dyDescent="0.25">
      <c r="A415" s="14" t="s">
        <v>1087</v>
      </c>
      <c r="B415" s="15" t="s">
        <v>1088</v>
      </c>
      <c r="C415" s="14">
        <f t="shared" si="16"/>
        <v>2</v>
      </c>
      <c r="D415" s="14" t="str">
        <f t="shared" si="17"/>
        <v>KP-1b⁽ᴹ⁾ Percentage of transgender people reached with HIV prevention programs - defined package of services-2</v>
      </c>
      <c r="E415" s="15" t="s">
        <v>1168</v>
      </c>
      <c r="F415" s="15" t="s">
        <v>5464</v>
      </c>
      <c r="G415" s="14" t="s">
        <v>5465</v>
      </c>
      <c r="H415" s="15" t="s">
        <v>5466</v>
      </c>
    </row>
    <row r="416" spans="1:8" x14ac:dyDescent="0.25">
      <c r="A416" s="14" t="s">
        <v>1087</v>
      </c>
      <c r="B416" s="15" t="s">
        <v>1088</v>
      </c>
      <c r="C416" s="14">
        <f t="shared" si="16"/>
        <v>3</v>
      </c>
      <c r="D416" s="14" t="str">
        <f t="shared" si="17"/>
        <v>KP-1b⁽ᴹ⁾ Percentage of transgender people reached with HIV prevention programs - defined package of services-3</v>
      </c>
      <c r="E416" s="15" t="s">
        <v>1168</v>
      </c>
      <c r="F416" s="15" t="s">
        <v>5467</v>
      </c>
      <c r="G416" s="14" t="s">
        <v>5468</v>
      </c>
      <c r="H416" s="15" t="s">
        <v>5469</v>
      </c>
    </row>
    <row r="417" spans="1:8" x14ac:dyDescent="0.25">
      <c r="A417" s="14" t="s">
        <v>1087</v>
      </c>
      <c r="B417" s="15" t="s">
        <v>1088</v>
      </c>
      <c r="C417" s="14">
        <f t="shared" si="16"/>
        <v>4</v>
      </c>
      <c r="D417" s="14" t="str">
        <f t="shared" si="17"/>
        <v>KP-1b⁽ᴹ⁾ Percentage of transgender people reached with HIV prevention programs - defined package of services-4</v>
      </c>
      <c r="E417" s="15" t="s">
        <v>821</v>
      </c>
      <c r="F417" s="15" t="s">
        <v>4683</v>
      </c>
      <c r="G417" s="14" t="s">
        <v>5470</v>
      </c>
      <c r="H417" s="15" t="s">
        <v>5471</v>
      </c>
    </row>
    <row r="418" spans="1:8" x14ac:dyDescent="0.25">
      <c r="A418" s="14" t="s">
        <v>1090</v>
      </c>
      <c r="B418" s="15" t="s">
        <v>1091</v>
      </c>
      <c r="C418" s="14">
        <f t="shared" si="16"/>
        <v>0</v>
      </c>
      <c r="D418" s="14" t="str">
        <f t="shared" si="17"/>
        <v>KP-6b Number of transgender people who received any PrEP product at least once during the reporting period-0</v>
      </c>
      <c r="E418" s="15" t="s">
        <v>821</v>
      </c>
      <c r="F418" s="15" t="s">
        <v>4540</v>
      </c>
      <c r="G418" s="14" t="s">
        <v>5472</v>
      </c>
      <c r="H418" s="15" t="s">
        <v>5473</v>
      </c>
    </row>
    <row r="419" spans="1:8" x14ac:dyDescent="0.25">
      <c r="A419" s="14" t="s">
        <v>1090</v>
      </c>
      <c r="B419" s="15" t="s">
        <v>1091</v>
      </c>
      <c r="C419" s="14">
        <f t="shared" si="16"/>
        <v>1</v>
      </c>
      <c r="D419" s="14" t="str">
        <f t="shared" si="17"/>
        <v>KP-6b Number of transgender people who received any PrEP product at least once during the reporting period-1</v>
      </c>
      <c r="E419" s="15" t="s">
        <v>821</v>
      </c>
      <c r="F419" s="15" t="s">
        <v>4680</v>
      </c>
      <c r="G419" s="14" t="s">
        <v>5474</v>
      </c>
      <c r="H419" s="15" t="s">
        <v>5475</v>
      </c>
    </row>
    <row r="420" spans="1:8" x14ac:dyDescent="0.25">
      <c r="A420" s="14" t="s">
        <v>1090</v>
      </c>
      <c r="B420" s="15" t="s">
        <v>1091</v>
      </c>
      <c r="C420" s="14">
        <f t="shared" si="16"/>
        <v>2</v>
      </c>
      <c r="D420" s="14" t="str">
        <f t="shared" si="17"/>
        <v>KP-6b Number of transgender people who received any PrEP product at least once during the reporting period-2</v>
      </c>
      <c r="E420" s="15" t="s">
        <v>1168</v>
      </c>
      <c r="F420" s="15" t="s">
        <v>5464</v>
      </c>
      <c r="G420" s="14" t="s">
        <v>5476</v>
      </c>
      <c r="H420" s="15" t="s">
        <v>5477</v>
      </c>
    </row>
    <row r="421" spans="1:8" x14ac:dyDescent="0.25">
      <c r="A421" s="14" t="s">
        <v>1090</v>
      </c>
      <c r="B421" s="15" t="s">
        <v>1091</v>
      </c>
      <c r="C421" s="14">
        <f t="shared" si="16"/>
        <v>3</v>
      </c>
      <c r="D421" s="14" t="str">
        <f t="shared" si="17"/>
        <v>KP-6b Number of transgender people who received any PrEP product at least once during the reporting period-3</v>
      </c>
      <c r="E421" s="15" t="s">
        <v>821</v>
      </c>
      <c r="F421" s="15" t="s">
        <v>4683</v>
      </c>
      <c r="G421" s="14" t="s">
        <v>5478</v>
      </c>
      <c r="H421" s="15" t="s">
        <v>5479</v>
      </c>
    </row>
    <row r="422" spans="1:8" x14ac:dyDescent="0.25">
      <c r="A422" s="14" t="s">
        <v>1090</v>
      </c>
      <c r="B422" s="15" t="s">
        <v>1091</v>
      </c>
      <c r="C422" s="14">
        <f t="shared" si="16"/>
        <v>4</v>
      </c>
      <c r="D422" s="14" t="str">
        <f t="shared" si="17"/>
        <v>KP-6b Number of transgender people who received any PrEP product at least once during the reporting period-4</v>
      </c>
      <c r="E422" s="15" t="s">
        <v>1168</v>
      </c>
      <c r="F422" s="15" t="s">
        <v>5467</v>
      </c>
      <c r="G422" s="14" t="s">
        <v>5480</v>
      </c>
      <c r="H422" s="15" t="s">
        <v>5481</v>
      </c>
    </row>
    <row r="423" spans="1:8" x14ac:dyDescent="0.25">
      <c r="A423" s="14" t="s">
        <v>1090</v>
      </c>
      <c r="B423" s="15" t="s">
        <v>1091</v>
      </c>
      <c r="C423" s="14">
        <f t="shared" si="16"/>
        <v>5</v>
      </c>
      <c r="D423" s="14" t="str">
        <f t="shared" si="17"/>
        <v>KP-6b Number of transgender people who received any PrEP product at least once during the reporting period-5</v>
      </c>
      <c r="E423" s="15" t="s">
        <v>4869</v>
      </c>
      <c r="F423" s="15" t="s">
        <v>4870</v>
      </c>
      <c r="G423" s="14" t="s">
        <v>5482</v>
      </c>
      <c r="H423" s="15" t="s">
        <v>5483</v>
      </c>
    </row>
    <row r="424" spans="1:8" x14ac:dyDescent="0.25">
      <c r="A424" s="14" t="s">
        <v>1090</v>
      </c>
      <c r="B424" s="15" t="s">
        <v>1091</v>
      </c>
      <c r="C424" s="14">
        <f t="shared" si="16"/>
        <v>6</v>
      </c>
      <c r="D424" s="14" t="str">
        <f t="shared" si="17"/>
        <v>KP-6b Number of transgender people who received any PrEP product at least once during the reporting period-6</v>
      </c>
      <c r="E424" s="15" t="s">
        <v>4869</v>
      </c>
      <c r="F424" s="15" t="s">
        <v>4873</v>
      </c>
      <c r="G424" s="14" t="s">
        <v>5484</v>
      </c>
      <c r="H424" s="15" t="s">
        <v>5485</v>
      </c>
    </row>
    <row r="425" spans="1:8" x14ac:dyDescent="0.25">
      <c r="A425" s="14" t="s">
        <v>1090</v>
      </c>
      <c r="B425" s="15" t="s">
        <v>1091</v>
      </c>
      <c r="C425" s="14">
        <f t="shared" si="16"/>
        <v>7</v>
      </c>
      <c r="D425" s="14" t="str">
        <f t="shared" si="17"/>
        <v>KP-6b Number of transgender people who received any PrEP product at least once during the reporting period-7</v>
      </c>
      <c r="E425" s="15" t="s">
        <v>4869</v>
      </c>
      <c r="F425" s="15" t="s">
        <v>4880</v>
      </c>
      <c r="G425" s="14" t="s">
        <v>5486</v>
      </c>
      <c r="H425" s="15" t="s">
        <v>5487</v>
      </c>
    </row>
    <row r="426" spans="1:8" x14ac:dyDescent="0.25">
      <c r="A426" s="14" t="s">
        <v>1094</v>
      </c>
      <c r="B426" s="15" t="s">
        <v>1095</v>
      </c>
      <c r="C426" s="14">
        <f t="shared" si="16"/>
        <v>0</v>
      </c>
      <c r="D426" s="14" t="str">
        <f t="shared" si="17"/>
        <v>KP-7b Percentage of transgender people tested for STIs during the reporting period-0</v>
      </c>
      <c r="E426" s="15" t="s">
        <v>821</v>
      </c>
      <c r="F426" s="15" t="s">
        <v>4540</v>
      </c>
      <c r="G426" s="14" t="s">
        <v>5488</v>
      </c>
      <c r="H426" s="15" t="s">
        <v>5489</v>
      </c>
    </row>
    <row r="427" spans="1:8" x14ac:dyDescent="0.25">
      <c r="A427" s="14" t="s">
        <v>1094</v>
      </c>
      <c r="B427" s="15" t="s">
        <v>1095</v>
      </c>
      <c r="C427" s="14">
        <f t="shared" si="16"/>
        <v>1</v>
      </c>
      <c r="D427" s="14" t="str">
        <f t="shared" si="17"/>
        <v>KP-7b Percentage of transgender people tested for STIs during the reporting period-1</v>
      </c>
      <c r="E427" s="15" t="s">
        <v>821</v>
      </c>
      <c r="F427" s="15" t="s">
        <v>4680</v>
      </c>
      <c r="G427" s="14" t="s">
        <v>5490</v>
      </c>
      <c r="H427" s="15" t="s">
        <v>5491</v>
      </c>
    </row>
    <row r="428" spans="1:8" x14ac:dyDescent="0.25">
      <c r="A428" s="14" t="s">
        <v>1094</v>
      </c>
      <c r="B428" s="15" t="s">
        <v>1095</v>
      </c>
      <c r="C428" s="14">
        <f t="shared" si="16"/>
        <v>2</v>
      </c>
      <c r="D428" s="14" t="str">
        <f t="shared" si="17"/>
        <v>KP-7b Percentage of transgender people tested for STIs during the reporting period-2</v>
      </c>
      <c r="E428" s="15" t="s">
        <v>1168</v>
      </c>
      <c r="F428" s="15" t="s">
        <v>5464</v>
      </c>
      <c r="G428" s="14" t="s">
        <v>5492</v>
      </c>
      <c r="H428" s="15" t="s">
        <v>5493</v>
      </c>
    </row>
    <row r="429" spans="1:8" x14ac:dyDescent="0.25">
      <c r="A429" s="14" t="s">
        <v>1094</v>
      </c>
      <c r="B429" s="15" t="s">
        <v>1095</v>
      </c>
      <c r="C429" s="14">
        <f t="shared" si="16"/>
        <v>3</v>
      </c>
      <c r="D429" s="14" t="str">
        <f t="shared" si="17"/>
        <v>KP-7b Percentage of transgender people tested for STIs during the reporting period-3</v>
      </c>
      <c r="E429" s="15" t="s">
        <v>821</v>
      </c>
      <c r="F429" s="15" t="s">
        <v>4683</v>
      </c>
      <c r="G429" s="14" t="s">
        <v>5494</v>
      </c>
      <c r="H429" s="15" t="s">
        <v>5495</v>
      </c>
    </row>
    <row r="430" spans="1:8" x14ac:dyDescent="0.25">
      <c r="A430" s="14" t="s">
        <v>1094</v>
      </c>
      <c r="B430" s="15" t="s">
        <v>1095</v>
      </c>
      <c r="C430" s="14">
        <f t="shared" si="16"/>
        <v>4</v>
      </c>
      <c r="D430" s="14" t="str">
        <f t="shared" si="17"/>
        <v>KP-7b Percentage of transgender people tested for STIs during the reporting period-4</v>
      </c>
      <c r="E430" s="15" t="s">
        <v>1168</v>
      </c>
      <c r="F430" s="15" t="s">
        <v>5467</v>
      </c>
      <c r="G430" s="14" t="s">
        <v>5496</v>
      </c>
      <c r="H430" s="15" t="s">
        <v>5497</v>
      </c>
    </row>
    <row r="431" spans="1:8" x14ac:dyDescent="0.25">
      <c r="A431" s="14" t="s">
        <v>1094</v>
      </c>
      <c r="B431" s="15" t="s">
        <v>1095</v>
      </c>
      <c r="C431" s="14">
        <f t="shared" si="16"/>
        <v>5</v>
      </c>
      <c r="D431" s="14" t="str">
        <f t="shared" si="17"/>
        <v>KP-7b Percentage of transgender people tested for STIs during the reporting period-5</v>
      </c>
      <c r="E431" s="15" t="s">
        <v>4893</v>
      </c>
      <c r="F431" s="15" t="s">
        <v>4894</v>
      </c>
      <c r="G431" s="14" t="s">
        <v>5498</v>
      </c>
      <c r="H431" s="15" t="s">
        <v>5499</v>
      </c>
    </row>
    <row r="432" spans="1:8" x14ac:dyDescent="0.25">
      <c r="A432" s="14" t="s">
        <v>1094</v>
      </c>
      <c r="B432" s="15" t="s">
        <v>1095</v>
      </c>
      <c r="C432" s="14">
        <f t="shared" si="16"/>
        <v>6</v>
      </c>
      <c r="D432" s="14" t="str">
        <f t="shared" si="17"/>
        <v>KP-7b Percentage of transgender people tested for STIs during the reporting period-6</v>
      </c>
      <c r="E432" s="15" t="s">
        <v>4893</v>
      </c>
      <c r="F432" s="15" t="s">
        <v>4899</v>
      </c>
      <c r="G432" s="14" t="s">
        <v>5500</v>
      </c>
      <c r="H432" s="15" t="s">
        <v>5501</v>
      </c>
    </row>
    <row r="433" spans="1:8" x14ac:dyDescent="0.25">
      <c r="A433" s="14" t="s">
        <v>1148</v>
      </c>
      <c r="B433" s="15" t="s">
        <v>1149</v>
      </c>
      <c r="C433" s="14">
        <f t="shared" si="16"/>
        <v>0</v>
      </c>
      <c r="D433" s="14" t="str">
        <f t="shared" si="17"/>
        <v>HTS-2 Percentage of high risk AGYW that have received an HIV test during the reporting period in AGYW programs-0</v>
      </c>
      <c r="E433" s="15" t="s">
        <v>821</v>
      </c>
      <c r="F433" s="15" t="s">
        <v>4680</v>
      </c>
      <c r="G433" s="14" t="s">
        <v>5502</v>
      </c>
      <c r="H433" s="15" t="s">
        <v>5503</v>
      </c>
    </row>
    <row r="434" spans="1:8" x14ac:dyDescent="0.25">
      <c r="A434" s="14" t="s">
        <v>1148</v>
      </c>
      <c r="B434" s="15" t="s">
        <v>1149</v>
      </c>
      <c r="C434" s="14">
        <f t="shared" si="16"/>
        <v>1</v>
      </c>
      <c r="D434" s="14" t="str">
        <f t="shared" si="17"/>
        <v>HTS-2 Percentage of high risk AGYW that have received an HIV test during the reporting period in AGYW programs-1</v>
      </c>
      <c r="E434" s="15" t="s">
        <v>821</v>
      </c>
      <c r="F434" s="15" t="s">
        <v>4683</v>
      </c>
      <c r="G434" s="14" t="s">
        <v>5504</v>
      </c>
      <c r="H434" s="15" t="s">
        <v>5505</v>
      </c>
    </row>
    <row r="435" spans="1:8" x14ac:dyDescent="0.25">
      <c r="A435" s="14" t="s">
        <v>1151</v>
      </c>
      <c r="B435" s="15" t="s">
        <v>1152</v>
      </c>
      <c r="C435" s="14">
        <f t="shared" si="16"/>
        <v>0</v>
      </c>
      <c r="D435" s="14" t="str">
        <f t="shared" si="17"/>
        <v>HTS-3a⁽ᴹ⁾ Percentage of MSM that have received an HIV test during the reporting period in KP-specific programs and know their results-0</v>
      </c>
      <c r="E435" s="15" t="s">
        <v>821</v>
      </c>
      <c r="F435" s="15" t="s">
        <v>4540</v>
      </c>
      <c r="G435" s="14" t="s">
        <v>5506</v>
      </c>
      <c r="H435" s="15" t="s">
        <v>5507</v>
      </c>
    </row>
    <row r="436" spans="1:8" x14ac:dyDescent="0.25">
      <c r="A436" s="14" t="s">
        <v>1151</v>
      </c>
      <c r="B436" s="15" t="s">
        <v>1152</v>
      </c>
      <c r="C436" s="14">
        <f t="shared" si="16"/>
        <v>1</v>
      </c>
      <c r="D436" s="14" t="str">
        <f t="shared" si="17"/>
        <v>HTS-3a⁽ᴹ⁾ Percentage of MSM that have received an HIV test during the reporting period in KP-specific programs and know their results-1</v>
      </c>
      <c r="E436" s="15" t="s">
        <v>821</v>
      </c>
      <c r="F436" s="15" t="s">
        <v>4680</v>
      </c>
      <c r="G436" s="14" t="s">
        <v>5508</v>
      </c>
      <c r="H436" s="15" t="s">
        <v>5509</v>
      </c>
    </row>
    <row r="437" spans="1:8" x14ac:dyDescent="0.25">
      <c r="A437" s="14" t="s">
        <v>1151</v>
      </c>
      <c r="B437" s="15" t="s">
        <v>1152</v>
      </c>
      <c r="C437" s="14">
        <f t="shared" si="16"/>
        <v>2</v>
      </c>
      <c r="D437" s="14" t="str">
        <f t="shared" si="17"/>
        <v>HTS-3a⁽ᴹ⁾ Percentage of MSM that have received an HIV test during the reporting period in KP-specific programs and know their results-2</v>
      </c>
      <c r="E437" s="15" t="s">
        <v>821</v>
      </c>
      <c r="F437" s="15" t="s">
        <v>4683</v>
      </c>
      <c r="G437" s="14" t="s">
        <v>5510</v>
      </c>
      <c r="H437" s="15" t="s">
        <v>5511</v>
      </c>
    </row>
    <row r="438" spans="1:8" x14ac:dyDescent="0.25">
      <c r="A438" s="14" t="s">
        <v>1154</v>
      </c>
      <c r="B438" s="15" t="s">
        <v>1155</v>
      </c>
      <c r="C438" s="14">
        <f t="shared" si="16"/>
        <v>0</v>
      </c>
      <c r="D438" s="14" t="str">
        <f t="shared" si="17"/>
        <v>HTS-3b⁽ᴹ⁾ Percentage of TG that have received an HIV test during the reporting period in KP-specific programs and know their results-0</v>
      </c>
      <c r="E438" s="15" t="s">
        <v>821</v>
      </c>
      <c r="F438" s="15" t="s">
        <v>4540</v>
      </c>
      <c r="G438" s="14" t="s">
        <v>5512</v>
      </c>
      <c r="H438" s="15" t="s">
        <v>5513</v>
      </c>
    </row>
    <row r="439" spans="1:8" x14ac:dyDescent="0.25">
      <c r="A439" s="14" t="s">
        <v>1154</v>
      </c>
      <c r="B439" s="15" t="s">
        <v>1155</v>
      </c>
      <c r="C439" s="14">
        <f t="shared" si="16"/>
        <v>1</v>
      </c>
      <c r="D439" s="14" t="str">
        <f t="shared" si="17"/>
        <v>HTS-3b⁽ᴹ⁾ Percentage of TG that have received an HIV test during the reporting period in KP-specific programs and know their results-1</v>
      </c>
      <c r="E439" s="15" t="s">
        <v>821</v>
      </c>
      <c r="F439" s="15" t="s">
        <v>4680</v>
      </c>
      <c r="G439" s="14" t="s">
        <v>5514</v>
      </c>
      <c r="H439" s="15" t="s">
        <v>5515</v>
      </c>
    </row>
    <row r="440" spans="1:8" x14ac:dyDescent="0.25">
      <c r="A440" s="14" t="s">
        <v>1154</v>
      </c>
      <c r="B440" s="15" t="s">
        <v>1155</v>
      </c>
      <c r="C440" s="14">
        <f t="shared" si="16"/>
        <v>2</v>
      </c>
      <c r="D440" s="14" t="str">
        <f t="shared" si="17"/>
        <v>HTS-3b⁽ᴹ⁾ Percentage of TG that have received an HIV test during the reporting period in KP-specific programs and know their results-2</v>
      </c>
      <c r="E440" s="15" t="s">
        <v>1168</v>
      </c>
      <c r="F440" s="15" t="s">
        <v>5464</v>
      </c>
      <c r="G440" s="14" t="s">
        <v>5516</v>
      </c>
      <c r="H440" s="15" t="s">
        <v>5517</v>
      </c>
    </row>
    <row r="441" spans="1:8" x14ac:dyDescent="0.25">
      <c r="A441" s="14" t="s">
        <v>1154</v>
      </c>
      <c r="B441" s="15" t="s">
        <v>1155</v>
      </c>
      <c r="C441" s="14">
        <f t="shared" si="16"/>
        <v>3</v>
      </c>
      <c r="D441" s="14" t="str">
        <f t="shared" si="17"/>
        <v>HTS-3b⁽ᴹ⁾ Percentage of TG that have received an HIV test during the reporting period in KP-specific programs and know their results-3</v>
      </c>
      <c r="E441" s="15" t="s">
        <v>1168</v>
      </c>
      <c r="F441" s="15" t="s">
        <v>5467</v>
      </c>
      <c r="G441" s="14" t="s">
        <v>5518</v>
      </c>
      <c r="H441" s="15" t="s">
        <v>5519</v>
      </c>
    </row>
    <row r="442" spans="1:8" x14ac:dyDescent="0.25">
      <c r="A442" s="14" t="s">
        <v>1154</v>
      </c>
      <c r="B442" s="15" t="s">
        <v>1155</v>
      </c>
      <c r="C442" s="14">
        <f t="shared" si="16"/>
        <v>4</v>
      </c>
      <c r="D442" s="14" t="str">
        <f t="shared" si="17"/>
        <v>HTS-3b⁽ᴹ⁾ Percentage of TG that have received an HIV test during the reporting period in KP-specific programs and know their results-4</v>
      </c>
      <c r="E442" s="15" t="s">
        <v>821</v>
      </c>
      <c r="F442" s="15" t="s">
        <v>4683</v>
      </c>
      <c r="G442" s="14" t="s">
        <v>5520</v>
      </c>
      <c r="H442" s="15" t="s">
        <v>5521</v>
      </c>
    </row>
    <row r="443" spans="1:8" x14ac:dyDescent="0.25">
      <c r="A443" s="14" t="s">
        <v>1157</v>
      </c>
      <c r="B443" s="15" t="s">
        <v>1158</v>
      </c>
      <c r="C443" s="14">
        <f t="shared" si="16"/>
        <v>0</v>
      </c>
      <c r="D443" s="14" t="str">
        <f t="shared" si="17"/>
        <v>HTS-3c⁽ᴹ⁾ Percentage of sex workers that have received an HIV test during the reporting period in KP-specific programs and know their results-0</v>
      </c>
      <c r="E443" s="15" t="s">
        <v>821</v>
      </c>
      <c r="F443" s="15" t="s">
        <v>4540</v>
      </c>
      <c r="G443" s="14" t="s">
        <v>5522</v>
      </c>
      <c r="H443" s="15" t="s">
        <v>5523</v>
      </c>
    </row>
    <row r="444" spans="1:8" x14ac:dyDescent="0.25">
      <c r="A444" s="14" t="s">
        <v>1157</v>
      </c>
      <c r="B444" s="15" t="s">
        <v>1158</v>
      </c>
      <c r="C444" s="14">
        <f t="shared" si="16"/>
        <v>1</v>
      </c>
      <c r="D444" s="14" t="str">
        <f t="shared" si="17"/>
        <v>HTS-3c⁽ᴹ⁾ Percentage of sex workers that have received an HIV test during the reporting period in KP-specific programs and know their results-1</v>
      </c>
      <c r="E444" s="15" t="s">
        <v>821</v>
      </c>
      <c r="F444" s="15" t="s">
        <v>4680</v>
      </c>
      <c r="G444" s="14" t="s">
        <v>5524</v>
      </c>
      <c r="H444" s="15" t="s">
        <v>5525</v>
      </c>
    </row>
    <row r="445" spans="1:8" x14ac:dyDescent="0.25">
      <c r="A445" s="14" t="s">
        <v>1157</v>
      </c>
      <c r="B445" s="15" t="s">
        <v>1158</v>
      </c>
      <c r="C445" s="14">
        <f t="shared" si="16"/>
        <v>2</v>
      </c>
      <c r="D445" s="14" t="str">
        <f t="shared" si="17"/>
        <v>HTS-3c⁽ᴹ⁾ Percentage of sex workers that have received an HIV test during the reporting period in KP-specific programs and know their results-2</v>
      </c>
      <c r="E445" s="15" t="s">
        <v>821</v>
      </c>
      <c r="F445" s="15" t="s">
        <v>4683</v>
      </c>
      <c r="G445" s="14" t="s">
        <v>5526</v>
      </c>
      <c r="H445" s="15" t="s">
        <v>5527</v>
      </c>
    </row>
    <row r="446" spans="1:8" x14ac:dyDescent="0.25">
      <c r="A446" s="14" t="s">
        <v>1157</v>
      </c>
      <c r="B446" s="15" t="s">
        <v>1158</v>
      </c>
      <c r="C446" s="14">
        <f t="shared" si="16"/>
        <v>3</v>
      </c>
      <c r="D446" s="14" t="str">
        <f t="shared" si="17"/>
        <v>HTS-3c⁽ᴹ⁾ Percentage of sex workers that have received an HIV test during the reporting period in KP-specific programs and know their results-3</v>
      </c>
      <c r="E446" s="15" t="s">
        <v>1168</v>
      </c>
      <c r="F446" s="15" t="s">
        <v>4554</v>
      </c>
      <c r="G446" s="14" t="s">
        <v>5528</v>
      </c>
      <c r="H446" s="15" t="s">
        <v>5529</v>
      </c>
    </row>
    <row r="447" spans="1:8" x14ac:dyDescent="0.25">
      <c r="A447" s="14" t="s">
        <v>1157</v>
      </c>
      <c r="B447" s="15" t="s">
        <v>1158</v>
      </c>
      <c r="C447" s="14">
        <f t="shared" si="16"/>
        <v>4</v>
      </c>
      <c r="D447" s="14" t="str">
        <f t="shared" si="17"/>
        <v>HTS-3c⁽ᴹ⁾ Percentage of sex workers that have received an HIV test during the reporting period in KP-specific programs and know their results-4</v>
      </c>
      <c r="E447" s="15" t="s">
        <v>1168</v>
      </c>
      <c r="F447" s="15" t="s">
        <v>4492</v>
      </c>
      <c r="G447" s="14" t="s">
        <v>5530</v>
      </c>
      <c r="H447" s="15" t="s">
        <v>5531</v>
      </c>
    </row>
    <row r="448" spans="1:8" x14ac:dyDescent="0.25">
      <c r="A448" s="14" t="s">
        <v>1157</v>
      </c>
      <c r="B448" s="15" t="s">
        <v>1158</v>
      </c>
      <c r="C448" s="14">
        <f t="shared" si="16"/>
        <v>5</v>
      </c>
      <c r="D448" s="14" t="str">
        <f t="shared" si="17"/>
        <v>HTS-3c⁽ᴹ⁾ Percentage of sex workers that have received an HIV test during the reporting period in KP-specific programs and know their results-5</v>
      </c>
      <c r="E448" s="15" t="s">
        <v>1168</v>
      </c>
      <c r="F448" s="15" t="s">
        <v>4501</v>
      </c>
      <c r="G448" s="14" t="s">
        <v>5532</v>
      </c>
      <c r="H448" s="15" t="s">
        <v>5533</v>
      </c>
    </row>
    <row r="449" spans="1:8" x14ac:dyDescent="0.25">
      <c r="A449" s="14" t="s">
        <v>1160</v>
      </c>
      <c r="B449" s="15" t="s">
        <v>1161</v>
      </c>
      <c r="C449" s="14">
        <f t="shared" si="16"/>
        <v>0</v>
      </c>
      <c r="D449" s="14" t="str">
        <f t="shared" si="17"/>
        <v>HTS-3d⁽ᴹ⁾ Percentage of people who inject drugs that have received an HIV test during the reporting period in KP-specific programs and know their results-0</v>
      </c>
      <c r="E449" s="15" t="s">
        <v>821</v>
      </c>
      <c r="F449" s="15" t="s">
        <v>4540</v>
      </c>
      <c r="G449" s="14" t="s">
        <v>5534</v>
      </c>
      <c r="H449" s="15" t="s">
        <v>5535</v>
      </c>
    </row>
    <row r="450" spans="1:8" x14ac:dyDescent="0.25">
      <c r="A450" s="14" t="s">
        <v>1160</v>
      </c>
      <c r="B450" s="15" t="s">
        <v>1161</v>
      </c>
      <c r="C450" s="14">
        <f t="shared" si="16"/>
        <v>1</v>
      </c>
      <c r="D450" s="14" t="str">
        <f t="shared" si="17"/>
        <v>HTS-3d⁽ᴹ⁾ Percentage of people who inject drugs that have received an HIV test during the reporting period in KP-specific programs and know their results-1</v>
      </c>
      <c r="E450" s="15" t="s">
        <v>821</v>
      </c>
      <c r="F450" s="15" t="s">
        <v>4680</v>
      </c>
      <c r="G450" s="14" t="s">
        <v>5536</v>
      </c>
      <c r="H450" s="15" t="s">
        <v>5537</v>
      </c>
    </row>
    <row r="451" spans="1:8" x14ac:dyDescent="0.25">
      <c r="A451" s="14" t="s">
        <v>1160</v>
      </c>
      <c r="B451" s="15" t="s">
        <v>1161</v>
      </c>
      <c r="C451" s="14">
        <f t="shared" si="16"/>
        <v>2</v>
      </c>
      <c r="D451" s="14" t="str">
        <f t="shared" si="17"/>
        <v>HTS-3d⁽ᴹ⁾ Percentage of people who inject drugs that have received an HIV test during the reporting period in KP-specific programs and know their results-2</v>
      </c>
      <c r="E451" s="15" t="s">
        <v>821</v>
      </c>
      <c r="F451" s="15" t="s">
        <v>4683</v>
      </c>
      <c r="G451" s="14" t="s">
        <v>5538</v>
      </c>
      <c r="H451" s="15" t="s">
        <v>5539</v>
      </c>
    </row>
    <row r="452" spans="1:8" x14ac:dyDescent="0.25">
      <c r="A452" s="14" t="s">
        <v>1160</v>
      </c>
      <c r="B452" s="15" t="s">
        <v>1161</v>
      </c>
      <c r="C452" s="14">
        <f t="shared" si="16"/>
        <v>3</v>
      </c>
      <c r="D452" s="14" t="str">
        <f t="shared" si="17"/>
        <v>HTS-3d⁽ᴹ⁾ Percentage of people who inject drugs that have received an HIV test during the reporting period in KP-specific programs and know their results-3</v>
      </c>
      <c r="E452" s="15" t="s">
        <v>1168</v>
      </c>
      <c r="F452" s="15" t="s">
        <v>4492</v>
      </c>
      <c r="G452" s="14" t="s">
        <v>5540</v>
      </c>
      <c r="H452" s="15" t="s">
        <v>5541</v>
      </c>
    </row>
    <row r="453" spans="1:8" x14ac:dyDescent="0.25">
      <c r="A453" s="14" t="s">
        <v>1160</v>
      </c>
      <c r="B453" s="15" t="s">
        <v>1161</v>
      </c>
      <c r="C453" s="14">
        <f t="shared" si="16"/>
        <v>4</v>
      </c>
      <c r="D453" s="14" t="str">
        <f t="shared" si="17"/>
        <v>HTS-3d⁽ᴹ⁾ Percentage of people who inject drugs that have received an HIV test during the reporting period in KP-specific programs and know their results-4</v>
      </c>
      <c r="E453" s="15" t="s">
        <v>1168</v>
      </c>
      <c r="F453" s="15" t="s">
        <v>4501</v>
      </c>
      <c r="G453" s="14" t="s">
        <v>5542</v>
      </c>
      <c r="H453" s="15" t="s">
        <v>5543</v>
      </c>
    </row>
    <row r="454" spans="1:8" x14ac:dyDescent="0.25">
      <c r="A454" s="14" t="s">
        <v>1166</v>
      </c>
      <c r="B454" s="15" t="s">
        <v>1167</v>
      </c>
      <c r="C454" s="14">
        <f t="shared" si="16"/>
        <v>0</v>
      </c>
      <c r="D454" s="14" t="str">
        <f t="shared" si="17"/>
        <v>HTS-3f⁽ᴹ⁾ Number of people in prisons and other closed settings that have received an HIV test during the reporting period and know their results-0</v>
      </c>
      <c r="E454" s="15" t="s">
        <v>1168</v>
      </c>
      <c r="F454" s="15" t="s">
        <v>4492</v>
      </c>
      <c r="G454" s="14" t="s">
        <v>5544</v>
      </c>
      <c r="H454" s="15" t="s">
        <v>5545</v>
      </c>
    </row>
    <row r="455" spans="1:8" x14ac:dyDescent="0.25">
      <c r="A455" s="14" t="s">
        <v>1166</v>
      </c>
      <c r="B455" s="15" t="s">
        <v>1167</v>
      </c>
      <c r="C455" s="14">
        <f t="shared" si="16"/>
        <v>1</v>
      </c>
      <c r="D455" s="14" t="str">
        <f t="shared" si="17"/>
        <v>HTS-3f⁽ᴹ⁾ Number of people in prisons and other closed settings that have received an HIV test during the reporting period and know their results-1</v>
      </c>
      <c r="E455" s="15" t="s">
        <v>1168</v>
      </c>
      <c r="F455" s="15" t="s">
        <v>4501</v>
      </c>
      <c r="G455" s="14" t="s">
        <v>5546</v>
      </c>
      <c r="H455" s="15" t="s">
        <v>5547</v>
      </c>
    </row>
    <row r="456" spans="1:8" x14ac:dyDescent="0.25">
      <c r="A456" s="14" t="s">
        <v>1170</v>
      </c>
      <c r="B456" s="15" t="s">
        <v>1171</v>
      </c>
      <c r="C456" s="14">
        <f t="shared" si="16"/>
        <v>0</v>
      </c>
      <c r="D456" s="14" t="str">
        <f t="shared" si="17"/>
        <v>HTS-4 Percentage of HIV-positive results among the total HIV tests performed during the reporting period-0</v>
      </c>
      <c r="E456" s="15" t="s">
        <v>821</v>
      </c>
      <c r="F456" s="15" t="s">
        <v>4479</v>
      </c>
      <c r="G456" s="14" t="s">
        <v>5548</v>
      </c>
      <c r="H456" s="15" t="s">
        <v>5549</v>
      </c>
    </row>
    <row r="457" spans="1:8" x14ac:dyDescent="0.25">
      <c r="A457" s="14" t="s">
        <v>1170</v>
      </c>
      <c r="B457" s="15" t="s">
        <v>1171</v>
      </c>
      <c r="C457" s="14">
        <f t="shared" si="16"/>
        <v>1</v>
      </c>
      <c r="D457" s="14" t="str">
        <f t="shared" si="17"/>
        <v>HTS-4 Percentage of HIV-positive results among the total HIV tests performed during the reporting period-1</v>
      </c>
      <c r="E457" s="15" t="s">
        <v>821</v>
      </c>
      <c r="F457" s="15" t="s">
        <v>4482</v>
      </c>
      <c r="G457" s="14" t="s">
        <v>5550</v>
      </c>
      <c r="H457" s="15" t="s">
        <v>5551</v>
      </c>
    </row>
    <row r="458" spans="1:8" x14ac:dyDescent="0.25">
      <c r="A458" s="14" t="s">
        <v>1170</v>
      </c>
      <c r="B458" s="15" t="s">
        <v>1171</v>
      </c>
      <c r="C458" s="14">
        <f t="shared" si="16"/>
        <v>2</v>
      </c>
      <c r="D458" s="14" t="str">
        <f t="shared" si="17"/>
        <v>HTS-4 Percentage of HIV-positive results among the total HIV tests performed during the reporting period-2</v>
      </c>
      <c r="E458" s="15" t="s">
        <v>4485</v>
      </c>
      <c r="F458" s="15" t="s">
        <v>4690</v>
      </c>
      <c r="G458" s="14" t="s">
        <v>5552</v>
      </c>
      <c r="H458" s="15" t="s">
        <v>5553</v>
      </c>
    </row>
    <row r="459" spans="1:8" x14ac:dyDescent="0.25">
      <c r="A459" s="14" t="s">
        <v>1170</v>
      </c>
      <c r="B459" s="15" t="s">
        <v>1171</v>
      </c>
      <c r="C459" s="14">
        <f t="shared" si="16"/>
        <v>3</v>
      </c>
      <c r="D459" s="14" t="str">
        <f t="shared" si="17"/>
        <v>HTS-4 Percentage of HIV-positive results among the total HIV tests performed during the reporting period-3</v>
      </c>
      <c r="E459" s="15" t="s">
        <v>4485</v>
      </c>
      <c r="F459" s="15" t="s">
        <v>4693</v>
      </c>
      <c r="G459" s="14" t="s">
        <v>5554</v>
      </c>
      <c r="H459" s="15" t="s">
        <v>5555</v>
      </c>
    </row>
    <row r="460" spans="1:8" x14ac:dyDescent="0.25">
      <c r="A460" s="14" t="s">
        <v>1174</v>
      </c>
      <c r="B460" s="15" t="s">
        <v>1175</v>
      </c>
      <c r="C460" s="14">
        <f t="shared" si="16"/>
        <v>0</v>
      </c>
      <c r="D460" s="14" t="str">
        <f t="shared" si="17"/>
        <v>HTS-5 Percentage of people newly diagnosed with HIV initiated on ART-0</v>
      </c>
      <c r="E460" s="15" t="s">
        <v>821</v>
      </c>
      <c r="F460" s="15" t="s">
        <v>4479</v>
      </c>
      <c r="G460" s="14" t="s">
        <v>5556</v>
      </c>
      <c r="H460" s="15" t="s">
        <v>5557</v>
      </c>
    </row>
    <row r="461" spans="1:8" x14ac:dyDescent="0.25">
      <c r="A461" s="14" t="s">
        <v>1174</v>
      </c>
      <c r="B461" s="15" t="s">
        <v>1175</v>
      </c>
      <c r="C461" s="14">
        <f t="shared" si="16"/>
        <v>1</v>
      </c>
      <c r="D461" s="14" t="str">
        <f t="shared" si="17"/>
        <v>HTS-5 Percentage of people newly diagnosed with HIV initiated on ART-1</v>
      </c>
      <c r="E461" s="15" t="s">
        <v>821</v>
      </c>
      <c r="F461" s="15" t="s">
        <v>4482</v>
      </c>
      <c r="G461" s="14" t="s">
        <v>5558</v>
      </c>
      <c r="H461" s="15" t="s">
        <v>5559</v>
      </c>
    </row>
    <row r="462" spans="1:8" x14ac:dyDescent="0.25">
      <c r="A462" s="14" t="s">
        <v>1174</v>
      </c>
      <c r="B462" s="15" t="s">
        <v>1175</v>
      </c>
      <c r="C462" s="14">
        <f t="shared" si="16"/>
        <v>2</v>
      </c>
      <c r="D462" s="14" t="str">
        <f t="shared" si="17"/>
        <v>HTS-5 Percentage of people newly diagnosed with HIV initiated on ART-2</v>
      </c>
      <c r="E462" s="15" t="s">
        <v>4485</v>
      </c>
      <c r="F462" s="15" t="s">
        <v>4690</v>
      </c>
      <c r="G462" s="14" t="s">
        <v>5560</v>
      </c>
      <c r="H462" s="15" t="s">
        <v>5561</v>
      </c>
    </row>
    <row r="463" spans="1:8" x14ac:dyDescent="0.25">
      <c r="A463" s="14" t="s">
        <v>1174</v>
      </c>
      <c r="B463" s="15" t="s">
        <v>1175</v>
      </c>
      <c r="C463" s="14">
        <f t="shared" si="16"/>
        <v>3</v>
      </c>
      <c r="D463" s="14" t="str">
        <f t="shared" si="17"/>
        <v>HTS-5 Percentage of people newly diagnosed with HIV initiated on ART-3</v>
      </c>
      <c r="E463" s="15" t="s">
        <v>4485</v>
      </c>
      <c r="F463" s="15" t="s">
        <v>4693</v>
      </c>
      <c r="G463" s="14" t="s">
        <v>5562</v>
      </c>
      <c r="H463" s="15" t="s">
        <v>5563</v>
      </c>
    </row>
    <row r="464" spans="1:8" x14ac:dyDescent="0.25">
      <c r="A464" s="14" t="s">
        <v>1060</v>
      </c>
      <c r="B464" s="15" t="s">
        <v>1061</v>
      </c>
      <c r="C464" s="14">
        <f t="shared" si="16"/>
        <v>0</v>
      </c>
      <c r="D464" s="14" t="str">
        <f t="shared" si="17"/>
        <v>KP-1a⁽ᴹ⁾ Percentage of men who have sex with men reached with HIV prevention programs - defined package of services-0</v>
      </c>
      <c r="E464" s="15" t="s">
        <v>821</v>
      </c>
      <c r="F464" s="15" t="s">
        <v>4540</v>
      </c>
      <c r="G464" s="14" t="s">
        <v>5564</v>
      </c>
      <c r="H464" s="15" t="s">
        <v>5565</v>
      </c>
    </row>
    <row r="465" spans="1:8" x14ac:dyDescent="0.25">
      <c r="A465" s="14" t="s">
        <v>1060</v>
      </c>
      <c r="B465" s="15" t="s">
        <v>1061</v>
      </c>
      <c r="C465" s="14">
        <f t="shared" si="16"/>
        <v>1</v>
      </c>
      <c r="D465" s="14" t="str">
        <f t="shared" si="17"/>
        <v>KP-1a⁽ᴹ⁾ Percentage of men who have sex with men reached with HIV prevention programs - defined package of services-1</v>
      </c>
      <c r="E465" s="15" t="s">
        <v>821</v>
      </c>
      <c r="F465" s="15" t="s">
        <v>4680</v>
      </c>
      <c r="G465" s="14" t="s">
        <v>5566</v>
      </c>
      <c r="H465" s="15" t="s">
        <v>5567</v>
      </c>
    </row>
    <row r="466" spans="1:8" x14ac:dyDescent="0.25">
      <c r="A466" s="14" t="s">
        <v>1060</v>
      </c>
      <c r="B466" s="15" t="s">
        <v>1061</v>
      </c>
      <c r="C466" s="14">
        <f t="shared" si="16"/>
        <v>2</v>
      </c>
      <c r="D466" s="14" t="str">
        <f t="shared" si="17"/>
        <v>KP-1a⁽ᴹ⁾ Percentage of men who have sex with men reached with HIV prevention programs - defined package of services-2</v>
      </c>
      <c r="E466" s="15" t="s">
        <v>821</v>
      </c>
      <c r="F466" s="15" t="s">
        <v>4683</v>
      </c>
      <c r="G466" s="14" t="s">
        <v>5568</v>
      </c>
      <c r="H466" s="15" t="s">
        <v>5569</v>
      </c>
    </row>
    <row r="467" spans="1:8" x14ac:dyDescent="0.25">
      <c r="A467" s="14" t="s">
        <v>1065</v>
      </c>
      <c r="B467" s="15" t="s">
        <v>1066</v>
      </c>
      <c r="C467" s="14">
        <f t="shared" si="16"/>
        <v>0</v>
      </c>
      <c r="D467" s="14" t="str">
        <f t="shared" si="17"/>
        <v>KP-6a Number of MSM who received any PrEP product at least once during the reporting period-0</v>
      </c>
      <c r="E467" s="15" t="s">
        <v>821</v>
      </c>
      <c r="F467" s="15" t="s">
        <v>4540</v>
      </c>
      <c r="G467" s="14" t="s">
        <v>5570</v>
      </c>
      <c r="H467" s="15" t="s">
        <v>5571</v>
      </c>
    </row>
    <row r="468" spans="1:8" x14ac:dyDescent="0.25">
      <c r="A468" s="14" t="s">
        <v>1065</v>
      </c>
      <c r="B468" s="15" t="s">
        <v>1066</v>
      </c>
      <c r="C468" s="14">
        <f t="shared" si="16"/>
        <v>1</v>
      </c>
      <c r="D468" s="14" t="str">
        <f t="shared" si="17"/>
        <v>KP-6a Number of MSM who received any PrEP product at least once during the reporting period-1</v>
      </c>
      <c r="E468" s="15" t="s">
        <v>821</v>
      </c>
      <c r="F468" s="15" t="s">
        <v>4680</v>
      </c>
      <c r="G468" s="14" t="s">
        <v>5572</v>
      </c>
      <c r="H468" s="15" t="s">
        <v>5573</v>
      </c>
    </row>
    <row r="469" spans="1:8" x14ac:dyDescent="0.25">
      <c r="A469" s="14" t="s">
        <v>1065</v>
      </c>
      <c r="B469" s="15" t="s">
        <v>1066</v>
      </c>
      <c r="C469" s="14">
        <f t="shared" si="16"/>
        <v>2</v>
      </c>
      <c r="D469" s="14" t="str">
        <f t="shared" si="17"/>
        <v>KP-6a Number of MSM who received any PrEP product at least once during the reporting period-2</v>
      </c>
      <c r="E469" s="15" t="s">
        <v>821</v>
      </c>
      <c r="F469" s="15" t="s">
        <v>4683</v>
      </c>
      <c r="G469" s="14" t="s">
        <v>5574</v>
      </c>
      <c r="H469" s="15" t="s">
        <v>5575</v>
      </c>
    </row>
    <row r="470" spans="1:8" x14ac:dyDescent="0.25">
      <c r="A470" s="14" t="s">
        <v>1065</v>
      </c>
      <c r="B470" s="15" t="s">
        <v>1066</v>
      </c>
      <c r="C470" s="14">
        <f t="shared" si="16"/>
        <v>3</v>
      </c>
      <c r="D470" s="14" t="str">
        <f t="shared" si="17"/>
        <v>KP-6a Number of MSM who received any PrEP product at least once during the reporting period-3</v>
      </c>
      <c r="E470" s="15" t="s">
        <v>4869</v>
      </c>
      <c r="F470" s="15" t="s">
        <v>4870</v>
      </c>
      <c r="G470" s="14" t="s">
        <v>5576</v>
      </c>
      <c r="H470" s="15" t="s">
        <v>5577</v>
      </c>
    </row>
    <row r="471" spans="1:8" x14ac:dyDescent="0.25">
      <c r="A471" s="14" t="s">
        <v>1065</v>
      </c>
      <c r="B471" s="15" t="s">
        <v>1066</v>
      </c>
      <c r="C471" s="14">
        <f t="shared" si="16"/>
        <v>4</v>
      </c>
      <c r="D471" s="14" t="str">
        <f t="shared" si="17"/>
        <v>KP-6a Number of MSM who received any PrEP product at least once during the reporting period-4</v>
      </c>
      <c r="E471" s="15" t="s">
        <v>4869</v>
      </c>
      <c r="F471" s="15" t="s">
        <v>4873</v>
      </c>
      <c r="G471" s="14" t="s">
        <v>5578</v>
      </c>
      <c r="H471" s="15" t="s">
        <v>5579</v>
      </c>
    </row>
    <row r="472" spans="1:8" x14ac:dyDescent="0.25">
      <c r="A472" s="14" t="s">
        <v>1065</v>
      </c>
      <c r="B472" s="15" t="s">
        <v>1066</v>
      </c>
      <c r="C472" s="14">
        <f t="shared" si="16"/>
        <v>5</v>
      </c>
      <c r="D472" s="14" t="str">
        <f t="shared" si="17"/>
        <v>KP-6a Number of MSM who received any PrEP product at least once during the reporting period-5</v>
      </c>
      <c r="E472" s="15" t="s">
        <v>4869</v>
      </c>
      <c r="F472" s="15" t="s">
        <v>4880</v>
      </c>
      <c r="G472" s="14" t="s">
        <v>5580</v>
      </c>
      <c r="H472" s="15" t="s">
        <v>5581</v>
      </c>
    </row>
    <row r="473" spans="1:8" x14ac:dyDescent="0.25">
      <c r="A473" s="14" t="s">
        <v>1069</v>
      </c>
      <c r="B473" s="15" t="s">
        <v>1070</v>
      </c>
      <c r="C473" s="14">
        <f t="shared" ref="C473:C512" si="18">IF(B473=B472,C472+1,0)</f>
        <v>0</v>
      </c>
      <c r="D473" s="14" t="str">
        <f t="shared" ref="D473:D512" si="19">B473&amp;"-"&amp;C473</f>
        <v>KP-7a Percentage of MSM tested for STIs during the reporting period-0</v>
      </c>
      <c r="E473" s="15" t="s">
        <v>821</v>
      </c>
      <c r="F473" s="15" t="s">
        <v>4540</v>
      </c>
      <c r="G473" s="14" t="s">
        <v>5582</v>
      </c>
      <c r="H473" s="15" t="s">
        <v>5583</v>
      </c>
    </row>
    <row r="474" spans="1:8" x14ac:dyDescent="0.25">
      <c r="A474" s="14" t="s">
        <v>1069</v>
      </c>
      <c r="B474" s="15" t="s">
        <v>1070</v>
      </c>
      <c r="C474" s="14">
        <f t="shared" si="18"/>
        <v>1</v>
      </c>
      <c r="D474" s="14" t="str">
        <f t="shared" si="19"/>
        <v>KP-7a Percentage of MSM tested for STIs during the reporting period-1</v>
      </c>
      <c r="E474" s="15" t="s">
        <v>821</v>
      </c>
      <c r="F474" s="15" t="s">
        <v>4680</v>
      </c>
      <c r="G474" s="14" t="s">
        <v>5584</v>
      </c>
      <c r="H474" s="15" t="s">
        <v>5585</v>
      </c>
    </row>
    <row r="475" spans="1:8" x14ac:dyDescent="0.25">
      <c r="A475" s="14" t="s">
        <v>1069</v>
      </c>
      <c r="B475" s="15" t="s">
        <v>1070</v>
      </c>
      <c r="C475" s="14">
        <f t="shared" si="18"/>
        <v>2</v>
      </c>
      <c r="D475" s="14" t="str">
        <f t="shared" si="19"/>
        <v>KP-7a Percentage of MSM tested for STIs during the reporting period-2</v>
      </c>
      <c r="E475" s="15" t="s">
        <v>821</v>
      </c>
      <c r="F475" s="15" t="s">
        <v>4683</v>
      </c>
      <c r="G475" s="14" t="s">
        <v>5586</v>
      </c>
      <c r="H475" s="15" t="s">
        <v>5587</v>
      </c>
    </row>
    <row r="476" spans="1:8" x14ac:dyDescent="0.25">
      <c r="A476" s="14" t="s">
        <v>1069</v>
      </c>
      <c r="B476" s="15" t="s">
        <v>1070</v>
      </c>
      <c r="C476" s="14">
        <f t="shared" si="18"/>
        <v>3</v>
      </c>
      <c r="D476" s="14" t="str">
        <f t="shared" si="19"/>
        <v>KP-7a Percentage of MSM tested for STIs during the reporting period-3</v>
      </c>
      <c r="E476" s="15" t="s">
        <v>4893</v>
      </c>
      <c r="F476" s="15" t="s">
        <v>4894</v>
      </c>
      <c r="G476" s="14" t="s">
        <v>5588</v>
      </c>
      <c r="H476" s="15" t="s">
        <v>5589</v>
      </c>
    </row>
    <row r="477" spans="1:8" x14ac:dyDescent="0.25">
      <c r="A477" s="14" t="s">
        <v>1069</v>
      </c>
      <c r="B477" s="15" t="s">
        <v>1070</v>
      </c>
      <c r="C477" s="14">
        <f t="shared" si="18"/>
        <v>4</v>
      </c>
      <c r="D477" s="14" t="str">
        <f t="shared" si="19"/>
        <v>KP-7a Percentage of MSM tested for STIs during the reporting period-4</v>
      </c>
      <c r="E477" s="15" t="s">
        <v>4893</v>
      </c>
      <c r="F477" s="15" t="s">
        <v>4899</v>
      </c>
      <c r="G477" s="14" t="s">
        <v>5590</v>
      </c>
      <c r="H477" s="15" t="s">
        <v>5591</v>
      </c>
    </row>
    <row r="478" spans="1:8" x14ac:dyDescent="0.25">
      <c r="A478" s="14" t="s">
        <v>1369</v>
      </c>
      <c r="B478" s="15" t="s">
        <v>1370</v>
      </c>
      <c r="C478" s="14">
        <f t="shared" si="18"/>
        <v>0</v>
      </c>
      <c r="D478" s="14" t="str">
        <f t="shared" si="19"/>
        <v>RSSH/PP LAB-1 Percentage of laboratories accredited according to ISO15189 standard or achieving at least four stars towards accreditation or two-star incremental improvement-0</v>
      </c>
      <c r="E478" s="15" t="s">
        <v>1371</v>
      </c>
      <c r="F478" s="15" t="s">
        <v>5592</v>
      </c>
      <c r="G478" s="14" t="s">
        <v>5593</v>
      </c>
      <c r="H478" s="15" t="s">
        <v>5594</v>
      </c>
    </row>
    <row r="479" spans="1:8" x14ac:dyDescent="0.25">
      <c r="A479" s="14" t="s">
        <v>1369</v>
      </c>
      <c r="B479" s="15" t="s">
        <v>1370</v>
      </c>
      <c r="C479" s="14">
        <f t="shared" si="18"/>
        <v>1</v>
      </c>
      <c r="D479" s="14" t="str">
        <f t="shared" si="19"/>
        <v>RSSH/PP LAB-1 Percentage of laboratories accredited according to ISO15189 standard or achieving at least four stars towards accreditation or two-star incremental improvement-1</v>
      </c>
      <c r="E479" s="15" t="s">
        <v>1371</v>
      </c>
      <c r="F479" s="15" t="s">
        <v>5595</v>
      </c>
      <c r="G479" s="14" t="s">
        <v>5596</v>
      </c>
      <c r="H479" s="15" t="s">
        <v>5597</v>
      </c>
    </row>
    <row r="480" spans="1:8" x14ac:dyDescent="0.25">
      <c r="A480" s="14" t="s">
        <v>1376</v>
      </c>
      <c r="B480" s="15" t="s">
        <v>1377</v>
      </c>
      <c r="C480" s="14">
        <f t="shared" si="18"/>
        <v>0</v>
      </c>
      <c r="D480" s="14" t="str">
        <f t="shared" si="19"/>
        <v>RSSH/PP LAB-3 Percentage of laboratories successfully participating in external quality assurance (EQA) or proficiency testing (PT) schemes-0</v>
      </c>
      <c r="E480" s="15" t="s">
        <v>1378</v>
      </c>
      <c r="F480" s="15" t="s">
        <v>5598</v>
      </c>
      <c r="G480" s="14" t="s">
        <v>5599</v>
      </c>
      <c r="H480" s="15" t="s">
        <v>5600</v>
      </c>
    </row>
    <row r="481" spans="1:8" x14ac:dyDescent="0.25">
      <c r="A481" s="14" t="s">
        <v>1376</v>
      </c>
      <c r="B481" s="15" t="s">
        <v>1377</v>
      </c>
      <c r="C481" s="14">
        <f t="shared" si="18"/>
        <v>1</v>
      </c>
      <c r="D481" s="14" t="str">
        <f t="shared" si="19"/>
        <v>RSSH/PP LAB-3 Percentage of laboratories successfully participating in external quality assurance (EQA) or proficiency testing (PT) schemes-1</v>
      </c>
      <c r="E481" s="15" t="s">
        <v>1378</v>
      </c>
      <c r="F481" s="15" t="s">
        <v>5338</v>
      </c>
      <c r="G481" s="14" t="s">
        <v>5601</v>
      </c>
      <c r="H481" s="15" t="s">
        <v>5602</v>
      </c>
    </row>
    <row r="482" spans="1:8" x14ac:dyDescent="0.25">
      <c r="A482" s="14" t="s">
        <v>1376</v>
      </c>
      <c r="B482" s="15" t="s">
        <v>1377</v>
      </c>
      <c r="C482" s="14">
        <f t="shared" si="18"/>
        <v>2</v>
      </c>
      <c r="D482" s="14" t="str">
        <f t="shared" si="19"/>
        <v>RSSH/PP LAB-3 Percentage of laboratories successfully participating in external quality assurance (EQA) or proficiency testing (PT) schemes-2</v>
      </c>
      <c r="E482" s="15" t="s">
        <v>1378</v>
      </c>
      <c r="F482" s="15" t="s">
        <v>5341</v>
      </c>
      <c r="G482" s="14" t="s">
        <v>5603</v>
      </c>
      <c r="H482" s="15" t="s">
        <v>5604</v>
      </c>
    </row>
    <row r="483" spans="1:8" x14ac:dyDescent="0.25">
      <c r="A483" s="14" t="s">
        <v>1376</v>
      </c>
      <c r="B483" s="15" t="s">
        <v>1377</v>
      </c>
      <c r="C483" s="14">
        <f t="shared" si="18"/>
        <v>3</v>
      </c>
      <c r="D483" s="14" t="str">
        <f t="shared" si="19"/>
        <v>RSSH/PP LAB-3 Percentage of laboratories successfully participating in external quality assurance (EQA) or proficiency testing (PT) schemes-3</v>
      </c>
      <c r="E483" s="15" t="s">
        <v>1378</v>
      </c>
      <c r="F483" s="15" t="s">
        <v>5344</v>
      </c>
      <c r="G483" s="14" t="s">
        <v>5605</v>
      </c>
      <c r="H483" s="15" t="s">
        <v>5606</v>
      </c>
    </row>
    <row r="484" spans="1:8" x14ac:dyDescent="0.25">
      <c r="A484" s="14" t="s">
        <v>1387</v>
      </c>
      <c r="B484" s="15" t="s">
        <v>1388</v>
      </c>
      <c r="C484" s="14">
        <f t="shared" si="18"/>
        <v>0</v>
      </c>
      <c r="D484" s="14" t="str">
        <f t="shared" si="19"/>
        <v>RSSH/PP RCS-1 Percentage of health facilities able to provide oxygen therapy related services among those providing the service-0</v>
      </c>
      <c r="E484" s="15" t="s">
        <v>1389</v>
      </c>
      <c r="F484" s="15" t="s">
        <v>5607</v>
      </c>
      <c r="G484" s="14" t="s">
        <v>5608</v>
      </c>
      <c r="H484" s="15" t="s">
        <v>5609</v>
      </c>
    </row>
    <row r="485" spans="1:8" x14ac:dyDescent="0.25">
      <c r="A485" s="14" t="s">
        <v>1387</v>
      </c>
      <c r="B485" s="15" t="s">
        <v>1388</v>
      </c>
      <c r="C485" s="14">
        <f t="shared" si="18"/>
        <v>1</v>
      </c>
      <c r="D485" s="14" t="str">
        <f t="shared" si="19"/>
        <v>RSSH/PP RCS-1 Percentage of health facilities able to provide oxygen therapy related services among those providing the service-1</v>
      </c>
      <c r="E485" s="15" t="s">
        <v>1389</v>
      </c>
      <c r="F485" s="15" t="s">
        <v>5610</v>
      </c>
      <c r="G485" s="14" t="s">
        <v>5611</v>
      </c>
      <c r="H485" s="15" t="s">
        <v>5612</v>
      </c>
    </row>
    <row r="486" spans="1:8" x14ac:dyDescent="0.25">
      <c r="A486" s="14" t="s">
        <v>1259</v>
      </c>
      <c r="B486" s="15" t="s">
        <v>1260</v>
      </c>
      <c r="C486" s="14">
        <f t="shared" si="18"/>
        <v>0</v>
      </c>
      <c r="D486" s="14" t="str">
        <f t="shared" si="19"/>
        <v>TBP-1⁽ᴹ⁾ Number of people in contact with TB patients who began preventive therapy-0</v>
      </c>
      <c r="E486" s="15" t="s">
        <v>821</v>
      </c>
      <c r="F486" s="15" t="s">
        <v>4479</v>
      </c>
      <c r="G486" s="14" t="s">
        <v>5613</v>
      </c>
      <c r="H486" s="15" t="s">
        <v>5614</v>
      </c>
    </row>
    <row r="487" spans="1:8" x14ac:dyDescent="0.25">
      <c r="A487" s="14" t="s">
        <v>1259</v>
      </c>
      <c r="B487" s="15" t="s">
        <v>1260</v>
      </c>
      <c r="C487" s="14">
        <f t="shared" si="18"/>
        <v>1</v>
      </c>
      <c r="D487" s="14" t="str">
        <f t="shared" si="19"/>
        <v>TBP-1⁽ᴹ⁾ Number of people in contact with TB patients who began preventive therapy-1</v>
      </c>
      <c r="E487" s="15" t="s">
        <v>5080</v>
      </c>
      <c r="F487" s="15" t="s">
        <v>5081</v>
      </c>
      <c r="G487" s="14" t="s">
        <v>5615</v>
      </c>
      <c r="H487" s="15" t="s">
        <v>5616</v>
      </c>
    </row>
    <row r="488" spans="1:8" x14ac:dyDescent="0.25">
      <c r="A488" s="14" t="s">
        <v>1259</v>
      </c>
      <c r="B488" s="15" t="s">
        <v>1260</v>
      </c>
      <c r="C488" s="14">
        <f t="shared" si="18"/>
        <v>2</v>
      </c>
      <c r="D488" s="14" t="str">
        <f t="shared" si="19"/>
        <v>TBP-1⁽ᴹ⁾ Number of people in contact with TB patients who began preventive therapy-2</v>
      </c>
      <c r="E488" s="15" t="s">
        <v>5080</v>
      </c>
      <c r="F488" s="15" t="s">
        <v>5084</v>
      </c>
      <c r="G488" s="14" t="s">
        <v>5617</v>
      </c>
      <c r="H488" s="15" t="s">
        <v>5618</v>
      </c>
    </row>
    <row r="489" spans="1:8" x14ac:dyDescent="0.25">
      <c r="A489" s="14" t="s">
        <v>1259</v>
      </c>
      <c r="B489" s="15" t="s">
        <v>1260</v>
      </c>
      <c r="C489" s="14">
        <f t="shared" si="18"/>
        <v>3</v>
      </c>
      <c r="D489" s="14" t="str">
        <f t="shared" si="19"/>
        <v>TBP-1⁽ᴹ⁾ Number of people in contact with TB patients who began preventive therapy-3</v>
      </c>
      <c r="E489" s="15" t="s">
        <v>5080</v>
      </c>
      <c r="F489" s="15" t="s">
        <v>5087</v>
      </c>
      <c r="G489" s="14" t="s">
        <v>5619</v>
      </c>
      <c r="H489" s="15" t="s">
        <v>5620</v>
      </c>
    </row>
    <row r="490" spans="1:8" x14ac:dyDescent="0.25">
      <c r="A490" s="14" t="s">
        <v>1259</v>
      </c>
      <c r="B490" s="15" t="s">
        <v>1260</v>
      </c>
      <c r="C490" s="14">
        <f t="shared" si="18"/>
        <v>4</v>
      </c>
      <c r="D490" s="14" t="str">
        <f t="shared" si="19"/>
        <v>TBP-1⁽ᴹ⁾ Number of people in contact with TB patients who began preventive therapy-4</v>
      </c>
      <c r="E490" s="15" t="s">
        <v>1139</v>
      </c>
      <c r="F490" s="15" t="s">
        <v>4954</v>
      </c>
      <c r="G490" s="14" t="s">
        <v>5621</v>
      </c>
      <c r="H490" s="15" t="s">
        <v>5622</v>
      </c>
    </row>
    <row r="491" spans="1:8" x14ac:dyDescent="0.25">
      <c r="A491" s="14" t="s">
        <v>1259</v>
      </c>
      <c r="B491" s="15" t="s">
        <v>1260</v>
      </c>
      <c r="C491" s="14">
        <f t="shared" si="18"/>
        <v>5</v>
      </c>
      <c r="D491" s="14" t="str">
        <f t="shared" si="19"/>
        <v>TBP-1⁽ᴹ⁾ Number of people in contact with TB patients who began preventive therapy-5</v>
      </c>
      <c r="E491" s="15" t="s">
        <v>1139</v>
      </c>
      <c r="F491" s="15" t="s">
        <v>4957</v>
      </c>
      <c r="G491" s="14" t="s">
        <v>5623</v>
      </c>
      <c r="H491" s="15" t="s">
        <v>5624</v>
      </c>
    </row>
    <row r="492" spans="1:8" x14ac:dyDescent="0.25">
      <c r="A492" s="14" t="s">
        <v>1259</v>
      </c>
      <c r="B492" s="15" t="s">
        <v>1260</v>
      </c>
      <c r="C492" s="14">
        <f t="shared" si="18"/>
        <v>6</v>
      </c>
      <c r="D492" s="14" t="str">
        <f t="shared" si="19"/>
        <v>TBP-1⁽ᴹ⁾ Number of people in contact with TB patients who began preventive therapy-6</v>
      </c>
      <c r="E492" s="15" t="s">
        <v>997</v>
      </c>
      <c r="F492" s="15" t="s">
        <v>4816</v>
      </c>
      <c r="G492" s="14" t="s">
        <v>5625</v>
      </c>
      <c r="H492" s="15" t="s">
        <v>5626</v>
      </c>
    </row>
    <row r="493" spans="1:8" x14ac:dyDescent="0.25">
      <c r="A493" s="14" t="s">
        <v>1259</v>
      </c>
      <c r="B493" s="15" t="s">
        <v>1260</v>
      </c>
      <c r="C493" s="14">
        <f t="shared" si="18"/>
        <v>7</v>
      </c>
      <c r="D493" s="14" t="str">
        <f t="shared" si="19"/>
        <v>TBP-1⁽ᴹ⁾ Number of people in contact with TB patients who began preventive therapy-7</v>
      </c>
      <c r="E493" s="15" t="s">
        <v>821</v>
      </c>
      <c r="F493" s="15" t="s">
        <v>4528</v>
      </c>
      <c r="G493" s="14" t="s">
        <v>5627</v>
      </c>
      <c r="H493" s="15" t="s">
        <v>5628</v>
      </c>
    </row>
    <row r="494" spans="1:8" x14ac:dyDescent="0.25">
      <c r="A494" s="14" t="s">
        <v>1259</v>
      </c>
      <c r="B494" s="15" t="s">
        <v>1260</v>
      </c>
      <c r="C494" s="14">
        <f t="shared" si="18"/>
        <v>8</v>
      </c>
      <c r="D494" s="14" t="str">
        <f t="shared" si="19"/>
        <v>TBP-1⁽ᴹ⁾ Number of people in contact with TB patients who began preventive therapy-8</v>
      </c>
      <c r="E494" s="15" t="s">
        <v>5080</v>
      </c>
      <c r="F494" s="15" t="s">
        <v>5094</v>
      </c>
      <c r="G494" s="14" t="s">
        <v>5629</v>
      </c>
      <c r="H494" s="15" t="s">
        <v>5630</v>
      </c>
    </row>
    <row r="495" spans="1:8" x14ac:dyDescent="0.25">
      <c r="A495" s="14" t="s">
        <v>1259</v>
      </c>
      <c r="B495" s="15" t="s">
        <v>1260</v>
      </c>
      <c r="C495" s="14">
        <f t="shared" si="18"/>
        <v>9</v>
      </c>
      <c r="D495" s="14" t="str">
        <f t="shared" si="19"/>
        <v>TBP-1⁽ᴹ⁾ Number of people in contact with TB patients who began preventive therapy-9</v>
      </c>
      <c r="E495" s="15" t="s">
        <v>5080</v>
      </c>
      <c r="F495" s="15" t="s">
        <v>5099</v>
      </c>
      <c r="G495" s="14" t="s">
        <v>5631</v>
      </c>
      <c r="H495" s="15" t="s">
        <v>5632</v>
      </c>
    </row>
    <row r="496" spans="1:8" x14ac:dyDescent="0.25">
      <c r="A496" s="14" t="s">
        <v>1259</v>
      </c>
      <c r="B496" s="15" t="s">
        <v>1260</v>
      </c>
      <c r="C496" s="14">
        <f t="shared" si="18"/>
        <v>10</v>
      </c>
      <c r="D496" s="14" t="str">
        <f t="shared" si="19"/>
        <v>TBP-1⁽ᴹ⁾ Number of people in contact with TB patients who began preventive therapy-10</v>
      </c>
      <c r="E496" s="15" t="s">
        <v>821</v>
      </c>
      <c r="F496" s="15" t="s">
        <v>4535</v>
      </c>
      <c r="G496" s="14" t="s">
        <v>5633</v>
      </c>
      <c r="H496" s="15" t="s">
        <v>5634</v>
      </c>
    </row>
    <row r="497" spans="1:8" x14ac:dyDescent="0.25">
      <c r="A497" s="14" t="s">
        <v>1259</v>
      </c>
      <c r="B497" s="15" t="s">
        <v>1260</v>
      </c>
      <c r="C497" s="14">
        <f t="shared" si="18"/>
        <v>11</v>
      </c>
      <c r="D497" s="14" t="str">
        <f t="shared" si="19"/>
        <v>TBP-1⁽ᴹ⁾ Number of people in contact with TB patients who began preventive therapy-11</v>
      </c>
      <c r="E497" s="15" t="s">
        <v>997</v>
      </c>
      <c r="F497" s="15" t="s">
        <v>4819</v>
      </c>
      <c r="G497" s="14" t="s">
        <v>5635</v>
      </c>
      <c r="H497" s="15" t="s">
        <v>5636</v>
      </c>
    </row>
    <row r="498" spans="1:8" x14ac:dyDescent="0.25">
      <c r="A498" s="14" t="s">
        <v>1259</v>
      </c>
      <c r="B498" s="15" t="s">
        <v>1260</v>
      </c>
      <c r="C498" s="14">
        <f t="shared" si="18"/>
        <v>12</v>
      </c>
      <c r="D498" s="14" t="str">
        <f t="shared" si="19"/>
        <v>TBP-1⁽ᴹ⁾ Number of people in contact with TB patients who began preventive therapy-12</v>
      </c>
      <c r="E498" s="15" t="s">
        <v>1139</v>
      </c>
      <c r="F498" s="15" t="s">
        <v>4960</v>
      </c>
      <c r="G498" s="14" t="s">
        <v>5637</v>
      </c>
      <c r="H498" s="15" t="s">
        <v>5638</v>
      </c>
    </row>
    <row r="499" spans="1:8" x14ac:dyDescent="0.25">
      <c r="A499" s="14" t="s">
        <v>1124</v>
      </c>
      <c r="B499" s="15" t="s">
        <v>1125</v>
      </c>
      <c r="C499" s="14">
        <f t="shared" si="18"/>
        <v>0</v>
      </c>
      <c r="D499" s="14" t="str">
        <f t="shared" si="19"/>
        <v>YP-2 Percentage of high-risk adolescent girls and young women reached with HIV prevention programs - defined package of services-0</v>
      </c>
      <c r="E499" s="15" t="s">
        <v>821</v>
      </c>
      <c r="F499" s="15" t="s">
        <v>4680</v>
      </c>
      <c r="G499" s="14" t="s">
        <v>5639</v>
      </c>
      <c r="H499" s="15" t="s">
        <v>5640</v>
      </c>
    </row>
    <row r="500" spans="1:8" x14ac:dyDescent="0.25">
      <c r="A500" s="14" t="s">
        <v>1124</v>
      </c>
      <c r="B500" s="15" t="s">
        <v>1125</v>
      </c>
      <c r="C500" s="14">
        <f t="shared" si="18"/>
        <v>1</v>
      </c>
      <c r="D500" s="14" t="str">
        <f t="shared" si="19"/>
        <v>YP-2 Percentage of high-risk adolescent girls and young women reached with HIV prevention programs - defined package of services-1</v>
      </c>
      <c r="E500" s="15" t="s">
        <v>821</v>
      </c>
      <c r="F500" s="15" t="s">
        <v>4683</v>
      </c>
      <c r="G500" s="14" t="s">
        <v>5641</v>
      </c>
      <c r="H500" s="15" t="s">
        <v>5642</v>
      </c>
    </row>
    <row r="501" spans="1:8" x14ac:dyDescent="0.25">
      <c r="A501" s="14" t="s">
        <v>1127</v>
      </c>
      <c r="B501" s="15" t="s">
        <v>1128</v>
      </c>
      <c r="C501" s="14">
        <f t="shared" si="18"/>
        <v>0</v>
      </c>
      <c r="D501" s="14" t="str">
        <f t="shared" si="19"/>
        <v>YP-4 Number of high-risk adolescent girls and young women who received any PrEP product at least once during the reporting period-0</v>
      </c>
      <c r="E501" s="15" t="s">
        <v>821</v>
      </c>
      <c r="F501" s="15" t="s">
        <v>4680</v>
      </c>
      <c r="G501" s="14" t="s">
        <v>5643</v>
      </c>
      <c r="H501" s="15" t="s">
        <v>5644</v>
      </c>
    </row>
    <row r="502" spans="1:8" x14ac:dyDescent="0.25">
      <c r="A502" s="14" t="s">
        <v>1127</v>
      </c>
      <c r="B502" s="15" t="s">
        <v>1128</v>
      </c>
      <c r="C502" s="14">
        <f t="shared" si="18"/>
        <v>1</v>
      </c>
      <c r="D502" s="14" t="str">
        <f t="shared" si="19"/>
        <v>YP-4 Number of high-risk adolescent girls and young women who received any PrEP product at least once during the reporting period-1</v>
      </c>
      <c r="E502" s="15" t="s">
        <v>821</v>
      </c>
      <c r="F502" s="15" t="s">
        <v>4683</v>
      </c>
      <c r="G502" s="14" t="s">
        <v>5645</v>
      </c>
      <c r="H502" s="15" t="s">
        <v>5646</v>
      </c>
    </row>
    <row r="503" spans="1:8" x14ac:dyDescent="0.25">
      <c r="A503" s="14" t="s">
        <v>1127</v>
      </c>
      <c r="B503" s="15" t="s">
        <v>1128</v>
      </c>
      <c r="C503" s="14">
        <f t="shared" si="18"/>
        <v>2</v>
      </c>
      <c r="D503" s="14" t="str">
        <f t="shared" si="19"/>
        <v>YP-4 Number of high-risk adolescent girls and young women who received any PrEP product at least once during the reporting period-2</v>
      </c>
      <c r="E503" s="15" t="s">
        <v>4869</v>
      </c>
      <c r="F503" s="15" t="s">
        <v>4870</v>
      </c>
      <c r="G503" s="14" t="s">
        <v>5647</v>
      </c>
      <c r="H503" s="15" t="s">
        <v>5648</v>
      </c>
    </row>
    <row r="504" spans="1:8" x14ac:dyDescent="0.25">
      <c r="A504" s="14" t="s">
        <v>1127</v>
      </c>
      <c r="B504" s="15" t="s">
        <v>1128</v>
      </c>
      <c r="C504" s="14">
        <f t="shared" si="18"/>
        <v>3</v>
      </c>
      <c r="D504" s="14" t="str">
        <f t="shared" si="19"/>
        <v>YP-4 Number of high-risk adolescent girls and young women who received any PrEP product at least once during the reporting period-3</v>
      </c>
      <c r="E504" s="15" t="s">
        <v>4869</v>
      </c>
      <c r="F504" s="15" t="s">
        <v>4873</v>
      </c>
      <c r="G504" s="14" t="s">
        <v>5649</v>
      </c>
      <c r="H504" s="15" t="s">
        <v>5650</v>
      </c>
    </row>
    <row r="505" spans="1:8" x14ac:dyDescent="0.25">
      <c r="A505" s="14" t="s">
        <v>1127</v>
      </c>
      <c r="B505" s="15" t="s">
        <v>1128</v>
      </c>
      <c r="C505" s="14">
        <f t="shared" si="18"/>
        <v>4</v>
      </c>
      <c r="D505" s="14" t="str">
        <f t="shared" si="19"/>
        <v>YP-4 Number of high-risk adolescent girls and young women who received any PrEP product at least once during the reporting period-4</v>
      </c>
      <c r="E505" s="15" t="s">
        <v>4869</v>
      </c>
      <c r="F505" s="15" t="s">
        <v>4880</v>
      </c>
      <c r="G505" s="14" t="s">
        <v>5651</v>
      </c>
      <c r="H505" s="15" t="s">
        <v>5652</v>
      </c>
    </row>
    <row r="506" spans="1:8" x14ac:dyDescent="0.25">
      <c r="A506" s="14" t="s">
        <v>1130</v>
      </c>
      <c r="B506" s="15" t="s">
        <v>1131</v>
      </c>
      <c r="C506" s="14">
        <f t="shared" si="18"/>
        <v>0</v>
      </c>
      <c r="D506" s="14" t="str">
        <f t="shared" si="19"/>
        <v>YP-5 Percentage of high-risk adolescent girls and young women tested for STIs during the reporting period-0</v>
      </c>
      <c r="E506" s="15" t="s">
        <v>821</v>
      </c>
      <c r="F506" s="15" t="s">
        <v>4680</v>
      </c>
      <c r="G506" s="14" t="s">
        <v>5653</v>
      </c>
      <c r="H506" s="15" t="s">
        <v>5654</v>
      </c>
    </row>
    <row r="507" spans="1:8" x14ac:dyDescent="0.25">
      <c r="A507" s="14" t="s">
        <v>1130</v>
      </c>
      <c r="B507" s="15" t="s">
        <v>1131</v>
      </c>
      <c r="C507" s="14">
        <f t="shared" si="18"/>
        <v>1</v>
      </c>
      <c r="D507" s="14" t="str">
        <f t="shared" si="19"/>
        <v>YP-5 Percentage of high-risk adolescent girls and young women tested for STIs during the reporting period-1</v>
      </c>
      <c r="E507" s="15" t="s">
        <v>821</v>
      </c>
      <c r="F507" s="15" t="s">
        <v>4683</v>
      </c>
      <c r="G507" s="14" t="s">
        <v>5655</v>
      </c>
      <c r="H507" s="15" t="s">
        <v>5656</v>
      </c>
    </row>
    <row r="508" spans="1:8" x14ac:dyDescent="0.25">
      <c r="A508" s="14" t="s">
        <v>1130</v>
      </c>
      <c r="B508" s="15" t="s">
        <v>1131</v>
      </c>
      <c r="C508" s="14">
        <f t="shared" si="18"/>
        <v>2</v>
      </c>
      <c r="D508" s="14" t="str">
        <f t="shared" si="19"/>
        <v>YP-5 Percentage of high-risk adolescent girls and young women tested for STIs during the reporting period-2</v>
      </c>
      <c r="E508" s="15" t="s">
        <v>4893</v>
      </c>
      <c r="F508" s="15" t="s">
        <v>4894</v>
      </c>
      <c r="G508" s="14" t="s">
        <v>5657</v>
      </c>
      <c r="H508" s="15" t="s">
        <v>5658</v>
      </c>
    </row>
    <row r="509" spans="1:8" x14ac:dyDescent="0.25">
      <c r="A509" s="14" t="s">
        <v>1130</v>
      </c>
      <c r="B509" s="15" t="s">
        <v>1131</v>
      </c>
      <c r="C509" s="14">
        <f t="shared" si="18"/>
        <v>3</v>
      </c>
      <c r="D509" s="14" t="str">
        <f t="shared" si="19"/>
        <v>YP-5 Percentage of high-risk adolescent girls and young women tested for STIs during the reporting period-3</v>
      </c>
      <c r="E509" s="15" t="s">
        <v>4893</v>
      </c>
      <c r="F509" s="15" t="s">
        <v>4899</v>
      </c>
      <c r="G509" s="14" t="s">
        <v>5659</v>
      </c>
      <c r="H509" s="15" t="s">
        <v>5660</v>
      </c>
    </row>
    <row r="510" spans="1:8" x14ac:dyDescent="0.25">
      <c r="A510" s="14" t="s">
        <v>1133</v>
      </c>
      <c r="B510" s="15" t="s">
        <v>1134</v>
      </c>
      <c r="C510" s="14">
        <f t="shared" si="18"/>
        <v>0</v>
      </c>
      <c r="D510" s="14" t="str">
        <f t="shared" si="19"/>
        <v>YP-6 Number of medical male circumcisions performed according to national standards-0</v>
      </c>
      <c r="E510" s="15" t="s">
        <v>821</v>
      </c>
      <c r="F510" s="15" t="s">
        <v>4540</v>
      </c>
      <c r="G510" s="14" t="s">
        <v>5661</v>
      </c>
      <c r="H510" s="15" t="s">
        <v>5662</v>
      </c>
    </row>
    <row r="511" spans="1:8" x14ac:dyDescent="0.25">
      <c r="A511" s="14" t="s">
        <v>1133</v>
      </c>
      <c r="B511" s="15" t="s">
        <v>1134</v>
      </c>
      <c r="C511" s="14">
        <f t="shared" si="18"/>
        <v>1</v>
      </c>
      <c r="D511" s="14" t="str">
        <f t="shared" si="19"/>
        <v>YP-6 Number of medical male circumcisions performed according to national standards-1</v>
      </c>
      <c r="E511" s="15" t="s">
        <v>821</v>
      </c>
      <c r="F511" s="15" t="s">
        <v>4680</v>
      </c>
      <c r="G511" s="14" t="s">
        <v>5663</v>
      </c>
      <c r="H511" s="15" t="s">
        <v>5664</v>
      </c>
    </row>
    <row r="512" spans="1:8" x14ac:dyDescent="0.25">
      <c r="A512" s="14" t="s">
        <v>1133</v>
      </c>
      <c r="B512" s="15" t="s">
        <v>1134</v>
      </c>
      <c r="C512" s="14">
        <f t="shared" si="18"/>
        <v>2</v>
      </c>
      <c r="D512" s="14" t="str">
        <f t="shared" si="19"/>
        <v>YP-6 Number of medical male circumcisions performed according to national standards-2</v>
      </c>
      <c r="E512" s="15" t="s">
        <v>821</v>
      </c>
      <c r="F512" s="15" t="s">
        <v>4683</v>
      </c>
      <c r="G512" s="14" t="s">
        <v>5665</v>
      </c>
      <c r="H512" s="15" t="s">
        <v>5666</v>
      </c>
    </row>
  </sheetData>
  <sheetProtection selectLockedCells="1" selectUnlockedCells="1"/>
  <sortState ref="A152:H152">
    <sortCondition ref="A152"/>
    <sortCondition ref="E152"/>
    <sortCondition ref="H152"/>
  </sortState>
  <dataValidations count="1">
    <dataValidation type="custom" allowBlank="1" showInputMessage="1" showErrorMessage="1" errorTitle="X-Author for Excel" error="Id and Lookup fields are not editable." promptTitle="X-Author for Excel" sqref="G3:G79 G152:G512 G83:G148">
      <formula1>""</formula1>
    </dataValidation>
  </dataValidations>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R915"/>
  <sheetViews>
    <sheetView topLeftCell="B1" workbookViewId="0">
      <selection activeCell="B15" sqref="B15"/>
    </sheetView>
  </sheetViews>
  <sheetFormatPr defaultColWidth="8.59765625" defaultRowHeight="13.2" x14ac:dyDescent="0.25"/>
  <cols>
    <col min="1" max="3" width="8.59765625" style="1"/>
    <col min="4" max="4" width="20.59765625" style="1" bestFit="1" customWidth="1"/>
    <col min="5" max="5" width="22.09765625" style="1" bestFit="1" customWidth="1"/>
    <col min="6" max="6" width="18.59765625" style="1" bestFit="1" customWidth="1"/>
    <col min="7" max="7" width="8.59765625" style="1"/>
    <col min="8" max="8" width="8.59765625" style="1" bestFit="1" customWidth="1"/>
    <col min="9" max="9" width="13" style="1" bestFit="1" customWidth="1"/>
    <col min="10" max="10" width="38.59765625" style="1" bestFit="1" customWidth="1"/>
    <col min="11" max="11" width="12.59765625" style="1" bestFit="1" customWidth="1"/>
    <col min="12" max="12" width="12.09765625" style="1" bestFit="1" customWidth="1"/>
    <col min="13" max="13" width="14" style="1" bestFit="1" customWidth="1"/>
    <col min="14" max="14" width="9.59765625" style="1" bestFit="1" customWidth="1"/>
    <col min="15" max="15" width="9.09765625" style="1" bestFit="1" customWidth="1"/>
    <col min="16" max="16384" width="8.59765625" style="1"/>
  </cols>
  <sheetData>
    <row r="1" spans="4:18" x14ac:dyDescent="0.25">
      <c r="D1" s="2" t="s">
        <v>5667</v>
      </c>
    </row>
    <row r="2" spans="4:18" x14ac:dyDescent="0.25">
      <c r="D2" s="14" t="s">
        <v>5668</v>
      </c>
      <c r="E2" s="14" t="s">
        <v>2969</v>
      </c>
      <c r="F2" s="14" t="s">
        <v>2300</v>
      </c>
      <c r="G2" s="14"/>
      <c r="H2" s="14" t="s">
        <v>2216</v>
      </c>
      <c r="I2" s="14" t="s">
        <v>2217</v>
      </c>
      <c r="J2" s="14" t="s">
        <v>5669</v>
      </c>
      <c r="K2" s="14" t="s">
        <v>5670</v>
      </c>
      <c r="L2" s="14" t="s">
        <v>741</v>
      </c>
      <c r="M2" s="14" t="s">
        <v>199</v>
      </c>
      <c r="N2" s="14" t="s">
        <v>176</v>
      </c>
      <c r="O2" s="14" t="s">
        <v>318</v>
      </c>
      <c r="P2" s="14" t="s">
        <v>2295</v>
      </c>
      <c r="Q2" s="14" t="s">
        <v>2296</v>
      </c>
      <c r="R2" s="14" t="s">
        <v>105</v>
      </c>
    </row>
    <row r="3" spans="4:18" hidden="1" x14ac:dyDescent="0.25">
      <c r="D3" s="15" t="s">
        <v>5671</v>
      </c>
      <c r="E3" s="14" t="s">
        <v>5672</v>
      </c>
      <c r="F3" s="15" t="s">
        <v>2302</v>
      </c>
      <c r="G3" s="14"/>
      <c r="H3" s="15" t="s">
        <v>4476</v>
      </c>
      <c r="I3" s="15" t="s">
        <v>4477</v>
      </c>
      <c r="J3" s="14" t="str">
        <f>F3&amp;H3&amp;I3</f>
        <v>[Impact Indicator Name][Category][Disaggregation]</v>
      </c>
      <c r="K3" s="15" t="s">
        <v>5673</v>
      </c>
      <c r="L3" s="15" t="s">
        <v>5674</v>
      </c>
      <c r="M3" s="15" t="s">
        <v>5675</v>
      </c>
      <c r="N3" s="15" t="s">
        <v>5676</v>
      </c>
      <c r="O3" s="14" t="s">
        <v>321</v>
      </c>
      <c r="P3" s="20" t="s">
        <v>5677</v>
      </c>
      <c r="Q3" s="372" t="s">
        <v>5678</v>
      </c>
      <c r="R3" s="19" t="s">
        <v>5679</v>
      </c>
    </row>
    <row r="4" spans="4:18" x14ac:dyDescent="0.25">
      <c r="D4" s="15" t="s">
        <v>5680</v>
      </c>
      <c r="E4" s="14" t="s">
        <v>2324</v>
      </c>
      <c r="F4" s="15"/>
      <c r="G4" s="14"/>
      <c r="H4" s="15"/>
      <c r="I4" s="15"/>
      <c r="J4" s="14" t="str">
        <f t="shared" ref="J4:J67" si="0">F4&amp;H4&amp;I4</f>
        <v/>
      </c>
      <c r="K4" s="15"/>
      <c r="L4" s="15"/>
      <c r="M4" s="15"/>
      <c r="N4" s="15"/>
      <c r="O4" s="14" t="s">
        <v>2970</v>
      </c>
      <c r="P4" s="20"/>
      <c r="Q4" s="372"/>
      <c r="R4" s="19"/>
    </row>
    <row r="5" spans="4:18" x14ac:dyDescent="0.25">
      <c r="D5" s="15" t="s">
        <v>5681</v>
      </c>
      <c r="E5" s="14" t="s">
        <v>2324</v>
      </c>
      <c r="F5" s="15"/>
      <c r="G5" s="14"/>
      <c r="H5" s="15"/>
      <c r="I5" s="15"/>
      <c r="J5" s="14" t="str">
        <f t="shared" si="0"/>
        <v/>
      </c>
      <c r="K5" s="15"/>
      <c r="L5" s="15"/>
      <c r="M5" s="15"/>
      <c r="N5" s="15"/>
      <c r="O5" s="14" t="s">
        <v>2971</v>
      </c>
      <c r="P5" s="20"/>
      <c r="Q5" s="372"/>
      <c r="R5" s="19"/>
    </row>
    <row r="6" spans="4:18" x14ac:dyDescent="0.25">
      <c r="D6" s="15" t="s">
        <v>5682</v>
      </c>
      <c r="E6" s="14" t="s">
        <v>2324</v>
      </c>
      <c r="F6" s="15"/>
      <c r="G6" s="14"/>
      <c r="H6" s="15"/>
      <c r="I6" s="15"/>
      <c r="J6" s="14" t="str">
        <f t="shared" si="0"/>
        <v/>
      </c>
      <c r="K6" s="15"/>
      <c r="L6" s="15"/>
      <c r="M6" s="15"/>
      <c r="N6" s="15"/>
      <c r="O6" s="14" t="s">
        <v>2972</v>
      </c>
      <c r="P6" s="20"/>
      <c r="Q6" s="372"/>
      <c r="R6" s="19"/>
    </row>
    <row r="7" spans="4:18" x14ac:dyDescent="0.25">
      <c r="D7" s="15" t="s">
        <v>5683</v>
      </c>
      <c r="E7" s="14" t="s">
        <v>2324</v>
      </c>
      <c r="F7" s="15"/>
      <c r="G7" s="14"/>
      <c r="H7" s="15"/>
      <c r="I7" s="15"/>
      <c r="J7" s="14" t="str">
        <f t="shared" si="0"/>
        <v/>
      </c>
      <c r="K7" s="15"/>
      <c r="L7" s="15"/>
      <c r="M7" s="15"/>
      <c r="N7" s="15"/>
      <c r="O7" s="14" t="s">
        <v>2973</v>
      </c>
      <c r="P7" s="20"/>
      <c r="Q7" s="372"/>
      <c r="R7" s="19"/>
    </row>
    <row r="8" spans="4:18" x14ac:dyDescent="0.25">
      <c r="D8" s="15" t="s">
        <v>5684</v>
      </c>
      <c r="E8" s="14" t="s">
        <v>2324</v>
      </c>
      <c r="F8" s="15"/>
      <c r="G8" s="14"/>
      <c r="H8" s="15"/>
      <c r="I8" s="15"/>
      <c r="J8" s="14" t="str">
        <f t="shared" si="0"/>
        <v/>
      </c>
      <c r="K8" s="15"/>
      <c r="L8" s="15"/>
      <c r="M8" s="15"/>
      <c r="N8" s="15"/>
      <c r="O8" s="14" t="s">
        <v>2974</v>
      </c>
      <c r="P8" s="20"/>
      <c r="Q8" s="372"/>
      <c r="R8" s="19"/>
    </row>
    <row r="9" spans="4:18" x14ac:dyDescent="0.25">
      <c r="D9" s="15" t="s">
        <v>5685</v>
      </c>
      <c r="E9" s="14" t="s">
        <v>2324</v>
      </c>
      <c r="F9" s="15"/>
      <c r="G9" s="14"/>
      <c r="H9" s="15"/>
      <c r="I9" s="15"/>
      <c r="J9" s="14" t="str">
        <f t="shared" si="0"/>
        <v/>
      </c>
      <c r="K9" s="15"/>
      <c r="L9" s="15"/>
      <c r="M9" s="15"/>
      <c r="N9" s="15"/>
      <c r="O9" s="14" t="s">
        <v>2975</v>
      </c>
      <c r="P9" s="20"/>
      <c r="Q9" s="372"/>
      <c r="R9" s="19"/>
    </row>
    <row r="10" spans="4:18" x14ac:dyDescent="0.25">
      <c r="D10" s="15" t="s">
        <v>5686</v>
      </c>
      <c r="E10" s="14" t="s">
        <v>2324</v>
      </c>
      <c r="F10" s="15"/>
      <c r="G10" s="14"/>
      <c r="H10" s="15"/>
      <c r="I10" s="15"/>
      <c r="J10" s="14" t="str">
        <f t="shared" si="0"/>
        <v/>
      </c>
      <c r="K10" s="15"/>
      <c r="L10" s="15"/>
      <c r="M10" s="15"/>
      <c r="N10" s="15"/>
      <c r="O10" s="14" t="s">
        <v>2976</v>
      </c>
      <c r="P10" s="20"/>
      <c r="Q10" s="372"/>
      <c r="R10" s="19"/>
    </row>
    <row r="11" spans="4:18" x14ac:dyDescent="0.25">
      <c r="D11" s="15" t="s">
        <v>5687</v>
      </c>
      <c r="E11" s="14" t="s">
        <v>2324</v>
      </c>
      <c r="F11" s="15"/>
      <c r="G11" s="14"/>
      <c r="H11" s="15"/>
      <c r="I11" s="15"/>
      <c r="J11" s="14" t="str">
        <f t="shared" si="0"/>
        <v/>
      </c>
      <c r="K11" s="15"/>
      <c r="L11" s="15"/>
      <c r="M11" s="15"/>
      <c r="N11" s="15"/>
      <c r="O11" s="14" t="s">
        <v>2977</v>
      </c>
      <c r="P11" s="20"/>
      <c r="Q11" s="372"/>
      <c r="R11" s="19"/>
    </row>
    <row r="12" spans="4:18" x14ac:dyDescent="0.25">
      <c r="D12" s="15" t="s">
        <v>5688</v>
      </c>
      <c r="E12" s="14" t="s">
        <v>2324</v>
      </c>
      <c r="F12" s="15"/>
      <c r="G12" s="14"/>
      <c r="H12" s="15"/>
      <c r="I12" s="15"/>
      <c r="J12" s="14" t="str">
        <f t="shared" si="0"/>
        <v/>
      </c>
      <c r="K12" s="15"/>
      <c r="L12" s="15"/>
      <c r="M12" s="15"/>
      <c r="N12" s="15"/>
      <c r="O12" s="14" t="s">
        <v>2978</v>
      </c>
      <c r="P12" s="20"/>
      <c r="Q12" s="372"/>
      <c r="R12" s="19"/>
    </row>
    <row r="13" spans="4:18" x14ac:dyDescent="0.25">
      <c r="D13" s="15" t="s">
        <v>5689</v>
      </c>
      <c r="E13" s="14" t="s">
        <v>2324</v>
      </c>
      <c r="F13" s="15"/>
      <c r="G13" s="14"/>
      <c r="H13" s="15"/>
      <c r="I13" s="15"/>
      <c r="J13" s="14" t="str">
        <f t="shared" si="0"/>
        <v/>
      </c>
      <c r="K13" s="15"/>
      <c r="L13" s="15"/>
      <c r="M13" s="15"/>
      <c r="N13" s="15"/>
      <c r="O13" s="14" t="s">
        <v>2979</v>
      </c>
      <c r="P13" s="20"/>
      <c r="Q13" s="372"/>
      <c r="R13" s="19"/>
    </row>
    <row r="14" spans="4:18" x14ac:dyDescent="0.25">
      <c r="D14" s="15" t="s">
        <v>5690</v>
      </c>
      <c r="E14" s="14" t="s">
        <v>2331</v>
      </c>
      <c r="F14" s="15"/>
      <c r="G14" s="14"/>
      <c r="H14" s="15"/>
      <c r="I14" s="15"/>
      <c r="J14" s="14" t="str">
        <f t="shared" si="0"/>
        <v/>
      </c>
      <c r="K14" s="15"/>
      <c r="L14" s="15"/>
      <c r="M14" s="15"/>
      <c r="N14" s="15"/>
      <c r="O14" s="14" t="s">
        <v>2980</v>
      </c>
      <c r="P14" s="20"/>
      <c r="Q14" s="372"/>
      <c r="R14" s="19"/>
    </row>
    <row r="15" spans="4:18" x14ac:dyDescent="0.25">
      <c r="D15" s="15" t="s">
        <v>5691</v>
      </c>
      <c r="E15" s="14" t="s">
        <v>2331</v>
      </c>
      <c r="F15" s="15"/>
      <c r="G15" s="14"/>
      <c r="H15" s="15"/>
      <c r="I15" s="15"/>
      <c r="J15" s="14" t="str">
        <f t="shared" si="0"/>
        <v/>
      </c>
      <c r="K15" s="15"/>
      <c r="L15" s="15"/>
      <c r="M15" s="15"/>
      <c r="N15" s="15"/>
      <c r="O15" s="14" t="s">
        <v>2981</v>
      </c>
      <c r="P15" s="20"/>
      <c r="Q15" s="372"/>
      <c r="R15" s="19"/>
    </row>
    <row r="16" spans="4:18" x14ac:dyDescent="0.25">
      <c r="D16" s="15" t="s">
        <v>5692</v>
      </c>
      <c r="E16" s="14" t="s">
        <v>2331</v>
      </c>
      <c r="F16" s="15"/>
      <c r="G16" s="14"/>
      <c r="H16" s="15"/>
      <c r="I16" s="15"/>
      <c r="J16" s="14" t="str">
        <f t="shared" si="0"/>
        <v/>
      </c>
      <c r="K16" s="15"/>
      <c r="L16" s="15"/>
      <c r="M16" s="15"/>
      <c r="N16" s="15"/>
      <c r="O16" s="14" t="s">
        <v>2982</v>
      </c>
      <c r="P16" s="20"/>
      <c r="Q16" s="372"/>
      <c r="R16" s="19"/>
    </row>
    <row r="17" spans="4:18" x14ac:dyDescent="0.25">
      <c r="D17" s="15" t="s">
        <v>5693</v>
      </c>
      <c r="E17" s="14" t="s">
        <v>2331</v>
      </c>
      <c r="F17" s="15"/>
      <c r="G17" s="14"/>
      <c r="H17" s="15"/>
      <c r="I17" s="15"/>
      <c r="J17" s="14" t="str">
        <f t="shared" si="0"/>
        <v/>
      </c>
      <c r="K17" s="15"/>
      <c r="L17" s="15"/>
      <c r="M17" s="15"/>
      <c r="N17" s="15"/>
      <c r="O17" s="14" t="s">
        <v>2983</v>
      </c>
      <c r="P17" s="20"/>
      <c r="Q17" s="372"/>
      <c r="R17" s="19"/>
    </row>
    <row r="18" spans="4:18" x14ac:dyDescent="0.25">
      <c r="D18" s="15" t="s">
        <v>5694</v>
      </c>
      <c r="E18" s="14" t="s">
        <v>2331</v>
      </c>
      <c r="F18" s="15"/>
      <c r="G18" s="14"/>
      <c r="H18" s="15"/>
      <c r="I18" s="15"/>
      <c r="J18" s="14" t="str">
        <f t="shared" si="0"/>
        <v/>
      </c>
      <c r="K18" s="15"/>
      <c r="L18" s="15"/>
      <c r="M18" s="15"/>
      <c r="N18" s="15"/>
      <c r="O18" s="14" t="s">
        <v>2984</v>
      </c>
      <c r="P18" s="20"/>
      <c r="Q18" s="372"/>
      <c r="R18" s="19"/>
    </row>
    <row r="19" spans="4:18" x14ac:dyDescent="0.25">
      <c r="D19" s="15" t="s">
        <v>5695</v>
      </c>
      <c r="E19" s="14" t="s">
        <v>2331</v>
      </c>
      <c r="F19" s="15"/>
      <c r="G19" s="14"/>
      <c r="H19" s="15"/>
      <c r="I19" s="15"/>
      <c r="J19" s="14" t="str">
        <f t="shared" si="0"/>
        <v/>
      </c>
      <c r="K19" s="15"/>
      <c r="L19" s="15"/>
      <c r="M19" s="15"/>
      <c r="N19" s="15"/>
      <c r="O19" s="14" t="s">
        <v>2985</v>
      </c>
      <c r="P19" s="20"/>
      <c r="Q19" s="372"/>
      <c r="R19" s="19"/>
    </row>
    <row r="20" spans="4:18" x14ac:dyDescent="0.25">
      <c r="D20" s="15" t="s">
        <v>5696</v>
      </c>
      <c r="E20" s="14" t="s">
        <v>2331</v>
      </c>
      <c r="F20" s="15"/>
      <c r="G20" s="14"/>
      <c r="H20" s="15"/>
      <c r="I20" s="15"/>
      <c r="J20" s="14" t="str">
        <f t="shared" si="0"/>
        <v/>
      </c>
      <c r="K20" s="15"/>
      <c r="L20" s="15"/>
      <c r="M20" s="15"/>
      <c r="N20" s="15"/>
      <c r="O20" s="14" t="s">
        <v>2986</v>
      </c>
      <c r="P20" s="20"/>
      <c r="Q20" s="372"/>
      <c r="R20" s="19"/>
    </row>
    <row r="21" spans="4:18" x14ac:dyDescent="0.25">
      <c r="D21" s="15" t="s">
        <v>5697</v>
      </c>
      <c r="E21" s="14" t="s">
        <v>2331</v>
      </c>
      <c r="F21" s="15"/>
      <c r="G21" s="14"/>
      <c r="H21" s="15"/>
      <c r="I21" s="15"/>
      <c r="J21" s="14" t="str">
        <f t="shared" si="0"/>
        <v/>
      </c>
      <c r="K21" s="15"/>
      <c r="L21" s="15"/>
      <c r="M21" s="15"/>
      <c r="N21" s="15"/>
      <c r="O21" s="14" t="s">
        <v>2987</v>
      </c>
      <c r="P21" s="20"/>
      <c r="Q21" s="372"/>
      <c r="R21" s="19"/>
    </row>
    <row r="22" spans="4:18" x14ac:dyDescent="0.25">
      <c r="D22" s="15" t="s">
        <v>5698</v>
      </c>
      <c r="E22" s="14" t="s">
        <v>2331</v>
      </c>
      <c r="F22" s="15"/>
      <c r="G22" s="14"/>
      <c r="H22" s="15"/>
      <c r="I22" s="15"/>
      <c r="J22" s="14" t="str">
        <f t="shared" si="0"/>
        <v/>
      </c>
      <c r="K22" s="15"/>
      <c r="L22" s="15"/>
      <c r="M22" s="15"/>
      <c r="N22" s="15"/>
      <c r="O22" s="14" t="s">
        <v>2988</v>
      </c>
      <c r="P22" s="20"/>
      <c r="Q22" s="372"/>
      <c r="R22" s="19"/>
    </row>
    <row r="23" spans="4:18" x14ac:dyDescent="0.25">
      <c r="D23" s="15" t="s">
        <v>5699</v>
      </c>
      <c r="E23" s="14" t="s">
        <v>2331</v>
      </c>
      <c r="F23" s="15"/>
      <c r="G23" s="14"/>
      <c r="H23" s="15"/>
      <c r="I23" s="15"/>
      <c r="J23" s="14" t="str">
        <f t="shared" si="0"/>
        <v/>
      </c>
      <c r="K23" s="15"/>
      <c r="L23" s="15"/>
      <c r="M23" s="15"/>
      <c r="N23" s="15"/>
      <c r="O23" s="14" t="s">
        <v>2989</v>
      </c>
      <c r="P23" s="20"/>
      <c r="Q23" s="372"/>
      <c r="R23" s="19"/>
    </row>
    <row r="24" spans="4:18" x14ac:dyDescent="0.25">
      <c r="D24" s="15" t="s">
        <v>5700</v>
      </c>
      <c r="E24" s="14" t="s">
        <v>2338</v>
      </c>
      <c r="F24" s="15"/>
      <c r="G24" s="14"/>
      <c r="H24" s="15"/>
      <c r="I24" s="15"/>
      <c r="J24" s="14" t="str">
        <f t="shared" si="0"/>
        <v/>
      </c>
      <c r="K24" s="15"/>
      <c r="L24" s="15"/>
      <c r="M24" s="15"/>
      <c r="N24" s="15"/>
      <c r="O24" s="14" t="s">
        <v>2990</v>
      </c>
      <c r="P24" s="20"/>
      <c r="Q24" s="372"/>
      <c r="R24" s="19"/>
    </row>
    <row r="25" spans="4:18" x14ac:dyDescent="0.25">
      <c r="D25" s="15" t="s">
        <v>5701</v>
      </c>
      <c r="E25" s="14" t="s">
        <v>2338</v>
      </c>
      <c r="F25" s="15"/>
      <c r="G25" s="14"/>
      <c r="H25" s="15"/>
      <c r="I25" s="15"/>
      <c r="J25" s="14" t="str">
        <f t="shared" si="0"/>
        <v/>
      </c>
      <c r="K25" s="15"/>
      <c r="L25" s="15"/>
      <c r="M25" s="15"/>
      <c r="N25" s="15"/>
      <c r="O25" s="14" t="s">
        <v>2991</v>
      </c>
      <c r="P25" s="20"/>
      <c r="Q25" s="372"/>
      <c r="R25" s="19"/>
    </row>
    <row r="26" spans="4:18" x14ac:dyDescent="0.25">
      <c r="D26" s="15" t="s">
        <v>5702</v>
      </c>
      <c r="E26" s="14" t="s">
        <v>2338</v>
      </c>
      <c r="F26" s="15"/>
      <c r="G26" s="14"/>
      <c r="H26" s="15"/>
      <c r="I26" s="15"/>
      <c r="J26" s="14" t="str">
        <f t="shared" si="0"/>
        <v/>
      </c>
      <c r="K26" s="15"/>
      <c r="L26" s="15"/>
      <c r="M26" s="15"/>
      <c r="N26" s="15"/>
      <c r="O26" s="14" t="s">
        <v>2992</v>
      </c>
      <c r="P26" s="20"/>
      <c r="Q26" s="372"/>
      <c r="R26" s="19"/>
    </row>
    <row r="27" spans="4:18" x14ac:dyDescent="0.25">
      <c r="D27" s="15" t="s">
        <v>5703</v>
      </c>
      <c r="E27" s="14" t="s">
        <v>2338</v>
      </c>
      <c r="F27" s="15"/>
      <c r="G27" s="14"/>
      <c r="H27" s="15"/>
      <c r="I27" s="15"/>
      <c r="J27" s="14" t="str">
        <f t="shared" si="0"/>
        <v/>
      </c>
      <c r="K27" s="15"/>
      <c r="L27" s="15"/>
      <c r="M27" s="15"/>
      <c r="N27" s="15"/>
      <c r="O27" s="14" t="s">
        <v>2993</v>
      </c>
      <c r="P27" s="20"/>
      <c r="Q27" s="372"/>
      <c r="R27" s="19"/>
    </row>
    <row r="28" spans="4:18" x14ac:dyDescent="0.25">
      <c r="D28" s="15" t="s">
        <v>5704</v>
      </c>
      <c r="E28" s="14" t="s">
        <v>2338</v>
      </c>
      <c r="F28" s="15"/>
      <c r="G28" s="14"/>
      <c r="H28" s="15"/>
      <c r="I28" s="15"/>
      <c r="J28" s="14" t="str">
        <f t="shared" si="0"/>
        <v/>
      </c>
      <c r="K28" s="15"/>
      <c r="L28" s="15"/>
      <c r="M28" s="15"/>
      <c r="N28" s="15"/>
      <c r="O28" s="14" t="s">
        <v>2994</v>
      </c>
      <c r="P28" s="20"/>
      <c r="Q28" s="372"/>
      <c r="R28" s="19"/>
    </row>
    <row r="29" spans="4:18" x14ac:dyDescent="0.25">
      <c r="D29" s="15" t="s">
        <v>5705</v>
      </c>
      <c r="E29" s="14" t="s">
        <v>2338</v>
      </c>
      <c r="F29" s="15"/>
      <c r="G29" s="14"/>
      <c r="H29" s="15"/>
      <c r="I29" s="15"/>
      <c r="J29" s="14" t="str">
        <f t="shared" si="0"/>
        <v/>
      </c>
      <c r="K29" s="15"/>
      <c r="L29" s="15"/>
      <c r="M29" s="15"/>
      <c r="N29" s="15"/>
      <c r="O29" s="14" t="s">
        <v>2995</v>
      </c>
      <c r="P29" s="20"/>
      <c r="Q29" s="372"/>
      <c r="R29" s="19"/>
    </row>
    <row r="30" spans="4:18" x14ac:dyDescent="0.25">
      <c r="D30" s="15" t="s">
        <v>5706</v>
      </c>
      <c r="E30" s="14" t="s">
        <v>2338</v>
      </c>
      <c r="F30" s="15"/>
      <c r="G30" s="14"/>
      <c r="H30" s="15"/>
      <c r="I30" s="15"/>
      <c r="J30" s="14" t="str">
        <f t="shared" si="0"/>
        <v/>
      </c>
      <c r="K30" s="15"/>
      <c r="L30" s="15"/>
      <c r="M30" s="15"/>
      <c r="N30" s="15"/>
      <c r="O30" s="14" t="s">
        <v>2996</v>
      </c>
      <c r="P30" s="20"/>
      <c r="Q30" s="372"/>
      <c r="R30" s="19"/>
    </row>
    <row r="31" spans="4:18" x14ac:dyDescent="0.25">
      <c r="D31" s="15" t="s">
        <v>5707</v>
      </c>
      <c r="E31" s="14" t="s">
        <v>2338</v>
      </c>
      <c r="F31" s="15"/>
      <c r="G31" s="14"/>
      <c r="H31" s="15"/>
      <c r="I31" s="15"/>
      <c r="J31" s="14" t="str">
        <f t="shared" si="0"/>
        <v/>
      </c>
      <c r="K31" s="15"/>
      <c r="L31" s="15"/>
      <c r="M31" s="15"/>
      <c r="N31" s="15"/>
      <c r="O31" s="14" t="s">
        <v>2997</v>
      </c>
      <c r="P31" s="20"/>
      <c r="Q31" s="372"/>
      <c r="R31" s="19"/>
    </row>
    <row r="32" spans="4:18" x14ac:dyDescent="0.25">
      <c r="D32" s="15" t="s">
        <v>5708</v>
      </c>
      <c r="E32" s="14" t="s">
        <v>2338</v>
      </c>
      <c r="F32" s="15"/>
      <c r="G32" s="14"/>
      <c r="H32" s="15"/>
      <c r="I32" s="15"/>
      <c r="J32" s="14" t="str">
        <f t="shared" si="0"/>
        <v/>
      </c>
      <c r="K32" s="15"/>
      <c r="L32" s="15"/>
      <c r="M32" s="15"/>
      <c r="N32" s="15"/>
      <c r="O32" s="14" t="s">
        <v>2998</v>
      </c>
      <c r="P32" s="20"/>
      <c r="Q32" s="372"/>
      <c r="R32" s="19"/>
    </row>
    <row r="33" spans="4:18" x14ac:dyDescent="0.25">
      <c r="D33" s="15" t="s">
        <v>5709</v>
      </c>
      <c r="E33" s="14" t="s">
        <v>2338</v>
      </c>
      <c r="F33" s="15"/>
      <c r="G33" s="14"/>
      <c r="H33" s="15"/>
      <c r="I33" s="15"/>
      <c r="J33" s="14" t="str">
        <f t="shared" si="0"/>
        <v/>
      </c>
      <c r="K33" s="15"/>
      <c r="L33" s="15"/>
      <c r="M33" s="15"/>
      <c r="N33" s="15"/>
      <c r="O33" s="14" t="s">
        <v>2999</v>
      </c>
      <c r="P33" s="20"/>
      <c r="Q33" s="372"/>
      <c r="R33" s="19"/>
    </row>
    <row r="34" spans="4:18" x14ac:dyDescent="0.25">
      <c r="D34" s="15" t="s">
        <v>5710</v>
      </c>
      <c r="E34" s="14" t="s">
        <v>2345</v>
      </c>
      <c r="F34" s="15"/>
      <c r="G34" s="14"/>
      <c r="H34" s="15"/>
      <c r="I34" s="15"/>
      <c r="J34" s="14" t="str">
        <f t="shared" si="0"/>
        <v/>
      </c>
      <c r="K34" s="15"/>
      <c r="L34" s="15"/>
      <c r="M34" s="15"/>
      <c r="N34" s="15"/>
      <c r="O34" s="14" t="s">
        <v>3000</v>
      </c>
      <c r="P34" s="20"/>
      <c r="Q34" s="372"/>
      <c r="R34" s="19"/>
    </row>
    <row r="35" spans="4:18" x14ac:dyDescent="0.25">
      <c r="D35" s="15" t="s">
        <v>5711</v>
      </c>
      <c r="E35" s="14" t="s">
        <v>2345</v>
      </c>
      <c r="F35" s="15"/>
      <c r="G35" s="14"/>
      <c r="H35" s="15"/>
      <c r="I35" s="15"/>
      <c r="J35" s="14" t="str">
        <f t="shared" si="0"/>
        <v/>
      </c>
      <c r="K35" s="15"/>
      <c r="L35" s="15"/>
      <c r="M35" s="15"/>
      <c r="N35" s="15"/>
      <c r="O35" s="14" t="s">
        <v>3001</v>
      </c>
      <c r="P35" s="20"/>
      <c r="Q35" s="372"/>
      <c r="R35" s="19"/>
    </row>
    <row r="36" spans="4:18" x14ac:dyDescent="0.25">
      <c r="D36" s="15" t="s">
        <v>5712</v>
      </c>
      <c r="E36" s="14" t="s">
        <v>2345</v>
      </c>
      <c r="F36" s="15"/>
      <c r="G36" s="14"/>
      <c r="H36" s="15"/>
      <c r="I36" s="15"/>
      <c r="J36" s="14" t="str">
        <f t="shared" si="0"/>
        <v/>
      </c>
      <c r="K36" s="15"/>
      <c r="L36" s="15"/>
      <c r="M36" s="15"/>
      <c r="N36" s="15"/>
      <c r="O36" s="14" t="s">
        <v>3002</v>
      </c>
      <c r="P36" s="20"/>
      <c r="Q36" s="372"/>
      <c r="R36" s="19"/>
    </row>
    <row r="37" spans="4:18" x14ac:dyDescent="0.25">
      <c r="D37" s="15" t="s">
        <v>5713</v>
      </c>
      <c r="E37" s="14" t="s">
        <v>2345</v>
      </c>
      <c r="F37" s="15"/>
      <c r="G37" s="14"/>
      <c r="H37" s="15"/>
      <c r="I37" s="15"/>
      <c r="J37" s="14" t="str">
        <f t="shared" si="0"/>
        <v/>
      </c>
      <c r="K37" s="15"/>
      <c r="L37" s="15"/>
      <c r="M37" s="15"/>
      <c r="N37" s="15"/>
      <c r="O37" s="14" t="s">
        <v>3003</v>
      </c>
      <c r="P37" s="20"/>
      <c r="Q37" s="372"/>
      <c r="R37" s="19"/>
    </row>
    <row r="38" spans="4:18" x14ac:dyDescent="0.25">
      <c r="D38" s="15" t="s">
        <v>5714</v>
      </c>
      <c r="E38" s="14" t="s">
        <v>2345</v>
      </c>
      <c r="F38" s="15"/>
      <c r="G38" s="14"/>
      <c r="H38" s="15"/>
      <c r="I38" s="15"/>
      <c r="J38" s="14" t="str">
        <f t="shared" si="0"/>
        <v/>
      </c>
      <c r="K38" s="15"/>
      <c r="L38" s="15"/>
      <c r="M38" s="15"/>
      <c r="N38" s="15"/>
      <c r="O38" s="14" t="s">
        <v>3004</v>
      </c>
      <c r="P38" s="20"/>
      <c r="Q38" s="372"/>
      <c r="R38" s="19"/>
    </row>
    <row r="39" spans="4:18" x14ac:dyDescent="0.25">
      <c r="D39" s="15" t="s">
        <v>5715</v>
      </c>
      <c r="E39" s="14" t="s">
        <v>2345</v>
      </c>
      <c r="F39" s="15"/>
      <c r="G39" s="14"/>
      <c r="H39" s="15"/>
      <c r="I39" s="15"/>
      <c r="J39" s="14" t="str">
        <f t="shared" si="0"/>
        <v/>
      </c>
      <c r="K39" s="15"/>
      <c r="L39" s="15"/>
      <c r="M39" s="15"/>
      <c r="N39" s="15"/>
      <c r="O39" s="14" t="s">
        <v>3005</v>
      </c>
      <c r="P39" s="20"/>
      <c r="Q39" s="372"/>
      <c r="R39" s="19"/>
    </row>
    <row r="40" spans="4:18" x14ac:dyDescent="0.25">
      <c r="D40" s="15" t="s">
        <v>5716</v>
      </c>
      <c r="E40" s="14" t="s">
        <v>2345</v>
      </c>
      <c r="F40" s="15"/>
      <c r="G40" s="14"/>
      <c r="H40" s="15"/>
      <c r="I40" s="15"/>
      <c r="J40" s="14" t="str">
        <f t="shared" si="0"/>
        <v/>
      </c>
      <c r="K40" s="15"/>
      <c r="L40" s="15"/>
      <c r="M40" s="15"/>
      <c r="N40" s="15"/>
      <c r="O40" s="14" t="s">
        <v>3006</v>
      </c>
      <c r="P40" s="20"/>
      <c r="Q40" s="372"/>
      <c r="R40" s="19"/>
    </row>
    <row r="41" spans="4:18" x14ac:dyDescent="0.25">
      <c r="D41" s="15" t="s">
        <v>5717</v>
      </c>
      <c r="E41" s="14" t="s">
        <v>2345</v>
      </c>
      <c r="F41" s="15"/>
      <c r="G41" s="14"/>
      <c r="H41" s="15"/>
      <c r="I41" s="15"/>
      <c r="J41" s="14" t="str">
        <f t="shared" si="0"/>
        <v/>
      </c>
      <c r="K41" s="15"/>
      <c r="L41" s="15"/>
      <c r="M41" s="15"/>
      <c r="N41" s="15"/>
      <c r="O41" s="14" t="s">
        <v>3007</v>
      </c>
      <c r="P41" s="20"/>
      <c r="Q41" s="372"/>
      <c r="R41" s="19"/>
    </row>
    <row r="42" spans="4:18" x14ac:dyDescent="0.25">
      <c r="D42" s="15" t="s">
        <v>5718</v>
      </c>
      <c r="E42" s="14" t="s">
        <v>2345</v>
      </c>
      <c r="F42" s="15"/>
      <c r="G42" s="14"/>
      <c r="H42" s="15"/>
      <c r="I42" s="15"/>
      <c r="J42" s="14" t="str">
        <f t="shared" si="0"/>
        <v/>
      </c>
      <c r="K42" s="15"/>
      <c r="L42" s="15"/>
      <c r="M42" s="15"/>
      <c r="N42" s="15"/>
      <c r="O42" s="14" t="s">
        <v>3008</v>
      </c>
      <c r="P42" s="20"/>
      <c r="Q42" s="372"/>
      <c r="R42" s="19"/>
    </row>
    <row r="43" spans="4:18" x14ac:dyDescent="0.25">
      <c r="D43" s="15" t="s">
        <v>5719</v>
      </c>
      <c r="E43" s="14" t="s">
        <v>2345</v>
      </c>
      <c r="F43" s="15"/>
      <c r="G43" s="14"/>
      <c r="H43" s="15"/>
      <c r="I43" s="15"/>
      <c r="J43" s="14" t="str">
        <f t="shared" si="0"/>
        <v/>
      </c>
      <c r="K43" s="15"/>
      <c r="L43" s="15"/>
      <c r="M43" s="15"/>
      <c r="N43" s="15"/>
      <c r="O43" s="14" t="s">
        <v>3009</v>
      </c>
      <c r="P43" s="20"/>
      <c r="Q43" s="372"/>
      <c r="R43" s="19"/>
    </row>
    <row r="44" spans="4:18" x14ac:dyDescent="0.25">
      <c r="D44" s="15" t="s">
        <v>5720</v>
      </c>
      <c r="E44" s="14" t="s">
        <v>2352</v>
      </c>
      <c r="F44" s="15"/>
      <c r="G44" s="14"/>
      <c r="H44" s="15"/>
      <c r="I44" s="15"/>
      <c r="J44" s="14" t="str">
        <f t="shared" si="0"/>
        <v/>
      </c>
      <c r="K44" s="15"/>
      <c r="L44" s="15"/>
      <c r="M44" s="15"/>
      <c r="N44" s="15"/>
      <c r="O44" s="14" t="s">
        <v>3010</v>
      </c>
      <c r="P44" s="20"/>
      <c r="Q44" s="372"/>
      <c r="R44" s="19"/>
    </row>
    <row r="45" spans="4:18" x14ac:dyDescent="0.25">
      <c r="D45" s="15" t="s">
        <v>5721</v>
      </c>
      <c r="E45" s="14" t="s">
        <v>2352</v>
      </c>
      <c r="F45" s="15"/>
      <c r="G45" s="14"/>
      <c r="H45" s="15"/>
      <c r="I45" s="15"/>
      <c r="J45" s="14" t="str">
        <f t="shared" si="0"/>
        <v/>
      </c>
      <c r="K45" s="15"/>
      <c r="L45" s="15"/>
      <c r="M45" s="15"/>
      <c r="N45" s="15"/>
      <c r="O45" s="14" t="s">
        <v>3011</v>
      </c>
      <c r="P45" s="20"/>
      <c r="Q45" s="372"/>
      <c r="R45" s="19"/>
    </row>
    <row r="46" spans="4:18" x14ac:dyDescent="0.25">
      <c r="D46" s="15" t="s">
        <v>5722</v>
      </c>
      <c r="E46" s="14" t="s">
        <v>2352</v>
      </c>
      <c r="F46" s="15"/>
      <c r="G46" s="14"/>
      <c r="H46" s="15"/>
      <c r="I46" s="15"/>
      <c r="J46" s="14" t="str">
        <f t="shared" si="0"/>
        <v/>
      </c>
      <c r="K46" s="15"/>
      <c r="L46" s="15"/>
      <c r="M46" s="15"/>
      <c r="N46" s="15"/>
      <c r="O46" s="14" t="s">
        <v>3012</v>
      </c>
      <c r="P46" s="20"/>
      <c r="Q46" s="372"/>
      <c r="R46" s="19"/>
    </row>
    <row r="47" spans="4:18" x14ac:dyDescent="0.25">
      <c r="D47" s="15" t="s">
        <v>5723</v>
      </c>
      <c r="E47" s="14" t="s">
        <v>2352</v>
      </c>
      <c r="F47" s="15"/>
      <c r="G47" s="14"/>
      <c r="H47" s="15"/>
      <c r="I47" s="15"/>
      <c r="J47" s="14" t="str">
        <f t="shared" si="0"/>
        <v/>
      </c>
      <c r="K47" s="15"/>
      <c r="L47" s="15"/>
      <c r="M47" s="15"/>
      <c r="N47" s="15"/>
      <c r="O47" s="14" t="s">
        <v>3013</v>
      </c>
      <c r="P47" s="20"/>
      <c r="Q47" s="372"/>
      <c r="R47" s="19"/>
    </row>
    <row r="48" spans="4:18" x14ac:dyDescent="0.25">
      <c r="D48" s="15" t="s">
        <v>5724</v>
      </c>
      <c r="E48" s="14" t="s">
        <v>2352</v>
      </c>
      <c r="F48" s="15"/>
      <c r="G48" s="14"/>
      <c r="H48" s="15"/>
      <c r="I48" s="15"/>
      <c r="J48" s="14" t="str">
        <f t="shared" si="0"/>
        <v/>
      </c>
      <c r="K48" s="15"/>
      <c r="L48" s="15"/>
      <c r="M48" s="15"/>
      <c r="N48" s="15"/>
      <c r="O48" s="14" t="s">
        <v>3014</v>
      </c>
      <c r="P48" s="20"/>
      <c r="Q48" s="372"/>
      <c r="R48" s="19"/>
    </row>
    <row r="49" spans="4:18" x14ac:dyDescent="0.25">
      <c r="D49" s="15" t="s">
        <v>5725</v>
      </c>
      <c r="E49" s="14" t="s">
        <v>2352</v>
      </c>
      <c r="F49" s="15"/>
      <c r="G49" s="14"/>
      <c r="H49" s="15"/>
      <c r="I49" s="15"/>
      <c r="J49" s="14" t="str">
        <f t="shared" si="0"/>
        <v/>
      </c>
      <c r="K49" s="15"/>
      <c r="L49" s="15"/>
      <c r="M49" s="15"/>
      <c r="N49" s="15"/>
      <c r="O49" s="14" t="s">
        <v>3015</v>
      </c>
      <c r="P49" s="20"/>
      <c r="Q49" s="372"/>
      <c r="R49" s="19"/>
    </row>
    <row r="50" spans="4:18" x14ac:dyDescent="0.25">
      <c r="D50" s="15" t="s">
        <v>5726</v>
      </c>
      <c r="E50" s="14" t="s">
        <v>2352</v>
      </c>
      <c r="F50" s="15"/>
      <c r="G50" s="14"/>
      <c r="H50" s="15"/>
      <c r="I50" s="15"/>
      <c r="J50" s="14" t="str">
        <f t="shared" si="0"/>
        <v/>
      </c>
      <c r="K50" s="15"/>
      <c r="L50" s="15"/>
      <c r="M50" s="15"/>
      <c r="N50" s="15"/>
      <c r="O50" s="14" t="s">
        <v>3016</v>
      </c>
      <c r="P50" s="20"/>
      <c r="Q50" s="372"/>
      <c r="R50" s="19"/>
    </row>
    <row r="51" spans="4:18" x14ac:dyDescent="0.25">
      <c r="D51" s="15" t="s">
        <v>5727</v>
      </c>
      <c r="E51" s="14" t="s">
        <v>2352</v>
      </c>
      <c r="F51" s="15"/>
      <c r="G51" s="14"/>
      <c r="H51" s="15"/>
      <c r="I51" s="15"/>
      <c r="J51" s="14" t="str">
        <f t="shared" si="0"/>
        <v/>
      </c>
      <c r="K51" s="15"/>
      <c r="L51" s="15"/>
      <c r="M51" s="15"/>
      <c r="N51" s="15"/>
      <c r="O51" s="14" t="s">
        <v>3017</v>
      </c>
      <c r="P51" s="20"/>
      <c r="Q51" s="372"/>
      <c r="R51" s="19"/>
    </row>
    <row r="52" spans="4:18" x14ac:dyDescent="0.25">
      <c r="D52" s="15" t="s">
        <v>5728</v>
      </c>
      <c r="E52" s="14" t="s">
        <v>2352</v>
      </c>
      <c r="F52" s="15"/>
      <c r="G52" s="14"/>
      <c r="H52" s="15"/>
      <c r="I52" s="15"/>
      <c r="J52" s="14" t="str">
        <f t="shared" si="0"/>
        <v/>
      </c>
      <c r="K52" s="15"/>
      <c r="L52" s="15"/>
      <c r="M52" s="15"/>
      <c r="N52" s="15"/>
      <c r="O52" s="14" t="s">
        <v>3018</v>
      </c>
      <c r="P52" s="20"/>
      <c r="Q52" s="372"/>
      <c r="R52" s="19"/>
    </row>
    <row r="53" spans="4:18" x14ac:dyDescent="0.25">
      <c r="D53" s="15" t="s">
        <v>5729</v>
      </c>
      <c r="E53" s="14" t="s">
        <v>2352</v>
      </c>
      <c r="F53" s="15"/>
      <c r="G53" s="14"/>
      <c r="H53" s="15"/>
      <c r="I53" s="15"/>
      <c r="J53" s="14" t="str">
        <f t="shared" si="0"/>
        <v/>
      </c>
      <c r="K53" s="15"/>
      <c r="L53" s="15"/>
      <c r="M53" s="15"/>
      <c r="N53" s="15"/>
      <c r="O53" s="14" t="s">
        <v>3019</v>
      </c>
      <c r="P53" s="20"/>
      <c r="Q53" s="372"/>
      <c r="R53" s="19"/>
    </row>
    <row r="54" spans="4:18" x14ac:dyDescent="0.25">
      <c r="D54" s="15" t="s">
        <v>5730</v>
      </c>
      <c r="E54" s="14" t="s">
        <v>2359</v>
      </c>
      <c r="F54" s="15"/>
      <c r="G54" s="14"/>
      <c r="H54" s="15"/>
      <c r="I54" s="15"/>
      <c r="J54" s="14" t="str">
        <f t="shared" si="0"/>
        <v/>
      </c>
      <c r="K54" s="15"/>
      <c r="L54" s="15"/>
      <c r="M54" s="15"/>
      <c r="N54" s="15"/>
      <c r="O54" s="14" t="s">
        <v>3020</v>
      </c>
      <c r="P54" s="20"/>
      <c r="Q54" s="372"/>
      <c r="R54" s="19"/>
    </row>
    <row r="55" spans="4:18" x14ac:dyDescent="0.25">
      <c r="D55" s="15" t="s">
        <v>5731</v>
      </c>
      <c r="E55" s="14" t="s">
        <v>2359</v>
      </c>
      <c r="F55" s="15"/>
      <c r="G55" s="14"/>
      <c r="H55" s="15"/>
      <c r="I55" s="15"/>
      <c r="J55" s="14" t="str">
        <f t="shared" si="0"/>
        <v/>
      </c>
      <c r="K55" s="15"/>
      <c r="L55" s="15"/>
      <c r="M55" s="15"/>
      <c r="N55" s="15"/>
      <c r="O55" s="14" t="s">
        <v>3021</v>
      </c>
      <c r="P55" s="20"/>
      <c r="Q55" s="372"/>
      <c r="R55" s="19"/>
    </row>
    <row r="56" spans="4:18" x14ac:dyDescent="0.25">
      <c r="D56" s="15" t="s">
        <v>5732</v>
      </c>
      <c r="E56" s="14" t="s">
        <v>2359</v>
      </c>
      <c r="F56" s="15"/>
      <c r="G56" s="14"/>
      <c r="H56" s="15"/>
      <c r="I56" s="15"/>
      <c r="J56" s="14" t="str">
        <f t="shared" si="0"/>
        <v/>
      </c>
      <c r="K56" s="15"/>
      <c r="L56" s="15"/>
      <c r="M56" s="15"/>
      <c r="N56" s="15"/>
      <c r="O56" s="14" t="s">
        <v>3022</v>
      </c>
      <c r="P56" s="20"/>
      <c r="Q56" s="372"/>
      <c r="R56" s="19"/>
    </row>
    <row r="57" spans="4:18" x14ac:dyDescent="0.25">
      <c r="D57" s="15" t="s">
        <v>5733</v>
      </c>
      <c r="E57" s="14" t="s">
        <v>2359</v>
      </c>
      <c r="F57" s="15"/>
      <c r="G57" s="14"/>
      <c r="H57" s="15"/>
      <c r="I57" s="15"/>
      <c r="J57" s="14" t="str">
        <f t="shared" si="0"/>
        <v/>
      </c>
      <c r="K57" s="15"/>
      <c r="L57" s="15"/>
      <c r="M57" s="15"/>
      <c r="N57" s="15"/>
      <c r="O57" s="14" t="s">
        <v>3023</v>
      </c>
      <c r="P57" s="20"/>
      <c r="Q57" s="372"/>
      <c r="R57" s="19"/>
    </row>
    <row r="58" spans="4:18" x14ac:dyDescent="0.25">
      <c r="D58" s="15" t="s">
        <v>5734</v>
      </c>
      <c r="E58" s="14" t="s">
        <v>2359</v>
      </c>
      <c r="F58" s="15"/>
      <c r="G58" s="14"/>
      <c r="H58" s="15"/>
      <c r="I58" s="15"/>
      <c r="J58" s="14" t="str">
        <f t="shared" si="0"/>
        <v/>
      </c>
      <c r="K58" s="15"/>
      <c r="L58" s="15"/>
      <c r="M58" s="15"/>
      <c r="N58" s="15"/>
      <c r="O58" s="14" t="s">
        <v>3024</v>
      </c>
      <c r="P58" s="20"/>
      <c r="Q58" s="372"/>
      <c r="R58" s="19"/>
    </row>
    <row r="59" spans="4:18" x14ac:dyDescent="0.25">
      <c r="D59" s="15" t="s">
        <v>5735</v>
      </c>
      <c r="E59" s="14" t="s">
        <v>2359</v>
      </c>
      <c r="F59" s="15"/>
      <c r="G59" s="14"/>
      <c r="H59" s="15"/>
      <c r="I59" s="15"/>
      <c r="J59" s="14" t="str">
        <f t="shared" si="0"/>
        <v/>
      </c>
      <c r="K59" s="15"/>
      <c r="L59" s="15"/>
      <c r="M59" s="15"/>
      <c r="N59" s="15"/>
      <c r="O59" s="14" t="s">
        <v>3025</v>
      </c>
      <c r="P59" s="20"/>
      <c r="Q59" s="372"/>
      <c r="R59" s="19"/>
    </row>
    <row r="60" spans="4:18" x14ac:dyDescent="0.25">
      <c r="D60" s="15" t="s">
        <v>5736</v>
      </c>
      <c r="E60" s="14" t="s">
        <v>2359</v>
      </c>
      <c r="F60" s="15"/>
      <c r="G60" s="14"/>
      <c r="H60" s="15"/>
      <c r="I60" s="15"/>
      <c r="J60" s="14" t="str">
        <f t="shared" si="0"/>
        <v/>
      </c>
      <c r="K60" s="15"/>
      <c r="L60" s="15"/>
      <c r="M60" s="15"/>
      <c r="N60" s="15"/>
      <c r="O60" s="14" t="s">
        <v>3026</v>
      </c>
      <c r="P60" s="20"/>
      <c r="Q60" s="372"/>
      <c r="R60" s="19"/>
    </row>
    <row r="61" spans="4:18" x14ac:dyDescent="0.25">
      <c r="D61" s="15" t="s">
        <v>5737</v>
      </c>
      <c r="E61" s="14" t="s">
        <v>2359</v>
      </c>
      <c r="F61" s="15"/>
      <c r="G61" s="14"/>
      <c r="H61" s="15"/>
      <c r="I61" s="15"/>
      <c r="J61" s="14" t="str">
        <f t="shared" si="0"/>
        <v/>
      </c>
      <c r="K61" s="15"/>
      <c r="L61" s="15"/>
      <c r="M61" s="15"/>
      <c r="N61" s="15"/>
      <c r="O61" s="14" t="s">
        <v>3027</v>
      </c>
      <c r="P61" s="20"/>
      <c r="Q61" s="372"/>
      <c r="R61" s="19"/>
    </row>
    <row r="62" spans="4:18" x14ac:dyDescent="0.25">
      <c r="D62" s="15" t="s">
        <v>5738</v>
      </c>
      <c r="E62" s="14" t="s">
        <v>2359</v>
      </c>
      <c r="F62" s="15"/>
      <c r="G62" s="14"/>
      <c r="H62" s="15"/>
      <c r="I62" s="15"/>
      <c r="J62" s="14" t="str">
        <f t="shared" si="0"/>
        <v/>
      </c>
      <c r="K62" s="15"/>
      <c r="L62" s="15"/>
      <c r="M62" s="15"/>
      <c r="N62" s="15"/>
      <c r="O62" s="14" t="s">
        <v>3028</v>
      </c>
      <c r="P62" s="20"/>
      <c r="Q62" s="372"/>
      <c r="R62" s="19"/>
    </row>
    <row r="63" spans="4:18" x14ac:dyDescent="0.25">
      <c r="D63" s="15" t="s">
        <v>5739</v>
      </c>
      <c r="E63" s="14" t="s">
        <v>2359</v>
      </c>
      <c r="F63" s="15"/>
      <c r="G63" s="14"/>
      <c r="H63" s="15"/>
      <c r="I63" s="15"/>
      <c r="J63" s="14" t="str">
        <f t="shared" si="0"/>
        <v/>
      </c>
      <c r="K63" s="15"/>
      <c r="L63" s="15"/>
      <c r="M63" s="15"/>
      <c r="N63" s="15"/>
      <c r="O63" s="14" t="s">
        <v>3029</v>
      </c>
      <c r="P63" s="20"/>
      <c r="Q63" s="372"/>
      <c r="R63" s="19"/>
    </row>
    <row r="64" spans="4:18" x14ac:dyDescent="0.25">
      <c r="D64" s="15" t="s">
        <v>5740</v>
      </c>
      <c r="E64" s="14" t="s">
        <v>2366</v>
      </c>
      <c r="F64" s="15"/>
      <c r="G64" s="14"/>
      <c r="H64" s="15"/>
      <c r="I64" s="15"/>
      <c r="J64" s="14" t="str">
        <f t="shared" si="0"/>
        <v/>
      </c>
      <c r="K64" s="15"/>
      <c r="L64" s="15"/>
      <c r="M64" s="15"/>
      <c r="N64" s="15"/>
      <c r="O64" s="14" t="s">
        <v>3030</v>
      </c>
      <c r="P64" s="20"/>
      <c r="Q64" s="372"/>
      <c r="R64" s="19"/>
    </row>
    <row r="65" spans="4:18" x14ac:dyDescent="0.25">
      <c r="D65" s="15" t="s">
        <v>5741</v>
      </c>
      <c r="E65" s="14" t="s">
        <v>2366</v>
      </c>
      <c r="F65" s="15"/>
      <c r="G65" s="14"/>
      <c r="H65" s="15"/>
      <c r="I65" s="15"/>
      <c r="J65" s="14" t="str">
        <f t="shared" si="0"/>
        <v/>
      </c>
      <c r="K65" s="15"/>
      <c r="L65" s="15"/>
      <c r="M65" s="15"/>
      <c r="N65" s="15"/>
      <c r="O65" s="14" t="s">
        <v>3031</v>
      </c>
      <c r="P65" s="20"/>
      <c r="Q65" s="372"/>
      <c r="R65" s="19"/>
    </row>
    <row r="66" spans="4:18" x14ac:dyDescent="0.25">
      <c r="D66" s="15" t="s">
        <v>5742</v>
      </c>
      <c r="E66" s="14" t="s">
        <v>2366</v>
      </c>
      <c r="F66" s="15"/>
      <c r="G66" s="14"/>
      <c r="H66" s="15"/>
      <c r="I66" s="15"/>
      <c r="J66" s="14" t="str">
        <f t="shared" si="0"/>
        <v/>
      </c>
      <c r="K66" s="15"/>
      <c r="L66" s="15"/>
      <c r="M66" s="15"/>
      <c r="N66" s="15"/>
      <c r="O66" s="14" t="s">
        <v>3032</v>
      </c>
      <c r="P66" s="20"/>
      <c r="Q66" s="372"/>
      <c r="R66" s="19"/>
    </row>
    <row r="67" spans="4:18" x14ac:dyDescent="0.25">
      <c r="D67" s="15" t="s">
        <v>5743</v>
      </c>
      <c r="E67" s="14" t="s">
        <v>2366</v>
      </c>
      <c r="F67" s="15"/>
      <c r="G67" s="14"/>
      <c r="H67" s="15"/>
      <c r="I67" s="15"/>
      <c r="J67" s="14" t="str">
        <f t="shared" si="0"/>
        <v/>
      </c>
      <c r="K67" s="15"/>
      <c r="L67" s="15"/>
      <c r="M67" s="15"/>
      <c r="N67" s="15"/>
      <c r="O67" s="14" t="s">
        <v>3033</v>
      </c>
      <c r="P67" s="20"/>
      <c r="Q67" s="372"/>
      <c r="R67" s="19"/>
    </row>
    <row r="68" spans="4:18" x14ac:dyDescent="0.25">
      <c r="D68" s="15" t="s">
        <v>5744</v>
      </c>
      <c r="E68" s="14" t="s">
        <v>2366</v>
      </c>
      <c r="F68" s="15"/>
      <c r="G68" s="14"/>
      <c r="H68" s="15"/>
      <c r="I68" s="15"/>
      <c r="J68" s="14" t="str">
        <f t="shared" ref="J68:J131" si="1">F68&amp;H68&amp;I68</f>
        <v/>
      </c>
      <c r="K68" s="15"/>
      <c r="L68" s="15"/>
      <c r="M68" s="15"/>
      <c r="N68" s="15"/>
      <c r="O68" s="14" t="s">
        <v>3034</v>
      </c>
      <c r="P68" s="20"/>
      <c r="Q68" s="372"/>
      <c r="R68" s="19"/>
    </row>
    <row r="69" spans="4:18" x14ac:dyDescent="0.25">
      <c r="D69" s="15" t="s">
        <v>5745</v>
      </c>
      <c r="E69" s="14" t="s">
        <v>2366</v>
      </c>
      <c r="F69" s="15"/>
      <c r="G69" s="14"/>
      <c r="H69" s="15"/>
      <c r="I69" s="15"/>
      <c r="J69" s="14" t="str">
        <f t="shared" si="1"/>
        <v/>
      </c>
      <c r="K69" s="15"/>
      <c r="L69" s="15"/>
      <c r="M69" s="15"/>
      <c r="N69" s="15"/>
      <c r="O69" s="14" t="s">
        <v>3035</v>
      </c>
      <c r="P69" s="20"/>
      <c r="Q69" s="372"/>
      <c r="R69" s="19"/>
    </row>
    <row r="70" spans="4:18" x14ac:dyDescent="0.25">
      <c r="D70" s="15" t="s">
        <v>5746</v>
      </c>
      <c r="E70" s="14" t="s">
        <v>2366</v>
      </c>
      <c r="F70" s="15"/>
      <c r="G70" s="14"/>
      <c r="H70" s="15"/>
      <c r="I70" s="15"/>
      <c r="J70" s="14" t="str">
        <f t="shared" si="1"/>
        <v/>
      </c>
      <c r="K70" s="15"/>
      <c r="L70" s="15"/>
      <c r="M70" s="15"/>
      <c r="N70" s="15"/>
      <c r="O70" s="14" t="s">
        <v>3036</v>
      </c>
      <c r="P70" s="20"/>
      <c r="Q70" s="372"/>
      <c r="R70" s="19"/>
    </row>
    <row r="71" spans="4:18" x14ac:dyDescent="0.25">
      <c r="D71" s="15" t="s">
        <v>5747</v>
      </c>
      <c r="E71" s="14" t="s">
        <v>2366</v>
      </c>
      <c r="F71" s="15"/>
      <c r="G71" s="14"/>
      <c r="H71" s="15"/>
      <c r="I71" s="15"/>
      <c r="J71" s="14" t="str">
        <f t="shared" si="1"/>
        <v/>
      </c>
      <c r="K71" s="15"/>
      <c r="L71" s="15"/>
      <c r="M71" s="15"/>
      <c r="N71" s="15"/>
      <c r="O71" s="14" t="s">
        <v>3037</v>
      </c>
      <c r="P71" s="20"/>
      <c r="Q71" s="372"/>
      <c r="R71" s="19"/>
    </row>
    <row r="72" spans="4:18" x14ac:dyDescent="0.25">
      <c r="D72" s="15" t="s">
        <v>5748</v>
      </c>
      <c r="E72" s="14" t="s">
        <v>2366</v>
      </c>
      <c r="F72" s="15"/>
      <c r="G72" s="14"/>
      <c r="H72" s="15"/>
      <c r="I72" s="15"/>
      <c r="J72" s="14" t="str">
        <f t="shared" si="1"/>
        <v/>
      </c>
      <c r="K72" s="15"/>
      <c r="L72" s="15"/>
      <c r="M72" s="15"/>
      <c r="N72" s="15"/>
      <c r="O72" s="14" t="s">
        <v>3038</v>
      </c>
      <c r="P72" s="20"/>
      <c r="Q72" s="372"/>
      <c r="R72" s="19"/>
    </row>
    <row r="73" spans="4:18" x14ac:dyDescent="0.25">
      <c r="D73" s="15" t="s">
        <v>5749</v>
      </c>
      <c r="E73" s="14" t="s">
        <v>2366</v>
      </c>
      <c r="F73" s="15"/>
      <c r="G73" s="14"/>
      <c r="H73" s="15"/>
      <c r="I73" s="15"/>
      <c r="J73" s="14" t="str">
        <f t="shared" si="1"/>
        <v/>
      </c>
      <c r="K73" s="15"/>
      <c r="L73" s="15"/>
      <c r="M73" s="15"/>
      <c r="N73" s="15"/>
      <c r="O73" s="14" t="s">
        <v>3039</v>
      </c>
      <c r="P73" s="20"/>
      <c r="Q73" s="372"/>
      <c r="R73" s="19"/>
    </row>
    <row r="74" spans="4:18" x14ac:dyDescent="0.25">
      <c r="D74" s="15" t="s">
        <v>5750</v>
      </c>
      <c r="E74" s="14" t="s">
        <v>2373</v>
      </c>
      <c r="F74" s="15"/>
      <c r="G74" s="14"/>
      <c r="H74" s="15"/>
      <c r="I74" s="15"/>
      <c r="J74" s="14" t="str">
        <f t="shared" si="1"/>
        <v/>
      </c>
      <c r="K74" s="15"/>
      <c r="L74" s="15"/>
      <c r="M74" s="15"/>
      <c r="N74" s="15"/>
      <c r="O74" s="14" t="s">
        <v>3040</v>
      </c>
      <c r="P74" s="20"/>
      <c r="Q74" s="372"/>
      <c r="R74" s="19"/>
    </row>
    <row r="75" spans="4:18" x14ac:dyDescent="0.25">
      <c r="D75" s="15" t="s">
        <v>5751</v>
      </c>
      <c r="E75" s="14" t="s">
        <v>2373</v>
      </c>
      <c r="F75" s="15"/>
      <c r="G75" s="14"/>
      <c r="H75" s="15"/>
      <c r="I75" s="15"/>
      <c r="J75" s="14" t="str">
        <f t="shared" si="1"/>
        <v/>
      </c>
      <c r="K75" s="15"/>
      <c r="L75" s="15"/>
      <c r="M75" s="15"/>
      <c r="N75" s="15"/>
      <c r="O75" s="14" t="s">
        <v>3041</v>
      </c>
      <c r="P75" s="20"/>
      <c r="Q75" s="372"/>
      <c r="R75" s="19"/>
    </row>
    <row r="76" spans="4:18" x14ac:dyDescent="0.25">
      <c r="D76" s="15" t="s">
        <v>5752</v>
      </c>
      <c r="E76" s="14" t="s">
        <v>2373</v>
      </c>
      <c r="F76" s="15"/>
      <c r="G76" s="14"/>
      <c r="H76" s="15"/>
      <c r="I76" s="15"/>
      <c r="J76" s="14" t="str">
        <f t="shared" si="1"/>
        <v/>
      </c>
      <c r="K76" s="15"/>
      <c r="L76" s="15"/>
      <c r="M76" s="15"/>
      <c r="N76" s="15"/>
      <c r="O76" s="14" t="s">
        <v>3042</v>
      </c>
      <c r="P76" s="20"/>
      <c r="Q76" s="372"/>
      <c r="R76" s="19"/>
    </row>
    <row r="77" spans="4:18" x14ac:dyDescent="0.25">
      <c r="D77" s="15" t="s">
        <v>5753</v>
      </c>
      <c r="E77" s="14" t="s">
        <v>2373</v>
      </c>
      <c r="F77" s="15"/>
      <c r="G77" s="14"/>
      <c r="H77" s="15"/>
      <c r="I77" s="15"/>
      <c r="J77" s="14" t="str">
        <f t="shared" si="1"/>
        <v/>
      </c>
      <c r="K77" s="15"/>
      <c r="L77" s="15"/>
      <c r="M77" s="15"/>
      <c r="N77" s="15"/>
      <c r="O77" s="14" t="s">
        <v>3043</v>
      </c>
      <c r="P77" s="20"/>
      <c r="Q77" s="372"/>
      <c r="R77" s="19"/>
    </row>
    <row r="78" spans="4:18" x14ac:dyDescent="0.25">
      <c r="D78" s="15" t="s">
        <v>5754</v>
      </c>
      <c r="E78" s="14" t="s">
        <v>2373</v>
      </c>
      <c r="F78" s="15"/>
      <c r="G78" s="14"/>
      <c r="H78" s="15"/>
      <c r="I78" s="15"/>
      <c r="J78" s="14" t="str">
        <f t="shared" si="1"/>
        <v/>
      </c>
      <c r="K78" s="15"/>
      <c r="L78" s="15"/>
      <c r="M78" s="15"/>
      <c r="N78" s="15"/>
      <c r="O78" s="14" t="s">
        <v>3044</v>
      </c>
      <c r="P78" s="20"/>
      <c r="Q78" s="372"/>
      <c r="R78" s="19"/>
    </row>
    <row r="79" spans="4:18" x14ac:dyDescent="0.25">
      <c r="D79" s="15" t="s">
        <v>5755</v>
      </c>
      <c r="E79" s="14" t="s">
        <v>2373</v>
      </c>
      <c r="F79" s="15"/>
      <c r="G79" s="14"/>
      <c r="H79" s="15"/>
      <c r="I79" s="15"/>
      <c r="J79" s="14" t="str">
        <f t="shared" si="1"/>
        <v/>
      </c>
      <c r="K79" s="15"/>
      <c r="L79" s="15"/>
      <c r="M79" s="15"/>
      <c r="N79" s="15"/>
      <c r="O79" s="14" t="s">
        <v>3045</v>
      </c>
      <c r="P79" s="20"/>
      <c r="Q79" s="372"/>
      <c r="R79" s="19"/>
    </row>
    <row r="80" spans="4:18" x14ac:dyDescent="0.25">
      <c r="D80" s="15" t="s">
        <v>5756</v>
      </c>
      <c r="E80" s="14" t="s">
        <v>2373</v>
      </c>
      <c r="F80" s="15"/>
      <c r="G80" s="14"/>
      <c r="H80" s="15"/>
      <c r="I80" s="15"/>
      <c r="J80" s="14" t="str">
        <f t="shared" si="1"/>
        <v/>
      </c>
      <c r="K80" s="15"/>
      <c r="L80" s="15"/>
      <c r="M80" s="15"/>
      <c r="N80" s="15"/>
      <c r="O80" s="14" t="s">
        <v>3046</v>
      </c>
      <c r="P80" s="20"/>
      <c r="Q80" s="372"/>
      <c r="R80" s="19"/>
    </row>
    <row r="81" spans="4:18" x14ac:dyDescent="0.25">
      <c r="D81" s="15" t="s">
        <v>5757</v>
      </c>
      <c r="E81" s="14" t="s">
        <v>2373</v>
      </c>
      <c r="F81" s="15"/>
      <c r="G81" s="14"/>
      <c r="H81" s="15"/>
      <c r="I81" s="15"/>
      <c r="J81" s="14" t="str">
        <f t="shared" si="1"/>
        <v/>
      </c>
      <c r="K81" s="15"/>
      <c r="L81" s="15"/>
      <c r="M81" s="15"/>
      <c r="N81" s="15"/>
      <c r="O81" s="14" t="s">
        <v>3047</v>
      </c>
      <c r="P81" s="20"/>
      <c r="Q81" s="372"/>
      <c r="R81" s="19"/>
    </row>
    <row r="82" spans="4:18" x14ac:dyDescent="0.25">
      <c r="D82" s="15" t="s">
        <v>5758</v>
      </c>
      <c r="E82" s="14" t="s">
        <v>2373</v>
      </c>
      <c r="F82" s="15"/>
      <c r="G82" s="14"/>
      <c r="H82" s="15"/>
      <c r="I82" s="15"/>
      <c r="J82" s="14" t="str">
        <f t="shared" si="1"/>
        <v/>
      </c>
      <c r="K82" s="15"/>
      <c r="L82" s="15"/>
      <c r="M82" s="15"/>
      <c r="N82" s="15"/>
      <c r="O82" s="14" t="s">
        <v>3048</v>
      </c>
      <c r="P82" s="20"/>
      <c r="Q82" s="372"/>
      <c r="R82" s="19"/>
    </row>
    <row r="83" spans="4:18" x14ac:dyDescent="0.25">
      <c r="D83" s="15" t="s">
        <v>5759</v>
      </c>
      <c r="E83" s="14" t="s">
        <v>2373</v>
      </c>
      <c r="F83" s="15"/>
      <c r="G83" s="14"/>
      <c r="H83" s="15"/>
      <c r="I83" s="15"/>
      <c r="J83" s="14" t="str">
        <f t="shared" si="1"/>
        <v/>
      </c>
      <c r="K83" s="15"/>
      <c r="L83" s="15"/>
      <c r="M83" s="15"/>
      <c r="N83" s="15"/>
      <c r="O83" s="14" t="s">
        <v>3049</v>
      </c>
      <c r="P83" s="20"/>
      <c r="Q83" s="372"/>
      <c r="R83" s="19"/>
    </row>
    <row r="84" spans="4:18" x14ac:dyDescent="0.25">
      <c r="D84" s="15" t="s">
        <v>5760</v>
      </c>
      <c r="E84" s="14" t="s">
        <v>2380</v>
      </c>
      <c r="F84" s="15"/>
      <c r="G84" s="14"/>
      <c r="H84" s="15"/>
      <c r="I84" s="15"/>
      <c r="J84" s="14" t="str">
        <f t="shared" si="1"/>
        <v/>
      </c>
      <c r="K84" s="15"/>
      <c r="L84" s="15"/>
      <c r="M84" s="15"/>
      <c r="N84" s="15"/>
      <c r="O84" s="14" t="s">
        <v>3050</v>
      </c>
      <c r="P84" s="20"/>
      <c r="Q84" s="372"/>
      <c r="R84" s="19"/>
    </row>
    <row r="85" spans="4:18" x14ac:dyDescent="0.25">
      <c r="D85" s="15" t="s">
        <v>5761</v>
      </c>
      <c r="E85" s="14" t="s">
        <v>2380</v>
      </c>
      <c r="F85" s="15"/>
      <c r="G85" s="14"/>
      <c r="H85" s="15"/>
      <c r="I85" s="15"/>
      <c r="J85" s="14" t="str">
        <f t="shared" si="1"/>
        <v/>
      </c>
      <c r="K85" s="15"/>
      <c r="L85" s="15"/>
      <c r="M85" s="15"/>
      <c r="N85" s="15"/>
      <c r="O85" s="14" t="s">
        <v>3051</v>
      </c>
      <c r="P85" s="20"/>
      <c r="Q85" s="372"/>
      <c r="R85" s="19"/>
    </row>
    <row r="86" spans="4:18" x14ac:dyDescent="0.25">
      <c r="D86" s="15" t="s">
        <v>5762</v>
      </c>
      <c r="E86" s="14" t="s">
        <v>2380</v>
      </c>
      <c r="F86" s="15"/>
      <c r="G86" s="14"/>
      <c r="H86" s="15"/>
      <c r="I86" s="15"/>
      <c r="J86" s="14" t="str">
        <f t="shared" si="1"/>
        <v/>
      </c>
      <c r="K86" s="15"/>
      <c r="L86" s="15"/>
      <c r="M86" s="15"/>
      <c r="N86" s="15"/>
      <c r="O86" s="14" t="s">
        <v>3052</v>
      </c>
      <c r="P86" s="20"/>
      <c r="Q86" s="372"/>
      <c r="R86" s="19"/>
    </row>
    <row r="87" spans="4:18" x14ac:dyDescent="0.25">
      <c r="D87" s="15" t="s">
        <v>5763</v>
      </c>
      <c r="E87" s="14" t="s">
        <v>2380</v>
      </c>
      <c r="F87" s="15"/>
      <c r="G87" s="14"/>
      <c r="H87" s="15"/>
      <c r="I87" s="15"/>
      <c r="J87" s="14" t="str">
        <f t="shared" si="1"/>
        <v/>
      </c>
      <c r="K87" s="15"/>
      <c r="L87" s="15"/>
      <c r="M87" s="15"/>
      <c r="N87" s="15"/>
      <c r="O87" s="14" t="s">
        <v>3053</v>
      </c>
      <c r="P87" s="20"/>
      <c r="Q87" s="372"/>
      <c r="R87" s="19"/>
    </row>
    <row r="88" spans="4:18" x14ac:dyDescent="0.25">
      <c r="D88" s="15" t="s">
        <v>5764</v>
      </c>
      <c r="E88" s="14" t="s">
        <v>2380</v>
      </c>
      <c r="F88" s="15"/>
      <c r="G88" s="14"/>
      <c r="H88" s="15"/>
      <c r="I88" s="15"/>
      <c r="J88" s="14" t="str">
        <f t="shared" si="1"/>
        <v/>
      </c>
      <c r="K88" s="15"/>
      <c r="L88" s="15"/>
      <c r="M88" s="15"/>
      <c r="N88" s="15"/>
      <c r="O88" s="14" t="s">
        <v>3054</v>
      </c>
      <c r="P88" s="20"/>
      <c r="Q88" s="372"/>
      <c r="R88" s="19"/>
    </row>
    <row r="89" spans="4:18" x14ac:dyDescent="0.25">
      <c r="D89" s="15" t="s">
        <v>5765</v>
      </c>
      <c r="E89" s="14" t="s">
        <v>2380</v>
      </c>
      <c r="F89" s="15"/>
      <c r="G89" s="14"/>
      <c r="H89" s="15"/>
      <c r="I89" s="15"/>
      <c r="J89" s="14" t="str">
        <f t="shared" si="1"/>
        <v/>
      </c>
      <c r="K89" s="15"/>
      <c r="L89" s="15"/>
      <c r="M89" s="15"/>
      <c r="N89" s="15"/>
      <c r="O89" s="14" t="s">
        <v>3055</v>
      </c>
      <c r="P89" s="20"/>
      <c r="Q89" s="372"/>
      <c r="R89" s="19"/>
    </row>
    <row r="90" spans="4:18" x14ac:dyDescent="0.25">
      <c r="D90" s="15" t="s">
        <v>5766</v>
      </c>
      <c r="E90" s="14" t="s">
        <v>2380</v>
      </c>
      <c r="F90" s="15"/>
      <c r="G90" s="14"/>
      <c r="H90" s="15"/>
      <c r="I90" s="15"/>
      <c r="J90" s="14" t="str">
        <f t="shared" si="1"/>
        <v/>
      </c>
      <c r="K90" s="15"/>
      <c r="L90" s="15"/>
      <c r="M90" s="15"/>
      <c r="N90" s="15"/>
      <c r="O90" s="14" t="s">
        <v>3056</v>
      </c>
      <c r="P90" s="20"/>
      <c r="Q90" s="372"/>
      <c r="R90" s="19"/>
    </row>
    <row r="91" spans="4:18" x14ac:dyDescent="0.25">
      <c r="D91" s="15" t="s">
        <v>5767</v>
      </c>
      <c r="E91" s="14" t="s">
        <v>2380</v>
      </c>
      <c r="F91" s="15"/>
      <c r="G91" s="14"/>
      <c r="H91" s="15"/>
      <c r="I91" s="15"/>
      <c r="J91" s="14" t="str">
        <f t="shared" si="1"/>
        <v/>
      </c>
      <c r="K91" s="15"/>
      <c r="L91" s="15"/>
      <c r="M91" s="15"/>
      <c r="N91" s="15"/>
      <c r="O91" s="14" t="s">
        <v>3057</v>
      </c>
      <c r="P91" s="20"/>
      <c r="Q91" s="372"/>
      <c r="R91" s="19"/>
    </row>
    <row r="92" spans="4:18" x14ac:dyDescent="0.25">
      <c r="D92" s="15" t="s">
        <v>5768</v>
      </c>
      <c r="E92" s="14" t="s">
        <v>2380</v>
      </c>
      <c r="F92" s="15"/>
      <c r="G92" s="14"/>
      <c r="H92" s="15"/>
      <c r="I92" s="15"/>
      <c r="J92" s="14" t="str">
        <f t="shared" si="1"/>
        <v/>
      </c>
      <c r="K92" s="15"/>
      <c r="L92" s="15"/>
      <c r="M92" s="15"/>
      <c r="N92" s="15"/>
      <c r="O92" s="14" t="s">
        <v>3058</v>
      </c>
      <c r="P92" s="20"/>
      <c r="Q92" s="372"/>
      <c r="R92" s="19"/>
    </row>
    <row r="93" spans="4:18" x14ac:dyDescent="0.25">
      <c r="D93" s="15" t="s">
        <v>5769</v>
      </c>
      <c r="E93" s="14" t="s">
        <v>2380</v>
      </c>
      <c r="F93" s="15"/>
      <c r="G93" s="14"/>
      <c r="H93" s="15"/>
      <c r="I93" s="15"/>
      <c r="J93" s="14" t="str">
        <f t="shared" si="1"/>
        <v/>
      </c>
      <c r="K93" s="15"/>
      <c r="L93" s="15"/>
      <c r="M93" s="15"/>
      <c r="N93" s="15"/>
      <c r="O93" s="14" t="s">
        <v>3059</v>
      </c>
      <c r="P93" s="20"/>
      <c r="Q93" s="372"/>
      <c r="R93" s="19"/>
    </row>
    <row r="94" spans="4:18" x14ac:dyDescent="0.25">
      <c r="D94" s="15" t="s">
        <v>5770</v>
      </c>
      <c r="E94" s="14" t="s">
        <v>2387</v>
      </c>
      <c r="F94" s="15"/>
      <c r="G94" s="14"/>
      <c r="H94" s="15"/>
      <c r="I94" s="15"/>
      <c r="J94" s="14" t="str">
        <f t="shared" si="1"/>
        <v/>
      </c>
      <c r="K94" s="15"/>
      <c r="L94" s="15"/>
      <c r="M94" s="15"/>
      <c r="N94" s="15"/>
      <c r="O94" s="14" t="s">
        <v>3060</v>
      </c>
      <c r="P94" s="20"/>
      <c r="Q94" s="372"/>
      <c r="R94" s="19"/>
    </row>
    <row r="95" spans="4:18" x14ac:dyDescent="0.25">
      <c r="D95" s="15" t="s">
        <v>5771</v>
      </c>
      <c r="E95" s="14" t="s">
        <v>2387</v>
      </c>
      <c r="F95" s="15"/>
      <c r="G95" s="14"/>
      <c r="H95" s="15"/>
      <c r="I95" s="15"/>
      <c r="J95" s="14" t="str">
        <f t="shared" si="1"/>
        <v/>
      </c>
      <c r="K95" s="15"/>
      <c r="L95" s="15"/>
      <c r="M95" s="15"/>
      <c r="N95" s="15"/>
      <c r="O95" s="14" t="s">
        <v>3061</v>
      </c>
      <c r="P95" s="20"/>
      <c r="Q95" s="372"/>
      <c r="R95" s="19"/>
    </row>
    <row r="96" spans="4:18" x14ac:dyDescent="0.25">
      <c r="D96" s="15" t="s">
        <v>5772</v>
      </c>
      <c r="E96" s="14" t="s">
        <v>2387</v>
      </c>
      <c r="F96" s="15"/>
      <c r="G96" s="14"/>
      <c r="H96" s="15"/>
      <c r="I96" s="15"/>
      <c r="J96" s="14" t="str">
        <f t="shared" si="1"/>
        <v/>
      </c>
      <c r="K96" s="15"/>
      <c r="L96" s="15"/>
      <c r="M96" s="15"/>
      <c r="N96" s="15"/>
      <c r="O96" s="14" t="s">
        <v>3062</v>
      </c>
      <c r="P96" s="20"/>
      <c r="Q96" s="372"/>
      <c r="R96" s="19"/>
    </row>
    <row r="97" spans="4:18" x14ac:dyDescent="0.25">
      <c r="D97" s="15" t="s">
        <v>5773</v>
      </c>
      <c r="E97" s="14" t="s">
        <v>2387</v>
      </c>
      <c r="F97" s="15"/>
      <c r="G97" s="14"/>
      <c r="H97" s="15"/>
      <c r="I97" s="15"/>
      <c r="J97" s="14" t="str">
        <f t="shared" si="1"/>
        <v/>
      </c>
      <c r="K97" s="15"/>
      <c r="L97" s="15"/>
      <c r="M97" s="15"/>
      <c r="N97" s="15"/>
      <c r="O97" s="14" t="s">
        <v>3063</v>
      </c>
      <c r="P97" s="20"/>
      <c r="Q97" s="372"/>
      <c r="R97" s="19"/>
    </row>
    <row r="98" spans="4:18" x14ac:dyDescent="0.25">
      <c r="D98" s="15" t="s">
        <v>5774</v>
      </c>
      <c r="E98" s="14" t="s">
        <v>2387</v>
      </c>
      <c r="F98" s="15"/>
      <c r="G98" s="14"/>
      <c r="H98" s="15"/>
      <c r="I98" s="15"/>
      <c r="J98" s="14" t="str">
        <f t="shared" si="1"/>
        <v/>
      </c>
      <c r="K98" s="15"/>
      <c r="L98" s="15"/>
      <c r="M98" s="15"/>
      <c r="N98" s="15"/>
      <c r="O98" s="14" t="s">
        <v>3064</v>
      </c>
      <c r="P98" s="20"/>
      <c r="Q98" s="372"/>
      <c r="R98" s="19"/>
    </row>
    <row r="99" spans="4:18" x14ac:dyDescent="0.25">
      <c r="D99" s="15" t="s">
        <v>5775</v>
      </c>
      <c r="E99" s="14" t="s">
        <v>2387</v>
      </c>
      <c r="F99" s="15"/>
      <c r="G99" s="14"/>
      <c r="H99" s="15"/>
      <c r="I99" s="15"/>
      <c r="J99" s="14" t="str">
        <f t="shared" si="1"/>
        <v/>
      </c>
      <c r="K99" s="15"/>
      <c r="L99" s="15"/>
      <c r="M99" s="15"/>
      <c r="N99" s="15"/>
      <c r="O99" s="14" t="s">
        <v>3065</v>
      </c>
      <c r="P99" s="20"/>
      <c r="Q99" s="372"/>
      <c r="R99" s="19"/>
    </row>
    <row r="100" spans="4:18" x14ac:dyDescent="0.25">
      <c r="D100" s="15" t="s">
        <v>5776</v>
      </c>
      <c r="E100" s="14" t="s">
        <v>2387</v>
      </c>
      <c r="F100" s="15"/>
      <c r="G100" s="14"/>
      <c r="H100" s="15"/>
      <c r="I100" s="15"/>
      <c r="J100" s="14" t="str">
        <f t="shared" si="1"/>
        <v/>
      </c>
      <c r="K100" s="15"/>
      <c r="L100" s="15"/>
      <c r="M100" s="15"/>
      <c r="N100" s="15"/>
      <c r="O100" s="14" t="s">
        <v>3066</v>
      </c>
      <c r="P100" s="20"/>
      <c r="Q100" s="372"/>
      <c r="R100" s="19"/>
    </row>
    <row r="101" spans="4:18" x14ac:dyDescent="0.25">
      <c r="D101" s="15" t="s">
        <v>5777</v>
      </c>
      <c r="E101" s="14" t="s">
        <v>2387</v>
      </c>
      <c r="F101" s="15"/>
      <c r="G101" s="14"/>
      <c r="H101" s="15"/>
      <c r="I101" s="15"/>
      <c r="J101" s="14" t="str">
        <f t="shared" si="1"/>
        <v/>
      </c>
      <c r="K101" s="15"/>
      <c r="L101" s="15"/>
      <c r="M101" s="15"/>
      <c r="N101" s="15"/>
      <c r="O101" s="14" t="s">
        <v>3067</v>
      </c>
      <c r="P101" s="20"/>
      <c r="Q101" s="372"/>
      <c r="R101" s="19"/>
    </row>
    <row r="102" spans="4:18" x14ac:dyDescent="0.25">
      <c r="D102" s="15" t="s">
        <v>5778</v>
      </c>
      <c r="E102" s="14" t="s">
        <v>2387</v>
      </c>
      <c r="F102" s="15"/>
      <c r="G102" s="14"/>
      <c r="H102" s="15"/>
      <c r="I102" s="15"/>
      <c r="J102" s="14" t="str">
        <f t="shared" si="1"/>
        <v/>
      </c>
      <c r="K102" s="15"/>
      <c r="L102" s="15"/>
      <c r="M102" s="15"/>
      <c r="N102" s="15"/>
      <c r="O102" s="14" t="s">
        <v>3068</v>
      </c>
      <c r="P102" s="20"/>
      <c r="Q102" s="372"/>
      <c r="R102" s="19"/>
    </row>
    <row r="103" spans="4:18" x14ac:dyDescent="0.25">
      <c r="D103" s="15" t="s">
        <v>5779</v>
      </c>
      <c r="E103" s="14" t="s">
        <v>2387</v>
      </c>
      <c r="F103" s="15"/>
      <c r="G103" s="14"/>
      <c r="H103" s="15"/>
      <c r="I103" s="15"/>
      <c r="J103" s="14" t="str">
        <f t="shared" si="1"/>
        <v/>
      </c>
      <c r="K103" s="15"/>
      <c r="L103" s="15"/>
      <c r="M103" s="15"/>
      <c r="N103" s="15"/>
      <c r="O103" s="14" t="s">
        <v>3069</v>
      </c>
      <c r="P103" s="20"/>
      <c r="Q103" s="372"/>
      <c r="R103" s="19"/>
    </row>
    <row r="104" spans="4:18" x14ac:dyDescent="0.25">
      <c r="D104" s="15" t="s">
        <v>5780</v>
      </c>
      <c r="E104" s="14" t="s">
        <v>2394</v>
      </c>
      <c r="F104" s="15"/>
      <c r="G104" s="14"/>
      <c r="H104" s="15"/>
      <c r="I104" s="15"/>
      <c r="J104" s="14" t="str">
        <f t="shared" si="1"/>
        <v/>
      </c>
      <c r="K104" s="15"/>
      <c r="L104" s="15"/>
      <c r="M104" s="15"/>
      <c r="N104" s="15"/>
      <c r="O104" s="14" t="s">
        <v>3070</v>
      </c>
      <c r="P104" s="20"/>
      <c r="Q104" s="372"/>
      <c r="R104" s="19"/>
    </row>
    <row r="105" spans="4:18" x14ac:dyDescent="0.25">
      <c r="D105" s="15" t="s">
        <v>5781</v>
      </c>
      <c r="E105" s="14" t="s">
        <v>2394</v>
      </c>
      <c r="F105" s="15"/>
      <c r="G105" s="14"/>
      <c r="H105" s="15"/>
      <c r="I105" s="15"/>
      <c r="J105" s="14" t="str">
        <f t="shared" si="1"/>
        <v/>
      </c>
      <c r="K105" s="15"/>
      <c r="L105" s="15"/>
      <c r="M105" s="15"/>
      <c r="N105" s="15"/>
      <c r="O105" s="14" t="s">
        <v>3071</v>
      </c>
      <c r="P105" s="20"/>
      <c r="Q105" s="372"/>
      <c r="R105" s="19"/>
    </row>
    <row r="106" spans="4:18" x14ac:dyDescent="0.25">
      <c r="D106" s="15" t="s">
        <v>5782</v>
      </c>
      <c r="E106" s="14" t="s">
        <v>2394</v>
      </c>
      <c r="F106" s="15"/>
      <c r="G106" s="14"/>
      <c r="H106" s="15"/>
      <c r="I106" s="15"/>
      <c r="J106" s="14" t="str">
        <f t="shared" si="1"/>
        <v/>
      </c>
      <c r="K106" s="15"/>
      <c r="L106" s="15"/>
      <c r="M106" s="15"/>
      <c r="N106" s="15"/>
      <c r="O106" s="14" t="s">
        <v>3072</v>
      </c>
      <c r="P106" s="20"/>
      <c r="Q106" s="372"/>
      <c r="R106" s="19"/>
    </row>
    <row r="107" spans="4:18" x14ac:dyDescent="0.25">
      <c r="D107" s="15" t="s">
        <v>5783</v>
      </c>
      <c r="E107" s="14" t="s">
        <v>2394</v>
      </c>
      <c r="F107" s="15"/>
      <c r="G107" s="14"/>
      <c r="H107" s="15"/>
      <c r="I107" s="15"/>
      <c r="J107" s="14" t="str">
        <f t="shared" si="1"/>
        <v/>
      </c>
      <c r="K107" s="15"/>
      <c r="L107" s="15"/>
      <c r="M107" s="15"/>
      <c r="N107" s="15"/>
      <c r="O107" s="14" t="s">
        <v>3073</v>
      </c>
      <c r="P107" s="20"/>
      <c r="Q107" s="372"/>
      <c r="R107" s="19"/>
    </row>
    <row r="108" spans="4:18" x14ac:dyDescent="0.25">
      <c r="D108" s="15" t="s">
        <v>5784</v>
      </c>
      <c r="E108" s="14" t="s">
        <v>2394</v>
      </c>
      <c r="F108" s="15"/>
      <c r="G108" s="14"/>
      <c r="H108" s="15"/>
      <c r="I108" s="15"/>
      <c r="J108" s="14" t="str">
        <f t="shared" si="1"/>
        <v/>
      </c>
      <c r="K108" s="15"/>
      <c r="L108" s="15"/>
      <c r="M108" s="15"/>
      <c r="N108" s="15"/>
      <c r="O108" s="14" t="s">
        <v>3074</v>
      </c>
      <c r="P108" s="20"/>
      <c r="Q108" s="372"/>
      <c r="R108" s="19"/>
    </row>
    <row r="109" spans="4:18" x14ac:dyDescent="0.25">
      <c r="D109" s="15" t="s">
        <v>5785</v>
      </c>
      <c r="E109" s="14" t="s">
        <v>2394</v>
      </c>
      <c r="F109" s="15"/>
      <c r="G109" s="14"/>
      <c r="H109" s="15"/>
      <c r="I109" s="15"/>
      <c r="J109" s="14" t="str">
        <f t="shared" si="1"/>
        <v/>
      </c>
      <c r="K109" s="15"/>
      <c r="L109" s="15"/>
      <c r="M109" s="15"/>
      <c r="N109" s="15"/>
      <c r="O109" s="14" t="s">
        <v>3075</v>
      </c>
      <c r="P109" s="20"/>
      <c r="Q109" s="372"/>
      <c r="R109" s="19"/>
    </row>
    <row r="110" spans="4:18" x14ac:dyDescent="0.25">
      <c r="D110" s="15" t="s">
        <v>5786</v>
      </c>
      <c r="E110" s="14" t="s">
        <v>2394</v>
      </c>
      <c r="F110" s="15"/>
      <c r="G110" s="14"/>
      <c r="H110" s="15"/>
      <c r="I110" s="15"/>
      <c r="J110" s="14" t="str">
        <f t="shared" si="1"/>
        <v/>
      </c>
      <c r="K110" s="15"/>
      <c r="L110" s="15"/>
      <c r="M110" s="15"/>
      <c r="N110" s="15"/>
      <c r="O110" s="14" t="s">
        <v>3076</v>
      </c>
      <c r="P110" s="20"/>
      <c r="Q110" s="372"/>
      <c r="R110" s="19"/>
    </row>
    <row r="111" spans="4:18" x14ac:dyDescent="0.25">
      <c r="D111" s="15" t="s">
        <v>5787</v>
      </c>
      <c r="E111" s="14" t="s">
        <v>2394</v>
      </c>
      <c r="F111" s="15"/>
      <c r="G111" s="14"/>
      <c r="H111" s="15"/>
      <c r="I111" s="15"/>
      <c r="J111" s="14" t="str">
        <f t="shared" si="1"/>
        <v/>
      </c>
      <c r="K111" s="15"/>
      <c r="L111" s="15"/>
      <c r="M111" s="15"/>
      <c r="N111" s="15"/>
      <c r="O111" s="14" t="s">
        <v>3077</v>
      </c>
      <c r="P111" s="20"/>
      <c r="Q111" s="372"/>
      <c r="R111" s="19"/>
    </row>
    <row r="112" spans="4:18" x14ac:dyDescent="0.25">
      <c r="D112" s="15" t="s">
        <v>5788</v>
      </c>
      <c r="E112" s="14" t="s">
        <v>2394</v>
      </c>
      <c r="F112" s="15"/>
      <c r="G112" s="14"/>
      <c r="H112" s="15"/>
      <c r="I112" s="15"/>
      <c r="J112" s="14" t="str">
        <f t="shared" si="1"/>
        <v/>
      </c>
      <c r="K112" s="15"/>
      <c r="L112" s="15"/>
      <c r="M112" s="15"/>
      <c r="N112" s="15"/>
      <c r="O112" s="14" t="s">
        <v>3078</v>
      </c>
      <c r="P112" s="20"/>
      <c r="Q112" s="372"/>
      <c r="R112" s="19"/>
    </row>
    <row r="113" spans="4:18" x14ac:dyDescent="0.25">
      <c r="D113" s="15" t="s">
        <v>5789</v>
      </c>
      <c r="E113" s="14" t="s">
        <v>2394</v>
      </c>
      <c r="F113" s="15"/>
      <c r="G113" s="14"/>
      <c r="H113" s="15"/>
      <c r="I113" s="15"/>
      <c r="J113" s="14" t="str">
        <f t="shared" si="1"/>
        <v/>
      </c>
      <c r="K113" s="15"/>
      <c r="L113" s="15"/>
      <c r="M113" s="15"/>
      <c r="N113" s="15"/>
      <c r="O113" s="14" t="s">
        <v>3079</v>
      </c>
      <c r="P113" s="20"/>
      <c r="Q113" s="372"/>
      <c r="R113" s="19"/>
    </row>
    <row r="114" spans="4:18" x14ac:dyDescent="0.25">
      <c r="D114" s="15" t="s">
        <v>5790</v>
      </c>
      <c r="E114" s="14" t="s">
        <v>2401</v>
      </c>
      <c r="F114" s="15"/>
      <c r="G114" s="14"/>
      <c r="H114" s="15"/>
      <c r="I114" s="15"/>
      <c r="J114" s="14" t="str">
        <f t="shared" si="1"/>
        <v/>
      </c>
      <c r="K114" s="15"/>
      <c r="L114" s="15"/>
      <c r="M114" s="15"/>
      <c r="N114" s="15"/>
      <c r="O114" s="14" t="s">
        <v>3080</v>
      </c>
      <c r="P114" s="20"/>
      <c r="Q114" s="372"/>
      <c r="R114" s="19"/>
    </row>
    <row r="115" spans="4:18" x14ac:dyDescent="0.25">
      <c r="D115" s="15" t="s">
        <v>5791</v>
      </c>
      <c r="E115" s="14" t="s">
        <v>2401</v>
      </c>
      <c r="F115" s="15"/>
      <c r="G115" s="14"/>
      <c r="H115" s="15"/>
      <c r="I115" s="15"/>
      <c r="J115" s="14" t="str">
        <f t="shared" si="1"/>
        <v/>
      </c>
      <c r="K115" s="15"/>
      <c r="L115" s="15"/>
      <c r="M115" s="15"/>
      <c r="N115" s="15"/>
      <c r="O115" s="14" t="s">
        <v>3081</v>
      </c>
      <c r="P115" s="20"/>
      <c r="Q115" s="372"/>
      <c r="R115" s="19"/>
    </row>
    <row r="116" spans="4:18" x14ac:dyDescent="0.25">
      <c r="D116" s="15" t="s">
        <v>5792</v>
      </c>
      <c r="E116" s="14" t="s">
        <v>2401</v>
      </c>
      <c r="F116" s="15"/>
      <c r="G116" s="14"/>
      <c r="H116" s="15"/>
      <c r="I116" s="15"/>
      <c r="J116" s="14" t="str">
        <f t="shared" si="1"/>
        <v/>
      </c>
      <c r="K116" s="15"/>
      <c r="L116" s="15"/>
      <c r="M116" s="15"/>
      <c r="N116" s="15"/>
      <c r="O116" s="14" t="s">
        <v>3082</v>
      </c>
      <c r="P116" s="20"/>
      <c r="Q116" s="372"/>
      <c r="R116" s="19"/>
    </row>
    <row r="117" spans="4:18" x14ac:dyDescent="0.25">
      <c r="D117" s="15" t="s">
        <v>5793</v>
      </c>
      <c r="E117" s="14" t="s">
        <v>2401</v>
      </c>
      <c r="F117" s="15"/>
      <c r="G117" s="14"/>
      <c r="H117" s="15"/>
      <c r="I117" s="15"/>
      <c r="J117" s="14" t="str">
        <f t="shared" si="1"/>
        <v/>
      </c>
      <c r="K117" s="15"/>
      <c r="L117" s="15"/>
      <c r="M117" s="15"/>
      <c r="N117" s="15"/>
      <c r="O117" s="14" t="s">
        <v>3083</v>
      </c>
      <c r="P117" s="20"/>
      <c r="Q117" s="372"/>
      <c r="R117" s="19"/>
    </row>
    <row r="118" spans="4:18" x14ac:dyDescent="0.25">
      <c r="D118" s="15" t="s">
        <v>5794</v>
      </c>
      <c r="E118" s="14" t="s">
        <v>2401</v>
      </c>
      <c r="F118" s="15"/>
      <c r="G118" s="14"/>
      <c r="H118" s="15"/>
      <c r="I118" s="15"/>
      <c r="J118" s="14" t="str">
        <f t="shared" si="1"/>
        <v/>
      </c>
      <c r="K118" s="15"/>
      <c r="L118" s="15"/>
      <c r="M118" s="15"/>
      <c r="N118" s="15"/>
      <c r="O118" s="14" t="s">
        <v>3084</v>
      </c>
      <c r="P118" s="20"/>
      <c r="Q118" s="372"/>
      <c r="R118" s="19"/>
    </row>
    <row r="119" spans="4:18" x14ac:dyDescent="0.25">
      <c r="D119" s="15" t="s">
        <v>5795</v>
      </c>
      <c r="E119" s="14" t="s">
        <v>2401</v>
      </c>
      <c r="F119" s="15"/>
      <c r="G119" s="14"/>
      <c r="H119" s="15"/>
      <c r="I119" s="15"/>
      <c r="J119" s="14" t="str">
        <f t="shared" si="1"/>
        <v/>
      </c>
      <c r="K119" s="15"/>
      <c r="L119" s="15"/>
      <c r="M119" s="15"/>
      <c r="N119" s="15"/>
      <c r="O119" s="14" t="s">
        <v>3085</v>
      </c>
      <c r="P119" s="20"/>
      <c r="Q119" s="372"/>
      <c r="R119" s="19"/>
    </row>
    <row r="120" spans="4:18" x14ac:dyDescent="0.25">
      <c r="D120" s="15" t="s">
        <v>5796</v>
      </c>
      <c r="E120" s="14" t="s">
        <v>2401</v>
      </c>
      <c r="F120" s="15"/>
      <c r="G120" s="14"/>
      <c r="H120" s="15"/>
      <c r="I120" s="15"/>
      <c r="J120" s="14" t="str">
        <f t="shared" si="1"/>
        <v/>
      </c>
      <c r="K120" s="15"/>
      <c r="L120" s="15"/>
      <c r="M120" s="15"/>
      <c r="N120" s="15"/>
      <c r="O120" s="14" t="s">
        <v>3086</v>
      </c>
      <c r="P120" s="20"/>
      <c r="Q120" s="372"/>
      <c r="R120" s="19"/>
    </row>
    <row r="121" spans="4:18" x14ac:dyDescent="0.25">
      <c r="D121" s="15" t="s">
        <v>5797</v>
      </c>
      <c r="E121" s="14" t="s">
        <v>2401</v>
      </c>
      <c r="F121" s="15"/>
      <c r="G121" s="14"/>
      <c r="H121" s="15"/>
      <c r="I121" s="15"/>
      <c r="J121" s="14" t="str">
        <f t="shared" si="1"/>
        <v/>
      </c>
      <c r="K121" s="15"/>
      <c r="L121" s="15"/>
      <c r="M121" s="15"/>
      <c r="N121" s="15"/>
      <c r="O121" s="14" t="s">
        <v>3087</v>
      </c>
      <c r="P121" s="20"/>
      <c r="Q121" s="372"/>
      <c r="R121" s="19"/>
    </row>
    <row r="122" spans="4:18" x14ac:dyDescent="0.25">
      <c r="D122" s="15" t="s">
        <v>5798</v>
      </c>
      <c r="E122" s="14" t="s">
        <v>2401</v>
      </c>
      <c r="F122" s="15"/>
      <c r="G122" s="14"/>
      <c r="H122" s="15"/>
      <c r="I122" s="15"/>
      <c r="J122" s="14" t="str">
        <f t="shared" si="1"/>
        <v/>
      </c>
      <c r="K122" s="15"/>
      <c r="L122" s="15"/>
      <c r="M122" s="15"/>
      <c r="N122" s="15"/>
      <c r="O122" s="14" t="s">
        <v>3088</v>
      </c>
      <c r="P122" s="20"/>
      <c r="Q122" s="372"/>
      <c r="R122" s="19"/>
    </row>
    <row r="123" spans="4:18" x14ac:dyDescent="0.25">
      <c r="D123" s="15" t="s">
        <v>5799</v>
      </c>
      <c r="E123" s="14" t="s">
        <v>2401</v>
      </c>
      <c r="F123" s="15"/>
      <c r="G123" s="14"/>
      <c r="H123" s="15"/>
      <c r="I123" s="15"/>
      <c r="J123" s="14" t="str">
        <f t="shared" si="1"/>
        <v/>
      </c>
      <c r="K123" s="15"/>
      <c r="L123" s="15"/>
      <c r="M123" s="15"/>
      <c r="N123" s="15"/>
      <c r="O123" s="14" t="s">
        <v>3089</v>
      </c>
      <c r="P123" s="20"/>
      <c r="Q123" s="372"/>
      <c r="R123" s="19"/>
    </row>
    <row r="124" spans="4:18" x14ac:dyDescent="0.25">
      <c r="D124" s="15" t="s">
        <v>5800</v>
      </c>
      <c r="E124" s="14" t="s">
        <v>2408</v>
      </c>
      <c r="F124" s="15"/>
      <c r="G124" s="14"/>
      <c r="H124" s="15"/>
      <c r="I124" s="15"/>
      <c r="J124" s="14" t="str">
        <f t="shared" si="1"/>
        <v/>
      </c>
      <c r="K124" s="15"/>
      <c r="L124" s="15"/>
      <c r="M124" s="15"/>
      <c r="N124" s="15"/>
      <c r="O124" s="14" t="s">
        <v>3090</v>
      </c>
      <c r="P124" s="20"/>
      <c r="Q124" s="372"/>
      <c r="R124" s="19"/>
    </row>
    <row r="125" spans="4:18" x14ac:dyDescent="0.25">
      <c r="D125" s="15" t="s">
        <v>5801</v>
      </c>
      <c r="E125" s="14" t="s">
        <v>2408</v>
      </c>
      <c r="F125" s="15"/>
      <c r="G125" s="14"/>
      <c r="H125" s="15"/>
      <c r="I125" s="15"/>
      <c r="J125" s="14" t="str">
        <f t="shared" si="1"/>
        <v/>
      </c>
      <c r="K125" s="15"/>
      <c r="L125" s="15"/>
      <c r="M125" s="15"/>
      <c r="N125" s="15"/>
      <c r="O125" s="14" t="s">
        <v>3091</v>
      </c>
      <c r="P125" s="20"/>
      <c r="Q125" s="372"/>
      <c r="R125" s="19"/>
    </row>
    <row r="126" spans="4:18" x14ac:dyDescent="0.25">
      <c r="D126" s="15" t="s">
        <v>5802</v>
      </c>
      <c r="E126" s="14" t="s">
        <v>2408</v>
      </c>
      <c r="F126" s="15"/>
      <c r="G126" s="14"/>
      <c r="H126" s="15"/>
      <c r="I126" s="15"/>
      <c r="J126" s="14" t="str">
        <f t="shared" si="1"/>
        <v/>
      </c>
      <c r="K126" s="15"/>
      <c r="L126" s="15"/>
      <c r="M126" s="15"/>
      <c r="N126" s="15"/>
      <c r="O126" s="14" t="s">
        <v>3092</v>
      </c>
      <c r="P126" s="20"/>
      <c r="Q126" s="372"/>
      <c r="R126" s="19"/>
    </row>
    <row r="127" spans="4:18" x14ac:dyDescent="0.25">
      <c r="D127" s="15" t="s">
        <v>5803</v>
      </c>
      <c r="E127" s="14" t="s">
        <v>2408</v>
      </c>
      <c r="F127" s="15"/>
      <c r="G127" s="14"/>
      <c r="H127" s="15"/>
      <c r="I127" s="15"/>
      <c r="J127" s="14" t="str">
        <f t="shared" si="1"/>
        <v/>
      </c>
      <c r="K127" s="15"/>
      <c r="L127" s="15"/>
      <c r="M127" s="15"/>
      <c r="N127" s="15"/>
      <c r="O127" s="14" t="s">
        <v>3093</v>
      </c>
      <c r="P127" s="20"/>
      <c r="Q127" s="372"/>
      <c r="R127" s="19"/>
    </row>
    <row r="128" spans="4:18" x14ac:dyDescent="0.25">
      <c r="D128" s="15" t="s">
        <v>5804</v>
      </c>
      <c r="E128" s="14" t="s">
        <v>2408</v>
      </c>
      <c r="F128" s="15"/>
      <c r="G128" s="14"/>
      <c r="H128" s="15"/>
      <c r="I128" s="15"/>
      <c r="J128" s="14" t="str">
        <f t="shared" si="1"/>
        <v/>
      </c>
      <c r="K128" s="15"/>
      <c r="L128" s="15"/>
      <c r="M128" s="15"/>
      <c r="N128" s="15"/>
      <c r="O128" s="14" t="s">
        <v>3094</v>
      </c>
      <c r="P128" s="20"/>
      <c r="Q128" s="372"/>
      <c r="R128" s="19"/>
    </row>
    <row r="129" spans="4:18" x14ac:dyDescent="0.25">
      <c r="D129" s="15" t="s">
        <v>5805</v>
      </c>
      <c r="E129" s="14" t="s">
        <v>2408</v>
      </c>
      <c r="F129" s="15"/>
      <c r="G129" s="14"/>
      <c r="H129" s="15"/>
      <c r="I129" s="15"/>
      <c r="J129" s="14" t="str">
        <f t="shared" si="1"/>
        <v/>
      </c>
      <c r="K129" s="15"/>
      <c r="L129" s="15"/>
      <c r="M129" s="15"/>
      <c r="N129" s="15"/>
      <c r="O129" s="14" t="s">
        <v>3095</v>
      </c>
      <c r="P129" s="20"/>
      <c r="Q129" s="372"/>
      <c r="R129" s="19"/>
    </row>
    <row r="130" spans="4:18" x14ac:dyDescent="0.25">
      <c r="D130" s="15" t="s">
        <v>5806</v>
      </c>
      <c r="E130" s="14" t="s">
        <v>2408</v>
      </c>
      <c r="F130" s="15"/>
      <c r="G130" s="14"/>
      <c r="H130" s="15"/>
      <c r="I130" s="15"/>
      <c r="J130" s="14" t="str">
        <f t="shared" si="1"/>
        <v/>
      </c>
      <c r="K130" s="15"/>
      <c r="L130" s="15"/>
      <c r="M130" s="15"/>
      <c r="N130" s="15"/>
      <c r="O130" s="14" t="s">
        <v>3096</v>
      </c>
      <c r="P130" s="20"/>
      <c r="Q130" s="372"/>
      <c r="R130" s="19"/>
    </row>
    <row r="131" spans="4:18" x14ac:dyDescent="0.25">
      <c r="D131" s="15" t="s">
        <v>5807</v>
      </c>
      <c r="E131" s="14" t="s">
        <v>2408</v>
      </c>
      <c r="F131" s="15"/>
      <c r="G131" s="14"/>
      <c r="H131" s="15"/>
      <c r="I131" s="15"/>
      <c r="J131" s="14" t="str">
        <f t="shared" si="1"/>
        <v/>
      </c>
      <c r="K131" s="15"/>
      <c r="L131" s="15"/>
      <c r="M131" s="15"/>
      <c r="N131" s="15"/>
      <c r="O131" s="14" t="s">
        <v>3097</v>
      </c>
      <c r="P131" s="20"/>
      <c r="Q131" s="372"/>
      <c r="R131" s="19"/>
    </row>
    <row r="132" spans="4:18" x14ac:dyDescent="0.25">
      <c r="D132" s="15" t="s">
        <v>5808</v>
      </c>
      <c r="E132" s="14" t="s">
        <v>2408</v>
      </c>
      <c r="F132" s="15"/>
      <c r="G132" s="14"/>
      <c r="H132" s="15"/>
      <c r="I132" s="15"/>
      <c r="J132" s="14" t="str">
        <f t="shared" ref="J132:J153" si="2">F132&amp;H132&amp;I132</f>
        <v/>
      </c>
      <c r="K132" s="15"/>
      <c r="L132" s="15"/>
      <c r="M132" s="15"/>
      <c r="N132" s="15"/>
      <c r="O132" s="14" t="s">
        <v>3098</v>
      </c>
      <c r="P132" s="20"/>
      <c r="Q132" s="372"/>
      <c r="R132" s="19"/>
    </row>
    <row r="133" spans="4:18" x14ac:dyDescent="0.25">
      <c r="D133" s="15" t="s">
        <v>5809</v>
      </c>
      <c r="E133" s="14" t="s">
        <v>2408</v>
      </c>
      <c r="F133" s="15"/>
      <c r="G133" s="14"/>
      <c r="H133" s="15"/>
      <c r="I133" s="15"/>
      <c r="J133" s="14" t="str">
        <f t="shared" si="2"/>
        <v/>
      </c>
      <c r="K133" s="15"/>
      <c r="L133" s="15"/>
      <c r="M133" s="15"/>
      <c r="N133" s="15"/>
      <c r="O133" s="14" t="s">
        <v>3099</v>
      </c>
      <c r="P133" s="20"/>
      <c r="Q133" s="372"/>
      <c r="R133" s="19"/>
    </row>
    <row r="134" spans="4:18" x14ac:dyDescent="0.25">
      <c r="D134" s="15" t="s">
        <v>5810</v>
      </c>
      <c r="E134" s="14" t="s">
        <v>2415</v>
      </c>
      <c r="F134" s="15"/>
      <c r="G134" s="14"/>
      <c r="H134" s="15"/>
      <c r="I134" s="15"/>
      <c r="J134" s="14" t="str">
        <f t="shared" si="2"/>
        <v/>
      </c>
      <c r="K134" s="15"/>
      <c r="L134" s="15"/>
      <c r="M134" s="15"/>
      <c r="N134" s="15"/>
      <c r="O134" s="14" t="s">
        <v>3100</v>
      </c>
      <c r="P134" s="20"/>
      <c r="Q134" s="372"/>
      <c r="R134" s="19"/>
    </row>
    <row r="135" spans="4:18" x14ac:dyDescent="0.25">
      <c r="D135" s="15" t="s">
        <v>5811</v>
      </c>
      <c r="E135" s="14" t="s">
        <v>2415</v>
      </c>
      <c r="F135" s="15"/>
      <c r="G135" s="14"/>
      <c r="H135" s="15"/>
      <c r="I135" s="15"/>
      <c r="J135" s="14" t="str">
        <f t="shared" si="2"/>
        <v/>
      </c>
      <c r="K135" s="15"/>
      <c r="L135" s="15"/>
      <c r="M135" s="15"/>
      <c r="N135" s="15"/>
      <c r="O135" s="14" t="s">
        <v>3101</v>
      </c>
      <c r="P135" s="20"/>
      <c r="Q135" s="372"/>
      <c r="R135" s="19"/>
    </row>
    <row r="136" spans="4:18" x14ac:dyDescent="0.25">
      <c r="D136" s="15" t="s">
        <v>5812</v>
      </c>
      <c r="E136" s="14" t="s">
        <v>2415</v>
      </c>
      <c r="F136" s="15"/>
      <c r="G136" s="14"/>
      <c r="H136" s="15"/>
      <c r="I136" s="15"/>
      <c r="J136" s="14" t="str">
        <f t="shared" si="2"/>
        <v/>
      </c>
      <c r="K136" s="15"/>
      <c r="L136" s="15"/>
      <c r="M136" s="15"/>
      <c r="N136" s="15"/>
      <c r="O136" s="14" t="s">
        <v>3102</v>
      </c>
      <c r="P136" s="20"/>
      <c r="Q136" s="372"/>
      <c r="R136" s="19"/>
    </row>
    <row r="137" spans="4:18" x14ac:dyDescent="0.25">
      <c r="D137" s="15" t="s">
        <v>5813</v>
      </c>
      <c r="E137" s="14" t="s">
        <v>2415</v>
      </c>
      <c r="F137" s="15"/>
      <c r="G137" s="14"/>
      <c r="H137" s="15"/>
      <c r="I137" s="15"/>
      <c r="J137" s="14" t="str">
        <f t="shared" si="2"/>
        <v/>
      </c>
      <c r="K137" s="15"/>
      <c r="L137" s="15"/>
      <c r="M137" s="15"/>
      <c r="N137" s="15"/>
      <c r="O137" s="14" t="s">
        <v>3103</v>
      </c>
      <c r="P137" s="20"/>
      <c r="Q137" s="372"/>
      <c r="R137" s="19"/>
    </row>
    <row r="138" spans="4:18" x14ac:dyDescent="0.25">
      <c r="D138" s="15" t="s">
        <v>5814</v>
      </c>
      <c r="E138" s="14" t="s">
        <v>2415</v>
      </c>
      <c r="F138" s="15"/>
      <c r="G138" s="14"/>
      <c r="H138" s="15"/>
      <c r="I138" s="15"/>
      <c r="J138" s="14" t="str">
        <f t="shared" si="2"/>
        <v/>
      </c>
      <c r="K138" s="15"/>
      <c r="L138" s="15"/>
      <c r="M138" s="15"/>
      <c r="N138" s="15"/>
      <c r="O138" s="14" t="s">
        <v>3104</v>
      </c>
      <c r="P138" s="20"/>
      <c r="Q138" s="372"/>
      <c r="R138" s="19"/>
    </row>
    <row r="139" spans="4:18" x14ac:dyDescent="0.25">
      <c r="D139" s="15" t="s">
        <v>5815</v>
      </c>
      <c r="E139" s="14" t="s">
        <v>2415</v>
      </c>
      <c r="F139" s="15"/>
      <c r="G139" s="14"/>
      <c r="H139" s="15"/>
      <c r="I139" s="15"/>
      <c r="J139" s="14" t="str">
        <f t="shared" si="2"/>
        <v/>
      </c>
      <c r="K139" s="15"/>
      <c r="L139" s="15"/>
      <c r="M139" s="15"/>
      <c r="N139" s="15"/>
      <c r="O139" s="14" t="s">
        <v>3105</v>
      </c>
      <c r="P139" s="20"/>
      <c r="Q139" s="372"/>
      <c r="R139" s="19"/>
    </row>
    <row r="140" spans="4:18" x14ac:dyDescent="0.25">
      <c r="D140" s="15" t="s">
        <v>5816</v>
      </c>
      <c r="E140" s="14" t="s">
        <v>2415</v>
      </c>
      <c r="F140" s="15"/>
      <c r="G140" s="14"/>
      <c r="H140" s="15"/>
      <c r="I140" s="15"/>
      <c r="J140" s="14" t="str">
        <f t="shared" si="2"/>
        <v/>
      </c>
      <c r="K140" s="15"/>
      <c r="L140" s="15"/>
      <c r="M140" s="15"/>
      <c r="N140" s="15"/>
      <c r="O140" s="14" t="s">
        <v>3106</v>
      </c>
      <c r="P140" s="20"/>
      <c r="Q140" s="372"/>
      <c r="R140" s="19"/>
    </row>
    <row r="141" spans="4:18" x14ac:dyDescent="0.25">
      <c r="D141" s="15" t="s">
        <v>5817</v>
      </c>
      <c r="E141" s="14" t="s">
        <v>2415</v>
      </c>
      <c r="F141" s="15"/>
      <c r="G141" s="14"/>
      <c r="H141" s="15"/>
      <c r="I141" s="15"/>
      <c r="J141" s="14" t="str">
        <f t="shared" si="2"/>
        <v/>
      </c>
      <c r="K141" s="15"/>
      <c r="L141" s="15"/>
      <c r="M141" s="15"/>
      <c r="N141" s="15"/>
      <c r="O141" s="14" t="s">
        <v>3107</v>
      </c>
      <c r="P141" s="20"/>
      <c r="Q141" s="372"/>
      <c r="R141" s="19"/>
    </row>
    <row r="142" spans="4:18" x14ac:dyDescent="0.25">
      <c r="D142" s="15" t="s">
        <v>5818</v>
      </c>
      <c r="E142" s="14" t="s">
        <v>2415</v>
      </c>
      <c r="F142" s="15"/>
      <c r="G142" s="14"/>
      <c r="H142" s="15"/>
      <c r="I142" s="15"/>
      <c r="J142" s="14" t="str">
        <f t="shared" si="2"/>
        <v/>
      </c>
      <c r="K142" s="15"/>
      <c r="L142" s="15"/>
      <c r="M142" s="15"/>
      <c r="N142" s="15"/>
      <c r="O142" s="14" t="s">
        <v>3108</v>
      </c>
      <c r="P142" s="20"/>
      <c r="Q142" s="372"/>
      <c r="R142" s="19"/>
    </row>
    <row r="143" spans="4:18" x14ac:dyDescent="0.25">
      <c r="D143" s="15" t="s">
        <v>5819</v>
      </c>
      <c r="E143" s="14" t="s">
        <v>2415</v>
      </c>
      <c r="F143" s="15"/>
      <c r="G143" s="14"/>
      <c r="H143" s="15"/>
      <c r="I143" s="15"/>
      <c r="J143" s="14" t="str">
        <f t="shared" si="2"/>
        <v/>
      </c>
      <c r="K143" s="15"/>
      <c r="L143" s="15"/>
      <c r="M143" s="15"/>
      <c r="N143" s="15"/>
      <c r="O143" s="14" t="s">
        <v>3109</v>
      </c>
      <c r="P143" s="20"/>
      <c r="Q143" s="372"/>
      <c r="R143" s="19"/>
    </row>
    <row r="144" spans="4:18" x14ac:dyDescent="0.25">
      <c r="D144" s="15" t="s">
        <v>5820</v>
      </c>
      <c r="E144" s="14" t="s">
        <v>2422</v>
      </c>
      <c r="F144" s="15"/>
      <c r="G144" s="14"/>
      <c r="H144" s="15"/>
      <c r="I144" s="15"/>
      <c r="J144" s="14" t="str">
        <f t="shared" si="2"/>
        <v/>
      </c>
      <c r="K144" s="15"/>
      <c r="L144" s="15"/>
      <c r="M144" s="15"/>
      <c r="N144" s="15"/>
      <c r="O144" s="14" t="s">
        <v>3110</v>
      </c>
      <c r="P144" s="20"/>
      <c r="Q144" s="372"/>
      <c r="R144" s="19"/>
    </row>
    <row r="145" spans="4:18" x14ac:dyDescent="0.25">
      <c r="D145" s="15" t="s">
        <v>5821</v>
      </c>
      <c r="E145" s="14" t="s">
        <v>2422</v>
      </c>
      <c r="F145" s="15"/>
      <c r="G145" s="14"/>
      <c r="H145" s="15"/>
      <c r="I145" s="15"/>
      <c r="J145" s="14" t="str">
        <f t="shared" si="2"/>
        <v/>
      </c>
      <c r="K145" s="15"/>
      <c r="L145" s="15"/>
      <c r="M145" s="15"/>
      <c r="N145" s="15"/>
      <c r="O145" s="14" t="s">
        <v>3111</v>
      </c>
      <c r="P145" s="20"/>
      <c r="Q145" s="372"/>
      <c r="R145" s="19"/>
    </row>
    <row r="146" spans="4:18" x14ac:dyDescent="0.25">
      <c r="D146" s="15" t="s">
        <v>5822</v>
      </c>
      <c r="E146" s="14" t="s">
        <v>2422</v>
      </c>
      <c r="F146" s="15"/>
      <c r="G146" s="14"/>
      <c r="H146" s="15"/>
      <c r="I146" s="15"/>
      <c r="J146" s="14" t="str">
        <f t="shared" si="2"/>
        <v/>
      </c>
      <c r="K146" s="15"/>
      <c r="L146" s="15"/>
      <c r="M146" s="15"/>
      <c r="N146" s="15"/>
      <c r="O146" s="14" t="s">
        <v>3112</v>
      </c>
      <c r="P146" s="20"/>
      <c r="Q146" s="372"/>
      <c r="R146" s="19"/>
    </row>
    <row r="147" spans="4:18" x14ac:dyDescent="0.25">
      <c r="D147" s="15" t="s">
        <v>5823</v>
      </c>
      <c r="E147" s="14" t="s">
        <v>2422</v>
      </c>
      <c r="F147" s="15"/>
      <c r="G147" s="14"/>
      <c r="H147" s="15"/>
      <c r="I147" s="15"/>
      <c r="J147" s="14" t="str">
        <f t="shared" si="2"/>
        <v/>
      </c>
      <c r="K147" s="15"/>
      <c r="L147" s="15"/>
      <c r="M147" s="15"/>
      <c r="N147" s="15"/>
      <c r="O147" s="14" t="s">
        <v>3113</v>
      </c>
      <c r="P147" s="20"/>
      <c r="Q147" s="372"/>
      <c r="R147" s="19"/>
    </row>
    <row r="148" spans="4:18" x14ac:dyDescent="0.25">
      <c r="D148" s="15" t="s">
        <v>5824</v>
      </c>
      <c r="E148" s="14" t="s">
        <v>2422</v>
      </c>
      <c r="F148" s="15"/>
      <c r="G148" s="14"/>
      <c r="H148" s="15"/>
      <c r="I148" s="15"/>
      <c r="J148" s="14" t="str">
        <f t="shared" si="2"/>
        <v/>
      </c>
      <c r="K148" s="15"/>
      <c r="L148" s="15"/>
      <c r="M148" s="15"/>
      <c r="N148" s="15"/>
      <c r="O148" s="14" t="s">
        <v>3114</v>
      </c>
      <c r="P148" s="20"/>
      <c r="Q148" s="372"/>
      <c r="R148" s="19"/>
    </row>
    <row r="149" spans="4:18" x14ac:dyDescent="0.25">
      <c r="D149" s="15" t="s">
        <v>5825</v>
      </c>
      <c r="E149" s="14" t="s">
        <v>2422</v>
      </c>
      <c r="F149" s="15"/>
      <c r="G149" s="14"/>
      <c r="H149" s="15"/>
      <c r="I149" s="15"/>
      <c r="J149" s="14" t="str">
        <f t="shared" si="2"/>
        <v/>
      </c>
      <c r="K149" s="15"/>
      <c r="L149" s="15"/>
      <c r="M149" s="15"/>
      <c r="N149" s="15"/>
      <c r="O149" s="14" t="s">
        <v>3115</v>
      </c>
      <c r="P149" s="20"/>
      <c r="Q149" s="372"/>
      <c r="R149" s="19"/>
    </row>
    <row r="150" spans="4:18" x14ac:dyDescent="0.25">
      <c r="D150" s="15" t="s">
        <v>5826</v>
      </c>
      <c r="E150" s="14" t="s">
        <v>2422</v>
      </c>
      <c r="F150" s="15"/>
      <c r="G150" s="14"/>
      <c r="H150" s="15"/>
      <c r="I150" s="15"/>
      <c r="J150" s="14" t="str">
        <f t="shared" si="2"/>
        <v/>
      </c>
      <c r="K150" s="15"/>
      <c r="L150" s="15"/>
      <c r="M150" s="15"/>
      <c r="N150" s="15"/>
      <c r="O150" s="14" t="s">
        <v>3116</v>
      </c>
      <c r="P150" s="20"/>
      <c r="Q150" s="372"/>
      <c r="R150" s="19"/>
    </row>
    <row r="151" spans="4:18" x14ac:dyDescent="0.25">
      <c r="D151" s="15" t="s">
        <v>5827</v>
      </c>
      <c r="E151" s="14" t="s">
        <v>2422</v>
      </c>
      <c r="F151" s="15"/>
      <c r="G151" s="14"/>
      <c r="H151" s="15"/>
      <c r="I151" s="15"/>
      <c r="J151" s="14" t="str">
        <f t="shared" si="2"/>
        <v/>
      </c>
      <c r="K151" s="15"/>
      <c r="L151" s="15"/>
      <c r="M151" s="15"/>
      <c r="N151" s="15"/>
      <c r="O151" s="14" t="s">
        <v>3117</v>
      </c>
      <c r="P151" s="20"/>
      <c r="Q151" s="372"/>
      <c r="R151" s="19"/>
    </row>
    <row r="152" spans="4:18" x14ac:dyDescent="0.25">
      <c r="D152" s="15" t="s">
        <v>5828</v>
      </c>
      <c r="E152" s="14" t="s">
        <v>2422</v>
      </c>
      <c r="F152" s="15"/>
      <c r="G152" s="14"/>
      <c r="H152" s="15"/>
      <c r="I152" s="15"/>
      <c r="J152" s="14" t="str">
        <f t="shared" si="2"/>
        <v/>
      </c>
      <c r="K152" s="15"/>
      <c r="L152" s="15"/>
      <c r="M152" s="15"/>
      <c r="N152" s="15"/>
      <c r="O152" s="14" t="s">
        <v>3118</v>
      </c>
      <c r="P152" s="20"/>
      <c r="Q152" s="372"/>
      <c r="R152" s="19"/>
    </row>
    <row r="153" spans="4:18" x14ac:dyDescent="0.25">
      <c r="D153" s="15" t="s">
        <v>5829</v>
      </c>
      <c r="E153" s="14" t="s">
        <v>2422</v>
      </c>
      <c r="F153" s="15"/>
      <c r="G153" s="14"/>
      <c r="H153" s="15"/>
      <c r="I153" s="15"/>
      <c r="J153" s="14" t="str">
        <f t="shared" si="2"/>
        <v/>
      </c>
      <c r="K153" s="15"/>
      <c r="L153" s="15"/>
      <c r="M153" s="15"/>
      <c r="N153" s="15"/>
      <c r="O153" s="14" t="s">
        <v>3119</v>
      </c>
      <c r="P153" s="20"/>
      <c r="Q153" s="372"/>
      <c r="R153" s="19"/>
    </row>
    <row r="157" spans="4:18" x14ac:dyDescent="0.25">
      <c r="D157" s="2" t="s">
        <v>5830</v>
      </c>
    </row>
    <row r="158" spans="4:18" x14ac:dyDescent="0.25">
      <c r="D158" s="14" t="s">
        <v>5831</v>
      </c>
      <c r="E158" s="14" t="s">
        <v>2818</v>
      </c>
      <c r="F158" s="14" t="s">
        <v>2432</v>
      </c>
      <c r="G158" s="14"/>
      <c r="H158" s="14" t="s">
        <v>2216</v>
      </c>
      <c r="I158" s="14" t="s">
        <v>2217</v>
      </c>
      <c r="J158" s="14" t="s">
        <v>5669</v>
      </c>
      <c r="K158" s="14" t="s">
        <v>5670</v>
      </c>
      <c r="L158" s="14" t="s">
        <v>741</v>
      </c>
      <c r="M158" s="14" t="s">
        <v>199</v>
      </c>
      <c r="N158" s="14" t="s">
        <v>176</v>
      </c>
      <c r="O158" s="14" t="s">
        <v>318</v>
      </c>
    </row>
    <row r="159" spans="4:18" hidden="1" x14ac:dyDescent="0.25">
      <c r="D159" s="15" t="s">
        <v>5832</v>
      </c>
      <c r="E159" s="14" t="s">
        <v>5833</v>
      </c>
      <c r="F159" s="15" t="s">
        <v>2433</v>
      </c>
      <c r="G159" s="14"/>
      <c r="H159" s="15" t="s">
        <v>4476</v>
      </c>
      <c r="I159" s="15" t="s">
        <v>4477</v>
      </c>
      <c r="J159" s="14" t="str">
        <f>F159&amp;H159&amp;I159</f>
        <v>[Outcome Indicator Name][Category][Disaggregation]</v>
      </c>
      <c r="K159" s="15" t="s">
        <v>5673</v>
      </c>
      <c r="L159" s="15" t="s">
        <v>5674</v>
      </c>
      <c r="M159" s="15" t="s">
        <v>5675</v>
      </c>
      <c r="N159" s="15" t="s">
        <v>5676</v>
      </c>
      <c r="O159" s="14" t="s">
        <v>321</v>
      </c>
    </row>
    <row r="160" spans="4:18" x14ac:dyDescent="0.25">
      <c r="D160" s="15" t="s">
        <v>5834</v>
      </c>
      <c r="E160" s="14" t="s">
        <v>2452</v>
      </c>
      <c r="F160" s="15"/>
      <c r="G160" s="14"/>
      <c r="H160" s="15"/>
      <c r="I160" s="15"/>
      <c r="J160" s="14" t="str">
        <f t="shared" ref="J160:J223" si="3">F160&amp;H160&amp;I160</f>
        <v/>
      </c>
      <c r="K160" s="15"/>
      <c r="L160" s="15"/>
      <c r="M160" s="15"/>
      <c r="N160" s="15"/>
      <c r="O160" s="14" t="s">
        <v>2819</v>
      </c>
    </row>
    <row r="161" spans="4:15" x14ac:dyDescent="0.25">
      <c r="D161" s="15" t="s">
        <v>5835</v>
      </c>
      <c r="E161" s="14" t="s">
        <v>2452</v>
      </c>
      <c r="F161" s="15"/>
      <c r="G161" s="14"/>
      <c r="H161" s="15"/>
      <c r="I161" s="15"/>
      <c r="J161" s="14" t="str">
        <f t="shared" si="3"/>
        <v/>
      </c>
      <c r="K161" s="15"/>
      <c r="L161" s="15"/>
      <c r="M161" s="15"/>
      <c r="N161" s="15"/>
      <c r="O161" s="14" t="s">
        <v>2820</v>
      </c>
    </row>
    <row r="162" spans="4:15" x14ac:dyDescent="0.25">
      <c r="D162" s="15" t="s">
        <v>5836</v>
      </c>
      <c r="E162" s="14" t="s">
        <v>2452</v>
      </c>
      <c r="F162" s="15"/>
      <c r="G162" s="14"/>
      <c r="H162" s="15"/>
      <c r="I162" s="15"/>
      <c r="J162" s="14" t="str">
        <f t="shared" si="3"/>
        <v/>
      </c>
      <c r="K162" s="15"/>
      <c r="L162" s="15"/>
      <c r="M162" s="15"/>
      <c r="N162" s="15"/>
      <c r="O162" s="14" t="s">
        <v>2821</v>
      </c>
    </row>
    <row r="163" spans="4:15" x14ac:dyDescent="0.25">
      <c r="D163" s="15" t="s">
        <v>5837</v>
      </c>
      <c r="E163" s="14" t="s">
        <v>2452</v>
      </c>
      <c r="F163" s="15"/>
      <c r="G163" s="14"/>
      <c r="H163" s="15"/>
      <c r="I163" s="15"/>
      <c r="J163" s="14" t="str">
        <f t="shared" si="3"/>
        <v/>
      </c>
      <c r="K163" s="15"/>
      <c r="L163" s="15"/>
      <c r="M163" s="15"/>
      <c r="N163" s="15"/>
      <c r="O163" s="14" t="s">
        <v>2822</v>
      </c>
    </row>
    <row r="164" spans="4:15" x14ac:dyDescent="0.25">
      <c r="D164" s="15" t="s">
        <v>5838</v>
      </c>
      <c r="E164" s="14" t="s">
        <v>2452</v>
      </c>
      <c r="F164" s="15"/>
      <c r="G164" s="14"/>
      <c r="H164" s="15"/>
      <c r="I164" s="15"/>
      <c r="J164" s="14" t="str">
        <f t="shared" si="3"/>
        <v/>
      </c>
      <c r="K164" s="15"/>
      <c r="L164" s="15"/>
      <c r="M164" s="15"/>
      <c r="N164" s="15"/>
      <c r="O164" s="14" t="s">
        <v>2823</v>
      </c>
    </row>
    <row r="165" spans="4:15" x14ac:dyDescent="0.25">
      <c r="D165" s="15" t="s">
        <v>5839</v>
      </c>
      <c r="E165" s="14" t="s">
        <v>2452</v>
      </c>
      <c r="F165" s="15"/>
      <c r="G165" s="14"/>
      <c r="H165" s="15"/>
      <c r="I165" s="15"/>
      <c r="J165" s="14" t="str">
        <f t="shared" si="3"/>
        <v/>
      </c>
      <c r="K165" s="15"/>
      <c r="L165" s="15"/>
      <c r="M165" s="15"/>
      <c r="N165" s="15"/>
      <c r="O165" s="14" t="s">
        <v>2824</v>
      </c>
    </row>
    <row r="166" spans="4:15" x14ac:dyDescent="0.25">
      <c r="D166" s="15" t="s">
        <v>5840</v>
      </c>
      <c r="E166" s="14" t="s">
        <v>2452</v>
      </c>
      <c r="F166" s="15"/>
      <c r="G166" s="14"/>
      <c r="H166" s="15"/>
      <c r="I166" s="15"/>
      <c r="J166" s="14" t="str">
        <f t="shared" si="3"/>
        <v/>
      </c>
      <c r="K166" s="15"/>
      <c r="L166" s="15"/>
      <c r="M166" s="15"/>
      <c r="N166" s="15"/>
      <c r="O166" s="14" t="s">
        <v>2825</v>
      </c>
    </row>
    <row r="167" spans="4:15" x14ac:dyDescent="0.25">
      <c r="D167" s="15" t="s">
        <v>5841</v>
      </c>
      <c r="E167" s="14" t="s">
        <v>2452</v>
      </c>
      <c r="F167" s="15"/>
      <c r="G167" s="14"/>
      <c r="H167" s="15"/>
      <c r="I167" s="15"/>
      <c r="J167" s="14" t="str">
        <f t="shared" si="3"/>
        <v/>
      </c>
      <c r="K167" s="15"/>
      <c r="L167" s="15"/>
      <c r="M167" s="15"/>
      <c r="N167" s="15"/>
      <c r="O167" s="14" t="s">
        <v>2826</v>
      </c>
    </row>
    <row r="168" spans="4:15" x14ac:dyDescent="0.25">
      <c r="D168" s="15" t="s">
        <v>5842</v>
      </c>
      <c r="E168" s="14" t="s">
        <v>2452</v>
      </c>
      <c r="F168" s="15"/>
      <c r="G168" s="14"/>
      <c r="H168" s="15"/>
      <c r="I168" s="15"/>
      <c r="J168" s="14" t="str">
        <f t="shared" si="3"/>
        <v/>
      </c>
      <c r="K168" s="15"/>
      <c r="L168" s="15"/>
      <c r="M168" s="15"/>
      <c r="N168" s="15"/>
      <c r="O168" s="14" t="s">
        <v>2827</v>
      </c>
    </row>
    <row r="169" spans="4:15" x14ac:dyDescent="0.25">
      <c r="D169" s="15" t="s">
        <v>5843</v>
      </c>
      <c r="E169" s="14" t="s">
        <v>2452</v>
      </c>
      <c r="F169" s="15"/>
      <c r="G169" s="14"/>
      <c r="H169" s="15"/>
      <c r="I169" s="15"/>
      <c r="J169" s="14" t="str">
        <f t="shared" si="3"/>
        <v/>
      </c>
      <c r="K169" s="15"/>
      <c r="L169" s="15"/>
      <c r="M169" s="15"/>
      <c r="N169" s="15"/>
      <c r="O169" s="14" t="s">
        <v>2828</v>
      </c>
    </row>
    <row r="170" spans="4:15" x14ac:dyDescent="0.25">
      <c r="D170" s="15" t="s">
        <v>5844</v>
      </c>
      <c r="E170" s="14" t="s">
        <v>2459</v>
      </c>
      <c r="F170" s="15"/>
      <c r="G170" s="14"/>
      <c r="H170" s="15"/>
      <c r="I170" s="15"/>
      <c r="J170" s="14" t="str">
        <f t="shared" si="3"/>
        <v/>
      </c>
      <c r="K170" s="15"/>
      <c r="L170" s="15"/>
      <c r="M170" s="15"/>
      <c r="N170" s="15"/>
      <c r="O170" s="14" t="s">
        <v>2829</v>
      </c>
    </row>
    <row r="171" spans="4:15" x14ac:dyDescent="0.25">
      <c r="D171" s="15" t="s">
        <v>5845</v>
      </c>
      <c r="E171" s="14" t="s">
        <v>2459</v>
      </c>
      <c r="F171" s="15"/>
      <c r="G171" s="14"/>
      <c r="H171" s="15"/>
      <c r="I171" s="15"/>
      <c r="J171" s="14" t="str">
        <f t="shared" si="3"/>
        <v/>
      </c>
      <c r="K171" s="15"/>
      <c r="L171" s="15"/>
      <c r="M171" s="15"/>
      <c r="N171" s="15"/>
      <c r="O171" s="14" t="s">
        <v>2830</v>
      </c>
    </row>
    <row r="172" spans="4:15" x14ac:dyDescent="0.25">
      <c r="D172" s="15" t="s">
        <v>5846</v>
      </c>
      <c r="E172" s="14" t="s">
        <v>2459</v>
      </c>
      <c r="F172" s="15"/>
      <c r="G172" s="14"/>
      <c r="H172" s="15"/>
      <c r="I172" s="15"/>
      <c r="J172" s="14" t="str">
        <f t="shared" si="3"/>
        <v/>
      </c>
      <c r="K172" s="15"/>
      <c r="L172" s="15"/>
      <c r="M172" s="15"/>
      <c r="N172" s="15"/>
      <c r="O172" s="14" t="s">
        <v>2831</v>
      </c>
    </row>
    <row r="173" spans="4:15" x14ac:dyDescent="0.25">
      <c r="D173" s="15" t="s">
        <v>5847</v>
      </c>
      <c r="E173" s="14" t="s">
        <v>2459</v>
      </c>
      <c r="F173" s="15"/>
      <c r="G173" s="14"/>
      <c r="H173" s="15"/>
      <c r="I173" s="15"/>
      <c r="J173" s="14" t="str">
        <f t="shared" si="3"/>
        <v/>
      </c>
      <c r="K173" s="15"/>
      <c r="L173" s="15"/>
      <c r="M173" s="15"/>
      <c r="N173" s="15"/>
      <c r="O173" s="14" t="s">
        <v>2832</v>
      </c>
    </row>
    <row r="174" spans="4:15" x14ac:dyDescent="0.25">
      <c r="D174" s="15" t="s">
        <v>5848</v>
      </c>
      <c r="E174" s="14" t="s">
        <v>2459</v>
      </c>
      <c r="F174" s="15"/>
      <c r="G174" s="14"/>
      <c r="H174" s="15"/>
      <c r="I174" s="15"/>
      <c r="J174" s="14" t="str">
        <f t="shared" si="3"/>
        <v/>
      </c>
      <c r="K174" s="15"/>
      <c r="L174" s="15"/>
      <c r="M174" s="15"/>
      <c r="N174" s="15"/>
      <c r="O174" s="14" t="s">
        <v>2833</v>
      </c>
    </row>
    <row r="175" spans="4:15" x14ac:dyDescent="0.25">
      <c r="D175" s="15" t="s">
        <v>5849</v>
      </c>
      <c r="E175" s="14" t="s">
        <v>2459</v>
      </c>
      <c r="F175" s="15"/>
      <c r="G175" s="14"/>
      <c r="H175" s="15"/>
      <c r="I175" s="15"/>
      <c r="J175" s="14" t="str">
        <f t="shared" si="3"/>
        <v/>
      </c>
      <c r="K175" s="15"/>
      <c r="L175" s="15"/>
      <c r="M175" s="15"/>
      <c r="N175" s="15"/>
      <c r="O175" s="14" t="s">
        <v>2834</v>
      </c>
    </row>
    <row r="176" spans="4:15" x14ac:dyDescent="0.25">
      <c r="D176" s="15" t="s">
        <v>5850</v>
      </c>
      <c r="E176" s="14" t="s">
        <v>2459</v>
      </c>
      <c r="F176" s="15"/>
      <c r="G176" s="14"/>
      <c r="H176" s="15"/>
      <c r="I176" s="15"/>
      <c r="J176" s="14" t="str">
        <f t="shared" si="3"/>
        <v/>
      </c>
      <c r="K176" s="15"/>
      <c r="L176" s="15"/>
      <c r="M176" s="15"/>
      <c r="N176" s="15"/>
      <c r="O176" s="14" t="s">
        <v>2835</v>
      </c>
    </row>
    <row r="177" spans="4:15" x14ac:dyDescent="0.25">
      <c r="D177" s="15" t="s">
        <v>5851</v>
      </c>
      <c r="E177" s="14" t="s">
        <v>2459</v>
      </c>
      <c r="F177" s="15"/>
      <c r="G177" s="14"/>
      <c r="H177" s="15"/>
      <c r="I177" s="15"/>
      <c r="J177" s="14" t="str">
        <f t="shared" si="3"/>
        <v/>
      </c>
      <c r="K177" s="15"/>
      <c r="L177" s="15"/>
      <c r="M177" s="15"/>
      <c r="N177" s="15"/>
      <c r="O177" s="14" t="s">
        <v>2836</v>
      </c>
    </row>
    <row r="178" spans="4:15" x14ac:dyDescent="0.25">
      <c r="D178" s="15" t="s">
        <v>5852</v>
      </c>
      <c r="E178" s="14" t="s">
        <v>2459</v>
      </c>
      <c r="F178" s="15"/>
      <c r="G178" s="14"/>
      <c r="H178" s="15"/>
      <c r="I178" s="15"/>
      <c r="J178" s="14" t="str">
        <f t="shared" si="3"/>
        <v/>
      </c>
      <c r="K178" s="15"/>
      <c r="L178" s="15"/>
      <c r="M178" s="15"/>
      <c r="N178" s="15"/>
      <c r="O178" s="14" t="s">
        <v>2837</v>
      </c>
    </row>
    <row r="179" spans="4:15" x14ac:dyDescent="0.25">
      <c r="D179" s="15" t="s">
        <v>5853</v>
      </c>
      <c r="E179" s="14" t="s">
        <v>2459</v>
      </c>
      <c r="F179" s="15"/>
      <c r="G179" s="14"/>
      <c r="H179" s="15"/>
      <c r="I179" s="15"/>
      <c r="J179" s="14" t="str">
        <f t="shared" si="3"/>
        <v/>
      </c>
      <c r="K179" s="15"/>
      <c r="L179" s="15"/>
      <c r="M179" s="15"/>
      <c r="N179" s="15"/>
      <c r="O179" s="14" t="s">
        <v>2838</v>
      </c>
    </row>
    <row r="180" spans="4:15" x14ac:dyDescent="0.25">
      <c r="D180" s="15" t="s">
        <v>5854</v>
      </c>
      <c r="E180" s="14" t="s">
        <v>2466</v>
      </c>
      <c r="F180" s="15"/>
      <c r="G180" s="14"/>
      <c r="H180" s="15"/>
      <c r="I180" s="15"/>
      <c r="J180" s="14" t="str">
        <f t="shared" si="3"/>
        <v/>
      </c>
      <c r="K180" s="15"/>
      <c r="L180" s="15"/>
      <c r="M180" s="15"/>
      <c r="N180" s="15"/>
      <c r="O180" s="14" t="s">
        <v>2839</v>
      </c>
    </row>
    <row r="181" spans="4:15" x14ac:dyDescent="0.25">
      <c r="D181" s="15" t="s">
        <v>5855</v>
      </c>
      <c r="E181" s="14" t="s">
        <v>2466</v>
      </c>
      <c r="F181" s="15"/>
      <c r="G181" s="14"/>
      <c r="H181" s="15"/>
      <c r="I181" s="15"/>
      <c r="J181" s="14" t="str">
        <f t="shared" si="3"/>
        <v/>
      </c>
      <c r="K181" s="15"/>
      <c r="L181" s="15"/>
      <c r="M181" s="15"/>
      <c r="N181" s="15"/>
      <c r="O181" s="14" t="s">
        <v>2840</v>
      </c>
    </row>
    <row r="182" spans="4:15" x14ac:dyDescent="0.25">
      <c r="D182" s="15" t="s">
        <v>5856</v>
      </c>
      <c r="E182" s="14" t="s">
        <v>2466</v>
      </c>
      <c r="F182" s="15"/>
      <c r="G182" s="14"/>
      <c r="H182" s="15"/>
      <c r="I182" s="15"/>
      <c r="J182" s="14" t="str">
        <f t="shared" si="3"/>
        <v/>
      </c>
      <c r="K182" s="15"/>
      <c r="L182" s="15"/>
      <c r="M182" s="15"/>
      <c r="N182" s="15"/>
      <c r="O182" s="14" t="s">
        <v>2841</v>
      </c>
    </row>
    <row r="183" spans="4:15" x14ac:dyDescent="0.25">
      <c r="D183" s="15" t="s">
        <v>5857</v>
      </c>
      <c r="E183" s="14" t="s">
        <v>2466</v>
      </c>
      <c r="F183" s="15"/>
      <c r="G183" s="14"/>
      <c r="H183" s="15"/>
      <c r="I183" s="15"/>
      <c r="J183" s="14" t="str">
        <f t="shared" si="3"/>
        <v/>
      </c>
      <c r="K183" s="15"/>
      <c r="L183" s="15"/>
      <c r="M183" s="15"/>
      <c r="N183" s="15"/>
      <c r="O183" s="14" t="s">
        <v>2842</v>
      </c>
    </row>
    <row r="184" spans="4:15" x14ac:dyDescent="0.25">
      <c r="D184" s="15" t="s">
        <v>5858</v>
      </c>
      <c r="E184" s="14" t="s">
        <v>2466</v>
      </c>
      <c r="F184" s="15"/>
      <c r="G184" s="14"/>
      <c r="H184" s="15"/>
      <c r="I184" s="15"/>
      <c r="J184" s="14" t="str">
        <f t="shared" si="3"/>
        <v/>
      </c>
      <c r="K184" s="15"/>
      <c r="L184" s="15"/>
      <c r="M184" s="15"/>
      <c r="N184" s="15"/>
      <c r="O184" s="14" t="s">
        <v>2843</v>
      </c>
    </row>
    <row r="185" spans="4:15" x14ac:dyDescent="0.25">
      <c r="D185" s="15" t="s">
        <v>5859</v>
      </c>
      <c r="E185" s="14" t="s">
        <v>2466</v>
      </c>
      <c r="F185" s="15"/>
      <c r="G185" s="14"/>
      <c r="H185" s="15"/>
      <c r="I185" s="15"/>
      <c r="J185" s="14" t="str">
        <f t="shared" si="3"/>
        <v/>
      </c>
      <c r="K185" s="15"/>
      <c r="L185" s="15"/>
      <c r="M185" s="15"/>
      <c r="N185" s="15"/>
      <c r="O185" s="14" t="s">
        <v>2844</v>
      </c>
    </row>
    <row r="186" spans="4:15" x14ac:dyDescent="0.25">
      <c r="D186" s="15" t="s">
        <v>5860</v>
      </c>
      <c r="E186" s="14" t="s">
        <v>2466</v>
      </c>
      <c r="F186" s="15"/>
      <c r="G186" s="14"/>
      <c r="H186" s="15"/>
      <c r="I186" s="15"/>
      <c r="J186" s="14" t="str">
        <f t="shared" si="3"/>
        <v/>
      </c>
      <c r="K186" s="15"/>
      <c r="L186" s="15"/>
      <c r="M186" s="15"/>
      <c r="N186" s="15"/>
      <c r="O186" s="14" t="s">
        <v>2845</v>
      </c>
    </row>
    <row r="187" spans="4:15" x14ac:dyDescent="0.25">
      <c r="D187" s="15" t="s">
        <v>5861</v>
      </c>
      <c r="E187" s="14" t="s">
        <v>2466</v>
      </c>
      <c r="F187" s="15"/>
      <c r="G187" s="14"/>
      <c r="H187" s="15"/>
      <c r="I187" s="15"/>
      <c r="J187" s="14" t="str">
        <f t="shared" si="3"/>
        <v/>
      </c>
      <c r="K187" s="15"/>
      <c r="L187" s="15"/>
      <c r="M187" s="15"/>
      <c r="N187" s="15"/>
      <c r="O187" s="14" t="s">
        <v>2846</v>
      </c>
    </row>
    <row r="188" spans="4:15" x14ac:dyDescent="0.25">
      <c r="D188" s="15" t="s">
        <v>5862</v>
      </c>
      <c r="E188" s="14" t="s">
        <v>2466</v>
      </c>
      <c r="F188" s="15"/>
      <c r="G188" s="14"/>
      <c r="H188" s="15"/>
      <c r="I188" s="15"/>
      <c r="J188" s="14" t="str">
        <f t="shared" si="3"/>
        <v/>
      </c>
      <c r="K188" s="15"/>
      <c r="L188" s="15"/>
      <c r="M188" s="15"/>
      <c r="N188" s="15"/>
      <c r="O188" s="14" t="s">
        <v>2847</v>
      </c>
    </row>
    <row r="189" spans="4:15" x14ac:dyDescent="0.25">
      <c r="D189" s="15" t="s">
        <v>5863</v>
      </c>
      <c r="E189" s="14" t="s">
        <v>2466</v>
      </c>
      <c r="F189" s="15"/>
      <c r="G189" s="14"/>
      <c r="H189" s="15"/>
      <c r="I189" s="15"/>
      <c r="J189" s="14" t="str">
        <f t="shared" si="3"/>
        <v/>
      </c>
      <c r="K189" s="15"/>
      <c r="L189" s="15"/>
      <c r="M189" s="15"/>
      <c r="N189" s="15"/>
      <c r="O189" s="14" t="s">
        <v>2848</v>
      </c>
    </row>
    <row r="190" spans="4:15" x14ac:dyDescent="0.25">
      <c r="D190" s="15" t="s">
        <v>5864</v>
      </c>
      <c r="E190" s="14" t="s">
        <v>2473</v>
      </c>
      <c r="F190" s="15"/>
      <c r="G190" s="14"/>
      <c r="H190" s="15"/>
      <c r="I190" s="15"/>
      <c r="J190" s="14" t="str">
        <f t="shared" si="3"/>
        <v/>
      </c>
      <c r="K190" s="15"/>
      <c r="L190" s="15"/>
      <c r="M190" s="15"/>
      <c r="N190" s="15"/>
      <c r="O190" s="14" t="s">
        <v>2849</v>
      </c>
    </row>
    <row r="191" spans="4:15" x14ac:dyDescent="0.25">
      <c r="D191" s="15" t="s">
        <v>5865</v>
      </c>
      <c r="E191" s="14" t="s">
        <v>2473</v>
      </c>
      <c r="F191" s="15"/>
      <c r="G191" s="14"/>
      <c r="H191" s="15"/>
      <c r="I191" s="15"/>
      <c r="J191" s="14" t="str">
        <f t="shared" si="3"/>
        <v/>
      </c>
      <c r="K191" s="15"/>
      <c r="L191" s="15"/>
      <c r="M191" s="15"/>
      <c r="N191" s="15"/>
      <c r="O191" s="14" t="s">
        <v>2850</v>
      </c>
    </row>
    <row r="192" spans="4:15" x14ac:dyDescent="0.25">
      <c r="D192" s="15" t="s">
        <v>5866</v>
      </c>
      <c r="E192" s="14" t="s">
        <v>2473</v>
      </c>
      <c r="F192" s="15"/>
      <c r="G192" s="14"/>
      <c r="H192" s="15"/>
      <c r="I192" s="15"/>
      <c r="J192" s="14" t="str">
        <f t="shared" si="3"/>
        <v/>
      </c>
      <c r="K192" s="15"/>
      <c r="L192" s="15"/>
      <c r="M192" s="15"/>
      <c r="N192" s="15"/>
      <c r="O192" s="14" t="s">
        <v>2851</v>
      </c>
    </row>
    <row r="193" spans="4:15" x14ac:dyDescent="0.25">
      <c r="D193" s="15" t="s">
        <v>5867</v>
      </c>
      <c r="E193" s="14" t="s">
        <v>2473</v>
      </c>
      <c r="F193" s="15"/>
      <c r="G193" s="14"/>
      <c r="H193" s="15"/>
      <c r="I193" s="15"/>
      <c r="J193" s="14" t="str">
        <f t="shared" si="3"/>
        <v/>
      </c>
      <c r="K193" s="15"/>
      <c r="L193" s="15"/>
      <c r="M193" s="15"/>
      <c r="N193" s="15"/>
      <c r="O193" s="14" t="s">
        <v>2852</v>
      </c>
    </row>
    <row r="194" spans="4:15" x14ac:dyDescent="0.25">
      <c r="D194" s="15" t="s">
        <v>5868</v>
      </c>
      <c r="E194" s="14" t="s">
        <v>2473</v>
      </c>
      <c r="F194" s="15"/>
      <c r="G194" s="14"/>
      <c r="H194" s="15"/>
      <c r="I194" s="15"/>
      <c r="J194" s="14" t="str">
        <f t="shared" si="3"/>
        <v/>
      </c>
      <c r="K194" s="15"/>
      <c r="L194" s="15"/>
      <c r="M194" s="15"/>
      <c r="N194" s="15"/>
      <c r="O194" s="14" t="s">
        <v>2853</v>
      </c>
    </row>
    <row r="195" spans="4:15" x14ac:dyDescent="0.25">
      <c r="D195" s="15" t="s">
        <v>5869</v>
      </c>
      <c r="E195" s="14" t="s">
        <v>2473</v>
      </c>
      <c r="F195" s="15"/>
      <c r="G195" s="14"/>
      <c r="H195" s="15"/>
      <c r="I195" s="15"/>
      <c r="J195" s="14" t="str">
        <f t="shared" si="3"/>
        <v/>
      </c>
      <c r="K195" s="15"/>
      <c r="L195" s="15"/>
      <c r="M195" s="15"/>
      <c r="N195" s="15"/>
      <c r="O195" s="14" t="s">
        <v>2854</v>
      </c>
    </row>
    <row r="196" spans="4:15" x14ac:dyDescent="0.25">
      <c r="D196" s="15" t="s">
        <v>5870</v>
      </c>
      <c r="E196" s="14" t="s">
        <v>2473</v>
      </c>
      <c r="F196" s="15"/>
      <c r="G196" s="14"/>
      <c r="H196" s="15"/>
      <c r="I196" s="15"/>
      <c r="J196" s="14" t="str">
        <f t="shared" si="3"/>
        <v/>
      </c>
      <c r="K196" s="15"/>
      <c r="L196" s="15"/>
      <c r="M196" s="15"/>
      <c r="N196" s="15"/>
      <c r="O196" s="14" t="s">
        <v>2855</v>
      </c>
    </row>
    <row r="197" spans="4:15" x14ac:dyDescent="0.25">
      <c r="D197" s="15" t="s">
        <v>5871</v>
      </c>
      <c r="E197" s="14" t="s">
        <v>2473</v>
      </c>
      <c r="F197" s="15"/>
      <c r="G197" s="14"/>
      <c r="H197" s="15"/>
      <c r="I197" s="15"/>
      <c r="J197" s="14" t="str">
        <f t="shared" si="3"/>
        <v/>
      </c>
      <c r="K197" s="15"/>
      <c r="L197" s="15"/>
      <c r="M197" s="15"/>
      <c r="N197" s="15"/>
      <c r="O197" s="14" t="s">
        <v>2856</v>
      </c>
    </row>
    <row r="198" spans="4:15" x14ac:dyDescent="0.25">
      <c r="D198" s="15" t="s">
        <v>5872</v>
      </c>
      <c r="E198" s="14" t="s">
        <v>2473</v>
      </c>
      <c r="F198" s="15"/>
      <c r="G198" s="14"/>
      <c r="H198" s="15"/>
      <c r="I198" s="15"/>
      <c r="J198" s="14" t="str">
        <f t="shared" si="3"/>
        <v/>
      </c>
      <c r="K198" s="15"/>
      <c r="L198" s="15"/>
      <c r="M198" s="15"/>
      <c r="N198" s="15"/>
      <c r="O198" s="14" t="s">
        <v>2857</v>
      </c>
    </row>
    <row r="199" spans="4:15" x14ac:dyDescent="0.25">
      <c r="D199" s="15" t="s">
        <v>5873</v>
      </c>
      <c r="E199" s="14" t="s">
        <v>2473</v>
      </c>
      <c r="F199" s="15"/>
      <c r="G199" s="14"/>
      <c r="H199" s="15"/>
      <c r="I199" s="15"/>
      <c r="J199" s="14" t="str">
        <f t="shared" si="3"/>
        <v/>
      </c>
      <c r="K199" s="15"/>
      <c r="L199" s="15"/>
      <c r="M199" s="15"/>
      <c r="N199" s="15"/>
      <c r="O199" s="14" t="s">
        <v>2858</v>
      </c>
    </row>
    <row r="200" spans="4:15" x14ac:dyDescent="0.25">
      <c r="D200" s="15" t="s">
        <v>5874</v>
      </c>
      <c r="E200" s="14" t="s">
        <v>2480</v>
      </c>
      <c r="F200" s="15"/>
      <c r="G200" s="14"/>
      <c r="H200" s="15"/>
      <c r="I200" s="15"/>
      <c r="J200" s="14" t="str">
        <f t="shared" si="3"/>
        <v/>
      </c>
      <c r="K200" s="15"/>
      <c r="L200" s="15"/>
      <c r="M200" s="15"/>
      <c r="N200" s="15"/>
      <c r="O200" s="14" t="s">
        <v>2859</v>
      </c>
    </row>
    <row r="201" spans="4:15" x14ac:dyDescent="0.25">
      <c r="D201" s="15" t="s">
        <v>5875</v>
      </c>
      <c r="E201" s="14" t="s">
        <v>2480</v>
      </c>
      <c r="F201" s="15"/>
      <c r="G201" s="14"/>
      <c r="H201" s="15"/>
      <c r="I201" s="15"/>
      <c r="J201" s="14" t="str">
        <f t="shared" si="3"/>
        <v/>
      </c>
      <c r="K201" s="15"/>
      <c r="L201" s="15"/>
      <c r="M201" s="15"/>
      <c r="N201" s="15"/>
      <c r="O201" s="14" t="s">
        <v>2860</v>
      </c>
    </row>
    <row r="202" spans="4:15" x14ac:dyDescent="0.25">
      <c r="D202" s="15" t="s">
        <v>5876</v>
      </c>
      <c r="E202" s="14" t="s">
        <v>2480</v>
      </c>
      <c r="F202" s="15"/>
      <c r="G202" s="14"/>
      <c r="H202" s="15"/>
      <c r="I202" s="15"/>
      <c r="J202" s="14" t="str">
        <f t="shared" si="3"/>
        <v/>
      </c>
      <c r="K202" s="15"/>
      <c r="L202" s="15"/>
      <c r="M202" s="15"/>
      <c r="N202" s="15"/>
      <c r="O202" s="14" t="s">
        <v>2861</v>
      </c>
    </row>
    <row r="203" spans="4:15" x14ac:dyDescent="0.25">
      <c r="D203" s="15" t="s">
        <v>5877</v>
      </c>
      <c r="E203" s="14" t="s">
        <v>2480</v>
      </c>
      <c r="F203" s="15"/>
      <c r="G203" s="14"/>
      <c r="H203" s="15"/>
      <c r="I203" s="15"/>
      <c r="J203" s="14" t="str">
        <f t="shared" si="3"/>
        <v/>
      </c>
      <c r="K203" s="15"/>
      <c r="L203" s="15"/>
      <c r="M203" s="15"/>
      <c r="N203" s="15"/>
      <c r="O203" s="14" t="s">
        <v>2862</v>
      </c>
    </row>
    <row r="204" spans="4:15" x14ac:dyDescent="0.25">
      <c r="D204" s="15" t="s">
        <v>5878</v>
      </c>
      <c r="E204" s="14" t="s">
        <v>2480</v>
      </c>
      <c r="F204" s="15"/>
      <c r="G204" s="14"/>
      <c r="H204" s="15"/>
      <c r="I204" s="15"/>
      <c r="J204" s="14" t="str">
        <f t="shared" si="3"/>
        <v/>
      </c>
      <c r="K204" s="15"/>
      <c r="L204" s="15"/>
      <c r="M204" s="15"/>
      <c r="N204" s="15"/>
      <c r="O204" s="14" t="s">
        <v>2863</v>
      </c>
    </row>
    <row r="205" spans="4:15" x14ac:dyDescent="0.25">
      <c r="D205" s="15" t="s">
        <v>5879</v>
      </c>
      <c r="E205" s="14" t="s">
        <v>2480</v>
      </c>
      <c r="F205" s="15"/>
      <c r="G205" s="14"/>
      <c r="H205" s="15"/>
      <c r="I205" s="15"/>
      <c r="J205" s="14" t="str">
        <f t="shared" si="3"/>
        <v/>
      </c>
      <c r="K205" s="15"/>
      <c r="L205" s="15"/>
      <c r="M205" s="15"/>
      <c r="N205" s="15"/>
      <c r="O205" s="14" t="s">
        <v>2864</v>
      </c>
    </row>
    <row r="206" spans="4:15" x14ac:dyDescent="0.25">
      <c r="D206" s="15" t="s">
        <v>5880</v>
      </c>
      <c r="E206" s="14" t="s">
        <v>2480</v>
      </c>
      <c r="F206" s="15"/>
      <c r="G206" s="14"/>
      <c r="H206" s="15"/>
      <c r="I206" s="15"/>
      <c r="J206" s="14" t="str">
        <f t="shared" si="3"/>
        <v/>
      </c>
      <c r="K206" s="15"/>
      <c r="L206" s="15"/>
      <c r="M206" s="15"/>
      <c r="N206" s="15"/>
      <c r="O206" s="14" t="s">
        <v>2865</v>
      </c>
    </row>
    <row r="207" spans="4:15" x14ac:dyDescent="0.25">
      <c r="D207" s="15" t="s">
        <v>5881</v>
      </c>
      <c r="E207" s="14" t="s">
        <v>2480</v>
      </c>
      <c r="F207" s="15"/>
      <c r="G207" s="14"/>
      <c r="H207" s="15"/>
      <c r="I207" s="15"/>
      <c r="J207" s="14" t="str">
        <f t="shared" si="3"/>
        <v/>
      </c>
      <c r="K207" s="15"/>
      <c r="L207" s="15"/>
      <c r="M207" s="15"/>
      <c r="N207" s="15"/>
      <c r="O207" s="14" t="s">
        <v>2866</v>
      </c>
    </row>
    <row r="208" spans="4:15" x14ac:dyDescent="0.25">
      <c r="D208" s="15" t="s">
        <v>5882</v>
      </c>
      <c r="E208" s="14" t="s">
        <v>2480</v>
      </c>
      <c r="F208" s="15"/>
      <c r="G208" s="14"/>
      <c r="H208" s="15"/>
      <c r="I208" s="15"/>
      <c r="J208" s="14" t="str">
        <f t="shared" si="3"/>
        <v/>
      </c>
      <c r="K208" s="15"/>
      <c r="L208" s="15"/>
      <c r="M208" s="15"/>
      <c r="N208" s="15"/>
      <c r="O208" s="14" t="s">
        <v>2867</v>
      </c>
    </row>
    <row r="209" spans="4:15" x14ac:dyDescent="0.25">
      <c r="D209" s="15" t="s">
        <v>5883</v>
      </c>
      <c r="E209" s="14" t="s">
        <v>2480</v>
      </c>
      <c r="F209" s="15"/>
      <c r="G209" s="14"/>
      <c r="H209" s="15"/>
      <c r="I209" s="15"/>
      <c r="J209" s="14" t="str">
        <f t="shared" si="3"/>
        <v/>
      </c>
      <c r="K209" s="15"/>
      <c r="L209" s="15"/>
      <c r="M209" s="15"/>
      <c r="N209" s="15"/>
      <c r="O209" s="14" t="s">
        <v>2868</v>
      </c>
    </row>
    <row r="210" spans="4:15" x14ac:dyDescent="0.25">
      <c r="D210" s="15" t="s">
        <v>5884</v>
      </c>
      <c r="E210" s="14" t="s">
        <v>2487</v>
      </c>
      <c r="F210" s="15"/>
      <c r="G210" s="14"/>
      <c r="H210" s="15"/>
      <c r="I210" s="15"/>
      <c r="J210" s="14" t="str">
        <f t="shared" si="3"/>
        <v/>
      </c>
      <c r="K210" s="15"/>
      <c r="L210" s="15"/>
      <c r="M210" s="15"/>
      <c r="N210" s="15"/>
      <c r="O210" s="14" t="s">
        <v>2869</v>
      </c>
    </row>
    <row r="211" spans="4:15" x14ac:dyDescent="0.25">
      <c r="D211" s="15" t="s">
        <v>5885</v>
      </c>
      <c r="E211" s="14" t="s">
        <v>2487</v>
      </c>
      <c r="F211" s="15"/>
      <c r="G211" s="14"/>
      <c r="H211" s="15"/>
      <c r="I211" s="15"/>
      <c r="J211" s="14" t="str">
        <f t="shared" si="3"/>
        <v/>
      </c>
      <c r="K211" s="15"/>
      <c r="L211" s="15"/>
      <c r="M211" s="15"/>
      <c r="N211" s="15"/>
      <c r="O211" s="14" t="s">
        <v>2870</v>
      </c>
    </row>
    <row r="212" spans="4:15" x14ac:dyDescent="0.25">
      <c r="D212" s="15" t="s">
        <v>5886</v>
      </c>
      <c r="E212" s="14" t="s">
        <v>2487</v>
      </c>
      <c r="F212" s="15"/>
      <c r="G212" s="14"/>
      <c r="H212" s="15"/>
      <c r="I212" s="15"/>
      <c r="J212" s="14" t="str">
        <f t="shared" si="3"/>
        <v/>
      </c>
      <c r="K212" s="15"/>
      <c r="L212" s="15"/>
      <c r="M212" s="15"/>
      <c r="N212" s="15"/>
      <c r="O212" s="14" t="s">
        <v>2871</v>
      </c>
    </row>
    <row r="213" spans="4:15" x14ac:dyDescent="0.25">
      <c r="D213" s="15" t="s">
        <v>5887</v>
      </c>
      <c r="E213" s="14" t="s">
        <v>2487</v>
      </c>
      <c r="F213" s="15"/>
      <c r="G213" s="14"/>
      <c r="H213" s="15"/>
      <c r="I213" s="15"/>
      <c r="J213" s="14" t="str">
        <f t="shared" si="3"/>
        <v/>
      </c>
      <c r="K213" s="15"/>
      <c r="L213" s="15"/>
      <c r="M213" s="15"/>
      <c r="N213" s="15"/>
      <c r="O213" s="14" t="s">
        <v>2872</v>
      </c>
    </row>
    <row r="214" spans="4:15" x14ac:dyDescent="0.25">
      <c r="D214" s="15" t="s">
        <v>5888</v>
      </c>
      <c r="E214" s="14" t="s">
        <v>2487</v>
      </c>
      <c r="F214" s="15"/>
      <c r="G214" s="14"/>
      <c r="H214" s="15"/>
      <c r="I214" s="15"/>
      <c r="J214" s="14" t="str">
        <f t="shared" si="3"/>
        <v/>
      </c>
      <c r="K214" s="15"/>
      <c r="L214" s="15"/>
      <c r="M214" s="15"/>
      <c r="N214" s="15"/>
      <c r="O214" s="14" t="s">
        <v>2873</v>
      </c>
    </row>
    <row r="215" spans="4:15" x14ac:dyDescent="0.25">
      <c r="D215" s="15" t="s">
        <v>5889</v>
      </c>
      <c r="E215" s="14" t="s">
        <v>2487</v>
      </c>
      <c r="F215" s="15"/>
      <c r="G215" s="14"/>
      <c r="H215" s="15"/>
      <c r="I215" s="15"/>
      <c r="J215" s="14" t="str">
        <f t="shared" si="3"/>
        <v/>
      </c>
      <c r="K215" s="15"/>
      <c r="L215" s="15"/>
      <c r="M215" s="15"/>
      <c r="N215" s="15"/>
      <c r="O215" s="14" t="s">
        <v>2874</v>
      </c>
    </row>
    <row r="216" spans="4:15" x14ac:dyDescent="0.25">
      <c r="D216" s="15" t="s">
        <v>5890</v>
      </c>
      <c r="E216" s="14" t="s">
        <v>2487</v>
      </c>
      <c r="F216" s="15"/>
      <c r="G216" s="14"/>
      <c r="H216" s="15"/>
      <c r="I216" s="15"/>
      <c r="J216" s="14" t="str">
        <f t="shared" si="3"/>
        <v/>
      </c>
      <c r="K216" s="15"/>
      <c r="L216" s="15"/>
      <c r="M216" s="15"/>
      <c r="N216" s="15"/>
      <c r="O216" s="14" t="s">
        <v>2875</v>
      </c>
    </row>
    <row r="217" spans="4:15" x14ac:dyDescent="0.25">
      <c r="D217" s="15" t="s">
        <v>5891</v>
      </c>
      <c r="E217" s="14" t="s">
        <v>2487</v>
      </c>
      <c r="F217" s="15"/>
      <c r="G217" s="14"/>
      <c r="H217" s="15"/>
      <c r="I217" s="15"/>
      <c r="J217" s="14" t="str">
        <f t="shared" si="3"/>
        <v/>
      </c>
      <c r="K217" s="15"/>
      <c r="L217" s="15"/>
      <c r="M217" s="15"/>
      <c r="N217" s="15"/>
      <c r="O217" s="14" t="s">
        <v>2876</v>
      </c>
    </row>
    <row r="218" spans="4:15" x14ac:dyDescent="0.25">
      <c r="D218" s="15" t="s">
        <v>5892</v>
      </c>
      <c r="E218" s="14" t="s">
        <v>2487</v>
      </c>
      <c r="F218" s="15"/>
      <c r="G218" s="14"/>
      <c r="H218" s="15"/>
      <c r="I218" s="15"/>
      <c r="J218" s="14" t="str">
        <f t="shared" si="3"/>
        <v/>
      </c>
      <c r="K218" s="15"/>
      <c r="L218" s="15"/>
      <c r="M218" s="15"/>
      <c r="N218" s="15"/>
      <c r="O218" s="14" t="s">
        <v>2877</v>
      </c>
    </row>
    <row r="219" spans="4:15" x14ac:dyDescent="0.25">
      <c r="D219" s="15" t="s">
        <v>5893</v>
      </c>
      <c r="E219" s="14" t="s">
        <v>2487</v>
      </c>
      <c r="F219" s="15"/>
      <c r="G219" s="14"/>
      <c r="H219" s="15"/>
      <c r="I219" s="15"/>
      <c r="J219" s="14" t="str">
        <f t="shared" si="3"/>
        <v/>
      </c>
      <c r="K219" s="15"/>
      <c r="L219" s="15"/>
      <c r="M219" s="15"/>
      <c r="N219" s="15"/>
      <c r="O219" s="14" t="s">
        <v>2878</v>
      </c>
    </row>
    <row r="220" spans="4:15" x14ac:dyDescent="0.25">
      <c r="D220" s="15" t="s">
        <v>5894</v>
      </c>
      <c r="E220" s="14" t="s">
        <v>2494</v>
      </c>
      <c r="F220" s="15"/>
      <c r="G220" s="14"/>
      <c r="H220" s="15"/>
      <c r="I220" s="15"/>
      <c r="J220" s="14" t="str">
        <f t="shared" si="3"/>
        <v/>
      </c>
      <c r="K220" s="15"/>
      <c r="L220" s="15"/>
      <c r="M220" s="15"/>
      <c r="N220" s="15"/>
      <c r="O220" s="14" t="s">
        <v>2879</v>
      </c>
    </row>
    <row r="221" spans="4:15" x14ac:dyDescent="0.25">
      <c r="D221" s="15" t="s">
        <v>5895</v>
      </c>
      <c r="E221" s="14" t="s">
        <v>2494</v>
      </c>
      <c r="F221" s="15"/>
      <c r="G221" s="14"/>
      <c r="H221" s="15"/>
      <c r="I221" s="15"/>
      <c r="J221" s="14" t="str">
        <f t="shared" si="3"/>
        <v/>
      </c>
      <c r="K221" s="15"/>
      <c r="L221" s="15"/>
      <c r="M221" s="15"/>
      <c r="N221" s="15"/>
      <c r="O221" s="14" t="s">
        <v>2880</v>
      </c>
    </row>
    <row r="222" spans="4:15" x14ac:dyDescent="0.25">
      <c r="D222" s="15" t="s">
        <v>5896</v>
      </c>
      <c r="E222" s="14" t="s">
        <v>2494</v>
      </c>
      <c r="F222" s="15"/>
      <c r="G222" s="14"/>
      <c r="H222" s="15"/>
      <c r="I222" s="15"/>
      <c r="J222" s="14" t="str">
        <f t="shared" si="3"/>
        <v/>
      </c>
      <c r="K222" s="15"/>
      <c r="L222" s="15"/>
      <c r="M222" s="15"/>
      <c r="N222" s="15"/>
      <c r="O222" s="14" t="s">
        <v>2881</v>
      </c>
    </row>
    <row r="223" spans="4:15" x14ac:dyDescent="0.25">
      <c r="D223" s="15" t="s">
        <v>5897</v>
      </c>
      <c r="E223" s="14" t="s">
        <v>2494</v>
      </c>
      <c r="F223" s="15"/>
      <c r="G223" s="14"/>
      <c r="H223" s="15"/>
      <c r="I223" s="15"/>
      <c r="J223" s="14" t="str">
        <f t="shared" si="3"/>
        <v/>
      </c>
      <c r="K223" s="15"/>
      <c r="L223" s="15"/>
      <c r="M223" s="15"/>
      <c r="N223" s="15"/>
      <c r="O223" s="14" t="s">
        <v>2882</v>
      </c>
    </row>
    <row r="224" spans="4:15" x14ac:dyDescent="0.25">
      <c r="D224" s="15" t="s">
        <v>5898</v>
      </c>
      <c r="E224" s="14" t="s">
        <v>2494</v>
      </c>
      <c r="F224" s="15"/>
      <c r="G224" s="14"/>
      <c r="H224" s="15"/>
      <c r="I224" s="15"/>
      <c r="J224" s="14" t="str">
        <f t="shared" ref="J224:J287" si="4">F224&amp;H224&amp;I224</f>
        <v/>
      </c>
      <c r="K224" s="15"/>
      <c r="L224" s="15"/>
      <c r="M224" s="15"/>
      <c r="N224" s="15"/>
      <c r="O224" s="14" t="s">
        <v>2883</v>
      </c>
    </row>
    <row r="225" spans="4:15" x14ac:dyDescent="0.25">
      <c r="D225" s="15" t="s">
        <v>5899</v>
      </c>
      <c r="E225" s="14" t="s">
        <v>2494</v>
      </c>
      <c r="F225" s="15"/>
      <c r="G225" s="14"/>
      <c r="H225" s="15"/>
      <c r="I225" s="15"/>
      <c r="J225" s="14" t="str">
        <f t="shared" si="4"/>
        <v/>
      </c>
      <c r="K225" s="15"/>
      <c r="L225" s="15"/>
      <c r="M225" s="15"/>
      <c r="N225" s="15"/>
      <c r="O225" s="14" t="s">
        <v>2884</v>
      </c>
    </row>
    <row r="226" spans="4:15" x14ac:dyDescent="0.25">
      <c r="D226" s="15" t="s">
        <v>5900</v>
      </c>
      <c r="E226" s="14" t="s">
        <v>2494</v>
      </c>
      <c r="F226" s="15"/>
      <c r="G226" s="14"/>
      <c r="H226" s="15"/>
      <c r="I226" s="15"/>
      <c r="J226" s="14" t="str">
        <f t="shared" si="4"/>
        <v/>
      </c>
      <c r="K226" s="15"/>
      <c r="L226" s="15"/>
      <c r="M226" s="15"/>
      <c r="N226" s="15"/>
      <c r="O226" s="14" t="s">
        <v>2885</v>
      </c>
    </row>
    <row r="227" spans="4:15" x14ac:dyDescent="0.25">
      <c r="D227" s="15" t="s">
        <v>5901</v>
      </c>
      <c r="E227" s="14" t="s">
        <v>2494</v>
      </c>
      <c r="F227" s="15"/>
      <c r="G227" s="14"/>
      <c r="H227" s="15"/>
      <c r="I227" s="15"/>
      <c r="J227" s="14" t="str">
        <f t="shared" si="4"/>
        <v/>
      </c>
      <c r="K227" s="15"/>
      <c r="L227" s="15"/>
      <c r="M227" s="15"/>
      <c r="N227" s="15"/>
      <c r="O227" s="14" t="s">
        <v>2886</v>
      </c>
    </row>
    <row r="228" spans="4:15" x14ac:dyDescent="0.25">
      <c r="D228" s="15" t="s">
        <v>5902</v>
      </c>
      <c r="E228" s="14" t="s">
        <v>2494</v>
      </c>
      <c r="F228" s="15"/>
      <c r="G228" s="14"/>
      <c r="H228" s="15"/>
      <c r="I228" s="15"/>
      <c r="J228" s="14" t="str">
        <f t="shared" si="4"/>
        <v/>
      </c>
      <c r="K228" s="15"/>
      <c r="L228" s="15"/>
      <c r="M228" s="15"/>
      <c r="N228" s="15"/>
      <c r="O228" s="14" t="s">
        <v>2887</v>
      </c>
    </row>
    <row r="229" spans="4:15" x14ac:dyDescent="0.25">
      <c r="D229" s="15" t="s">
        <v>5903</v>
      </c>
      <c r="E229" s="14" t="s">
        <v>2494</v>
      </c>
      <c r="F229" s="15"/>
      <c r="G229" s="14"/>
      <c r="H229" s="15"/>
      <c r="I229" s="15"/>
      <c r="J229" s="14" t="str">
        <f t="shared" si="4"/>
        <v/>
      </c>
      <c r="K229" s="15"/>
      <c r="L229" s="15"/>
      <c r="M229" s="15"/>
      <c r="N229" s="15"/>
      <c r="O229" s="14" t="s">
        <v>2888</v>
      </c>
    </row>
    <row r="230" spans="4:15" x14ac:dyDescent="0.25">
      <c r="D230" s="15" t="s">
        <v>5904</v>
      </c>
      <c r="E230" s="14" t="s">
        <v>2501</v>
      </c>
      <c r="F230" s="15"/>
      <c r="G230" s="14"/>
      <c r="H230" s="15"/>
      <c r="I230" s="15"/>
      <c r="J230" s="14" t="str">
        <f t="shared" si="4"/>
        <v/>
      </c>
      <c r="K230" s="15"/>
      <c r="L230" s="15"/>
      <c r="M230" s="15"/>
      <c r="N230" s="15"/>
      <c r="O230" s="14" t="s">
        <v>2889</v>
      </c>
    </row>
    <row r="231" spans="4:15" x14ac:dyDescent="0.25">
      <c r="D231" s="15" t="s">
        <v>5905</v>
      </c>
      <c r="E231" s="14" t="s">
        <v>2501</v>
      </c>
      <c r="F231" s="15"/>
      <c r="G231" s="14"/>
      <c r="H231" s="15"/>
      <c r="I231" s="15"/>
      <c r="J231" s="14" t="str">
        <f t="shared" si="4"/>
        <v/>
      </c>
      <c r="K231" s="15"/>
      <c r="L231" s="15"/>
      <c r="M231" s="15"/>
      <c r="N231" s="15"/>
      <c r="O231" s="14" t="s">
        <v>2890</v>
      </c>
    </row>
    <row r="232" spans="4:15" x14ac:dyDescent="0.25">
      <c r="D232" s="15" t="s">
        <v>5906</v>
      </c>
      <c r="E232" s="14" t="s">
        <v>2501</v>
      </c>
      <c r="F232" s="15"/>
      <c r="G232" s="14"/>
      <c r="H232" s="15"/>
      <c r="I232" s="15"/>
      <c r="J232" s="14" t="str">
        <f t="shared" si="4"/>
        <v/>
      </c>
      <c r="K232" s="15"/>
      <c r="L232" s="15"/>
      <c r="M232" s="15"/>
      <c r="N232" s="15"/>
      <c r="O232" s="14" t="s">
        <v>2891</v>
      </c>
    </row>
    <row r="233" spans="4:15" x14ac:dyDescent="0.25">
      <c r="D233" s="15" t="s">
        <v>5907</v>
      </c>
      <c r="E233" s="14" t="s">
        <v>2501</v>
      </c>
      <c r="F233" s="15"/>
      <c r="G233" s="14"/>
      <c r="H233" s="15"/>
      <c r="I233" s="15"/>
      <c r="J233" s="14" t="str">
        <f t="shared" si="4"/>
        <v/>
      </c>
      <c r="K233" s="15"/>
      <c r="L233" s="15"/>
      <c r="M233" s="15"/>
      <c r="N233" s="15"/>
      <c r="O233" s="14" t="s">
        <v>2892</v>
      </c>
    </row>
    <row r="234" spans="4:15" x14ac:dyDescent="0.25">
      <c r="D234" s="15" t="s">
        <v>5908</v>
      </c>
      <c r="E234" s="14" t="s">
        <v>2501</v>
      </c>
      <c r="F234" s="15"/>
      <c r="G234" s="14"/>
      <c r="H234" s="15"/>
      <c r="I234" s="15"/>
      <c r="J234" s="14" t="str">
        <f t="shared" si="4"/>
        <v/>
      </c>
      <c r="K234" s="15"/>
      <c r="L234" s="15"/>
      <c r="M234" s="15"/>
      <c r="N234" s="15"/>
      <c r="O234" s="14" t="s">
        <v>2893</v>
      </c>
    </row>
    <row r="235" spans="4:15" x14ac:dyDescent="0.25">
      <c r="D235" s="15" t="s">
        <v>5909</v>
      </c>
      <c r="E235" s="14" t="s">
        <v>2501</v>
      </c>
      <c r="F235" s="15"/>
      <c r="G235" s="14"/>
      <c r="H235" s="15"/>
      <c r="I235" s="15"/>
      <c r="J235" s="14" t="str">
        <f t="shared" si="4"/>
        <v/>
      </c>
      <c r="K235" s="15"/>
      <c r="L235" s="15"/>
      <c r="M235" s="15"/>
      <c r="N235" s="15"/>
      <c r="O235" s="14" t="s">
        <v>2894</v>
      </c>
    </row>
    <row r="236" spans="4:15" x14ac:dyDescent="0.25">
      <c r="D236" s="15" t="s">
        <v>5910</v>
      </c>
      <c r="E236" s="14" t="s">
        <v>2501</v>
      </c>
      <c r="F236" s="15"/>
      <c r="G236" s="14"/>
      <c r="H236" s="15"/>
      <c r="I236" s="15"/>
      <c r="J236" s="14" t="str">
        <f t="shared" si="4"/>
        <v/>
      </c>
      <c r="K236" s="15"/>
      <c r="L236" s="15"/>
      <c r="M236" s="15"/>
      <c r="N236" s="15"/>
      <c r="O236" s="14" t="s">
        <v>2895</v>
      </c>
    </row>
    <row r="237" spans="4:15" x14ac:dyDescent="0.25">
      <c r="D237" s="15" t="s">
        <v>5911</v>
      </c>
      <c r="E237" s="14" t="s">
        <v>2501</v>
      </c>
      <c r="F237" s="15"/>
      <c r="G237" s="14"/>
      <c r="H237" s="15"/>
      <c r="I237" s="15"/>
      <c r="J237" s="14" t="str">
        <f t="shared" si="4"/>
        <v/>
      </c>
      <c r="K237" s="15"/>
      <c r="L237" s="15"/>
      <c r="M237" s="15"/>
      <c r="N237" s="15"/>
      <c r="O237" s="14" t="s">
        <v>2896</v>
      </c>
    </row>
    <row r="238" spans="4:15" x14ac:dyDescent="0.25">
      <c r="D238" s="15" t="s">
        <v>5912</v>
      </c>
      <c r="E238" s="14" t="s">
        <v>2501</v>
      </c>
      <c r="F238" s="15"/>
      <c r="G238" s="14"/>
      <c r="H238" s="15"/>
      <c r="I238" s="15"/>
      <c r="J238" s="14" t="str">
        <f t="shared" si="4"/>
        <v/>
      </c>
      <c r="K238" s="15"/>
      <c r="L238" s="15"/>
      <c r="M238" s="15"/>
      <c r="N238" s="15"/>
      <c r="O238" s="14" t="s">
        <v>2897</v>
      </c>
    </row>
    <row r="239" spans="4:15" x14ac:dyDescent="0.25">
      <c r="D239" s="15" t="s">
        <v>5913</v>
      </c>
      <c r="E239" s="14" t="s">
        <v>2501</v>
      </c>
      <c r="F239" s="15"/>
      <c r="G239" s="14"/>
      <c r="H239" s="15"/>
      <c r="I239" s="15"/>
      <c r="J239" s="14" t="str">
        <f t="shared" si="4"/>
        <v/>
      </c>
      <c r="K239" s="15"/>
      <c r="L239" s="15"/>
      <c r="M239" s="15"/>
      <c r="N239" s="15"/>
      <c r="O239" s="14" t="s">
        <v>2898</v>
      </c>
    </row>
    <row r="240" spans="4:15" x14ac:dyDescent="0.25">
      <c r="D240" s="15" t="s">
        <v>5914</v>
      </c>
      <c r="E240" s="14" t="s">
        <v>2508</v>
      </c>
      <c r="F240" s="15"/>
      <c r="G240" s="14"/>
      <c r="H240" s="15"/>
      <c r="I240" s="15"/>
      <c r="J240" s="14" t="str">
        <f t="shared" si="4"/>
        <v/>
      </c>
      <c r="K240" s="15"/>
      <c r="L240" s="15"/>
      <c r="M240" s="15"/>
      <c r="N240" s="15"/>
      <c r="O240" s="14" t="s">
        <v>2899</v>
      </c>
    </row>
    <row r="241" spans="4:15" x14ac:dyDescent="0.25">
      <c r="D241" s="15" t="s">
        <v>5915</v>
      </c>
      <c r="E241" s="14" t="s">
        <v>2508</v>
      </c>
      <c r="F241" s="15"/>
      <c r="G241" s="14"/>
      <c r="H241" s="15"/>
      <c r="I241" s="15"/>
      <c r="J241" s="14" t="str">
        <f t="shared" si="4"/>
        <v/>
      </c>
      <c r="K241" s="15"/>
      <c r="L241" s="15"/>
      <c r="M241" s="15"/>
      <c r="N241" s="15"/>
      <c r="O241" s="14" t="s">
        <v>2900</v>
      </c>
    </row>
    <row r="242" spans="4:15" x14ac:dyDescent="0.25">
      <c r="D242" s="15" t="s">
        <v>5916</v>
      </c>
      <c r="E242" s="14" t="s">
        <v>2508</v>
      </c>
      <c r="F242" s="15"/>
      <c r="G242" s="14"/>
      <c r="H242" s="15"/>
      <c r="I242" s="15"/>
      <c r="J242" s="14" t="str">
        <f t="shared" si="4"/>
        <v/>
      </c>
      <c r="K242" s="15"/>
      <c r="L242" s="15"/>
      <c r="M242" s="15"/>
      <c r="N242" s="15"/>
      <c r="O242" s="14" t="s">
        <v>2901</v>
      </c>
    </row>
    <row r="243" spans="4:15" x14ac:dyDescent="0.25">
      <c r="D243" s="15" t="s">
        <v>5917</v>
      </c>
      <c r="E243" s="14" t="s">
        <v>2508</v>
      </c>
      <c r="F243" s="15"/>
      <c r="G243" s="14"/>
      <c r="H243" s="15"/>
      <c r="I243" s="15"/>
      <c r="J243" s="14" t="str">
        <f t="shared" si="4"/>
        <v/>
      </c>
      <c r="K243" s="15"/>
      <c r="L243" s="15"/>
      <c r="M243" s="15"/>
      <c r="N243" s="15"/>
      <c r="O243" s="14" t="s">
        <v>2902</v>
      </c>
    </row>
    <row r="244" spans="4:15" x14ac:dyDescent="0.25">
      <c r="D244" s="15" t="s">
        <v>5918</v>
      </c>
      <c r="E244" s="14" t="s">
        <v>2508</v>
      </c>
      <c r="F244" s="15"/>
      <c r="G244" s="14"/>
      <c r="H244" s="15"/>
      <c r="I244" s="15"/>
      <c r="J244" s="14" t="str">
        <f t="shared" si="4"/>
        <v/>
      </c>
      <c r="K244" s="15"/>
      <c r="L244" s="15"/>
      <c r="M244" s="15"/>
      <c r="N244" s="15"/>
      <c r="O244" s="14" t="s">
        <v>2903</v>
      </c>
    </row>
    <row r="245" spans="4:15" x14ac:dyDescent="0.25">
      <c r="D245" s="15" t="s">
        <v>5919</v>
      </c>
      <c r="E245" s="14" t="s">
        <v>2508</v>
      </c>
      <c r="F245" s="15"/>
      <c r="G245" s="14"/>
      <c r="H245" s="15"/>
      <c r="I245" s="15"/>
      <c r="J245" s="14" t="str">
        <f t="shared" si="4"/>
        <v/>
      </c>
      <c r="K245" s="15"/>
      <c r="L245" s="15"/>
      <c r="M245" s="15"/>
      <c r="N245" s="15"/>
      <c r="O245" s="14" t="s">
        <v>2904</v>
      </c>
    </row>
    <row r="246" spans="4:15" x14ac:dyDescent="0.25">
      <c r="D246" s="15" t="s">
        <v>5920</v>
      </c>
      <c r="E246" s="14" t="s">
        <v>2508</v>
      </c>
      <c r="F246" s="15"/>
      <c r="G246" s="14"/>
      <c r="H246" s="15"/>
      <c r="I246" s="15"/>
      <c r="J246" s="14" t="str">
        <f t="shared" si="4"/>
        <v/>
      </c>
      <c r="K246" s="15"/>
      <c r="L246" s="15"/>
      <c r="M246" s="15"/>
      <c r="N246" s="15"/>
      <c r="O246" s="14" t="s">
        <v>2905</v>
      </c>
    </row>
    <row r="247" spans="4:15" x14ac:dyDescent="0.25">
      <c r="D247" s="15" t="s">
        <v>5921</v>
      </c>
      <c r="E247" s="14" t="s">
        <v>2508</v>
      </c>
      <c r="F247" s="15"/>
      <c r="G247" s="14"/>
      <c r="H247" s="15"/>
      <c r="I247" s="15"/>
      <c r="J247" s="14" t="str">
        <f t="shared" si="4"/>
        <v/>
      </c>
      <c r="K247" s="15"/>
      <c r="L247" s="15"/>
      <c r="M247" s="15"/>
      <c r="N247" s="15"/>
      <c r="O247" s="14" t="s">
        <v>2906</v>
      </c>
    </row>
    <row r="248" spans="4:15" x14ac:dyDescent="0.25">
      <c r="D248" s="15" t="s">
        <v>5922</v>
      </c>
      <c r="E248" s="14" t="s">
        <v>2508</v>
      </c>
      <c r="F248" s="15"/>
      <c r="G248" s="14"/>
      <c r="H248" s="15"/>
      <c r="I248" s="15"/>
      <c r="J248" s="14" t="str">
        <f t="shared" si="4"/>
        <v/>
      </c>
      <c r="K248" s="15"/>
      <c r="L248" s="15"/>
      <c r="M248" s="15"/>
      <c r="N248" s="15"/>
      <c r="O248" s="14" t="s">
        <v>2907</v>
      </c>
    </row>
    <row r="249" spans="4:15" x14ac:dyDescent="0.25">
      <c r="D249" s="15" t="s">
        <v>5923</v>
      </c>
      <c r="E249" s="14" t="s">
        <v>2508</v>
      </c>
      <c r="F249" s="15"/>
      <c r="G249" s="14"/>
      <c r="H249" s="15"/>
      <c r="I249" s="15"/>
      <c r="J249" s="14" t="str">
        <f t="shared" si="4"/>
        <v/>
      </c>
      <c r="K249" s="15"/>
      <c r="L249" s="15"/>
      <c r="M249" s="15"/>
      <c r="N249" s="15"/>
      <c r="O249" s="14" t="s">
        <v>2908</v>
      </c>
    </row>
    <row r="250" spans="4:15" x14ac:dyDescent="0.25">
      <c r="D250" s="15" t="s">
        <v>5924</v>
      </c>
      <c r="E250" s="14" t="s">
        <v>2515</v>
      </c>
      <c r="F250" s="15"/>
      <c r="G250" s="14"/>
      <c r="H250" s="15"/>
      <c r="I250" s="15"/>
      <c r="J250" s="14" t="str">
        <f t="shared" si="4"/>
        <v/>
      </c>
      <c r="K250" s="15"/>
      <c r="L250" s="15"/>
      <c r="M250" s="15"/>
      <c r="N250" s="15"/>
      <c r="O250" s="14" t="s">
        <v>2909</v>
      </c>
    </row>
    <row r="251" spans="4:15" x14ac:dyDescent="0.25">
      <c r="D251" s="15" t="s">
        <v>5925</v>
      </c>
      <c r="E251" s="14" t="s">
        <v>2515</v>
      </c>
      <c r="F251" s="15"/>
      <c r="G251" s="14"/>
      <c r="H251" s="15"/>
      <c r="I251" s="15"/>
      <c r="J251" s="14" t="str">
        <f t="shared" si="4"/>
        <v/>
      </c>
      <c r="K251" s="15"/>
      <c r="L251" s="15"/>
      <c r="M251" s="15"/>
      <c r="N251" s="15"/>
      <c r="O251" s="14" t="s">
        <v>2910</v>
      </c>
    </row>
    <row r="252" spans="4:15" x14ac:dyDescent="0.25">
      <c r="D252" s="15" t="s">
        <v>5926</v>
      </c>
      <c r="E252" s="14" t="s">
        <v>2515</v>
      </c>
      <c r="F252" s="15"/>
      <c r="G252" s="14"/>
      <c r="H252" s="15"/>
      <c r="I252" s="15"/>
      <c r="J252" s="14" t="str">
        <f t="shared" si="4"/>
        <v/>
      </c>
      <c r="K252" s="15"/>
      <c r="L252" s="15"/>
      <c r="M252" s="15"/>
      <c r="N252" s="15"/>
      <c r="O252" s="14" t="s">
        <v>2911</v>
      </c>
    </row>
    <row r="253" spans="4:15" x14ac:dyDescent="0.25">
      <c r="D253" s="15" t="s">
        <v>5927</v>
      </c>
      <c r="E253" s="14" t="s">
        <v>2515</v>
      </c>
      <c r="F253" s="15"/>
      <c r="G253" s="14"/>
      <c r="H253" s="15"/>
      <c r="I253" s="15"/>
      <c r="J253" s="14" t="str">
        <f t="shared" si="4"/>
        <v/>
      </c>
      <c r="K253" s="15"/>
      <c r="L253" s="15"/>
      <c r="M253" s="15"/>
      <c r="N253" s="15"/>
      <c r="O253" s="14" t="s">
        <v>2912</v>
      </c>
    </row>
    <row r="254" spans="4:15" x14ac:dyDescent="0.25">
      <c r="D254" s="15" t="s">
        <v>5928</v>
      </c>
      <c r="E254" s="14" t="s">
        <v>2515</v>
      </c>
      <c r="F254" s="15"/>
      <c r="G254" s="14"/>
      <c r="H254" s="15"/>
      <c r="I254" s="15"/>
      <c r="J254" s="14" t="str">
        <f t="shared" si="4"/>
        <v/>
      </c>
      <c r="K254" s="15"/>
      <c r="L254" s="15"/>
      <c r="M254" s="15"/>
      <c r="N254" s="15"/>
      <c r="O254" s="14" t="s">
        <v>2913</v>
      </c>
    </row>
    <row r="255" spans="4:15" x14ac:dyDescent="0.25">
      <c r="D255" s="15" t="s">
        <v>5929</v>
      </c>
      <c r="E255" s="14" t="s">
        <v>2515</v>
      </c>
      <c r="F255" s="15"/>
      <c r="G255" s="14"/>
      <c r="H255" s="15"/>
      <c r="I255" s="15"/>
      <c r="J255" s="14" t="str">
        <f t="shared" si="4"/>
        <v/>
      </c>
      <c r="K255" s="15"/>
      <c r="L255" s="15"/>
      <c r="M255" s="15"/>
      <c r="N255" s="15"/>
      <c r="O255" s="14" t="s">
        <v>2914</v>
      </c>
    </row>
    <row r="256" spans="4:15" x14ac:dyDescent="0.25">
      <c r="D256" s="15" t="s">
        <v>5930</v>
      </c>
      <c r="E256" s="14" t="s">
        <v>2515</v>
      </c>
      <c r="F256" s="15"/>
      <c r="G256" s="14"/>
      <c r="H256" s="15"/>
      <c r="I256" s="15"/>
      <c r="J256" s="14" t="str">
        <f t="shared" si="4"/>
        <v/>
      </c>
      <c r="K256" s="15"/>
      <c r="L256" s="15"/>
      <c r="M256" s="15"/>
      <c r="N256" s="15"/>
      <c r="O256" s="14" t="s">
        <v>2915</v>
      </c>
    </row>
    <row r="257" spans="4:15" x14ac:dyDescent="0.25">
      <c r="D257" s="15" t="s">
        <v>5931</v>
      </c>
      <c r="E257" s="14" t="s">
        <v>2515</v>
      </c>
      <c r="F257" s="15"/>
      <c r="G257" s="14"/>
      <c r="H257" s="15"/>
      <c r="I257" s="15"/>
      <c r="J257" s="14" t="str">
        <f t="shared" si="4"/>
        <v/>
      </c>
      <c r="K257" s="15"/>
      <c r="L257" s="15"/>
      <c r="M257" s="15"/>
      <c r="N257" s="15"/>
      <c r="O257" s="14" t="s">
        <v>2916</v>
      </c>
    </row>
    <row r="258" spans="4:15" x14ac:dyDescent="0.25">
      <c r="D258" s="15" t="s">
        <v>5932</v>
      </c>
      <c r="E258" s="14" t="s">
        <v>2515</v>
      </c>
      <c r="F258" s="15"/>
      <c r="G258" s="14"/>
      <c r="H258" s="15"/>
      <c r="I258" s="15"/>
      <c r="J258" s="14" t="str">
        <f t="shared" si="4"/>
        <v/>
      </c>
      <c r="K258" s="15"/>
      <c r="L258" s="15"/>
      <c r="M258" s="15"/>
      <c r="N258" s="15"/>
      <c r="O258" s="14" t="s">
        <v>2917</v>
      </c>
    </row>
    <row r="259" spans="4:15" x14ac:dyDescent="0.25">
      <c r="D259" s="15" t="s">
        <v>5933</v>
      </c>
      <c r="E259" s="14" t="s">
        <v>2515</v>
      </c>
      <c r="F259" s="15"/>
      <c r="G259" s="14"/>
      <c r="H259" s="15"/>
      <c r="I259" s="15"/>
      <c r="J259" s="14" t="str">
        <f t="shared" si="4"/>
        <v/>
      </c>
      <c r="K259" s="15"/>
      <c r="L259" s="15"/>
      <c r="M259" s="15"/>
      <c r="N259" s="15"/>
      <c r="O259" s="14" t="s">
        <v>2918</v>
      </c>
    </row>
    <row r="260" spans="4:15" x14ac:dyDescent="0.25">
      <c r="D260" s="15" t="s">
        <v>5934</v>
      </c>
      <c r="E260" s="14" t="s">
        <v>2522</v>
      </c>
      <c r="F260" s="15"/>
      <c r="G260" s="14"/>
      <c r="H260" s="15"/>
      <c r="I260" s="15"/>
      <c r="J260" s="14" t="str">
        <f t="shared" si="4"/>
        <v/>
      </c>
      <c r="K260" s="15"/>
      <c r="L260" s="15"/>
      <c r="M260" s="15"/>
      <c r="N260" s="15"/>
      <c r="O260" s="14" t="s">
        <v>2919</v>
      </c>
    </row>
    <row r="261" spans="4:15" x14ac:dyDescent="0.25">
      <c r="D261" s="15" t="s">
        <v>5935</v>
      </c>
      <c r="E261" s="14" t="s">
        <v>2522</v>
      </c>
      <c r="F261" s="15"/>
      <c r="G261" s="14"/>
      <c r="H261" s="15"/>
      <c r="I261" s="15"/>
      <c r="J261" s="14" t="str">
        <f t="shared" si="4"/>
        <v/>
      </c>
      <c r="K261" s="15"/>
      <c r="L261" s="15"/>
      <c r="M261" s="15"/>
      <c r="N261" s="15"/>
      <c r="O261" s="14" t="s">
        <v>2920</v>
      </c>
    </row>
    <row r="262" spans="4:15" x14ac:dyDescent="0.25">
      <c r="D262" s="15" t="s">
        <v>5936</v>
      </c>
      <c r="E262" s="14" t="s">
        <v>2522</v>
      </c>
      <c r="F262" s="15"/>
      <c r="G262" s="14"/>
      <c r="H262" s="15"/>
      <c r="I262" s="15"/>
      <c r="J262" s="14" t="str">
        <f t="shared" si="4"/>
        <v/>
      </c>
      <c r="K262" s="15"/>
      <c r="L262" s="15"/>
      <c r="M262" s="15"/>
      <c r="N262" s="15"/>
      <c r="O262" s="14" t="s">
        <v>2921</v>
      </c>
    </row>
    <row r="263" spans="4:15" x14ac:dyDescent="0.25">
      <c r="D263" s="15" t="s">
        <v>5937</v>
      </c>
      <c r="E263" s="14" t="s">
        <v>2522</v>
      </c>
      <c r="F263" s="15"/>
      <c r="G263" s="14"/>
      <c r="H263" s="15"/>
      <c r="I263" s="15"/>
      <c r="J263" s="14" t="str">
        <f t="shared" si="4"/>
        <v/>
      </c>
      <c r="K263" s="15"/>
      <c r="L263" s="15"/>
      <c r="M263" s="15"/>
      <c r="N263" s="15"/>
      <c r="O263" s="14" t="s">
        <v>2922</v>
      </c>
    </row>
    <row r="264" spans="4:15" x14ac:dyDescent="0.25">
      <c r="D264" s="15" t="s">
        <v>5938</v>
      </c>
      <c r="E264" s="14" t="s">
        <v>2522</v>
      </c>
      <c r="F264" s="15"/>
      <c r="G264" s="14"/>
      <c r="H264" s="15"/>
      <c r="I264" s="15"/>
      <c r="J264" s="14" t="str">
        <f t="shared" si="4"/>
        <v/>
      </c>
      <c r="K264" s="15"/>
      <c r="L264" s="15"/>
      <c r="M264" s="15"/>
      <c r="N264" s="15"/>
      <c r="O264" s="14" t="s">
        <v>2923</v>
      </c>
    </row>
    <row r="265" spans="4:15" x14ac:dyDescent="0.25">
      <c r="D265" s="15" t="s">
        <v>5939</v>
      </c>
      <c r="E265" s="14" t="s">
        <v>2522</v>
      </c>
      <c r="F265" s="15"/>
      <c r="G265" s="14"/>
      <c r="H265" s="15"/>
      <c r="I265" s="15"/>
      <c r="J265" s="14" t="str">
        <f t="shared" si="4"/>
        <v/>
      </c>
      <c r="K265" s="15"/>
      <c r="L265" s="15"/>
      <c r="M265" s="15"/>
      <c r="N265" s="15"/>
      <c r="O265" s="14" t="s">
        <v>2924</v>
      </c>
    </row>
    <row r="266" spans="4:15" x14ac:dyDescent="0.25">
      <c r="D266" s="15" t="s">
        <v>5940</v>
      </c>
      <c r="E266" s="14" t="s">
        <v>2522</v>
      </c>
      <c r="F266" s="15"/>
      <c r="G266" s="14"/>
      <c r="H266" s="15"/>
      <c r="I266" s="15"/>
      <c r="J266" s="14" t="str">
        <f t="shared" si="4"/>
        <v/>
      </c>
      <c r="K266" s="15"/>
      <c r="L266" s="15"/>
      <c r="M266" s="15"/>
      <c r="N266" s="15"/>
      <c r="O266" s="14" t="s">
        <v>2925</v>
      </c>
    </row>
    <row r="267" spans="4:15" x14ac:dyDescent="0.25">
      <c r="D267" s="15" t="s">
        <v>5941</v>
      </c>
      <c r="E267" s="14" t="s">
        <v>2522</v>
      </c>
      <c r="F267" s="15"/>
      <c r="G267" s="14"/>
      <c r="H267" s="15"/>
      <c r="I267" s="15"/>
      <c r="J267" s="14" t="str">
        <f t="shared" si="4"/>
        <v/>
      </c>
      <c r="K267" s="15"/>
      <c r="L267" s="15"/>
      <c r="M267" s="15"/>
      <c r="N267" s="15"/>
      <c r="O267" s="14" t="s">
        <v>2926</v>
      </c>
    </row>
    <row r="268" spans="4:15" x14ac:dyDescent="0.25">
      <c r="D268" s="15" t="s">
        <v>5942</v>
      </c>
      <c r="E268" s="14" t="s">
        <v>2522</v>
      </c>
      <c r="F268" s="15"/>
      <c r="G268" s="14"/>
      <c r="H268" s="15"/>
      <c r="I268" s="15"/>
      <c r="J268" s="14" t="str">
        <f t="shared" si="4"/>
        <v/>
      </c>
      <c r="K268" s="15"/>
      <c r="L268" s="15"/>
      <c r="M268" s="15"/>
      <c r="N268" s="15"/>
      <c r="O268" s="14" t="s">
        <v>2927</v>
      </c>
    </row>
    <row r="269" spans="4:15" x14ac:dyDescent="0.25">
      <c r="D269" s="15" t="s">
        <v>5943</v>
      </c>
      <c r="E269" s="14" t="s">
        <v>2522</v>
      </c>
      <c r="F269" s="15"/>
      <c r="G269" s="14"/>
      <c r="H269" s="15"/>
      <c r="I269" s="15"/>
      <c r="J269" s="14" t="str">
        <f t="shared" si="4"/>
        <v/>
      </c>
      <c r="K269" s="15"/>
      <c r="L269" s="15"/>
      <c r="M269" s="15"/>
      <c r="N269" s="15"/>
      <c r="O269" s="14" t="s">
        <v>2928</v>
      </c>
    </row>
    <row r="270" spans="4:15" x14ac:dyDescent="0.25">
      <c r="D270" s="15" t="s">
        <v>5944</v>
      </c>
      <c r="E270" s="14" t="s">
        <v>2529</v>
      </c>
      <c r="F270" s="15"/>
      <c r="G270" s="14"/>
      <c r="H270" s="15"/>
      <c r="I270" s="15"/>
      <c r="J270" s="14" t="str">
        <f t="shared" si="4"/>
        <v/>
      </c>
      <c r="K270" s="15"/>
      <c r="L270" s="15"/>
      <c r="M270" s="15"/>
      <c r="N270" s="15"/>
      <c r="O270" s="14" t="s">
        <v>2929</v>
      </c>
    </row>
    <row r="271" spans="4:15" x14ac:dyDescent="0.25">
      <c r="D271" s="15" t="s">
        <v>5945</v>
      </c>
      <c r="E271" s="14" t="s">
        <v>2529</v>
      </c>
      <c r="F271" s="15"/>
      <c r="G271" s="14"/>
      <c r="H271" s="15"/>
      <c r="I271" s="15"/>
      <c r="J271" s="14" t="str">
        <f t="shared" si="4"/>
        <v/>
      </c>
      <c r="K271" s="15"/>
      <c r="L271" s="15"/>
      <c r="M271" s="15"/>
      <c r="N271" s="15"/>
      <c r="O271" s="14" t="s">
        <v>2930</v>
      </c>
    </row>
    <row r="272" spans="4:15" x14ac:dyDescent="0.25">
      <c r="D272" s="15" t="s">
        <v>5946</v>
      </c>
      <c r="E272" s="14" t="s">
        <v>2529</v>
      </c>
      <c r="F272" s="15"/>
      <c r="G272" s="14"/>
      <c r="H272" s="15"/>
      <c r="I272" s="15"/>
      <c r="J272" s="14" t="str">
        <f t="shared" si="4"/>
        <v/>
      </c>
      <c r="K272" s="15"/>
      <c r="L272" s="15"/>
      <c r="M272" s="15"/>
      <c r="N272" s="15"/>
      <c r="O272" s="14" t="s">
        <v>2931</v>
      </c>
    </row>
    <row r="273" spans="4:15" x14ac:dyDescent="0.25">
      <c r="D273" s="15" t="s">
        <v>5947</v>
      </c>
      <c r="E273" s="14" t="s">
        <v>2529</v>
      </c>
      <c r="F273" s="15"/>
      <c r="G273" s="14"/>
      <c r="H273" s="15"/>
      <c r="I273" s="15"/>
      <c r="J273" s="14" t="str">
        <f t="shared" si="4"/>
        <v/>
      </c>
      <c r="K273" s="15"/>
      <c r="L273" s="15"/>
      <c r="M273" s="15"/>
      <c r="N273" s="15"/>
      <c r="O273" s="14" t="s">
        <v>2932</v>
      </c>
    </row>
    <row r="274" spans="4:15" x14ac:dyDescent="0.25">
      <c r="D274" s="15" t="s">
        <v>5948</v>
      </c>
      <c r="E274" s="14" t="s">
        <v>2529</v>
      </c>
      <c r="F274" s="15"/>
      <c r="G274" s="14"/>
      <c r="H274" s="15"/>
      <c r="I274" s="15"/>
      <c r="J274" s="14" t="str">
        <f t="shared" si="4"/>
        <v/>
      </c>
      <c r="K274" s="15"/>
      <c r="L274" s="15"/>
      <c r="M274" s="15"/>
      <c r="N274" s="15"/>
      <c r="O274" s="14" t="s">
        <v>2933</v>
      </c>
    </row>
    <row r="275" spans="4:15" x14ac:dyDescent="0.25">
      <c r="D275" s="15" t="s">
        <v>5949</v>
      </c>
      <c r="E275" s="14" t="s">
        <v>2529</v>
      </c>
      <c r="F275" s="15"/>
      <c r="G275" s="14"/>
      <c r="H275" s="15"/>
      <c r="I275" s="15"/>
      <c r="J275" s="14" t="str">
        <f t="shared" si="4"/>
        <v/>
      </c>
      <c r="K275" s="15"/>
      <c r="L275" s="15"/>
      <c r="M275" s="15"/>
      <c r="N275" s="15"/>
      <c r="O275" s="14" t="s">
        <v>2934</v>
      </c>
    </row>
    <row r="276" spans="4:15" x14ac:dyDescent="0.25">
      <c r="D276" s="15" t="s">
        <v>5950</v>
      </c>
      <c r="E276" s="14" t="s">
        <v>2529</v>
      </c>
      <c r="F276" s="15"/>
      <c r="G276" s="14"/>
      <c r="H276" s="15"/>
      <c r="I276" s="15"/>
      <c r="J276" s="14" t="str">
        <f t="shared" si="4"/>
        <v/>
      </c>
      <c r="K276" s="15"/>
      <c r="L276" s="15"/>
      <c r="M276" s="15"/>
      <c r="N276" s="15"/>
      <c r="O276" s="14" t="s">
        <v>2935</v>
      </c>
    </row>
    <row r="277" spans="4:15" x14ac:dyDescent="0.25">
      <c r="D277" s="15" t="s">
        <v>5951</v>
      </c>
      <c r="E277" s="14" t="s">
        <v>2529</v>
      </c>
      <c r="F277" s="15"/>
      <c r="G277" s="14"/>
      <c r="H277" s="15"/>
      <c r="I277" s="15"/>
      <c r="J277" s="14" t="str">
        <f t="shared" si="4"/>
        <v/>
      </c>
      <c r="K277" s="15"/>
      <c r="L277" s="15"/>
      <c r="M277" s="15"/>
      <c r="N277" s="15"/>
      <c r="O277" s="14" t="s">
        <v>2936</v>
      </c>
    </row>
    <row r="278" spans="4:15" x14ac:dyDescent="0.25">
      <c r="D278" s="15" t="s">
        <v>5952</v>
      </c>
      <c r="E278" s="14" t="s">
        <v>2529</v>
      </c>
      <c r="F278" s="15"/>
      <c r="G278" s="14"/>
      <c r="H278" s="15"/>
      <c r="I278" s="15"/>
      <c r="J278" s="14" t="str">
        <f t="shared" si="4"/>
        <v/>
      </c>
      <c r="K278" s="15"/>
      <c r="L278" s="15"/>
      <c r="M278" s="15"/>
      <c r="N278" s="15"/>
      <c r="O278" s="14" t="s">
        <v>2937</v>
      </c>
    </row>
    <row r="279" spans="4:15" x14ac:dyDescent="0.25">
      <c r="D279" s="15" t="s">
        <v>5953</v>
      </c>
      <c r="E279" s="14" t="s">
        <v>2529</v>
      </c>
      <c r="F279" s="15"/>
      <c r="G279" s="14"/>
      <c r="H279" s="15"/>
      <c r="I279" s="15"/>
      <c r="J279" s="14" t="str">
        <f t="shared" si="4"/>
        <v/>
      </c>
      <c r="K279" s="15"/>
      <c r="L279" s="15"/>
      <c r="M279" s="15"/>
      <c r="N279" s="15"/>
      <c r="O279" s="14" t="s">
        <v>2938</v>
      </c>
    </row>
    <row r="280" spans="4:15" x14ac:dyDescent="0.25">
      <c r="D280" s="15" t="s">
        <v>5954</v>
      </c>
      <c r="E280" s="14" t="s">
        <v>2536</v>
      </c>
      <c r="F280" s="15"/>
      <c r="G280" s="14"/>
      <c r="H280" s="15"/>
      <c r="I280" s="15"/>
      <c r="J280" s="14" t="str">
        <f t="shared" si="4"/>
        <v/>
      </c>
      <c r="K280" s="15"/>
      <c r="L280" s="15"/>
      <c r="M280" s="15"/>
      <c r="N280" s="15"/>
      <c r="O280" s="14" t="s">
        <v>2939</v>
      </c>
    </row>
    <row r="281" spans="4:15" x14ac:dyDescent="0.25">
      <c r="D281" s="15" t="s">
        <v>5955</v>
      </c>
      <c r="E281" s="14" t="s">
        <v>2536</v>
      </c>
      <c r="F281" s="15"/>
      <c r="G281" s="14"/>
      <c r="H281" s="15"/>
      <c r="I281" s="15"/>
      <c r="J281" s="14" t="str">
        <f t="shared" si="4"/>
        <v/>
      </c>
      <c r="K281" s="15"/>
      <c r="L281" s="15"/>
      <c r="M281" s="15"/>
      <c r="N281" s="15"/>
      <c r="O281" s="14" t="s">
        <v>2940</v>
      </c>
    </row>
    <row r="282" spans="4:15" x14ac:dyDescent="0.25">
      <c r="D282" s="15" t="s">
        <v>5956</v>
      </c>
      <c r="E282" s="14" t="s">
        <v>2536</v>
      </c>
      <c r="F282" s="15"/>
      <c r="G282" s="14"/>
      <c r="H282" s="15"/>
      <c r="I282" s="15"/>
      <c r="J282" s="14" t="str">
        <f t="shared" si="4"/>
        <v/>
      </c>
      <c r="K282" s="15"/>
      <c r="L282" s="15"/>
      <c r="M282" s="15"/>
      <c r="N282" s="15"/>
      <c r="O282" s="14" t="s">
        <v>2941</v>
      </c>
    </row>
    <row r="283" spans="4:15" x14ac:dyDescent="0.25">
      <c r="D283" s="15" t="s">
        <v>5957</v>
      </c>
      <c r="E283" s="14" t="s">
        <v>2536</v>
      </c>
      <c r="F283" s="15"/>
      <c r="G283" s="14"/>
      <c r="H283" s="15"/>
      <c r="I283" s="15"/>
      <c r="J283" s="14" t="str">
        <f t="shared" si="4"/>
        <v/>
      </c>
      <c r="K283" s="15"/>
      <c r="L283" s="15"/>
      <c r="M283" s="15"/>
      <c r="N283" s="15"/>
      <c r="O283" s="14" t="s">
        <v>2942</v>
      </c>
    </row>
    <row r="284" spans="4:15" x14ac:dyDescent="0.25">
      <c r="D284" s="15" t="s">
        <v>5958</v>
      </c>
      <c r="E284" s="14" t="s">
        <v>2536</v>
      </c>
      <c r="F284" s="15"/>
      <c r="G284" s="14"/>
      <c r="H284" s="15"/>
      <c r="I284" s="15"/>
      <c r="J284" s="14" t="str">
        <f t="shared" si="4"/>
        <v/>
      </c>
      <c r="K284" s="15"/>
      <c r="L284" s="15"/>
      <c r="M284" s="15"/>
      <c r="N284" s="15"/>
      <c r="O284" s="14" t="s">
        <v>2943</v>
      </c>
    </row>
    <row r="285" spans="4:15" x14ac:dyDescent="0.25">
      <c r="D285" s="15" t="s">
        <v>5959</v>
      </c>
      <c r="E285" s="14" t="s">
        <v>2536</v>
      </c>
      <c r="F285" s="15"/>
      <c r="G285" s="14"/>
      <c r="H285" s="15"/>
      <c r="I285" s="15"/>
      <c r="J285" s="14" t="str">
        <f t="shared" si="4"/>
        <v/>
      </c>
      <c r="K285" s="15"/>
      <c r="L285" s="15"/>
      <c r="M285" s="15"/>
      <c r="N285" s="15"/>
      <c r="O285" s="14" t="s">
        <v>2944</v>
      </c>
    </row>
    <row r="286" spans="4:15" x14ac:dyDescent="0.25">
      <c r="D286" s="15" t="s">
        <v>5960</v>
      </c>
      <c r="E286" s="14" t="s">
        <v>2536</v>
      </c>
      <c r="F286" s="15"/>
      <c r="G286" s="14"/>
      <c r="H286" s="15"/>
      <c r="I286" s="15"/>
      <c r="J286" s="14" t="str">
        <f t="shared" si="4"/>
        <v/>
      </c>
      <c r="K286" s="15"/>
      <c r="L286" s="15"/>
      <c r="M286" s="15"/>
      <c r="N286" s="15"/>
      <c r="O286" s="14" t="s">
        <v>2945</v>
      </c>
    </row>
    <row r="287" spans="4:15" x14ac:dyDescent="0.25">
      <c r="D287" s="15" t="s">
        <v>5961</v>
      </c>
      <c r="E287" s="14" t="s">
        <v>2536</v>
      </c>
      <c r="F287" s="15"/>
      <c r="G287" s="14"/>
      <c r="H287" s="15"/>
      <c r="I287" s="15"/>
      <c r="J287" s="14" t="str">
        <f t="shared" si="4"/>
        <v/>
      </c>
      <c r="K287" s="15"/>
      <c r="L287" s="15"/>
      <c r="M287" s="15"/>
      <c r="N287" s="15"/>
      <c r="O287" s="14" t="s">
        <v>2946</v>
      </c>
    </row>
    <row r="288" spans="4:15" x14ac:dyDescent="0.25">
      <c r="D288" s="15" t="s">
        <v>5962</v>
      </c>
      <c r="E288" s="14" t="s">
        <v>2536</v>
      </c>
      <c r="F288" s="15"/>
      <c r="G288" s="14"/>
      <c r="H288" s="15"/>
      <c r="I288" s="15"/>
      <c r="J288" s="14" t="str">
        <f t="shared" ref="J288:J309" si="5">F288&amp;H288&amp;I288</f>
        <v/>
      </c>
      <c r="K288" s="15"/>
      <c r="L288" s="15"/>
      <c r="M288" s="15"/>
      <c r="N288" s="15"/>
      <c r="O288" s="14" t="s">
        <v>2947</v>
      </c>
    </row>
    <row r="289" spans="4:15" x14ac:dyDescent="0.25">
      <c r="D289" s="15" t="s">
        <v>5963</v>
      </c>
      <c r="E289" s="14" t="s">
        <v>2536</v>
      </c>
      <c r="F289" s="15"/>
      <c r="G289" s="14"/>
      <c r="H289" s="15"/>
      <c r="I289" s="15"/>
      <c r="J289" s="14" t="str">
        <f t="shared" si="5"/>
        <v/>
      </c>
      <c r="K289" s="15"/>
      <c r="L289" s="15"/>
      <c r="M289" s="15"/>
      <c r="N289" s="15"/>
      <c r="O289" s="14" t="s">
        <v>2948</v>
      </c>
    </row>
    <row r="290" spans="4:15" x14ac:dyDescent="0.25">
      <c r="D290" s="15" t="s">
        <v>5964</v>
      </c>
      <c r="E290" s="14" t="s">
        <v>2543</v>
      </c>
      <c r="F290" s="15"/>
      <c r="G290" s="14"/>
      <c r="H290" s="15"/>
      <c r="I290" s="15"/>
      <c r="J290" s="14" t="str">
        <f t="shared" si="5"/>
        <v/>
      </c>
      <c r="K290" s="15"/>
      <c r="L290" s="15"/>
      <c r="M290" s="15"/>
      <c r="N290" s="15"/>
      <c r="O290" s="14" t="s">
        <v>2949</v>
      </c>
    </row>
    <row r="291" spans="4:15" x14ac:dyDescent="0.25">
      <c r="D291" s="15" t="s">
        <v>5965</v>
      </c>
      <c r="E291" s="14" t="s">
        <v>2543</v>
      </c>
      <c r="F291" s="15"/>
      <c r="G291" s="14"/>
      <c r="H291" s="15"/>
      <c r="I291" s="15"/>
      <c r="J291" s="14" t="str">
        <f t="shared" si="5"/>
        <v/>
      </c>
      <c r="K291" s="15"/>
      <c r="L291" s="15"/>
      <c r="M291" s="15"/>
      <c r="N291" s="15"/>
      <c r="O291" s="14" t="s">
        <v>2950</v>
      </c>
    </row>
    <row r="292" spans="4:15" x14ac:dyDescent="0.25">
      <c r="D292" s="15" t="s">
        <v>5966</v>
      </c>
      <c r="E292" s="14" t="s">
        <v>2543</v>
      </c>
      <c r="F292" s="15"/>
      <c r="G292" s="14"/>
      <c r="H292" s="15"/>
      <c r="I292" s="15"/>
      <c r="J292" s="14" t="str">
        <f t="shared" si="5"/>
        <v/>
      </c>
      <c r="K292" s="15"/>
      <c r="L292" s="15"/>
      <c r="M292" s="15"/>
      <c r="N292" s="15"/>
      <c r="O292" s="14" t="s">
        <v>2951</v>
      </c>
    </row>
    <row r="293" spans="4:15" x14ac:dyDescent="0.25">
      <c r="D293" s="15" t="s">
        <v>5967</v>
      </c>
      <c r="E293" s="14" t="s">
        <v>2543</v>
      </c>
      <c r="F293" s="15"/>
      <c r="G293" s="14"/>
      <c r="H293" s="15"/>
      <c r="I293" s="15"/>
      <c r="J293" s="14" t="str">
        <f t="shared" si="5"/>
        <v/>
      </c>
      <c r="K293" s="15"/>
      <c r="L293" s="15"/>
      <c r="M293" s="15"/>
      <c r="N293" s="15"/>
      <c r="O293" s="14" t="s">
        <v>2952</v>
      </c>
    </row>
    <row r="294" spans="4:15" x14ac:dyDescent="0.25">
      <c r="D294" s="15" t="s">
        <v>5968</v>
      </c>
      <c r="E294" s="14" t="s">
        <v>2543</v>
      </c>
      <c r="F294" s="15"/>
      <c r="G294" s="14"/>
      <c r="H294" s="15"/>
      <c r="I294" s="15"/>
      <c r="J294" s="14" t="str">
        <f t="shared" si="5"/>
        <v/>
      </c>
      <c r="K294" s="15"/>
      <c r="L294" s="15"/>
      <c r="M294" s="15"/>
      <c r="N294" s="15"/>
      <c r="O294" s="14" t="s">
        <v>2953</v>
      </c>
    </row>
    <row r="295" spans="4:15" x14ac:dyDescent="0.25">
      <c r="D295" s="15" t="s">
        <v>5969</v>
      </c>
      <c r="E295" s="14" t="s">
        <v>2543</v>
      </c>
      <c r="F295" s="15"/>
      <c r="G295" s="14"/>
      <c r="H295" s="15"/>
      <c r="I295" s="15"/>
      <c r="J295" s="14" t="str">
        <f t="shared" si="5"/>
        <v/>
      </c>
      <c r="K295" s="15"/>
      <c r="L295" s="15"/>
      <c r="M295" s="15"/>
      <c r="N295" s="15"/>
      <c r="O295" s="14" t="s">
        <v>2954</v>
      </c>
    </row>
    <row r="296" spans="4:15" x14ac:dyDescent="0.25">
      <c r="D296" s="15" t="s">
        <v>5970</v>
      </c>
      <c r="E296" s="14" t="s">
        <v>2543</v>
      </c>
      <c r="F296" s="15"/>
      <c r="G296" s="14"/>
      <c r="H296" s="15"/>
      <c r="I296" s="15"/>
      <c r="J296" s="14" t="str">
        <f t="shared" si="5"/>
        <v/>
      </c>
      <c r="K296" s="15"/>
      <c r="L296" s="15"/>
      <c r="M296" s="15"/>
      <c r="N296" s="15"/>
      <c r="O296" s="14" t="s">
        <v>2955</v>
      </c>
    </row>
    <row r="297" spans="4:15" x14ac:dyDescent="0.25">
      <c r="D297" s="15" t="s">
        <v>5971</v>
      </c>
      <c r="E297" s="14" t="s">
        <v>2543</v>
      </c>
      <c r="F297" s="15"/>
      <c r="G297" s="14"/>
      <c r="H297" s="15"/>
      <c r="I297" s="15"/>
      <c r="J297" s="14" t="str">
        <f t="shared" si="5"/>
        <v/>
      </c>
      <c r="K297" s="15"/>
      <c r="L297" s="15"/>
      <c r="M297" s="15"/>
      <c r="N297" s="15"/>
      <c r="O297" s="14" t="s">
        <v>2956</v>
      </c>
    </row>
    <row r="298" spans="4:15" x14ac:dyDescent="0.25">
      <c r="D298" s="15" t="s">
        <v>5972</v>
      </c>
      <c r="E298" s="14" t="s">
        <v>2543</v>
      </c>
      <c r="F298" s="15"/>
      <c r="G298" s="14"/>
      <c r="H298" s="15"/>
      <c r="I298" s="15"/>
      <c r="J298" s="14" t="str">
        <f t="shared" si="5"/>
        <v/>
      </c>
      <c r="K298" s="15"/>
      <c r="L298" s="15"/>
      <c r="M298" s="15"/>
      <c r="N298" s="15"/>
      <c r="O298" s="14" t="s">
        <v>2957</v>
      </c>
    </row>
    <row r="299" spans="4:15" x14ac:dyDescent="0.25">
      <c r="D299" s="15" t="s">
        <v>5973</v>
      </c>
      <c r="E299" s="14" t="s">
        <v>2543</v>
      </c>
      <c r="F299" s="15"/>
      <c r="G299" s="14"/>
      <c r="H299" s="15"/>
      <c r="I299" s="15"/>
      <c r="J299" s="14" t="str">
        <f t="shared" si="5"/>
        <v/>
      </c>
      <c r="K299" s="15"/>
      <c r="L299" s="15"/>
      <c r="M299" s="15"/>
      <c r="N299" s="15"/>
      <c r="O299" s="14" t="s">
        <v>2958</v>
      </c>
    </row>
    <row r="300" spans="4:15" x14ac:dyDescent="0.25">
      <c r="D300" s="15" t="s">
        <v>5974</v>
      </c>
      <c r="E300" s="14" t="s">
        <v>2550</v>
      </c>
      <c r="F300" s="15"/>
      <c r="G300" s="14"/>
      <c r="H300" s="15"/>
      <c r="I300" s="15"/>
      <c r="J300" s="14" t="str">
        <f t="shared" si="5"/>
        <v/>
      </c>
      <c r="K300" s="15"/>
      <c r="L300" s="15"/>
      <c r="M300" s="15"/>
      <c r="N300" s="15"/>
      <c r="O300" s="14" t="s">
        <v>2959</v>
      </c>
    </row>
    <row r="301" spans="4:15" x14ac:dyDescent="0.25">
      <c r="D301" s="15" t="s">
        <v>5975</v>
      </c>
      <c r="E301" s="14" t="s">
        <v>2550</v>
      </c>
      <c r="F301" s="15"/>
      <c r="G301" s="14"/>
      <c r="H301" s="15"/>
      <c r="I301" s="15"/>
      <c r="J301" s="14" t="str">
        <f t="shared" si="5"/>
        <v/>
      </c>
      <c r="K301" s="15"/>
      <c r="L301" s="15"/>
      <c r="M301" s="15"/>
      <c r="N301" s="15"/>
      <c r="O301" s="14" t="s">
        <v>2960</v>
      </c>
    </row>
    <row r="302" spans="4:15" x14ac:dyDescent="0.25">
      <c r="D302" s="15" t="s">
        <v>5976</v>
      </c>
      <c r="E302" s="14" t="s">
        <v>2550</v>
      </c>
      <c r="F302" s="15"/>
      <c r="G302" s="14"/>
      <c r="H302" s="15"/>
      <c r="I302" s="15"/>
      <c r="J302" s="14" t="str">
        <f t="shared" si="5"/>
        <v/>
      </c>
      <c r="K302" s="15"/>
      <c r="L302" s="15"/>
      <c r="M302" s="15"/>
      <c r="N302" s="15"/>
      <c r="O302" s="14" t="s">
        <v>2961</v>
      </c>
    </row>
    <row r="303" spans="4:15" x14ac:dyDescent="0.25">
      <c r="D303" s="15" t="s">
        <v>5977</v>
      </c>
      <c r="E303" s="14" t="s">
        <v>2550</v>
      </c>
      <c r="F303" s="15"/>
      <c r="G303" s="14"/>
      <c r="H303" s="15"/>
      <c r="I303" s="15"/>
      <c r="J303" s="14" t="str">
        <f t="shared" si="5"/>
        <v/>
      </c>
      <c r="K303" s="15"/>
      <c r="L303" s="15"/>
      <c r="M303" s="15"/>
      <c r="N303" s="15"/>
      <c r="O303" s="14" t="s">
        <v>2962</v>
      </c>
    </row>
    <row r="304" spans="4:15" x14ac:dyDescent="0.25">
      <c r="D304" s="15" t="s">
        <v>5978</v>
      </c>
      <c r="E304" s="14" t="s">
        <v>2550</v>
      </c>
      <c r="F304" s="15"/>
      <c r="G304" s="14"/>
      <c r="H304" s="15"/>
      <c r="I304" s="15"/>
      <c r="J304" s="14" t="str">
        <f t="shared" si="5"/>
        <v/>
      </c>
      <c r="K304" s="15"/>
      <c r="L304" s="15"/>
      <c r="M304" s="15"/>
      <c r="N304" s="15"/>
      <c r="O304" s="14" t="s">
        <v>2963</v>
      </c>
    </row>
    <row r="305" spans="4:17" x14ac:dyDescent="0.25">
      <c r="D305" s="15" t="s">
        <v>5979</v>
      </c>
      <c r="E305" s="14" t="s">
        <v>2550</v>
      </c>
      <c r="F305" s="15"/>
      <c r="G305" s="14"/>
      <c r="H305" s="15"/>
      <c r="I305" s="15"/>
      <c r="J305" s="14" t="str">
        <f t="shared" si="5"/>
        <v/>
      </c>
      <c r="K305" s="15"/>
      <c r="L305" s="15"/>
      <c r="M305" s="15"/>
      <c r="N305" s="15"/>
      <c r="O305" s="14" t="s">
        <v>2964</v>
      </c>
    </row>
    <row r="306" spans="4:17" x14ac:dyDescent="0.25">
      <c r="D306" s="15" t="s">
        <v>5980</v>
      </c>
      <c r="E306" s="14" t="s">
        <v>2550</v>
      </c>
      <c r="F306" s="15"/>
      <c r="G306" s="14"/>
      <c r="H306" s="15"/>
      <c r="I306" s="15"/>
      <c r="J306" s="14" t="str">
        <f t="shared" si="5"/>
        <v/>
      </c>
      <c r="K306" s="15"/>
      <c r="L306" s="15"/>
      <c r="M306" s="15"/>
      <c r="N306" s="15"/>
      <c r="O306" s="14" t="s">
        <v>2965</v>
      </c>
    </row>
    <row r="307" spans="4:17" x14ac:dyDescent="0.25">
      <c r="D307" s="15" t="s">
        <v>5981</v>
      </c>
      <c r="E307" s="14" t="s">
        <v>2550</v>
      </c>
      <c r="F307" s="15"/>
      <c r="G307" s="14"/>
      <c r="H307" s="15"/>
      <c r="I307" s="15"/>
      <c r="J307" s="14" t="str">
        <f t="shared" si="5"/>
        <v/>
      </c>
      <c r="K307" s="15"/>
      <c r="L307" s="15"/>
      <c r="M307" s="15"/>
      <c r="N307" s="15"/>
      <c r="O307" s="14" t="s">
        <v>2966</v>
      </c>
    </row>
    <row r="308" spans="4:17" x14ac:dyDescent="0.25">
      <c r="D308" s="15" t="s">
        <v>5982</v>
      </c>
      <c r="E308" s="14" t="s">
        <v>2550</v>
      </c>
      <c r="F308" s="15"/>
      <c r="G308" s="14"/>
      <c r="H308" s="15"/>
      <c r="I308" s="15"/>
      <c r="J308" s="14" t="str">
        <f t="shared" si="5"/>
        <v/>
      </c>
      <c r="K308" s="15"/>
      <c r="L308" s="15"/>
      <c r="M308" s="15"/>
      <c r="N308" s="15"/>
      <c r="O308" s="14" t="s">
        <v>2967</v>
      </c>
    </row>
    <row r="309" spans="4:17" x14ac:dyDescent="0.25">
      <c r="D309" s="15" t="s">
        <v>5983</v>
      </c>
      <c r="E309" s="14" t="s">
        <v>2550</v>
      </c>
      <c r="F309" s="15"/>
      <c r="G309" s="14"/>
      <c r="H309" s="15"/>
      <c r="I309" s="15"/>
      <c r="J309" s="14" t="str">
        <f t="shared" si="5"/>
        <v/>
      </c>
      <c r="K309" s="15"/>
      <c r="L309" s="15"/>
      <c r="M309" s="15"/>
      <c r="N309" s="15"/>
      <c r="O309" s="14" t="s">
        <v>2968</v>
      </c>
    </row>
    <row r="313" spans="4:17" x14ac:dyDescent="0.25">
      <c r="D313" s="2" t="s">
        <v>5984</v>
      </c>
    </row>
    <row r="314" spans="4:17" x14ac:dyDescent="0.25">
      <c r="D314" s="14" t="s">
        <v>5985</v>
      </c>
      <c r="E314" s="14" t="s">
        <v>3120</v>
      </c>
      <c r="F314" s="14" t="s">
        <v>2565</v>
      </c>
      <c r="G314" s="14"/>
      <c r="H314" s="14" t="s">
        <v>2216</v>
      </c>
      <c r="I314" s="14" t="s">
        <v>2217</v>
      </c>
      <c r="J314" s="14" t="s">
        <v>5669</v>
      </c>
      <c r="K314" s="14" t="s">
        <v>2296</v>
      </c>
      <c r="L314" s="14" t="s">
        <v>2295</v>
      </c>
      <c r="M314" s="14" t="s">
        <v>105</v>
      </c>
      <c r="N314" s="14" t="s">
        <v>2559</v>
      </c>
      <c r="O314" s="14" t="s">
        <v>199</v>
      </c>
      <c r="P314" s="14" t="s">
        <v>176</v>
      </c>
      <c r="Q314" s="14" t="s">
        <v>318</v>
      </c>
    </row>
    <row r="315" spans="4:17" hidden="1" x14ac:dyDescent="0.25">
      <c r="D315" s="15" t="s">
        <v>5986</v>
      </c>
      <c r="E315" s="14" t="s">
        <v>5987</v>
      </c>
      <c r="F315" s="15" t="s">
        <v>2568</v>
      </c>
      <c r="G315" s="14"/>
      <c r="H315" s="15" t="s">
        <v>4476</v>
      </c>
      <c r="I315" s="15" t="s">
        <v>4477</v>
      </c>
      <c r="J315" s="14" t="str">
        <f>F315&amp;H315&amp;I315</f>
        <v>[Coverage Indicator Name][Category][Disaggregation]</v>
      </c>
      <c r="K315" s="19" t="s">
        <v>5678</v>
      </c>
      <c r="L315" s="20" t="s">
        <v>5677</v>
      </c>
      <c r="M315" s="21" t="s">
        <v>5679</v>
      </c>
      <c r="N315" s="15" t="s">
        <v>5988</v>
      </c>
      <c r="O315" s="15" t="s">
        <v>5675</v>
      </c>
      <c r="P315" s="15" t="s">
        <v>5676</v>
      </c>
      <c r="Q315" s="14" t="s">
        <v>321</v>
      </c>
    </row>
    <row r="316" spans="4:17" x14ac:dyDescent="0.25">
      <c r="D316" s="15" t="s">
        <v>5989</v>
      </c>
      <c r="E316" s="14" t="s">
        <v>2606</v>
      </c>
      <c r="F316" s="15"/>
      <c r="G316" s="14"/>
      <c r="H316" s="15"/>
      <c r="I316" s="15"/>
      <c r="J316" s="14" t="str">
        <f t="shared" ref="J316:J379" si="6">F316&amp;H316&amp;I316</f>
        <v/>
      </c>
      <c r="K316" s="19"/>
      <c r="L316" s="20"/>
      <c r="M316" s="21"/>
      <c r="N316" s="15"/>
      <c r="O316" s="15"/>
      <c r="P316" s="15"/>
      <c r="Q316" s="14" t="s">
        <v>3121</v>
      </c>
    </row>
    <row r="317" spans="4:17" x14ac:dyDescent="0.25">
      <c r="D317" s="15" t="s">
        <v>5990</v>
      </c>
      <c r="E317" s="14" t="s">
        <v>2606</v>
      </c>
      <c r="F317" s="15"/>
      <c r="G317" s="14"/>
      <c r="H317" s="15"/>
      <c r="I317" s="15"/>
      <c r="J317" s="14" t="str">
        <f t="shared" si="6"/>
        <v/>
      </c>
      <c r="K317" s="19"/>
      <c r="L317" s="20"/>
      <c r="M317" s="21"/>
      <c r="N317" s="15"/>
      <c r="O317" s="15"/>
      <c r="P317" s="15"/>
      <c r="Q317" s="14" t="s">
        <v>3122</v>
      </c>
    </row>
    <row r="318" spans="4:17" x14ac:dyDescent="0.25">
      <c r="D318" s="15" t="s">
        <v>5991</v>
      </c>
      <c r="E318" s="14" t="s">
        <v>2606</v>
      </c>
      <c r="F318" s="15"/>
      <c r="G318" s="14"/>
      <c r="H318" s="15"/>
      <c r="I318" s="15"/>
      <c r="J318" s="14" t="str">
        <f t="shared" si="6"/>
        <v/>
      </c>
      <c r="K318" s="19"/>
      <c r="L318" s="20"/>
      <c r="M318" s="21"/>
      <c r="N318" s="15"/>
      <c r="O318" s="15"/>
      <c r="P318" s="15"/>
      <c r="Q318" s="14" t="s">
        <v>3123</v>
      </c>
    </row>
    <row r="319" spans="4:17" x14ac:dyDescent="0.25">
      <c r="D319" s="15" t="s">
        <v>5992</v>
      </c>
      <c r="E319" s="14" t="s">
        <v>2606</v>
      </c>
      <c r="F319" s="15"/>
      <c r="G319" s="14"/>
      <c r="H319" s="15"/>
      <c r="I319" s="15"/>
      <c r="J319" s="14" t="str">
        <f t="shared" si="6"/>
        <v/>
      </c>
      <c r="K319" s="19"/>
      <c r="L319" s="20"/>
      <c r="M319" s="21"/>
      <c r="N319" s="15"/>
      <c r="O319" s="15"/>
      <c r="P319" s="15"/>
      <c r="Q319" s="14" t="s">
        <v>3124</v>
      </c>
    </row>
    <row r="320" spans="4:17" x14ac:dyDescent="0.25">
      <c r="D320" s="15" t="s">
        <v>5993</v>
      </c>
      <c r="E320" s="14" t="s">
        <v>2606</v>
      </c>
      <c r="F320" s="15"/>
      <c r="G320" s="14"/>
      <c r="H320" s="15"/>
      <c r="I320" s="15"/>
      <c r="J320" s="14" t="str">
        <f t="shared" si="6"/>
        <v/>
      </c>
      <c r="K320" s="19"/>
      <c r="L320" s="20"/>
      <c r="M320" s="21"/>
      <c r="N320" s="15"/>
      <c r="O320" s="15"/>
      <c r="P320" s="15"/>
      <c r="Q320" s="14" t="s">
        <v>3125</v>
      </c>
    </row>
    <row r="321" spans="4:17" x14ac:dyDescent="0.25">
      <c r="D321" s="15" t="s">
        <v>5994</v>
      </c>
      <c r="E321" s="14" t="s">
        <v>2606</v>
      </c>
      <c r="F321" s="15"/>
      <c r="G321" s="14"/>
      <c r="H321" s="15"/>
      <c r="I321" s="15"/>
      <c r="J321" s="14" t="str">
        <f t="shared" si="6"/>
        <v/>
      </c>
      <c r="K321" s="19"/>
      <c r="L321" s="20"/>
      <c r="M321" s="21"/>
      <c r="N321" s="15"/>
      <c r="O321" s="15"/>
      <c r="P321" s="15"/>
      <c r="Q321" s="14" t="s">
        <v>3126</v>
      </c>
    </row>
    <row r="322" spans="4:17" x14ac:dyDescent="0.25">
      <c r="D322" s="15" t="s">
        <v>5995</v>
      </c>
      <c r="E322" s="14" t="s">
        <v>2606</v>
      </c>
      <c r="F322" s="15"/>
      <c r="G322" s="14"/>
      <c r="H322" s="15"/>
      <c r="I322" s="15"/>
      <c r="J322" s="14" t="str">
        <f t="shared" si="6"/>
        <v/>
      </c>
      <c r="K322" s="19"/>
      <c r="L322" s="20"/>
      <c r="M322" s="21"/>
      <c r="N322" s="15"/>
      <c r="O322" s="15"/>
      <c r="P322" s="15"/>
      <c r="Q322" s="14" t="s">
        <v>3127</v>
      </c>
    </row>
    <row r="323" spans="4:17" x14ac:dyDescent="0.25">
      <c r="D323" s="15" t="s">
        <v>5996</v>
      </c>
      <c r="E323" s="14" t="s">
        <v>2606</v>
      </c>
      <c r="F323" s="15"/>
      <c r="G323" s="14"/>
      <c r="H323" s="15"/>
      <c r="I323" s="15"/>
      <c r="J323" s="14" t="str">
        <f t="shared" si="6"/>
        <v/>
      </c>
      <c r="K323" s="19"/>
      <c r="L323" s="20"/>
      <c r="M323" s="21"/>
      <c r="N323" s="15"/>
      <c r="O323" s="15"/>
      <c r="P323" s="15"/>
      <c r="Q323" s="14" t="s">
        <v>3128</v>
      </c>
    </row>
    <row r="324" spans="4:17" x14ac:dyDescent="0.25">
      <c r="D324" s="15" t="s">
        <v>5997</v>
      </c>
      <c r="E324" s="14" t="s">
        <v>2606</v>
      </c>
      <c r="F324" s="15"/>
      <c r="G324" s="14"/>
      <c r="H324" s="15"/>
      <c r="I324" s="15"/>
      <c r="J324" s="14" t="str">
        <f t="shared" si="6"/>
        <v/>
      </c>
      <c r="K324" s="19"/>
      <c r="L324" s="20"/>
      <c r="M324" s="21"/>
      <c r="N324" s="15"/>
      <c r="O324" s="15"/>
      <c r="P324" s="15"/>
      <c r="Q324" s="14" t="s">
        <v>3129</v>
      </c>
    </row>
    <row r="325" spans="4:17" x14ac:dyDescent="0.25">
      <c r="D325" s="15" t="s">
        <v>5998</v>
      </c>
      <c r="E325" s="14" t="s">
        <v>2606</v>
      </c>
      <c r="F325" s="15"/>
      <c r="G325" s="14"/>
      <c r="H325" s="15"/>
      <c r="I325" s="15"/>
      <c r="J325" s="14" t="str">
        <f t="shared" si="6"/>
        <v/>
      </c>
      <c r="K325" s="19"/>
      <c r="L325" s="20"/>
      <c r="M325" s="21"/>
      <c r="N325" s="15"/>
      <c r="O325" s="15"/>
      <c r="P325" s="15"/>
      <c r="Q325" s="14" t="s">
        <v>3130</v>
      </c>
    </row>
    <row r="326" spans="4:17" x14ac:dyDescent="0.25">
      <c r="D326" s="15" t="s">
        <v>5999</v>
      </c>
      <c r="E326" s="14" t="s">
        <v>2606</v>
      </c>
      <c r="F326" s="15"/>
      <c r="G326" s="14"/>
      <c r="H326" s="15"/>
      <c r="I326" s="15"/>
      <c r="J326" s="14" t="str">
        <f t="shared" si="6"/>
        <v/>
      </c>
      <c r="K326" s="19"/>
      <c r="L326" s="20"/>
      <c r="M326" s="21"/>
      <c r="N326" s="15"/>
      <c r="O326" s="15"/>
      <c r="P326" s="15"/>
      <c r="Q326" s="14" t="s">
        <v>3131</v>
      </c>
    </row>
    <row r="327" spans="4:17" x14ac:dyDescent="0.25">
      <c r="D327" s="15" t="s">
        <v>6000</v>
      </c>
      <c r="E327" s="14" t="s">
        <v>2606</v>
      </c>
      <c r="F327" s="15"/>
      <c r="G327" s="14"/>
      <c r="H327" s="15"/>
      <c r="I327" s="15"/>
      <c r="J327" s="14" t="str">
        <f t="shared" si="6"/>
        <v/>
      </c>
      <c r="K327" s="19"/>
      <c r="L327" s="20"/>
      <c r="M327" s="21"/>
      <c r="N327" s="15"/>
      <c r="O327" s="15"/>
      <c r="P327" s="15"/>
      <c r="Q327" s="14" t="s">
        <v>3132</v>
      </c>
    </row>
    <row r="328" spans="4:17" x14ac:dyDescent="0.25">
      <c r="D328" s="15" t="s">
        <v>6001</v>
      </c>
      <c r="E328" s="14" t="s">
        <v>2606</v>
      </c>
      <c r="F328" s="15"/>
      <c r="G328" s="14"/>
      <c r="H328" s="15"/>
      <c r="I328" s="15"/>
      <c r="J328" s="14" t="str">
        <f t="shared" si="6"/>
        <v/>
      </c>
      <c r="K328" s="19"/>
      <c r="L328" s="20"/>
      <c r="M328" s="21"/>
      <c r="N328" s="15"/>
      <c r="O328" s="15"/>
      <c r="P328" s="15"/>
      <c r="Q328" s="14" t="s">
        <v>3133</v>
      </c>
    </row>
    <row r="329" spans="4:17" x14ac:dyDescent="0.25">
      <c r="D329" s="15" t="s">
        <v>6002</v>
      </c>
      <c r="E329" s="14" t="s">
        <v>2606</v>
      </c>
      <c r="F329" s="15"/>
      <c r="G329" s="14"/>
      <c r="H329" s="15"/>
      <c r="I329" s="15"/>
      <c r="J329" s="14" t="str">
        <f t="shared" si="6"/>
        <v/>
      </c>
      <c r="K329" s="19"/>
      <c r="L329" s="20"/>
      <c r="M329" s="21"/>
      <c r="N329" s="15"/>
      <c r="O329" s="15"/>
      <c r="P329" s="15"/>
      <c r="Q329" s="14" t="s">
        <v>3134</v>
      </c>
    </row>
    <row r="330" spans="4:17" x14ac:dyDescent="0.25">
      <c r="D330" s="15" t="s">
        <v>6003</v>
      </c>
      <c r="E330" s="14" t="s">
        <v>2606</v>
      </c>
      <c r="F330" s="15"/>
      <c r="G330" s="14"/>
      <c r="H330" s="15"/>
      <c r="I330" s="15"/>
      <c r="J330" s="14" t="str">
        <f t="shared" si="6"/>
        <v/>
      </c>
      <c r="K330" s="19"/>
      <c r="L330" s="20"/>
      <c r="M330" s="21"/>
      <c r="N330" s="15"/>
      <c r="O330" s="15"/>
      <c r="P330" s="15"/>
      <c r="Q330" s="14" t="s">
        <v>3135</v>
      </c>
    </row>
    <row r="331" spans="4:17" x14ac:dyDescent="0.25">
      <c r="D331" s="15" t="s">
        <v>6004</v>
      </c>
      <c r="E331" s="14" t="s">
        <v>2606</v>
      </c>
      <c r="F331" s="15"/>
      <c r="G331" s="14"/>
      <c r="H331" s="15"/>
      <c r="I331" s="15"/>
      <c r="J331" s="14" t="str">
        <f t="shared" si="6"/>
        <v/>
      </c>
      <c r="K331" s="19"/>
      <c r="L331" s="20"/>
      <c r="M331" s="21"/>
      <c r="N331" s="15"/>
      <c r="O331" s="15"/>
      <c r="P331" s="15"/>
      <c r="Q331" s="14" t="s">
        <v>3136</v>
      </c>
    </row>
    <row r="332" spans="4:17" x14ac:dyDescent="0.25">
      <c r="D332" s="15" t="s">
        <v>6005</v>
      </c>
      <c r="E332" s="14" t="s">
        <v>2606</v>
      </c>
      <c r="F332" s="15"/>
      <c r="G332" s="14"/>
      <c r="H332" s="15"/>
      <c r="I332" s="15"/>
      <c r="J332" s="14" t="str">
        <f t="shared" si="6"/>
        <v/>
      </c>
      <c r="K332" s="19"/>
      <c r="L332" s="20"/>
      <c r="M332" s="21"/>
      <c r="N332" s="15"/>
      <c r="O332" s="15"/>
      <c r="P332" s="15"/>
      <c r="Q332" s="14" t="s">
        <v>3137</v>
      </c>
    </row>
    <row r="333" spans="4:17" x14ac:dyDescent="0.25">
      <c r="D333" s="15" t="s">
        <v>6006</v>
      </c>
      <c r="E333" s="14" t="s">
        <v>2606</v>
      </c>
      <c r="F333" s="15"/>
      <c r="G333" s="14"/>
      <c r="H333" s="15"/>
      <c r="I333" s="15"/>
      <c r="J333" s="14" t="str">
        <f t="shared" si="6"/>
        <v/>
      </c>
      <c r="K333" s="19"/>
      <c r="L333" s="20"/>
      <c r="M333" s="21"/>
      <c r="N333" s="15"/>
      <c r="O333" s="15"/>
      <c r="P333" s="15"/>
      <c r="Q333" s="14" t="s">
        <v>3138</v>
      </c>
    </row>
    <row r="334" spans="4:17" x14ac:dyDescent="0.25">
      <c r="D334" s="15" t="s">
        <v>6007</v>
      </c>
      <c r="E334" s="14" t="s">
        <v>2606</v>
      </c>
      <c r="F334" s="15"/>
      <c r="G334" s="14"/>
      <c r="H334" s="15"/>
      <c r="I334" s="15"/>
      <c r="J334" s="14" t="str">
        <f t="shared" si="6"/>
        <v/>
      </c>
      <c r="K334" s="19"/>
      <c r="L334" s="20"/>
      <c r="M334" s="21"/>
      <c r="N334" s="15"/>
      <c r="O334" s="15"/>
      <c r="P334" s="15"/>
      <c r="Q334" s="14" t="s">
        <v>3139</v>
      </c>
    </row>
    <row r="335" spans="4:17" x14ac:dyDescent="0.25">
      <c r="D335" s="15" t="s">
        <v>6008</v>
      </c>
      <c r="E335" s="14" t="s">
        <v>2606</v>
      </c>
      <c r="F335" s="15"/>
      <c r="G335" s="14"/>
      <c r="H335" s="15"/>
      <c r="I335" s="15"/>
      <c r="J335" s="14" t="str">
        <f t="shared" si="6"/>
        <v/>
      </c>
      <c r="K335" s="19"/>
      <c r="L335" s="20"/>
      <c r="M335" s="21"/>
      <c r="N335" s="15"/>
      <c r="O335" s="15"/>
      <c r="P335" s="15"/>
      <c r="Q335" s="14" t="s">
        <v>3140</v>
      </c>
    </row>
    <row r="336" spans="4:17" x14ac:dyDescent="0.25">
      <c r="D336" s="15" t="s">
        <v>6009</v>
      </c>
      <c r="E336" s="14" t="s">
        <v>2613</v>
      </c>
      <c r="F336" s="15"/>
      <c r="G336" s="14"/>
      <c r="H336" s="15"/>
      <c r="I336" s="15"/>
      <c r="J336" s="14" t="str">
        <f t="shared" si="6"/>
        <v/>
      </c>
      <c r="K336" s="19"/>
      <c r="L336" s="20"/>
      <c r="M336" s="21"/>
      <c r="N336" s="15"/>
      <c r="O336" s="15"/>
      <c r="P336" s="15"/>
      <c r="Q336" s="14" t="s">
        <v>3141</v>
      </c>
    </row>
    <row r="337" spans="4:17" x14ac:dyDescent="0.25">
      <c r="D337" s="15" t="s">
        <v>6010</v>
      </c>
      <c r="E337" s="14" t="s">
        <v>2613</v>
      </c>
      <c r="F337" s="15"/>
      <c r="G337" s="14"/>
      <c r="H337" s="15"/>
      <c r="I337" s="15"/>
      <c r="J337" s="14" t="str">
        <f t="shared" si="6"/>
        <v/>
      </c>
      <c r="K337" s="19"/>
      <c r="L337" s="20"/>
      <c r="M337" s="21"/>
      <c r="N337" s="15"/>
      <c r="O337" s="15"/>
      <c r="P337" s="15"/>
      <c r="Q337" s="14" t="s">
        <v>3142</v>
      </c>
    </row>
    <row r="338" spans="4:17" x14ac:dyDescent="0.25">
      <c r="D338" s="15" t="s">
        <v>6011</v>
      </c>
      <c r="E338" s="14" t="s">
        <v>2613</v>
      </c>
      <c r="F338" s="15"/>
      <c r="G338" s="14"/>
      <c r="H338" s="15"/>
      <c r="I338" s="15"/>
      <c r="J338" s="14" t="str">
        <f t="shared" si="6"/>
        <v/>
      </c>
      <c r="K338" s="19"/>
      <c r="L338" s="20"/>
      <c r="M338" s="21"/>
      <c r="N338" s="15"/>
      <c r="O338" s="15"/>
      <c r="P338" s="15"/>
      <c r="Q338" s="14" t="s">
        <v>3143</v>
      </c>
    </row>
    <row r="339" spans="4:17" x14ac:dyDescent="0.25">
      <c r="D339" s="15" t="s">
        <v>6012</v>
      </c>
      <c r="E339" s="14" t="s">
        <v>2613</v>
      </c>
      <c r="F339" s="15"/>
      <c r="G339" s="14"/>
      <c r="H339" s="15"/>
      <c r="I339" s="15"/>
      <c r="J339" s="14" t="str">
        <f t="shared" si="6"/>
        <v/>
      </c>
      <c r="K339" s="19"/>
      <c r="L339" s="20"/>
      <c r="M339" s="21"/>
      <c r="N339" s="15"/>
      <c r="O339" s="15"/>
      <c r="P339" s="15"/>
      <c r="Q339" s="14" t="s">
        <v>3144</v>
      </c>
    </row>
    <row r="340" spans="4:17" x14ac:dyDescent="0.25">
      <c r="D340" s="15" t="s">
        <v>6013</v>
      </c>
      <c r="E340" s="14" t="s">
        <v>2613</v>
      </c>
      <c r="F340" s="15"/>
      <c r="G340" s="14"/>
      <c r="H340" s="15"/>
      <c r="I340" s="15"/>
      <c r="J340" s="14" t="str">
        <f t="shared" si="6"/>
        <v/>
      </c>
      <c r="K340" s="19"/>
      <c r="L340" s="20"/>
      <c r="M340" s="21"/>
      <c r="N340" s="15"/>
      <c r="O340" s="15"/>
      <c r="P340" s="15"/>
      <c r="Q340" s="14" t="s">
        <v>3145</v>
      </c>
    </row>
    <row r="341" spans="4:17" x14ac:dyDescent="0.25">
      <c r="D341" s="15" t="s">
        <v>6014</v>
      </c>
      <c r="E341" s="14" t="s">
        <v>2613</v>
      </c>
      <c r="F341" s="15"/>
      <c r="G341" s="14"/>
      <c r="H341" s="15"/>
      <c r="I341" s="15"/>
      <c r="J341" s="14" t="str">
        <f t="shared" si="6"/>
        <v/>
      </c>
      <c r="K341" s="19"/>
      <c r="L341" s="20"/>
      <c r="M341" s="21"/>
      <c r="N341" s="15"/>
      <c r="O341" s="15"/>
      <c r="P341" s="15"/>
      <c r="Q341" s="14" t="s">
        <v>3146</v>
      </c>
    </row>
    <row r="342" spans="4:17" x14ac:dyDescent="0.25">
      <c r="D342" s="15" t="s">
        <v>6015</v>
      </c>
      <c r="E342" s="14" t="s">
        <v>2613</v>
      </c>
      <c r="F342" s="15"/>
      <c r="G342" s="14"/>
      <c r="H342" s="15"/>
      <c r="I342" s="15"/>
      <c r="J342" s="14" t="str">
        <f t="shared" si="6"/>
        <v/>
      </c>
      <c r="K342" s="19"/>
      <c r="L342" s="20"/>
      <c r="M342" s="21"/>
      <c r="N342" s="15"/>
      <c r="O342" s="15"/>
      <c r="P342" s="15"/>
      <c r="Q342" s="14" t="s">
        <v>3147</v>
      </c>
    </row>
    <row r="343" spans="4:17" x14ac:dyDescent="0.25">
      <c r="D343" s="15" t="s">
        <v>6016</v>
      </c>
      <c r="E343" s="14" t="s">
        <v>2613</v>
      </c>
      <c r="F343" s="15"/>
      <c r="G343" s="14"/>
      <c r="H343" s="15"/>
      <c r="I343" s="15"/>
      <c r="J343" s="14" t="str">
        <f t="shared" si="6"/>
        <v/>
      </c>
      <c r="K343" s="19"/>
      <c r="L343" s="20"/>
      <c r="M343" s="21"/>
      <c r="N343" s="15"/>
      <c r="O343" s="15"/>
      <c r="P343" s="15"/>
      <c r="Q343" s="14" t="s">
        <v>3148</v>
      </c>
    </row>
    <row r="344" spans="4:17" x14ac:dyDescent="0.25">
      <c r="D344" s="15" t="s">
        <v>6017</v>
      </c>
      <c r="E344" s="14" t="s">
        <v>2613</v>
      </c>
      <c r="F344" s="15"/>
      <c r="G344" s="14"/>
      <c r="H344" s="15"/>
      <c r="I344" s="15"/>
      <c r="J344" s="14" t="str">
        <f t="shared" si="6"/>
        <v/>
      </c>
      <c r="K344" s="19"/>
      <c r="L344" s="20"/>
      <c r="M344" s="21"/>
      <c r="N344" s="15"/>
      <c r="O344" s="15"/>
      <c r="P344" s="15"/>
      <c r="Q344" s="14" t="s">
        <v>3149</v>
      </c>
    </row>
    <row r="345" spans="4:17" x14ac:dyDescent="0.25">
      <c r="D345" s="15" t="s">
        <v>6018</v>
      </c>
      <c r="E345" s="14" t="s">
        <v>2613</v>
      </c>
      <c r="F345" s="15"/>
      <c r="G345" s="14"/>
      <c r="H345" s="15"/>
      <c r="I345" s="15"/>
      <c r="J345" s="14" t="str">
        <f t="shared" si="6"/>
        <v/>
      </c>
      <c r="K345" s="19"/>
      <c r="L345" s="20"/>
      <c r="M345" s="21"/>
      <c r="N345" s="15"/>
      <c r="O345" s="15"/>
      <c r="P345" s="15"/>
      <c r="Q345" s="14" t="s">
        <v>3150</v>
      </c>
    </row>
    <row r="346" spans="4:17" x14ac:dyDescent="0.25">
      <c r="D346" s="15" t="s">
        <v>6019</v>
      </c>
      <c r="E346" s="14" t="s">
        <v>2613</v>
      </c>
      <c r="F346" s="15"/>
      <c r="G346" s="14"/>
      <c r="H346" s="15"/>
      <c r="I346" s="15"/>
      <c r="J346" s="14" t="str">
        <f t="shared" si="6"/>
        <v/>
      </c>
      <c r="K346" s="19"/>
      <c r="L346" s="20"/>
      <c r="M346" s="21"/>
      <c r="N346" s="15"/>
      <c r="O346" s="15"/>
      <c r="P346" s="15"/>
      <c r="Q346" s="14" t="s">
        <v>3151</v>
      </c>
    </row>
    <row r="347" spans="4:17" x14ac:dyDescent="0.25">
      <c r="D347" s="15" t="s">
        <v>6020</v>
      </c>
      <c r="E347" s="14" t="s">
        <v>2613</v>
      </c>
      <c r="F347" s="15"/>
      <c r="G347" s="14"/>
      <c r="H347" s="15"/>
      <c r="I347" s="15"/>
      <c r="J347" s="14" t="str">
        <f t="shared" si="6"/>
        <v/>
      </c>
      <c r="K347" s="19"/>
      <c r="L347" s="20"/>
      <c r="M347" s="21"/>
      <c r="N347" s="15"/>
      <c r="O347" s="15"/>
      <c r="P347" s="15"/>
      <c r="Q347" s="14" t="s">
        <v>3152</v>
      </c>
    </row>
    <row r="348" spans="4:17" x14ac:dyDescent="0.25">
      <c r="D348" s="15" t="s">
        <v>6021</v>
      </c>
      <c r="E348" s="14" t="s">
        <v>2613</v>
      </c>
      <c r="F348" s="15"/>
      <c r="G348" s="14"/>
      <c r="H348" s="15"/>
      <c r="I348" s="15"/>
      <c r="J348" s="14" t="str">
        <f t="shared" si="6"/>
        <v/>
      </c>
      <c r="K348" s="19"/>
      <c r="L348" s="20"/>
      <c r="M348" s="21"/>
      <c r="N348" s="15"/>
      <c r="O348" s="15"/>
      <c r="P348" s="15"/>
      <c r="Q348" s="14" t="s">
        <v>3153</v>
      </c>
    </row>
    <row r="349" spans="4:17" x14ac:dyDescent="0.25">
      <c r="D349" s="15" t="s">
        <v>6022</v>
      </c>
      <c r="E349" s="14" t="s">
        <v>2613</v>
      </c>
      <c r="F349" s="15"/>
      <c r="G349" s="14"/>
      <c r="H349" s="15"/>
      <c r="I349" s="15"/>
      <c r="J349" s="14" t="str">
        <f t="shared" si="6"/>
        <v/>
      </c>
      <c r="K349" s="19"/>
      <c r="L349" s="20"/>
      <c r="M349" s="21"/>
      <c r="N349" s="15"/>
      <c r="O349" s="15"/>
      <c r="P349" s="15"/>
      <c r="Q349" s="14" t="s">
        <v>3154</v>
      </c>
    </row>
    <row r="350" spans="4:17" x14ac:dyDescent="0.25">
      <c r="D350" s="15" t="s">
        <v>6023</v>
      </c>
      <c r="E350" s="14" t="s">
        <v>2613</v>
      </c>
      <c r="F350" s="15"/>
      <c r="G350" s="14"/>
      <c r="H350" s="15"/>
      <c r="I350" s="15"/>
      <c r="J350" s="14" t="str">
        <f t="shared" si="6"/>
        <v/>
      </c>
      <c r="K350" s="19"/>
      <c r="L350" s="20"/>
      <c r="M350" s="21"/>
      <c r="N350" s="15"/>
      <c r="O350" s="15"/>
      <c r="P350" s="15"/>
      <c r="Q350" s="14" t="s">
        <v>3155</v>
      </c>
    </row>
    <row r="351" spans="4:17" x14ac:dyDescent="0.25">
      <c r="D351" s="15" t="s">
        <v>6024</v>
      </c>
      <c r="E351" s="14" t="s">
        <v>2613</v>
      </c>
      <c r="F351" s="15"/>
      <c r="G351" s="14"/>
      <c r="H351" s="15"/>
      <c r="I351" s="15"/>
      <c r="J351" s="14" t="str">
        <f t="shared" si="6"/>
        <v/>
      </c>
      <c r="K351" s="19"/>
      <c r="L351" s="20"/>
      <c r="M351" s="21"/>
      <c r="N351" s="15"/>
      <c r="O351" s="15"/>
      <c r="P351" s="15"/>
      <c r="Q351" s="14" t="s">
        <v>3156</v>
      </c>
    </row>
    <row r="352" spans="4:17" x14ac:dyDescent="0.25">
      <c r="D352" s="15" t="s">
        <v>6025</v>
      </c>
      <c r="E352" s="14" t="s">
        <v>2613</v>
      </c>
      <c r="F352" s="15"/>
      <c r="G352" s="14"/>
      <c r="H352" s="15"/>
      <c r="I352" s="15"/>
      <c r="J352" s="14" t="str">
        <f t="shared" si="6"/>
        <v/>
      </c>
      <c r="K352" s="19"/>
      <c r="L352" s="20"/>
      <c r="M352" s="21"/>
      <c r="N352" s="15"/>
      <c r="O352" s="15"/>
      <c r="P352" s="15"/>
      <c r="Q352" s="14" t="s">
        <v>3157</v>
      </c>
    </row>
    <row r="353" spans="4:17" x14ac:dyDescent="0.25">
      <c r="D353" s="15" t="s">
        <v>6026</v>
      </c>
      <c r="E353" s="14" t="s">
        <v>2613</v>
      </c>
      <c r="F353" s="15"/>
      <c r="G353" s="14"/>
      <c r="H353" s="15"/>
      <c r="I353" s="15"/>
      <c r="J353" s="14" t="str">
        <f t="shared" si="6"/>
        <v/>
      </c>
      <c r="K353" s="19"/>
      <c r="L353" s="20"/>
      <c r="M353" s="21"/>
      <c r="N353" s="15"/>
      <c r="O353" s="15"/>
      <c r="P353" s="15"/>
      <c r="Q353" s="14" t="s">
        <v>3158</v>
      </c>
    </row>
    <row r="354" spans="4:17" x14ac:dyDescent="0.25">
      <c r="D354" s="15" t="s">
        <v>6027</v>
      </c>
      <c r="E354" s="14" t="s">
        <v>2613</v>
      </c>
      <c r="F354" s="15"/>
      <c r="G354" s="14"/>
      <c r="H354" s="15"/>
      <c r="I354" s="15"/>
      <c r="J354" s="14" t="str">
        <f t="shared" si="6"/>
        <v/>
      </c>
      <c r="K354" s="19"/>
      <c r="L354" s="20"/>
      <c r="M354" s="21"/>
      <c r="N354" s="15"/>
      <c r="O354" s="15"/>
      <c r="P354" s="15"/>
      <c r="Q354" s="14" t="s">
        <v>3159</v>
      </c>
    </row>
    <row r="355" spans="4:17" x14ac:dyDescent="0.25">
      <c r="D355" s="15" t="s">
        <v>6028</v>
      </c>
      <c r="E355" s="14" t="s">
        <v>2613</v>
      </c>
      <c r="F355" s="15"/>
      <c r="G355" s="14"/>
      <c r="H355" s="15"/>
      <c r="I355" s="15"/>
      <c r="J355" s="14" t="str">
        <f t="shared" si="6"/>
        <v/>
      </c>
      <c r="K355" s="19"/>
      <c r="L355" s="20"/>
      <c r="M355" s="21"/>
      <c r="N355" s="15"/>
      <c r="O355" s="15"/>
      <c r="P355" s="15"/>
      <c r="Q355" s="14" t="s">
        <v>3160</v>
      </c>
    </row>
    <row r="356" spans="4:17" x14ac:dyDescent="0.25">
      <c r="D356" s="15" t="s">
        <v>6029</v>
      </c>
      <c r="E356" s="14" t="s">
        <v>2620</v>
      </c>
      <c r="F356" s="15"/>
      <c r="G356" s="14"/>
      <c r="H356" s="15"/>
      <c r="I356" s="15"/>
      <c r="J356" s="14" t="str">
        <f t="shared" si="6"/>
        <v/>
      </c>
      <c r="K356" s="19"/>
      <c r="L356" s="20"/>
      <c r="M356" s="21"/>
      <c r="N356" s="15"/>
      <c r="O356" s="15"/>
      <c r="P356" s="15"/>
      <c r="Q356" s="14" t="s">
        <v>3161</v>
      </c>
    </row>
    <row r="357" spans="4:17" x14ac:dyDescent="0.25">
      <c r="D357" s="15" t="s">
        <v>6030</v>
      </c>
      <c r="E357" s="14" t="s">
        <v>2620</v>
      </c>
      <c r="F357" s="15"/>
      <c r="G357" s="14"/>
      <c r="H357" s="15"/>
      <c r="I357" s="15"/>
      <c r="J357" s="14" t="str">
        <f t="shared" si="6"/>
        <v/>
      </c>
      <c r="K357" s="19"/>
      <c r="L357" s="20"/>
      <c r="M357" s="21"/>
      <c r="N357" s="15"/>
      <c r="O357" s="15"/>
      <c r="P357" s="15"/>
      <c r="Q357" s="14" t="s">
        <v>3162</v>
      </c>
    </row>
    <row r="358" spans="4:17" x14ac:dyDescent="0.25">
      <c r="D358" s="15" t="s">
        <v>6031</v>
      </c>
      <c r="E358" s="14" t="s">
        <v>2620</v>
      </c>
      <c r="F358" s="15"/>
      <c r="G358" s="14"/>
      <c r="H358" s="15"/>
      <c r="I358" s="15"/>
      <c r="J358" s="14" t="str">
        <f t="shared" si="6"/>
        <v/>
      </c>
      <c r="K358" s="19"/>
      <c r="L358" s="20"/>
      <c r="M358" s="21"/>
      <c r="N358" s="15"/>
      <c r="O358" s="15"/>
      <c r="P358" s="15"/>
      <c r="Q358" s="14" t="s">
        <v>3163</v>
      </c>
    </row>
    <row r="359" spans="4:17" x14ac:dyDescent="0.25">
      <c r="D359" s="15" t="s">
        <v>6032</v>
      </c>
      <c r="E359" s="14" t="s">
        <v>2620</v>
      </c>
      <c r="F359" s="15"/>
      <c r="G359" s="14"/>
      <c r="H359" s="15"/>
      <c r="I359" s="15"/>
      <c r="J359" s="14" t="str">
        <f t="shared" si="6"/>
        <v/>
      </c>
      <c r="K359" s="19"/>
      <c r="L359" s="20"/>
      <c r="M359" s="21"/>
      <c r="N359" s="15"/>
      <c r="O359" s="15"/>
      <c r="P359" s="15"/>
      <c r="Q359" s="14" t="s">
        <v>3164</v>
      </c>
    </row>
    <row r="360" spans="4:17" x14ac:dyDescent="0.25">
      <c r="D360" s="15" t="s">
        <v>6033</v>
      </c>
      <c r="E360" s="14" t="s">
        <v>2620</v>
      </c>
      <c r="F360" s="15"/>
      <c r="G360" s="14"/>
      <c r="H360" s="15"/>
      <c r="I360" s="15"/>
      <c r="J360" s="14" t="str">
        <f t="shared" si="6"/>
        <v/>
      </c>
      <c r="K360" s="19"/>
      <c r="L360" s="20"/>
      <c r="M360" s="21"/>
      <c r="N360" s="15"/>
      <c r="O360" s="15"/>
      <c r="P360" s="15"/>
      <c r="Q360" s="14" t="s">
        <v>3165</v>
      </c>
    </row>
    <row r="361" spans="4:17" x14ac:dyDescent="0.25">
      <c r="D361" s="15" t="s">
        <v>6034</v>
      </c>
      <c r="E361" s="14" t="s">
        <v>2620</v>
      </c>
      <c r="F361" s="15"/>
      <c r="G361" s="14"/>
      <c r="H361" s="15"/>
      <c r="I361" s="15"/>
      <c r="J361" s="14" t="str">
        <f t="shared" si="6"/>
        <v/>
      </c>
      <c r="K361" s="19"/>
      <c r="L361" s="20"/>
      <c r="M361" s="21"/>
      <c r="N361" s="15"/>
      <c r="O361" s="15"/>
      <c r="P361" s="15"/>
      <c r="Q361" s="14" t="s">
        <v>3166</v>
      </c>
    </row>
    <row r="362" spans="4:17" x14ac:dyDescent="0.25">
      <c r="D362" s="15" t="s">
        <v>6035</v>
      </c>
      <c r="E362" s="14" t="s">
        <v>2620</v>
      </c>
      <c r="F362" s="15"/>
      <c r="G362" s="14"/>
      <c r="H362" s="15"/>
      <c r="I362" s="15"/>
      <c r="J362" s="14" t="str">
        <f t="shared" si="6"/>
        <v/>
      </c>
      <c r="K362" s="19"/>
      <c r="L362" s="20"/>
      <c r="M362" s="21"/>
      <c r="N362" s="15"/>
      <c r="O362" s="15"/>
      <c r="P362" s="15"/>
      <c r="Q362" s="14" t="s">
        <v>3167</v>
      </c>
    </row>
    <row r="363" spans="4:17" x14ac:dyDescent="0.25">
      <c r="D363" s="15" t="s">
        <v>6036</v>
      </c>
      <c r="E363" s="14" t="s">
        <v>2620</v>
      </c>
      <c r="F363" s="15"/>
      <c r="G363" s="14"/>
      <c r="H363" s="15"/>
      <c r="I363" s="15"/>
      <c r="J363" s="14" t="str">
        <f t="shared" si="6"/>
        <v/>
      </c>
      <c r="K363" s="19"/>
      <c r="L363" s="20"/>
      <c r="M363" s="21"/>
      <c r="N363" s="15"/>
      <c r="O363" s="15"/>
      <c r="P363" s="15"/>
      <c r="Q363" s="14" t="s">
        <v>3168</v>
      </c>
    </row>
    <row r="364" spans="4:17" x14ac:dyDescent="0.25">
      <c r="D364" s="15" t="s">
        <v>6037</v>
      </c>
      <c r="E364" s="14" t="s">
        <v>2620</v>
      </c>
      <c r="F364" s="15"/>
      <c r="G364" s="14"/>
      <c r="H364" s="15"/>
      <c r="I364" s="15"/>
      <c r="J364" s="14" t="str">
        <f t="shared" si="6"/>
        <v/>
      </c>
      <c r="K364" s="19"/>
      <c r="L364" s="20"/>
      <c r="M364" s="21"/>
      <c r="N364" s="15"/>
      <c r="O364" s="15"/>
      <c r="P364" s="15"/>
      <c r="Q364" s="14" t="s">
        <v>3169</v>
      </c>
    </row>
    <row r="365" spans="4:17" x14ac:dyDescent="0.25">
      <c r="D365" s="15" t="s">
        <v>6038</v>
      </c>
      <c r="E365" s="14" t="s">
        <v>2620</v>
      </c>
      <c r="F365" s="15"/>
      <c r="G365" s="14"/>
      <c r="H365" s="15"/>
      <c r="I365" s="15"/>
      <c r="J365" s="14" t="str">
        <f t="shared" si="6"/>
        <v/>
      </c>
      <c r="K365" s="19"/>
      <c r="L365" s="20"/>
      <c r="M365" s="21"/>
      <c r="N365" s="15"/>
      <c r="O365" s="15"/>
      <c r="P365" s="15"/>
      <c r="Q365" s="14" t="s">
        <v>3170</v>
      </c>
    </row>
    <row r="366" spans="4:17" x14ac:dyDescent="0.25">
      <c r="D366" s="15" t="s">
        <v>6039</v>
      </c>
      <c r="E366" s="14" t="s">
        <v>2620</v>
      </c>
      <c r="F366" s="15"/>
      <c r="G366" s="14"/>
      <c r="H366" s="15"/>
      <c r="I366" s="15"/>
      <c r="J366" s="14" t="str">
        <f t="shared" si="6"/>
        <v/>
      </c>
      <c r="K366" s="19"/>
      <c r="L366" s="20"/>
      <c r="M366" s="21"/>
      <c r="N366" s="15"/>
      <c r="O366" s="15"/>
      <c r="P366" s="15"/>
      <c r="Q366" s="14" t="s">
        <v>3171</v>
      </c>
    </row>
    <row r="367" spans="4:17" x14ac:dyDescent="0.25">
      <c r="D367" s="15" t="s">
        <v>6040</v>
      </c>
      <c r="E367" s="14" t="s">
        <v>2620</v>
      </c>
      <c r="F367" s="15"/>
      <c r="G367" s="14"/>
      <c r="H367" s="15"/>
      <c r="I367" s="15"/>
      <c r="J367" s="14" t="str">
        <f t="shared" si="6"/>
        <v/>
      </c>
      <c r="K367" s="19"/>
      <c r="L367" s="20"/>
      <c r="M367" s="21"/>
      <c r="N367" s="15"/>
      <c r="O367" s="15"/>
      <c r="P367" s="15"/>
      <c r="Q367" s="14" t="s">
        <v>3172</v>
      </c>
    </row>
    <row r="368" spans="4:17" x14ac:dyDescent="0.25">
      <c r="D368" s="15" t="s">
        <v>6041</v>
      </c>
      <c r="E368" s="14" t="s">
        <v>2620</v>
      </c>
      <c r="F368" s="15"/>
      <c r="G368" s="14"/>
      <c r="H368" s="15"/>
      <c r="I368" s="15"/>
      <c r="J368" s="14" t="str">
        <f t="shared" si="6"/>
        <v/>
      </c>
      <c r="K368" s="19"/>
      <c r="L368" s="20"/>
      <c r="M368" s="21"/>
      <c r="N368" s="15"/>
      <c r="O368" s="15"/>
      <c r="P368" s="15"/>
      <c r="Q368" s="14" t="s">
        <v>3173</v>
      </c>
    </row>
    <row r="369" spans="4:17" x14ac:dyDescent="0.25">
      <c r="D369" s="15" t="s">
        <v>6042</v>
      </c>
      <c r="E369" s="14" t="s">
        <v>2620</v>
      </c>
      <c r="F369" s="15"/>
      <c r="G369" s="14"/>
      <c r="H369" s="15"/>
      <c r="I369" s="15"/>
      <c r="J369" s="14" t="str">
        <f t="shared" si="6"/>
        <v/>
      </c>
      <c r="K369" s="19"/>
      <c r="L369" s="20"/>
      <c r="M369" s="21"/>
      <c r="N369" s="15"/>
      <c r="O369" s="15"/>
      <c r="P369" s="15"/>
      <c r="Q369" s="14" t="s">
        <v>3174</v>
      </c>
    </row>
    <row r="370" spans="4:17" x14ac:dyDescent="0.25">
      <c r="D370" s="15" t="s">
        <v>6043</v>
      </c>
      <c r="E370" s="14" t="s">
        <v>2620</v>
      </c>
      <c r="F370" s="15"/>
      <c r="G370" s="14"/>
      <c r="H370" s="15"/>
      <c r="I370" s="15"/>
      <c r="J370" s="14" t="str">
        <f t="shared" si="6"/>
        <v/>
      </c>
      <c r="K370" s="19"/>
      <c r="L370" s="20"/>
      <c r="M370" s="21"/>
      <c r="N370" s="15"/>
      <c r="O370" s="15"/>
      <c r="P370" s="15"/>
      <c r="Q370" s="14" t="s">
        <v>3175</v>
      </c>
    </row>
    <row r="371" spans="4:17" x14ac:dyDescent="0.25">
      <c r="D371" s="15" t="s">
        <v>6044</v>
      </c>
      <c r="E371" s="14" t="s">
        <v>2620</v>
      </c>
      <c r="F371" s="15"/>
      <c r="G371" s="14"/>
      <c r="H371" s="15"/>
      <c r="I371" s="15"/>
      <c r="J371" s="14" t="str">
        <f t="shared" si="6"/>
        <v/>
      </c>
      <c r="K371" s="19"/>
      <c r="L371" s="20"/>
      <c r="M371" s="21"/>
      <c r="N371" s="15"/>
      <c r="O371" s="15"/>
      <c r="P371" s="15"/>
      <c r="Q371" s="14" t="s">
        <v>3176</v>
      </c>
    </row>
    <row r="372" spans="4:17" x14ac:dyDescent="0.25">
      <c r="D372" s="15" t="s">
        <v>6045</v>
      </c>
      <c r="E372" s="14" t="s">
        <v>2620</v>
      </c>
      <c r="F372" s="15"/>
      <c r="G372" s="14"/>
      <c r="H372" s="15"/>
      <c r="I372" s="15"/>
      <c r="J372" s="14" t="str">
        <f t="shared" si="6"/>
        <v/>
      </c>
      <c r="K372" s="19"/>
      <c r="L372" s="20"/>
      <c r="M372" s="21"/>
      <c r="N372" s="15"/>
      <c r="O372" s="15"/>
      <c r="P372" s="15"/>
      <c r="Q372" s="14" t="s">
        <v>3177</v>
      </c>
    </row>
    <row r="373" spans="4:17" x14ac:dyDescent="0.25">
      <c r="D373" s="15" t="s">
        <v>6046</v>
      </c>
      <c r="E373" s="14" t="s">
        <v>2620</v>
      </c>
      <c r="F373" s="15"/>
      <c r="G373" s="14"/>
      <c r="H373" s="15"/>
      <c r="I373" s="15"/>
      <c r="J373" s="14" t="str">
        <f t="shared" si="6"/>
        <v/>
      </c>
      <c r="K373" s="19"/>
      <c r="L373" s="20"/>
      <c r="M373" s="21"/>
      <c r="N373" s="15"/>
      <c r="O373" s="15"/>
      <c r="P373" s="15"/>
      <c r="Q373" s="14" t="s">
        <v>3178</v>
      </c>
    </row>
    <row r="374" spans="4:17" x14ac:dyDescent="0.25">
      <c r="D374" s="15" t="s">
        <v>6047</v>
      </c>
      <c r="E374" s="14" t="s">
        <v>2620</v>
      </c>
      <c r="F374" s="15"/>
      <c r="G374" s="14"/>
      <c r="H374" s="15"/>
      <c r="I374" s="15"/>
      <c r="J374" s="14" t="str">
        <f t="shared" si="6"/>
        <v/>
      </c>
      <c r="K374" s="19"/>
      <c r="L374" s="20"/>
      <c r="M374" s="21"/>
      <c r="N374" s="15"/>
      <c r="O374" s="15"/>
      <c r="P374" s="15"/>
      <c r="Q374" s="14" t="s">
        <v>3179</v>
      </c>
    </row>
    <row r="375" spans="4:17" x14ac:dyDescent="0.25">
      <c r="D375" s="15" t="s">
        <v>6048</v>
      </c>
      <c r="E375" s="14" t="s">
        <v>2620</v>
      </c>
      <c r="F375" s="15"/>
      <c r="G375" s="14"/>
      <c r="H375" s="15"/>
      <c r="I375" s="15"/>
      <c r="J375" s="14" t="str">
        <f t="shared" si="6"/>
        <v/>
      </c>
      <c r="K375" s="19"/>
      <c r="L375" s="20"/>
      <c r="M375" s="21"/>
      <c r="N375" s="15"/>
      <c r="O375" s="15"/>
      <c r="P375" s="15"/>
      <c r="Q375" s="14" t="s">
        <v>3180</v>
      </c>
    </row>
    <row r="376" spans="4:17" x14ac:dyDescent="0.25">
      <c r="D376" s="15" t="s">
        <v>6049</v>
      </c>
      <c r="E376" s="14" t="s">
        <v>2627</v>
      </c>
      <c r="F376" s="15"/>
      <c r="G376" s="14"/>
      <c r="H376" s="15"/>
      <c r="I376" s="15"/>
      <c r="J376" s="14" t="str">
        <f t="shared" si="6"/>
        <v/>
      </c>
      <c r="K376" s="19"/>
      <c r="L376" s="20"/>
      <c r="M376" s="21"/>
      <c r="N376" s="15"/>
      <c r="O376" s="15"/>
      <c r="P376" s="15"/>
      <c r="Q376" s="14" t="s">
        <v>3181</v>
      </c>
    </row>
    <row r="377" spans="4:17" x14ac:dyDescent="0.25">
      <c r="D377" s="15" t="s">
        <v>6050</v>
      </c>
      <c r="E377" s="14" t="s">
        <v>2627</v>
      </c>
      <c r="F377" s="15"/>
      <c r="G377" s="14"/>
      <c r="H377" s="15"/>
      <c r="I377" s="15"/>
      <c r="J377" s="14" t="str">
        <f t="shared" si="6"/>
        <v/>
      </c>
      <c r="K377" s="19"/>
      <c r="L377" s="20"/>
      <c r="M377" s="21"/>
      <c r="N377" s="15"/>
      <c r="O377" s="15"/>
      <c r="P377" s="15"/>
      <c r="Q377" s="14" t="s">
        <v>3182</v>
      </c>
    </row>
    <row r="378" spans="4:17" x14ac:dyDescent="0.25">
      <c r="D378" s="15" t="s">
        <v>6051</v>
      </c>
      <c r="E378" s="14" t="s">
        <v>2627</v>
      </c>
      <c r="F378" s="15"/>
      <c r="G378" s="14"/>
      <c r="H378" s="15"/>
      <c r="I378" s="15"/>
      <c r="J378" s="14" t="str">
        <f t="shared" si="6"/>
        <v/>
      </c>
      <c r="K378" s="19"/>
      <c r="L378" s="20"/>
      <c r="M378" s="21"/>
      <c r="N378" s="15"/>
      <c r="O378" s="15"/>
      <c r="P378" s="15"/>
      <c r="Q378" s="14" t="s">
        <v>3183</v>
      </c>
    </row>
    <row r="379" spans="4:17" x14ac:dyDescent="0.25">
      <c r="D379" s="15" t="s">
        <v>6052</v>
      </c>
      <c r="E379" s="14" t="s">
        <v>2627</v>
      </c>
      <c r="F379" s="15"/>
      <c r="G379" s="14"/>
      <c r="H379" s="15"/>
      <c r="I379" s="15"/>
      <c r="J379" s="14" t="str">
        <f t="shared" si="6"/>
        <v/>
      </c>
      <c r="K379" s="19"/>
      <c r="L379" s="20"/>
      <c r="M379" s="21"/>
      <c r="N379" s="15"/>
      <c r="O379" s="15"/>
      <c r="P379" s="15"/>
      <c r="Q379" s="14" t="s">
        <v>3184</v>
      </c>
    </row>
    <row r="380" spans="4:17" x14ac:dyDescent="0.25">
      <c r="D380" s="15" t="s">
        <v>6053</v>
      </c>
      <c r="E380" s="14" t="s">
        <v>2627</v>
      </c>
      <c r="F380" s="15"/>
      <c r="G380" s="14"/>
      <c r="H380" s="15"/>
      <c r="I380" s="15"/>
      <c r="J380" s="14" t="str">
        <f t="shared" ref="J380:J443" si="7">F380&amp;H380&amp;I380</f>
        <v/>
      </c>
      <c r="K380" s="19"/>
      <c r="L380" s="20"/>
      <c r="M380" s="21"/>
      <c r="N380" s="15"/>
      <c r="O380" s="15"/>
      <c r="P380" s="15"/>
      <c r="Q380" s="14" t="s">
        <v>3185</v>
      </c>
    </row>
    <row r="381" spans="4:17" x14ac:dyDescent="0.25">
      <c r="D381" s="15" t="s">
        <v>6054</v>
      </c>
      <c r="E381" s="14" t="s">
        <v>2627</v>
      </c>
      <c r="F381" s="15"/>
      <c r="G381" s="14"/>
      <c r="H381" s="15"/>
      <c r="I381" s="15"/>
      <c r="J381" s="14" t="str">
        <f t="shared" si="7"/>
        <v/>
      </c>
      <c r="K381" s="19"/>
      <c r="L381" s="20"/>
      <c r="M381" s="21"/>
      <c r="N381" s="15"/>
      <c r="O381" s="15"/>
      <c r="P381" s="15"/>
      <c r="Q381" s="14" t="s">
        <v>3186</v>
      </c>
    </row>
    <row r="382" spans="4:17" x14ac:dyDescent="0.25">
      <c r="D382" s="15" t="s">
        <v>6055</v>
      </c>
      <c r="E382" s="14" t="s">
        <v>2627</v>
      </c>
      <c r="F382" s="15"/>
      <c r="G382" s="14"/>
      <c r="H382" s="15"/>
      <c r="I382" s="15"/>
      <c r="J382" s="14" t="str">
        <f t="shared" si="7"/>
        <v/>
      </c>
      <c r="K382" s="19"/>
      <c r="L382" s="20"/>
      <c r="M382" s="21"/>
      <c r="N382" s="15"/>
      <c r="O382" s="15"/>
      <c r="P382" s="15"/>
      <c r="Q382" s="14" t="s">
        <v>3187</v>
      </c>
    </row>
    <row r="383" spans="4:17" x14ac:dyDescent="0.25">
      <c r="D383" s="15" t="s">
        <v>6056</v>
      </c>
      <c r="E383" s="14" t="s">
        <v>2627</v>
      </c>
      <c r="F383" s="15"/>
      <c r="G383" s="14"/>
      <c r="H383" s="15"/>
      <c r="I383" s="15"/>
      <c r="J383" s="14" t="str">
        <f t="shared" si="7"/>
        <v/>
      </c>
      <c r="K383" s="19"/>
      <c r="L383" s="20"/>
      <c r="M383" s="21"/>
      <c r="N383" s="15"/>
      <c r="O383" s="15"/>
      <c r="P383" s="15"/>
      <c r="Q383" s="14" t="s">
        <v>3188</v>
      </c>
    </row>
    <row r="384" spans="4:17" x14ac:dyDescent="0.25">
      <c r="D384" s="15" t="s">
        <v>6057</v>
      </c>
      <c r="E384" s="14" t="s">
        <v>2627</v>
      </c>
      <c r="F384" s="15"/>
      <c r="G384" s="14"/>
      <c r="H384" s="15"/>
      <c r="I384" s="15"/>
      <c r="J384" s="14" t="str">
        <f t="shared" si="7"/>
        <v/>
      </c>
      <c r="K384" s="19"/>
      <c r="L384" s="20"/>
      <c r="M384" s="21"/>
      <c r="N384" s="15"/>
      <c r="O384" s="15"/>
      <c r="P384" s="15"/>
      <c r="Q384" s="14" t="s">
        <v>3189</v>
      </c>
    </row>
    <row r="385" spans="4:17" x14ac:dyDescent="0.25">
      <c r="D385" s="15" t="s">
        <v>6058</v>
      </c>
      <c r="E385" s="14" t="s">
        <v>2627</v>
      </c>
      <c r="F385" s="15"/>
      <c r="G385" s="14"/>
      <c r="H385" s="15"/>
      <c r="I385" s="15"/>
      <c r="J385" s="14" t="str">
        <f t="shared" si="7"/>
        <v/>
      </c>
      <c r="K385" s="19"/>
      <c r="L385" s="20"/>
      <c r="M385" s="21"/>
      <c r="N385" s="15"/>
      <c r="O385" s="15"/>
      <c r="P385" s="15"/>
      <c r="Q385" s="14" t="s">
        <v>3190</v>
      </c>
    </row>
    <row r="386" spans="4:17" x14ac:dyDescent="0.25">
      <c r="D386" s="15" t="s">
        <v>6059</v>
      </c>
      <c r="E386" s="14" t="s">
        <v>2627</v>
      </c>
      <c r="F386" s="15"/>
      <c r="G386" s="14"/>
      <c r="H386" s="15"/>
      <c r="I386" s="15"/>
      <c r="J386" s="14" t="str">
        <f t="shared" si="7"/>
        <v/>
      </c>
      <c r="K386" s="19"/>
      <c r="L386" s="20"/>
      <c r="M386" s="21"/>
      <c r="N386" s="15"/>
      <c r="O386" s="15"/>
      <c r="P386" s="15"/>
      <c r="Q386" s="14" t="s">
        <v>3191</v>
      </c>
    </row>
    <row r="387" spans="4:17" x14ac:dyDescent="0.25">
      <c r="D387" s="15" t="s">
        <v>6060</v>
      </c>
      <c r="E387" s="14" t="s">
        <v>2627</v>
      </c>
      <c r="F387" s="15"/>
      <c r="G387" s="14"/>
      <c r="H387" s="15"/>
      <c r="I387" s="15"/>
      <c r="J387" s="14" t="str">
        <f t="shared" si="7"/>
        <v/>
      </c>
      <c r="K387" s="19"/>
      <c r="L387" s="20"/>
      <c r="M387" s="21"/>
      <c r="N387" s="15"/>
      <c r="O387" s="15"/>
      <c r="P387" s="15"/>
      <c r="Q387" s="14" t="s">
        <v>3192</v>
      </c>
    </row>
    <row r="388" spans="4:17" x14ac:dyDescent="0.25">
      <c r="D388" s="15" t="s">
        <v>6061</v>
      </c>
      <c r="E388" s="14" t="s">
        <v>2627</v>
      </c>
      <c r="F388" s="15"/>
      <c r="G388" s="14"/>
      <c r="H388" s="15"/>
      <c r="I388" s="15"/>
      <c r="J388" s="14" t="str">
        <f t="shared" si="7"/>
        <v/>
      </c>
      <c r="K388" s="19"/>
      <c r="L388" s="20"/>
      <c r="M388" s="21"/>
      <c r="N388" s="15"/>
      <c r="O388" s="15"/>
      <c r="P388" s="15"/>
      <c r="Q388" s="14" t="s">
        <v>3193</v>
      </c>
    </row>
    <row r="389" spans="4:17" x14ac:dyDescent="0.25">
      <c r="D389" s="15" t="s">
        <v>6062</v>
      </c>
      <c r="E389" s="14" t="s">
        <v>2627</v>
      </c>
      <c r="F389" s="15"/>
      <c r="G389" s="14"/>
      <c r="H389" s="15"/>
      <c r="I389" s="15"/>
      <c r="J389" s="14" t="str">
        <f t="shared" si="7"/>
        <v/>
      </c>
      <c r="K389" s="19"/>
      <c r="L389" s="20"/>
      <c r="M389" s="21"/>
      <c r="N389" s="15"/>
      <c r="O389" s="15"/>
      <c r="P389" s="15"/>
      <c r="Q389" s="14" t="s">
        <v>3194</v>
      </c>
    </row>
    <row r="390" spans="4:17" x14ac:dyDescent="0.25">
      <c r="D390" s="15" t="s">
        <v>6063</v>
      </c>
      <c r="E390" s="14" t="s">
        <v>2627</v>
      </c>
      <c r="F390" s="15"/>
      <c r="G390" s="14"/>
      <c r="H390" s="15"/>
      <c r="I390" s="15"/>
      <c r="J390" s="14" t="str">
        <f t="shared" si="7"/>
        <v/>
      </c>
      <c r="K390" s="19"/>
      <c r="L390" s="20"/>
      <c r="M390" s="21"/>
      <c r="N390" s="15"/>
      <c r="O390" s="15"/>
      <c r="P390" s="15"/>
      <c r="Q390" s="14" t="s">
        <v>3195</v>
      </c>
    </row>
    <row r="391" spans="4:17" x14ac:dyDescent="0.25">
      <c r="D391" s="15" t="s">
        <v>6064</v>
      </c>
      <c r="E391" s="14" t="s">
        <v>2627</v>
      </c>
      <c r="F391" s="15"/>
      <c r="G391" s="14"/>
      <c r="H391" s="15"/>
      <c r="I391" s="15"/>
      <c r="J391" s="14" t="str">
        <f t="shared" si="7"/>
        <v/>
      </c>
      <c r="K391" s="19"/>
      <c r="L391" s="20"/>
      <c r="M391" s="21"/>
      <c r="N391" s="15"/>
      <c r="O391" s="15"/>
      <c r="P391" s="15"/>
      <c r="Q391" s="14" t="s">
        <v>3196</v>
      </c>
    </row>
    <row r="392" spans="4:17" x14ac:dyDescent="0.25">
      <c r="D392" s="15" t="s">
        <v>6065</v>
      </c>
      <c r="E392" s="14" t="s">
        <v>2627</v>
      </c>
      <c r="F392" s="15"/>
      <c r="G392" s="14"/>
      <c r="H392" s="15"/>
      <c r="I392" s="15"/>
      <c r="J392" s="14" t="str">
        <f t="shared" si="7"/>
        <v/>
      </c>
      <c r="K392" s="19"/>
      <c r="L392" s="20"/>
      <c r="M392" s="21"/>
      <c r="N392" s="15"/>
      <c r="O392" s="15"/>
      <c r="P392" s="15"/>
      <c r="Q392" s="14" t="s">
        <v>3197</v>
      </c>
    </row>
    <row r="393" spans="4:17" x14ac:dyDescent="0.25">
      <c r="D393" s="15" t="s">
        <v>6066</v>
      </c>
      <c r="E393" s="14" t="s">
        <v>2627</v>
      </c>
      <c r="F393" s="15"/>
      <c r="G393" s="14"/>
      <c r="H393" s="15"/>
      <c r="I393" s="15"/>
      <c r="J393" s="14" t="str">
        <f t="shared" si="7"/>
        <v/>
      </c>
      <c r="K393" s="19"/>
      <c r="L393" s="20"/>
      <c r="M393" s="21"/>
      <c r="N393" s="15"/>
      <c r="O393" s="15"/>
      <c r="P393" s="15"/>
      <c r="Q393" s="14" t="s">
        <v>3198</v>
      </c>
    </row>
    <row r="394" spans="4:17" x14ac:dyDescent="0.25">
      <c r="D394" s="15" t="s">
        <v>6067</v>
      </c>
      <c r="E394" s="14" t="s">
        <v>2627</v>
      </c>
      <c r="F394" s="15"/>
      <c r="G394" s="14"/>
      <c r="H394" s="15"/>
      <c r="I394" s="15"/>
      <c r="J394" s="14" t="str">
        <f t="shared" si="7"/>
        <v/>
      </c>
      <c r="K394" s="19"/>
      <c r="L394" s="20"/>
      <c r="M394" s="21"/>
      <c r="N394" s="15"/>
      <c r="O394" s="15"/>
      <c r="P394" s="15"/>
      <c r="Q394" s="14" t="s">
        <v>3199</v>
      </c>
    </row>
    <row r="395" spans="4:17" x14ac:dyDescent="0.25">
      <c r="D395" s="15" t="s">
        <v>6068</v>
      </c>
      <c r="E395" s="14" t="s">
        <v>2627</v>
      </c>
      <c r="F395" s="15"/>
      <c r="G395" s="14"/>
      <c r="H395" s="15"/>
      <c r="I395" s="15"/>
      <c r="J395" s="14" t="str">
        <f t="shared" si="7"/>
        <v/>
      </c>
      <c r="K395" s="19"/>
      <c r="L395" s="20"/>
      <c r="M395" s="21"/>
      <c r="N395" s="15"/>
      <c r="O395" s="15"/>
      <c r="P395" s="15"/>
      <c r="Q395" s="14" t="s">
        <v>3200</v>
      </c>
    </row>
    <row r="396" spans="4:17" x14ac:dyDescent="0.25">
      <c r="D396" s="15" t="s">
        <v>6069</v>
      </c>
      <c r="E396" s="14" t="s">
        <v>2634</v>
      </c>
      <c r="F396" s="15"/>
      <c r="G396" s="14"/>
      <c r="H396" s="15"/>
      <c r="I396" s="15"/>
      <c r="J396" s="14" t="str">
        <f t="shared" si="7"/>
        <v/>
      </c>
      <c r="K396" s="19"/>
      <c r="L396" s="20"/>
      <c r="M396" s="21"/>
      <c r="N396" s="15"/>
      <c r="O396" s="15"/>
      <c r="P396" s="15"/>
      <c r="Q396" s="14" t="s">
        <v>3201</v>
      </c>
    </row>
    <row r="397" spans="4:17" x14ac:dyDescent="0.25">
      <c r="D397" s="15" t="s">
        <v>6070</v>
      </c>
      <c r="E397" s="14" t="s">
        <v>2634</v>
      </c>
      <c r="F397" s="15"/>
      <c r="G397" s="14"/>
      <c r="H397" s="15"/>
      <c r="I397" s="15"/>
      <c r="J397" s="14" t="str">
        <f t="shared" si="7"/>
        <v/>
      </c>
      <c r="K397" s="19"/>
      <c r="L397" s="20"/>
      <c r="M397" s="21"/>
      <c r="N397" s="15"/>
      <c r="O397" s="15"/>
      <c r="P397" s="15"/>
      <c r="Q397" s="14" t="s">
        <v>3202</v>
      </c>
    </row>
    <row r="398" spans="4:17" x14ac:dyDescent="0.25">
      <c r="D398" s="15" t="s">
        <v>6071</v>
      </c>
      <c r="E398" s="14" t="s">
        <v>2634</v>
      </c>
      <c r="F398" s="15"/>
      <c r="G398" s="14"/>
      <c r="H398" s="15"/>
      <c r="I398" s="15"/>
      <c r="J398" s="14" t="str">
        <f t="shared" si="7"/>
        <v/>
      </c>
      <c r="K398" s="19"/>
      <c r="L398" s="20"/>
      <c r="M398" s="21"/>
      <c r="N398" s="15"/>
      <c r="O398" s="15"/>
      <c r="P398" s="15"/>
      <c r="Q398" s="14" t="s">
        <v>3203</v>
      </c>
    </row>
    <row r="399" spans="4:17" x14ac:dyDescent="0.25">
      <c r="D399" s="15" t="s">
        <v>6072</v>
      </c>
      <c r="E399" s="14" t="s">
        <v>2634</v>
      </c>
      <c r="F399" s="15"/>
      <c r="G399" s="14"/>
      <c r="H399" s="15"/>
      <c r="I399" s="15"/>
      <c r="J399" s="14" t="str">
        <f t="shared" si="7"/>
        <v/>
      </c>
      <c r="K399" s="19"/>
      <c r="L399" s="20"/>
      <c r="M399" s="21"/>
      <c r="N399" s="15"/>
      <c r="O399" s="15"/>
      <c r="P399" s="15"/>
      <c r="Q399" s="14" t="s">
        <v>3204</v>
      </c>
    </row>
    <row r="400" spans="4:17" x14ac:dyDescent="0.25">
      <c r="D400" s="15" t="s">
        <v>6073</v>
      </c>
      <c r="E400" s="14" t="s">
        <v>2634</v>
      </c>
      <c r="F400" s="15"/>
      <c r="G400" s="14"/>
      <c r="H400" s="15"/>
      <c r="I400" s="15"/>
      <c r="J400" s="14" t="str">
        <f t="shared" si="7"/>
        <v/>
      </c>
      <c r="K400" s="19"/>
      <c r="L400" s="20"/>
      <c r="M400" s="21"/>
      <c r="N400" s="15"/>
      <c r="O400" s="15"/>
      <c r="P400" s="15"/>
      <c r="Q400" s="14" t="s">
        <v>3205</v>
      </c>
    </row>
    <row r="401" spans="4:17" x14ac:dyDescent="0.25">
      <c r="D401" s="15" t="s">
        <v>6074</v>
      </c>
      <c r="E401" s="14" t="s">
        <v>2634</v>
      </c>
      <c r="F401" s="15"/>
      <c r="G401" s="14"/>
      <c r="H401" s="15"/>
      <c r="I401" s="15"/>
      <c r="J401" s="14" t="str">
        <f t="shared" si="7"/>
        <v/>
      </c>
      <c r="K401" s="19"/>
      <c r="L401" s="20"/>
      <c r="M401" s="21"/>
      <c r="N401" s="15"/>
      <c r="O401" s="15"/>
      <c r="P401" s="15"/>
      <c r="Q401" s="14" t="s">
        <v>3206</v>
      </c>
    </row>
    <row r="402" spans="4:17" x14ac:dyDescent="0.25">
      <c r="D402" s="15" t="s">
        <v>6075</v>
      </c>
      <c r="E402" s="14" t="s">
        <v>2634</v>
      </c>
      <c r="F402" s="15"/>
      <c r="G402" s="14"/>
      <c r="H402" s="15"/>
      <c r="I402" s="15"/>
      <c r="J402" s="14" t="str">
        <f t="shared" si="7"/>
        <v/>
      </c>
      <c r="K402" s="19"/>
      <c r="L402" s="20"/>
      <c r="M402" s="21"/>
      <c r="N402" s="15"/>
      <c r="O402" s="15"/>
      <c r="P402" s="15"/>
      <c r="Q402" s="14" t="s">
        <v>3207</v>
      </c>
    </row>
    <row r="403" spans="4:17" x14ac:dyDescent="0.25">
      <c r="D403" s="15" t="s">
        <v>6076</v>
      </c>
      <c r="E403" s="14" t="s">
        <v>2634</v>
      </c>
      <c r="F403" s="15"/>
      <c r="G403" s="14"/>
      <c r="H403" s="15"/>
      <c r="I403" s="15"/>
      <c r="J403" s="14" t="str">
        <f t="shared" si="7"/>
        <v/>
      </c>
      <c r="K403" s="19"/>
      <c r="L403" s="20"/>
      <c r="M403" s="21"/>
      <c r="N403" s="15"/>
      <c r="O403" s="15"/>
      <c r="P403" s="15"/>
      <c r="Q403" s="14" t="s">
        <v>3208</v>
      </c>
    </row>
    <row r="404" spans="4:17" x14ac:dyDescent="0.25">
      <c r="D404" s="15" t="s">
        <v>6077</v>
      </c>
      <c r="E404" s="14" t="s">
        <v>2634</v>
      </c>
      <c r="F404" s="15"/>
      <c r="G404" s="14"/>
      <c r="H404" s="15"/>
      <c r="I404" s="15"/>
      <c r="J404" s="14" t="str">
        <f t="shared" si="7"/>
        <v/>
      </c>
      <c r="K404" s="19"/>
      <c r="L404" s="20"/>
      <c r="M404" s="21"/>
      <c r="N404" s="15"/>
      <c r="O404" s="15"/>
      <c r="P404" s="15"/>
      <c r="Q404" s="14" t="s">
        <v>3209</v>
      </c>
    </row>
    <row r="405" spans="4:17" x14ac:dyDescent="0.25">
      <c r="D405" s="15" t="s">
        <v>6078</v>
      </c>
      <c r="E405" s="14" t="s">
        <v>2634</v>
      </c>
      <c r="F405" s="15"/>
      <c r="G405" s="14"/>
      <c r="H405" s="15"/>
      <c r="I405" s="15"/>
      <c r="J405" s="14" t="str">
        <f t="shared" si="7"/>
        <v/>
      </c>
      <c r="K405" s="19"/>
      <c r="L405" s="20"/>
      <c r="M405" s="21"/>
      <c r="N405" s="15"/>
      <c r="O405" s="15"/>
      <c r="P405" s="15"/>
      <c r="Q405" s="14" t="s">
        <v>3210</v>
      </c>
    </row>
    <row r="406" spans="4:17" x14ac:dyDescent="0.25">
      <c r="D406" s="15" t="s">
        <v>6079</v>
      </c>
      <c r="E406" s="14" t="s">
        <v>2634</v>
      </c>
      <c r="F406" s="15"/>
      <c r="G406" s="14"/>
      <c r="H406" s="15"/>
      <c r="I406" s="15"/>
      <c r="J406" s="14" t="str">
        <f t="shared" si="7"/>
        <v/>
      </c>
      <c r="K406" s="19"/>
      <c r="L406" s="20"/>
      <c r="M406" s="21"/>
      <c r="N406" s="15"/>
      <c r="O406" s="15"/>
      <c r="P406" s="15"/>
      <c r="Q406" s="14" t="s">
        <v>3211</v>
      </c>
    </row>
    <row r="407" spans="4:17" x14ac:dyDescent="0.25">
      <c r="D407" s="15" t="s">
        <v>6080</v>
      </c>
      <c r="E407" s="14" t="s">
        <v>2634</v>
      </c>
      <c r="F407" s="15"/>
      <c r="G407" s="14"/>
      <c r="H407" s="15"/>
      <c r="I407" s="15"/>
      <c r="J407" s="14" t="str">
        <f t="shared" si="7"/>
        <v/>
      </c>
      <c r="K407" s="19"/>
      <c r="L407" s="20"/>
      <c r="M407" s="21"/>
      <c r="N407" s="15"/>
      <c r="O407" s="15"/>
      <c r="P407" s="15"/>
      <c r="Q407" s="14" t="s">
        <v>3212</v>
      </c>
    </row>
    <row r="408" spans="4:17" x14ac:dyDescent="0.25">
      <c r="D408" s="15" t="s">
        <v>6081</v>
      </c>
      <c r="E408" s="14" t="s">
        <v>2634</v>
      </c>
      <c r="F408" s="15"/>
      <c r="G408" s="14"/>
      <c r="H408" s="15"/>
      <c r="I408" s="15"/>
      <c r="J408" s="14" t="str">
        <f t="shared" si="7"/>
        <v/>
      </c>
      <c r="K408" s="19"/>
      <c r="L408" s="20"/>
      <c r="M408" s="21"/>
      <c r="N408" s="15"/>
      <c r="O408" s="15"/>
      <c r="P408" s="15"/>
      <c r="Q408" s="14" t="s">
        <v>3213</v>
      </c>
    </row>
    <row r="409" spans="4:17" x14ac:dyDescent="0.25">
      <c r="D409" s="15" t="s">
        <v>6082</v>
      </c>
      <c r="E409" s="14" t="s">
        <v>2634</v>
      </c>
      <c r="F409" s="15"/>
      <c r="G409" s="14"/>
      <c r="H409" s="15"/>
      <c r="I409" s="15"/>
      <c r="J409" s="14" t="str">
        <f t="shared" si="7"/>
        <v/>
      </c>
      <c r="K409" s="19"/>
      <c r="L409" s="20"/>
      <c r="M409" s="21"/>
      <c r="N409" s="15"/>
      <c r="O409" s="15"/>
      <c r="P409" s="15"/>
      <c r="Q409" s="14" t="s">
        <v>3214</v>
      </c>
    </row>
    <row r="410" spans="4:17" x14ac:dyDescent="0.25">
      <c r="D410" s="15" t="s">
        <v>6083</v>
      </c>
      <c r="E410" s="14" t="s">
        <v>2634</v>
      </c>
      <c r="F410" s="15"/>
      <c r="G410" s="14"/>
      <c r="H410" s="15"/>
      <c r="I410" s="15"/>
      <c r="J410" s="14" t="str">
        <f t="shared" si="7"/>
        <v/>
      </c>
      <c r="K410" s="19"/>
      <c r="L410" s="20"/>
      <c r="M410" s="21"/>
      <c r="N410" s="15"/>
      <c r="O410" s="15"/>
      <c r="P410" s="15"/>
      <c r="Q410" s="14" t="s">
        <v>3215</v>
      </c>
    </row>
    <row r="411" spans="4:17" x14ac:dyDescent="0.25">
      <c r="D411" s="15" t="s">
        <v>6084</v>
      </c>
      <c r="E411" s="14" t="s">
        <v>2634</v>
      </c>
      <c r="F411" s="15"/>
      <c r="G411" s="14"/>
      <c r="H411" s="15"/>
      <c r="I411" s="15"/>
      <c r="J411" s="14" t="str">
        <f t="shared" si="7"/>
        <v/>
      </c>
      <c r="K411" s="19"/>
      <c r="L411" s="20"/>
      <c r="M411" s="21"/>
      <c r="N411" s="15"/>
      <c r="O411" s="15"/>
      <c r="P411" s="15"/>
      <c r="Q411" s="14" t="s">
        <v>3216</v>
      </c>
    </row>
    <row r="412" spans="4:17" x14ac:dyDescent="0.25">
      <c r="D412" s="15" t="s">
        <v>6085</v>
      </c>
      <c r="E412" s="14" t="s">
        <v>2634</v>
      </c>
      <c r="F412" s="15"/>
      <c r="G412" s="14"/>
      <c r="H412" s="15"/>
      <c r="I412" s="15"/>
      <c r="J412" s="14" t="str">
        <f t="shared" si="7"/>
        <v/>
      </c>
      <c r="K412" s="19"/>
      <c r="L412" s="20"/>
      <c r="M412" s="21"/>
      <c r="N412" s="15"/>
      <c r="O412" s="15"/>
      <c r="P412" s="15"/>
      <c r="Q412" s="14" t="s">
        <v>3217</v>
      </c>
    </row>
    <row r="413" spans="4:17" x14ac:dyDescent="0.25">
      <c r="D413" s="15" t="s">
        <v>6086</v>
      </c>
      <c r="E413" s="14" t="s">
        <v>2634</v>
      </c>
      <c r="F413" s="15"/>
      <c r="G413" s="14"/>
      <c r="H413" s="15"/>
      <c r="I413" s="15"/>
      <c r="J413" s="14" t="str">
        <f t="shared" si="7"/>
        <v/>
      </c>
      <c r="K413" s="19"/>
      <c r="L413" s="20"/>
      <c r="M413" s="21"/>
      <c r="N413" s="15"/>
      <c r="O413" s="15"/>
      <c r="P413" s="15"/>
      <c r="Q413" s="14" t="s">
        <v>3218</v>
      </c>
    </row>
    <row r="414" spans="4:17" x14ac:dyDescent="0.25">
      <c r="D414" s="15" t="s">
        <v>6087</v>
      </c>
      <c r="E414" s="14" t="s">
        <v>2634</v>
      </c>
      <c r="F414" s="15"/>
      <c r="G414" s="14"/>
      <c r="H414" s="15"/>
      <c r="I414" s="15"/>
      <c r="J414" s="14" t="str">
        <f t="shared" si="7"/>
        <v/>
      </c>
      <c r="K414" s="19"/>
      <c r="L414" s="20"/>
      <c r="M414" s="21"/>
      <c r="N414" s="15"/>
      <c r="O414" s="15"/>
      <c r="P414" s="15"/>
      <c r="Q414" s="14" t="s">
        <v>3219</v>
      </c>
    </row>
    <row r="415" spans="4:17" x14ac:dyDescent="0.25">
      <c r="D415" s="15" t="s">
        <v>6088</v>
      </c>
      <c r="E415" s="14" t="s">
        <v>2634</v>
      </c>
      <c r="F415" s="15"/>
      <c r="G415" s="14"/>
      <c r="H415" s="15"/>
      <c r="I415" s="15"/>
      <c r="J415" s="14" t="str">
        <f t="shared" si="7"/>
        <v/>
      </c>
      <c r="K415" s="19"/>
      <c r="L415" s="20"/>
      <c r="M415" s="21"/>
      <c r="N415" s="15"/>
      <c r="O415" s="15"/>
      <c r="P415" s="15"/>
      <c r="Q415" s="14" t="s">
        <v>3220</v>
      </c>
    </row>
    <row r="416" spans="4:17" x14ac:dyDescent="0.25">
      <c r="D416" s="15" t="s">
        <v>6089</v>
      </c>
      <c r="E416" s="14" t="s">
        <v>2641</v>
      </c>
      <c r="F416" s="15"/>
      <c r="G416" s="14"/>
      <c r="H416" s="15"/>
      <c r="I416" s="15"/>
      <c r="J416" s="14" t="str">
        <f t="shared" si="7"/>
        <v/>
      </c>
      <c r="K416" s="19"/>
      <c r="L416" s="20"/>
      <c r="M416" s="21"/>
      <c r="N416" s="15"/>
      <c r="O416" s="15"/>
      <c r="P416" s="15"/>
      <c r="Q416" s="14" t="s">
        <v>3221</v>
      </c>
    </row>
    <row r="417" spans="4:17" x14ac:dyDescent="0.25">
      <c r="D417" s="15" t="s">
        <v>6090</v>
      </c>
      <c r="E417" s="14" t="s">
        <v>2641</v>
      </c>
      <c r="F417" s="15"/>
      <c r="G417" s="14"/>
      <c r="H417" s="15"/>
      <c r="I417" s="15"/>
      <c r="J417" s="14" t="str">
        <f t="shared" si="7"/>
        <v/>
      </c>
      <c r="K417" s="19"/>
      <c r="L417" s="20"/>
      <c r="M417" s="21"/>
      <c r="N417" s="15"/>
      <c r="O417" s="15"/>
      <c r="P417" s="15"/>
      <c r="Q417" s="14" t="s">
        <v>3222</v>
      </c>
    </row>
    <row r="418" spans="4:17" x14ac:dyDescent="0.25">
      <c r="D418" s="15" t="s">
        <v>6091</v>
      </c>
      <c r="E418" s="14" t="s">
        <v>2641</v>
      </c>
      <c r="F418" s="15"/>
      <c r="G418" s="14"/>
      <c r="H418" s="15"/>
      <c r="I418" s="15"/>
      <c r="J418" s="14" t="str">
        <f t="shared" si="7"/>
        <v/>
      </c>
      <c r="K418" s="19"/>
      <c r="L418" s="20"/>
      <c r="M418" s="21"/>
      <c r="N418" s="15"/>
      <c r="O418" s="15"/>
      <c r="P418" s="15"/>
      <c r="Q418" s="14" t="s">
        <v>3223</v>
      </c>
    </row>
    <row r="419" spans="4:17" x14ac:dyDescent="0.25">
      <c r="D419" s="15" t="s">
        <v>6092</v>
      </c>
      <c r="E419" s="14" t="s">
        <v>2641</v>
      </c>
      <c r="F419" s="15"/>
      <c r="G419" s="14"/>
      <c r="H419" s="15"/>
      <c r="I419" s="15"/>
      <c r="J419" s="14" t="str">
        <f t="shared" si="7"/>
        <v/>
      </c>
      <c r="K419" s="19"/>
      <c r="L419" s="20"/>
      <c r="M419" s="21"/>
      <c r="N419" s="15"/>
      <c r="O419" s="15"/>
      <c r="P419" s="15"/>
      <c r="Q419" s="14" t="s">
        <v>3224</v>
      </c>
    </row>
    <row r="420" spans="4:17" x14ac:dyDescent="0.25">
      <c r="D420" s="15" t="s">
        <v>6093</v>
      </c>
      <c r="E420" s="14" t="s">
        <v>2641</v>
      </c>
      <c r="F420" s="15"/>
      <c r="G420" s="14"/>
      <c r="H420" s="15"/>
      <c r="I420" s="15"/>
      <c r="J420" s="14" t="str">
        <f t="shared" si="7"/>
        <v/>
      </c>
      <c r="K420" s="19"/>
      <c r="L420" s="20"/>
      <c r="M420" s="21"/>
      <c r="N420" s="15"/>
      <c r="O420" s="15"/>
      <c r="P420" s="15"/>
      <c r="Q420" s="14" t="s">
        <v>3225</v>
      </c>
    </row>
    <row r="421" spans="4:17" x14ac:dyDescent="0.25">
      <c r="D421" s="15" t="s">
        <v>6094</v>
      </c>
      <c r="E421" s="14" t="s">
        <v>2641</v>
      </c>
      <c r="F421" s="15"/>
      <c r="G421" s="14"/>
      <c r="H421" s="15"/>
      <c r="I421" s="15"/>
      <c r="J421" s="14" t="str">
        <f t="shared" si="7"/>
        <v/>
      </c>
      <c r="K421" s="19"/>
      <c r="L421" s="20"/>
      <c r="M421" s="21"/>
      <c r="N421" s="15"/>
      <c r="O421" s="15"/>
      <c r="P421" s="15"/>
      <c r="Q421" s="14" t="s">
        <v>3226</v>
      </c>
    </row>
    <row r="422" spans="4:17" x14ac:dyDescent="0.25">
      <c r="D422" s="15" t="s">
        <v>6095</v>
      </c>
      <c r="E422" s="14" t="s">
        <v>2641</v>
      </c>
      <c r="F422" s="15"/>
      <c r="G422" s="14"/>
      <c r="H422" s="15"/>
      <c r="I422" s="15"/>
      <c r="J422" s="14" t="str">
        <f t="shared" si="7"/>
        <v/>
      </c>
      <c r="K422" s="19"/>
      <c r="L422" s="20"/>
      <c r="M422" s="21"/>
      <c r="N422" s="15"/>
      <c r="O422" s="15"/>
      <c r="P422" s="15"/>
      <c r="Q422" s="14" t="s">
        <v>3227</v>
      </c>
    </row>
    <row r="423" spans="4:17" x14ac:dyDescent="0.25">
      <c r="D423" s="15" t="s">
        <v>6096</v>
      </c>
      <c r="E423" s="14" t="s">
        <v>2641</v>
      </c>
      <c r="F423" s="15"/>
      <c r="G423" s="14"/>
      <c r="H423" s="15"/>
      <c r="I423" s="15"/>
      <c r="J423" s="14" t="str">
        <f t="shared" si="7"/>
        <v/>
      </c>
      <c r="K423" s="19"/>
      <c r="L423" s="20"/>
      <c r="M423" s="21"/>
      <c r="N423" s="15"/>
      <c r="O423" s="15"/>
      <c r="P423" s="15"/>
      <c r="Q423" s="14" t="s">
        <v>3228</v>
      </c>
    </row>
    <row r="424" spans="4:17" x14ac:dyDescent="0.25">
      <c r="D424" s="15" t="s">
        <v>6097</v>
      </c>
      <c r="E424" s="14" t="s">
        <v>2641</v>
      </c>
      <c r="F424" s="15"/>
      <c r="G424" s="14"/>
      <c r="H424" s="15"/>
      <c r="I424" s="15"/>
      <c r="J424" s="14" t="str">
        <f t="shared" si="7"/>
        <v/>
      </c>
      <c r="K424" s="19"/>
      <c r="L424" s="20"/>
      <c r="M424" s="21"/>
      <c r="N424" s="15"/>
      <c r="O424" s="15"/>
      <c r="P424" s="15"/>
      <c r="Q424" s="14" t="s">
        <v>3229</v>
      </c>
    </row>
    <row r="425" spans="4:17" x14ac:dyDescent="0.25">
      <c r="D425" s="15" t="s">
        <v>6098</v>
      </c>
      <c r="E425" s="14" t="s">
        <v>2641</v>
      </c>
      <c r="F425" s="15"/>
      <c r="G425" s="14"/>
      <c r="H425" s="15"/>
      <c r="I425" s="15"/>
      <c r="J425" s="14" t="str">
        <f t="shared" si="7"/>
        <v/>
      </c>
      <c r="K425" s="19"/>
      <c r="L425" s="20"/>
      <c r="M425" s="21"/>
      <c r="N425" s="15"/>
      <c r="O425" s="15"/>
      <c r="P425" s="15"/>
      <c r="Q425" s="14" t="s">
        <v>3230</v>
      </c>
    </row>
    <row r="426" spans="4:17" x14ac:dyDescent="0.25">
      <c r="D426" s="15" t="s">
        <v>6099</v>
      </c>
      <c r="E426" s="14" t="s">
        <v>2641</v>
      </c>
      <c r="F426" s="15"/>
      <c r="G426" s="14"/>
      <c r="H426" s="15"/>
      <c r="I426" s="15"/>
      <c r="J426" s="14" t="str">
        <f t="shared" si="7"/>
        <v/>
      </c>
      <c r="K426" s="19"/>
      <c r="L426" s="20"/>
      <c r="M426" s="21"/>
      <c r="N426" s="15"/>
      <c r="O426" s="15"/>
      <c r="P426" s="15"/>
      <c r="Q426" s="14" t="s">
        <v>3231</v>
      </c>
    </row>
    <row r="427" spans="4:17" x14ac:dyDescent="0.25">
      <c r="D427" s="15" t="s">
        <v>6100</v>
      </c>
      <c r="E427" s="14" t="s">
        <v>2641</v>
      </c>
      <c r="F427" s="15"/>
      <c r="G427" s="14"/>
      <c r="H427" s="15"/>
      <c r="I427" s="15"/>
      <c r="J427" s="14" t="str">
        <f t="shared" si="7"/>
        <v/>
      </c>
      <c r="K427" s="19"/>
      <c r="L427" s="20"/>
      <c r="M427" s="21"/>
      <c r="N427" s="15"/>
      <c r="O427" s="15"/>
      <c r="P427" s="15"/>
      <c r="Q427" s="14" t="s">
        <v>3232</v>
      </c>
    </row>
    <row r="428" spans="4:17" x14ac:dyDescent="0.25">
      <c r="D428" s="15" t="s">
        <v>6101</v>
      </c>
      <c r="E428" s="14" t="s">
        <v>2641</v>
      </c>
      <c r="F428" s="15"/>
      <c r="G428" s="14"/>
      <c r="H428" s="15"/>
      <c r="I428" s="15"/>
      <c r="J428" s="14" t="str">
        <f t="shared" si="7"/>
        <v/>
      </c>
      <c r="K428" s="19"/>
      <c r="L428" s="20"/>
      <c r="M428" s="21"/>
      <c r="N428" s="15"/>
      <c r="O428" s="15"/>
      <c r="P428" s="15"/>
      <c r="Q428" s="14" t="s">
        <v>3233</v>
      </c>
    </row>
    <row r="429" spans="4:17" x14ac:dyDescent="0.25">
      <c r="D429" s="15" t="s">
        <v>6102</v>
      </c>
      <c r="E429" s="14" t="s">
        <v>2641</v>
      </c>
      <c r="F429" s="15"/>
      <c r="G429" s="14"/>
      <c r="H429" s="15"/>
      <c r="I429" s="15"/>
      <c r="J429" s="14" t="str">
        <f t="shared" si="7"/>
        <v/>
      </c>
      <c r="K429" s="19"/>
      <c r="L429" s="20"/>
      <c r="M429" s="21"/>
      <c r="N429" s="15"/>
      <c r="O429" s="15"/>
      <c r="P429" s="15"/>
      <c r="Q429" s="14" t="s">
        <v>3234</v>
      </c>
    </row>
    <row r="430" spans="4:17" x14ac:dyDescent="0.25">
      <c r="D430" s="15" t="s">
        <v>6103</v>
      </c>
      <c r="E430" s="14" t="s">
        <v>2641</v>
      </c>
      <c r="F430" s="15"/>
      <c r="G430" s="14"/>
      <c r="H430" s="15"/>
      <c r="I430" s="15"/>
      <c r="J430" s="14" t="str">
        <f t="shared" si="7"/>
        <v/>
      </c>
      <c r="K430" s="19"/>
      <c r="L430" s="20"/>
      <c r="M430" s="21"/>
      <c r="N430" s="15"/>
      <c r="O430" s="15"/>
      <c r="P430" s="15"/>
      <c r="Q430" s="14" t="s">
        <v>3235</v>
      </c>
    </row>
    <row r="431" spans="4:17" x14ac:dyDescent="0.25">
      <c r="D431" s="15" t="s">
        <v>6104</v>
      </c>
      <c r="E431" s="14" t="s">
        <v>2641</v>
      </c>
      <c r="F431" s="15"/>
      <c r="G431" s="14"/>
      <c r="H431" s="15"/>
      <c r="I431" s="15"/>
      <c r="J431" s="14" t="str">
        <f t="shared" si="7"/>
        <v/>
      </c>
      <c r="K431" s="19"/>
      <c r="L431" s="20"/>
      <c r="M431" s="21"/>
      <c r="N431" s="15"/>
      <c r="O431" s="15"/>
      <c r="P431" s="15"/>
      <c r="Q431" s="14" t="s">
        <v>3236</v>
      </c>
    </row>
    <row r="432" spans="4:17" x14ac:dyDescent="0.25">
      <c r="D432" s="15" t="s">
        <v>6105</v>
      </c>
      <c r="E432" s="14" t="s">
        <v>2641</v>
      </c>
      <c r="F432" s="15"/>
      <c r="G432" s="14"/>
      <c r="H432" s="15"/>
      <c r="I432" s="15"/>
      <c r="J432" s="14" t="str">
        <f t="shared" si="7"/>
        <v/>
      </c>
      <c r="K432" s="19"/>
      <c r="L432" s="20"/>
      <c r="M432" s="21"/>
      <c r="N432" s="15"/>
      <c r="O432" s="15"/>
      <c r="P432" s="15"/>
      <c r="Q432" s="14" t="s">
        <v>3237</v>
      </c>
    </row>
    <row r="433" spans="4:17" x14ac:dyDescent="0.25">
      <c r="D433" s="15" t="s">
        <v>6106</v>
      </c>
      <c r="E433" s="14" t="s">
        <v>2641</v>
      </c>
      <c r="F433" s="15"/>
      <c r="G433" s="14"/>
      <c r="H433" s="15"/>
      <c r="I433" s="15"/>
      <c r="J433" s="14" t="str">
        <f t="shared" si="7"/>
        <v/>
      </c>
      <c r="K433" s="19"/>
      <c r="L433" s="20"/>
      <c r="M433" s="21"/>
      <c r="N433" s="15"/>
      <c r="O433" s="15"/>
      <c r="P433" s="15"/>
      <c r="Q433" s="14" t="s">
        <v>3238</v>
      </c>
    </row>
    <row r="434" spans="4:17" x14ac:dyDescent="0.25">
      <c r="D434" s="15" t="s">
        <v>6107</v>
      </c>
      <c r="E434" s="14" t="s">
        <v>2641</v>
      </c>
      <c r="F434" s="15"/>
      <c r="G434" s="14"/>
      <c r="H434" s="15"/>
      <c r="I434" s="15"/>
      <c r="J434" s="14" t="str">
        <f t="shared" si="7"/>
        <v/>
      </c>
      <c r="K434" s="19"/>
      <c r="L434" s="20"/>
      <c r="M434" s="21"/>
      <c r="N434" s="15"/>
      <c r="O434" s="15"/>
      <c r="P434" s="15"/>
      <c r="Q434" s="14" t="s">
        <v>3239</v>
      </c>
    </row>
    <row r="435" spans="4:17" x14ac:dyDescent="0.25">
      <c r="D435" s="15" t="s">
        <v>6108</v>
      </c>
      <c r="E435" s="14" t="s">
        <v>2641</v>
      </c>
      <c r="F435" s="15"/>
      <c r="G435" s="14"/>
      <c r="H435" s="15"/>
      <c r="I435" s="15"/>
      <c r="J435" s="14" t="str">
        <f t="shared" si="7"/>
        <v/>
      </c>
      <c r="K435" s="19"/>
      <c r="L435" s="20"/>
      <c r="M435" s="21"/>
      <c r="N435" s="15"/>
      <c r="O435" s="15"/>
      <c r="P435" s="15"/>
      <c r="Q435" s="14" t="s">
        <v>3240</v>
      </c>
    </row>
    <row r="436" spans="4:17" x14ac:dyDescent="0.25">
      <c r="D436" s="15" t="s">
        <v>6109</v>
      </c>
      <c r="E436" s="14" t="s">
        <v>2648</v>
      </c>
      <c r="F436" s="15"/>
      <c r="G436" s="14"/>
      <c r="H436" s="15"/>
      <c r="I436" s="15"/>
      <c r="J436" s="14" t="str">
        <f t="shared" si="7"/>
        <v/>
      </c>
      <c r="K436" s="19"/>
      <c r="L436" s="20"/>
      <c r="M436" s="21"/>
      <c r="N436" s="15"/>
      <c r="O436" s="15"/>
      <c r="P436" s="15"/>
      <c r="Q436" s="14" t="s">
        <v>3241</v>
      </c>
    </row>
    <row r="437" spans="4:17" x14ac:dyDescent="0.25">
      <c r="D437" s="15" t="s">
        <v>6110</v>
      </c>
      <c r="E437" s="14" t="s">
        <v>2648</v>
      </c>
      <c r="F437" s="15"/>
      <c r="G437" s="14"/>
      <c r="H437" s="15"/>
      <c r="I437" s="15"/>
      <c r="J437" s="14" t="str">
        <f t="shared" si="7"/>
        <v/>
      </c>
      <c r="K437" s="19"/>
      <c r="L437" s="20"/>
      <c r="M437" s="21"/>
      <c r="N437" s="15"/>
      <c r="O437" s="15"/>
      <c r="P437" s="15"/>
      <c r="Q437" s="14" t="s">
        <v>3242</v>
      </c>
    </row>
    <row r="438" spans="4:17" x14ac:dyDescent="0.25">
      <c r="D438" s="15" t="s">
        <v>6111</v>
      </c>
      <c r="E438" s="14" t="s">
        <v>2648</v>
      </c>
      <c r="F438" s="15"/>
      <c r="G438" s="14"/>
      <c r="H438" s="15"/>
      <c r="I438" s="15"/>
      <c r="J438" s="14" t="str">
        <f t="shared" si="7"/>
        <v/>
      </c>
      <c r="K438" s="19"/>
      <c r="L438" s="20"/>
      <c r="M438" s="21"/>
      <c r="N438" s="15"/>
      <c r="O438" s="15"/>
      <c r="P438" s="15"/>
      <c r="Q438" s="14" t="s">
        <v>3243</v>
      </c>
    </row>
    <row r="439" spans="4:17" x14ac:dyDescent="0.25">
      <c r="D439" s="15" t="s">
        <v>6112</v>
      </c>
      <c r="E439" s="14" t="s">
        <v>2648</v>
      </c>
      <c r="F439" s="15"/>
      <c r="G439" s="14"/>
      <c r="H439" s="15"/>
      <c r="I439" s="15"/>
      <c r="J439" s="14" t="str">
        <f t="shared" si="7"/>
        <v/>
      </c>
      <c r="K439" s="19"/>
      <c r="L439" s="20"/>
      <c r="M439" s="21"/>
      <c r="N439" s="15"/>
      <c r="O439" s="15"/>
      <c r="P439" s="15"/>
      <c r="Q439" s="14" t="s">
        <v>3244</v>
      </c>
    </row>
    <row r="440" spans="4:17" x14ac:dyDescent="0.25">
      <c r="D440" s="15" t="s">
        <v>6113</v>
      </c>
      <c r="E440" s="14" t="s">
        <v>2648</v>
      </c>
      <c r="F440" s="15"/>
      <c r="G440" s="14"/>
      <c r="H440" s="15"/>
      <c r="I440" s="15"/>
      <c r="J440" s="14" t="str">
        <f t="shared" si="7"/>
        <v/>
      </c>
      <c r="K440" s="19"/>
      <c r="L440" s="20"/>
      <c r="M440" s="21"/>
      <c r="N440" s="15"/>
      <c r="O440" s="15"/>
      <c r="P440" s="15"/>
      <c r="Q440" s="14" t="s">
        <v>3245</v>
      </c>
    </row>
    <row r="441" spans="4:17" x14ac:dyDescent="0.25">
      <c r="D441" s="15" t="s">
        <v>6114</v>
      </c>
      <c r="E441" s="14" t="s">
        <v>2648</v>
      </c>
      <c r="F441" s="15"/>
      <c r="G441" s="14"/>
      <c r="H441" s="15"/>
      <c r="I441" s="15"/>
      <c r="J441" s="14" t="str">
        <f t="shared" si="7"/>
        <v/>
      </c>
      <c r="K441" s="19"/>
      <c r="L441" s="20"/>
      <c r="M441" s="21"/>
      <c r="N441" s="15"/>
      <c r="O441" s="15"/>
      <c r="P441" s="15"/>
      <c r="Q441" s="14" t="s">
        <v>3246</v>
      </c>
    </row>
    <row r="442" spans="4:17" x14ac:dyDescent="0.25">
      <c r="D442" s="15" t="s">
        <v>6115</v>
      </c>
      <c r="E442" s="14" t="s">
        <v>2648</v>
      </c>
      <c r="F442" s="15"/>
      <c r="G442" s="14"/>
      <c r="H442" s="15"/>
      <c r="I442" s="15"/>
      <c r="J442" s="14" t="str">
        <f t="shared" si="7"/>
        <v/>
      </c>
      <c r="K442" s="19"/>
      <c r="L442" s="20"/>
      <c r="M442" s="21"/>
      <c r="N442" s="15"/>
      <c r="O442" s="15"/>
      <c r="P442" s="15"/>
      <c r="Q442" s="14" t="s">
        <v>3247</v>
      </c>
    </row>
    <row r="443" spans="4:17" x14ac:dyDescent="0.25">
      <c r="D443" s="15" t="s">
        <v>6116</v>
      </c>
      <c r="E443" s="14" t="s">
        <v>2648</v>
      </c>
      <c r="F443" s="15"/>
      <c r="G443" s="14"/>
      <c r="H443" s="15"/>
      <c r="I443" s="15"/>
      <c r="J443" s="14" t="str">
        <f t="shared" si="7"/>
        <v/>
      </c>
      <c r="K443" s="19"/>
      <c r="L443" s="20"/>
      <c r="M443" s="21"/>
      <c r="N443" s="15"/>
      <c r="O443" s="15"/>
      <c r="P443" s="15"/>
      <c r="Q443" s="14" t="s">
        <v>3248</v>
      </c>
    </row>
    <row r="444" spans="4:17" x14ac:dyDescent="0.25">
      <c r="D444" s="15" t="s">
        <v>6117</v>
      </c>
      <c r="E444" s="14" t="s">
        <v>2648</v>
      </c>
      <c r="F444" s="15"/>
      <c r="G444" s="14"/>
      <c r="H444" s="15"/>
      <c r="I444" s="15"/>
      <c r="J444" s="14" t="str">
        <f t="shared" ref="J444:J507" si="8">F444&amp;H444&amp;I444</f>
        <v/>
      </c>
      <c r="K444" s="19"/>
      <c r="L444" s="20"/>
      <c r="M444" s="21"/>
      <c r="N444" s="15"/>
      <c r="O444" s="15"/>
      <c r="P444" s="15"/>
      <c r="Q444" s="14" t="s">
        <v>3249</v>
      </c>
    </row>
    <row r="445" spans="4:17" x14ac:dyDescent="0.25">
      <c r="D445" s="15" t="s">
        <v>6118</v>
      </c>
      <c r="E445" s="14" t="s">
        <v>2648</v>
      </c>
      <c r="F445" s="15"/>
      <c r="G445" s="14"/>
      <c r="H445" s="15"/>
      <c r="I445" s="15"/>
      <c r="J445" s="14" t="str">
        <f t="shared" si="8"/>
        <v/>
      </c>
      <c r="K445" s="19"/>
      <c r="L445" s="20"/>
      <c r="M445" s="21"/>
      <c r="N445" s="15"/>
      <c r="O445" s="15"/>
      <c r="P445" s="15"/>
      <c r="Q445" s="14" t="s">
        <v>3250</v>
      </c>
    </row>
    <row r="446" spans="4:17" x14ac:dyDescent="0.25">
      <c r="D446" s="15" t="s">
        <v>6119</v>
      </c>
      <c r="E446" s="14" t="s">
        <v>2648</v>
      </c>
      <c r="F446" s="15"/>
      <c r="G446" s="14"/>
      <c r="H446" s="15"/>
      <c r="I446" s="15"/>
      <c r="J446" s="14" t="str">
        <f t="shared" si="8"/>
        <v/>
      </c>
      <c r="K446" s="19"/>
      <c r="L446" s="20"/>
      <c r="M446" s="21"/>
      <c r="N446" s="15"/>
      <c r="O446" s="15"/>
      <c r="P446" s="15"/>
      <c r="Q446" s="14" t="s">
        <v>3251</v>
      </c>
    </row>
    <row r="447" spans="4:17" x14ac:dyDescent="0.25">
      <c r="D447" s="15" t="s">
        <v>6120</v>
      </c>
      <c r="E447" s="14" t="s">
        <v>2648</v>
      </c>
      <c r="F447" s="15"/>
      <c r="G447" s="14"/>
      <c r="H447" s="15"/>
      <c r="I447" s="15"/>
      <c r="J447" s="14" t="str">
        <f t="shared" si="8"/>
        <v/>
      </c>
      <c r="K447" s="19"/>
      <c r="L447" s="20"/>
      <c r="M447" s="21"/>
      <c r="N447" s="15"/>
      <c r="O447" s="15"/>
      <c r="P447" s="15"/>
      <c r="Q447" s="14" t="s">
        <v>3252</v>
      </c>
    </row>
    <row r="448" spans="4:17" x14ac:dyDescent="0.25">
      <c r="D448" s="15" t="s">
        <v>6121</v>
      </c>
      <c r="E448" s="14" t="s">
        <v>2648</v>
      </c>
      <c r="F448" s="15"/>
      <c r="G448" s="14"/>
      <c r="H448" s="15"/>
      <c r="I448" s="15"/>
      <c r="J448" s="14" t="str">
        <f t="shared" si="8"/>
        <v/>
      </c>
      <c r="K448" s="19"/>
      <c r="L448" s="20"/>
      <c r="M448" s="21"/>
      <c r="N448" s="15"/>
      <c r="O448" s="15"/>
      <c r="P448" s="15"/>
      <c r="Q448" s="14" t="s">
        <v>3253</v>
      </c>
    </row>
    <row r="449" spans="4:17" x14ac:dyDescent="0.25">
      <c r="D449" s="15" t="s">
        <v>6122</v>
      </c>
      <c r="E449" s="14" t="s">
        <v>2648</v>
      </c>
      <c r="F449" s="15"/>
      <c r="G449" s="14"/>
      <c r="H449" s="15"/>
      <c r="I449" s="15"/>
      <c r="J449" s="14" t="str">
        <f t="shared" si="8"/>
        <v/>
      </c>
      <c r="K449" s="19"/>
      <c r="L449" s="20"/>
      <c r="M449" s="21"/>
      <c r="N449" s="15"/>
      <c r="O449" s="15"/>
      <c r="P449" s="15"/>
      <c r="Q449" s="14" t="s">
        <v>3254</v>
      </c>
    </row>
    <row r="450" spans="4:17" x14ac:dyDescent="0.25">
      <c r="D450" s="15" t="s">
        <v>6123</v>
      </c>
      <c r="E450" s="14" t="s">
        <v>2648</v>
      </c>
      <c r="F450" s="15"/>
      <c r="G450" s="14"/>
      <c r="H450" s="15"/>
      <c r="I450" s="15"/>
      <c r="J450" s="14" t="str">
        <f t="shared" si="8"/>
        <v/>
      </c>
      <c r="K450" s="19"/>
      <c r="L450" s="20"/>
      <c r="M450" s="21"/>
      <c r="N450" s="15"/>
      <c r="O450" s="15"/>
      <c r="P450" s="15"/>
      <c r="Q450" s="14" t="s">
        <v>3255</v>
      </c>
    </row>
    <row r="451" spans="4:17" x14ac:dyDescent="0.25">
      <c r="D451" s="15" t="s">
        <v>6124</v>
      </c>
      <c r="E451" s="14" t="s">
        <v>2648</v>
      </c>
      <c r="F451" s="15"/>
      <c r="G451" s="14"/>
      <c r="H451" s="15"/>
      <c r="I451" s="15"/>
      <c r="J451" s="14" t="str">
        <f t="shared" si="8"/>
        <v/>
      </c>
      <c r="K451" s="19"/>
      <c r="L451" s="20"/>
      <c r="M451" s="21"/>
      <c r="N451" s="15"/>
      <c r="O451" s="15"/>
      <c r="P451" s="15"/>
      <c r="Q451" s="14" t="s">
        <v>3256</v>
      </c>
    </row>
    <row r="452" spans="4:17" x14ac:dyDescent="0.25">
      <c r="D452" s="15" t="s">
        <v>6125</v>
      </c>
      <c r="E452" s="14" t="s">
        <v>2648</v>
      </c>
      <c r="F452" s="15"/>
      <c r="G452" s="14"/>
      <c r="H452" s="15"/>
      <c r="I452" s="15"/>
      <c r="J452" s="14" t="str">
        <f t="shared" si="8"/>
        <v/>
      </c>
      <c r="K452" s="19"/>
      <c r="L452" s="20"/>
      <c r="M452" s="21"/>
      <c r="N452" s="15"/>
      <c r="O452" s="15"/>
      <c r="P452" s="15"/>
      <c r="Q452" s="14" t="s">
        <v>3257</v>
      </c>
    </row>
    <row r="453" spans="4:17" x14ac:dyDescent="0.25">
      <c r="D453" s="15" t="s">
        <v>6126</v>
      </c>
      <c r="E453" s="14" t="s">
        <v>2648</v>
      </c>
      <c r="F453" s="15"/>
      <c r="G453" s="14"/>
      <c r="H453" s="15"/>
      <c r="I453" s="15"/>
      <c r="J453" s="14" t="str">
        <f t="shared" si="8"/>
        <v/>
      </c>
      <c r="K453" s="19"/>
      <c r="L453" s="20"/>
      <c r="M453" s="21"/>
      <c r="N453" s="15"/>
      <c r="O453" s="15"/>
      <c r="P453" s="15"/>
      <c r="Q453" s="14" t="s">
        <v>3258</v>
      </c>
    </row>
    <row r="454" spans="4:17" x14ac:dyDescent="0.25">
      <c r="D454" s="15" t="s">
        <v>6127</v>
      </c>
      <c r="E454" s="14" t="s">
        <v>2648</v>
      </c>
      <c r="F454" s="15"/>
      <c r="G454" s="14"/>
      <c r="H454" s="15"/>
      <c r="I454" s="15"/>
      <c r="J454" s="14" t="str">
        <f t="shared" si="8"/>
        <v/>
      </c>
      <c r="K454" s="19"/>
      <c r="L454" s="20"/>
      <c r="M454" s="21"/>
      <c r="N454" s="15"/>
      <c r="O454" s="15"/>
      <c r="P454" s="15"/>
      <c r="Q454" s="14" t="s">
        <v>3259</v>
      </c>
    </row>
    <row r="455" spans="4:17" x14ac:dyDescent="0.25">
      <c r="D455" s="15" t="s">
        <v>6128</v>
      </c>
      <c r="E455" s="14" t="s">
        <v>2648</v>
      </c>
      <c r="F455" s="15"/>
      <c r="G455" s="14"/>
      <c r="H455" s="15"/>
      <c r="I455" s="15"/>
      <c r="J455" s="14" t="str">
        <f t="shared" si="8"/>
        <v/>
      </c>
      <c r="K455" s="19"/>
      <c r="L455" s="20"/>
      <c r="M455" s="21"/>
      <c r="N455" s="15"/>
      <c r="O455" s="15"/>
      <c r="P455" s="15"/>
      <c r="Q455" s="14" t="s">
        <v>3260</v>
      </c>
    </row>
    <row r="456" spans="4:17" x14ac:dyDescent="0.25">
      <c r="D456" s="15" t="s">
        <v>6129</v>
      </c>
      <c r="E456" s="14" t="s">
        <v>2655</v>
      </c>
      <c r="F456" s="15"/>
      <c r="G456" s="14"/>
      <c r="H456" s="15"/>
      <c r="I456" s="15"/>
      <c r="J456" s="14" t="str">
        <f t="shared" si="8"/>
        <v/>
      </c>
      <c r="K456" s="19"/>
      <c r="L456" s="20"/>
      <c r="M456" s="21"/>
      <c r="N456" s="15"/>
      <c r="O456" s="15"/>
      <c r="P456" s="15"/>
      <c r="Q456" s="14" t="s">
        <v>3261</v>
      </c>
    </row>
    <row r="457" spans="4:17" x14ac:dyDescent="0.25">
      <c r="D457" s="15" t="s">
        <v>6130</v>
      </c>
      <c r="E457" s="14" t="s">
        <v>2655</v>
      </c>
      <c r="F457" s="15"/>
      <c r="G457" s="14"/>
      <c r="H457" s="15"/>
      <c r="I457" s="15"/>
      <c r="J457" s="14" t="str">
        <f t="shared" si="8"/>
        <v/>
      </c>
      <c r="K457" s="19"/>
      <c r="L457" s="20"/>
      <c r="M457" s="21"/>
      <c r="N457" s="15"/>
      <c r="O457" s="15"/>
      <c r="P457" s="15"/>
      <c r="Q457" s="14" t="s">
        <v>3262</v>
      </c>
    </row>
    <row r="458" spans="4:17" x14ac:dyDescent="0.25">
      <c r="D458" s="15" t="s">
        <v>6131</v>
      </c>
      <c r="E458" s="14" t="s">
        <v>2655</v>
      </c>
      <c r="F458" s="15"/>
      <c r="G458" s="14"/>
      <c r="H458" s="15"/>
      <c r="I458" s="15"/>
      <c r="J458" s="14" t="str">
        <f t="shared" si="8"/>
        <v/>
      </c>
      <c r="K458" s="19"/>
      <c r="L458" s="20"/>
      <c r="M458" s="21"/>
      <c r="N458" s="15"/>
      <c r="O458" s="15"/>
      <c r="P458" s="15"/>
      <c r="Q458" s="14" t="s">
        <v>3263</v>
      </c>
    </row>
    <row r="459" spans="4:17" x14ac:dyDescent="0.25">
      <c r="D459" s="15" t="s">
        <v>6132</v>
      </c>
      <c r="E459" s="14" t="s">
        <v>2655</v>
      </c>
      <c r="F459" s="15"/>
      <c r="G459" s="14"/>
      <c r="H459" s="15"/>
      <c r="I459" s="15"/>
      <c r="J459" s="14" t="str">
        <f t="shared" si="8"/>
        <v/>
      </c>
      <c r="K459" s="19"/>
      <c r="L459" s="20"/>
      <c r="M459" s="21"/>
      <c r="N459" s="15"/>
      <c r="O459" s="15"/>
      <c r="P459" s="15"/>
      <c r="Q459" s="14" t="s">
        <v>3264</v>
      </c>
    </row>
    <row r="460" spans="4:17" x14ac:dyDescent="0.25">
      <c r="D460" s="15" t="s">
        <v>6133</v>
      </c>
      <c r="E460" s="14" t="s">
        <v>2655</v>
      </c>
      <c r="F460" s="15"/>
      <c r="G460" s="14"/>
      <c r="H460" s="15"/>
      <c r="I460" s="15"/>
      <c r="J460" s="14" t="str">
        <f t="shared" si="8"/>
        <v/>
      </c>
      <c r="K460" s="19"/>
      <c r="L460" s="20"/>
      <c r="M460" s="21"/>
      <c r="N460" s="15"/>
      <c r="O460" s="15"/>
      <c r="P460" s="15"/>
      <c r="Q460" s="14" t="s">
        <v>3265</v>
      </c>
    </row>
    <row r="461" spans="4:17" x14ac:dyDescent="0.25">
      <c r="D461" s="15" t="s">
        <v>6134</v>
      </c>
      <c r="E461" s="14" t="s">
        <v>2655</v>
      </c>
      <c r="F461" s="15"/>
      <c r="G461" s="14"/>
      <c r="H461" s="15"/>
      <c r="I461" s="15"/>
      <c r="J461" s="14" t="str">
        <f t="shared" si="8"/>
        <v/>
      </c>
      <c r="K461" s="19"/>
      <c r="L461" s="20"/>
      <c r="M461" s="21"/>
      <c r="N461" s="15"/>
      <c r="O461" s="15"/>
      <c r="P461" s="15"/>
      <c r="Q461" s="14" t="s">
        <v>3266</v>
      </c>
    </row>
    <row r="462" spans="4:17" x14ac:dyDescent="0.25">
      <c r="D462" s="15" t="s">
        <v>6135</v>
      </c>
      <c r="E462" s="14" t="s">
        <v>2655</v>
      </c>
      <c r="F462" s="15"/>
      <c r="G462" s="14"/>
      <c r="H462" s="15"/>
      <c r="I462" s="15"/>
      <c r="J462" s="14" t="str">
        <f t="shared" si="8"/>
        <v/>
      </c>
      <c r="K462" s="19"/>
      <c r="L462" s="20"/>
      <c r="M462" s="21"/>
      <c r="N462" s="15"/>
      <c r="O462" s="15"/>
      <c r="P462" s="15"/>
      <c r="Q462" s="14" t="s">
        <v>3267</v>
      </c>
    </row>
    <row r="463" spans="4:17" x14ac:dyDescent="0.25">
      <c r="D463" s="15" t="s">
        <v>6136</v>
      </c>
      <c r="E463" s="14" t="s">
        <v>2655</v>
      </c>
      <c r="F463" s="15"/>
      <c r="G463" s="14"/>
      <c r="H463" s="15"/>
      <c r="I463" s="15"/>
      <c r="J463" s="14" t="str">
        <f t="shared" si="8"/>
        <v/>
      </c>
      <c r="K463" s="19"/>
      <c r="L463" s="20"/>
      <c r="M463" s="21"/>
      <c r="N463" s="15"/>
      <c r="O463" s="15"/>
      <c r="P463" s="15"/>
      <c r="Q463" s="14" t="s">
        <v>3268</v>
      </c>
    </row>
    <row r="464" spans="4:17" x14ac:dyDescent="0.25">
      <c r="D464" s="15" t="s">
        <v>6137</v>
      </c>
      <c r="E464" s="14" t="s">
        <v>2655</v>
      </c>
      <c r="F464" s="15"/>
      <c r="G464" s="14"/>
      <c r="H464" s="15"/>
      <c r="I464" s="15"/>
      <c r="J464" s="14" t="str">
        <f t="shared" si="8"/>
        <v/>
      </c>
      <c r="K464" s="19"/>
      <c r="L464" s="20"/>
      <c r="M464" s="21"/>
      <c r="N464" s="15"/>
      <c r="O464" s="15"/>
      <c r="P464" s="15"/>
      <c r="Q464" s="14" t="s">
        <v>3269</v>
      </c>
    </row>
    <row r="465" spans="4:17" x14ac:dyDescent="0.25">
      <c r="D465" s="15" t="s">
        <v>6138</v>
      </c>
      <c r="E465" s="14" t="s">
        <v>2655</v>
      </c>
      <c r="F465" s="15"/>
      <c r="G465" s="14"/>
      <c r="H465" s="15"/>
      <c r="I465" s="15"/>
      <c r="J465" s="14" t="str">
        <f t="shared" si="8"/>
        <v/>
      </c>
      <c r="K465" s="19"/>
      <c r="L465" s="20"/>
      <c r="M465" s="21"/>
      <c r="N465" s="15"/>
      <c r="O465" s="15"/>
      <c r="P465" s="15"/>
      <c r="Q465" s="14" t="s">
        <v>3270</v>
      </c>
    </row>
    <row r="466" spans="4:17" x14ac:dyDescent="0.25">
      <c r="D466" s="15" t="s">
        <v>6139</v>
      </c>
      <c r="E466" s="14" t="s">
        <v>2655</v>
      </c>
      <c r="F466" s="15"/>
      <c r="G466" s="14"/>
      <c r="H466" s="15"/>
      <c r="I466" s="15"/>
      <c r="J466" s="14" t="str">
        <f t="shared" si="8"/>
        <v/>
      </c>
      <c r="K466" s="19"/>
      <c r="L466" s="20"/>
      <c r="M466" s="21"/>
      <c r="N466" s="15"/>
      <c r="O466" s="15"/>
      <c r="P466" s="15"/>
      <c r="Q466" s="14" t="s">
        <v>3271</v>
      </c>
    </row>
    <row r="467" spans="4:17" x14ac:dyDescent="0.25">
      <c r="D467" s="15" t="s">
        <v>6140</v>
      </c>
      <c r="E467" s="14" t="s">
        <v>2655</v>
      </c>
      <c r="F467" s="15"/>
      <c r="G467" s="14"/>
      <c r="H467" s="15"/>
      <c r="I467" s="15"/>
      <c r="J467" s="14" t="str">
        <f t="shared" si="8"/>
        <v/>
      </c>
      <c r="K467" s="19"/>
      <c r="L467" s="20"/>
      <c r="M467" s="21"/>
      <c r="N467" s="15"/>
      <c r="O467" s="15"/>
      <c r="P467" s="15"/>
      <c r="Q467" s="14" t="s">
        <v>3272</v>
      </c>
    </row>
    <row r="468" spans="4:17" x14ac:dyDescent="0.25">
      <c r="D468" s="15" t="s">
        <v>6141</v>
      </c>
      <c r="E468" s="14" t="s">
        <v>2655</v>
      </c>
      <c r="F468" s="15"/>
      <c r="G468" s="14"/>
      <c r="H468" s="15"/>
      <c r="I468" s="15"/>
      <c r="J468" s="14" t="str">
        <f t="shared" si="8"/>
        <v/>
      </c>
      <c r="K468" s="19"/>
      <c r="L468" s="20"/>
      <c r="M468" s="21"/>
      <c r="N468" s="15"/>
      <c r="O468" s="15"/>
      <c r="P468" s="15"/>
      <c r="Q468" s="14" t="s">
        <v>3273</v>
      </c>
    </row>
    <row r="469" spans="4:17" x14ac:dyDescent="0.25">
      <c r="D469" s="15" t="s">
        <v>6142</v>
      </c>
      <c r="E469" s="14" t="s">
        <v>2655</v>
      </c>
      <c r="F469" s="15"/>
      <c r="G469" s="14"/>
      <c r="H469" s="15"/>
      <c r="I469" s="15"/>
      <c r="J469" s="14" t="str">
        <f t="shared" si="8"/>
        <v/>
      </c>
      <c r="K469" s="19"/>
      <c r="L469" s="20"/>
      <c r="M469" s="21"/>
      <c r="N469" s="15"/>
      <c r="O469" s="15"/>
      <c r="P469" s="15"/>
      <c r="Q469" s="14" t="s">
        <v>3274</v>
      </c>
    </row>
    <row r="470" spans="4:17" x14ac:dyDescent="0.25">
      <c r="D470" s="15" t="s">
        <v>6143</v>
      </c>
      <c r="E470" s="14" t="s">
        <v>2655</v>
      </c>
      <c r="F470" s="15"/>
      <c r="G470" s="14"/>
      <c r="H470" s="15"/>
      <c r="I470" s="15"/>
      <c r="J470" s="14" t="str">
        <f t="shared" si="8"/>
        <v/>
      </c>
      <c r="K470" s="19"/>
      <c r="L470" s="20"/>
      <c r="M470" s="21"/>
      <c r="N470" s="15"/>
      <c r="O470" s="15"/>
      <c r="P470" s="15"/>
      <c r="Q470" s="14" t="s">
        <v>3275</v>
      </c>
    </row>
    <row r="471" spans="4:17" x14ac:dyDescent="0.25">
      <c r="D471" s="15" t="s">
        <v>6144</v>
      </c>
      <c r="E471" s="14" t="s">
        <v>2655</v>
      </c>
      <c r="F471" s="15"/>
      <c r="G471" s="14"/>
      <c r="H471" s="15"/>
      <c r="I471" s="15"/>
      <c r="J471" s="14" t="str">
        <f t="shared" si="8"/>
        <v/>
      </c>
      <c r="K471" s="19"/>
      <c r="L471" s="20"/>
      <c r="M471" s="21"/>
      <c r="N471" s="15"/>
      <c r="O471" s="15"/>
      <c r="P471" s="15"/>
      <c r="Q471" s="14" t="s">
        <v>3276</v>
      </c>
    </row>
    <row r="472" spans="4:17" x14ac:dyDescent="0.25">
      <c r="D472" s="15" t="s">
        <v>6145</v>
      </c>
      <c r="E472" s="14" t="s">
        <v>2655</v>
      </c>
      <c r="F472" s="15"/>
      <c r="G472" s="14"/>
      <c r="H472" s="15"/>
      <c r="I472" s="15"/>
      <c r="J472" s="14" t="str">
        <f t="shared" si="8"/>
        <v/>
      </c>
      <c r="K472" s="19"/>
      <c r="L472" s="20"/>
      <c r="M472" s="21"/>
      <c r="N472" s="15"/>
      <c r="O472" s="15"/>
      <c r="P472" s="15"/>
      <c r="Q472" s="14" t="s">
        <v>3277</v>
      </c>
    </row>
    <row r="473" spans="4:17" x14ac:dyDescent="0.25">
      <c r="D473" s="15" t="s">
        <v>6146</v>
      </c>
      <c r="E473" s="14" t="s">
        <v>2655</v>
      </c>
      <c r="F473" s="15"/>
      <c r="G473" s="14"/>
      <c r="H473" s="15"/>
      <c r="I473" s="15"/>
      <c r="J473" s="14" t="str">
        <f t="shared" si="8"/>
        <v/>
      </c>
      <c r="K473" s="19"/>
      <c r="L473" s="20"/>
      <c r="M473" s="21"/>
      <c r="N473" s="15"/>
      <c r="O473" s="15"/>
      <c r="P473" s="15"/>
      <c r="Q473" s="14" t="s">
        <v>3278</v>
      </c>
    </row>
    <row r="474" spans="4:17" x14ac:dyDescent="0.25">
      <c r="D474" s="15" t="s">
        <v>6147</v>
      </c>
      <c r="E474" s="14" t="s">
        <v>2655</v>
      </c>
      <c r="F474" s="15"/>
      <c r="G474" s="14"/>
      <c r="H474" s="15"/>
      <c r="I474" s="15"/>
      <c r="J474" s="14" t="str">
        <f t="shared" si="8"/>
        <v/>
      </c>
      <c r="K474" s="19"/>
      <c r="L474" s="20"/>
      <c r="M474" s="21"/>
      <c r="N474" s="15"/>
      <c r="O474" s="15"/>
      <c r="P474" s="15"/>
      <c r="Q474" s="14" t="s">
        <v>3279</v>
      </c>
    </row>
    <row r="475" spans="4:17" x14ac:dyDescent="0.25">
      <c r="D475" s="15" t="s">
        <v>6148</v>
      </c>
      <c r="E475" s="14" t="s">
        <v>2655</v>
      </c>
      <c r="F475" s="15"/>
      <c r="G475" s="14"/>
      <c r="H475" s="15"/>
      <c r="I475" s="15"/>
      <c r="J475" s="14" t="str">
        <f t="shared" si="8"/>
        <v/>
      </c>
      <c r="K475" s="19"/>
      <c r="L475" s="20"/>
      <c r="M475" s="21"/>
      <c r="N475" s="15"/>
      <c r="O475" s="15"/>
      <c r="P475" s="15"/>
      <c r="Q475" s="14" t="s">
        <v>3280</v>
      </c>
    </row>
    <row r="476" spans="4:17" x14ac:dyDescent="0.25">
      <c r="D476" s="15" t="s">
        <v>6149</v>
      </c>
      <c r="E476" s="14" t="s">
        <v>2662</v>
      </c>
      <c r="F476" s="15"/>
      <c r="G476" s="14"/>
      <c r="H476" s="15"/>
      <c r="I476" s="15"/>
      <c r="J476" s="14" t="str">
        <f t="shared" si="8"/>
        <v/>
      </c>
      <c r="K476" s="19"/>
      <c r="L476" s="20"/>
      <c r="M476" s="21"/>
      <c r="N476" s="15"/>
      <c r="O476" s="15"/>
      <c r="P476" s="15"/>
      <c r="Q476" s="14" t="s">
        <v>3281</v>
      </c>
    </row>
    <row r="477" spans="4:17" x14ac:dyDescent="0.25">
      <c r="D477" s="15" t="s">
        <v>6150</v>
      </c>
      <c r="E477" s="14" t="s">
        <v>2662</v>
      </c>
      <c r="F477" s="15"/>
      <c r="G477" s="14"/>
      <c r="H477" s="15"/>
      <c r="I477" s="15"/>
      <c r="J477" s="14" t="str">
        <f t="shared" si="8"/>
        <v/>
      </c>
      <c r="K477" s="19"/>
      <c r="L477" s="20"/>
      <c r="M477" s="21"/>
      <c r="N477" s="15"/>
      <c r="O477" s="15"/>
      <c r="P477" s="15"/>
      <c r="Q477" s="14" t="s">
        <v>3282</v>
      </c>
    </row>
    <row r="478" spans="4:17" x14ac:dyDescent="0.25">
      <c r="D478" s="15" t="s">
        <v>6151</v>
      </c>
      <c r="E478" s="14" t="s">
        <v>2662</v>
      </c>
      <c r="F478" s="15"/>
      <c r="G478" s="14"/>
      <c r="H478" s="15"/>
      <c r="I478" s="15"/>
      <c r="J478" s="14" t="str">
        <f t="shared" si="8"/>
        <v/>
      </c>
      <c r="K478" s="19"/>
      <c r="L478" s="20"/>
      <c r="M478" s="21"/>
      <c r="N478" s="15"/>
      <c r="O478" s="15"/>
      <c r="P478" s="15"/>
      <c r="Q478" s="14" t="s">
        <v>3283</v>
      </c>
    </row>
    <row r="479" spans="4:17" x14ac:dyDescent="0.25">
      <c r="D479" s="15" t="s">
        <v>6152</v>
      </c>
      <c r="E479" s="14" t="s">
        <v>2662</v>
      </c>
      <c r="F479" s="15"/>
      <c r="G479" s="14"/>
      <c r="H479" s="15"/>
      <c r="I479" s="15"/>
      <c r="J479" s="14" t="str">
        <f t="shared" si="8"/>
        <v/>
      </c>
      <c r="K479" s="19"/>
      <c r="L479" s="20"/>
      <c r="M479" s="21"/>
      <c r="N479" s="15"/>
      <c r="O479" s="15"/>
      <c r="P479" s="15"/>
      <c r="Q479" s="14" t="s">
        <v>3284</v>
      </c>
    </row>
    <row r="480" spans="4:17" x14ac:dyDescent="0.25">
      <c r="D480" s="15" t="s">
        <v>6153</v>
      </c>
      <c r="E480" s="14" t="s">
        <v>2662</v>
      </c>
      <c r="F480" s="15"/>
      <c r="G480" s="14"/>
      <c r="H480" s="15"/>
      <c r="I480" s="15"/>
      <c r="J480" s="14" t="str">
        <f t="shared" si="8"/>
        <v/>
      </c>
      <c r="K480" s="19"/>
      <c r="L480" s="20"/>
      <c r="M480" s="21"/>
      <c r="N480" s="15"/>
      <c r="O480" s="15"/>
      <c r="P480" s="15"/>
      <c r="Q480" s="14" t="s">
        <v>3285</v>
      </c>
    </row>
    <row r="481" spans="4:17" x14ac:dyDescent="0.25">
      <c r="D481" s="15" t="s">
        <v>6154</v>
      </c>
      <c r="E481" s="14" t="s">
        <v>2662</v>
      </c>
      <c r="F481" s="15"/>
      <c r="G481" s="14"/>
      <c r="H481" s="15"/>
      <c r="I481" s="15"/>
      <c r="J481" s="14" t="str">
        <f t="shared" si="8"/>
        <v/>
      </c>
      <c r="K481" s="19"/>
      <c r="L481" s="20"/>
      <c r="M481" s="21"/>
      <c r="N481" s="15"/>
      <c r="O481" s="15"/>
      <c r="P481" s="15"/>
      <c r="Q481" s="14" t="s">
        <v>3286</v>
      </c>
    </row>
    <row r="482" spans="4:17" x14ac:dyDescent="0.25">
      <c r="D482" s="15" t="s">
        <v>6155</v>
      </c>
      <c r="E482" s="14" t="s">
        <v>2662</v>
      </c>
      <c r="F482" s="15"/>
      <c r="G482" s="14"/>
      <c r="H482" s="15"/>
      <c r="I482" s="15"/>
      <c r="J482" s="14" t="str">
        <f t="shared" si="8"/>
        <v/>
      </c>
      <c r="K482" s="19"/>
      <c r="L482" s="20"/>
      <c r="M482" s="21"/>
      <c r="N482" s="15"/>
      <c r="O482" s="15"/>
      <c r="P482" s="15"/>
      <c r="Q482" s="14" t="s">
        <v>3287</v>
      </c>
    </row>
    <row r="483" spans="4:17" x14ac:dyDescent="0.25">
      <c r="D483" s="15" t="s">
        <v>6156</v>
      </c>
      <c r="E483" s="14" t="s">
        <v>2662</v>
      </c>
      <c r="F483" s="15"/>
      <c r="G483" s="14"/>
      <c r="H483" s="15"/>
      <c r="I483" s="15"/>
      <c r="J483" s="14" t="str">
        <f t="shared" si="8"/>
        <v/>
      </c>
      <c r="K483" s="19"/>
      <c r="L483" s="20"/>
      <c r="M483" s="21"/>
      <c r="N483" s="15"/>
      <c r="O483" s="15"/>
      <c r="P483" s="15"/>
      <c r="Q483" s="14" t="s">
        <v>3288</v>
      </c>
    </row>
    <row r="484" spans="4:17" x14ac:dyDescent="0.25">
      <c r="D484" s="15" t="s">
        <v>6157</v>
      </c>
      <c r="E484" s="14" t="s">
        <v>2662</v>
      </c>
      <c r="F484" s="15"/>
      <c r="G484" s="14"/>
      <c r="H484" s="15"/>
      <c r="I484" s="15"/>
      <c r="J484" s="14" t="str">
        <f t="shared" si="8"/>
        <v/>
      </c>
      <c r="K484" s="19"/>
      <c r="L484" s="20"/>
      <c r="M484" s="21"/>
      <c r="N484" s="15"/>
      <c r="O484" s="15"/>
      <c r="P484" s="15"/>
      <c r="Q484" s="14" t="s">
        <v>3289</v>
      </c>
    </row>
    <row r="485" spans="4:17" x14ac:dyDescent="0.25">
      <c r="D485" s="15" t="s">
        <v>6158</v>
      </c>
      <c r="E485" s="14" t="s">
        <v>2662</v>
      </c>
      <c r="F485" s="15"/>
      <c r="G485" s="14"/>
      <c r="H485" s="15"/>
      <c r="I485" s="15"/>
      <c r="J485" s="14" t="str">
        <f t="shared" si="8"/>
        <v/>
      </c>
      <c r="K485" s="19"/>
      <c r="L485" s="20"/>
      <c r="M485" s="21"/>
      <c r="N485" s="15"/>
      <c r="O485" s="15"/>
      <c r="P485" s="15"/>
      <c r="Q485" s="14" t="s">
        <v>3290</v>
      </c>
    </row>
    <row r="486" spans="4:17" x14ac:dyDescent="0.25">
      <c r="D486" s="15" t="s">
        <v>6159</v>
      </c>
      <c r="E486" s="14" t="s">
        <v>2662</v>
      </c>
      <c r="F486" s="15"/>
      <c r="G486" s="14"/>
      <c r="H486" s="15"/>
      <c r="I486" s="15"/>
      <c r="J486" s="14" t="str">
        <f t="shared" si="8"/>
        <v/>
      </c>
      <c r="K486" s="19"/>
      <c r="L486" s="20"/>
      <c r="M486" s="21"/>
      <c r="N486" s="15"/>
      <c r="O486" s="15"/>
      <c r="P486" s="15"/>
      <c r="Q486" s="14" t="s">
        <v>3291</v>
      </c>
    </row>
    <row r="487" spans="4:17" x14ac:dyDescent="0.25">
      <c r="D487" s="15" t="s">
        <v>6160</v>
      </c>
      <c r="E487" s="14" t="s">
        <v>2662</v>
      </c>
      <c r="F487" s="15"/>
      <c r="G487" s="14"/>
      <c r="H487" s="15"/>
      <c r="I487" s="15"/>
      <c r="J487" s="14" t="str">
        <f t="shared" si="8"/>
        <v/>
      </c>
      <c r="K487" s="19"/>
      <c r="L487" s="20"/>
      <c r="M487" s="21"/>
      <c r="N487" s="15"/>
      <c r="O487" s="15"/>
      <c r="P487" s="15"/>
      <c r="Q487" s="14" t="s">
        <v>3292</v>
      </c>
    </row>
    <row r="488" spans="4:17" x14ac:dyDescent="0.25">
      <c r="D488" s="15" t="s">
        <v>6161</v>
      </c>
      <c r="E488" s="14" t="s">
        <v>2662</v>
      </c>
      <c r="F488" s="15"/>
      <c r="G488" s="14"/>
      <c r="H488" s="15"/>
      <c r="I488" s="15"/>
      <c r="J488" s="14" t="str">
        <f t="shared" si="8"/>
        <v/>
      </c>
      <c r="K488" s="19"/>
      <c r="L488" s="20"/>
      <c r="M488" s="21"/>
      <c r="N488" s="15"/>
      <c r="O488" s="15"/>
      <c r="P488" s="15"/>
      <c r="Q488" s="14" t="s">
        <v>3293</v>
      </c>
    </row>
    <row r="489" spans="4:17" x14ac:dyDescent="0.25">
      <c r="D489" s="15" t="s">
        <v>6162</v>
      </c>
      <c r="E489" s="14" t="s">
        <v>2662</v>
      </c>
      <c r="F489" s="15"/>
      <c r="G489" s="14"/>
      <c r="H489" s="15"/>
      <c r="I489" s="15"/>
      <c r="J489" s="14" t="str">
        <f t="shared" si="8"/>
        <v/>
      </c>
      <c r="K489" s="19"/>
      <c r="L489" s="20"/>
      <c r="M489" s="21"/>
      <c r="N489" s="15"/>
      <c r="O489" s="15"/>
      <c r="P489" s="15"/>
      <c r="Q489" s="14" t="s">
        <v>3294</v>
      </c>
    </row>
    <row r="490" spans="4:17" x14ac:dyDescent="0.25">
      <c r="D490" s="15" t="s">
        <v>6163</v>
      </c>
      <c r="E490" s="14" t="s">
        <v>2662</v>
      </c>
      <c r="F490" s="15"/>
      <c r="G490" s="14"/>
      <c r="H490" s="15"/>
      <c r="I490" s="15"/>
      <c r="J490" s="14" t="str">
        <f t="shared" si="8"/>
        <v/>
      </c>
      <c r="K490" s="19"/>
      <c r="L490" s="20"/>
      <c r="M490" s="21"/>
      <c r="N490" s="15"/>
      <c r="O490" s="15"/>
      <c r="P490" s="15"/>
      <c r="Q490" s="14" t="s">
        <v>3295</v>
      </c>
    </row>
    <row r="491" spans="4:17" x14ac:dyDescent="0.25">
      <c r="D491" s="15" t="s">
        <v>6164</v>
      </c>
      <c r="E491" s="14" t="s">
        <v>2662</v>
      </c>
      <c r="F491" s="15"/>
      <c r="G491" s="14"/>
      <c r="H491" s="15"/>
      <c r="I491" s="15"/>
      <c r="J491" s="14" t="str">
        <f t="shared" si="8"/>
        <v/>
      </c>
      <c r="K491" s="19"/>
      <c r="L491" s="20"/>
      <c r="M491" s="21"/>
      <c r="N491" s="15"/>
      <c r="O491" s="15"/>
      <c r="P491" s="15"/>
      <c r="Q491" s="14" t="s">
        <v>3296</v>
      </c>
    </row>
    <row r="492" spans="4:17" x14ac:dyDescent="0.25">
      <c r="D492" s="15" t="s">
        <v>6165</v>
      </c>
      <c r="E492" s="14" t="s">
        <v>2662</v>
      </c>
      <c r="F492" s="15"/>
      <c r="G492" s="14"/>
      <c r="H492" s="15"/>
      <c r="I492" s="15"/>
      <c r="J492" s="14" t="str">
        <f t="shared" si="8"/>
        <v/>
      </c>
      <c r="K492" s="19"/>
      <c r="L492" s="20"/>
      <c r="M492" s="21"/>
      <c r="N492" s="15"/>
      <c r="O492" s="15"/>
      <c r="P492" s="15"/>
      <c r="Q492" s="14" t="s">
        <v>3297</v>
      </c>
    </row>
    <row r="493" spans="4:17" x14ac:dyDescent="0.25">
      <c r="D493" s="15" t="s">
        <v>6166</v>
      </c>
      <c r="E493" s="14" t="s">
        <v>2662</v>
      </c>
      <c r="F493" s="15"/>
      <c r="G493" s="14"/>
      <c r="H493" s="15"/>
      <c r="I493" s="15"/>
      <c r="J493" s="14" t="str">
        <f t="shared" si="8"/>
        <v/>
      </c>
      <c r="K493" s="19"/>
      <c r="L493" s="20"/>
      <c r="M493" s="21"/>
      <c r="N493" s="15"/>
      <c r="O493" s="15"/>
      <c r="P493" s="15"/>
      <c r="Q493" s="14" t="s">
        <v>3298</v>
      </c>
    </row>
    <row r="494" spans="4:17" x14ac:dyDescent="0.25">
      <c r="D494" s="15" t="s">
        <v>6167</v>
      </c>
      <c r="E494" s="14" t="s">
        <v>2662</v>
      </c>
      <c r="F494" s="15"/>
      <c r="G494" s="14"/>
      <c r="H494" s="15"/>
      <c r="I494" s="15"/>
      <c r="J494" s="14" t="str">
        <f t="shared" si="8"/>
        <v/>
      </c>
      <c r="K494" s="19"/>
      <c r="L494" s="20"/>
      <c r="M494" s="21"/>
      <c r="N494" s="15"/>
      <c r="O494" s="15"/>
      <c r="P494" s="15"/>
      <c r="Q494" s="14" t="s">
        <v>3299</v>
      </c>
    </row>
    <row r="495" spans="4:17" x14ac:dyDescent="0.25">
      <c r="D495" s="15" t="s">
        <v>6168</v>
      </c>
      <c r="E495" s="14" t="s">
        <v>2662</v>
      </c>
      <c r="F495" s="15"/>
      <c r="G495" s="14"/>
      <c r="H495" s="15"/>
      <c r="I495" s="15"/>
      <c r="J495" s="14" t="str">
        <f t="shared" si="8"/>
        <v/>
      </c>
      <c r="K495" s="19"/>
      <c r="L495" s="20"/>
      <c r="M495" s="21"/>
      <c r="N495" s="15"/>
      <c r="O495" s="15"/>
      <c r="P495" s="15"/>
      <c r="Q495" s="14" t="s">
        <v>3300</v>
      </c>
    </row>
    <row r="496" spans="4:17" x14ac:dyDescent="0.25">
      <c r="D496" s="15" t="s">
        <v>6169</v>
      </c>
      <c r="E496" s="14" t="s">
        <v>2669</v>
      </c>
      <c r="F496" s="15"/>
      <c r="G496" s="14"/>
      <c r="H496" s="15"/>
      <c r="I496" s="15"/>
      <c r="J496" s="14" t="str">
        <f t="shared" si="8"/>
        <v/>
      </c>
      <c r="K496" s="19"/>
      <c r="L496" s="20"/>
      <c r="M496" s="21"/>
      <c r="N496" s="15"/>
      <c r="O496" s="15"/>
      <c r="P496" s="15"/>
      <c r="Q496" s="14" t="s">
        <v>3301</v>
      </c>
    </row>
    <row r="497" spans="4:17" x14ac:dyDescent="0.25">
      <c r="D497" s="15" t="s">
        <v>6170</v>
      </c>
      <c r="E497" s="14" t="s">
        <v>2669</v>
      </c>
      <c r="F497" s="15"/>
      <c r="G497" s="14"/>
      <c r="H497" s="15"/>
      <c r="I497" s="15"/>
      <c r="J497" s="14" t="str">
        <f t="shared" si="8"/>
        <v/>
      </c>
      <c r="K497" s="19"/>
      <c r="L497" s="20"/>
      <c r="M497" s="21"/>
      <c r="N497" s="15"/>
      <c r="O497" s="15"/>
      <c r="P497" s="15"/>
      <c r="Q497" s="14" t="s">
        <v>3302</v>
      </c>
    </row>
    <row r="498" spans="4:17" x14ac:dyDescent="0.25">
      <c r="D498" s="15" t="s">
        <v>6171</v>
      </c>
      <c r="E498" s="14" t="s">
        <v>2669</v>
      </c>
      <c r="F498" s="15"/>
      <c r="G498" s="14"/>
      <c r="H498" s="15"/>
      <c r="I498" s="15"/>
      <c r="J498" s="14" t="str">
        <f t="shared" si="8"/>
        <v/>
      </c>
      <c r="K498" s="19"/>
      <c r="L498" s="20"/>
      <c r="M498" s="21"/>
      <c r="N498" s="15"/>
      <c r="O498" s="15"/>
      <c r="P498" s="15"/>
      <c r="Q498" s="14" t="s">
        <v>3303</v>
      </c>
    </row>
    <row r="499" spans="4:17" x14ac:dyDescent="0.25">
      <c r="D499" s="15" t="s">
        <v>6172</v>
      </c>
      <c r="E499" s="14" t="s">
        <v>2669</v>
      </c>
      <c r="F499" s="15"/>
      <c r="G499" s="14"/>
      <c r="H499" s="15"/>
      <c r="I499" s="15"/>
      <c r="J499" s="14" t="str">
        <f t="shared" si="8"/>
        <v/>
      </c>
      <c r="K499" s="19"/>
      <c r="L499" s="20"/>
      <c r="M499" s="21"/>
      <c r="N499" s="15"/>
      <c r="O499" s="15"/>
      <c r="P499" s="15"/>
      <c r="Q499" s="14" t="s">
        <v>3304</v>
      </c>
    </row>
    <row r="500" spans="4:17" x14ac:dyDescent="0.25">
      <c r="D500" s="15" t="s">
        <v>6173</v>
      </c>
      <c r="E500" s="14" t="s">
        <v>2669</v>
      </c>
      <c r="F500" s="15"/>
      <c r="G500" s="14"/>
      <c r="H500" s="15"/>
      <c r="I500" s="15"/>
      <c r="J500" s="14" t="str">
        <f t="shared" si="8"/>
        <v/>
      </c>
      <c r="K500" s="19"/>
      <c r="L500" s="20"/>
      <c r="M500" s="21"/>
      <c r="N500" s="15"/>
      <c r="O500" s="15"/>
      <c r="P500" s="15"/>
      <c r="Q500" s="14" t="s">
        <v>3305</v>
      </c>
    </row>
    <row r="501" spans="4:17" x14ac:dyDescent="0.25">
      <c r="D501" s="15" t="s">
        <v>6174</v>
      </c>
      <c r="E501" s="14" t="s">
        <v>2669</v>
      </c>
      <c r="F501" s="15"/>
      <c r="G501" s="14"/>
      <c r="H501" s="15"/>
      <c r="I501" s="15"/>
      <c r="J501" s="14" t="str">
        <f t="shared" si="8"/>
        <v/>
      </c>
      <c r="K501" s="19"/>
      <c r="L501" s="20"/>
      <c r="M501" s="21"/>
      <c r="N501" s="15"/>
      <c r="O501" s="15"/>
      <c r="P501" s="15"/>
      <c r="Q501" s="14" t="s">
        <v>3306</v>
      </c>
    </row>
    <row r="502" spans="4:17" x14ac:dyDescent="0.25">
      <c r="D502" s="15" t="s">
        <v>6175</v>
      </c>
      <c r="E502" s="14" t="s">
        <v>2669</v>
      </c>
      <c r="F502" s="15"/>
      <c r="G502" s="14"/>
      <c r="H502" s="15"/>
      <c r="I502" s="15"/>
      <c r="J502" s="14" t="str">
        <f t="shared" si="8"/>
        <v/>
      </c>
      <c r="K502" s="19"/>
      <c r="L502" s="20"/>
      <c r="M502" s="21"/>
      <c r="N502" s="15"/>
      <c r="O502" s="15"/>
      <c r="P502" s="15"/>
      <c r="Q502" s="14" t="s">
        <v>3307</v>
      </c>
    </row>
    <row r="503" spans="4:17" x14ac:dyDescent="0.25">
      <c r="D503" s="15" t="s">
        <v>6176</v>
      </c>
      <c r="E503" s="14" t="s">
        <v>2669</v>
      </c>
      <c r="F503" s="15"/>
      <c r="G503" s="14"/>
      <c r="H503" s="15"/>
      <c r="I503" s="15"/>
      <c r="J503" s="14" t="str">
        <f t="shared" si="8"/>
        <v/>
      </c>
      <c r="K503" s="19"/>
      <c r="L503" s="20"/>
      <c r="M503" s="21"/>
      <c r="N503" s="15"/>
      <c r="O503" s="15"/>
      <c r="P503" s="15"/>
      <c r="Q503" s="14" t="s">
        <v>3308</v>
      </c>
    </row>
    <row r="504" spans="4:17" x14ac:dyDescent="0.25">
      <c r="D504" s="15" t="s">
        <v>6177</v>
      </c>
      <c r="E504" s="14" t="s">
        <v>2669</v>
      </c>
      <c r="F504" s="15"/>
      <c r="G504" s="14"/>
      <c r="H504" s="15"/>
      <c r="I504" s="15"/>
      <c r="J504" s="14" t="str">
        <f t="shared" si="8"/>
        <v/>
      </c>
      <c r="K504" s="19"/>
      <c r="L504" s="20"/>
      <c r="M504" s="21"/>
      <c r="N504" s="15"/>
      <c r="O504" s="15"/>
      <c r="P504" s="15"/>
      <c r="Q504" s="14" t="s">
        <v>3309</v>
      </c>
    </row>
    <row r="505" spans="4:17" x14ac:dyDescent="0.25">
      <c r="D505" s="15" t="s">
        <v>6178</v>
      </c>
      <c r="E505" s="14" t="s">
        <v>2669</v>
      </c>
      <c r="F505" s="15"/>
      <c r="G505" s="14"/>
      <c r="H505" s="15"/>
      <c r="I505" s="15"/>
      <c r="J505" s="14" t="str">
        <f t="shared" si="8"/>
        <v/>
      </c>
      <c r="K505" s="19"/>
      <c r="L505" s="20"/>
      <c r="M505" s="21"/>
      <c r="N505" s="15"/>
      <c r="O505" s="15"/>
      <c r="P505" s="15"/>
      <c r="Q505" s="14" t="s">
        <v>3310</v>
      </c>
    </row>
    <row r="506" spans="4:17" x14ac:dyDescent="0.25">
      <c r="D506" s="15" t="s">
        <v>6179</v>
      </c>
      <c r="E506" s="14" t="s">
        <v>2669</v>
      </c>
      <c r="F506" s="15"/>
      <c r="G506" s="14"/>
      <c r="H506" s="15"/>
      <c r="I506" s="15"/>
      <c r="J506" s="14" t="str">
        <f t="shared" si="8"/>
        <v/>
      </c>
      <c r="K506" s="19"/>
      <c r="L506" s="20"/>
      <c r="M506" s="21"/>
      <c r="N506" s="15"/>
      <c r="O506" s="15"/>
      <c r="P506" s="15"/>
      <c r="Q506" s="14" t="s">
        <v>3311</v>
      </c>
    </row>
    <row r="507" spans="4:17" x14ac:dyDescent="0.25">
      <c r="D507" s="15" t="s">
        <v>6180</v>
      </c>
      <c r="E507" s="14" t="s">
        <v>2669</v>
      </c>
      <c r="F507" s="15"/>
      <c r="G507" s="14"/>
      <c r="H507" s="15"/>
      <c r="I507" s="15"/>
      <c r="J507" s="14" t="str">
        <f t="shared" si="8"/>
        <v/>
      </c>
      <c r="K507" s="19"/>
      <c r="L507" s="20"/>
      <c r="M507" s="21"/>
      <c r="N507" s="15"/>
      <c r="O507" s="15"/>
      <c r="P507" s="15"/>
      <c r="Q507" s="14" t="s">
        <v>3312</v>
      </c>
    </row>
    <row r="508" spans="4:17" x14ac:dyDescent="0.25">
      <c r="D508" s="15" t="s">
        <v>6181</v>
      </c>
      <c r="E508" s="14" t="s">
        <v>2669</v>
      </c>
      <c r="F508" s="15"/>
      <c r="G508" s="14"/>
      <c r="H508" s="15"/>
      <c r="I508" s="15"/>
      <c r="J508" s="14" t="str">
        <f t="shared" ref="J508:J571" si="9">F508&amp;H508&amp;I508</f>
        <v/>
      </c>
      <c r="K508" s="19"/>
      <c r="L508" s="20"/>
      <c r="M508" s="21"/>
      <c r="N508" s="15"/>
      <c r="O508" s="15"/>
      <c r="P508" s="15"/>
      <c r="Q508" s="14" t="s">
        <v>3313</v>
      </c>
    </row>
    <row r="509" spans="4:17" x14ac:dyDescent="0.25">
      <c r="D509" s="15" t="s">
        <v>6182</v>
      </c>
      <c r="E509" s="14" t="s">
        <v>2669</v>
      </c>
      <c r="F509" s="15"/>
      <c r="G509" s="14"/>
      <c r="H509" s="15"/>
      <c r="I509" s="15"/>
      <c r="J509" s="14" t="str">
        <f t="shared" si="9"/>
        <v/>
      </c>
      <c r="K509" s="19"/>
      <c r="L509" s="20"/>
      <c r="M509" s="21"/>
      <c r="N509" s="15"/>
      <c r="O509" s="15"/>
      <c r="P509" s="15"/>
      <c r="Q509" s="14" t="s">
        <v>3314</v>
      </c>
    </row>
    <row r="510" spans="4:17" x14ac:dyDescent="0.25">
      <c r="D510" s="15" t="s">
        <v>6183</v>
      </c>
      <c r="E510" s="14" t="s">
        <v>2669</v>
      </c>
      <c r="F510" s="15"/>
      <c r="G510" s="14"/>
      <c r="H510" s="15"/>
      <c r="I510" s="15"/>
      <c r="J510" s="14" t="str">
        <f t="shared" si="9"/>
        <v/>
      </c>
      <c r="K510" s="19"/>
      <c r="L510" s="20"/>
      <c r="M510" s="21"/>
      <c r="N510" s="15"/>
      <c r="O510" s="15"/>
      <c r="P510" s="15"/>
      <c r="Q510" s="14" t="s">
        <v>3315</v>
      </c>
    </row>
    <row r="511" spans="4:17" x14ac:dyDescent="0.25">
      <c r="D511" s="15" t="s">
        <v>6184</v>
      </c>
      <c r="E511" s="14" t="s">
        <v>2669</v>
      </c>
      <c r="F511" s="15"/>
      <c r="G511" s="14"/>
      <c r="H511" s="15"/>
      <c r="I511" s="15"/>
      <c r="J511" s="14" t="str">
        <f t="shared" si="9"/>
        <v/>
      </c>
      <c r="K511" s="19"/>
      <c r="L511" s="20"/>
      <c r="M511" s="21"/>
      <c r="N511" s="15"/>
      <c r="O511" s="15"/>
      <c r="P511" s="15"/>
      <c r="Q511" s="14" t="s">
        <v>3316</v>
      </c>
    </row>
    <row r="512" spans="4:17" x14ac:dyDescent="0.25">
      <c r="D512" s="15" t="s">
        <v>6185</v>
      </c>
      <c r="E512" s="14" t="s">
        <v>2669</v>
      </c>
      <c r="F512" s="15"/>
      <c r="G512" s="14"/>
      <c r="H512" s="15"/>
      <c r="I512" s="15"/>
      <c r="J512" s="14" t="str">
        <f t="shared" si="9"/>
        <v/>
      </c>
      <c r="K512" s="19"/>
      <c r="L512" s="20"/>
      <c r="M512" s="21"/>
      <c r="N512" s="15"/>
      <c r="O512" s="15"/>
      <c r="P512" s="15"/>
      <c r="Q512" s="14" t="s">
        <v>3317</v>
      </c>
    </row>
    <row r="513" spans="4:17" x14ac:dyDescent="0.25">
      <c r="D513" s="15" t="s">
        <v>6186</v>
      </c>
      <c r="E513" s="14" t="s">
        <v>2669</v>
      </c>
      <c r="F513" s="15"/>
      <c r="G513" s="14"/>
      <c r="H513" s="15"/>
      <c r="I513" s="15"/>
      <c r="J513" s="14" t="str">
        <f t="shared" si="9"/>
        <v/>
      </c>
      <c r="K513" s="19"/>
      <c r="L513" s="20"/>
      <c r="M513" s="21"/>
      <c r="N513" s="15"/>
      <c r="O513" s="15"/>
      <c r="P513" s="15"/>
      <c r="Q513" s="14" t="s">
        <v>3318</v>
      </c>
    </row>
    <row r="514" spans="4:17" x14ac:dyDescent="0.25">
      <c r="D514" s="15" t="s">
        <v>6187</v>
      </c>
      <c r="E514" s="14" t="s">
        <v>2669</v>
      </c>
      <c r="F514" s="15"/>
      <c r="G514" s="14"/>
      <c r="H514" s="15"/>
      <c r="I514" s="15"/>
      <c r="J514" s="14" t="str">
        <f t="shared" si="9"/>
        <v/>
      </c>
      <c r="K514" s="19"/>
      <c r="L514" s="20"/>
      <c r="M514" s="21"/>
      <c r="N514" s="15"/>
      <c r="O514" s="15"/>
      <c r="P514" s="15"/>
      <c r="Q514" s="14" t="s">
        <v>3319</v>
      </c>
    </row>
    <row r="515" spans="4:17" x14ac:dyDescent="0.25">
      <c r="D515" s="15" t="s">
        <v>6188</v>
      </c>
      <c r="E515" s="14" t="s">
        <v>2669</v>
      </c>
      <c r="F515" s="15"/>
      <c r="G515" s="14"/>
      <c r="H515" s="15"/>
      <c r="I515" s="15"/>
      <c r="J515" s="14" t="str">
        <f t="shared" si="9"/>
        <v/>
      </c>
      <c r="K515" s="19"/>
      <c r="L515" s="20"/>
      <c r="M515" s="21"/>
      <c r="N515" s="15"/>
      <c r="O515" s="15"/>
      <c r="P515" s="15"/>
      <c r="Q515" s="14" t="s">
        <v>3320</v>
      </c>
    </row>
    <row r="516" spans="4:17" x14ac:dyDescent="0.25">
      <c r="D516" s="15" t="s">
        <v>6189</v>
      </c>
      <c r="E516" s="14" t="s">
        <v>2676</v>
      </c>
      <c r="F516" s="15"/>
      <c r="G516" s="14"/>
      <c r="H516" s="15"/>
      <c r="I516" s="15"/>
      <c r="J516" s="14" t="str">
        <f t="shared" si="9"/>
        <v/>
      </c>
      <c r="K516" s="19"/>
      <c r="L516" s="20"/>
      <c r="M516" s="21"/>
      <c r="N516" s="15"/>
      <c r="O516" s="15"/>
      <c r="P516" s="15"/>
      <c r="Q516" s="14" t="s">
        <v>3321</v>
      </c>
    </row>
    <row r="517" spans="4:17" x14ac:dyDescent="0.25">
      <c r="D517" s="15" t="s">
        <v>6190</v>
      </c>
      <c r="E517" s="14" t="s">
        <v>2676</v>
      </c>
      <c r="F517" s="15"/>
      <c r="G517" s="14"/>
      <c r="H517" s="15"/>
      <c r="I517" s="15"/>
      <c r="J517" s="14" t="str">
        <f t="shared" si="9"/>
        <v/>
      </c>
      <c r="K517" s="19"/>
      <c r="L517" s="20"/>
      <c r="M517" s="21"/>
      <c r="N517" s="15"/>
      <c r="O517" s="15"/>
      <c r="P517" s="15"/>
      <c r="Q517" s="14" t="s">
        <v>3322</v>
      </c>
    </row>
    <row r="518" spans="4:17" x14ac:dyDescent="0.25">
      <c r="D518" s="15" t="s">
        <v>6191</v>
      </c>
      <c r="E518" s="14" t="s">
        <v>2676</v>
      </c>
      <c r="F518" s="15"/>
      <c r="G518" s="14"/>
      <c r="H518" s="15"/>
      <c r="I518" s="15"/>
      <c r="J518" s="14" t="str">
        <f t="shared" si="9"/>
        <v/>
      </c>
      <c r="K518" s="19"/>
      <c r="L518" s="20"/>
      <c r="M518" s="21"/>
      <c r="N518" s="15"/>
      <c r="O518" s="15"/>
      <c r="P518" s="15"/>
      <c r="Q518" s="14" t="s">
        <v>3323</v>
      </c>
    </row>
    <row r="519" spans="4:17" x14ac:dyDescent="0.25">
      <c r="D519" s="15" t="s">
        <v>6192</v>
      </c>
      <c r="E519" s="14" t="s">
        <v>2676</v>
      </c>
      <c r="F519" s="15"/>
      <c r="G519" s="14"/>
      <c r="H519" s="15"/>
      <c r="I519" s="15"/>
      <c r="J519" s="14" t="str">
        <f t="shared" si="9"/>
        <v/>
      </c>
      <c r="K519" s="19"/>
      <c r="L519" s="20"/>
      <c r="M519" s="21"/>
      <c r="N519" s="15"/>
      <c r="O519" s="15"/>
      <c r="P519" s="15"/>
      <c r="Q519" s="14" t="s">
        <v>3324</v>
      </c>
    </row>
    <row r="520" spans="4:17" x14ac:dyDescent="0.25">
      <c r="D520" s="15" t="s">
        <v>6193</v>
      </c>
      <c r="E520" s="14" t="s">
        <v>2676</v>
      </c>
      <c r="F520" s="15"/>
      <c r="G520" s="14"/>
      <c r="H520" s="15"/>
      <c r="I520" s="15"/>
      <c r="J520" s="14" t="str">
        <f t="shared" si="9"/>
        <v/>
      </c>
      <c r="K520" s="19"/>
      <c r="L520" s="20"/>
      <c r="M520" s="21"/>
      <c r="N520" s="15"/>
      <c r="O520" s="15"/>
      <c r="P520" s="15"/>
      <c r="Q520" s="14" t="s">
        <v>3325</v>
      </c>
    </row>
    <row r="521" spans="4:17" x14ac:dyDescent="0.25">
      <c r="D521" s="15" t="s">
        <v>6194</v>
      </c>
      <c r="E521" s="14" t="s">
        <v>2676</v>
      </c>
      <c r="F521" s="15"/>
      <c r="G521" s="14"/>
      <c r="H521" s="15"/>
      <c r="I521" s="15"/>
      <c r="J521" s="14" t="str">
        <f t="shared" si="9"/>
        <v/>
      </c>
      <c r="K521" s="19"/>
      <c r="L521" s="20"/>
      <c r="M521" s="21"/>
      <c r="N521" s="15"/>
      <c r="O521" s="15"/>
      <c r="P521" s="15"/>
      <c r="Q521" s="14" t="s">
        <v>3326</v>
      </c>
    </row>
    <row r="522" spans="4:17" x14ac:dyDescent="0.25">
      <c r="D522" s="15" t="s">
        <v>6195</v>
      </c>
      <c r="E522" s="14" t="s">
        <v>2676</v>
      </c>
      <c r="F522" s="15"/>
      <c r="G522" s="14"/>
      <c r="H522" s="15"/>
      <c r="I522" s="15"/>
      <c r="J522" s="14" t="str">
        <f t="shared" si="9"/>
        <v/>
      </c>
      <c r="K522" s="19"/>
      <c r="L522" s="20"/>
      <c r="M522" s="21"/>
      <c r="N522" s="15"/>
      <c r="O522" s="15"/>
      <c r="P522" s="15"/>
      <c r="Q522" s="14" t="s">
        <v>3327</v>
      </c>
    </row>
    <row r="523" spans="4:17" x14ac:dyDescent="0.25">
      <c r="D523" s="15" t="s">
        <v>6196</v>
      </c>
      <c r="E523" s="14" t="s">
        <v>2676</v>
      </c>
      <c r="F523" s="15"/>
      <c r="G523" s="14"/>
      <c r="H523" s="15"/>
      <c r="I523" s="15"/>
      <c r="J523" s="14" t="str">
        <f t="shared" si="9"/>
        <v/>
      </c>
      <c r="K523" s="19"/>
      <c r="L523" s="20"/>
      <c r="M523" s="21"/>
      <c r="N523" s="15"/>
      <c r="O523" s="15"/>
      <c r="P523" s="15"/>
      <c r="Q523" s="14" t="s">
        <v>3328</v>
      </c>
    </row>
    <row r="524" spans="4:17" x14ac:dyDescent="0.25">
      <c r="D524" s="15" t="s">
        <v>6197</v>
      </c>
      <c r="E524" s="14" t="s">
        <v>2676</v>
      </c>
      <c r="F524" s="15"/>
      <c r="G524" s="14"/>
      <c r="H524" s="15"/>
      <c r="I524" s="15"/>
      <c r="J524" s="14" t="str">
        <f t="shared" si="9"/>
        <v/>
      </c>
      <c r="K524" s="19"/>
      <c r="L524" s="20"/>
      <c r="M524" s="21"/>
      <c r="N524" s="15"/>
      <c r="O524" s="15"/>
      <c r="P524" s="15"/>
      <c r="Q524" s="14" t="s">
        <v>3329</v>
      </c>
    </row>
    <row r="525" spans="4:17" x14ac:dyDescent="0.25">
      <c r="D525" s="15" t="s">
        <v>6198</v>
      </c>
      <c r="E525" s="14" t="s">
        <v>2676</v>
      </c>
      <c r="F525" s="15"/>
      <c r="G525" s="14"/>
      <c r="H525" s="15"/>
      <c r="I525" s="15"/>
      <c r="J525" s="14" t="str">
        <f t="shared" si="9"/>
        <v/>
      </c>
      <c r="K525" s="19"/>
      <c r="L525" s="20"/>
      <c r="M525" s="21"/>
      <c r="N525" s="15"/>
      <c r="O525" s="15"/>
      <c r="P525" s="15"/>
      <c r="Q525" s="14" t="s">
        <v>3330</v>
      </c>
    </row>
    <row r="526" spans="4:17" x14ac:dyDescent="0.25">
      <c r="D526" s="15" t="s">
        <v>6199</v>
      </c>
      <c r="E526" s="14" t="s">
        <v>2676</v>
      </c>
      <c r="F526" s="15"/>
      <c r="G526" s="14"/>
      <c r="H526" s="15"/>
      <c r="I526" s="15"/>
      <c r="J526" s="14" t="str">
        <f t="shared" si="9"/>
        <v/>
      </c>
      <c r="K526" s="19"/>
      <c r="L526" s="20"/>
      <c r="M526" s="21"/>
      <c r="N526" s="15"/>
      <c r="O526" s="15"/>
      <c r="P526" s="15"/>
      <c r="Q526" s="14" t="s">
        <v>3331</v>
      </c>
    </row>
    <row r="527" spans="4:17" x14ac:dyDescent="0.25">
      <c r="D527" s="15" t="s">
        <v>6200</v>
      </c>
      <c r="E527" s="14" t="s">
        <v>2676</v>
      </c>
      <c r="F527" s="15"/>
      <c r="G527" s="14"/>
      <c r="H527" s="15"/>
      <c r="I527" s="15"/>
      <c r="J527" s="14" t="str">
        <f t="shared" si="9"/>
        <v/>
      </c>
      <c r="K527" s="19"/>
      <c r="L527" s="20"/>
      <c r="M527" s="21"/>
      <c r="N527" s="15"/>
      <c r="O527" s="15"/>
      <c r="P527" s="15"/>
      <c r="Q527" s="14" t="s">
        <v>3332</v>
      </c>
    </row>
    <row r="528" spans="4:17" x14ac:dyDescent="0.25">
      <c r="D528" s="15" t="s">
        <v>6201</v>
      </c>
      <c r="E528" s="14" t="s">
        <v>2676</v>
      </c>
      <c r="F528" s="15"/>
      <c r="G528" s="14"/>
      <c r="H528" s="15"/>
      <c r="I528" s="15"/>
      <c r="J528" s="14" t="str">
        <f t="shared" si="9"/>
        <v/>
      </c>
      <c r="K528" s="19"/>
      <c r="L528" s="20"/>
      <c r="M528" s="21"/>
      <c r="N528" s="15"/>
      <c r="O528" s="15"/>
      <c r="P528" s="15"/>
      <c r="Q528" s="14" t="s">
        <v>3333</v>
      </c>
    </row>
    <row r="529" spans="4:17" x14ac:dyDescent="0.25">
      <c r="D529" s="15" t="s">
        <v>6202</v>
      </c>
      <c r="E529" s="14" t="s">
        <v>2676</v>
      </c>
      <c r="F529" s="15"/>
      <c r="G529" s="14"/>
      <c r="H529" s="15"/>
      <c r="I529" s="15"/>
      <c r="J529" s="14" t="str">
        <f t="shared" si="9"/>
        <v/>
      </c>
      <c r="K529" s="19"/>
      <c r="L529" s="20"/>
      <c r="M529" s="21"/>
      <c r="N529" s="15"/>
      <c r="O529" s="15"/>
      <c r="P529" s="15"/>
      <c r="Q529" s="14" t="s">
        <v>3334</v>
      </c>
    </row>
    <row r="530" spans="4:17" x14ac:dyDescent="0.25">
      <c r="D530" s="15" t="s">
        <v>6203</v>
      </c>
      <c r="E530" s="14" t="s">
        <v>2676</v>
      </c>
      <c r="F530" s="15"/>
      <c r="G530" s="14"/>
      <c r="H530" s="15"/>
      <c r="I530" s="15"/>
      <c r="J530" s="14" t="str">
        <f t="shared" si="9"/>
        <v/>
      </c>
      <c r="K530" s="19"/>
      <c r="L530" s="20"/>
      <c r="M530" s="21"/>
      <c r="N530" s="15"/>
      <c r="O530" s="15"/>
      <c r="P530" s="15"/>
      <c r="Q530" s="14" t="s">
        <v>3335</v>
      </c>
    </row>
    <row r="531" spans="4:17" x14ac:dyDescent="0.25">
      <c r="D531" s="15" t="s">
        <v>6204</v>
      </c>
      <c r="E531" s="14" t="s">
        <v>2676</v>
      </c>
      <c r="F531" s="15"/>
      <c r="G531" s="14"/>
      <c r="H531" s="15"/>
      <c r="I531" s="15"/>
      <c r="J531" s="14" t="str">
        <f t="shared" si="9"/>
        <v/>
      </c>
      <c r="K531" s="19"/>
      <c r="L531" s="20"/>
      <c r="M531" s="21"/>
      <c r="N531" s="15"/>
      <c r="O531" s="15"/>
      <c r="P531" s="15"/>
      <c r="Q531" s="14" t="s">
        <v>3336</v>
      </c>
    </row>
    <row r="532" spans="4:17" x14ac:dyDescent="0.25">
      <c r="D532" s="15" t="s">
        <v>6205</v>
      </c>
      <c r="E532" s="14" t="s">
        <v>2676</v>
      </c>
      <c r="F532" s="15"/>
      <c r="G532" s="14"/>
      <c r="H532" s="15"/>
      <c r="I532" s="15"/>
      <c r="J532" s="14" t="str">
        <f t="shared" si="9"/>
        <v/>
      </c>
      <c r="K532" s="19"/>
      <c r="L532" s="20"/>
      <c r="M532" s="21"/>
      <c r="N532" s="15"/>
      <c r="O532" s="15"/>
      <c r="P532" s="15"/>
      <c r="Q532" s="14" t="s">
        <v>3337</v>
      </c>
    </row>
    <row r="533" spans="4:17" x14ac:dyDescent="0.25">
      <c r="D533" s="15" t="s">
        <v>6206</v>
      </c>
      <c r="E533" s="14" t="s">
        <v>2676</v>
      </c>
      <c r="F533" s="15"/>
      <c r="G533" s="14"/>
      <c r="H533" s="15"/>
      <c r="I533" s="15"/>
      <c r="J533" s="14" t="str">
        <f t="shared" si="9"/>
        <v/>
      </c>
      <c r="K533" s="19"/>
      <c r="L533" s="20"/>
      <c r="M533" s="21"/>
      <c r="N533" s="15"/>
      <c r="O533" s="15"/>
      <c r="P533" s="15"/>
      <c r="Q533" s="14" t="s">
        <v>3338</v>
      </c>
    </row>
    <row r="534" spans="4:17" x14ac:dyDescent="0.25">
      <c r="D534" s="15" t="s">
        <v>6207</v>
      </c>
      <c r="E534" s="14" t="s">
        <v>2676</v>
      </c>
      <c r="F534" s="15"/>
      <c r="G534" s="14"/>
      <c r="H534" s="15"/>
      <c r="I534" s="15"/>
      <c r="J534" s="14" t="str">
        <f t="shared" si="9"/>
        <v/>
      </c>
      <c r="K534" s="19"/>
      <c r="L534" s="20"/>
      <c r="M534" s="21"/>
      <c r="N534" s="15"/>
      <c r="O534" s="15"/>
      <c r="P534" s="15"/>
      <c r="Q534" s="14" t="s">
        <v>3339</v>
      </c>
    </row>
    <row r="535" spans="4:17" x14ac:dyDescent="0.25">
      <c r="D535" s="15" t="s">
        <v>6208</v>
      </c>
      <c r="E535" s="14" t="s">
        <v>2676</v>
      </c>
      <c r="F535" s="15"/>
      <c r="G535" s="14"/>
      <c r="H535" s="15"/>
      <c r="I535" s="15"/>
      <c r="J535" s="14" t="str">
        <f t="shared" si="9"/>
        <v/>
      </c>
      <c r="K535" s="19"/>
      <c r="L535" s="20"/>
      <c r="M535" s="21"/>
      <c r="N535" s="15"/>
      <c r="O535" s="15"/>
      <c r="P535" s="15"/>
      <c r="Q535" s="14" t="s">
        <v>3340</v>
      </c>
    </row>
    <row r="536" spans="4:17" x14ac:dyDescent="0.25">
      <c r="D536" s="15" t="s">
        <v>6209</v>
      </c>
      <c r="E536" s="14" t="s">
        <v>2683</v>
      </c>
      <c r="F536" s="15"/>
      <c r="G536" s="14"/>
      <c r="H536" s="15"/>
      <c r="I536" s="15"/>
      <c r="J536" s="14" t="str">
        <f t="shared" si="9"/>
        <v/>
      </c>
      <c r="K536" s="19"/>
      <c r="L536" s="20"/>
      <c r="M536" s="21"/>
      <c r="N536" s="15"/>
      <c r="O536" s="15"/>
      <c r="P536" s="15"/>
      <c r="Q536" s="14" t="s">
        <v>3341</v>
      </c>
    </row>
    <row r="537" spans="4:17" x14ac:dyDescent="0.25">
      <c r="D537" s="15" t="s">
        <v>6210</v>
      </c>
      <c r="E537" s="14" t="s">
        <v>2683</v>
      </c>
      <c r="F537" s="15"/>
      <c r="G537" s="14"/>
      <c r="H537" s="15"/>
      <c r="I537" s="15"/>
      <c r="J537" s="14" t="str">
        <f t="shared" si="9"/>
        <v/>
      </c>
      <c r="K537" s="19"/>
      <c r="L537" s="20"/>
      <c r="M537" s="21"/>
      <c r="N537" s="15"/>
      <c r="O537" s="15"/>
      <c r="P537" s="15"/>
      <c r="Q537" s="14" t="s">
        <v>3342</v>
      </c>
    </row>
    <row r="538" spans="4:17" x14ac:dyDescent="0.25">
      <c r="D538" s="15" t="s">
        <v>6211</v>
      </c>
      <c r="E538" s="14" t="s">
        <v>2683</v>
      </c>
      <c r="F538" s="15"/>
      <c r="G538" s="14"/>
      <c r="H538" s="15"/>
      <c r="I538" s="15"/>
      <c r="J538" s="14" t="str">
        <f t="shared" si="9"/>
        <v/>
      </c>
      <c r="K538" s="19"/>
      <c r="L538" s="20"/>
      <c r="M538" s="21"/>
      <c r="N538" s="15"/>
      <c r="O538" s="15"/>
      <c r="P538" s="15"/>
      <c r="Q538" s="14" t="s">
        <v>3343</v>
      </c>
    </row>
    <row r="539" spans="4:17" x14ac:dyDescent="0.25">
      <c r="D539" s="15" t="s">
        <v>6212</v>
      </c>
      <c r="E539" s="14" t="s">
        <v>2683</v>
      </c>
      <c r="F539" s="15"/>
      <c r="G539" s="14"/>
      <c r="H539" s="15"/>
      <c r="I539" s="15"/>
      <c r="J539" s="14" t="str">
        <f t="shared" si="9"/>
        <v/>
      </c>
      <c r="K539" s="19"/>
      <c r="L539" s="20"/>
      <c r="M539" s="21"/>
      <c r="N539" s="15"/>
      <c r="O539" s="15"/>
      <c r="P539" s="15"/>
      <c r="Q539" s="14" t="s">
        <v>3344</v>
      </c>
    </row>
    <row r="540" spans="4:17" x14ac:dyDescent="0.25">
      <c r="D540" s="15" t="s">
        <v>6213</v>
      </c>
      <c r="E540" s="14" t="s">
        <v>2683</v>
      </c>
      <c r="F540" s="15"/>
      <c r="G540" s="14"/>
      <c r="H540" s="15"/>
      <c r="I540" s="15"/>
      <c r="J540" s="14" t="str">
        <f t="shared" si="9"/>
        <v/>
      </c>
      <c r="K540" s="19"/>
      <c r="L540" s="20"/>
      <c r="M540" s="21"/>
      <c r="N540" s="15"/>
      <c r="O540" s="15"/>
      <c r="P540" s="15"/>
      <c r="Q540" s="14" t="s">
        <v>3345</v>
      </c>
    </row>
    <row r="541" spans="4:17" x14ac:dyDescent="0.25">
      <c r="D541" s="15" t="s">
        <v>6214</v>
      </c>
      <c r="E541" s="14" t="s">
        <v>2683</v>
      </c>
      <c r="F541" s="15"/>
      <c r="G541" s="14"/>
      <c r="H541" s="15"/>
      <c r="I541" s="15"/>
      <c r="J541" s="14" t="str">
        <f t="shared" si="9"/>
        <v/>
      </c>
      <c r="K541" s="19"/>
      <c r="L541" s="20"/>
      <c r="M541" s="21"/>
      <c r="N541" s="15"/>
      <c r="O541" s="15"/>
      <c r="P541" s="15"/>
      <c r="Q541" s="14" t="s">
        <v>3346</v>
      </c>
    </row>
    <row r="542" spans="4:17" x14ac:dyDescent="0.25">
      <c r="D542" s="15" t="s">
        <v>6215</v>
      </c>
      <c r="E542" s="14" t="s">
        <v>2683</v>
      </c>
      <c r="F542" s="15"/>
      <c r="G542" s="14"/>
      <c r="H542" s="15"/>
      <c r="I542" s="15"/>
      <c r="J542" s="14" t="str">
        <f t="shared" si="9"/>
        <v/>
      </c>
      <c r="K542" s="19"/>
      <c r="L542" s="20"/>
      <c r="M542" s="21"/>
      <c r="N542" s="15"/>
      <c r="O542" s="15"/>
      <c r="P542" s="15"/>
      <c r="Q542" s="14" t="s">
        <v>3347</v>
      </c>
    </row>
    <row r="543" spans="4:17" x14ac:dyDescent="0.25">
      <c r="D543" s="15" t="s">
        <v>6216</v>
      </c>
      <c r="E543" s="14" t="s">
        <v>2683</v>
      </c>
      <c r="F543" s="15"/>
      <c r="G543" s="14"/>
      <c r="H543" s="15"/>
      <c r="I543" s="15"/>
      <c r="J543" s="14" t="str">
        <f t="shared" si="9"/>
        <v/>
      </c>
      <c r="K543" s="19"/>
      <c r="L543" s="20"/>
      <c r="M543" s="21"/>
      <c r="N543" s="15"/>
      <c r="O543" s="15"/>
      <c r="P543" s="15"/>
      <c r="Q543" s="14" t="s">
        <v>3348</v>
      </c>
    </row>
    <row r="544" spans="4:17" x14ac:dyDescent="0.25">
      <c r="D544" s="15" t="s">
        <v>6217</v>
      </c>
      <c r="E544" s="14" t="s">
        <v>2683</v>
      </c>
      <c r="F544" s="15"/>
      <c r="G544" s="14"/>
      <c r="H544" s="15"/>
      <c r="I544" s="15"/>
      <c r="J544" s="14" t="str">
        <f t="shared" si="9"/>
        <v/>
      </c>
      <c r="K544" s="19"/>
      <c r="L544" s="20"/>
      <c r="M544" s="21"/>
      <c r="N544" s="15"/>
      <c r="O544" s="15"/>
      <c r="P544" s="15"/>
      <c r="Q544" s="14" t="s">
        <v>3349</v>
      </c>
    </row>
    <row r="545" spans="4:17" x14ac:dyDescent="0.25">
      <c r="D545" s="15" t="s">
        <v>6218</v>
      </c>
      <c r="E545" s="14" t="s">
        <v>2683</v>
      </c>
      <c r="F545" s="15"/>
      <c r="G545" s="14"/>
      <c r="H545" s="15"/>
      <c r="I545" s="15"/>
      <c r="J545" s="14" t="str">
        <f t="shared" si="9"/>
        <v/>
      </c>
      <c r="K545" s="19"/>
      <c r="L545" s="20"/>
      <c r="M545" s="21"/>
      <c r="N545" s="15"/>
      <c r="O545" s="15"/>
      <c r="P545" s="15"/>
      <c r="Q545" s="14" t="s">
        <v>3350</v>
      </c>
    </row>
    <row r="546" spans="4:17" x14ac:dyDescent="0.25">
      <c r="D546" s="15" t="s">
        <v>6219</v>
      </c>
      <c r="E546" s="14" t="s">
        <v>2683</v>
      </c>
      <c r="F546" s="15"/>
      <c r="G546" s="14"/>
      <c r="H546" s="15"/>
      <c r="I546" s="15"/>
      <c r="J546" s="14" t="str">
        <f t="shared" si="9"/>
        <v/>
      </c>
      <c r="K546" s="19"/>
      <c r="L546" s="20"/>
      <c r="M546" s="21"/>
      <c r="N546" s="15"/>
      <c r="O546" s="15"/>
      <c r="P546" s="15"/>
      <c r="Q546" s="14" t="s">
        <v>3351</v>
      </c>
    </row>
    <row r="547" spans="4:17" x14ac:dyDescent="0.25">
      <c r="D547" s="15" t="s">
        <v>6220</v>
      </c>
      <c r="E547" s="14" t="s">
        <v>2683</v>
      </c>
      <c r="F547" s="15"/>
      <c r="G547" s="14"/>
      <c r="H547" s="15"/>
      <c r="I547" s="15"/>
      <c r="J547" s="14" t="str">
        <f t="shared" si="9"/>
        <v/>
      </c>
      <c r="K547" s="19"/>
      <c r="L547" s="20"/>
      <c r="M547" s="21"/>
      <c r="N547" s="15"/>
      <c r="O547" s="15"/>
      <c r="P547" s="15"/>
      <c r="Q547" s="14" t="s">
        <v>3352</v>
      </c>
    </row>
    <row r="548" spans="4:17" x14ac:dyDescent="0.25">
      <c r="D548" s="15" t="s">
        <v>6221</v>
      </c>
      <c r="E548" s="14" t="s">
        <v>2683</v>
      </c>
      <c r="F548" s="15"/>
      <c r="G548" s="14"/>
      <c r="H548" s="15"/>
      <c r="I548" s="15"/>
      <c r="J548" s="14" t="str">
        <f t="shared" si="9"/>
        <v/>
      </c>
      <c r="K548" s="19"/>
      <c r="L548" s="20"/>
      <c r="M548" s="21"/>
      <c r="N548" s="15"/>
      <c r="O548" s="15"/>
      <c r="P548" s="15"/>
      <c r="Q548" s="14" t="s">
        <v>3353</v>
      </c>
    </row>
    <row r="549" spans="4:17" x14ac:dyDescent="0.25">
      <c r="D549" s="15" t="s">
        <v>6222</v>
      </c>
      <c r="E549" s="14" t="s">
        <v>2683</v>
      </c>
      <c r="F549" s="15"/>
      <c r="G549" s="14"/>
      <c r="H549" s="15"/>
      <c r="I549" s="15"/>
      <c r="J549" s="14" t="str">
        <f t="shared" si="9"/>
        <v/>
      </c>
      <c r="K549" s="19"/>
      <c r="L549" s="20"/>
      <c r="M549" s="21"/>
      <c r="N549" s="15"/>
      <c r="O549" s="15"/>
      <c r="P549" s="15"/>
      <c r="Q549" s="14" t="s">
        <v>3354</v>
      </c>
    </row>
    <row r="550" spans="4:17" x14ac:dyDescent="0.25">
      <c r="D550" s="15" t="s">
        <v>6223</v>
      </c>
      <c r="E550" s="14" t="s">
        <v>2683</v>
      </c>
      <c r="F550" s="15"/>
      <c r="G550" s="14"/>
      <c r="H550" s="15"/>
      <c r="I550" s="15"/>
      <c r="J550" s="14" t="str">
        <f t="shared" si="9"/>
        <v/>
      </c>
      <c r="K550" s="19"/>
      <c r="L550" s="20"/>
      <c r="M550" s="21"/>
      <c r="N550" s="15"/>
      <c r="O550" s="15"/>
      <c r="P550" s="15"/>
      <c r="Q550" s="14" t="s">
        <v>3355</v>
      </c>
    </row>
    <row r="551" spans="4:17" x14ac:dyDescent="0.25">
      <c r="D551" s="15" t="s">
        <v>6224</v>
      </c>
      <c r="E551" s="14" t="s">
        <v>2683</v>
      </c>
      <c r="F551" s="15"/>
      <c r="G551" s="14"/>
      <c r="H551" s="15"/>
      <c r="I551" s="15"/>
      <c r="J551" s="14" t="str">
        <f t="shared" si="9"/>
        <v/>
      </c>
      <c r="K551" s="19"/>
      <c r="L551" s="20"/>
      <c r="M551" s="21"/>
      <c r="N551" s="15"/>
      <c r="O551" s="15"/>
      <c r="P551" s="15"/>
      <c r="Q551" s="14" t="s">
        <v>3356</v>
      </c>
    </row>
    <row r="552" spans="4:17" x14ac:dyDescent="0.25">
      <c r="D552" s="15" t="s">
        <v>6225</v>
      </c>
      <c r="E552" s="14" t="s">
        <v>2683</v>
      </c>
      <c r="F552" s="15"/>
      <c r="G552" s="14"/>
      <c r="H552" s="15"/>
      <c r="I552" s="15"/>
      <c r="J552" s="14" t="str">
        <f t="shared" si="9"/>
        <v/>
      </c>
      <c r="K552" s="19"/>
      <c r="L552" s="20"/>
      <c r="M552" s="21"/>
      <c r="N552" s="15"/>
      <c r="O552" s="15"/>
      <c r="P552" s="15"/>
      <c r="Q552" s="14" t="s">
        <v>3357</v>
      </c>
    </row>
    <row r="553" spans="4:17" x14ac:dyDescent="0.25">
      <c r="D553" s="15" t="s">
        <v>6226</v>
      </c>
      <c r="E553" s="14" t="s">
        <v>2683</v>
      </c>
      <c r="F553" s="15"/>
      <c r="G553" s="14"/>
      <c r="H553" s="15"/>
      <c r="I553" s="15"/>
      <c r="J553" s="14" t="str">
        <f t="shared" si="9"/>
        <v/>
      </c>
      <c r="K553" s="19"/>
      <c r="L553" s="20"/>
      <c r="M553" s="21"/>
      <c r="N553" s="15"/>
      <c r="O553" s="15"/>
      <c r="P553" s="15"/>
      <c r="Q553" s="14" t="s">
        <v>3358</v>
      </c>
    </row>
    <row r="554" spans="4:17" x14ac:dyDescent="0.25">
      <c r="D554" s="15" t="s">
        <v>6227</v>
      </c>
      <c r="E554" s="14" t="s">
        <v>2683</v>
      </c>
      <c r="F554" s="15"/>
      <c r="G554" s="14"/>
      <c r="H554" s="15"/>
      <c r="I554" s="15"/>
      <c r="J554" s="14" t="str">
        <f t="shared" si="9"/>
        <v/>
      </c>
      <c r="K554" s="19"/>
      <c r="L554" s="20"/>
      <c r="M554" s="21"/>
      <c r="N554" s="15"/>
      <c r="O554" s="15"/>
      <c r="P554" s="15"/>
      <c r="Q554" s="14" t="s">
        <v>3359</v>
      </c>
    </row>
    <row r="555" spans="4:17" x14ac:dyDescent="0.25">
      <c r="D555" s="15" t="s">
        <v>6228</v>
      </c>
      <c r="E555" s="14" t="s">
        <v>2683</v>
      </c>
      <c r="F555" s="15"/>
      <c r="G555" s="14"/>
      <c r="H555" s="15"/>
      <c r="I555" s="15"/>
      <c r="J555" s="14" t="str">
        <f t="shared" si="9"/>
        <v/>
      </c>
      <c r="K555" s="19"/>
      <c r="L555" s="20"/>
      <c r="M555" s="21"/>
      <c r="N555" s="15"/>
      <c r="O555" s="15"/>
      <c r="P555" s="15"/>
      <c r="Q555" s="14" t="s">
        <v>3360</v>
      </c>
    </row>
    <row r="556" spans="4:17" x14ac:dyDescent="0.25">
      <c r="D556" s="15" t="s">
        <v>6229</v>
      </c>
      <c r="E556" s="14" t="s">
        <v>2690</v>
      </c>
      <c r="F556" s="15"/>
      <c r="G556" s="14"/>
      <c r="H556" s="15"/>
      <c r="I556" s="15"/>
      <c r="J556" s="14" t="str">
        <f t="shared" si="9"/>
        <v/>
      </c>
      <c r="K556" s="19"/>
      <c r="L556" s="20"/>
      <c r="M556" s="21"/>
      <c r="N556" s="15"/>
      <c r="O556" s="15"/>
      <c r="P556" s="15"/>
      <c r="Q556" s="14" t="s">
        <v>3361</v>
      </c>
    </row>
    <row r="557" spans="4:17" x14ac:dyDescent="0.25">
      <c r="D557" s="15" t="s">
        <v>6230</v>
      </c>
      <c r="E557" s="14" t="s">
        <v>2690</v>
      </c>
      <c r="F557" s="15"/>
      <c r="G557" s="14"/>
      <c r="H557" s="15"/>
      <c r="I557" s="15"/>
      <c r="J557" s="14" t="str">
        <f t="shared" si="9"/>
        <v/>
      </c>
      <c r="K557" s="19"/>
      <c r="L557" s="20"/>
      <c r="M557" s="21"/>
      <c r="N557" s="15"/>
      <c r="O557" s="15"/>
      <c r="P557" s="15"/>
      <c r="Q557" s="14" t="s">
        <v>3362</v>
      </c>
    </row>
    <row r="558" spans="4:17" x14ac:dyDescent="0.25">
      <c r="D558" s="15" t="s">
        <v>6231</v>
      </c>
      <c r="E558" s="14" t="s">
        <v>2690</v>
      </c>
      <c r="F558" s="15"/>
      <c r="G558" s="14"/>
      <c r="H558" s="15"/>
      <c r="I558" s="15"/>
      <c r="J558" s="14" t="str">
        <f t="shared" si="9"/>
        <v/>
      </c>
      <c r="K558" s="19"/>
      <c r="L558" s="20"/>
      <c r="M558" s="21"/>
      <c r="N558" s="15"/>
      <c r="O558" s="15"/>
      <c r="P558" s="15"/>
      <c r="Q558" s="14" t="s">
        <v>3363</v>
      </c>
    </row>
    <row r="559" spans="4:17" x14ac:dyDescent="0.25">
      <c r="D559" s="15" t="s">
        <v>6232</v>
      </c>
      <c r="E559" s="14" t="s">
        <v>2690</v>
      </c>
      <c r="F559" s="15"/>
      <c r="G559" s="14"/>
      <c r="H559" s="15"/>
      <c r="I559" s="15"/>
      <c r="J559" s="14" t="str">
        <f t="shared" si="9"/>
        <v/>
      </c>
      <c r="K559" s="19"/>
      <c r="L559" s="20"/>
      <c r="M559" s="21"/>
      <c r="N559" s="15"/>
      <c r="O559" s="15"/>
      <c r="P559" s="15"/>
      <c r="Q559" s="14" t="s">
        <v>3364</v>
      </c>
    </row>
    <row r="560" spans="4:17" x14ac:dyDescent="0.25">
      <c r="D560" s="15" t="s">
        <v>6233</v>
      </c>
      <c r="E560" s="14" t="s">
        <v>2690</v>
      </c>
      <c r="F560" s="15"/>
      <c r="G560" s="14"/>
      <c r="H560" s="15"/>
      <c r="I560" s="15"/>
      <c r="J560" s="14" t="str">
        <f t="shared" si="9"/>
        <v/>
      </c>
      <c r="K560" s="19"/>
      <c r="L560" s="20"/>
      <c r="M560" s="21"/>
      <c r="N560" s="15"/>
      <c r="O560" s="15"/>
      <c r="P560" s="15"/>
      <c r="Q560" s="14" t="s">
        <v>3365</v>
      </c>
    </row>
    <row r="561" spans="4:17" x14ac:dyDescent="0.25">
      <c r="D561" s="15" t="s">
        <v>6234</v>
      </c>
      <c r="E561" s="14" t="s">
        <v>2690</v>
      </c>
      <c r="F561" s="15"/>
      <c r="G561" s="14"/>
      <c r="H561" s="15"/>
      <c r="I561" s="15"/>
      <c r="J561" s="14" t="str">
        <f t="shared" si="9"/>
        <v/>
      </c>
      <c r="K561" s="19"/>
      <c r="L561" s="20"/>
      <c r="M561" s="21"/>
      <c r="N561" s="15"/>
      <c r="O561" s="15"/>
      <c r="P561" s="15"/>
      <c r="Q561" s="14" t="s">
        <v>3366</v>
      </c>
    </row>
    <row r="562" spans="4:17" x14ac:dyDescent="0.25">
      <c r="D562" s="15" t="s">
        <v>6235</v>
      </c>
      <c r="E562" s="14" t="s">
        <v>2690</v>
      </c>
      <c r="F562" s="15"/>
      <c r="G562" s="14"/>
      <c r="H562" s="15"/>
      <c r="I562" s="15"/>
      <c r="J562" s="14" t="str">
        <f t="shared" si="9"/>
        <v/>
      </c>
      <c r="K562" s="19"/>
      <c r="L562" s="20"/>
      <c r="M562" s="21"/>
      <c r="N562" s="15"/>
      <c r="O562" s="15"/>
      <c r="P562" s="15"/>
      <c r="Q562" s="14" t="s">
        <v>3367</v>
      </c>
    </row>
    <row r="563" spans="4:17" x14ac:dyDescent="0.25">
      <c r="D563" s="15" t="s">
        <v>6236</v>
      </c>
      <c r="E563" s="14" t="s">
        <v>2690</v>
      </c>
      <c r="F563" s="15"/>
      <c r="G563" s="14"/>
      <c r="H563" s="15"/>
      <c r="I563" s="15"/>
      <c r="J563" s="14" t="str">
        <f t="shared" si="9"/>
        <v/>
      </c>
      <c r="K563" s="19"/>
      <c r="L563" s="20"/>
      <c r="M563" s="21"/>
      <c r="N563" s="15"/>
      <c r="O563" s="15"/>
      <c r="P563" s="15"/>
      <c r="Q563" s="14" t="s">
        <v>3368</v>
      </c>
    </row>
    <row r="564" spans="4:17" x14ac:dyDescent="0.25">
      <c r="D564" s="15" t="s">
        <v>6237</v>
      </c>
      <c r="E564" s="14" t="s">
        <v>2690</v>
      </c>
      <c r="F564" s="15"/>
      <c r="G564" s="14"/>
      <c r="H564" s="15"/>
      <c r="I564" s="15"/>
      <c r="J564" s="14" t="str">
        <f t="shared" si="9"/>
        <v/>
      </c>
      <c r="K564" s="19"/>
      <c r="L564" s="20"/>
      <c r="M564" s="21"/>
      <c r="N564" s="15"/>
      <c r="O564" s="15"/>
      <c r="P564" s="15"/>
      <c r="Q564" s="14" t="s">
        <v>3369</v>
      </c>
    </row>
    <row r="565" spans="4:17" x14ac:dyDescent="0.25">
      <c r="D565" s="15" t="s">
        <v>6238</v>
      </c>
      <c r="E565" s="14" t="s">
        <v>2690</v>
      </c>
      <c r="F565" s="15"/>
      <c r="G565" s="14"/>
      <c r="H565" s="15"/>
      <c r="I565" s="15"/>
      <c r="J565" s="14" t="str">
        <f t="shared" si="9"/>
        <v/>
      </c>
      <c r="K565" s="19"/>
      <c r="L565" s="20"/>
      <c r="M565" s="21"/>
      <c r="N565" s="15"/>
      <c r="O565" s="15"/>
      <c r="P565" s="15"/>
      <c r="Q565" s="14" t="s">
        <v>3370</v>
      </c>
    </row>
    <row r="566" spans="4:17" x14ac:dyDescent="0.25">
      <c r="D566" s="15" t="s">
        <v>6239</v>
      </c>
      <c r="E566" s="14" t="s">
        <v>2690</v>
      </c>
      <c r="F566" s="15"/>
      <c r="G566" s="14"/>
      <c r="H566" s="15"/>
      <c r="I566" s="15"/>
      <c r="J566" s="14" t="str">
        <f t="shared" si="9"/>
        <v/>
      </c>
      <c r="K566" s="19"/>
      <c r="L566" s="20"/>
      <c r="M566" s="21"/>
      <c r="N566" s="15"/>
      <c r="O566" s="15"/>
      <c r="P566" s="15"/>
      <c r="Q566" s="14" t="s">
        <v>3371</v>
      </c>
    </row>
    <row r="567" spans="4:17" x14ac:dyDescent="0.25">
      <c r="D567" s="15" t="s">
        <v>6240</v>
      </c>
      <c r="E567" s="14" t="s">
        <v>2690</v>
      </c>
      <c r="F567" s="15"/>
      <c r="G567" s="14"/>
      <c r="H567" s="15"/>
      <c r="I567" s="15"/>
      <c r="J567" s="14" t="str">
        <f t="shared" si="9"/>
        <v/>
      </c>
      <c r="K567" s="19"/>
      <c r="L567" s="20"/>
      <c r="M567" s="21"/>
      <c r="N567" s="15"/>
      <c r="O567" s="15"/>
      <c r="P567" s="15"/>
      <c r="Q567" s="14" t="s">
        <v>3372</v>
      </c>
    </row>
    <row r="568" spans="4:17" x14ac:dyDescent="0.25">
      <c r="D568" s="15" t="s">
        <v>6241</v>
      </c>
      <c r="E568" s="14" t="s">
        <v>2690</v>
      </c>
      <c r="F568" s="15"/>
      <c r="G568" s="14"/>
      <c r="H568" s="15"/>
      <c r="I568" s="15"/>
      <c r="J568" s="14" t="str">
        <f t="shared" si="9"/>
        <v/>
      </c>
      <c r="K568" s="19"/>
      <c r="L568" s="20"/>
      <c r="M568" s="21"/>
      <c r="N568" s="15"/>
      <c r="O568" s="15"/>
      <c r="P568" s="15"/>
      <c r="Q568" s="14" t="s">
        <v>3373</v>
      </c>
    </row>
    <row r="569" spans="4:17" x14ac:dyDescent="0.25">
      <c r="D569" s="15" t="s">
        <v>6242</v>
      </c>
      <c r="E569" s="14" t="s">
        <v>2690</v>
      </c>
      <c r="F569" s="15"/>
      <c r="G569" s="14"/>
      <c r="H569" s="15"/>
      <c r="I569" s="15"/>
      <c r="J569" s="14" t="str">
        <f t="shared" si="9"/>
        <v/>
      </c>
      <c r="K569" s="19"/>
      <c r="L569" s="20"/>
      <c r="M569" s="21"/>
      <c r="N569" s="15"/>
      <c r="O569" s="15"/>
      <c r="P569" s="15"/>
      <c r="Q569" s="14" t="s">
        <v>3374</v>
      </c>
    </row>
    <row r="570" spans="4:17" x14ac:dyDescent="0.25">
      <c r="D570" s="15" t="s">
        <v>6243</v>
      </c>
      <c r="E570" s="14" t="s">
        <v>2690</v>
      </c>
      <c r="F570" s="15"/>
      <c r="G570" s="14"/>
      <c r="H570" s="15"/>
      <c r="I570" s="15"/>
      <c r="J570" s="14" t="str">
        <f t="shared" si="9"/>
        <v/>
      </c>
      <c r="K570" s="19"/>
      <c r="L570" s="20"/>
      <c r="M570" s="21"/>
      <c r="N570" s="15"/>
      <c r="O570" s="15"/>
      <c r="P570" s="15"/>
      <c r="Q570" s="14" t="s">
        <v>3375</v>
      </c>
    </row>
    <row r="571" spans="4:17" x14ac:dyDescent="0.25">
      <c r="D571" s="15" t="s">
        <v>6244</v>
      </c>
      <c r="E571" s="14" t="s">
        <v>2690</v>
      </c>
      <c r="F571" s="15"/>
      <c r="G571" s="14"/>
      <c r="H571" s="15"/>
      <c r="I571" s="15"/>
      <c r="J571" s="14" t="str">
        <f t="shared" si="9"/>
        <v/>
      </c>
      <c r="K571" s="19"/>
      <c r="L571" s="20"/>
      <c r="M571" s="21"/>
      <c r="N571" s="15"/>
      <c r="O571" s="15"/>
      <c r="P571" s="15"/>
      <c r="Q571" s="14" t="s">
        <v>3376</v>
      </c>
    </row>
    <row r="572" spans="4:17" x14ac:dyDescent="0.25">
      <c r="D572" s="15" t="s">
        <v>6245</v>
      </c>
      <c r="E572" s="14" t="s">
        <v>2690</v>
      </c>
      <c r="F572" s="15"/>
      <c r="G572" s="14"/>
      <c r="H572" s="15"/>
      <c r="I572" s="15"/>
      <c r="J572" s="14" t="str">
        <f t="shared" ref="J572:J635" si="10">F572&amp;H572&amp;I572</f>
        <v/>
      </c>
      <c r="K572" s="19"/>
      <c r="L572" s="20"/>
      <c r="M572" s="21"/>
      <c r="N572" s="15"/>
      <c r="O572" s="15"/>
      <c r="P572" s="15"/>
      <c r="Q572" s="14" t="s">
        <v>3377</v>
      </c>
    </row>
    <row r="573" spans="4:17" x14ac:dyDescent="0.25">
      <c r="D573" s="15" t="s">
        <v>6246</v>
      </c>
      <c r="E573" s="14" t="s">
        <v>2690</v>
      </c>
      <c r="F573" s="15"/>
      <c r="G573" s="14"/>
      <c r="H573" s="15"/>
      <c r="I573" s="15"/>
      <c r="J573" s="14" t="str">
        <f t="shared" si="10"/>
        <v/>
      </c>
      <c r="K573" s="19"/>
      <c r="L573" s="20"/>
      <c r="M573" s="21"/>
      <c r="N573" s="15"/>
      <c r="O573" s="15"/>
      <c r="P573" s="15"/>
      <c r="Q573" s="14" t="s">
        <v>3378</v>
      </c>
    </row>
    <row r="574" spans="4:17" x14ac:dyDescent="0.25">
      <c r="D574" s="15" t="s">
        <v>6247</v>
      </c>
      <c r="E574" s="14" t="s">
        <v>2690</v>
      </c>
      <c r="F574" s="15"/>
      <c r="G574" s="14"/>
      <c r="H574" s="15"/>
      <c r="I574" s="15"/>
      <c r="J574" s="14" t="str">
        <f t="shared" si="10"/>
        <v/>
      </c>
      <c r="K574" s="19"/>
      <c r="L574" s="20"/>
      <c r="M574" s="21"/>
      <c r="N574" s="15"/>
      <c r="O574" s="15"/>
      <c r="P574" s="15"/>
      <c r="Q574" s="14" t="s">
        <v>3379</v>
      </c>
    </row>
    <row r="575" spans="4:17" x14ac:dyDescent="0.25">
      <c r="D575" s="15" t="s">
        <v>6248</v>
      </c>
      <c r="E575" s="14" t="s">
        <v>2690</v>
      </c>
      <c r="F575" s="15"/>
      <c r="G575" s="14"/>
      <c r="H575" s="15"/>
      <c r="I575" s="15"/>
      <c r="J575" s="14" t="str">
        <f t="shared" si="10"/>
        <v/>
      </c>
      <c r="K575" s="19"/>
      <c r="L575" s="20"/>
      <c r="M575" s="21"/>
      <c r="N575" s="15"/>
      <c r="O575" s="15"/>
      <c r="P575" s="15"/>
      <c r="Q575" s="14" t="s">
        <v>3380</v>
      </c>
    </row>
    <row r="576" spans="4:17" x14ac:dyDescent="0.25">
      <c r="D576" s="15" t="s">
        <v>6249</v>
      </c>
      <c r="E576" s="14" t="s">
        <v>2697</v>
      </c>
      <c r="F576" s="15"/>
      <c r="G576" s="14"/>
      <c r="H576" s="15"/>
      <c r="I576" s="15"/>
      <c r="J576" s="14" t="str">
        <f t="shared" si="10"/>
        <v/>
      </c>
      <c r="K576" s="19"/>
      <c r="L576" s="20"/>
      <c r="M576" s="21"/>
      <c r="N576" s="15"/>
      <c r="O576" s="15"/>
      <c r="P576" s="15"/>
      <c r="Q576" s="14" t="s">
        <v>3381</v>
      </c>
    </row>
    <row r="577" spans="4:17" x14ac:dyDescent="0.25">
      <c r="D577" s="15" t="s">
        <v>6250</v>
      </c>
      <c r="E577" s="14" t="s">
        <v>2697</v>
      </c>
      <c r="F577" s="15"/>
      <c r="G577" s="14"/>
      <c r="H577" s="15"/>
      <c r="I577" s="15"/>
      <c r="J577" s="14" t="str">
        <f t="shared" si="10"/>
        <v/>
      </c>
      <c r="K577" s="19"/>
      <c r="L577" s="20"/>
      <c r="M577" s="21"/>
      <c r="N577" s="15"/>
      <c r="O577" s="15"/>
      <c r="P577" s="15"/>
      <c r="Q577" s="14" t="s">
        <v>3382</v>
      </c>
    </row>
    <row r="578" spans="4:17" x14ac:dyDescent="0.25">
      <c r="D578" s="15" t="s">
        <v>6251</v>
      </c>
      <c r="E578" s="14" t="s">
        <v>2697</v>
      </c>
      <c r="F578" s="15"/>
      <c r="G578" s="14"/>
      <c r="H578" s="15"/>
      <c r="I578" s="15"/>
      <c r="J578" s="14" t="str">
        <f t="shared" si="10"/>
        <v/>
      </c>
      <c r="K578" s="19"/>
      <c r="L578" s="20"/>
      <c r="M578" s="21"/>
      <c r="N578" s="15"/>
      <c r="O578" s="15"/>
      <c r="P578" s="15"/>
      <c r="Q578" s="14" t="s">
        <v>3383</v>
      </c>
    </row>
    <row r="579" spans="4:17" x14ac:dyDescent="0.25">
      <c r="D579" s="15" t="s">
        <v>6252</v>
      </c>
      <c r="E579" s="14" t="s">
        <v>2697</v>
      </c>
      <c r="F579" s="15"/>
      <c r="G579" s="14"/>
      <c r="H579" s="15"/>
      <c r="I579" s="15"/>
      <c r="J579" s="14" t="str">
        <f t="shared" si="10"/>
        <v/>
      </c>
      <c r="K579" s="19"/>
      <c r="L579" s="20"/>
      <c r="M579" s="21"/>
      <c r="N579" s="15"/>
      <c r="O579" s="15"/>
      <c r="P579" s="15"/>
      <c r="Q579" s="14" t="s">
        <v>3384</v>
      </c>
    </row>
    <row r="580" spans="4:17" x14ac:dyDescent="0.25">
      <c r="D580" s="15" t="s">
        <v>6253</v>
      </c>
      <c r="E580" s="14" t="s">
        <v>2697</v>
      </c>
      <c r="F580" s="15"/>
      <c r="G580" s="14"/>
      <c r="H580" s="15"/>
      <c r="I580" s="15"/>
      <c r="J580" s="14" t="str">
        <f t="shared" si="10"/>
        <v/>
      </c>
      <c r="K580" s="19"/>
      <c r="L580" s="20"/>
      <c r="M580" s="21"/>
      <c r="N580" s="15"/>
      <c r="O580" s="15"/>
      <c r="P580" s="15"/>
      <c r="Q580" s="14" t="s">
        <v>3385</v>
      </c>
    </row>
    <row r="581" spans="4:17" x14ac:dyDescent="0.25">
      <c r="D581" s="15" t="s">
        <v>6254</v>
      </c>
      <c r="E581" s="14" t="s">
        <v>2697</v>
      </c>
      <c r="F581" s="15"/>
      <c r="G581" s="14"/>
      <c r="H581" s="15"/>
      <c r="I581" s="15"/>
      <c r="J581" s="14" t="str">
        <f t="shared" si="10"/>
        <v/>
      </c>
      <c r="K581" s="19"/>
      <c r="L581" s="20"/>
      <c r="M581" s="21"/>
      <c r="N581" s="15"/>
      <c r="O581" s="15"/>
      <c r="P581" s="15"/>
      <c r="Q581" s="14" t="s">
        <v>3386</v>
      </c>
    </row>
    <row r="582" spans="4:17" x14ac:dyDescent="0.25">
      <c r="D582" s="15" t="s">
        <v>6255</v>
      </c>
      <c r="E582" s="14" t="s">
        <v>2697</v>
      </c>
      <c r="F582" s="15"/>
      <c r="G582" s="14"/>
      <c r="H582" s="15"/>
      <c r="I582" s="15"/>
      <c r="J582" s="14" t="str">
        <f t="shared" si="10"/>
        <v/>
      </c>
      <c r="K582" s="19"/>
      <c r="L582" s="20"/>
      <c r="M582" s="21"/>
      <c r="N582" s="15"/>
      <c r="O582" s="15"/>
      <c r="P582" s="15"/>
      <c r="Q582" s="14" t="s">
        <v>3387</v>
      </c>
    </row>
    <row r="583" spans="4:17" x14ac:dyDescent="0.25">
      <c r="D583" s="15" t="s">
        <v>6256</v>
      </c>
      <c r="E583" s="14" t="s">
        <v>2697</v>
      </c>
      <c r="F583" s="15"/>
      <c r="G583" s="14"/>
      <c r="H583" s="15"/>
      <c r="I583" s="15"/>
      <c r="J583" s="14" t="str">
        <f t="shared" si="10"/>
        <v/>
      </c>
      <c r="K583" s="19"/>
      <c r="L583" s="20"/>
      <c r="M583" s="21"/>
      <c r="N583" s="15"/>
      <c r="O583" s="15"/>
      <c r="P583" s="15"/>
      <c r="Q583" s="14" t="s">
        <v>3388</v>
      </c>
    </row>
    <row r="584" spans="4:17" x14ac:dyDescent="0.25">
      <c r="D584" s="15" t="s">
        <v>6257</v>
      </c>
      <c r="E584" s="14" t="s">
        <v>2697</v>
      </c>
      <c r="F584" s="15"/>
      <c r="G584" s="14"/>
      <c r="H584" s="15"/>
      <c r="I584" s="15"/>
      <c r="J584" s="14" t="str">
        <f t="shared" si="10"/>
        <v/>
      </c>
      <c r="K584" s="19"/>
      <c r="L584" s="20"/>
      <c r="M584" s="21"/>
      <c r="N584" s="15"/>
      <c r="O584" s="15"/>
      <c r="P584" s="15"/>
      <c r="Q584" s="14" t="s">
        <v>3389</v>
      </c>
    </row>
    <row r="585" spans="4:17" x14ac:dyDescent="0.25">
      <c r="D585" s="15" t="s">
        <v>6258</v>
      </c>
      <c r="E585" s="14" t="s">
        <v>2697</v>
      </c>
      <c r="F585" s="15"/>
      <c r="G585" s="14"/>
      <c r="H585" s="15"/>
      <c r="I585" s="15"/>
      <c r="J585" s="14" t="str">
        <f t="shared" si="10"/>
        <v/>
      </c>
      <c r="K585" s="19"/>
      <c r="L585" s="20"/>
      <c r="M585" s="21"/>
      <c r="N585" s="15"/>
      <c r="O585" s="15"/>
      <c r="P585" s="15"/>
      <c r="Q585" s="14" t="s">
        <v>3390</v>
      </c>
    </row>
    <row r="586" spans="4:17" x14ac:dyDescent="0.25">
      <c r="D586" s="15" t="s">
        <v>6259</v>
      </c>
      <c r="E586" s="14" t="s">
        <v>2697</v>
      </c>
      <c r="F586" s="15"/>
      <c r="G586" s="14"/>
      <c r="H586" s="15"/>
      <c r="I586" s="15"/>
      <c r="J586" s="14" t="str">
        <f t="shared" si="10"/>
        <v/>
      </c>
      <c r="K586" s="19"/>
      <c r="L586" s="20"/>
      <c r="M586" s="21"/>
      <c r="N586" s="15"/>
      <c r="O586" s="15"/>
      <c r="P586" s="15"/>
      <c r="Q586" s="14" t="s">
        <v>3391</v>
      </c>
    </row>
    <row r="587" spans="4:17" x14ac:dyDescent="0.25">
      <c r="D587" s="15" t="s">
        <v>6260</v>
      </c>
      <c r="E587" s="14" t="s">
        <v>2697</v>
      </c>
      <c r="F587" s="15"/>
      <c r="G587" s="14"/>
      <c r="H587" s="15"/>
      <c r="I587" s="15"/>
      <c r="J587" s="14" t="str">
        <f t="shared" si="10"/>
        <v/>
      </c>
      <c r="K587" s="19"/>
      <c r="L587" s="20"/>
      <c r="M587" s="21"/>
      <c r="N587" s="15"/>
      <c r="O587" s="15"/>
      <c r="P587" s="15"/>
      <c r="Q587" s="14" t="s">
        <v>3392</v>
      </c>
    </row>
    <row r="588" spans="4:17" x14ac:dyDescent="0.25">
      <c r="D588" s="15" t="s">
        <v>6261</v>
      </c>
      <c r="E588" s="14" t="s">
        <v>2697</v>
      </c>
      <c r="F588" s="15"/>
      <c r="G588" s="14"/>
      <c r="H588" s="15"/>
      <c r="I588" s="15"/>
      <c r="J588" s="14" t="str">
        <f t="shared" si="10"/>
        <v/>
      </c>
      <c r="K588" s="19"/>
      <c r="L588" s="20"/>
      <c r="M588" s="21"/>
      <c r="N588" s="15"/>
      <c r="O588" s="15"/>
      <c r="P588" s="15"/>
      <c r="Q588" s="14" t="s">
        <v>3393</v>
      </c>
    </row>
    <row r="589" spans="4:17" x14ac:dyDescent="0.25">
      <c r="D589" s="15" t="s">
        <v>6262</v>
      </c>
      <c r="E589" s="14" t="s">
        <v>2697</v>
      </c>
      <c r="F589" s="15"/>
      <c r="G589" s="14"/>
      <c r="H589" s="15"/>
      <c r="I589" s="15"/>
      <c r="J589" s="14" t="str">
        <f t="shared" si="10"/>
        <v/>
      </c>
      <c r="K589" s="19"/>
      <c r="L589" s="20"/>
      <c r="M589" s="21"/>
      <c r="N589" s="15"/>
      <c r="O589" s="15"/>
      <c r="P589" s="15"/>
      <c r="Q589" s="14" t="s">
        <v>3394</v>
      </c>
    </row>
    <row r="590" spans="4:17" x14ac:dyDescent="0.25">
      <c r="D590" s="15" t="s">
        <v>6263</v>
      </c>
      <c r="E590" s="14" t="s">
        <v>2697</v>
      </c>
      <c r="F590" s="15"/>
      <c r="G590" s="14"/>
      <c r="H590" s="15"/>
      <c r="I590" s="15"/>
      <c r="J590" s="14" t="str">
        <f t="shared" si="10"/>
        <v/>
      </c>
      <c r="K590" s="19"/>
      <c r="L590" s="20"/>
      <c r="M590" s="21"/>
      <c r="N590" s="15"/>
      <c r="O590" s="15"/>
      <c r="P590" s="15"/>
      <c r="Q590" s="14" t="s">
        <v>3395</v>
      </c>
    </row>
    <row r="591" spans="4:17" x14ac:dyDescent="0.25">
      <c r="D591" s="15" t="s">
        <v>6264</v>
      </c>
      <c r="E591" s="14" t="s">
        <v>2697</v>
      </c>
      <c r="F591" s="15"/>
      <c r="G591" s="14"/>
      <c r="H591" s="15"/>
      <c r="I591" s="15"/>
      <c r="J591" s="14" t="str">
        <f t="shared" si="10"/>
        <v/>
      </c>
      <c r="K591" s="19"/>
      <c r="L591" s="20"/>
      <c r="M591" s="21"/>
      <c r="N591" s="15"/>
      <c r="O591" s="15"/>
      <c r="P591" s="15"/>
      <c r="Q591" s="14" t="s">
        <v>3396</v>
      </c>
    </row>
    <row r="592" spans="4:17" x14ac:dyDescent="0.25">
      <c r="D592" s="15" t="s">
        <v>6265</v>
      </c>
      <c r="E592" s="14" t="s">
        <v>2697</v>
      </c>
      <c r="F592" s="15"/>
      <c r="G592" s="14"/>
      <c r="H592" s="15"/>
      <c r="I592" s="15"/>
      <c r="J592" s="14" t="str">
        <f t="shared" si="10"/>
        <v/>
      </c>
      <c r="K592" s="19"/>
      <c r="L592" s="20"/>
      <c r="M592" s="21"/>
      <c r="N592" s="15"/>
      <c r="O592" s="15"/>
      <c r="P592" s="15"/>
      <c r="Q592" s="14" t="s">
        <v>3397</v>
      </c>
    </row>
    <row r="593" spans="4:17" x14ac:dyDescent="0.25">
      <c r="D593" s="15" t="s">
        <v>6266</v>
      </c>
      <c r="E593" s="14" t="s">
        <v>2697</v>
      </c>
      <c r="F593" s="15"/>
      <c r="G593" s="14"/>
      <c r="H593" s="15"/>
      <c r="I593" s="15"/>
      <c r="J593" s="14" t="str">
        <f t="shared" si="10"/>
        <v/>
      </c>
      <c r="K593" s="19"/>
      <c r="L593" s="20"/>
      <c r="M593" s="21"/>
      <c r="N593" s="15"/>
      <c r="O593" s="15"/>
      <c r="P593" s="15"/>
      <c r="Q593" s="14" t="s">
        <v>3398</v>
      </c>
    </row>
    <row r="594" spans="4:17" x14ac:dyDescent="0.25">
      <c r="D594" s="15" t="s">
        <v>6267</v>
      </c>
      <c r="E594" s="14" t="s">
        <v>2697</v>
      </c>
      <c r="F594" s="15"/>
      <c r="G594" s="14"/>
      <c r="H594" s="15"/>
      <c r="I594" s="15"/>
      <c r="J594" s="14" t="str">
        <f t="shared" si="10"/>
        <v/>
      </c>
      <c r="K594" s="19"/>
      <c r="L594" s="20"/>
      <c r="M594" s="21"/>
      <c r="N594" s="15"/>
      <c r="O594" s="15"/>
      <c r="P594" s="15"/>
      <c r="Q594" s="14" t="s">
        <v>3399</v>
      </c>
    </row>
    <row r="595" spans="4:17" x14ac:dyDescent="0.25">
      <c r="D595" s="15" t="s">
        <v>6268</v>
      </c>
      <c r="E595" s="14" t="s">
        <v>2697</v>
      </c>
      <c r="F595" s="15"/>
      <c r="G595" s="14"/>
      <c r="H595" s="15"/>
      <c r="I595" s="15"/>
      <c r="J595" s="14" t="str">
        <f t="shared" si="10"/>
        <v/>
      </c>
      <c r="K595" s="19"/>
      <c r="L595" s="20"/>
      <c r="M595" s="21"/>
      <c r="N595" s="15"/>
      <c r="O595" s="15"/>
      <c r="P595" s="15"/>
      <c r="Q595" s="14" t="s">
        <v>3400</v>
      </c>
    </row>
    <row r="596" spans="4:17" x14ac:dyDescent="0.25">
      <c r="D596" s="15" t="s">
        <v>6269</v>
      </c>
      <c r="E596" s="14" t="s">
        <v>2704</v>
      </c>
      <c r="F596" s="15"/>
      <c r="G596" s="14"/>
      <c r="H596" s="15"/>
      <c r="I596" s="15"/>
      <c r="J596" s="14" t="str">
        <f t="shared" si="10"/>
        <v/>
      </c>
      <c r="K596" s="19"/>
      <c r="L596" s="20"/>
      <c r="M596" s="21"/>
      <c r="N596" s="15"/>
      <c r="O596" s="15"/>
      <c r="P596" s="15"/>
      <c r="Q596" s="14" t="s">
        <v>3401</v>
      </c>
    </row>
    <row r="597" spans="4:17" x14ac:dyDescent="0.25">
      <c r="D597" s="15" t="s">
        <v>6270</v>
      </c>
      <c r="E597" s="14" t="s">
        <v>2704</v>
      </c>
      <c r="F597" s="15"/>
      <c r="G597" s="14"/>
      <c r="H597" s="15"/>
      <c r="I597" s="15"/>
      <c r="J597" s="14" t="str">
        <f t="shared" si="10"/>
        <v/>
      </c>
      <c r="K597" s="19"/>
      <c r="L597" s="20"/>
      <c r="M597" s="21"/>
      <c r="N597" s="15"/>
      <c r="O597" s="15"/>
      <c r="P597" s="15"/>
      <c r="Q597" s="14" t="s">
        <v>3402</v>
      </c>
    </row>
    <row r="598" spans="4:17" x14ac:dyDescent="0.25">
      <c r="D598" s="15" t="s">
        <v>6271</v>
      </c>
      <c r="E598" s="14" t="s">
        <v>2704</v>
      </c>
      <c r="F598" s="15"/>
      <c r="G598" s="14"/>
      <c r="H598" s="15"/>
      <c r="I598" s="15"/>
      <c r="J598" s="14" t="str">
        <f t="shared" si="10"/>
        <v/>
      </c>
      <c r="K598" s="19"/>
      <c r="L598" s="20"/>
      <c r="M598" s="21"/>
      <c r="N598" s="15"/>
      <c r="O598" s="15"/>
      <c r="P598" s="15"/>
      <c r="Q598" s="14" t="s">
        <v>3403</v>
      </c>
    </row>
    <row r="599" spans="4:17" x14ac:dyDescent="0.25">
      <c r="D599" s="15" t="s">
        <v>6272</v>
      </c>
      <c r="E599" s="14" t="s">
        <v>2704</v>
      </c>
      <c r="F599" s="15"/>
      <c r="G599" s="14"/>
      <c r="H599" s="15"/>
      <c r="I599" s="15"/>
      <c r="J599" s="14" t="str">
        <f t="shared" si="10"/>
        <v/>
      </c>
      <c r="K599" s="19"/>
      <c r="L599" s="20"/>
      <c r="M599" s="21"/>
      <c r="N599" s="15"/>
      <c r="O599" s="15"/>
      <c r="P599" s="15"/>
      <c r="Q599" s="14" t="s">
        <v>3404</v>
      </c>
    </row>
    <row r="600" spans="4:17" x14ac:dyDescent="0.25">
      <c r="D600" s="15" t="s">
        <v>6273</v>
      </c>
      <c r="E600" s="14" t="s">
        <v>2704</v>
      </c>
      <c r="F600" s="15"/>
      <c r="G600" s="14"/>
      <c r="H600" s="15"/>
      <c r="I600" s="15"/>
      <c r="J600" s="14" t="str">
        <f t="shared" si="10"/>
        <v/>
      </c>
      <c r="K600" s="19"/>
      <c r="L600" s="20"/>
      <c r="M600" s="21"/>
      <c r="N600" s="15"/>
      <c r="O600" s="15"/>
      <c r="P600" s="15"/>
      <c r="Q600" s="14" t="s">
        <v>3405</v>
      </c>
    </row>
    <row r="601" spans="4:17" x14ac:dyDescent="0.25">
      <c r="D601" s="15" t="s">
        <v>6274</v>
      </c>
      <c r="E601" s="14" t="s">
        <v>2704</v>
      </c>
      <c r="F601" s="15"/>
      <c r="G601" s="14"/>
      <c r="H601" s="15"/>
      <c r="I601" s="15"/>
      <c r="J601" s="14" t="str">
        <f t="shared" si="10"/>
        <v/>
      </c>
      <c r="K601" s="19"/>
      <c r="L601" s="20"/>
      <c r="M601" s="21"/>
      <c r="N601" s="15"/>
      <c r="O601" s="15"/>
      <c r="P601" s="15"/>
      <c r="Q601" s="14" t="s">
        <v>3406</v>
      </c>
    </row>
    <row r="602" spans="4:17" x14ac:dyDescent="0.25">
      <c r="D602" s="15" t="s">
        <v>6275</v>
      </c>
      <c r="E602" s="14" t="s">
        <v>2704</v>
      </c>
      <c r="F602" s="15"/>
      <c r="G602" s="14"/>
      <c r="H602" s="15"/>
      <c r="I602" s="15"/>
      <c r="J602" s="14" t="str">
        <f t="shared" si="10"/>
        <v/>
      </c>
      <c r="K602" s="19"/>
      <c r="L602" s="20"/>
      <c r="M602" s="21"/>
      <c r="N602" s="15"/>
      <c r="O602" s="15"/>
      <c r="P602" s="15"/>
      <c r="Q602" s="14" t="s">
        <v>3407</v>
      </c>
    </row>
    <row r="603" spans="4:17" x14ac:dyDescent="0.25">
      <c r="D603" s="15" t="s">
        <v>6276</v>
      </c>
      <c r="E603" s="14" t="s">
        <v>2704</v>
      </c>
      <c r="F603" s="15"/>
      <c r="G603" s="14"/>
      <c r="H603" s="15"/>
      <c r="I603" s="15"/>
      <c r="J603" s="14" t="str">
        <f t="shared" si="10"/>
        <v/>
      </c>
      <c r="K603" s="19"/>
      <c r="L603" s="20"/>
      <c r="M603" s="21"/>
      <c r="N603" s="15"/>
      <c r="O603" s="15"/>
      <c r="P603" s="15"/>
      <c r="Q603" s="14" t="s">
        <v>3408</v>
      </c>
    </row>
    <row r="604" spans="4:17" x14ac:dyDescent="0.25">
      <c r="D604" s="15" t="s">
        <v>6277</v>
      </c>
      <c r="E604" s="14" t="s">
        <v>2704</v>
      </c>
      <c r="F604" s="15"/>
      <c r="G604" s="14"/>
      <c r="H604" s="15"/>
      <c r="I604" s="15"/>
      <c r="J604" s="14" t="str">
        <f t="shared" si="10"/>
        <v/>
      </c>
      <c r="K604" s="19"/>
      <c r="L604" s="20"/>
      <c r="M604" s="21"/>
      <c r="N604" s="15"/>
      <c r="O604" s="15"/>
      <c r="P604" s="15"/>
      <c r="Q604" s="14" t="s">
        <v>3409</v>
      </c>
    </row>
    <row r="605" spans="4:17" x14ac:dyDescent="0.25">
      <c r="D605" s="15" t="s">
        <v>6278</v>
      </c>
      <c r="E605" s="14" t="s">
        <v>2704</v>
      </c>
      <c r="F605" s="15"/>
      <c r="G605" s="14"/>
      <c r="H605" s="15"/>
      <c r="I605" s="15"/>
      <c r="J605" s="14" t="str">
        <f t="shared" si="10"/>
        <v/>
      </c>
      <c r="K605" s="19"/>
      <c r="L605" s="20"/>
      <c r="M605" s="21"/>
      <c r="N605" s="15"/>
      <c r="O605" s="15"/>
      <c r="P605" s="15"/>
      <c r="Q605" s="14" t="s">
        <v>3410</v>
      </c>
    </row>
    <row r="606" spans="4:17" x14ac:dyDescent="0.25">
      <c r="D606" s="15" t="s">
        <v>6279</v>
      </c>
      <c r="E606" s="14" t="s">
        <v>2704</v>
      </c>
      <c r="F606" s="15"/>
      <c r="G606" s="14"/>
      <c r="H606" s="15"/>
      <c r="I606" s="15"/>
      <c r="J606" s="14" t="str">
        <f t="shared" si="10"/>
        <v/>
      </c>
      <c r="K606" s="19"/>
      <c r="L606" s="20"/>
      <c r="M606" s="21"/>
      <c r="N606" s="15"/>
      <c r="O606" s="15"/>
      <c r="P606" s="15"/>
      <c r="Q606" s="14" t="s">
        <v>3411</v>
      </c>
    </row>
    <row r="607" spans="4:17" x14ac:dyDescent="0.25">
      <c r="D607" s="15" t="s">
        <v>6280</v>
      </c>
      <c r="E607" s="14" t="s">
        <v>2704</v>
      </c>
      <c r="F607" s="15"/>
      <c r="G607" s="14"/>
      <c r="H607" s="15"/>
      <c r="I607" s="15"/>
      <c r="J607" s="14" t="str">
        <f t="shared" si="10"/>
        <v/>
      </c>
      <c r="K607" s="19"/>
      <c r="L607" s="20"/>
      <c r="M607" s="21"/>
      <c r="N607" s="15"/>
      <c r="O607" s="15"/>
      <c r="P607" s="15"/>
      <c r="Q607" s="14" t="s">
        <v>3412</v>
      </c>
    </row>
    <row r="608" spans="4:17" x14ac:dyDescent="0.25">
      <c r="D608" s="15" t="s">
        <v>6281</v>
      </c>
      <c r="E608" s="14" t="s">
        <v>2704</v>
      </c>
      <c r="F608" s="15"/>
      <c r="G608" s="14"/>
      <c r="H608" s="15"/>
      <c r="I608" s="15"/>
      <c r="J608" s="14" t="str">
        <f t="shared" si="10"/>
        <v/>
      </c>
      <c r="K608" s="19"/>
      <c r="L608" s="20"/>
      <c r="M608" s="21"/>
      <c r="N608" s="15"/>
      <c r="O608" s="15"/>
      <c r="P608" s="15"/>
      <c r="Q608" s="14" t="s">
        <v>3413</v>
      </c>
    </row>
    <row r="609" spans="4:17" x14ac:dyDescent="0.25">
      <c r="D609" s="15" t="s">
        <v>6282</v>
      </c>
      <c r="E609" s="14" t="s">
        <v>2704</v>
      </c>
      <c r="F609" s="15"/>
      <c r="G609" s="14"/>
      <c r="H609" s="15"/>
      <c r="I609" s="15"/>
      <c r="J609" s="14" t="str">
        <f t="shared" si="10"/>
        <v/>
      </c>
      <c r="K609" s="19"/>
      <c r="L609" s="20"/>
      <c r="M609" s="21"/>
      <c r="N609" s="15"/>
      <c r="O609" s="15"/>
      <c r="P609" s="15"/>
      <c r="Q609" s="14" t="s">
        <v>3414</v>
      </c>
    </row>
    <row r="610" spans="4:17" x14ac:dyDescent="0.25">
      <c r="D610" s="15" t="s">
        <v>6283</v>
      </c>
      <c r="E610" s="14" t="s">
        <v>2704</v>
      </c>
      <c r="F610" s="15"/>
      <c r="G610" s="14"/>
      <c r="H610" s="15"/>
      <c r="I610" s="15"/>
      <c r="J610" s="14" t="str">
        <f t="shared" si="10"/>
        <v/>
      </c>
      <c r="K610" s="19"/>
      <c r="L610" s="20"/>
      <c r="M610" s="21"/>
      <c r="N610" s="15"/>
      <c r="O610" s="15"/>
      <c r="P610" s="15"/>
      <c r="Q610" s="14" t="s">
        <v>3415</v>
      </c>
    </row>
    <row r="611" spans="4:17" x14ac:dyDescent="0.25">
      <c r="D611" s="15" t="s">
        <v>6284</v>
      </c>
      <c r="E611" s="14" t="s">
        <v>2704</v>
      </c>
      <c r="F611" s="15"/>
      <c r="G611" s="14"/>
      <c r="H611" s="15"/>
      <c r="I611" s="15"/>
      <c r="J611" s="14" t="str">
        <f t="shared" si="10"/>
        <v/>
      </c>
      <c r="K611" s="19"/>
      <c r="L611" s="20"/>
      <c r="M611" s="21"/>
      <c r="N611" s="15"/>
      <c r="O611" s="15"/>
      <c r="P611" s="15"/>
      <c r="Q611" s="14" t="s">
        <v>3416</v>
      </c>
    </row>
    <row r="612" spans="4:17" x14ac:dyDescent="0.25">
      <c r="D612" s="15" t="s">
        <v>6285</v>
      </c>
      <c r="E612" s="14" t="s">
        <v>2704</v>
      </c>
      <c r="F612" s="15"/>
      <c r="G612" s="14"/>
      <c r="H612" s="15"/>
      <c r="I612" s="15"/>
      <c r="J612" s="14" t="str">
        <f t="shared" si="10"/>
        <v/>
      </c>
      <c r="K612" s="19"/>
      <c r="L612" s="20"/>
      <c r="M612" s="21"/>
      <c r="N612" s="15"/>
      <c r="O612" s="15"/>
      <c r="P612" s="15"/>
      <c r="Q612" s="14" t="s">
        <v>3417</v>
      </c>
    </row>
    <row r="613" spans="4:17" x14ac:dyDescent="0.25">
      <c r="D613" s="15" t="s">
        <v>6286</v>
      </c>
      <c r="E613" s="14" t="s">
        <v>2704</v>
      </c>
      <c r="F613" s="15"/>
      <c r="G613" s="14"/>
      <c r="H613" s="15"/>
      <c r="I613" s="15"/>
      <c r="J613" s="14" t="str">
        <f t="shared" si="10"/>
        <v/>
      </c>
      <c r="K613" s="19"/>
      <c r="L613" s="20"/>
      <c r="M613" s="21"/>
      <c r="N613" s="15"/>
      <c r="O613" s="15"/>
      <c r="P613" s="15"/>
      <c r="Q613" s="14" t="s">
        <v>3418</v>
      </c>
    </row>
    <row r="614" spans="4:17" x14ac:dyDescent="0.25">
      <c r="D614" s="15" t="s">
        <v>6287</v>
      </c>
      <c r="E614" s="14" t="s">
        <v>2704</v>
      </c>
      <c r="F614" s="15"/>
      <c r="G614" s="14"/>
      <c r="H614" s="15"/>
      <c r="I614" s="15"/>
      <c r="J614" s="14" t="str">
        <f t="shared" si="10"/>
        <v/>
      </c>
      <c r="K614" s="19"/>
      <c r="L614" s="20"/>
      <c r="M614" s="21"/>
      <c r="N614" s="15"/>
      <c r="O614" s="15"/>
      <c r="P614" s="15"/>
      <c r="Q614" s="14" t="s">
        <v>3419</v>
      </c>
    </row>
    <row r="615" spans="4:17" x14ac:dyDescent="0.25">
      <c r="D615" s="15" t="s">
        <v>6288</v>
      </c>
      <c r="E615" s="14" t="s">
        <v>2704</v>
      </c>
      <c r="F615" s="15"/>
      <c r="G615" s="14"/>
      <c r="H615" s="15"/>
      <c r="I615" s="15"/>
      <c r="J615" s="14" t="str">
        <f t="shared" si="10"/>
        <v/>
      </c>
      <c r="K615" s="19"/>
      <c r="L615" s="20"/>
      <c r="M615" s="21"/>
      <c r="N615" s="15"/>
      <c r="O615" s="15"/>
      <c r="P615" s="15"/>
      <c r="Q615" s="14" t="s">
        <v>3420</v>
      </c>
    </row>
    <row r="616" spans="4:17" x14ac:dyDescent="0.25">
      <c r="D616" s="15" t="s">
        <v>6289</v>
      </c>
      <c r="E616" s="14" t="s">
        <v>2711</v>
      </c>
      <c r="F616" s="15"/>
      <c r="G616" s="14"/>
      <c r="H616" s="15"/>
      <c r="I616" s="15"/>
      <c r="J616" s="14" t="str">
        <f t="shared" si="10"/>
        <v/>
      </c>
      <c r="K616" s="19"/>
      <c r="L616" s="20"/>
      <c r="M616" s="21"/>
      <c r="N616" s="15"/>
      <c r="O616" s="15"/>
      <c r="P616" s="15"/>
      <c r="Q616" s="14" t="s">
        <v>3421</v>
      </c>
    </row>
    <row r="617" spans="4:17" x14ac:dyDescent="0.25">
      <c r="D617" s="15" t="s">
        <v>6290</v>
      </c>
      <c r="E617" s="14" t="s">
        <v>2711</v>
      </c>
      <c r="F617" s="15"/>
      <c r="G617" s="14"/>
      <c r="H617" s="15"/>
      <c r="I617" s="15"/>
      <c r="J617" s="14" t="str">
        <f t="shared" si="10"/>
        <v/>
      </c>
      <c r="K617" s="19"/>
      <c r="L617" s="20"/>
      <c r="M617" s="21"/>
      <c r="N617" s="15"/>
      <c r="O617" s="15"/>
      <c r="P617" s="15"/>
      <c r="Q617" s="14" t="s">
        <v>3422</v>
      </c>
    </row>
    <row r="618" spans="4:17" x14ac:dyDescent="0.25">
      <c r="D618" s="15" t="s">
        <v>6291</v>
      </c>
      <c r="E618" s="14" t="s">
        <v>2711</v>
      </c>
      <c r="F618" s="15"/>
      <c r="G618" s="14"/>
      <c r="H618" s="15"/>
      <c r="I618" s="15"/>
      <c r="J618" s="14" t="str">
        <f t="shared" si="10"/>
        <v/>
      </c>
      <c r="K618" s="19"/>
      <c r="L618" s="20"/>
      <c r="M618" s="21"/>
      <c r="N618" s="15"/>
      <c r="O618" s="15"/>
      <c r="P618" s="15"/>
      <c r="Q618" s="14" t="s">
        <v>3423</v>
      </c>
    </row>
    <row r="619" spans="4:17" x14ac:dyDescent="0.25">
      <c r="D619" s="15" t="s">
        <v>6292</v>
      </c>
      <c r="E619" s="14" t="s">
        <v>2711</v>
      </c>
      <c r="F619" s="15"/>
      <c r="G619" s="14"/>
      <c r="H619" s="15"/>
      <c r="I619" s="15"/>
      <c r="J619" s="14" t="str">
        <f t="shared" si="10"/>
        <v/>
      </c>
      <c r="K619" s="19"/>
      <c r="L619" s="20"/>
      <c r="M619" s="21"/>
      <c r="N619" s="15"/>
      <c r="O619" s="15"/>
      <c r="P619" s="15"/>
      <c r="Q619" s="14" t="s">
        <v>3424</v>
      </c>
    </row>
    <row r="620" spans="4:17" x14ac:dyDescent="0.25">
      <c r="D620" s="15" t="s">
        <v>6293</v>
      </c>
      <c r="E620" s="14" t="s">
        <v>2711</v>
      </c>
      <c r="F620" s="15"/>
      <c r="G620" s="14"/>
      <c r="H620" s="15"/>
      <c r="I620" s="15"/>
      <c r="J620" s="14" t="str">
        <f t="shared" si="10"/>
        <v/>
      </c>
      <c r="K620" s="19"/>
      <c r="L620" s="20"/>
      <c r="M620" s="21"/>
      <c r="N620" s="15"/>
      <c r="O620" s="15"/>
      <c r="P620" s="15"/>
      <c r="Q620" s="14" t="s">
        <v>3425</v>
      </c>
    </row>
    <row r="621" spans="4:17" x14ac:dyDescent="0.25">
      <c r="D621" s="15" t="s">
        <v>6294</v>
      </c>
      <c r="E621" s="14" t="s">
        <v>2711</v>
      </c>
      <c r="F621" s="15"/>
      <c r="G621" s="14"/>
      <c r="H621" s="15"/>
      <c r="I621" s="15"/>
      <c r="J621" s="14" t="str">
        <f t="shared" si="10"/>
        <v/>
      </c>
      <c r="K621" s="19"/>
      <c r="L621" s="20"/>
      <c r="M621" s="21"/>
      <c r="N621" s="15"/>
      <c r="O621" s="15"/>
      <c r="P621" s="15"/>
      <c r="Q621" s="14" t="s">
        <v>3426</v>
      </c>
    </row>
    <row r="622" spans="4:17" x14ac:dyDescent="0.25">
      <c r="D622" s="15" t="s">
        <v>6295</v>
      </c>
      <c r="E622" s="14" t="s">
        <v>2711</v>
      </c>
      <c r="F622" s="15"/>
      <c r="G622" s="14"/>
      <c r="H622" s="15"/>
      <c r="I622" s="15"/>
      <c r="J622" s="14" t="str">
        <f t="shared" si="10"/>
        <v/>
      </c>
      <c r="K622" s="19"/>
      <c r="L622" s="20"/>
      <c r="M622" s="21"/>
      <c r="N622" s="15"/>
      <c r="O622" s="15"/>
      <c r="P622" s="15"/>
      <c r="Q622" s="14" t="s">
        <v>3427</v>
      </c>
    </row>
    <row r="623" spans="4:17" x14ac:dyDescent="0.25">
      <c r="D623" s="15" t="s">
        <v>6296</v>
      </c>
      <c r="E623" s="14" t="s">
        <v>2711</v>
      </c>
      <c r="F623" s="15"/>
      <c r="G623" s="14"/>
      <c r="H623" s="15"/>
      <c r="I623" s="15"/>
      <c r="J623" s="14" t="str">
        <f t="shared" si="10"/>
        <v/>
      </c>
      <c r="K623" s="19"/>
      <c r="L623" s="20"/>
      <c r="M623" s="21"/>
      <c r="N623" s="15"/>
      <c r="O623" s="15"/>
      <c r="P623" s="15"/>
      <c r="Q623" s="14" t="s">
        <v>3428</v>
      </c>
    </row>
    <row r="624" spans="4:17" x14ac:dyDescent="0.25">
      <c r="D624" s="15" t="s">
        <v>6297</v>
      </c>
      <c r="E624" s="14" t="s">
        <v>2711</v>
      </c>
      <c r="F624" s="15"/>
      <c r="G624" s="14"/>
      <c r="H624" s="15"/>
      <c r="I624" s="15"/>
      <c r="J624" s="14" t="str">
        <f t="shared" si="10"/>
        <v/>
      </c>
      <c r="K624" s="19"/>
      <c r="L624" s="20"/>
      <c r="M624" s="21"/>
      <c r="N624" s="15"/>
      <c r="O624" s="15"/>
      <c r="P624" s="15"/>
      <c r="Q624" s="14" t="s">
        <v>3429</v>
      </c>
    </row>
    <row r="625" spans="4:17" x14ac:dyDescent="0.25">
      <c r="D625" s="15" t="s">
        <v>6298</v>
      </c>
      <c r="E625" s="14" t="s">
        <v>2711</v>
      </c>
      <c r="F625" s="15"/>
      <c r="G625" s="14"/>
      <c r="H625" s="15"/>
      <c r="I625" s="15"/>
      <c r="J625" s="14" t="str">
        <f t="shared" si="10"/>
        <v/>
      </c>
      <c r="K625" s="19"/>
      <c r="L625" s="20"/>
      <c r="M625" s="21"/>
      <c r="N625" s="15"/>
      <c r="O625" s="15"/>
      <c r="P625" s="15"/>
      <c r="Q625" s="14" t="s">
        <v>3430</v>
      </c>
    </row>
    <row r="626" spans="4:17" x14ac:dyDescent="0.25">
      <c r="D626" s="15" t="s">
        <v>6299</v>
      </c>
      <c r="E626" s="14" t="s">
        <v>2711</v>
      </c>
      <c r="F626" s="15"/>
      <c r="G626" s="14"/>
      <c r="H626" s="15"/>
      <c r="I626" s="15"/>
      <c r="J626" s="14" t="str">
        <f t="shared" si="10"/>
        <v/>
      </c>
      <c r="K626" s="19"/>
      <c r="L626" s="20"/>
      <c r="M626" s="21"/>
      <c r="N626" s="15"/>
      <c r="O626" s="15"/>
      <c r="P626" s="15"/>
      <c r="Q626" s="14" t="s">
        <v>3431</v>
      </c>
    </row>
    <row r="627" spans="4:17" x14ac:dyDescent="0.25">
      <c r="D627" s="15" t="s">
        <v>6300</v>
      </c>
      <c r="E627" s="14" t="s">
        <v>2711</v>
      </c>
      <c r="F627" s="15"/>
      <c r="G627" s="14"/>
      <c r="H627" s="15"/>
      <c r="I627" s="15"/>
      <c r="J627" s="14" t="str">
        <f t="shared" si="10"/>
        <v/>
      </c>
      <c r="K627" s="19"/>
      <c r="L627" s="20"/>
      <c r="M627" s="21"/>
      <c r="N627" s="15"/>
      <c r="O627" s="15"/>
      <c r="P627" s="15"/>
      <c r="Q627" s="14" t="s">
        <v>3432</v>
      </c>
    </row>
    <row r="628" spans="4:17" x14ac:dyDescent="0.25">
      <c r="D628" s="15" t="s">
        <v>6301</v>
      </c>
      <c r="E628" s="14" t="s">
        <v>2711</v>
      </c>
      <c r="F628" s="15"/>
      <c r="G628" s="14"/>
      <c r="H628" s="15"/>
      <c r="I628" s="15"/>
      <c r="J628" s="14" t="str">
        <f t="shared" si="10"/>
        <v/>
      </c>
      <c r="K628" s="19"/>
      <c r="L628" s="20"/>
      <c r="M628" s="21"/>
      <c r="N628" s="15"/>
      <c r="O628" s="15"/>
      <c r="P628" s="15"/>
      <c r="Q628" s="14" t="s">
        <v>3433</v>
      </c>
    </row>
    <row r="629" spans="4:17" x14ac:dyDescent="0.25">
      <c r="D629" s="15" t="s">
        <v>6302</v>
      </c>
      <c r="E629" s="14" t="s">
        <v>2711</v>
      </c>
      <c r="F629" s="15"/>
      <c r="G629" s="14"/>
      <c r="H629" s="15"/>
      <c r="I629" s="15"/>
      <c r="J629" s="14" t="str">
        <f t="shared" si="10"/>
        <v/>
      </c>
      <c r="K629" s="19"/>
      <c r="L629" s="20"/>
      <c r="M629" s="21"/>
      <c r="N629" s="15"/>
      <c r="O629" s="15"/>
      <c r="P629" s="15"/>
      <c r="Q629" s="14" t="s">
        <v>3434</v>
      </c>
    </row>
    <row r="630" spans="4:17" x14ac:dyDescent="0.25">
      <c r="D630" s="15" t="s">
        <v>6303</v>
      </c>
      <c r="E630" s="14" t="s">
        <v>2711</v>
      </c>
      <c r="F630" s="15"/>
      <c r="G630" s="14"/>
      <c r="H630" s="15"/>
      <c r="I630" s="15"/>
      <c r="J630" s="14" t="str">
        <f t="shared" si="10"/>
        <v/>
      </c>
      <c r="K630" s="19"/>
      <c r="L630" s="20"/>
      <c r="M630" s="21"/>
      <c r="N630" s="15"/>
      <c r="O630" s="15"/>
      <c r="P630" s="15"/>
      <c r="Q630" s="14" t="s">
        <v>3435</v>
      </c>
    </row>
    <row r="631" spans="4:17" x14ac:dyDescent="0.25">
      <c r="D631" s="15" t="s">
        <v>6304</v>
      </c>
      <c r="E631" s="14" t="s">
        <v>2711</v>
      </c>
      <c r="F631" s="15"/>
      <c r="G631" s="14"/>
      <c r="H631" s="15"/>
      <c r="I631" s="15"/>
      <c r="J631" s="14" t="str">
        <f t="shared" si="10"/>
        <v/>
      </c>
      <c r="K631" s="19"/>
      <c r="L631" s="20"/>
      <c r="M631" s="21"/>
      <c r="N631" s="15"/>
      <c r="O631" s="15"/>
      <c r="P631" s="15"/>
      <c r="Q631" s="14" t="s">
        <v>3436</v>
      </c>
    </row>
    <row r="632" spans="4:17" x14ac:dyDescent="0.25">
      <c r="D632" s="15" t="s">
        <v>6305</v>
      </c>
      <c r="E632" s="14" t="s">
        <v>2711</v>
      </c>
      <c r="F632" s="15"/>
      <c r="G632" s="14"/>
      <c r="H632" s="15"/>
      <c r="I632" s="15"/>
      <c r="J632" s="14" t="str">
        <f t="shared" si="10"/>
        <v/>
      </c>
      <c r="K632" s="19"/>
      <c r="L632" s="20"/>
      <c r="M632" s="21"/>
      <c r="N632" s="15"/>
      <c r="O632" s="15"/>
      <c r="P632" s="15"/>
      <c r="Q632" s="14" t="s">
        <v>3437</v>
      </c>
    </row>
    <row r="633" spans="4:17" x14ac:dyDescent="0.25">
      <c r="D633" s="15" t="s">
        <v>6306</v>
      </c>
      <c r="E633" s="14" t="s">
        <v>2711</v>
      </c>
      <c r="F633" s="15"/>
      <c r="G633" s="14"/>
      <c r="H633" s="15"/>
      <c r="I633" s="15"/>
      <c r="J633" s="14" t="str">
        <f t="shared" si="10"/>
        <v/>
      </c>
      <c r="K633" s="19"/>
      <c r="L633" s="20"/>
      <c r="M633" s="21"/>
      <c r="N633" s="15"/>
      <c r="O633" s="15"/>
      <c r="P633" s="15"/>
      <c r="Q633" s="14" t="s">
        <v>3438</v>
      </c>
    </row>
    <row r="634" spans="4:17" x14ac:dyDescent="0.25">
      <c r="D634" s="15" t="s">
        <v>6307</v>
      </c>
      <c r="E634" s="14" t="s">
        <v>2711</v>
      </c>
      <c r="F634" s="15"/>
      <c r="G634" s="14"/>
      <c r="H634" s="15"/>
      <c r="I634" s="15"/>
      <c r="J634" s="14" t="str">
        <f t="shared" si="10"/>
        <v/>
      </c>
      <c r="K634" s="19"/>
      <c r="L634" s="20"/>
      <c r="M634" s="21"/>
      <c r="N634" s="15"/>
      <c r="O634" s="15"/>
      <c r="P634" s="15"/>
      <c r="Q634" s="14" t="s">
        <v>3439</v>
      </c>
    </row>
    <row r="635" spans="4:17" x14ac:dyDescent="0.25">
      <c r="D635" s="15" t="s">
        <v>6308</v>
      </c>
      <c r="E635" s="14" t="s">
        <v>2711</v>
      </c>
      <c r="F635" s="15"/>
      <c r="G635" s="14"/>
      <c r="H635" s="15"/>
      <c r="I635" s="15"/>
      <c r="J635" s="14" t="str">
        <f t="shared" si="10"/>
        <v/>
      </c>
      <c r="K635" s="19"/>
      <c r="L635" s="20"/>
      <c r="M635" s="21"/>
      <c r="N635" s="15"/>
      <c r="O635" s="15"/>
      <c r="P635" s="15"/>
      <c r="Q635" s="14" t="s">
        <v>3440</v>
      </c>
    </row>
    <row r="636" spans="4:17" x14ac:dyDescent="0.25">
      <c r="D636" s="15" t="s">
        <v>6309</v>
      </c>
      <c r="E636" s="14" t="s">
        <v>2718</v>
      </c>
      <c r="F636" s="15"/>
      <c r="G636" s="14"/>
      <c r="H636" s="15"/>
      <c r="I636" s="15"/>
      <c r="J636" s="14" t="str">
        <f t="shared" ref="J636:J699" si="11">F636&amp;H636&amp;I636</f>
        <v/>
      </c>
      <c r="K636" s="19"/>
      <c r="L636" s="20"/>
      <c r="M636" s="21"/>
      <c r="N636" s="15"/>
      <c r="O636" s="15"/>
      <c r="P636" s="15"/>
      <c r="Q636" s="14" t="s">
        <v>3441</v>
      </c>
    </row>
    <row r="637" spans="4:17" x14ac:dyDescent="0.25">
      <c r="D637" s="15" t="s">
        <v>6310</v>
      </c>
      <c r="E637" s="14" t="s">
        <v>2718</v>
      </c>
      <c r="F637" s="15"/>
      <c r="G637" s="14"/>
      <c r="H637" s="15"/>
      <c r="I637" s="15"/>
      <c r="J637" s="14" t="str">
        <f t="shared" si="11"/>
        <v/>
      </c>
      <c r="K637" s="19"/>
      <c r="L637" s="20"/>
      <c r="M637" s="21"/>
      <c r="N637" s="15"/>
      <c r="O637" s="15"/>
      <c r="P637" s="15"/>
      <c r="Q637" s="14" t="s">
        <v>3442</v>
      </c>
    </row>
    <row r="638" spans="4:17" x14ac:dyDescent="0.25">
      <c r="D638" s="15" t="s">
        <v>6311</v>
      </c>
      <c r="E638" s="14" t="s">
        <v>2718</v>
      </c>
      <c r="F638" s="15"/>
      <c r="G638" s="14"/>
      <c r="H638" s="15"/>
      <c r="I638" s="15"/>
      <c r="J638" s="14" t="str">
        <f t="shared" si="11"/>
        <v/>
      </c>
      <c r="K638" s="19"/>
      <c r="L638" s="20"/>
      <c r="M638" s="21"/>
      <c r="N638" s="15"/>
      <c r="O638" s="15"/>
      <c r="P638" s="15"/>
      <c r="Q638" s="14" t="s">
        <v>3443</v>
      </c>
    </row>
    <row r="639" spans="4:17" x14ac:dyDescent="0.25">
      <c r="D639" s="15" t="s">
        <v>6312</v>
      </c>
      <c r="E639" s="14" t="s">
        <v>2718</v>
      </c>
      <c r="F639" s="15"/>
      <c r="G639" s="14"/>
      <c r="H639" s="15"/>
      <c r="I639" s="15"/>
      <c r="J639" s="14" t="str">
        <f t="shared" si="11"/>
        <v/>
      </c>
      <c r="K639" s="19"/>
      <c r="L639" s="20"/>
      <c r="M639" s="21"/>
      <c r="N639" s="15"/>
      <c r="O639" s="15"/>
      <c r="P639" s="15"/>
      <c r="Q639" s="14" t="s">
        <v>3444</v>
      </c>
    </row>
    <row r="640" spans="4:17" x14ac:dyDescent="0.25">
      <c r="D640" s="15" t="s">
        <v>6313</v>
      </c>
      <c r="E640" s="14" t="s">
        <v>2718</v>
      </c>
      <c r="F640" s="15"/>
      <c r="G640" s="14"/>
      <c r="H640" s="15"/>
      <c r="I640" s="15"/>
      <c r="J640" s="14" t="str">
        <f t="shared" si="11"/>
        <v/>
      </c>
      <c r="K640" s="19"/>
      <c r="L640" s="20"/>
      <c r="M640" s="21"/>
      <c r="N640" s="15"/>
      <c r="O640" s="15"/>
      <c r="P640" s="15"/>
      <c r="Q640" s="14" t="s">
        <v>3445</v>
      </c>
    </row>
    <row r="641" spans="4:17" x14ac:dyDescent="0.25">
      <c r="D641" s="15" t="s">
        <v>6314</v>
      </c>
      <c r="E641" s="14" t="s">
        <v>2718</v>
      </c>
      <c r="F641" s="15"/>
      <c r="G641" s="14"/>
      <c r="H641" s="15"/>
      <c r="I641" s="15"/>
      <c r="J641" s="14" t="str">
        <f t="shared" si="11"/>
        <v/>
      </c>
      <c r="K641" s="19"/>
      <c r="L641" s="20"/>
      <c r="M641" s="21"/>
      <c r="N641" s="15"/>
      <c r="O641" s="15"/>
      <c r="P641" s="15"/>
      <c r="Q641" s="14" t="s">
        <v>3446</v>
      </c>
    </row>
    <row r="642" spans="4:17" x14ac:dyDescent="0.25">
      <c r="D642" s="15" t="s">
        <v>6315</v>
      </c>
      <c r="E642" s="14" t="s">
        <v>2718</v>
      </c>
      <c r="F642" s="15"/>
      <c r="G642" s="14"/>
      <c r="H642" s="15"/>
      <c r="I642" s="15"/>
      <c r="J642" s="14" t="str">
        <f t="shared" si="11"/>
        <v/>
      </c>
      <c r="K642" s="19"/>
      <c r="L642" s="20"/>
      <c r="M642" s="21"/>
      <c r="N642" s="15"/>
      <c r="O642" s="15"/>
      <c r="P642" s="15"/>
      <c r="Q642" s="14" t="s">
        <v>3447</v>
      </c>
    </row>
    <row r="643" spans="4:17" x14ac:dyDescent="0.25">
      <c r="D643" s="15" t="s">
        <v>6316</v>
      </c>
      <c r="E643" s="14" t="s">
        <v>2718</v>
      </c>
      <c r="F643" s="15"/>
      <c r="G643" s="14"/>
      <c r="H643" s="15"/>
      <c r="I643" s="15"/>
      <c r="J643" s="14" t="str">
        <f t="shared" si="11"/>
        <v/>
      </c>
      <c r="K643" s="19"/>
      <c r="L643" s="20"/>
      <c r="M643" s="21"/>
      <c r="N643" s="15"/>
      <c r="O643" s="15"/>
      <c r="P643" s="15"/>
      <c r="Q643" s="14" t="s">
        <v>3448</v>
      </c>
    </row>
    <row r="644" spans="4:17" x14ac:dyDescent="0.25">
      <c r="D644" s="15" t="s">
        <v>6317</v>
      </c>
      <c r="E644" s="14" t="s">
        <v>2718</v>
      </c>
      <c r="F644" s="15"/>
      <c r="G644" s="14"/>
      <c r="H644" s="15"/>
      <c r="I644" s="15"/>
      <c r="J644" s="14" t="str">
        <f t="shared" si="11"/>
        <v/>
      </c>
      <c r="K644" s="19"/>
      <c r="L644" s="20"/>
      <c r="M644" s="21"/>
      <c r="N644" s="15"/>
      <c r="O644" s="15"/>
      <c r="P644" s="15"/>
      <c r="Q644" s="14" t="s">
        <v>3449</v>
      </c>
    </row>
    <row r="645" spans="4:17" x14ac:dyDescent="0.25">
      <c r="D645" s="15" t="s">
        <v>6318</v>
      </c>
      <c r="E645" s="14" t="s">
        <v>2718</v>
      </c>
      <c r="F645" s="15"/>
      <c r="G645" s="14"/>
      <c r="H645" s="15"/>
      <c r="I645" s="15"/>
      <c r="J645" s="14" t="str">
        <f t="shared" si="11"/>
        <v/>
      </c>
      <c r="K645" s="19"/>
      <c r="L645" s="20"/>
      <c r="M645" s="21"/>
      <c r="N645" s="15"/>
      <c r="O645" s="15"/>
      <c r="P645" s="15"/>
      <c r="Q645" s="14" t="s">
        <v>3450</v>
      </c>
    </row>
    <row r="646" spans="4:17" x14ac:dyDescent="0.25">
      <c r="D646" s="15" t="s">
        <v>6319</v>
      </c>
      <c r="E646" s="14" t="s">
        <v>2718</v>
      </c>
      <c r="F646" s="15"/>
      <c r="G646" s="14"/>
      <c r="H646" s="15"/>
      <c r="I646" s="15"/>
      <c r="J646" s="14" t="str">
        <f t="shared" si="11"/>
        <v/>
      </c>
      <c r="K646" s="19"/>
      <c r="L646" s="20"/>
      <c r="M646" s="21"/>
      <c r="N646" s="15"/>
      <c r="O646" s="15"/>
      <c r="P646" s="15"/>
      <c r="Q646" s="14" t="s">
        <v>3451</v>
      </c>
    </row>
    <row r="647" spans="4:17" x14ac:dyDescent="0.25">
      <c r="D647" s="15" t="s">
        <v>6320</v>
      </c>
      <c r="E647" s="14" t="s">
        <v>2718</v>
      </c>
      <c r="F647" s="15"/>
      <c r="G647" s="14"/>
      <c r="H647" s="15"/>
      <c r="I647" s="15"/>
      <c r="J647" s="14" t="str">
        <f t="shared" si="11"/>
        <v/>
      </c>
      <c r="K647" s="19"/>
      <c r="L647" s="20"/>
      <c r="M647" s="21"/>
      <c r="N647" s="15"/>
      <c r="O647" s="15"/>
      <c r="P647" s="15"/>
      <c r="Q647" s="14" t="s">
        <v>3452</v>
      </c>
    </row>
    <row r="648" spans="4:17" x14ac:dyDescent="0.25">
      <c r="D648" s="15" t="s">
        <v>6321</v>
      </c>
      <c r="E648" s="14" t="s">
        <v>2718</v>
      </c>
      <c r="F648" s="15"/>
      <c r="G648" s="14"/>
      <c r="H648" s="15"/>
      <c r="I648" s="15"/>
      <c r="J648" s="14" t="str">
        <f t="shared" si="11"/>
        <v/>
      </c>
      <c r="K648" s="19"/>
      <c r="L648" s="20"/>
      <c r="M648" s="21"/>
      <c r="N648" s="15"/>
      <c r="O648" s="15"/>
      <c r="P648" s="15"/>
      <c r="Q648" s="14" t="s">
        <v>3453</v>
      </c>
    </row>
    <row r="649" spans="4:17" x14ac:dyDescent="0.25">
      <c r="D649" s="15" t="s">
        <v>6322</v>
      </c>
      <c r="E649" s="14" t="s">
        <v>2718</v>
      </c>
      <c r="F649" s="15"/>
      <c r="G649" s="14"/>
      <c r="H649" s="15"/>
      <c r="I649" s="15"/>
      <c r="J649" s="14" t="str">
        <f t="shared" si="11"/>
        <v/>
      </c>
      <c r="K649" s="19"/>
      <c r="L649" s="20"/>
      <c r="M649" s="21"/>
      <c r="N649" s="15"/>
      <c r="O649" s="15"/>
      <c r="P649" s="15"/>
      <c r="Q649" s="14" t="s">
        <v>3454</v>
      </c>
    </row>
    <row r="650" spans="4:17" x14ac:dyDescent="0.25">
      <c r="D650" s="15" t="s">
        <v>6323</v>
      </c>
      <c r="E650" s="14" t="s">
        <v>2718</v>
      </c>
      <c r="F650" s="15"/>
      <c r="G650" s="14"/>
      <c r="H650" s="15"/>
      <c r="I650" s="15"/>
      <c r="J650" s="14" t="str">
        <f t="shared" si="11"/>
        <v/>
      </c>
      <c r="K650" s="19"/>
      <c r="L650" s="20"/>
      <c r="M650" s="21"/>
      <c r="N650" s="15"/>
      <c r="O650" s="15"/>
      <c r="P650" s="15"/>
      <c r="Q650" s="14" t="s">
        <v>3455</v>
      </c>
    </row>
    <row r="651" spans="4:17" x14ac:dyDescent="0.25">
      <c r="D651" s="15" t="s">
        <v>6324</v>
      </c>
      <c r="E651" s="14" t="s">
        <v>2718</v>
      </c>
      <c r="F651" s="15"/>
      <c r="G651" s="14"/>
      <c r="H651" s="15"/>
      <c r="I651" s="15"/>
      <c r="J651" s="14" t="str">
        <f t="shared" si="11"/>
        <v/>
      </c>
      <c r="K651" s="19"/>
      <c r="L651" s="20"/>
      <c r="M651" s="21"/>
      <c r="N651" s="15"/>
      <c r="O651" s="15"/>
      <c r="P651" s="15"/>
      <c r="Q651" s="14" t="s">
        <v>3456</v>
      </c>
    </row>
    <row r="652" spans="4:17" x14ac:dyDescent="0.25">
      <c r="D652" s="15" t="s">
        <v>6325</v>
      </c>
      <c r="E652" s="14" t="s">
        <v>2718</v>
      </c>
      <c r="F652" s="15"/>
      <c r="G652" s="14"/>
      <c r="H652" s="15"/>
      <c r="I652" s="15"/>
      <c r="J652" s="14" t="str">
        <f t="shared" si="11"/>
        <v/>
      </c>
      <c r="K652" s="19"/>
      <c r="L652" s="20"/>
      <c r="M652" s="21"/>
      <c r="N652" s="15"/>
      <c r="O652" s="15"/>
      <c r="P652" s="15"/>
      <c r="Q652" s="14" t="s">
        <v>3457</v>
      </c>
    </row>
    <row r="653" spans="4:17" x14ac:dyDescent="0.25">
      <c r="D653" s="15" t="s">
        <v>6326</v>
      </c>
      <c r="E653" s="14" t="s">
        <v>2718</v>
      </c>
      <c r="F653" s="15"/>
      <c r="G653" s="14"/>
      <c r="H653" s="15"/>
      <c r="I653" s="15"/>
      <c r="J653" s="14" t="str">
        <f t="shared" si="11"/>
        <v/>
      </c>
      <c r="K653" s="19"/>
      <c r="L653" s="20"/>
      <c r="M653" s="21"/>
      <c r="N653" s="15"/>
      <c r="O653" s="15"/>
      <c r="P653" s="15"/>
      <c r="Q653" s="14" t="s">
        <v>3458</v>
      </c>
    </row>
    <row r="654" spans="4:17" x14ac:dyDescent="0.25">
      <c r="D654" s="15" t="s">
        <v>6327</v>
      </c>
      <c r="E654" s="14" t="s">
        <v>2718</v>
      </c>
      <c r="F654" s="15"/>
      <c r="G654" s="14"/>
      <c r="H654" s="15"/>
      <c r="I654" s="15"/>
      <c r="J654" s="14" t="str">
        <f t="shared" si="11"/>
        <v/>
      </c>
      <c r="K654" s="19"/>
      <c r="L654" s="20"/>
      <c r="M654" s="21"/>
      <c r="N654" s="15"/>
      <c r="O654" s="15"/>
      <c r="P654" s="15"/>
      <c r="Q654" s="14" t="s">
        <v>3459</v>
      </c>
    </row>
    <row r="655" spans="4:17" x14ac:dyDescent="0.25">
      <c r="D655" s="15" t="s">
        <v>6328</v>
      </c>
      <c r="E655" s="14" t="s">
        <v>2718</v>
      </c>
      <c r="F655" s="15"/>
      <c r="G655" s="14"/>
      <c r="H655" s="15"/>
      <c r="I655" s="15"/>
      <c r="J655" s="14" t="str">
        <f t="shared" si="11"/>
        <v/>
      </c>
      <c r="K655" s="19"/>
      <c r="L655" s="20"/>
      <c r="M655" s="21"/>
      <c r="N655" s="15"/>
      <c r="O655" s="15"/>
      <c r="P655" s="15"/>
      <c r="Q655" s="14" t="s">
        <v>3460</v>
      </c>
    </row>
    <row r="656" spans="4:17" x14ac:dyDescent="0.25">
      <c r="D656" s="15" t="s">
        <v>6329</v>
      </c>
      <c r="E656" s="14" t="s">
        <v>2725</v>
      </c>
      <c r="F656" s="15"/>
      <c r="G656" s="14"/>
      <c r="H656" s="15"/>
      <c r="I656" s="15"/>
      <c r="J656" s="14" t="str">
        <f t="shared" si="11"/>
        <v/>
      </c>
      <c r="K656" s="19"/>
      <c r="L656" s="20"/>
      <c r="M656" s="21"/>
      <c r="N656" s="15"/>
      <c r="O656" s="15"/>
      <c r="P656" s="15"/>
      <c r="Q656" s="14" t="s">
        <v>3461</v>
      </c>
    </row>
    <row r="657" spans="4:17" x14ac:dyDescent="0.25">
      <c r="D657" s="15" t="s">
        <v>6330</v>
      </c>
      <c r="E657" s="14" t="s">
        <v>2725</v>
      </c>
      <c r="F657" s="15"/>
      <c r="G657" s="14"/>
      <c r="H657" s="15"/>
      <c r="I657" s="15"/>
      <c r="J657" s="14" t="str">
        <f t="shared" si="11"/>
        <v/>
      </c>
      <c r="K657" s="19"/>
      <c r="L657" s="20"/>
      <c r="M657" s="21"/>
      <c r="N657" s="15"/>
      <c r="O657" s="15"/>
      <c r="P657" s="15"/>
      <c r="Q657" s="14" t="s">
        <v>3462</v>
      </c>
    </row>
    <row r="658" spans="4:17" x14ac:dyDescent="0.25">
      <c r="D658" s="15" t="s">
        <v>6331</v>
      </c>
      <c r="E658" s="14" t="s">
        <v>2725</v>
      </c>
      <c r="F658" s="15"/>
      <c r="G658" s="14"/>
      <c r="H658" s="15"/>
      <c r="I658" s="15"/>
      <c r="J658" s="14" t="str">
        <f t="shared" si="11"/>
        <v/>
      </c>
      <c r="K658" s="19"/>
      <c r="L658" s="20"/>
      <c r="M658" s="21"/>
      <c r="N658" s="15"/>
      <c r="O658" s="15"/>
      <c r="P658" s="15"/>
      <c r="Q658" s="14" t="s">
        <v>3463</v>
      </c>
    </row>
    <row r="659" spans="4:17" x14ac:dyDescent="0.25">
      <c r="D659" s="15" t="s">
        <v>6332</v>
      </c>
      <c r="E659" s="14" t="s">
        <v>2725</v>
      </c>
      <c r="F659" s="15"/>
      <c r="G659" s="14"/>
      <c r="H659" s="15"/>
      <c r="I659" s="15"/>
      <c r="J659" s="14" t="str">
        <f t="shared" si="11"/>
        <v/>
      </c>
      <c r="K659" s="19"/>
      <c r="L659" s="20"/>
      <c r="M659" s="21"/>
      <c r="N659" s="15"/>
      <c r="O659" s="15"/>
      <c r="P659" s="15"/>
      <c r="Q659" s="14" t="s">
        <v>3464</v>
      </c>
    </row>
    <row r="660" spans="4:17" x14ac:dyDescent="0.25">
      <c r="D660" s="15" t="s">
        <v>6333</v>
      </c>
      <c r="E660" s="14" t="s">
        <v>2725</v>
      </c>
      <c r="F660" s="15"/>
      <c r="G660" s="14"/>
      <c r="H660" s="15"/>
      <c r="I660" s="15"/>
      <c r="J660" s="14" t="str">
        <f t="shared" si="11"/>
        <v/>
      </c>
      <c r="K660" s="19"/>
      <c r="L660" s="20"/>
      <c r="M660" s="21"/>
      <c r="N660" s="15"/>
      <c r="O660" s="15"/>
      <c r="P660" s="15"/>
      <c r="Q660" s="14" t="s">
        <v>3465</v>
      </c>
    </row>
    <row r="661" spans="4:17" x14ac:dyDescent="0.25">
      <c r="D661" s="15" t="s">
        <v>6334</v>
      </c>
      <c r="E661" s="14" t="s">
        <v>2725</v>
      </c>
      <c r="F661" s="15"/>
      <c r="G661" s="14"/>
      <c r="H661" s="15"/>
      <c r="I661" s="15"/>
      <c r="J661" s="14" t="str">
        <f t="shared" si="11"/>
        <v/>
      </c>
      <c r="K661" s="19"/>
      <c r="L661" s="20"/>
      <c r="M661" s="21"/>
      <c r="N661" s="15"/>
      <c r="O661" s="15"/>
      <c r="P661" s="15"/>
      <c r="Q661" s="14" t="s">
        <v>3466</v>
      </c>
    </row>
    <row r="662" spans="4:17" x14ac:dyDescent="0.25">
      <c r="D662" s="15" t="s">
        <v>6335</v>
      </c>
      <c r="E662" s="14" t="s">
        <v>2725</v>
      </c>
      <c r="F662" s="15"/>
      <c r="G662" s="14"/>
      <c r="H662" s="15"/>
      <c r="I662" s="15"/>
      <c r="J662" s="14" t="str">
        <f t="shared" si="11"/>
        <v/>
      </c>
      <c r="K662" s="19"/>
      <c r="L662" s="20"/>
      <c r="M662" s="21"/>
      <c r="N662" s="15"/>
      <c r="O662" s="15"/>
      <c r="P662" s="15"/>
      <c r="Q662" s="14" t="s">
        <v>3467</v>
      </c>
    </row>
    <row r="663" spans="4:17" x14ac:dyDescent="0.25">
      <c r="D663" s="15" t="s">
        <v>6336</v>
      </c>
      <c r="E663" s="14" t="s">
        <v>2725</v>
      </c>
      <c r="F663" s="15"/>
      <c r="G663" s="14"/>
      <c r="H663" s="15"/>
      <c r="I663" s="15"/>
      <c r="J663" s="14" t="str">
        <f t="shared" si="11"/>
        <v/>
      </c>
      <c r="K663" s="19"/>
      <c r="L663" s="20"/>
      <c r="M663" s="21"/>
      <c r="N663" s="15"/>
      <c r="O663" s="15"/>
      <c r="P663" s="15"/>
      <c r="Q663" s="14" t="s">
        <v>3468</v>
      </c>
    </row>
    <row r="664" spans="4:17" x14ac:dyDescent="0.25">
      <c r="D664" s="15" t="s">
        <v>6337</v>
      </c>
      <c r="E664" s="14" t="s">
        <v>2725</v>
      </c>
      <c r="F664" s="15"/>
      <c r="G664" s="14"/>
      <c r="H664" s="15"/>
      <c r="I664" s="15"/>
      <c r="J664" s="14" t="str">
        <f t="shared" si="11"/>
        <v/>
      </c>
      <c r="K664" s="19"/>
      <c r="L664" s="20"/>
      <c r="M664" s="21"/>
      <c r="N664" s="15"/>
      <c r="O664" s="15"/>
      <c r="P664" s="15"/>
      <c r="Q664" s="14" t="s">
        <v>3469</v>
      </c>
    </row>
    <row r="665" spans="4:17" x14ac:dyDescent="0.25">
      <c r="D665" s="15" t="s">
        <v>6338</v>
      </c>
      <c r="E665" s="14" t="s">
        <v>2725</v>
      </c>
      <c r="F665" s="15"/>
      <c r="G665" s="14"/>
      <c r="H665" s="15"/>
      <c r="I665" s="15"/>
      <c r="J665" s="14" t="str">
        <f t="shared" si="11"/>
        <v/>
      </c>
      <c r="K665" s="19"/>
      <c r="L665" s="20"/>
      <c r="M665" s="21"/>
      <c r="N665" s="15"/>
      <c r="O665" s="15"/>
      <c r="P665" s="15"/>
      <c r="Q665" s="14" t="s">
        <v>3470</v>
      </c>
    </row>
    <row r="666" spans="4:17" x14ac:dyDescent="0.25">
      <c r="D666" s="15" t="s">
        <v>6339</v>
      </c>
      <c r="E666" s="14" t="s">
        <v>2725</v>
      </c>
      <c r="F666" s="15"/>
      <c r="G666" s="14"/>
      <c r="H666" s="15"/>
      <c r="I666" s="15"/>
      <c r="J666" s="14" t="str">
        <f t="shared" si="11"/>
        <v/>
      </c>
      <c r="K666" s="19"/>
      <c r="L666" s="20"/>
      <c r="M666" s="21"/>
      <c r="N666" s="15"/>
      <c r="O666" s="15"/>
      <c r="P666" s="15"/>
      <c r="Q666" s="14" t="s">
        <v>3471</v>
      </c>
    </row>
    <row r="667" spans="4:17" x14ac:dyDescent="0.25">
      <c r="D667" s="15" t="s">
        <v>6340</v>
      </c>
      <c r="E667" s="14" t="s">
        <v>2725</v>
      </c>
      <c r="F667" s="15"/>
      <c r="G667" s="14"/>
      <c r="H667" s="15"/>
      <c r="I667" s="15"/>
      <c r="J667" s="14" t="str">
        <f t="shared" si="11"/>
        <v/>
      </c>
      <c r="K667" s="19"/>
      <c r="L667" s="20"/>
      <c r="M667" s="21"/>
      <c r="N667" s="15"/>
      <c r="O667" s="15"/>
      <c r="P667" s="15"/>
      <c r="Q667" s="14" t="s">
        <v>3472</v>
      </c>
    </row>
    <row r="668" spans="4:17" x14ac:dyDescent="0.25">
      <c r="D668" s="15" t="s">
        <v>6341</v>
      </c>
      <c r="E668" s="14" t="s">
        <v>2725</v>
      </c>
      <c r="F668" s="15"/>
      <c r="G668" s="14"/>
      <c r="H668" s="15"/>
      <c r="I668" s="15"/>
      <c r="J668" s="14" t="str">
        <f t="shared" si="11"/>
        <v/>
      </c>
      <c r="K668" s="19"/>
      <c r="L668" s="20"/>
      <c r="M668" s="21"/>
      <c r="N668" s="15"/>
      <c r="O668" s="15"/>
      <c r="P668" s="15"/>
      <c r="Q668" s="14" t="s">
        <v>3473</v>
      </c>
    </row>
    <row r="669" spans="4:17" x14ac:dyDescent="0.25">
      <c r="D669" s="15" t="s">
        <v>6342</v>
      </c>
      <c r="E669" s="14" t="s">
        <v>2725</v>
      </c>
      <c r="F669" s="15"/>
      <c r="G669" s="14"/>
      <c r="H669" s="15"/>
      <c r="I669" s="15"/>
      <c r="J669" s="14" t="str">
        <f t="shared" si="11"/>
        <v/>
      </c>
      <c r="K669" s="19"/>
      <c r="L669" s="20"/>
      <c r="M669" s="21"/>
      <c r="N669" s="15"/>
      <c r="O669" s="15"/>
      <c r="P669" s="15"/>
      <c r="Q669" s="14" t="s">
        <v>3474</v>
      </c>
    </row>
    <row r="670" spans="4:17" x14ac:dyDescent="0.25">
      <c r="D670" s="15" t="s">
        <v>6343</v>
      </c>
      <c r="E670" s="14" t="s">
        <v>2725</v>
      </c>
      <c r="F670" s="15"/>
      <c r="G670" s="14"/>
      <c r="H670" s="15"/>
      <c r="I670" s="15"/>
      <c r="J670" s="14" t="str">
        <f t="shared" si="11"/>
        <v/>
      </c>
      <c r="K670" s="19"/>
      <c r="L670" s="20"/>
      <c r="M670" s="21"/>
      <c r="N670" s="15"/>
      <c r="O670" s="15"/>
      <c r="P670" s="15"/>
      <c r="Q670" s="14" t="s">
        <v>3475</v>
      </c>
    </row>
    <row r="671" spans="4:17" x14ac:dyDescent="0.25">
      <c r="D671" s="15" t="s">
        <v>6344</v>
      </c>
      <c r="E671" s="14" t="s">
        <v>2725</v>
      </c>
      <c r="F671" s="15"/>
      <c r="G671" s="14"/>
      <c r="H671" s="15"/>
      <c r="I671" s="15"/>
      <c r="J671" s="14" t="str">
        <f t="shared" si="11"/>
        <v/>
      </c>
      <c r="K671" s="19"/>
      <c r="L671" s="20"/>
      <c r="M671" s="21"/>
      <c r="N671" s="15"/>
      <c r="O671" s="15"/>
      <c r="P671" s="15"/>
      <c r="Q671" s="14" t="s">
        <v>3476</v>
      </c>
    </row>
    <row r="672" spans="4:17" x14ac:dyDescent="0.25">
      <c r="D672" s="15" t="s">
        <v>6345</v>
      </c>
      <c r="E672" s="14" t="s">
        <v>2725</v>
      </c>
      <c r="F672" s="15"/>
      <c r="G672" s="14"/>
      <c r="H672" s="15"/>
      <c r="I672" s="15"/>
      <c r="J672" s="14" t="str">
        <f t="shared" si="11"/>
        <v/>
      </c>
      <c r="K672" s="19"/>
      <c r="L672" s="20"/>
      <c r="M672" s="21"/>
      <c r="N672" s="15"/>
      <c r="O672" s="15"/>
      <c r="P672" s="15"/>
      <c r="Q672" s="14" t="s">
        <v>3477</v>
      </c>
    </row>
    <row r="673" spans="4:17" x14ac:dyDescent="0.25">
      <c r="D673" s="15" t="s">
        <v>6346</v>
      </c>
      <c r="E673" s="14" t="s">
        <v>2725</v>
      </c>
      <c r="F673" s="15"/>
      <c r="G673" s="14"/>
      <c r="H673" s="15"/>
      <c r="I673" s="15"/>
      <c r="J673" s="14" t="str">
        <f t="shared" si="11"/>
        <v/>
      </c>
      <c r="K673" s="19"/>
      <c r="L673" s="20"/>
      <c r="M673" s="21"/>
      <c r="N673" s="15"/>
      <c r="O673" s="15"/>
      <c r="P673" s="15"/>
      <c r="Q673" s="14" t="s">
        <v>3478</v>
      </c>
    </row>
    <row r="674" spans="4:17" x14ac:dyDescent="0.25">
      <c r="D674" s="15" t="s">
        <v>6347</v>
      </c>
      <c r="E674" s="14" t="s">
        <v>2725</v>
      </c>
      <c r="F674" s="15"/>
      <c r="G674" s="14"/>
      <c r="H674" s="15"/>
      <c r="I674" s="15"/>
      <c r="J674" s="14" t="str">
        <f t="shared" si="11"/>
        <v/>
      </c>
      <c r="K674" s="19"/>
      <c r="L674" s="20"/>
      <c r="M674" s="21"/>
      <c r="N674" s="15"/>
      <c r="O674" s="15"/>
      <c r="P674" s="15"/>
      <c r="Q674" s="14" t="s">
        <v>3479</v>
      </c>
    </row>
    <row r="675" spans="4:17" x14ac:dyDescent="0.25">
      <c r="D675" s="15" t="s">
        <v>6348</v>
      </c>
      <c r="E675" s="14" t="s">
        <v>2725</v>
      </c>
      <c r="F675" s="15"/>
      <c r="G675" s="14"/>
      <c r="H675" s="15"/>
      <c r="I675" s="15"/>
      <c r="J675" s="14" t="str">
        <f t="shared" si="11"/>
        <v/>
      </c>
      <c r="K675" s="19"/>
      <c r="L675" s="20"/>
      <c r="M675" s="21"/>
      <c r="N675" s="15"/>
      <c r="O675" s="15"/>
      <c r="P675" s="15"/>
      <c r="Q675" s="14" t="s">
        <v>3480</v>
      </c>
    </row>
    <row r="676" spans="4:17" x14ac:dyDescent="0.25">
      <c r="D676" s="15" t="s">
        <v>6349</v>
      </c>
      <c r="E676" s="14" t="s">
        <v>2732</v>
      </c>
      <c r="F676" s="15"/>
      <c r="G676" s="14"/>
      <c r="H676" s="15"/>
      <c r="I676" s="15"/>
      <c r="J676" s="14" t="str">
        <f t="shared" si="11"/>
        <v/>
      </c>
      <c r="K676" s="19"/>
      <c r="L676" s="20"/>
      <c r="M676" s="21"/>
      <c r="N676" s="15"/>
      <c r="O676" s="15"/>
      <c r="P676" s="15"/>
      <c r="Q676" s="14" t="s">
        <v>3481</v>
      </c>
    </row>
    <row r="677" spans="4:17" x14ac:dyDescent="0.25">
      <c r="D677" s="15" t="s">
        <v>6350</v>
      </c>
      <c r="E677" s="14" t="s">
        <v>2732</v>
      </c>
      <c r="F677" s="15"/>
      <c r="G677" s="14"/>
      <c r="H677" s="15"/>
      <c r="I677" s="15"/>
      <c r="J677" s="14" t="str">
        <f t="shared" si="11"/>
        <v/>
      </c>
      <c r="K677" s="19"/>
      <c r="L677" s="20"/>
      <c r="M677" s="21"/>
      <c r="N677" s="15"/>
      <c r="O677" s="15"/>
      <c r="P677" s="15"/>
      <c r="Q677" s="14" t="s">
        <v>3482</v>
      </c>
    </row>
    <row r="678" spans="4:17" x14ac:dyDescent="0.25">
      <c r="D678" s="15" t="s">
        <v>6351</v>
      </c>
      <c r="E678" s="14" t="s">
        <v>2732</v>
      </c>
      <c r="F678" s="15"/>
      <c r="G678" s="14"/>
      <c r="H678" s="15"/>
      <c r="I678" s="15"/>
      <c r="J678" s="14" t="str">
        <f t="shared" si="11"/>
        <v/>
      </c>
      <c r="K678" s="19"/>
      <c r="L678" s="20"/>
      <c r="M678" s="21"/>
      <c r="N678" s="15"/>
      <c r="O678" s="15"/>
      <c r="P678" s="15"/>
      <c r="Q678" s="14" t="s">
        <v>3483</v>
      </c>
    </row>
    <row r="679" spans="4:17" x14ac:dyDescent="0.25">
      <c r="D679" s="15" t="s">
        <v>6352</v>
      </c>
      <c r="E679" s="14" t="s">
        <v>2732</v>
      </c>
      <c r="F679" s="15"/>
      <c r="G679" s="14"/>
      <c r="H679" s="15"/>
      <c r="I679" s="15"/>
      <c r="J679" s="14" t="str">
        <f t="shared" si="11"/>
        <v/>
      </c>
      <c r="K679" s="19"/>
      <c r="L679" s="20"/>
      <c r="M679" s="21"/>
      <c r="N679" s="15"/>
      <c r="O679" s="15"/>
      <c r="P679" s="15"/>
      <c r="Q679" s="14" t="s">
        <v>3484</v>
      </c>
    </row>
    <row r="680" spans="4:17" x14ac:dyDescent="0.25">
      <c r="D680" s="15" t="s">
        <v>6353</v>
      </c>
      <c r="E680" s="14" t="s">
        <v>2732</v>
      </c>
      <c r="F680" s="15"/>
      <c r="G680" s="14"/>
      <c r="H680" s="15"/>
      <c r="I680" s="15"/>
      <c r="J680" s="14" t="str">
        <f t="shared" si="11"/>
        <v/>
      </c>
      <c r="K680" s="19"/>
      <c r="L680" s="20"/>
      <c r="M680" s="21"/>
      <c r="N680" s="15"/>
      <c r="O680" s="15"/>
      <c r="P680" s="15"/>
      <c r="Q680" s="14" t="s">
        <v>3485</v>
      </c>
    </row>
    <row r="681" spans="4:17" x14ac:dyDescent="0.25">
      <c r="D681" s="15" t="s">
        <v>6354</v>
      </c>
      <c r="E681" s="14" t="s">
        <v>2732</v>
      </c>
      <c r="F681" s="15"/>
      <c r="G681" s="14"/>
      <c r="H681" s="15"/>
      <c r="I681" s="15"/>
      <c r="J681" s="14" t="str">
        <f t="shared" si="11"/>
        <v/>
      </c>
      <c r="K681" s="19"/>
      <c r="L681" s="20"/>
      <c r="M681" s="21"/>
      <c r="N681" s="15"/>
      <c r="O681" s="15"/>
      <c r="P681" s="15"/>
      <c r="Q681" s="14" t="s">
        <v>3486</v>
      </c>
    </row>
    <row r="682" spans="4:17" x14ac:dyDescent="0.25">
      <c r="D682" s="15" t="s">
        <v>6355</v>
      </c>
      <c r="E682" s="14" t="s">
        <v>2732</v>
      </c>
      <c r="F682" s="15"/>
      <c r="G682" s="14"/>
      <c r="H682" s="15"/>
      <c r="I682" s="15"/>
      <c r="J682" s="14" t="str">
        <f t="shared" si="11"/>
        <v/>
      </c>
      <c r="K682" s="19"/>
      <c r="L682" s="20"/>
      <c r="M682" s="21"/>
      <c r="N682" s="15"/>
      <c r="O682" s="15"/>
      <c r="P682" s="15"/>
      <c r="Q682" s="14" t="s">
        <v>3487</v>
      </c>
    </row>
    <row r="683" spans="4:17" x14ac:dyDescent="0.25">
      <c r="D683" s="15" t="s">
        <v>6356</v>
      </c>
      <c r="E683" s="14" t="s">
        <v>2732</v>
      </c>
      <c r="F683" s="15"/>
      <c r="G683" s="14"/>
      <c r="H683" s="15"/>
      <c r="I683" s="15"/>
      <c r="J683" s="14" t="str">
        <f t="shared" si="11"/>
        <v/>
      </c>
      <c r="K683" s="19"/>
      <c r="L683" s="20"/>
      <c r="M683" s="21"/>
      <c r="N683" s="15"/>
      <c r="O683" s="15"/>
      <c r="P683" s="15"/>
      <c r="Q683" s="14" t="s">
        <v>3488</v>
      </c>
    </row>
    <row r="684" spans="4:17" x14ac:dyDescent="0.25">
      <c r="D684" s="15" t="s">
        <v>6357</v>
      </c>
      <c r="E684" s="14" t="s">
        <v>2732</v>
      </c>
      <c r="F684" s="15"/>
      <c r="G684" s="14"/>
      <c r="H684" s="15"/>
      <c r="I684" s="15"/>
      <c r="J684" s="14" t="str">
        <f t="shared" si="11"/>
        <v/>
      </c>
      <c r="K684" s="19"/>
      <c r="L684" s="20"/>
      <c r="M684" s="21"/>
      <c r="N684" s="15"/>
      <c r="O684" s="15"/>
      <c r="P684" s="15"/>
      <c r="Q684" s="14" t="s">
        <v>3489</v>
      </c>
    </row>
    <row r="685" spans="4:17" x14ac:dyDescent="0.25">
      <c r="D685" s="15" t="s">
        <v>6358</v>
      </c>
      <c r="E685" s="14" t="s">
        <v>2732</v>
      </c>
      <c r="F685" s="15"/>
      <c r="G685" s="14"/>
      <c r="H685" s="15"/>
      <c r="I685" s="15"/>
      <c r="J685" s="14" t="str">
        <f t="shared" si="11"/>
        <v/>
      </c>
      <c r="K685" s="19"/>
      <c r="L685" s="20"/>
      <c r="M685" s="21"/>
      <c r="N685" s="15"/>
      <c r="O685" s="15"/>
      <c r="P685" s="15"/>
      <c r="Q685" s="14" t="s">
        <v>3490</v>
      </c>
    </row>
    <row r="686" spans="4:17" x14ac:dyDescent="0.25">
      <c r="D686" s="15" t="s">
        <v>6359</v>
      </c>
      <c r="E686" s="14" t="s">
        <v>2732</v>
      </c>
      <c r="F686" s="15"/>
      <c r="G686" s="14"/>
      <c r="H686" s="15"/>
      <c r="I686" s="15"/>
      <c r="J686" s="14" t="str">
        <f t="shared" si="11"/>
        <v/>
      </c>
      <c r="K686" s="19"/>
      <c r="L686" s="20"/>
      <c r="M686" s="21"/>
      <c r="N686" s="15"/>
      <c r="O686" s="15"/>
      <c r="P686" s="15"/>
      <c r="Q686" s="14" t="s">
        <v>3491</v>
      </c>
    </row>
    <row r="687" spans="4:17" x14ac:dyDescent="0.25">
      <c r="D687" s="15" t="s">
        <v>6360</v>
      </c>
      <c r="E687" s="14" t="s">
        <v>2732</v>
      </c>
      <c r="F687" s="15"/>
      <c r="G687" s="14"/>
      <c r="H687" s="15"/>
      <c r="I687" s="15"/>
      <c r="J687" s="14" t="str">
        <f t="shared" si="11"/>
        <v/>
      </c>
      <c r="K687" s="19"/>
      <c r="L687" s="20"/>
      <c r="M687" s="21"/>
      <c r="N687" s="15"/>
      <c r="O687" s="15"/>
      <c r="P687" s="15"/>
      <c r="Q687" s="14" t="s">
        <v>3492</v>
      </c>
    </row>
    <row r="688" spans="4:17" x14ac:dyDescent="0.25">
      <c r="D688" s="15" t="s">
        <v>6361</v>
      </c>
      <c r="E688" s="14" t="s">
        <v>2732</v>
      </c>
      <c r="F688" s="15"/>
      <c r="G688" s="14"/>
      <c r="H688" s="15"/>
      <c r="I688" s="15"/>
      <c r="J688" s="14" t="str">
        <f t="shared" si="11"/>
        <v/>
      </c>
      <c r="K688" s="19"/>
      <c r="L688" s="20"/>
      <c r="M688" s="21"/>
      <c r="N688" s="15"/>
      <c r="O688" s="15"/>
      <c r="P688" s="15"/>
      <c r="Q688" s="14" t="s">
        <v>3493</v>
      </c>
    </row>
    <row r="689" spans="4:17" x14ac:dyDescent="0.25">
      <c r="D689" s="15" t="s">
        <v>6362</v>
      </c>
      <c r="E689" s="14" t="s">
        <v>2732</v>
      </c>
      <c r="F689" s="15"/>
      <c r="G689" s="14"/>
      <c r="H689" s="15"/>
      <c r="I689" s="15"/>
      <c r="J689" s="14" t="str">
        <f t="shared" si="11"/>
        <v/>
      </c>
      <c r="K689" s="19"/>
      <c r="L689" s="20"/>
      <c r="M689" s="21"/>
      <c r="N689" s="15"/>
      <c r="O689" s="15"/>
      <c r="P689" s="15"/>
      <c r="Q689" s="14" t="s">
        <v>3494</v>
      </c>
    </row>
    <row r="690" spans="4:17" x14ac:dyDescent="0.25">
      <c r="D690" s="15" t="s">
        <v>6363</v>
      </c>
      <c r="E690" s="14" t="s">
        <v>2732</v>
      </c>
      <c r="F690" s="15"/>
      <c r="G690" s="14"/>
      <c r="H690" s="15"/>
      <c r="I690" s="15"/>
      <c r="J690" s="14" t="str">
        <f t="shared" si="11"/>
        <v/>
      </c>
      <c r="K690" s="19"/>
      <c r="L690" s="20"/>
      <c r="M690" s="21"/>
      <c r="N690" s="15"/>
      <c r="O690" s="15"/>
      <c r="P690" s="15"/>
      <c r="Q690" s="14" t="s">
        <v>3495</v>
      </c>
    </row>
    <row r="691" spans="4:17" x14ac:dyDescent="0.25">
      <c r="D691" s="15" t="s">
        <v>6364</v>
      </c>
      <c r="E691" s="14" t="s">
        <v>2732</v>
      </c>
      <c r="F691" s="15"/>
      <c r="G691" s="14"/>
      <c r="H691" s="15"/>
      <c r="I691" s="15"/>
      <c r="J691" s="14" t="str">
        <f t="shared" si="11"/>
        <v/>
      </c>
      <c r="K691" s="19"/>
      <c r="L691" s="20"/>
      <c r="M691" s="21"/>
      <c r="N691" s="15"/>
      <c r="O691" s="15"/>
      <c r="P691" s="15"/>
      <c r="Q691" s="14" t="s">
        <v>3496</v>
      </c>
    </row>
    <row r="692" spans="4:17" x14ac:dyDescent="0.25">
      <c r="D692" s="15" t="s">
        <v>6365</v>
      </c>
      <c r="E692" s="14" t="s">
        <v>2732</v>
      </c>
      <c r="F692" s="15"/>
      <c r="G692" s="14"/>
      <c r="H692" s="15"/>
      <c r="I692" s="15"/>
      <c r="J692" s="14" t="str">
        <f t="shared" si="11"/>
        <v/>
      </c>
      <c r="K692" s="19"/>
      <c r="L692" s="20"/>
      <c r="M692" s="21"/>
      <c r="N692" s="15"/>
      <c r="O692" s="15"/>
      <c r="P692" s="15"/>
      <c r="Q692" s="14" t="s">
        <v>3497</v>
      </c>
    </row>
    <row r="693" spans="4:17" x14ac:dyDescent="0.25">
      <c r="D693" s="15" t="s">
        <v>6366</v>
      </c>
      <c r="E693" s="14" t="s">
        <v>2732</v>
      </c>
      <c r="F693" s="15"/>
      <c r="G693" s="14"/>
      <c r="H693" s="15"/>
      <c r="I693" s="15"/>
      <c r="J693" s="14" t="str">
        <f t="shared" si="11"/>
        <v/>
      </c>
      <c r="K693" s="19"/>
      <c r="L693" s="20"/>
      <c r="M693" s="21"/>
      <c r="N693" s="15"/>
      <c r="O693" s="15"/>
      <c r="P693" s="15"/>
      <c r="Q693" s="14" t="s">
        <v>3498</v>
      </c>
    </row>
    <row r="694" spans="4:17" x14ac:dyDescent="0.25">
      <c r="D694" s="15" t="s">
        <v>6367</v>
      </c>
      <c r="E694" s="14" t="s">
        <v>2732</v>
      </c>
      <c r="F694" s="15"/>
      <c r="G694" s="14"/>
      <c r="H694" s="15"/>
      <c r="I694" s="15"/>
      <c r="J694" s="14" t="str">
        <f t="shared" si="11"/>
        <v/>
      </c>
      <c r="K694" s="19"/>
      <c r="L694" s="20"/>
      <c r="M694" s="21"/>
      <c r="N694" s="15"/>
      <c r="O694" s="15"/>
      <c r="P694" s="15"/>
      <c r="Q694" s="14" t="s">
        <v>3499</v>
      </c>
    </row>
    <row r="695" spans="4:17" x14ac:dyDescent="0.25">
      <c r="D695" s="15" t="s">
        <v>6368</v>
      </c>
      <c r="E695" s="14" t="s">
        <v>2732</v>
      </c>
      <c r="F695" s="15"/>
      <c r="G695" s="14"/>
      <c r="H695" s="15"/>
      <c r="I695" s="15"/>
      <c r="J695" s="14" t="str">
        <f t="shared" si="11"/>
        <v/>
      </c>
      <c r="K695" s="19"/>
      <c r="L695" s="20"/>
      <c r="M695" s="21"/>
      <c r="N695" s="15"/>
      <c r="O695" s="15"/>
      <c r="P695" s="15"/>
      <c r="Q695" s="14" t="s">
        <v>3500</v>
      </c>
    </row>
    <row r="696" spans="4:17" x14ac:dyDescent="0.25">
      <c r="D696" s="15" t="s">
        <v>6369</v>
      </c>
      <c r="E696" s="14" t="s">
        <v>2739</v>
      </c>
      <c r="F696" s="15"/>
      <c r="G696" s="14"/>
      <c r="H696" s="15"/>
      <c r="I696" s="15"/>
      <c r="J696" s="14" t="str">
        <f t="shared" si="11"/>
        <v/>
      </c>
      <c r="K696" s="19"/>
      <c r="L696" s="20"/>
      <c r="M696" s="21"/>
      <c r="N696" s="15"/>
      <c r="O696" s="15"/>
      <c r="P696" s="15"/>
      <c r="Q696" s="14" t="s">
        <v>3501</v>
      </c>
    </row>
    <row r="697" spans="4:17" x14ac:dyDescent="0.25">
      <c r="D697" s="15" t="s">
        <v>6370</v>
      </c>
      <c r="E697" s="14" t="s">
        <v>2739</v>
      </c>
      <c r="F697" s="15"/>
      <c r="G697" s="14"/>
      <c r="H697" s="15"/>
      <c r="I697" s="15"/>
      <c r="J697" s="14" t="str">
        <f t="shared" si="11"/>
        <v/>
      </c>
      <c r="K697" s="19"/>
      <c r="L697" s="20"/>
      <c r="M697" s="21"/>
      <c r="N697" s="15"/>
      <c r="O697" s="15"/>
      <c r="P697" s="15"/>
      <c r="Q697" s="14" t="s">
        <v>3502</v>
      </c>
    </row>
    <row r="698" spans="4:17" x14ac:dyDescent="0.25">
      <c r="D698" s="15" t="s">
        <v>6371</v>
      </c>
      <c r="E698" s="14" t="s">
        <v>2739</v>
      </c>
      <c r="F698" s="15"/>
      <c r="G698" s="14"/>
      <c r="H698" s="15"/>
      <c r="I698" s="15"/>
      <c r="J698" s="14" t="str">
        <f t="shared" si="11"/>
        <v/>
      </c>
      <c r="K698" s="19"/>
      <c r="L698" s="20"/>
      <c r="M698" s="21"/>
      <c r="N698" s="15"/>
      <c r="O698" s="15"/>
      <c r="P698" s="15"/>
      <c r="Q698" s="14" t="s">
        <v>3503</v>
      </c>
    </row>
    <row r="699" spans="4:17" x14ac:dyDescent="0.25">
      <c r="D699" s="15" t="s">
        <v>6372</v>
      </c>
      <c r="E699" s="14" t="s">
        <v>2739</v>
      </c>
      <c r="F699" s="15"/>
      <c r="G699" s="14"/>
      <c r="H699" s="15"/>
      <c r="I699" s="15"/>
      <c r="J699" s="14" t="str">
        <f t="shared" si="11"/>
        <v/>
      </c>
      <c r="K699" s="19"/>
      <c r="L699" s="20"/>
      <c r="M699" s="21"/>
      <c r="N699" s="15"/>
      <c r="O699" s="15"/>
      <c r="P699" s="15"/>
      <c r="Q699" s="14" t="s">
        <v>3504</v>
      </c>
    </row>
    <row r="700" spans="4:17" x14ac:dyDescent="0.25">
      <c r="D700" s="15" t="s">
        <v>6373</v>
      </c>
      <c r="E700" s="14" t="s">
        <v>2739</v>
      </c>
      <c r="F700" s="15"/>
      <c r="G700" s="14"/>
      <c r="H700" s="15"/>
      <c r="I700" s="15"/>
      <c r="J700" s="14" t="str">
        <f t="shared" ref="J700:J763" si="12">F700&amp;H700&amp;I700</f>
        <v/>
      </c>
      <c r="K700" s="19"/>
      <c r="L700" s="20"/>
      <c r="M700" s="21"/>
      <c r="N700" s="15"/>
      <c r="O700" s="15"/>
      <c r="P700" s="15"/>
      <c r="Q700" s="14" t="s">
        <v>3505</v>
      </c>
    </row>
    <row r="701" spans="4:17" x14ac:dyDescent="0.25">
      <c r="D701" s="15" t="s">
        <v>6374</v>
      </c>
      <c r="E701" s="14" t="s">
        <v>2739</v>
      </c>
      <c r="F701" s="15"/>
      <c r="G701" s="14"/>
      <c r="H701" s="15"/>
      <c r="I701" s="15"/>
      <c r="J701" s="14" t="str">
        <f t="shared" si="12"/>
        <v/>
      </c>
      <c r="K701" s="19"/>
      <c r="L701" s="20"/>
      <c r="M701" s="21"/>
      <c r="N701" s="15"/>
      <c r="O701" s="15"/>
      <c r="P701" s="15"/>
      <c r="Q701" s="14" t="s">
        <v>3506</v>
      </c>
    </row>
    <row r="702" spans="4:17" x14ac:dyDescent="0.25">
      <c r="D702" s="15" t="s">
        <v>6375</v>
      </c>
      <c r="E702" s="14" t="s">
        <v>2739</v>
      </c>
      <c r="F702" s="15"/>
      <c r="G702" s="14"/>
      <c r="H702" s="15"/>
      <c r="I702" s="15"/>
      <c r="J702" s="14" t="str">
        <f t="shared" si="12"/>
        <v/>
      </c>
      <c r="K702" s="19"/>
      <c r="L702" s="20"/>
      <c r="M702" s="21"/>
      <c r="N702" s="15"/>
      <c r="O702" s="15"/>
      <c r="P702" s="15"/>
      <c r="Q702" s="14" t="s">
        <v>3507</v>
      </c>
    </row>
    <row r="703" spans="4:17" x14ac:dyDescent="0.25">
      <c r="D703" s="15" t="s">
        <v>6376</v>
      </c>
      <c r="E703" s="14" t="s">
        <v>2739</v>
      </c>
      <c r="F703" s="15"/>
      <c r="G703" s="14"/>
      <c r="H703" s="15"/>
      <c r="I703" s="15"/>
      <c r="J703" s="14" t="str">
        <f t="shared" si="12"/>
        <v/>
      </c>
      <c r="K703" s="19"/>
      <c r="L703" s="20"/>
      <c r="M703" s="21"/>
      <c r="N703" s="15"/>
      <c r="O703" s="15"/>
      <c r="P703" s="15"/>
      <c r="Q703" s="14" t="s">
        <v>3508</v>
      </c>
    </row>
    <row r="704" spans="4:17" x14ac:dyDescent="0.25">
      <c r="D704" s="15" t="s">
        <v>6377</v>
      </c>
      <c r="E704" s="14" t="s">
        <v>2739</v>
      </c>
      <c r="F704" s="15"/>
      <c r="G704" s="14"/>
      <c r="H704" s="15"/>
      <c r="I704" s="15"/>
      <c r="J704" s="14" t="str">
        <f t="shared" si="12"/>
        <v/>
      </c>
      <c r="K704" s="19"/>
      <c r="L704" s="20"/>
      <c r="M704" s="21"/>
      <c r="N704" s="15"/>
      <c r="O704" s="15"/>
      <c r="P704" s="15"/>
      <c r="Q704" s="14" t="s">
        <v>3509</v>
      </c>
    </row>
    <row r="705" spans="4:17" x14ac:dyDescent="0.25">
      <c r="D705" s="15" t="s">
        <v>6378</v>
      </c>
      <c r="E705" s="14" t="s">
        <v>2739</v>
      </c>
      <c r="F705" s="15"/>
      <c r="G705" s="14"/>
      <c r="H705" s="15"/>
      <c r="I705" s="15"/>
      <c r="J705" s="14" t="str">
        <f t="shared" si="12"/>
        <v/>
      </c>
      <c r="K705" s="19"/>
      <c r="L705" s="20"/>
      <c r="M705" s="21"/>
      <c r="N705" s="15"/>
      <c r="O705" s="15"/>
      <c r="P705" s="15"/>
      <c r="Q705" s="14" t="s">
        <v>3510</v>
      </c>
    </row>
    <row r="706" spans="4:17" x14ac:dyDescent="0.25">
      <c r="D706" s="15" t="s">
        <v>6379</v>
      </c>
      <c r="E706" s="14" t="s">
        <v>2739</v>
      </c>
      <c r="F706" s="15"/>
      <c r="G706" s="14"/>
      <c r="H706" s="15"/>
      <c r="I706" s="15"/>
      <c r="J706" s="14" t="str">
        <f t="shared" si="12"/>
        <v/>
      </c>
      <c r="K706" s="19"/>
      <c r="L706" s="20"/>
      <c r="M706" s="21"/>
      <c r="N706" s="15"/>
      <c r="O706" s="15"/>
      <c r="P706" s="15"/>
      <c r="Q706" s="14" t="s">
        <v>3511</v>
      </c>
    </row>
    <row r="707" spans="4:17" x14ac:dyDescent="0.25">
      <c r="D707" s="15" t="s">
        <v>6380</v>
      </c>
      <c r="E707" s="14" t="s">
        <v>2739</v>
      </c>
      <c r="F707" s="15"/>
      <c r="G707" s="14"/>
      <c r="H707" s="15"/>
      <c r="I707" s="15"/>
      <c r="J707" s="14" t="str">
        <f t="shared" si="12"/>
        <v/>
      </c>
      <c r="K707" s="19"/>
      <c r="L707" s="20"/>
      <c r="M707" s="21"/>
      <c r="N707" s="15"/>
      <c r="O707" s="15"/>
      <c r="P707" s="15"/>
      <c r="Q707" s="14" t="s">
        <v>3512</v>
      </c>
    </row>
    <row r="708" spans="4:17" x14ac:dyDescent="0.25">
      <c r="D708" s="15" t="s">
        <v>6381</v>
      </c>
      <c r="E708" s="14" t="s">
        <v>2739</v>
      </c>
      <c r="F708" s="15"/>
      <c r="G708" s="14"/>
      <c r="H708" s="15"/>
      <c r="I708" s="15"/>
      <c r="J708" s="14" t="str">
        <f t="shared" si="12"/>
        <v/>
      </c>
      <c r="K708" s="19"/>
      <c r="L708" s="20"/>
      <c r="M708" s="21"/>
      <c r="N708" s="15"/>
      <c r="O708" s="15"/>
      <c r="P708" s="15"/>
      <c r="Q708" s="14" t="s">
        <v>3513</v>
      </c>
    </row>
    <row r="709" spans="4:17" x14ac:dyDescent="0.25">
      <c r="D709" s="15" t="s">
        <v>6382</v>
      </c>
      <c r="E709" s="14" t="s">
        <v>2739</v>
      </c>
      <c r="F709" s="15"/>
      <c r="G709" s="14"/>
      <c r="H709" s="15"/>
      <c r="I709" s="15"/>
      <c r="J709" s="14" t="str">
        <f t="shared" si="12"/>
        <v/>
      </c>
      <c r="K709" s="19"/>
      <c r="L709" s="20"/>
      <c r="M709" s="21"/>
      <c r="N709" s="15"/>
      <c r="O709" s="15"/>
      <c r="P709" s="15"/>
      <c r="Q709" s="14" t="s">
        <v>3514</v>
      </c>
    </row>
    <row r="710" spans="4:17" x14ac:dyDescent="0.25">
      <c r="D710" s="15" t="s">
        <v>6383</v>
      </c>
      <c r="E710" s="14" t="s">
        <v>2739</v>
      </c>
      <c r="F710" s="15"/>
      <c r="G710" s="14"/>
      <c r="H710" s="15"/>
      <c r="I710" s="15"/>
      <c r="J710" s="14" t="str">
        <f t="shared" si="12"/>
        <v/>
      </c>
      <c r="K710" s="19"/>
      <c r="L710" s="20"/>
      <c r="M710" s="21"/>
      <c r="N710" s="15"/>
      <c r="O710" s="15"/>
      <c r="P710" s="15"/>
      <c r="Q710" s="14" t="s">
        <v>3515</v>
      </c>
    </row>
    <row r="711" spans="4:17" x14ac:dyDescent="0.25">
      <c r="D711" s="15" t="s">
        <v>6384</v>
      </c>
      <c r="E711" s="14" t="s">
        <v>2739</v>
      </c>
      <c r="F711" s="15"/>
      <c r="G711" s="14"/>
      <c r="H711" s="15"/>
      <c r="I711" s="15"/>
      <c r="J711" s="14" t="str">
        <f t="shared" si="12"/>
        <v/>
      </c>
      <c r="K711" s="19"/>
      <c r="L711" s="20"/>
      <c r="M711" s="21"/>
      <c r="N711" s="15"/>
      <c r="O711" s="15"/>
      <c r="P711" s="15"/>
      <c r="Q711" s="14" t="s">
        <v>3516</v>
      </c>
    </row>
    <row r="712" spans="4:17" x14ac:dyDescent="0.25">
      <c r="D712" s="15" t="s">
        <v>6385</v>
      </c>
      <c r="E712" s="14" t="s">
        <v>2739</v>
      </c>
      <c r="F712" s="15"/>
      <c r="G712" s="14"/>
      <c r="H712" s="15"/>
      <c r="I712" s="15"/>
      <c r="J712" s="14" t="str">
        <f t="shared" si="12"/>
        <v/>
      </c>
      <c r="K712" s="19"/>
      <c r="L712" s="20"/>
      <c r="M712" s="21"/>
      <c r="N712" s="15"/>
      <c r="O712" s="15"/>
      <c r="P712" s="15"/>
      <c r="Q712" s="14" t="s">
        <v>3517</v>
      </c>
    </row>
    <row r="713" spans="4:17" x14ac:dyDescent="0.25">
      <c r="D713" s="15" t="s">
        <v>6386</v>
      </c>
      <c r="E713" s="14" t="s">
        <v>2739</v>
      </c>
      <c r="F713" s="15"/>
      <c r="G713" s="14"/>
      <c r="H713" s="15"/>
      <c r="I713" s="15"/>
      <c r="J713" s="14" t="str">
        <f t="shared" si="12"/>
        <v/>
      </c>
      <c r="K713" s="19"/>
      <c r="L713" s="20"/>
      <c r="M713" s="21"/>
      <c r="N713" s="15"/>
      <c r="O713" s="15"/>
      <c r="P713" s="15"/>
      <c r="Q713" s="14" t="s">
        <v>3518</v>
      </c>
    </row>
    <row r="714" spans="4:17" x14ac:dyDescent="0.25">
      <c r="D714" s="15" t="s">
        <v>6387</v>
      </c>
      <c r="E714" s="14" t="s">
        <v>2739</v>
      </c>
      <c r="F714" s="15"/>
      <c r="G714" s="14"/>
      <c r="H714" s="15"/>
      <c r="I714" s="15"/>
      <c r="J714" s="14" t="str">
        <f t="shared" si="12"/>
        <v/>
      </c>
      <c r="K714" s="19"/>
      <c r="L714" s="20"/>
      <c r="M714" s="21"/>
      <c r="N714" s="15"/>
      <c r="O714" s="15"/>
      <c r="P714" s="15"/>
      <c r="Q714" s="14" t="s">
        <v>3519</v>
      </c>
    </row>
    <row r="715" spans="4:17" x14ac:dyDescent="0.25">
      <c r="D715" s="15" t="s">
        <v>6388</v>
      </c>
      <c r="E715" s="14" t="s">
        <v>2739</v>
      </c>
      <c r="F715" s="15"/>
      <c r="G715" s="14"/>
      <c r="H715" s="15"/>
      <c r="I715" s="15"/>
      <c r="J715" s="14" t="str">
        <f t="shared" si="12"/>
        <v/>
      </c>
      <c r="K715" s="19"/>
      <c r="L715" s="20"/>
      <c r="M715" s="21"/>
      <c r="N715" s="15"/>
      <c r="O715" s="15"/>
      <c r="P715" s="15"/>
      <c r="Q715" s="14" t="s">
        <v>3520</v>
      </c>
    </row>
    <row r="716" spans="4:17" x14ac:dyDescent="0.25">
      <c r="D716" s="15" t="s">
        <v>6389</v>
      </c>
      <c r="E716" s="14" t="s">
        <v>2746</v>
      </c>
      <c r="F716" s="15"/>
      <c r="G716" s="14"/>
      <c r="H716" s="15"/>
      <c r="I716" s="15"/>
      <c r="J716" s="14" t="str">
        <f t="shared" si="12"/>
        <v/>
      </c>
      <c r="K716" s="19"/>
      <c r="L716" s="20"/>
      <c r="M716" s="21"/>
      <c r="N716" s="15"/>
      <c r="O716" s="15"/>
      <c r="P716" s="15"/>
      <c r="Q716" s="14" t="s">
        <v>3521</v>
      </c>
    </row>
    <row r="717" spans="4:17" x14ac:dyDescent="0.25">
      <c r="D717" s="15" t="s">
        <v>6390</v>
      </c>
      <c r="E717" s="14" t="s">
        <v>2746</v>
      </c>
      <c r="F717" s="15"/>
      <c r="G717" s="14"/>
      <c r="H717" s="15"/>
      <c r="I717" s="15"/>
      <c r="J717" s="14" t="str">
        <f t="shared" si="12"/>
        <v/>
      </c>
      <c r="K717" s="19"/>
      <c r="L717" s="20"/>
      <c r="M717" s="21"/>
      <c r="N717" s="15"/>
      <c r="O717" s="15"/>
      <c r="P717" s="15"/>
      <c r="Q717" s="14" t="s">
        <v>3522</v>
      </c>
    </row>
    <row r="718" spans="4:17" x14ac:dyDescent="0.25">
      <c r="D718" s="15" t="s">
        <v>6391</v>
      </c>
      <c r="E718" s="14" t="s">
        <v>2746</v>
      </c>
      <c r="F718" s="15"/>
      <c r="G718" s="14"/>
      <c r="H718" s="15"/>
      <c r="I718" s="15"/>
      <c r="J718" s="14" t="str">
        <f t="shared" si="12"/>
        <v/>
      </c>
      <c r="K718" s="19"/>
      <c r="L718" s="20"/>
      <c r="M718" s="21"/>
      <c r="N718" s="15"/>
      <c r="O718" s="15"/>
      <c r="P718" s="15"/>
      <c r="Q718" s="14" t="s">
        <v>3523</v>
      </c>
    </row>
    <row r="719" spans="4:17" x14ac:dyDescent="0.25">
      <c r="D719" s="15" t="s">
        <v>6392</v>
      </c>
      <c r="E719" s="14" t="s">
        <v>2746</v>
      </c>
      <c r="F719" s="15"/>
      <c r="G719" s="14"/>
      <c r="H719" s="15"/>
      <c r="I719" s="15"/>
      <c r="J719" s="14" t="str">
        <f t="shared" si="12"/>
        <v/>
      </c>
      <c r="K719" s="19"/>
      <c r="L719" s="20"/>
      <c r="M719" s="21"/>
      <c r="N719" s="15"/>
      <c r="O719" s="15"/>
      <c r="P719" s="15"/>
      <c r="Q719" s="14" t="s">
        <v>3524</v>
      </c>
    </row>
    <row r="720" spans="4:17" x14ac:dyDescent="0.25">
      <c r="D720" s="15" t="s">
        <v>6393</v>
      </c>
      <c r="E720" s="14" t="s">
        <v>2746</v>
      </c>
      <c r="F720" s="15"/>
      <c r="G720" s="14"/>
      <c r="H720" s="15"/>
      <c r="I720" s="15"/>
      <c r="J720" s="14" t="str">
        <f t="shared" si="12"/>
        <v/>
      </c>
      <c r="K720" s="19"/>
      <c r="L720" s="20"/>
      <c r="M720" s="21"/>
      <c r="N720" s="15"/>
      <c r="O720" s="15"/>
      <c r="P720" s="15"/>
      <c r="Q720" s="14" t="s">
        <v>3525</v>
      </c>
    </row>
    <row r="721" spans="4:17" x14ac:dyDescent="0.25">
      <c r="D721" s="15" t="s">
        <v>6394</v>
      </c>
      <c r="E721" s="14" t="s">
        <v>2746</v>
      </c>
      <c r="F721" s="15"/>
      <c r="G721" s="14"/>
      <c r="H721" s="15"/>
      <c r="I721" s="15"/>
      <c r="J721" s="14" t="str">
        <f t="shared" si="12"/>
        <v/>
      </c>
      <c r="K721" s="19"/>
      <c r="L721" s="20"/>
      <c r="M721" s="21"/>
      <c r="N721" s="15"/>
      <c r="O721" s="15"/>
      <c r="P721" s="15"/>
      <c r="Q721" s="14" t="s">
        <v>3526</v>
      </c>
    </row>
    <row r="722" spans="4:17" x14ac:dyDescent="0.25">
      <c r="D722" s="15" t="s">
        <v>6395</v>
      </c>
      <c r="E722" s="14" t="s">
        <v>2746</v>
      </c>
      <c r="F722" s="15"/>
      <c r="G722" s="14"/>
      <c r="H722" s="15"/>
      <c r="I722" s="15"/>
      <c r="J722" s="14" t="str">
        <f t="shared" si="12"/>
        <v/>
      </c>
      <c r="K722" s="19"/>
      <c r="L722" s="20"/>
      <c r="M722" s="21"/>
      <c r="N722" s="15"/>
      <c r="O722" s="15"/>
      <c r="P722" s="15"/>
      <c r="Q722" s="14" t="s">
        <v>3527</v>
      </c>
    </row>
    <row r="723" spans="4:17" x14ac:dyDescent="0.25">
      <c r="D723" s="15" t="s">
        <v>6396</v>
      </c>
      <c r="E723" s="14" t="s">
        <v>2746</v>
      </c>
      <c r="F723" s="15"/>
      <c r="G723" s="14"/>
      <c r="H723" s="15"/>
      <c r="I723" s="15"/>
      <c r="J723" s="14" t="str">
        <f t="shared" si="12"/>
        <v/>
      </c>
      <c r="K723" s="19"/>
      <c r="L723" s="20"/>
      <c r="M723" s="21"/>
      <c r="N723" s="15"/>
      <c r="O723" s="15"/>
      <c r="P723" s="15"/>
      <c r="Q723" s="14" t="s">
        <v>3528</v>
      </c>
    </row>
    <row r="724" spans="4:17" x14ac:dyDescent="0.25">
      <c r="D724" s="15" t="s">
        <v>6397</v>
      </c>
      <c r="E724" s="14" t="s">
        <v>2746</v>
      </c>
      <c r="F724" s="15"/>
      <c r="G724" s="14"/>
      <c r="H724" s="15"/>
      <c r="I724" s="15"/>
      <c r="J724" s="14" t="str">
        <f t="shared" si="12"/>
        <v/>
      </c>
      <c r="K724" s="19"/>
      <c r="L724" s="20"/>
      <c r="M724" s="21"/>
      <c r="N724" s="15"/>
      <c r="O724" s="15"/>
      <c r="P724" s="15"/>
      <c r="Q724" s="14" t="s">
        <v>3529</v>
      </c>
    </row>
    <row r="725" spans="4:17" x14ac:dyDescent="0.25">
      <c r="D725" s="15" t="s">
        <v>6398</v>
      </c>
      <c r="E725" s="14" t="s">
        <v>2746</v>
      </c>
      <c r="F725" s="15"/>
      <c r="G725" s="14"/>
      <c r="H725" s="15"/>
      <c r="I725" s="15"/>
      <c r="J725" s="14" t="str">
        <f t="shared" si="12"/>
        <v/>
      </c>
      <c r="K725" s="19"/>
      <c r="L725" s="20"/>
      <c r="M725" s="21"/>
      <c r="N725" s="15"/>
      <c r="O725" s="15"/>
      <c r="P725" s="15"/>
      <c r="Q725" s="14" t="s">
        <v>3530</v>
      </c>
    </row>
    <row r="726" spans="4:17" x14ac:dyDescent="0.25">
      <c r="D726" s="15" t="s">
        <v>6399</v>
      </c>
      <c r="E726" s="14" t="s">
        <v>2746</v>
      </c>
      <c r="F726" s="15"/>
      <c r="G726" s="14"/>
      <c r="H726" s="15"/>
      <c r="I726" s="15"/>
      <c r="J726" s="14" t="str">
        <f t="shared" si="12"/>
        <v/>
      </c>
      <c r="K726" s="19"/>
      <c r="L726" s="20"/>
      <c r="M726" s="21"/>
      <c r="N726" s="15"/>
      <c r="O726" s="15"/>
      <c r="P726" s="15"/>
      <c r="Q726" s="14" t="s">
        <v>3531</v>
      </c>
    </row>
    <row r="727" spans="4:17" x14ac:dyDescent="0.25">
      <c r="D727" s="15" t="s">
        <v>6400</v>
      </c>
      <c r="E727" s="14" t="s">
        <v>2746</v>
      </c>
      <c r="F727" s="15"/>
      <c r="G727" s="14"/>
      <c r="H727" s="15"/>
      <c r="I727" s="15"/>
      <c r="J727" s="14" t="str">
        <f t="shared" si="12"/>
        <v/>
      </c>
      <c r="K727" s="19"/>
      <c r="L727" s="20"/>
      <c r="M727" s="21"/>
      <c r="N727" s="15"/>
      <c r="O727" s="15"/>
      <c r="P727" s="15"/>
      <c r="Q727" s="14" t="s">
        <v>3532</v>
      </c>
    </row>
    <row r="728" spans="4:17" x14ac:dyDescent="0.25">
      <c r="D728" s="15" t="s">
        <v>6401</v>
      </c>
      <c r="E728" s="14" t="s">
        <v>2746</v>
      </c>
      <c r="F728" s="15"/>
      <c r="G728" s="14"/>
      <c r="H728" s="15"/>
      <c r="I728" s="15"/>
      <c r="J728" s="14" t="str">
        <f t="shared" si="12"/>
        <v/>
      </c>
      <c r="K728" s="19"/>
      <c r="L728" s="20"/>
      <c r="M728" s="21"/>
      <c r="N728" s="15"/>
      <c r="O728" s="15"/>
      <c r="P728" s="15"/>
      <c r="Q728" s="14" t="s">
        <v>3533</v>
      </c>
    </row>
    <row r="729" spans="4:17" x14ac:dyDescent="0.25">
      <c r="D729" s="15" t="s">
        <v>6402</v>
      </c>
      <c r="E729" s="14" t="s">
        <v>2746</v>
      </c>
      <c r="F729" s="15"/>
      <c r="G729" s="14"/>
      <c r="H729" s="15"/>
      <c r="I729" s="15"/>
      <c r="J729" s="14" t="str">
        <f t="shared" si="12"/>
        <v/>
      </c>
      <c r="K729" s="19"/>
      <c r="L729" s="20"/>
      <c r="M729" s="21"/>
      <c r="N729" s="15"/>
      <c r="O729" s="15"/>
      <c r="P729" s="15"/>
      <c r="Q729" s="14" t="s">
        <v>3534</v>
      </c>
    </row>
    <row r="730" spans="4:17" x14ac:dyDescent="0.25">
      <c r="D730" s="15" t="s">
        <v>6403</v>
      </c>
      <c r="E730" s="14" t="s">
        <v>2746</v>
      </c>
      <c r="F730" s="15"/>
      <c r="G730" s="14"/>
      <c r="H730" s="15"/>
      <c r="I730" s="15"/>
      <c r="J730" s="14" t="str">
        <f t="shared" si="12"/>
        <v/>
      </c>
      <c r="K730" s="19"/>
      <c r="L730" s="20"/>
      <c r="M730" s="21"/>
      <c r="N730" s="15"/>
      <c r="O730" s="15"/>
      <c r="P730" s="15"/>
      <c r="Q730" s="14" t="s">
        <v>3535</v>
      </c>
    </row>
    <row r="731" spans="4:17" x14ac:dyDescent="0.25">
      <c r="D731" s="15" t="s">
        <v>6404</v>
      </c>
      <c r="E731" s="14" t="s">
        <v>2746</v>
      </c>
      <c r="F731" s="15"/>
      <c r="G731" s="14"/>
      <c r="H731" s="15"/>
      <c r="I731" s="15"/>
      <c r="J731" s="14" t="str">
        <f t="shared" si="12"/>
        <v/>
      </c>
      <c r="K731" s="19"/>
      <c r="L731" s="20"/>
      <c r="M731" s="21"/>
      <c r="N731" s="15"/>
      <c r="O731" s="15"/>
      <c r="P731" s="15"/>
      <c r="Q731" s="14" t="s">
        <v>3536</v>
      </c>
    </row>
    <row r="732" spans="4:17" x14ac:dyDescent="0.25">
      <c r="D732" s="15" t="s">
        <v>6405</v>
      </c>
      <c r="E732" s="14" t="s">
        <v>2746</v>
      </c>
      <c r="F732" s="15"/>
      <c r="G732" s="14"/>
      <c r="H732" s="15"/>
      <c r="I732" s="15"/>
      <c r="J732" s="14" t="str">
        <f t="shared" si="12"/>
        <v/>
      </c>
      <c r="K732" s="19"/>
      <c r="L732" s="20"/>
      <c r="M732" s="21"/>
      <c r="N732" s="15"/>
      <c r="O732" s="15"/>
      <c r="P732" s="15"/>
      <c r="Q732" s="14" t="s">
        <v>3537</v>
      </c>
    </row>
    <row r="733" spans="4:17" x14ac:dyDescent="0.25">
      <c r="D733" s="15" t="s">
        <v>6406</v>
      </c>
      <c r="E733" s="14" t="s">
        <v>2746</v>
      </c>
      <c r="F733" s="15"/>
      <c r="G733" s="14"/>
      <c r="H733" s="15"/>
      <c r="I733" s="15"/>
      <c r="J733" s="14" t="str">
        <f t="shared" si="12"/>
        <v/>
      </c>
      <c r="K733" s="19"/>
      <c r="L733" s="20"/>
      <c r="M733" s="21"/>
      <c r="N733" s="15"/>
      <c r="O733" s="15"/>
      <c r="P733" s="15"/>
      <c r="Q733" s="14" t="s">
        <v>3538</v>
      </c>
    </row>
    <row r="734" spans="4:17" x14ac:dyDescent="0.25">
      <c r="D734" s="15" t="s">
        <v>6407</v>
      </c>
      <c r="E734" s="14" t="s">
        <v>2746</v>
      </c>
      <c r="F734" s="15"/>
      <c r="G734" s="14"/>
      <c r="H734" s="15"/>
      <c r="I734" s="15"/>
      <c r="J734" s="14" t="str">
        <f t="shared" si="12"/>
        <v/>
      </c>
      <c r="K734" s="19"/>
      <c r="L734" s="20"/>
      <c r="M734" s="21"/>
      <c r="N734" s="15"/>
      <c r="O734" s="15"/>
      <c r="P734" s="15"/>
      <c r="Q734" s="14" t="s">
        <v>3539</v>
      </c>
    </row>
    <row r="735" spans="4:17" x14ac:dyDescent="0.25">
      <c r="D735" s="15" t="s">
        <v>6408</v>
      </c>
      <c r="E735" s="14" t="s">
        <v>2746</v>
      </c>
      <c r="F735" s="15"/>
      <c r="G735" s="14"/>
      <c r="H735" s="15"/>
      <c r="I735" s="15"/>
      <c r="J735" s="14" t="str">
        <f t="shared" si="12"/>
        <v/>
      </c>
      <c r="K735" s="19"/>
      <c r="L735" s="20"/>
      <c r="M735" s="21"/>
      <c r="N735" s="15"/>
      <c r="O735" s="15"/>
      <c r="P735" s="15"/>
      <c r="Q735" s="14" t="s">
        <v>3540</v>
      </c>
    </row>
    <row r="736" spans="4:17" x14ac:dyDescent="0.25">
      <c r="D736" s="15" t="s">
        <v>6409</v>
      </c>
      <c r="E736" s="14" t="s">
        <v>2753</v>
      </c>
      <c r="F736" s="15"/>
      <c r="G736" s="14"/>
      <c r="H736" s="15"/>
      <c r="I736" s="15"/>
      <c r="J736" s="14" t="str">
        <f t="shared" si="12"/>
        <v/>
      </c>
      <c r="K736" s="19"/>
      <c r="L736" s="20"/>
      <c r="M736" s="21"/>
      <c r="N736" s="15"/>
      <c r="O736" s="15"/>
      <c r="P736" s="15"/>
      <c r="Q736" s="14" t="s">
        <v>3541</v>
      </c>
    </row>
    <row r="737" spans="4:17" x14ac:dyDescent="0.25">
      <c r="D737" s="15" t="s">
        <v>6410</v>
      </c>
      <c r="E737" s="14" t="s">
        <v>2753</v>
      </c>
      <c r="F737" s="15"/>
      <c r="G737" s="14"/>
      <c r="H737" s="15"/>
      <c r="I737" s="15"/>
      <c r="J737" s="14" t="str">
        <f t="shared" si="12"/>
        <v/>
      </c>
      <c r="K737" s="19"/>
      <c r="L737" s="20"/>
      <c r="M737" s="21"/>
      <c r="N737" s="15"/>
      <c r="O737" s="15"/>
      <c r="P737" s="15"/>
      <c r="Q737" s="14" t="s">
        <v>3542</v>
      </c>
    </row>
    <row r="738" spans="4:17" x14ac:dyDescent="0.25">
      <c r="D738" s="15" t="s">
        <v>6411</v>
      </c>
      <c r="E738" s="14" t="s">
        <v>2753</v>
      </c>
      <c r="F738" s="15"/>
      <c r="G738" s="14"/>
      <c r="H738" s="15"/>
      <c r="I738" s="15"/>
      <c r="J738" s="14" t="str">
        <f t="shared" si="12"/>
        <v/>
      </c>
      <c r="K738" s="19"/>
      <c r="L738" s="20"/>
      <c r="M738" s="21"/>
      <c r="N738" s="15"/>
      <c r="O738" s="15"/>
      <c r="P738" s="15"/>
      <c r="Q738" s="14" t="s">
        <v>3543</v>
      </c>
    </row>
    <row r="739" spans="4:17" x14ac:dyDescent="0.25">
      <c r="D739" s="15" t="s">
        <v>6412</v>
      </c>
      <c r="E739" s="14" t="s">
        <v>2753</v>
      </c>
      <c r="F739" s="15"/>
      <c r="G739" s="14"/>
      <c r="H739" s="15"/>
      <c r="I739" s="15"/>
      <c r="J739" s="14" t="str">
        <f t="shared" si="12"/>
        <v/>
      </c>
      <c r="K739" s="19"/>
      <c r="L739" s="20"/>
      <c r="M739" s="21"/>
      <c r="N739" s="15"/>
      <c r="O739" s="15"/>
      <c r="P739" s="15"/>
      <c r="Q739" s="14" t="s">
        <v>3544</v>
      </c>
    </row>
    <row r="740" spans="4:17" x14ac:dyDescent="0.25">
      <c r="D740" s="15" t="s">
        <v>6413</v>
      </c>
      <c r="E740" s="14" t="s">
        <v>2753</v>
      </c>
      <c r="F740" s="15"/>
      <c r="G740" s="14"/>
      <c r="H740" s="15"/>
      <c r="I740" s="15"/>
      <c r="J740" s="14" t="str">
        <f t="shared" si="12"/>
        <v/>
      </c>
      <c r="K740" s="19"/>
      <c r="L740" s="20"/>
      <c r="M740" s="21"/>
      <c r="N740" s="15"/>
      <c r="O740" s="15"/>
      <c r="P740" s="15"/>
      <c r="Q740" s="14" t="s">
        <v>3545</v>
      </c>
    </row>
    <row r="741" spans="4:17" x14ac:dyDescent="0.25">
      <c r="D741" s="15" t="s">
        <v>6414</v>
      </c>
      <c r="E741" s="14" t="s">
        <v>2753</v>
      </c>
      <c r="F741" s="15"/>
      <c r="G741" s="14"/>
      <c r="H741" s="15"/>
      <c r="I741" s="15"/>
      <c r="J741" s="14" t="str">
        <f t="shared" si="12"/>
        <v/>
      </c>
      <c r="K741" s="19"/>
      <c r="L741" s="20"/>
      <c r="M741" s="21"/>
      <c r="N741" s="15"/>
      <c r="O741" s="15"/>
      <c r="P741" s="15"/>
      <c r="Q741" s="14" t="s">
        <v>3546</v>
      </c>
    </row>
    <row r="742" spans="4:17" x14ac:dyDescent="0.25">
      <c r="D742" s="15" t="s">
        <v>6415</v>
      </c>
      <c r="E742" s="14" t="s">
        <v>2753</v>
      </c>
      <c r="F742" s="15"/>
      <c r="G742" s="14"/>
      <c r="H742" s="15"/>
      <c r="I742" s="15"/>
      <c r="J742" s="14" t="str">
        <f t="shared" si="12"/>
        <v/>
      </c>
      <c r="K742" s="19"/>
      <c r="L742" s="20"/>
      <c r="M742" s="21"/>
      <c r="N742" s="15"/>
      <c r="O742" s="15"/>
      <c r="P742" s="15"/>
      <c r="Q742" s="14" t="s">
        <v>3547</v>
      </c>
    </row>
    <row r="743" spans="4:17" x14ac:dyDescent="0.25">
      <c r="D743" s="15" t="s">
        <v>6416</v>
      </c>
      <c r="E743" s="14" t="s">
        <v>2753</v>
      </c>
      <c r="F743" s="15"/>
      <c r="G743" s="14"/>
      <c r="H743" s="15"/>
      <c r="I743" s="15"/>
      <c r="J743" s="14" t="str">
        <f t="shared" si="12"/>
        <v/>
      </c>
      <c r="K743" s="19"/>
      <c r="L743" s="20"/>
      <c r="M743" s="21"/>
      <c r="N743" s="15"/>
      <c r="O743" s="15"/>
      <c r="P743" s="15"/>
      <c r="Q743" s="14" t="s">
        <v>3548</v>
      </c>
    </row>
    <row r="744" spans="4:17" x14ac:dyDescent="0.25">
      <c r="D744" s="15" t="s">
        <v>6417</v>
      </c>
      <c r="E744" s="14" t="s">
        <v>2753</v>
      </c>
      <c r="F744" s="15"/>
      <c r="G744" s="14"/>
      <c r="H744" s="15"/>
      <c r="I744" s="15"/>
      <c r="J744" s="14" t="str">
        <f t="shared" si="12"/>
        <v/>
      </c>
      <c r="K744" s="19"/>
      <c r="L744" s="20"/>
      <c r="M744" s="21"/>
      <c r="N744" s="15"/>
      <c r="O744" s="15"/>
      <c r="P744" s="15"/>
      <c r="Q744" s="14" t="s">
        <v>3549</v>
      </c>
    </row>
    <row r="745" spans="4:17" x14ac:dyDescent="0.25">
      <c r="D745" s="15" t="s">
        <v>6418</v>
      </c>
      <c r="E745" s="14" t="s">
        <v>2753</v>
      </c>
      <c r="F745" s="15"/>
      <c r="G745" s="14"/>
      <c r="H745" s="15"/>
      <c r="I745" s="15"/>
      <c r="J745" s="14" t="str">
        <f t="shared" si="12"/>
        <v/>
      </c>
      <c r="K745" s="19"/>
      <c r="L745" s="20"/>
      <c r="M745" s="21"/>
      <c r="N745" s="15"/>
      <c r="O745" s="15"/>
      <c r="P745" s="15"/>
      <c r="Q745" s="14" t="s">
        <v>3550</v>
      </c>
    </row>
    <row r="746" spans="4:17" x14ac:dyDescent="0.25">
      <c r="D746" s="15" t="s">
        <v>6419</v>
      </c>
      <c r="E746" s="14" t="s">
        <v>2753</v>
      </c>
      <c r="F746" s="15"/>
      <c r="G746" s="14"/>
      <c r="H746" s="15"/>
      <c r="I746" s="15"/>
      <c r="J746" s="14" t="str">
        <f t="shared" si="12"/>
        <v/>
      </c>
      <c r="K746" s="19"/>
      <c r="L746" s="20"/>
      <c r="M746" s="21"/>
      <c r="N746" s="15"/>
      <c r="O746" s="15"/>
      <c r="P746" s="15"/>
      <c r="Q746" s="14" t="s">
        <v>3551</v>
      </c>
    </row>
    <row r="747" spans="4:17" x14ac:dyDescent="0.25">
      <c r="D747" s="15" t="s">
        <v>6420</v>
      </c>
      <c r="E747" s="14" t="s">
        <v>2753</v>
      </c>
      <c r="F747" s="15"/>
      <c r="G747" s="14"/>
      <c r="H747" s="15"/>
      <c r="I747" s="15"/>
      <c r="J747" s="14" t="str">
        <f t="shared" si="12"/>
        <v/>
      </c>
      <c r="K747" s="19"/>
      <c r="L747" s="20"/>
      <c r="M747" s="21"/>
      <c r="N747" s="15"/>
      <c r="O747" s="15"/>
      <c r="P747" s="15"/>
      <c r="Q747" s="14" t="s">
        <v>3552</v>
      </c>
    </row>
    <row r="748" spans="4:17" x14ac:dyDescent="0.25">
      <c r="D748" s="15" t="s">
        <v>6421</v>
      </c>
      <c r="E748" s="14" t="s">
        <v>2753</v>
      </c>
      <c r="F748" s="15"/>
      <c r="G748" s="14"/>
      <c r="H748" s="15"/>
      <c r="I748" s="15"/>
      <c r="J748" s="14" t="str">
        <f t="shared" si="12"/>
        <v/>
      </c>
      <c r="K748" s="19"/>
      <c r="L748" s="20"/>
      <c r="M748" s="21"/>
      <c r="N748" s="15"/>
      <c r="O748" s="15"/>
      <c r="P748" s="15"/>
      <c r="Q748" s="14" t="s">
        <v>3553</v>
      </c>
    </row>
    <row r="749" spans="4:17" x14ac:dyDescent="0.25">
      <c r="D749" s="15" t="s">
        <v>6422</v>
      </c>
      <c r="E749" s="14" t="s">
        <v>2753</v>
      </c>
      <c r="F749" s="15"/>
      <c r="G749" s="14"/>
      <c r="H749" s="15"/>
      <c r="I749" s="15"/>
      <c r="J749" s="14" t="str">
        <f t="shared" si="12"/>
        <v/>
      </c>
      <c r="K749" s="19"/>
      <c r="L749" s="20"/>
      <c r="M749" s="21"/>
      <c r="N749" s="15"/>
      <c r="O749" s="15"/>
      <c r="P749" s="15"/>
      <c r="Q749" s="14" t="s">
        <v>3554</v>
      </c>
    </row>
    <row r="750" spans="4:17" x14ac:dyDescent="0.25">
      <c r="D750" s="15" t="s">
        <v>6423</v>
      </c>
      <c r="E750" s="14" t="s">
        <v>2753</v>
      </c>
      <c r="F750" s="15"/>
      <c r="G750" s="14"/>
      <c r="H750" s="15"/>
      <c r="I750" s="15"/>
      <c r="J750" s="14" t="str">
        <f t="shared" si="12"/>
        <v/>
      </c>
      <c r="K750" s="19"/>
      <c r="L750" s="20"/>
      <c r="M750" s="21"/>
      <c r="N750" s="15"/>
      <c r="O750" s="15"/>
      <c r="P750" s="15"/>
      <c r="Q750" s="14" t="s">
        <v>3555</v>
      </c>
    </row>
    <row r="751" spans="4:17" x14ac:dyDescent="0.25">
      <c r="D751" s="15" t="s">
        <v>6424</v>
      </c>
      <c r="E751" s="14" t="s">
        <v>2753</v>
      </c>
      <c r="F751" s="15"/>
      <c r="G751" s="14"/>
      <c r="H751" s="15"/>
      <c r="I751" s="15"/>
      <c r="J751" s="14" t="str">
        <f t="shared" si="12"/>
        <v/>
      </c>
      <c r="K751" s="19"/>
      <c r="L751" s="20"/>
      <c r="M751" s="21"/>
      <c r="N751" s="15"/>
      <c r="O751" s="15"/>
      <c r="P751" s="15"/>
      <c r="Q751" s="14" t="s">
        <v>3556</v>
      </c>
    </row>
    <row r="752" spans="4:17" x14ac:dyDescent="0.25">
      <c r="D752" s="15" t="s">
        <v>6425</v>
      </c>
      <c r="E752" s="14" t="s">
        <v>2753</v>
      </c>
      <c r="F752" s="15"/>
      <c r="G752" s="14"/>
      <c r="H752" s="15"/>
      <c r="I752" s="15"/>
      <c r="J752" s="14" t="str">
        <f t="shared" si="12"/>
        <v/>
      </c>
      <c r="K752" s="19"/>
      <c r="L752" s="20"/>
      <c r="M752" s="21"/>
      <c r="N752" s="15"/>
      <c r="O752" s="15"/>
      <c r="P752" s="15"/>
      <c r="Q752" s="14" t="s">
        <v>3557</v>
      </c>
    </row>
    <row r="753" spans="4:17" x14ac:dyDescent="0.25">
      <c r="D753" s="15" t="s">
        <v>6426</v>
      </c>
      <c r="E753" s="14" t="s">
        <v>2753</v>
      </c>
      <c r="F753" s="15"/>
      <c r="G753" s="14"/>
      <c r="H753" s="15"/>
      <c r="I753" s="15"/>
      <c r="J753" s="14" t="str">
        <f t="shared" si="12"/>
        <v/>
      </c>
      <c r="K753" s="19"/>
      <c r="L753" s="20"/>
      <c r="M753" s="21"/>
      <c r="N753" s="15"/>
      <c r="O753" s="15"/>
      <c r="P753" s="15"/>
      <c r="Q753" s="14" t="s">
        <v>3558</v>
      </c>
    </row>
    <row r="754" spans="4:17" x14ac:dyDescent="0.25">
      <c r="D754" s="15" t="s">
        <v>6427</v>
      </c>
      <c r="E754" s="14" t="s">
        <v>2753</v>
      </c>
      <c r="F754" s="15"/>
      <c r="G754" s="14"/>
      <c r="H754" s="15"/>
      <c r="I754" s="15"/>
      <c r="J754" s="14" t="str">
        <f t="shared" si="12"/>
        <v/>
      </c>
      <c r="K754" s="19"/>
      <c r="L754" s="20"/>
      <c r="M754" s="21"/>
      <c r="N754" s="15"/>
      <c r="O754" s="15"/>
      <c r="P754" s="15"/>
      <c r="Q754" s="14" t="s">
        <v>3559</v>
      </c>
    </row>
    <row r="755" spans="4:17" x14ac:dyDescent="0.25">
      <c r="D755" s="15" t="s">
        <v>6428</v>
      </c>
      <c r="E755" s="14" t="s">
        <v>2753</v>
      </c>
      <c r="F755" s="15"/>
      <c r="G755" s="14"/>
      <c r="H755" s="15"/>
      <c r="I755" s="15"/>
      <c r="J755" s="14" t="str">
        <f t="shared" si="12"/>
        <v/>
      </c>
      <c r="K755" s="19"/>
      <c r="L755" s="20"/>
      <c r="M755" s="21"/>
      <c r="N755" s="15"/>
      <c r="O755" s="15"/>
      <c r="P755" s="15"/>
      <c r="Q755" s="14" t="s">
        <v>3560</v>
      </c>
    </row>
    <row r="756" spans="4:17" x14ac:dyDescent="0.25">
      <c r="D756" s="15" t="s">
        <v>6429</v>
      </c>
      <c r="E756" s="14" t="s">
        <v>2760</v>
      </c>
      <c r="F756" s="15"/>
      <c r="G756" s="14"/>
      <c r="H756" s="15"/>
      <c r="I756" s="15"/>
      <c r="J756" s="14" t="str">
        <f t="shared" si="12"/>
        <v/>
      </c>
      <c r="K756" s="19"/>
      <c r="L756" s="20"/>
      <c r="M756" s="21"/>
      <c r="N756" s="15"/>
      <c r="O756" s="15"/>
      <c r="P756" s="15"/>
      <c r="Q756" s="14" t="s">
        <v>3561</v>
      </c>
    </row>
    <row r="757" spans="4:17" x14ac:dyDescent="0.25">
      <c r="D757" s="15" t="s">
        <v>6430</v>
      </c>
      <c r="E757" s="14" t="s">
        <v>2760</v>
      </c>
      <c r="F757" s="15"/>
      <c r="G757" s="14"/>
      <c r="H757" s="15"/>
      <c r="I757" s="15"/>
      <c r="J757" s="14" t="str">
        <f t="shared" si="12"/>
        <v/>
      </c>
      <c r="K757" s="19"/>
      <c r="L757" s="20"/>
      <c r="M757" s="21"/>
      <c r="N757" s="15"/>
      <c r="O757" s="15"/>
      <c r="P757" s="15"/>
      <c r="Q757" s="14" t="s">
        <v>3562</v>
      </c>
    </row>
    <row r="758" spans="4:17" x14ac:dyDescent="0.25">
      <c r="D758" s="15" t="s">
        <v>6431</v>
      </c>
      <c r="E758" s="14" t="s">
        <v>2760</v>
      </c>
      <c r="F758" s="15"/>
      <c r="G758" s="14"/>
      <c r="H758" s="15"/>
      <c r="I758" s="15"/>
      <c r="J758" s="14" t="str">
        <f t="shared" si="12"/>
        <v/>
      </c>
      <c r="K758" s="19"/>
      <c r="L758" s="20"/>
      <c r="M758" s="21"/>
      <c r="N758" s="15"/>
      <c r="O758" s="15"/>
      <c r="P758" s="15"/>
      <c r="Q758" s="14" t="s">
        <v>3563</v>
      </c>
    </row>
    <row r="759" spans="4:17" x14ac:dyDescent="0.25">
      <c r="D759" s="15" t="s">
        <v>6432</v>
      </c>
      <c r="E759" s="14" t="s">
        <v>2760</v>
      </c>
      <c r="F759" s="15"/>
      <c r="G759" s="14"/>
      <c r="H759" s="15"/>
      <c r="I759" s="15"/>
      <c r="J759" s="14" t="str">
        <f t="shared" si="12"/>
        <v/>
      </c>
      <c r="K759" s="19"/>
      <c r="L759" s="20"/>
      <c r="M759" s="21"/>
      <c r="N759" s="15"/>
      <c r="O759" s="15"/>
      <c r="P759" s="15"/>
      <c r="Q759" s="14" t="s">
        <v>3564</v>
      </c>
    </row>
    <row r="760" spans="4:17" x14ac:dyDescent="0.25">
      <c r="D760" s="15" t="s">
        <v>6433</v>
      </c>
      <c r="E760" s="14" t="s">
        <v>2760</v>
      </c>
      <c r="F760" s="15"/>
      <c r="G760" s="14"/>
      <c r="H760" s="15"/>
      <c r="I760" s="15"/>
      <c r="J760" s="14" t="str">
        <f t="shared" si="12"/>
        <v/>
      </c>
      <c r="K760" s="19"/>
      <c r="L760" s="20"/>
      <c r="M760" s="21"/>
      <c r="N760" s="15"/>
      <c r="O760" s="15"/>
      <c r="P760" s="15"/>
      <c r="Q760" s="14" t="s">
        <v>3565</v>
      </c>
    </row>
    <row r="761" spans="4:17" x14ac:dyDescent="0.25">
      <c r="D761" s="15" t="s">
        <v>6434</v>
      </c>
      <c r="E761" s="14" t="s">
        <v>2760</v>
      </c>
      <c r="F761" s="15"/>
      <c r="G761" s="14"/>
      <c r="H761" s="15"/>
      <c r="I761" s="15"/>
      <c r="J761" s="14" t="str">
        <f t="shared" si="12"/>
        <v/>
      </c>
      <c r="K761" s="19"/>
      <c r="L761" s="20"/>
      <c r="M761" s="21"/>
      <c r="N761" s="15"/>
      <c r="O761" s="15"/>
      <c r="P761" s="15"/>
      <c r="Q761" s="14" t="s">
        <v>3566</v>
      </c>
    </row>
    <row r="762" spans="4:17" x14ac:dyDescent="0.25">
      <c r="D762" s="15" t="s">
        <v>6435</v>
      </c>
      <c r="E762" s="14" t="s">
        <v>2760</v>
      </c>
      <c r="F762" s="15"/>
      <c r="G762" s="14"/>
      <c r="H762" s="15"/>
      <c r="I762" s="15"/>
      <c r="J762" s="14" t="str">
        <f t="shared" si="12"/>
        <v/>
      </c>
      <c r="K762" s="19"/>
      <c r="L762" s="20"/>
      <c r="M762" s="21"/>
      <c r="N762" s="15"/>
      <c r="O762" s="15"/>
      <c r="P762" s="15"/>
      <c r="Q762" s="14" t="s">
        <v>3567</v>
      </c>
    </row>
    <row r="763" spans="4:17" x14ac:dyDescent="0.25">
      <c r="D763" s="15" t="s">
        <v>6436</v>
      </c>
      <c r="E763" s="14" t="s">
        <v>2760</v>
      </c>
      <c r="F763" s="15"/>
      <c r="G763" s="14"/>
      <c r="H763" s="15"/>
      <c r="I763" s="15"/>
      <c r="J763" s="14" t="str">
        <f t="shared" si="12"/>
        <v/>
      </c>
      <c r="K763" s="19"/>
      <c r="L763" s="20"/>
      <c r="M763" s="21"/>
      <c r="N763" s="15"/>
      <c r="O763" s="15"/>
      <c r="P763" s="15"/>
      <c r="Q763" s="14" t="s">
        <v>3568</v>
      </c>
    </row>
    <row r="764" spans="4:17" x14ac:dyDescent="0.25">
      <c r="D764" s="15" t="s">
        <v>6437</v>
      </c>
      <c r="E764" s="14" t="s">
        <v>2760</v>
      </c>
      <c r="F764" s="15"/>
      <c r="G764" s="14"/>
      <c r="H764" s="15"/>
      <c r="I764" s="15"/>
      <c r="J764" s="14" t="str">
        <f t="shared" ref="J764:J827" si="13">F764&amp;H764&amp;I764</f>
        <v/>
      </c>
      <c r="K764" s="19"/>
      <c r="L764" s="20"/>
      <c r="M764" s="21"/>
      <c r="N764" s="15"/>
      <c r="O764" s="15"/>
      <c r="P764" s="15"/>
      <c r="Q764" s="14" t="s">
        <v>3569</v>
      </c>
    </row>
    <row r="765" spans="4:17" x14ac:dyDescent="0.25">
      <c r="D765" s="15" t="s">
        <v>6438</v>
      </c>
      <c r="E765" s="14" t="s">
        <v>2760</v>
      </c>
      <c r="F765" s="15"/>
      <c r="G765" s="14"/>
      <c r="H765" s="15"/>
      <c r="I765" s="15"/>
      <c r="J765" s="14" t="str">
        <f t="shared" si="13"/>
        <v/>
      </c>
      <c r="K765" s="19"/>
      <c r="L765" s="20"/>
      <c r="M765" s="21"/>
      <c r="N765" s="15"/>
      <c r="O765" s="15"/>
      <c r="P765" s="15"/>
      <c r="Q765" s="14" t="s">
        <v>3570</v>
      </c>
    </row>
    <row r="766" spans="4:17" x14ac:dyDescent="0.25">
      <c r="D766" s="15" t="s">
        <v>6439</v>
      </c>
      <c r="E766" s="14" t="s">
        <v>2760</v>
      </c>
      <c r="F766" s="15"/>
      <c r="G766" s="14"/>
      <c r="H766" s="15"/>
      <c r="I766" s="15"/>
      <c r="J766" s="14" t="str">
        <f t="shared" si="13"/>
        <v/>
      </c>
      <c r="K766" s="19"/>
      <c r="L766" s="20"/>
      <c r="M766" s="21"/>
      <c r="N766" s="15"/>
      <c r="O766" s="15"/>
      <c r="P766" s="15"/>
      <c r="Q766" s="14" t="s">
        <v>3571</v>
      </c>
    </row>
    <row r="767" spans="4:17" x14ac:dyDescent="0.25">
      <c r="D767" s="15" t="s">
        <v>6440</v>
      </c>
      <c r="E767" s="14" t="s">
        <v>2760</v>
      </c>
      <c r="F767" s="15"/>
      <c r="G767" s="14"/>
      <c r="H767" s="15"/>
      <c r="I767" s="15"/>
      <c r="J767" s="14" t="str">
        <f t="shared" si="13"/>
        <v/>
      </c>
      <c r="K767" s="19"/>
      <c r="L767" s="20"/>
      <c r="M767" s="21"/>
      <c r="N767" s="15"/>
      <c r="O767" s="15"/>
      <c r="P767" s="15"/>
      <c r="Q767" s="14" t="s">
        <v>3572</v>
      </c>
    </row>
    <row r="768" spans="4:17" x14ac:dyDescent="0.25">
      <c r="D768" s="15" t="s">
        <v>6441</v>
      </c>
      <c r="E768" s="14" t="s">
        <v>2760</v>
      </c>
      <c r="F768" s="15"/>
      <c r="G768" s="14"/>
      <c r="H768" s="15"/>
      <c r="I768" s="15"/>
      <c r="J768" s="14" t="str">
        <f t="shared" si="13"/>
        <v/>
      </c>
      <c r="K768" s="19"/>
      <c r="L768" s="20"/>
      <c r="M768" s="21"/>
      <c r="N768" s="15"/>
      <c r="O768" s="15"/>
      <c r="P768" s="15"/>
      <c r="Q768" s="14" t="s">
        <v>3573</v>
      </c>
    </row>
    <row r="769" spans="4:17" x14ac:dyDescent="0.25">
      <c r="D769" s="15" t="s">
        <v>6442</v>
      </c>
      <c r="E769" s="14" t="s">
        <v>2760</v>
      </c>
      <c r="F769" s="15"/>
      <c r="G769" s="14"/>
      <c r="H769" s="15"/>
      <c r="I769" s="15"/>
      <c r="J769" s="14" t="str">
        <f t="shared" si="13"/>
        <v/>
      </c>
      <c r="K769" s="19"/>
      <c r="L769" s="20"/>
      <c r="M769" s="21"/>
      <c r="N769" s="15"/>
      <c r="O769" s="15"/>
      <c r="P769" s="15"/>
      <c r="Q769" s="14" t="s">
        <v>3574</v>
      </c>
    </row>
    <row r="770" spans="4:17" x14ac:dyDescent="0.25">
      <c r="D770" s="15" t="s">
        <v>6443</v>
      </c>
      <c r="E770" s="14" t="s">
        <v>2760</v>
      </c>
      <c r="F770" s="15"/>
      <c r="G770" s="14"/>
      <c r="H770" s="15"/>
      <c r="I770" s="15"/>
      <c r="J770" s="14" t="str">
        <f t="shared" si="13"/>
        <v/>
      </c>
      <c r="K770" s="19"/>
      <c r="L770" s="20"/>
      <c r="M770" s="21"/>
      <c r="N770" s="15"/>
      <c r="O770" s="15"/>
      <c r="P770" s="15"/>
      <c r="Q770" s="14" t="s">
        <v>3575</v>
      </c>
    </row>
    <row r="771" spans="4:17" x14ac:dyDescent="0.25">
      <c r="D771" s="15" t="s">
        <v>6444</v>
      </c>
      <c r="E771" s="14" t="s">
        <v>2760</v>
      </c>
      <c r="F771" s="15"/>
      <c r="G771" s="14"/>
      <c r="H771" s="15"/>
      <c r="I771" s="15"/>
      <c r="J771" s="14" t="str">
        <f t="shared" si="13"/>
        <v/>
      </c>
      <c r="K771" s="19"/>
      <c r="L771" s="20"/>
      <c r="M771" s="21"/>
      <c r="N771" s="15"/>
      <c r="O771" s="15"/>
      <c r="P771" s="15"/>
      <c r="Q771" s="14" t="s">
        <v>3576</v>
      </c>
    </row>
    <row r="772" spans="4:17" x14ac:dyDescent="0.25">
      <c r="D772" s="15" t="s">
        <v>6445</v>
      </c>
      <c r="E772" s="14" t="s">
        <v>2760</v>
      </c>
      <c r="F772" s="15"/>
      <c r="G772" s="14"/>
      <c r="H772" s="15"/>
      <c r="I772" s="15"/>
      <c r="J772" s="14" t="str">
        <f t="shared" si="13"/>
        <v/>
      </c>
      <c r="K772" s="19"/>
      <c r="L772" s="20"/>
      <c r="M772" s="21"/>
      <c r="N772" s="15"/>
      <c r="O772" s="15"/>
      <c r="P772" s="15"/>
      <c r="Q772" s="14" t="s">
        <v>3577</v>
      </c>
    </row>
    <row r="773" spans="4:17" x14ac:dyDescent="0.25">
      <c r="D773" s="15" t="s">
        <v>6446</v>
      </c>
      <c r="E773" s="14" t="s">
        <v>2760</v>
      </c>
      <c r="F773" s="15"/>
      <c r="G773" s="14"/>
      <c r="H773" s="15"/>
      <c r="I773" s="15"/>
      <c r="J773" s="14" t="str">
        <f t="shared" si="13"/>
        <v/>
      </c>
      <c r="K773" s="19"/>
      <c r="L773" s="20"/>
      <c r="M773" s="21"/>
      <c r="N773" s="15"/>
      <c r="O773" s="15"/>
      <c r="P773" s="15"/>
      <c r="Q773" s="14" t="s">
        <v>3578</v>
      </c>
    </row>
    <row r="774" spans="4:17" x14ac:dyDescent="0.25">
      <c r="D774" s="15" t="s">
        <v>6447</v>
      </c>
      <c r="E774" s="14" t="s">
        <v>2760</v>
      </c>
      <c r="F774" s="15"/>
      <c r="G774" s="14"/>
      <c r="H774" s="15"/>
      <c r="I774" s="15"/>
      <c r="J774" s="14" t="str">
        <f t="shared" si="13"/>
        <v/>
      </c>
      <c r="K774" s="19"/>
      <c r="L774" s="20"/>
      <c r="M774" s="21"/>
      <c r="N774" s="15"/>
      <c r="O774" s="15"/>
      <c r="P774" s="15"/>
      <c r="Q774" s="14" t="s">
        <v>3579</v>
      </c>
    </row>
    <row r="775" spans="4:17" x14ac:dyDescent="0.25">
      <c r="D775" s="15" t="s">
        <v>6448</v>
      </c>
      <c r="E775" s="14" t="s">
        <v>2760</v>
      </c>
      <c r="F775" s="15"/>
      <c r="G775" s="14"/>
      <c r="H775" s="15"/>
      <c r="I775" s="15"/>
      <c r="J775" s="14" t="str">
        <f t="shared" si="13"/>
        <v/>
      </c>
      <c r="K775" s="19"/>
      <c r="L775" s="20"/>
      <c r="M775" s="21"/>
      <c r="N775" s="15"/>
      <c r="O775" s="15"/>
      <c r="P775" s="15"/>
      <c r="Q775" s="14" t="s">
        <v>3580</v>
      </c>
    </row>
    <row r="776" spans="4:17" x14ac:dyDescent="0.25">
      <c r="D776" s="15" t="s">
        <v>6449</v>
      </c>
      <c r="E776" s="14" t="s">
        <v>2767</v>
      </c>
      <c r="F776" s="15"/>
      <c r="G776" s="14"/>
      <c r="H776" s="15"/>
      <c r="I776" s="15"/>
      <c r="J776" s="14" t="str">
        <f t="shared" si="13"/>
        <v/>
      </c>
      <c r="K776" s="19"/>
      <c r="L776" s="20"/>
      <c r="M776" s="21"/>
      <c r="N776" s="15"/>
      <c r="O776" s="15"/>
      <c r="P776" s="15"/>
      <c r="Q776" s="14" t="s">
        <v>3581</v>
      </c>
    </row>
    <row r="777" spans="4:17" x14ac:dyDescent="0.25">
      <c r="D777" s="15" t="s">
        <v>6450</v>
      </c>
      <c r="E777" s="14" t="s">
        <v>2767</v>
      </c>
      <c r="F777" s="15"/>
      <c r="G777" s="14"/>
      <c r="H777" s="15"/>
      <c r="I777" s="15"/>
      <c r="J777" s="14" t="str">
        <f t="shared" si="13"/>
        <v/>
      </c>
      <c r="K777" s="19"/>
      <c r="L777" s="20"/>
      <c r="M777" s="21"/>
      <c r="N777" s="15"/>
      <c r="O777" s="15"/>
      <c r="P777" s="15"/>
      <c r="Q777" s="14" t="s">
        <v>3582</v>
      </c>
    </row>
    <row r="778" spans="4:17" x14ac:dyDescent="0.25">
      <c r="D778" s="15" t="s">
        <v>6451</v>
      </c>
      <c r="E778" s="14" t="s">
        <v>2767</v>
      </c>
      <c r="F778" s="15"/>
      <c r="G778" s="14"/>
      <c r="H778" s="15"/>
      <c r="I778" s="15"/>
      <c r="J778" s="14" t="str">
        <f t="shared" si="13"/>
        <v/>
      </c>
      <c r="K778" s="19"/>
      <c r="L778" s="20"/>
      <c r="M778" s="21"/>
      <c r="N778" s="15"/>
      <c r="O778" s="15"/>
      <c r="P778" s="15"/>
      <c r="Q778" s="14" t="s">
        <v>3583</v>
      </c>
    </row>
    <row r="779" spans="4:17" x14ac:dyDescent="0.25">
      <c r="D779" s="15" t="s">
        <v>6452</v>
      </c>
      <c r="E779" s="14" t="s">
        <v>2767</v>
      </c>
      <c r="F779" s="15"/>
      <c r="G779" s="14"/>
      <c r="H779" s="15"/>
      <c r="I779" s="15"/>
      <c r="J779" s="14" t="str">
        <f t="shared" si="13"/>
        <v/>
      </c>
      <c r="K779" s="19"/>
      <c r="L779" s="20"/>
      <c r="M779" s="21"/>
      <c r="N779" s="15"/>
      <c r="O779" s="15"/>
      <c r="P779" s="15"/>
      <c r="Q779" s="14" t="s">
        <v>3584</v>
      </c>
    </row>
    <row r="780" spans="4:17" x14ac:dyDescent="0.25">
      <c r="D780" s="15" t="s">
        <v>6453</v>
      </c>
      <c r="E780" s="14" t="s">
        <v>2767</v>
      </c>
      <c r="F780" s="15"/>
      <c r="G780" s="14"/>
      <c r="H780" s="15"/>
      <c r="I780" s="15"/>
      <c r="J780" s="14" t="str">
        <f t="shared" si="13"/>
        <v/>
      </c>
      <c r="K780" s="19"/>
      <c r="L780" s="20"/>
      <c r="M780" s="21"/>
      <c r="N780" s="15"/>
      <c r="O780" s="15"/>
      <c r="P780" s="15"/>
      <c r="Q780" s="14" t="s">
        <v>3585</v>
      </c>
    </row>
    <row r="781" spans="4:17" x14ac:dyDescent="0.25">
      <c r="D781" s="15" t="s">
        <v>6454</v>
      </c>
      <c r="E781" s="14" t="s">
        <v>2767</v>
      </c>
      <c r="F781" s="15"/>
      <c r="G781" s="14"/>
      <c r="H781" s="15"/>
      <c r="I781" s="15"/>
      <c r="J781" s="14" t="str">
        <f t="shared" si="13"/>
        <v/>
      </c>
      <c r="K781" s="19"/>
      <c r="L781" s="20"/>
      <c r="M781" s="21"/>
      <c r="N781" s="15"/>
      <c r="O781" s="15"/>
      <c r="P781" s="15"/>
      <c r="Q781" s="14" t="s">
        <v>3586</v>
      </c>
    </row>
    <row r="782" spans="4:17" x14ac:dyDescent="0.25">
      <c r="D782" s="15" t="s">
        <v>6455</v>
      </c>
      <c r="E782" s="14" t="s">
        <v>2767</v>
      </c>
      <c r="F782" s="15"/>
      <c r="G782" s="14"/>
      <c r="H782" s="15"/>
      <c r="I782" s="15"/>
      <c r="J782" s="14" t="str">
        <f t="shared" si="13"/>
        <v/>
      </c>
      <c r="K782" s="19"/>
      <c r="L782" s="20"/>
      <c r="M782" s="21"/>
      <c r="N782" s="15"/>
      <c r="O782" s="15"/>
      <c r="P782" s="15"/>
      <c r="Q782" s="14" t="s">
        <v>3587</v>
      </c>
    </row>
    <row r="783" spans="4:17" x14ac:dyDescent="0.25">
      <c r="D783" s="15" t="s">
        <v>6456</v>
      </c>
      <c r="E783" s="14" t="s">
        <v>2767</v>
      </c>
      <c r="F783" s="15"/>
      <c r="G783" s="14"/>
      <c r="H783" s="15"/>
      <c r="I783" s="15"/>
      <c r="J783" s="14" t="str">
        <f t="shared" si="13"/>
        <v/>
      </c>
      <c r="K783" s="19"/>
      <c r="L783" s="20"/>
      <c r="M783" s="21"/>
      <c r="N783" s="15"/>
      <c r="O783" s="15"/>
      <c r="P783" s="15"/>
      <c r="Q783" s="14" t="s">
        <v>3588</v>
      </c>
    </row>
    <row r="784" spans="4:17" x14ac:dyDescent="0.25">
      <c r="D784" s="15" t="s">
        <v>6457</v>
      </c>
      <c r="E784" s="14" t="s">
        <v>2767</v>
      </c>
      <c r="F784" s="15"/>
      <c r="G784" s="14"/>
      <c r="H784" s="15"/>
      <c r="I784" s="15"/>
      <c r="J784" s="14" t="str">
        <f t="shared" si="13"/>
        <v/>
      </c>
      <c r="K784" s="19"/>
      <c r="L784" s="20"/>
      <c r="M784" s="21"/>
      <c r="N784" s="15"/>
      <c r="O784" s="15"/>
      <c r="P784" s="15"/>
      <c r="Q784" s="14" t="s">
        <v>3589</v>
      </c>
    </row>
    <row r="785" spans="4:17" x14ac:dyDescent="0.25">
      <c r="D785" s="15" t="s">
        <v>6458</v>
      </c>
      <c r="E785" s="14" t="s">
        <v>2767</v>
      </c>
      <c r="F785" s="15"/>
      <c r="G785" s="14"/>
      <c r="H785" s="15"/>
      <c r="I785" s="15"/>
      <c r="J785" s="14" t="str">
        <f t="shared" si="13"/>
        <v/>
      </c>
      <c r="K785" s="19"/>
      <c r="L785" s="20"/>
      <c r="M785" s="21"/>
      <c r="N785" s="15"/>
      <c r="O785" s="15"/>
      <c r="P785" s="15"/>
      <c r="Q785" s="14" t="s">
        <v>3590</v>
      </c>
    </row>
    <row r="786" spans="4:17" x14ac:dyDescent="0.25">
      <c r="D786" s="15" t="s">
        <v>6459</v>
      </c>
      <c r="E786" s="14" t="s">
        <v>2767</v>
      </c>
      <c r="F786" s="15"/>
      <c r="G786" s="14"/>
      <c r="H786" s="15"/>
      <c r="I786" s="15"/>
      <c r="J786" s="14" t="str">
        <f t="shared" si="13"/>
        <v/>
      </c>
      <c r="K786" s="19"/>
      <c r="L786" s="20"/>
      <c r="M786" s="21"/>
      <c r="N786" s="15"/>
      <c r="O786" s="15"/>
      <c r="P786" s="15"/>
      <c r="Q786" s="14" t="s">
        <v>3591</v>
      </c>
    </row>
    <row r="787" spans="4:17" x14ac:dyDescent="0.25">
      <c r="D787" s="15" t="s">
        <v>6460</v>
      </c>
      <c r="E787" s="14" t="s">
        <v>2767</v>
      </c>
      <c r="F787" s="15"/>
      <c r="G787" s="14"/>
      <c r="H787" s="15"/>
      <c r="I787" s="15"/>
      <c r="J787" s="14" t="str">
        <f t="shared" si="13"/>
        <v/>
      </c>
      <c r="K787" s="19"/>
      <c r="L787" s="20"/>
      <c r="M787" s="21"/>
      <c r="N787" s="15"/>
      <c r="O787" s="15"/>
      <c r="P787" s="15"/>
      <c r="Q787" s="14" t="s">
        <v>3592</v>
      </c>
    </row>
    <row r="788" spans="4:17" x14ac:dyDescent="0.25">
      <c r="D788" s="15" t="s">
        <v>6461</v>
      </c>
      <c r="E788" s="14" t="s">
        <v>2767</v>
      </c>
      <c r="F788" s="15"/>
      <c r="G788" s="14"/>
      <c r="H788" s="15"/>
      <c r="I788" s="15"/>
      <c r="J788" s="14" t="str">
        <f t="shared" si="13"/>
        <v/>
      </c>
      <c r="K788" s="19"/>
      <c r="L788" s="20"/>
      <c r="M788" s="21"/>
      <c r="N788" s="15"/>
      <c r="O788" s="15"/>
      <c r="P788" s="15"/>
      <c r="Q788" s="14" t="s">
        <v>3593</v>
      </c>
    </row>
    <row r="789" spans="4:17" x14ac:dyDescent="0.25">
      <c r="D789" s="15" t="s">
        <v>6462</v>
      </c>
      <c r="E789" s="14" t="s">
        <v>2767</v>
      </c>
      <c r="F789" s="15"/>
      <c r="G789" s="14"/>
      <c r="H789" s="15"/>
      <c r="I789" s="15"/>
      <c r="J789" s="14" t="str">
        <f t="shared" si="13"/>
        <v/>
      </c>
      <c r="K789" s="19"/>
      <c r="L789" s="20"/>
      <c r="M789" s="21"/>
      <c r="N789" s="15"/>
      <c r="O789" s="15"/>
      <c r="P789" s="15"/>
      <c r="Q789" s="14" t="s">
        <v>3594</v>
      </c>
    </row>
    <row r="790" spans="4:17" x14ac:dyDescent="0.25">
      <c r="D790" s="15" t="s">
        <v>6463</v>
      </c>
      <c r="E790" s="14" t="s">
        <v>2767</v>
      </c>
      <c r="F790" s="15"/>
      <c r="G790" s="14"/>
      <c r="H790" s="15"/>
      <c r="I790" s="15"/>
      <c r="J790" s="14" t="str">
        <f t="shared" si="13"/>
        <v/>
      </c>
      <c r="K790" s="19"/>
      <c r="L790" s="20"/>
      <c r="M790" s="21"/>
      <c r="N790" s="15"/>
      <c r="O790" s="15"/>
      <c r="P790" s="15"/>
      <c r="Q790" s="14" t="s">
        <v>3595</v>
      </c>
    </row>
    <row r="791" spans="4:17" x14ac:dyDescent="0.25">
      <c r="D791" s="15" t="s">
        <v>6464</v>
      </c>
      <c r="E791" s="14" t="s">
        <v>2767</v>
      </c>
      <c r="F791" s="15"/>
      <c r="G791" s="14"/>
      <c r="H791" s="15"/>
      <c r="I791" s="15"/>
      <c r="J791" s="14" t="str">
        <f t="shared" si="13"/>
        <v/>
      </c>
      <c r="K791" s="19"/>
      <c r="L791" s="20"/>
      <c r="M791" s="21"/>
      <c r="N791" s="15"/>
      <c r="O791" s="15"/>
      <c r="P791" s="15"/>
      <c r="Q791" s="14" t="s">
        <v>3596</v>
      </c>
    </row>
    <row r="792" spans="4:17" x14ac:dyDescent="0.25">
      <c r="D792" s="15" t="s">
        <v>6465</v>
      </c>
      <c r="E792" s="14" t="s">
        <v>2767</v>
      </c>
      <c r="F792" s="15"/>
      <c r="G792" s="14"/>
      <c r="H792" s="15"/>
      <c r="I792" s="15"/>
      <c r="J792" s="14" t="str">
        <f t="shared" si="13"/>
        <v/>
      </c>
      <c r="K792" s="19"/>
      <c r="L792" s="20"/>
      <c r="M792" s="21"/>
      <c r="N792" s="15"/>
      <c r="O792" s="15"/>
      <c r="P792" s="15"/>
      <c r="Q792" s="14" t="s">
        <v>3597</v>
      </c>
    </row>
    <row r="793" spans="4:17" x14ac:dyDescent="0.25">
      <c r="D793" s="15" t="s">
        <v>6466</v>
      </c>
      <c r="E793" s="14" t="s">
        <v>2767</v>
      </c>
      <c r="F793" s="15"/>
      <c r="G793" s="14"/>
      <c r="H793" s="15"/>
      <c r="I793" s="15"/>
      <c r="J793" s="14" t="str">
        <f t="shared" si="13"/>
        <v/>
      </c>
      <c r="K793" s="19"/>
      <c r="L793" s="20"/>
      <c r="M793" s="21"/>
      <c r="N793" s="15"/>
      <c r="O793" s="15"/>
      <c r="P793" s="15"/>
      <c r="Q793" s="14" t="s">
        <v>3598</v>
      </c>
    </row>
    <row r="794" spans="4:17" x14ac:dyDescent="0.25">
      <c r="D794" s="15" t="s">
        <v>6467</v>
      </c>
      <c r="E794" s="14" t="s">
        <v>2767</v>
      </c>
      <c r="F794" s="15"/>
      <c r="G794" s="14"/>
      <c r="H794" s="15"/>
      <c r="I794" s="15"/>
      <c r="J794" s="14" t="str">
        <f t="shared" si="13"/>
        <v/>
      </c>
      <c r="K794" s="19"/>
      <c r="L794" s="20"/>
      <c r="M794" s="21"/>
      <c r="N794" s="15"/>
      <c r="O794" s="15"/>
      <c r="P794" s="15"/>
      <c r="Q794" s="14" t="s">
        <v>3599</v>
      </c>
    </row>
    <row r="795" spans="4:17" x14ac:dyDescent="0.25">
      <c r="D795" s="15" t="s">
        <v>6468</v>
      </c>
      <c r="E795" s="14" t="s">
        <v>2767</v>
      </c>
      <c r="F795" s="15"/>
      <c r="G795" s="14"/>
      <c r="H795" s="15"/>
      <c r="I795" s="15"/>
      <c r="J795" s="14" t="str">
        <f t="shared" si="13"/>
        <v/>
      </c>
      <c r="K795" s="19"/>
      <c r="L795" s="20"/>
      <c r="M795" s="21"/>
      <c r="N795" s="15"/>
      <c r="O795" s="15"/>
      <c r="P795" s="15"/>
      <c r="Q795" s="14" t="s">
        <v>3600</v>
      </c>
    </row>
    <row r="796" spans="4:17" x14ac:dyDescent="0.25">
      <c r="D796" s="15" t="s">
        <v>6469</v>
      </c>
      <c r="E796" s="14" t="s">
        <v>2774</v>
      </c>
      <c r="F796" s="15"/>
      <c r="G796" s="14"/>
      <c r="H796" s="15"/>
      <c r="I796" s="15"/>
      <c r="J796" s="14" t="str">
        <f t="shared" si="13"/>
        <v/>
      </c>
      <c r="K796" s="19"/>
      <c r="L796" s="20"/>
      <c r="M796" s="21"/>
      <c r="N796" s="15"/>
      <c r="O796" s="15"/>
      <c r="P796" s="15"/>
      <c r="Q796" s="14" t="s">
        <v>3601</v>
      </c>
    </row>
    <row r="797" spans="4:17" x14ac:dyDescent="0.25">
      <c r="D797" s="15" t="s">
        <v>6470</v>
      </c>
      <c r="E797" s="14" t="s">
        <v>2774</v>
      </c>
      <c r="F797" s="15"/>
      <c r="G797" s="14"/>
      <c r="H797" s="15"/>
      <c r="I797" s="15"/>
      <c r="J797" s="14" t="str">
        <f t="shared" si="13"/>
        <v/>
      </c>
      <c r="K797" s="19"/>
      <c r="L797" s="20"/>
      <c r="M797" s="21"/>
      <c r="N797" s="15"/>
      <c r="O797" s="15"/>
      <c r="P797" s="15"/>
      <c r="Q797" s="14" t="s">
        <v>3602</v>
      </c>
    </row>
    <row r="798" spans="4:17" x14ac:dyDescent="0.25">
      <c r="D798" s="15" t="s">
        <v>6471</v>
      </c>
      <c r="E798" s="14" t="s">
        <v>2774</v>
      </c>
      <c r="F798" s="15"/>
      <c r="G798" s="14"/>
      <c r="H798" s="15"/>
      <c r="I798" s="15"/>
      <c r="J798" s="14" t="str">
        <f t="shared" si="13"/>
        <v/>
      </c>
      <c r="K798" s="19"/>
      <c r="L798" s="20"/>
      <c r="M798" s="21"/>
      <c r="N798" s="15"/>
      <c r="O798" s="15"/>
      <c r="P798" s="15"/>
      <c r="Q798" s="14" t="s">
        <v>3603</v>
      </c>
    </row>
    <row r="799" spans="4:17" x14ac:dyDescent="0.25">
      <c r="D799" s="15" t="s">
        <v>6472</v>
      </c>
      <c r="E799" s="14" t="s">
        <v>2774</v>
      </c>
      <c r="F799" s="15"/>
      <c r="G799" s="14"/>
      <c r="H799" s="15"/>
      <c r="I799" s="15"/>
      <c r="J799" s="14" t="str">
        <f t="shared" si="13"/>
        <v/>
      </c>
      <c r="K799" s="19"/>
      <c r="L799" s="20"/>
      <c r="M799" s="21"/>
      <c r="N799" s="15"/>
      <c r="O799" s="15"/>
      <c r="P799" s="15"/>
      <c r="Q799" s="14" t="s">
        <v>3604</v>
      </c>
    </row>
    <row r="800" spans="4:17" x14ac:dyDescent="0.25">
      <c r="D800" s="15" t="s">
        <v>6473</v>
      </c>
      <c r="E800" s="14" t="s">
        <v>2774</v>
      </c>
      <c r="F800" s="15"/>
      <c r="G800" s="14"/>
      <c r="H800" s="15"/>
      <c r="I800" s="15"/>
      <c r="J800" s="14" t="str">
        <f t="shared" si="13"/>
        <v/>
      </c>
      <c r="K800" s="19"/>
      <c r="L800" s="20"/>
      <c r="M800" s="21"/>
      <c r="N800" s="15"/>
      <c r="O800" s="15"/>
      <c r="P800" s="15"/>
      <c r="Q800" s="14" t="s">
        <v>3605</v>
      </c>
    </row>
    <row r="801" spans="4:17" x14ac:dyDescent="0.25">
      <c r="D801" s="15" t="s">
        <v>6474</v>
      </c>
      <c r="E801" s="14" t="s">
        <v>2774</v>
      </c>
      <c r="F801" s="15"/>
      <c r="G801" s="14"/>
      <c r="H801" s="15"/>
      <c r="I801" s="15"/>
      <c r="J801" s="14" t="str">
        <f t="shared" si="13"/>
        <v/>
      </c>
      <c r="K801" s="19"/>
      <c r="L801" s="20"/>
      <c r="M801" s="21"/>
      <c r="N801" s="15"/>
      <c r="O801" s="15"/>
      <c r="P801" s="15"/>
      <c r="Q801" s="14" t="s">
        <v>3606</v>
      </c>
    </row>
    <row r="802" spans="4:17" x14ac:dyDescent="0.25">
      <c r="D802" s="15" t="s">
        <v>6475</v>
      </c>
      <c r="E802" s="14" t="s">
        <v>2774</v>
      </c>
      <c r="F802" s="15"/>
      <c r="G802" s="14"/>
      <c r="H802" s="15"/>
      <c r="I802" s="15"/>
      <c r="J802" s="14" t="str">
        <f t="shared" si="13"/>
        <v/>
      </c>
      <c r="K802" s="19"/>
      <c r="L802" s="20"/>
      <c r="M802" s="21"/>
      <c r="N802" s="15"/>
      <c r="O802" s="15"/>
      <c r="P802" s="15"/>
      <c r="Q802" s="14" t="s">
        <v>3607</v>
      </c>
    </row>
    <row r="803" spans="4:17" x14ac:dyDescent="0.25">
      <c r="D803" s="15" t="s">
        <v>6476</v>
      </c>
      <c r="E803" s="14" t="s">
        <v>2774</v>
      </c>
      <c r="F803" s="15"/>
      <c r="G803" s="14"/>
      <c r="H803" s="15"/>
      <c r="I803" s="15"/>
      <c r="J803" s="14" t="str">
        <f t="shared" si="13"/>
        <v/>
      </c>
      <c r="K803" s="19"/>
      <c r="L803" s="20"/>
      <c r="M803" s="21"/>
      <c r="N803" s="15"/>
      <c r="O803" s="15"/>
      <c r="P803" s="15"/>
      <c r="Q803" s="14" t="s">
        <v>3608</v>
      </c>
    </row>
    <row r="804" spans="4:17" x14ac:dyDescent="0.25">
      <c r="D804" s="15" t="s">
        <v>6477</v>
      </c>
      <c r="E804" s="14" t="s">
        <v>2774</v>
      </c>
      <c r="F804" s="15"/>
      <c r="G804" s="14"/>
      <c r="H804" s="15"/>
      <c r="I804" s="15"/>
      <c r="J804" s="14" t="str">
        <f t="shared" si="13"/>
        <v/>
      </c>
      <c r="K804" s="19"/>
      <c r="L804" s="20"/>
      <c r="M804" s="21"/>
      <c r="N804" s="15"/>
      <c r="O804" s="15"/>
      <c r="P804" s="15"/>
      <c r="Q804" s="14" t="s">
        <v>3609</v>
      </c>
    </row>
    <row r="805" spans="4:17" x14ac:dyDescent="0.25">
      <c r="D805" s="15" t="s">
        <v>6478</v>
      </c>
      <c r="E805" s="14" t="s">
        <v>2774</v>
      </c>
      <c r="F805" s="15"/>
      <c r="G805" s="14"/>
      <c r="H805" s="15"/>
      <c r="I805" s="15"/>
      <c r="J805" s="14" t="str">
        <f t="shared" si="13"/>
        <v/>
      </c>
      <c r="K805" s="19"/>
      <c r="L805" s="20"/>
      <c r="M805" s="21"/>
      <c r="N805" s="15"/>
      <c r="O805" s="15"/>
      <c r="P805" s="15"/>
      <c r="Q805" s="14" t="s">
        <v>3610</v>
      </c>
    </row>
    <row r="806" spans="4:17" x14ac:dyDescent="0.25">
      <c r="D806" s="15" t="s">
        <v>6479</v>
      </c>
      <c r="E806" s="14" t="s">
        <v>2774</v>
      </c>
      <c r="F806" s="15"/>
      <c r="G806" s="14"/>
      <c r="H806" s="15"/>
      <c r="I806" s="15"/>
      <c r="J806" s="14" t="str">
        <f t="shared" si="13"/>
        <v/>
      </c>
      <c r="K806" s="19"/>
      <c r="L806" s="20"/>
      <c r="M806" s="21"/>
      <c r="N806" s="15"/>
      <c r="O806" s="15"/>
      <c r="P806" s="15"/>
      <c r="Q806" s="14" t="s">
        <v>3611</v>
      </c>
    </row>
    <row r="807" spans="4:17" x14ac:dyDescent="0.25">
      <c r="D807" s="15" t="s">
        <v>6480</v>
      </c>
      <c r="E807" s="14" t="s">
        <v>2774</v>
      </c>
      <c r="F807" s="15"/>
      <c r="G807" s="14"/>
      <c r="H807" s="15"/>
      <c r="I807" s="15"/>
      <c r="J807" s="14" t="str">
        <f t="shared" si="13"/>
        <v/>
      </c>
      <c r="K807" s="19"/>
      <c r="L807" s="20"/>
      <c r="M807" s="21"/>
      <c r="N807" s="15"/>
      <c r="O807" s="15"/>
      <c r="P807" s="15"/>
      <c r="Q807" s="14" t="s">
        <v>3612</v>
      </c>
    </row>
    <row r="808" spans="4:17" x14ac:dyDescent="0.25">
      <c r="D808" s="15" t="s">
        <v>6481</v>
      </c>
      <c r="E808" s="14" t="s">
        <v>2774</v>
      </c>
      <c r="F808" s="15"/>
      <c r="G808" s="14"/>
      <c r="H808" s="15"/>
      <c r="I808" s="15"/>
      <c r="J808" s="14" t="str">
        <f t="shared" si="13"/>
        <v/>
      </c>
      <c r="K808" s="19"/>
      <c r="L808" s="20"/>
      <c r="M808" s="21"/>
      <c r="N808" s="15"/>
      <c r="O808" s="15"/>
      <c r="P808" s="15"/>
      <c r="Q808" s="14" t="s">
        <v>3613</v>
      </c>
    </row>
    <row r="809" spans="4:17" x14ac:dyDescent="0.25">
      <c r="D809" s="15" t="s">
        <v>6482</v>
      </c>
      <c r="E809" s="14" t="s">
        <v>2774</v>
      </c>
      <c r="F809" s="15"/>
      <c r="G809" s="14"/>
      <c r="H809" s="15"/>
      <c r="I809" s="15"/>
      <c r="J809" s="14" t="str">
        <f t="shared" si="13"/>
        <v/>
      </c>
      <c r="K809" s="19"/>
      <c r="L809" s="20"/>
      <c r="M809" s="21"/>
      <c r="N809" s="15"/>
      <c r="O809" s="15"/>
      <c r="P809" s="15"/>
      <c r="Q809" s="14" t="s">
        <v>3614</v>
      </c>
    </row>
    <row r="810" spans="4:17" x14ac:dyDescent="0.25">
      <c r="D810" s="15" t="s">
        <v>6483</v>
      </c>
      <c r="E810" s="14" t="s">
        <v>2774</v>
      </c>
      <c r="F810" s="15"/>
      <c r="G810" s="14"/>
      <c r="H810" s="15"/>
      <c r="I810" s="15"/>
      <c r="J810" s="14" t="str">
        <f t="shared" si="13"/>
        <v/>
      </c>
      <c r="K810" s="19"/>
      <c r="L810" s="20"/>
      <c r="M810" s="21"/>
      <c r="N810" s="15"/>
      <c r="O810" s="15"/>
      <c r="P810" s="15"/>
      <c r="Q810" s="14" t="s">
        <v>3615</v>
      </c>
    </row>
    <row r="811" spans="4:17" x14ac:dyDescent="0.25">
      <c r="D811" s="15" t="s">
        <v>6484</v>
      </c>
      <c r="E811" s="14" t="s">
        <v>2774</v>
      </c>
      <c r="F811" s="15"/>
      <c r="G811" s="14"/>
      <c r="H811" s="15"/>
      <c r="I811" s="15"/>
      <c r="J811" s="14" t="str">
        <f t="shared" si="13"/>
        <v/>
      </c>
      <c r="K811" s="19"/>
      <c r="L811" s="20"/>
      <c r="M811" s="21"/>
      <c r="N811" s="15"/>
      <c r="O811" s="15"/>
      <c r="P811" s="15"/>
      <c r="Q811" s="14" t="s">
        <v>3616</v>
      </c>
    </row>
    <row r="812" spans="4:17" x14ac:dyDescent="0.25">
      <c r="D812" s="15" t="s">
        <v>6485</v>
      </c>
      <c r="E812" s="14" t="s">
        <v>2774</v>
      </c>
      <c r="F812" s="15"/>
      <c r="G812" s="14"/>
      <c r="H812" s="15"/>
      <c r="I812" s="15"/>
      <c r="J812" s="14" t="str">
        <f t="shared" si="13"/>
        <v/>
      </c>
      <c r="K812" s="19"/>
      <c r="L812" s="20"/>
      <c r="M812" s="21"/>
      <c r="N812" s="15"/>
      <c r="O812" s="15"/>
      <c r="P812" s="15"/>
      <c r="Q812" s="14" t="s">
        <v>3617</v>
      </c>
    </row>
    <row r="813" spans="4:17" x14ac:dyDescent="0.25">
      <c r="D813" s="15" t="s">
        <v>6486</v>
      </c>
      <c r="E813" s="14" t="s">
        <v>2774</v>
      </c>
      <c r="F813" s="15"/>
      <c r="G813" s="14"/>
      <c r="H813" s="15"/>
      <c r="I813" s="15"/>
      <c r="J813" s="14" t="str">
        <f t="shared" si="13"/>
        <v/>
      </c>
      <c r="K813" s="19"/>
      <c r="L813" s="20"/>
      <c r="M813" s="21"/>
      <c r="N813" s="15"/>
      <c r="O813" s="15"/>
      <c r="P813" s="15"/>
      <c r="Q813" s="14" t="s">
        <v>3618</v>
      </c>
    </row>
    <row r="814" spans="4:17" x14ac:dyDescent="0.25">
      <c r="D814" s="15" t="s">
        <v>6487</v>
      </c>
      <c r="E814" s="14" t="s">
        <v>2774</v>
      </c>
      <c r="F814" s="15"/>
      <c r="G814" s="14"/>
      <c r="H814" s="15"/>
      <c r="I814" s="15"/>
      <c r="J814" s="14" t="str">
        <f t="shared" si="13"/>
        <v/>
      </c>
      <c r="K814" s="19"/>
      <c r="L814" s="20"/>
      <c r="M814" s="21"/>
      <c r="N814" s="15"/>
      <c r="O814" s="15"/>
      <c r="P814" s="15"/>
      <c r="Q814" s="14" t="s">
        <v>3619</v>
      </c>
    </row>
    <row r="815" spans="4:17" x14ac:dyDescent="0.25">
      <c r="D815" s="15" t="s">
        <v>6488</v>
      </c>
      <c r="E815" s="14" t="s">
        <v>2774</v>
      </c>
      <c r="F815" s="15"/>
      <c r="G815" s="14"/>
      <c r="H815" s="15"/>
      <c r="I815" s="15"/>
      <c r="J815" s="14" t="str">
        <f t="shared" si="13"/>
        <v/>
      </c>
      <c r="K815" s="19"/>
      <c r="L815" s="20"/>
      <c r="M815" s="21"/>
      <c r="N815" s="15"/>
      <c r="O815" s="15"/>
      <c r="P815" s="15"/>
      <c r="Q815" s="14" t="s">
        <v>3620</v>
      </c>
    </row>
    <row r="816" spans="4:17" x14ac:dyDescent="0.25">
      <c r="D816" s="15" t="s">
        <v>6489</v>
      </c>
      <c r="E816" s="14" t="s">
        <v>2781</v>
      </c>
      <c r="F816" s="15"/>
      <c r="G816" s="14"/>
      <c r="H816" s="15"/>
      <c r="I816" s="15"/>
      <c r="J816" s="14" t="str">
        <f t="shared" si="13"/>
        <v/>
      </c>
      <c r="K816" s="19"/>
      <c r="L816" s="20"/>
      <c r="M816" s="21"/>
      <c r="N816" s="15"/>
      <c r="O816" s="15"/>
      <c r="P816" s="15"/>
      <c r="Q816" s="14" t="s">
        <v>3621</v>
      </c>
    </row>
    <row r="817" spans="4:17" x14ac:dyDescent="0.25">
      <c r="D817" s="15" t="s">
        <v>6490</v>
      </c>
      <c r="E817" s="14" t="s">
        <v>2781</v>
      </c>
      <c r="F817" s="15"/>
      <c r="G817" s="14"/>
      <c r="H817" s="15"/>
      <c r="I817" s="15"/>
      <c r="J817" s="14" t="str">
        <f t="shared" si="13"/>
        <v/>
      </c>
      <c r="K817" s="19"/>
      <c r="L817" s="20"/>
      <c r="M817" s="21"/>
      <c r="N817" s="15"/>
      <c r="O817" s="15"/>
      <c r="P817" s="15"/>
      <c r="Q817" s="14" t="s">
        <v>3622</v>
      </c>
    </row>
    <row r="818" spans="4:17" x14ac:dyDescent="0.25">
      <c r="D818" s="15" t="s">
        <v>6491</v>
      </c>
      <c r="E818" s="14" t="s">
        <v>2781</v>
      </c>
      <c r="F818" s="15"/>
      <c r="G818" s="14"/>
      <c r="H818" s="15"/>
      <c r="I818" s="15"/>
      <c r="J818" s="14" t="str">
        <f t="shared" si="13"/>
        <v/>
      </c>
      <c r="K818" s="19"/>
      <c r="L818" s="20"/>
      <c r="M818" s="21"/>
      <c r="N818" s="15"/>
      <c r="O818" s="15"/>
      <c r="P818" s="15"/>
      <c r="Q818" s="14" t="s">
        <v>3623</v>
      </c>
    </row>
    <row r="819" spans="4:17" x14ac:dyDescent="0.25">
      <c r="D819" s="15" t="s">
        <v>6492</v>
      </c>
      <c r="E819" s="14" t="s">
        <v>2781</v>
      </c>
      <c r="F819" s="15"/>
      <c r="G819" s="14"/>
      <c r="H819" s="15"/>
      <c r="I819" s="15"/>
      <c r="J819" s="14" t="str">
        <f t="shared" si="13"/>
        <v/>
      </c>
      <c r="K819" s="19"/>
      <c r="L819" s="20"/>
      <c r="M819" s="21"/>
      <c r="N819" s="15"/>
      <c r="O819" s="15"/>
      <c r="P819" s="15"/>
      <c r="Q819" s="14" t="s">
        <v>3624</v>
      </c>
    </row>
    <row r="820" spans="4:17" x14ac:dyDescent="0.25">
      <c r="D820" s="15" t="s">
        <v>6493</v>
      </c>
      <c r="E820" s="14" t="s">
        <v>2781</v>
      </c>
      <c r="F820" s="15"/>
      <c r="G820" s="14"/>
      <c r="H820" s="15"/>
      <c r="I820" s="15"/>
      <c r="J820" s="14" t="str">
        <f t="shared" si="13"/>
        <v/>
      </c>
      <c r="K820" s="19"/>
      <c r="L820" s="20"/>
      <c r="M820" s="21"/>
      <c r="N820" s="15"/>
      <c r="O820" s="15"/>
      <c r="P820" s="15"/>
      <c r="Q820" s="14" t="s">
        <v>3625</v>
      </c>
    </row>
    <row r="821" spans="4:17" x14ac:dyDescent="0.25">
      <c r="D821" s="15" t="s">
        <v>6494</v>
      </c>
      <c r="E821" s="14" t="s">
        <v>2781</v>
      </c>
      <c r="F821" s="15"/>
      <c r="G821" s="14"/>
      <c r="H821" s="15"/>
      <c r="I821" s="15"/>
      <c r="J821" s="14" t="str">
        <f t="shared" si="13"/>
        <v/>
      </c>
      <c r="K821" s="19"/>
      <c r="L821" s="20"/>
      <c r="M821" s="21"/>
      <c r="N821" s="15"/>
      <c r="O821" s="15"/>
      <c r="P821" s="15"/>
      <c r="Q821" s="14" t="s">
        <v>3626</v>
      </c>
    </row>
    <row r="822" spans="4:17" x14ac:dyDescent="0.25">
      <c r="D822" s="15" t="s">
        <v>6495</v>
      </c>
      <c r="E822" s="14" t="s">
        <v>2781</v>
      </c>
      <c r="F822" s="15"/>
      <c r="G822" s="14"/>
      <c r="H822" s="15"/>
      <c r="I822" s="15"/>
      <c r="J822" s="14" t="str">
        <f t="shared" si="13"/>
        <v/>
      </c>
      <c r="K822" s="19"/>
      <c r="L822" s="20"/>
      <c r="M822" s="21"/>
      <c r="N822" s="15"/>
      <c r="O822" s="15"/>
      <c r="P822" s="15"/>
      <c r="Q822" s="14" t="s">
        <v>3627</v>
      </c>
    </row>
    <row r="823" spans="4:17" x14ac:dyDescent="0.25">
      <c r="D823" s="15" t="s">
        <v>6496</v>
      </c>
      <c r="E823" s="14" t="s">
        <v>2781</v>
      </c>
      <c r="F823" s="15"/>
      <c r="G823" s="14"/>
      <c r="H823" s="15"/>
      <c r="I823" s="15"/>
      <c r="J823" s="14" t="str">
        <f t="shared" si="13"/>
        <v/>
      </c>
      <c r="K823" s="19"/>
      <c r="L823" s="20"/>
      <c r="M823" s="21"/>
      <c r="N823" s="15"/>
      <c r="O823" s="15"/>
      <c r="P823" s="15"/>
      <c r="Q823" s="14" t="s">
        <v>3628</v>
      </c>
    </row>
    <row r="824" spans="4:17" x14ac:dyDescent="0.25">
      <c r="D824" s="15" t="s">
        <v>6497</v>
      </c>
      <c r="E824" s="14" t="s">
        <v>2781</v>
      </c>
      <c r="F824" s="15"/>
      <c r="G824" s="14"/>
      <c r="H824" s="15"/>
      <c r="I824" s="15"/>
      <c r="J824" s="14" t="str">
        <f t="shared" si="13"/>
        <v/>
      </c>
      <c r="K824" s="19"/>
      <c r="L824" s="20"/>
      <c r="M824" s="21"/>
      <c r="N824" s="15"/>
      <c r="O824" s="15"/>
      <c r="P824" s="15"/>
      <c r="Q824" s="14" t="s">
        <v>3629</v>
      </c>
    </row>
    <row r="825" spans="4:17" x14ac:dyDescent="0.25">
      <c r="D825" s="15" t="s">
        <v>6498</v>
      </c>
      <c r="E825" s="14" t="s">
        <v>2781</v>
      </c>
      <c r="F825" s="15"/>
      <c r="G825" s="14"/>
      <c r="H825" s="15"/>
      <c r="I825" s="15"/>
      <c r="J825" s="14" t="str">
        <f t="shared" si="13"/>
        <v/>
      </c>
      <c r="K825" s="19"/>
      <c r="L825" s="20"/>
      <c r="M825" s="21"/>
      <c r="N825" s="15"/>
      <c r="O825" s="15"/>
      <c r="P825" s="15"/>
      <c r="Q825" s="14" t="s">
        <v>3630</v>
      </c>
    </row>
    <row r="826" spans="4:17" x14ac:dyDescent="0.25">
      <c r="D826" s="15" t="s">
        <v>6499</v>
      </c>
      <c r="E826" s="14" t="s">
        <v>2781</v>
      </c>
      <c r="F826" s="15"/>
      <c r="G826" s="14"/>
      <c r="H826" s="15"/>
      <c r="I826" s="15"/>
      <c r="J826" s="14" t="str">
        <f t="shared" si="13"/>
        <v/>
      </c>
      <c r="K826" s="19"/>
      <c r="L826" s="20"/>
      <c r="M826" s="21"/>
      <c r="N826" s="15"/>
      <c r="O826" s="15"/>
      <c r="P826" s="15"/>
      <c r="Q826" s="14" t="s">
        <v>3631</v>
      </c>
    </row>
    <row r="827" spans="4:17" x14ac:dyDescent="0.25">
      <c r="D827" s="15" t="s">
        <v>6500</v>
      </c>
      <c r="E827" s="14" t="s">
        <v>2781</v>
      </c>
      <c r="F827" s="15"/>
      <c r="G827" s="14"/>
      <c r="H827" s="15"/>
      <c r="I827" s="15"/>
      <c r="J827" s="14" t="str">
        <f t="shared" si="13"/>
        <v/>
      </c>
      <c r="K827" s="19"/>
      <c r="L827" s="20"/>
      <c r="M827" s="21"/>
      <c r="N827" s="15"/>
      <c r="O827" s="15"/>
      <c r="P827" s="15"/>
      <c r="Q827" s="14" t="s">
        <v>3632</v>
      </c>
    </row>
    <row r="828" spans="4:17" x14ac:dyDescent="0.25">
      <c r="D828" s="15" t="s">
        <v>6501</v>
      </c>
      <c r="E828" s="14" t="s">
        <v>2781</v>
      </c>
      <c r="F828" s="15"/>
      <c r="G828" s="14"/>
      <c r="H828" s="15"/>
      <c r="I828" s="15"/>
      <c r="J828" s="14" t="str">
        <f t="shared" ref="J828:J891" si="14">F828&amp;H828&amp;I828</f>
        <v/>
      </c>
      <c r="K828" s="19"/>
      <c r="L828" s="20"/>
      <c r="M828" s="21"/>
      <c r="N828" s="15"/>
      <c r="O828" s="15"/>
      <c r="P828" s="15"/>
      <c r="Q828" s="14" t="s">
        <v>3633</v>
      </c>
    </row>
    <row r="829" spans="4:17" x14ac:dyDescent="0.25">
      <c r="D829" s="15" t="s">
        <v>6502</v>
      </c>
      <c r="E829" s="14" t="s">
        <v>2781</v>
      </c>
      <c r="F829" s="15"/>
      <c r="G829" s="14"/>
      <c r="H829" s="15"/>
      <c r="I829" s="15"/>
      <c r="J829" s="14" t="str">
        <f t="shared" si="14"/>
        <v/>
      </c>
      <c r="K829" s="19"/>
      <c r="L829" s="20"/>
      <c r="M829" s="21"/>
      <c r="N829" s="15"/>
      <c r="O829" s="15"/>
      <c r="P829" s="15"/>
      <c r="Q829" s="14" t="s">
        <v>3634</v>
      </c>
    </row>
    <row r="830" spans="4:17" x14ac:dyDescent="0.25">
      <c r="D830" s="15" t="s">
        <v>6503</v>
      </c>
      <c r="E830" s="14" t="s">
        <v>2781</v>
      </c>
      <c r="F830" s="15"/>
      <c r="G830" s="14"/>
      <c r="H830" s="15"/>
      <c r="I830" s="15"/>
      <c r="J830" s="14" t="str">
        <f t="shared" si="14"/>
        <v/>
      </c>
      <c r="K830" s="19"/>
      <c r="L830" s="20"/>
      <c r="M830" s="21"/>
      <c r="N830" s="15"/>
      <c r="O830" s="15"/>
      <c r="P830" s="15"/>
      <c r="Q830" s="14" t="s">
        <v>3635</v>
      </c>
    </row>
    <row r="831" spans="4:17" x14ac:dyDescent="0.25">
      <c r="D831" s="15" t="s">
        <v>6504</v>
      </c>
      <c r="E831" s="14" t="s">
        <v>2781</v>
      </c>
      <c r="F831" s="15"/>
      <c r="G831" s="14"/>
      <c r="H831" s="15"/>
      <c r="I831" s="15"/>
      <c r="J831" s="14" t="str">
        <f t="shared" si="14"/>
        <v/>
      </c>
      <c r="K831" s="19"/>
      <c r="L831" s="20"/>
      <c r="M831" s="21"/>
      <c r="N831" s="15"/>
      <c r="O831" s="15"/>
      <c r="P831" s="15"/>
      <c r="Q831" s="14" t="s">
        <v>3636</v>
      </c>
    </row>
    <row r="832" spans="4:17" x14ac:dyDescent="0.25">
      <c r="D832" s="15" t="s">
        <v>6505</v>
      </c>
      <c r="E832" s="14" t="s">
        <v>2781</v>
      </c>
      <c r="F832" s="15"/>
      <c r="G832" s="14"/>
      <c r="H832" s="15"/>
      <c r="I832" s="15"/>
      <c r="J832" s="14" t="str">
        <f t="shared" si="14"/>
        <v/>
      </c>
      <c r="K832" s="19"/>
      <c r="L832" s="20"/>
      <c r="M832" s="21"/>
      <c r="N832" s="15"/>
      <c r="O832" s="15"/>
      <c r="P832" s="15"/>
      <c r="Q832" s="14" t="s">
        <v>3637</v>
      </c>
    </row>
    <row r="833" spans="4:17" x14ac:dyDescent="0.25">
      <c r="D833" s="15" t="s">
        <v>6506</v>
      </c>
      <c r="E833" s="14" t="s">
        <v>2781</v>
      </c>
      <c r="F833" s="15"/>
      <c r="G833" s="14"/>
      <c r="H833" s="15"/>
      <c r="I833" s="15"/>
      <c r="J833" s="14" t="str">
        <f t="shared" si="14"/>
        <v/>
      </c>
      <c r="K833" s="19"/>
      <c r="L833" s="20"/>
      <c r="M833" s="21"/>
      <c r="N833" s="15"/>
      <c r="O833" s="15"/>
      <c r="P833" s="15"/>
      <c r="Q833" s="14" t="s">
        <v>3638</v>
      </c>
    </row>
    <row r="834" spans="4:17" x14ac:dyDescent="0.25">
      <c r="D834" s="15" t="s">
        <v>6507</v>
      </c>
      <c r="E834" s="14" t="s">
        <v>2781</v>
      </c>
      <c r="F834" s="15"/>
      <c r="G834" s="14"/>
      <c r="H834" s="15"/>
      <c r="I834" s="15"/>
      <c r="J834" s="14" t="str">
        <f t="shared" si="14"/>
        <v/>
      </c>
      <c r="K834" s="19"/>
      <c r="L834" s="20"/>
      <c r="M834" s="21"/>
      <c r="N834" s="15"/>
      <c r="O834" s="15"/>
      <c r="P834" s="15"/>
      <c r="Q834" s="14" t="s">
        <v>3639</v>
      </c>
    </row>
    <row r="835" spans="4:17" x14ac:dyDescent="0.25">
      <c r="D835" s="15" t="s">
        <v>6508</v>
      </c>
      <c r="E835" s="14" t="s">
        <v>2781</v>
      </c>
      <c r="F835" s="15"/>
      <c r="G835" s="14"/>
      <c r="H835" s="15"/>
      <c r="I835" s="15"/>
      <c r="J835" s="14" t="str">
        <f t="shared" si="14"/>
        <v/>
      </c>
      <c r="K835" s="19"/>
      <c r="L835" s="20"/>
      <c r="M835" s="21"/>
      <c r="N835" s="15"/>
      <c r="O835" s="15"/>
      <c r="P835" s="15"/>
      <c r="Q835" s="14" t="s">
        <v>3640</v>
      </c>
    </row>
    <row r="836" spans="4:17" x14ac:dyDescent="0.25">
      <c r="D836" s="15" t="s">
        <v>6509</v>
      </c>
      <c r="E836" s="14" t="s">
        <v>2788</v>
      </c>
      <c r="F836" s="15"/>
      <c r="G836" s="14"/>
      <c r="H836" s="15"/>
      <c r="I836" s="15"/>
      <c r="J836" s="14" t="str">
        <f t="shared" si="14"/>
        <v/>
      </c>
      <c r="K836" s="19"/>
      <c r="L836" s="20"/>
      <c r="M836" s="21"/>
      <c r="N836" s="15"/>
      <c r="O836" s="15"/>
      <c r="P836" s="15"/>
      <c r="Q836" s="14" t="s">
        <v>3641</v>
      </c>
    </row>
    <row r="837" spans="4:17" x14ac:dyDescent="0.25">
      <c r="D837" s="15" t="s">
        <v>6510</v>
      </c>
      <c r="E837" s="14" t="s">
        <v>2788</v>
      </c>
      <c r="F837" s="15"/>
      <c r="G837" s="14"/>
      <c r="H837" s="15"/>
      <c r="I837" s="15"/>
      <c r="J837" s="14" t="str">
        <f t="shared" si="14"/>
        <v/>
      </c>
      <c r="K837" s="19"/>
      <c r="L837" s="20"/>
      <c r="M837" s="21"/>
      <c r="N837" s="15"/>
      <c r="O837" s="15"/>
      <c r="P837" s="15"/>
      <c r="Q837" s="14" t="s">
        <v>3642</v>
      </c>
    </row>
    <row r="838" spans="4:17" x14ac:dyDescent="0.25">
      <c r="D838" s="15" t="s">
        <v>6511</v>
      </c>
      <c r="E838" s="14" t="s">
        <v>2788</v>
      </c>
      <c r="F838" s="15"/>
      <c r="G838" s="14"/>
      <c r="H838" s="15"/>
      <c r="I838" s="15"/>
      <c r="J838" s="14" t="str">
        <f t="shared" si="14"/>
        <v/>
      </c>
      <c r="K838" s="19"/>
      <c r="L838" s="20"/>
      <c r="M838" s="21"/>
      <c r="N838" s="15"/>
      <c r="O838" s="15"/>
      <c r="P838" s="15"/>
      <c r="Q838" s="14" t="s">
        <v>3643</v>
      </c>
    </row>
    <row r="839" spans="4:17" x14ac:dyDescent="0.25">
      <c r="D839" s="15" t="s">
        <v>6512</v>
      </c>
      <c r="E839" s="14" t="s">
        <v>2788</v>
      </c>
      <c r="F839" s="15"/>
      <c r="G839" s="14"/>
      <c r="H839" s="15"/>
      <c r="I839" s="15"/>
      <c r="J839" s="14" t="str">
        <f t="shared" si="14"/>
        <v/>
      </c>
      <c r="K839" s="19"/>
      <c r="L839" s="20"/>
      <c r="M839" s="21"/>
      <c r="N839" s="15"/>
      <c r="O839" s="15"/>
      <c r="P839" s="15"/>
      <c r="Q839" s="14" t="s">
        <v>3644</v>
      </c>
    </row>
    <row r="840" spans="4:17" x14ac:dyDescent="0.25">
      <c r="D840" s="15" t="s">
        <v>6513</v>
      </c>
      <c r="E840" s="14" t="s">
        <v>2788</v>
      </c>
      <c r="F840" s="15"/>
      <c r="G840" s="14"/>
      <c r="H840" s="15"/>
      <c r="I840" s="15"/>
      <c r="J840" s="14" t="str">
        <f t="shared" si="14"/>
        <v/>
      </c>
      <c r="K840" s="19"/>
      <c r="L840" s="20"/>
      <c r="M840" s="21"/>
      <c r="N840" s="15"/>
      <c r="O840" s="15"/>
      <c r="P840" s="15"/>
      <c r="Q840" s="14" t="s">
        <v>3645</v>
      </c>
    </row>
    <row r="841" spans="4:17" x14ac:dyDescent="0.25">
      <c r="D841" s="15" t="s">
        <v>6514</v>
      </c>
      <c r="E841" s="14" t="s">
        <v>2788</v>
      </c>
      <c r="F841" s="15"/>
      <c r="G841" s="14"/>
      <c r="H841" s="15"/>
      <c r="I841" s="15"/>
      <c r="J841" s="14" t="str">
        <f t="shared" si="14"/>
        <v/>
      </c>
      <c r="K841" s="19"/>
      <c r="L841" s="20"/>
      <c r="M841" s="21"/>
      <c r="N841" s="15"/>
      <c r="O841" s="15"/>
      <c r="P841" s="15"/>
      <c r="Q841" s="14" t="s">
        <v>3646</v>
      </c>
    </row>
    <row r="842" spans="4:17" x14ac:dyDescent="0.25">
      <c r="D842" s="15" t="s">
        <v>6515</v>
      </c>
      <c r="E842" s="14" t="s">
        <v>2788</v>
      </c>
      <c r="F842" s="15"/>
      <c r="G842" s="14"/>
      <c r="H842" s="15"/>
      <c r="I842" s="15"/>
      <c r="J842" s="14" t="str">
        <f t="shared" si="14"/>
        <v/>
      </c>
      <c r="K842" s="19"/>
      <c r="L842" s="20"/>
      <c r="M842" s="21"/>
      <c r="N842" s="15"/>
      <c r="O842" s="15"/>
      <c r="P842" s="15"/>
      <c r="Q842" s="14" t="s">
        <v>3647</v>
      </c>
    </row>
    <row r="843" spans="4:17" x14ac:dyDescent="0.25">
      <c r="D843" s="15" t="s">
        <v>6516</v>
      </c>
      <c r="E843" s="14" t="s">
        <v>2788</v>
      </c>
      <c r="F843" s="15"/>
      <c r="G843" s="14"/>
      <c r="H843" s="15"/>
      <c r="I843" s="15"/>
      <c r="J843" s="14" t="str">
        <f t="shared" si="14"/>
        <v/>
      </c>
      <c r="K843" s="19"/>
      <c r="L843" s="20"/>
      <c r="M843" s="21"/>
      <c r="N843" s="15"/>
      <c r="O843" s="15"/>
      <c r="P843" s="15"/>
      <c r="Q843" s="14" t="s">
        <v>3648</v>
      </c>
    </row>
    <row r="844" spans="4:17" x14ac:dyDescent="0.25">
      <c r="D844" s="15" t="s">
        <v>6517</v>
      </c>
      <c r="E844" s="14" t="s">
        <v>2788</v>
      </c>
      <c r="F844" s="15"/>
      <c r="G844" s="14"/>
      <c r="H844" s="15"/>
      <c r="I844" s="15"/>
      <c r="J844" s="14" t="str">
        <f t="shared" si="14"/>
        <v/>
      </c>
      <c r="K844" s="19"/>
      <c r="L844" s="20"/>
      <c r="M844" s="21"/>
      <c r="N844" s="15"/>
      <c r="O844" s="15"/>
      <c r="P844" s="15"/>
      <c r="Q844" s="14" t="s">
        <v>3649</v>
      </c>
    </row>
    <row r="845" spans="4:17" x14ac:dyDescent="0.25">
      <c r="D845" s="15" t="s">
        <v>6518</v>
      </c>
      <c r="E845" s="14" t="s">
        <v>2788</v>
      </c>
      <c r="F845" s="15"/>
      <c r="G845" s="14"/>
      <c r="H845" s="15"/>
      <c r="I845" s="15"/>
      <c r="J845" s="14" t="str">
        <f t="shared" si="14"/>
        <v/>
      </c>
      <c r="K845" s="19"/>
      <c r="L845" s="20"/>
      <c r="M845" s="21"/>
      <c r="N845" s="15"/>
      <c r="O845" s="15"/>
      <c r="P845" s="15"/>
      <c r="Q845" s="14" t="s">
        <v>3650</v>
      </c>
    </row>
    <row r="846" spans="4:17" x14ac:dyDescent="0.25">
      <c r="D846" s="15" t="s">
        <v>6519</v>
      </c>
      <c r="E846" s="14" t="s">
        <v>2788</v>
      </c>
      <c r="F846" s="15"/>
      <c r="G846" s="14"/>
      <c r="H846" s="15"/>
      <c r="I846" s="15"/>
      <c r="J846" s="14" t="str">
        <f t="shared" si="14"/>
        <v/>
      </c>
      <c r="K846" s="19"/>
      <c r="L846" s="20"/>
      <c r="M846" s="21"/>
      <c r="N846" s="15"/>
      <c r="O846" s="15"/>
      <c r="P846" s="15"/>
      <c r="Q846" s="14" t="s">
        <v>3651</v>
      </c>
    </row>
    <row r="847" spans="4:17" x14ac:dyDescent="0.25">
      <c r="D847" s="15" t="s">
        <v>6520</v>
      </c>
      <c r="E847" s="14" t="s">
        <v>2788</v>
      </c>
      <c r="F847" s="15"/>
      <c r="G847" s="14"/>
      <c r="H847" s="15"/>
      <c r="I847" s="15"/>
      <c r="J847" s="14" t="str">
        <f t="shared" si="14"/>
        <v/>
      </c>
      <c r="K847" s="19"/>
      <c r="L847" s="20"/>
      <c r="M847" s="21"/>
      <c r="N847" s="15"/>
      <c r="O847" s="15"/>
      <c r="P847" s="15"/>
      <c r="Q847" s="14" t="s">
        <v>3652</v>
      </c>
    </row>
    <row r="848" spans="4:17" x14ac:dyDescent="0.25">
      <c r="D848" s="15" t="s">
        <v>6521</v>
      </c>
      <c r="E848" s="14" t="s">
        <v>2788</v>
      </c>
      <c r="F848" s="15"/>
      <c r="G848" s="14"/>
      <c r="H848" s="15"/>
      <c r="I848" s="15"/>
      <c r="J848" s="14" t="str">
        <f t="shared" si="14"/>
        <v/>
      </c>
      <c r="K848" s="19"/>
      <c r="L848" s="20"/>
      <c r="M848" s="21"/>
      <c r="N848" s="15"/>
      <c r="O848" s="15"/>
      <c r="P848" s="15"/>
      <c r="Q848" s="14" t="s">
        <v>3653</v>
      </c>
    </row>
    <row r="849" spans="4:17" x14ac:dyDescent="0.25">
      <c r="D849" s="15" t="s">
        <v>6522</v>
      </c>
      <c r="E849" s="14" t="s">
        <v>2788</v>
      </c>
      <c r="F849" s="15"/>
      <c r="G849" s="14"/>
      <c r="H849" s="15"/>
      <c r="I849" s="15"/>
      <c r="J849" s="14" t="str">
        <f t="shared" si="14"/>
        <v/>
      </c>
      <c r="K849" s="19"/>
      <c r="L849" s="20"/>
      <c r="M849" s="21"/>
      <c r="N849" s="15"/>
      <c r="O849" s="15"/>
      <c r="P849" s="15"/>
      <c r="Q849" s="14" t="s">
        <v>3654</v>
      </c>
    </row>
    <row r="850" spans="4:17" x14ac:dyDescent="0.25">
      <c r="D850" s="15" t="s">
        <v>6523</v>
      </c>
      <c r="E850" s="14" t="s">
        <v>2788</v>
      </c>
      <c r="F850" s="15"/>
      <c r="G850" s="14"/>
      <c r="H850" s="15"/>
      <c r="I850" s="15"/>
      <c r="J850" s="14" t="str">
        <f t="shared" si="14"/>
        <v/>
      </c>
      <c r="K850" s="19"/>
      <c r="L850" s="20"/>
      <c r="M850" s="21"/>
      <c r="N850" s="15"/>
      <c r="O850" s="15"/>
      <c r="P850" s="15"/>
      <c r="Q850" s="14" t="s">
        <v>3655</v>
      </c>
    </row>
    <row r="851" spans="4:17" x14ac:dyDescent="0.25">
      <c r="D851" s="15" t="s">
        <v>6524</v>
      </c>
      <c r="E851" s="14" t="s">
        <v>2788</v>
      </c>
      <c r="F851" s="15"/>
      <c r="G851" s="14"/>
      <c r="H851" s="15"/>
      <c r="I851" s="15"/>
      <c r="J851" s="14" t="str">
        <f t="shared" si="14"/>
        <v/>
      </c>
      <c r="K851" s="19"/>
      <c r="L851" s="20"/>
      <c r="M851" s="21"/>
      <c r="N851" s="15"/>
      <c r="O851" s="15"/>
      <c r="P851" s="15"/>
      <c r="Q851" s="14" t="s">
        <v>3656</v>
      </c>
    </row>
    <row r="852" spans="4:17" x14ac:dyDescent="0.25">
      <c r="D852" s="15" t="s">
        <v>6525</v>
      </c>
      <c r="E852" s="14" t="s">
        <v>2788</v>
      </c>
      <c r="F852" s="15"/>
      <c r="G852" s="14"/>
      <c r="H852" s="15"/>
      <c r="I852" s="15"/>
      <c r="J852" s="14" t="str">
        <f t="shared" si="14"/>
        <v/>
      </c>
      <c r="K852" s="19"/>
      <c r="L852" s="20"/>
      <c r="M852" s="21"/>
      <c r="N852" s="15"/>
      <c r="O852" s="15"/>
      <c r="P852" s="15"/>
      <c r="Q852" s="14" t="s">
        <v>3657</v>
      </c>
    </row>
    <row r="853" spans="4:17" x14ac:dyDescent="0.25">
      <c r="D853" s="15" t="s">
        <v>6526</v>
      </c>
      <c r="E853" s="14" t="s">
        <v>2788</v>
      </c>
      <c r="F853" s="15"/>
      <c r="G853" s="14"/>
      <c r="H853" s="15"/>
      <c r="I853" s="15"/>
      <c r="J853" s="14" t="str">
        <f t="shared" si="14"/>
        <v/>
      </c>
      <c r="K853" s="19"/>
      <c r="L853" s="20"/>
      <c r="M853" s="21"/>
      <c r="N853" s="15"/>
      <c r="O853" s="15"/>
      <c r="P853" s="15"/>
      <c r="Q853" s="14" t="s">
        <v>3658</v>
      </c>
    </row>
    <row r="854" spans="4:17" x14ac:dyDescent="0.25">
      <c r="D854" s="15" t="s">
        <v>6527</v>
      </c>
      <c r="E854" s="14" t="s">
        <v>2788</v>
      </c>
      <c r="F854" s="15"/>
      <c r="G854" s="14"/>
      <c r="H854" s="15"/>
      <c r="I854" s="15"/>
      <c r="J854" s="14" t="str">
        <f t="shared" si="14"/>
        <v/>
      </c>
      <c r="K854" s="19"/>
      <c r="L854" s="20"/>
      <c r="M854" s="21"/>
      <c r="N854" s="15"/>
      <c r="O854" s="15"/>
      <c r="P854" s="15"/>
      <c r="Q854" s="14" t="s">
        <v>3659</v>
      </c>
    </row>
    <row r="855" spans="4:17" x14ac:dyDescent="0.25">
      <c r="D855" s="15" t="s">
        <v>6528</v>
      </c>
      <c r="E855" s="14" t="s">
        <v>2788</v>
      </c>
      <c r="F855" s="15"/>
      <c r="G855" s="14"/>
      <c r="H855" s="15"/>
      <c r="I855" s="15"/>
      <c r="J855" s="14" t="str">
        <f t="shared" si="14"/>
        <v/>
      </c>
      <c r="K855" s="19"/>
      <c r="L855" s="20"/>
      <c r="M855" s="21"/>
      <c r="N855" s="15"/>
      <c r="O855" s="15"/>
      <c r="P855" s="15"/>
      <c r="Q855" s="14" t="s">
        <v>3660</v>
      </c>
    </row>
    <row r="856" spans="4:17" x14ac:dyDescent="0.25">
      <c r="D856" s="15" t="s">
        <v>6529</v>
      </c>
      <c r="E856" s="14" t="s">
        <v>2795</v>
      </c>
      <c r="F856" s="15"/>
      <c r="G856" s="14"/>
      <c r="H856" s="15"/>
      <c r="I856" s="15"/>
      <c r="J856" s="14" t="str">
        <f t="shared" si="14"/>
        <v/>
      </c>
      <c r="K856" s="19"/>
      <c r="L856" s="20"/>
      <c r="M856" s="21"/>
      <c r="N856" s="15"/>
      <c r="O856" s="15"/>
      <c r="P856" s="15"/>
      <c r="Q856" s="14" t="s">
        <v>3661</v>
      </c>
    </row>
    <row r="857" spans="4:17" x14ac:dyDescent="0.25">
      <c r="D857" s="15" t="s">
        <v>6530</v>
      </c>
      <c r="E857" s="14" t="s">
        <v>2795</v>
      </c>
      <c r="F857" s="15"/>
      <c r="G857" s="14"/>
      <c r="H857" s="15"/>
      <c r="I857" s="15"/>
      <c r="J857" s="14" t="str">
        <f t="shared" si="14"/>
        <v/>
      </c>
      <c r="K857" s="19"/>
      <c r="L857" s="20"/>
      <c r="M857" s="21"/>
      <c r="N857" s="15"/>
      <c r="O857" s="15"/>
      <c r="P857" s="15"/>
      <c r="Q857" s="14" t="s">
        <v>3662</v>
      </c>
    </row>
    <row r="858" spans="4:17" x14ac:dyDescent="0.25">
      <c r="D858" s="15" t="s">
        <v>6531</v>
      </c>
      <c r="E858" s="14" t="s">
        <v>2795</v>
      </c>
      <c r="F858" s="15"/>
      <c r="G858" s="14"/>
      <c r="H858" s="15"/>
      <c r="I858" s="15"/>
      <c r="J858" s="14" t="str">
        <f t="shared" si="14"/>
        <v/>
      </c>
      <c r="K858" s="19"/>
      <c r="L858" s="20"/>
      <c r="M858" s="21"/>
      <c r="N858" s="15"/>
      <c r="O858" s="15"/>
      <c r="P858" s="15"/>
      <c r="Q858" s="14" t="s">
        <v>3663</v>
      </c>
    </row>
    <row r="859" spans="4:17" x14ac:dyDescent="0.25">
      <c r="D859" s="15" t="s">
        <v>6532</v>
      </c>
      <c r="E859" s="14" t="s">
        <v>2795</v>
      </c>
      <c r="F859" s="15"/>
      <c r="G859" s="14"/>
      <c r="H859" s="15"/>
      <c r="I859" s="15"/>
      <c r="J859" s="14" t="str">
        <f t="shared" si="14"/>
        <v/>
      </c>
      <c r="K859" s="19"/>
      <c r="L859" s="20"/>
      <c r="M859" s="21"/>
      <c r="N859" s="15"/>
      <c r="O859" s="15"/>
      <c r="P859" s="15"/>
      <c r="Q859" s="14" t="s">
        <v>3664</v>
      </c>
    </row>
    <row r="860" spans="4:17" x14ac:dyDescent="0.25">
      <c r="D860" s="15" t="s">
        <v>6533</v>
      </c>
      <c r="E860" s="14" t="s">
        <v>2795</v>
      </c>
      <c r="F860" s="15"/>
      <c r="G860" s="14"/>
      <c r="H860" s="15"/>
      <c r="I860" s="15"/>
      <c r="J860" s="14" t="str">
        <f t="shared" si="14"/>
        <v/>
      </c>
      <c r="K860" s="19"/>
      <c r="L860" s="20"/>
      <c r="M860" s="21"/>
      <c r="N860" s="15"/>
      <c r="O860" s="15"/>
      <c r="P860" s="15"/>
      <c r="Q860" s="14" t="s">
        <v>3665</v>
      </c>
    </row>
    <row r="861" spans="4:17" x14ac:dyDescent="0.25">
      <c r="D861" s="15" t="s">
        <v>6534</v>
      </c>
      <c r="E861" s="14" t="s">
        <v>2795</v>
      </c>
      <c r="F861" s="15"/>
      <c r="G861" s="14"/>
      <c r="H861" s="15"/>
      <c r="I861" s="15"/>
      <c r="J861" s="14" t="str">
        <f t="shared" si="14"/>
        <v/>
      </c>
      <c r="K861" s="19"/>
      <c r="L861" s="20"/>
      <c r="M861" s="21"/>
      <c r="N861" s="15"/>
      <c r="O861" s="15"/>
      <c r="P861" s="15"/>
      <c r="Q861" s="14" t="s">
        <v>3666</v>
      </c>
    </row>
    <row r="862" spans="4:17" x14ac:dyDescent="0.25">
      <c r="D862" s="15" t="s">
        <v>6535</v>
      </c>
      <c r="E862" s="14" t="s">
        <v>2795</v>
      </c>
      <c r="F862" s="15"/>
      <c r="G862" s="14"/>
      <c r="H862" s="15"/>
      <c r="I862" s="15"/>
      <c r="J862" s="14" t="str">
        <f t="shared" si="14"/>
        <v/>
      </c>
      <c r="K862" s="19"/>
      <c r="L862" s="20"/>
      <c r="M862" s="21"/>
      <c r="N862" s="15"/>
      <c r="O862" s="15"/>
      <c r="P862" s="15"/>
      <c r="Q862" s="14" t="s">
        <v>3667</v>
      </c>
    </row>
    <row r="863" spans="4:17" x14ac:dyDescent="0.25">
      <c r="D863" s="15" t="s">
        <v>6536</v>
      </c>
      <c r="E863" s="14" t="s">
        <v>2795</v>
      </c>
      <c r="F863" s="15"/>
      <c r="G863" s="14"/>
      <c r="H863" s="15"/>
      <c r="I863" s="15"/>
      <c r="J863" s="14" t="str">
        <f t="shared" si="14"/>
        <v/>
      </c>
      <c r="K863" s="19"/>
      <c r="L863" s="20"/>
      <c r="M863" s="21"/>
      <c r="N863" s="15"/>
      <c r="O863" s="15"/>
      <c r="P863" s="15"/>
      <c r="Q863" s="14" t="s">
        <v>3668</v>
      </c>
    </row>
    <row r="864" spans="4:17" x14ac:dyDescent="0.25">
      <c r="D864" s="15" t="s">
        <v>6537</v>
      </c>
      <c r="E864" s="14" t="s">
        <v>2795</v>
      </c>
      <c r="F864" s="15"/>
      <c r="G864" s="14"/>
      <c r="H864" s="15"/>
      <c r="I864" s="15"/>
      <c r="J864" s="14" t="str">
        <f t="shared" si="14"/>
        <v/>
      </c>
      <c r="K864" s="19"/>
      <c r="L864" s="20"/>
      <c r="M864" s="21"/>
      <c r="N864" s="15"/>
      <c r="O864" s="15"/>
      <c r="P864" s="15"/>
      <c r="Q864" s="14" t="s">
        <v>3669</v>
      </c>
    </row>
    <row r="865" spans="4:17" x14ac:dyDescent="0.25">
      <c r="D865" s="15" t="s">
        <v>6538</v>
      </c>
      <c r="E865" s="14" t="s">
        <v>2795</v>
      </c>
      <c r="F865" s="15"/>
      <c r="G865" s="14"/>
      <c r="H865" s="15"/>
      <c r="I865" s="15"/>
      <c r="J865" s="14" t="str">
        <f t="shared" si="14"/>
        <v/>
      </c>
      <c r="K865" s="19"/>
      <c r="L865" s="20"/>
      <c r="M865" s="21"/>
      <c r="N865" s="15"/>
      <c r="O865" s="15"/>
      <c r="P865" s="15"/>
      <c r="Q865" s="14" t="s">
        <v>3670</v>
      </c>
    </row>
    <row r="866" spans="4:17" x14ac:dyDescent="0.25">
      <c r="D866" s="15" t="s">
        <v>6539</v>
      </c>
      <c r="E866" s="14" t="s">
        <v>2795</v>
      </c>
      <c r="F866" s="15"/>
      <c r="G866" s="14"/>
      <c r="H866" s="15"/>
      <c r="I866" s="15"/>
      <c r="J866" s="14" t="str">
        <f t="shared" si="14"/>
        <v/>
      </c>
      <c r="K866" s="19"/>
      <c r="L866" s="20"/>
      <c r="M866" s="21"/>
      <c r="N866" s="15"/>
      <c r="O866" s="15"/>
      <c r="P866" s="15"/>
      <c r="Q866" s="14" t="s">
        <v>3671</v>
      </c>
    </row>
    <row r="867" spans="4:17" x14ac:dyDescent="0.25">
      <c r="D867" s="15" t="s">
        <v>6540</v>
      </c>
      <c r="E867" s="14" t="s">
        <v>2795</v>
      </c>
      <c r="F867" s="15"/>
      <c r="G867" s="14"/>
      <c r="H867" s="15"/>
      <c r="I867" s="15"/>
      <c r="J867" s="14" t="str">
        <f t="shared" si="14"/>
        <v/>
      </c>
      <c r="K867" s="19"/>
      <c r="L867" s="20"/>
      <c r="M867" s="21"/>
      <c r="N867" s="15"/>
      <c r="O867" s="15"/>
      <c r="P867" s="15"/>
      <c r="Q867" s="14" t="s">
        <v>3672</v>
      </c>
    </row>
    <row r="868" spans="4:17" x14ac:dyDescent="0.25">
      <c r="D868" s="15" t="s">
        <v>6541</v>
      </c>
      <c r="E868" s="14" t="s">
        <v>2795</v>
      </c>
      <c r="F868" s="15"/>
      <c r="G868" s="14"/>
      <c r="H868" s="15"/>
      <c r="I868" s="15"/>
      <c r="J868" s="14" t="str">
        <f t="shared" si="14"/>
        <v/>
      </c>
      <c r="K868" s="19"/>
      <c r="L868" s="20"/>
      <c r="M868" s="21"/>
      <c r="N868" s="15"/>
      <c r="O868" s="15"/>
      <c r="P868" s="15"/>
      <c r="Q868" s="14" t="s">
        <v>3673</v>
      </c>
    </row>
    <row r="869" spans="4:17" x14ac:dyDescent="0.25">
      <c r="D869" s="15" t="s">
        <v>6542</v>
      </c>
      <c r="E869" s="14" t="s">
        <v>2795</v>
      </c>
      <c r="F869" s="15"/>
      <c r="G869" s="14"/>
      <c r="H869" s="15"/>
      <c r="I869" s="15"/>
      <c r="J869" s="14" t="str">
        <f t="shared" si="14"/>
        <v/>
      </c>
      <c r="K869" s="19"/>
      <c r="L869" s="20"/>
      <c r="M869" s="21"/>
      <c r="N869" s="15"/>
      <c r="O869" s="15"/>
      <c r="P869" s="15"/>
      <c r="Q869" s="14" t="s">
        <v>3674</v>
      </c>
    </row>
    <row r="870" spans="4:17" x14ac:dyDescent="0.25">
      <c r="D870" s="15" t="s">
        <v>6543</v>
      </c>
      <c r="E870" s="14" t="s">
        <v>2795</v>
      </c>
      <c r="F870" s="15"/>
      <c r="G870" s="14"/>
      <c r="H870" s="15"/>
      <c r="I870" s="15"/>
      <c r="J870" s="14" t="str">
        <f t="shared" si="14"/>
        <v/>
      </c>
      <c r="K870" s="19"/>
      <c r="L870" s="20"/>
      <c r="M870" s="21"/>
      <c r="N870" s="15"/>
      <c r="O870" s="15"/>
      <c r="P870" s="15"/>
      <c r="Q870" s="14" t="s">
        <v>3675</v>
      </c>
    </row>
    <row r="871" spans="4:17" x14ac:dyDescent="0.25">
      <c r="D871" s="15" t="s">
        <v>6544</v>
      </c>
      <c r="E871" s="14" t="s">
        <v>2795</v>
      </c>
      <c r="F871" s="15"/>
      <c r="G871" s="14"/>
      <c r="H871" s="15"/>
      <c r="I871" s="15"/>
      <c r="J871" s="14" t="str">
        <f t="shared" si="14"/>
        <v/>
      </c>
      <c r="K871" s="19"/>
      <c r="L871" s="20"/>
      <c r="M871" s="21"/>
      <c r="N871" s="15"/>
      <c r="O871" s="15"/>
      <c r="P871" s="15"/>
      <c r="Q871" s="14" t="s">
        <v>3676</v>
      </c>
    </row>
    <row r="872" spans="4:17" x14ac:dyDescent="0.25">
      <c r="D872" s="15" t="s">
        <v>6545</v>
      </c>
      <c r="E872" s="14" t="s">
        <v>2795</v>
      </c>
      <c r="F872" s="15"/>
      <c r="G872" s="14"/>
      <c r="H872" s="15"/>
      <c r="I872" s="15"/>
      <c r="J872" s="14" t="str">
        <f t="shared" si="14"/>
        <v/>
      </c>
      <c r="K872" s="19"/>
      <c r="L872" s="20"/>
      <c r="M872" s="21"/>
      <c r="N872" s="15"/>
      <c r="O872" s="15"/>
      <c r="P872" s="15"/>
      <c r="Q872" s="14" t="s">
        <v>3677</v>
      </c>
    </row>
    <row r="873" spans="4:17" x14ac:dyDescent="0.25">
      <c r="D873" s="15" t="s">
        <v>6546</v>
      </c>
      <c r="E873" s="14" t="s">
        <v>2795</v>
      </c>
      <c r="F873" s="15"/>
      <c r="G873" s="14"/>
      <c r="H873" s="15"/>
      <c r="I873" s="15"/>
      <c r="J873" s="14" t="str">
        <f t="shared" si="14"/>
        <v/>
      </c>
      <c r="K873" s="19"/>
      <c r="L873" s="20"/>
      <c r="M873" s="21"/>
      <c r="N873" s="15"/>
      <c r="O873" s="15"/>
      <c r="P873" s="15"/>
      <c r="Q873" s="14" t="s">
        <v>3678</v>
      </c>
    </row>
    <row r="874" spans="4:17" x14ac:dyDescent="0.25">
      <c r="D874" s="15" t="s">
        <v>6547</v>
      </c>
      <c r="E874" s="14" t="s">
        <v>2795</v>
      </c>
      <c r="F874" s="15"/>
      <c r="G874" s="14"/>
      <c r="H874" s="15"/>
      <c r="I874" s="15"/>
      <c r="J874" s="14" t="str">
        <f t="shared" si="14"/>
        <v/>
      </c>
      <c r="K874" s="19"/>
      <c r="L874" s="20"/>
      <c r="M874" s="21"/>
      <c r="N874" s="15"/>
      <c r="O874" s="15"/>
      <c r="P874" s="15"/>
      <c r="Q874" s="14" t="s">
        <v>3679</v>
      </c>
    </row>
    <row r="875" spans="4:17" x14ac:dyDescent="0.25">
      <c r="D875" s="15" t="s">
        <v>6548</v>
      </c>
      <c r="E875" s="14" t="s">
        <v>2795</v>
      </c>
      <c r="F875" s="15"/>
      <c r="G875" s="14"/>
      <c r="H875" s="15"/>
      <c r="I875" s="15"/>
      <c r="J875" s="14" t="str">
        <f t="shared" si="14"/>
        <v/>
      </c>
      <c r="K875" s="19"/>
      <c r="L875" s="20"/>
      <c r="M875" s="21"/>
      <c r="N875" s="15"/>
      <c r="O875" s="15"/>
      <c r="P875" s="15"/>
      <c r="Q875" s="14" t="s">
        <v>3680</v>
      </c>
    </row>
    <row r="876" spans="4:17" x14ac:dyDescent="0.25">
      <c r="D876" s="15" t="s">
        <v>6549</v>
      </c>
      <c r="E876" s="14" t="s">
        <v>2802</v>
      </c>
      <c r="F876" s="15"/>
      <c r="G876" s="14"/>
      <c r="H876" s="15"/>
      <c r="I876" s="15"/>
      <c r="J876" s="14" t="str">
        <f t="shared" si="14"/>
        <v/>
      </c>
      <c r="K876" s="19"/>
      <c r="L876" s="20"/>
      <c r="M876" s="21"/>
      <c r="N876" s="15"/>
      <c r="O876" s="15"/>
      <c r="P876" s="15"/>
      <c r="Q876" s="14" t="s">
        <v>3681</v>
      </c>
    </row>
    <row r="877" spans="4:17" x14ac:dyDescent="0.25">
      <c r="D877" s="15" t="s">
        <v>6550</v>
      </c>
      <c r="E877" s="14" t="s">
        <v>2802</v>
      </c>
      <c r="F877" s="15"/>
      <c r="G877" s="14"/>
      <c r="H877" s="15"/>
      <c r="I877" s="15"/>
      <c r="J877" s="14" t="str">
        <f t="shared" si="14"/>
        <v/>
      </c>
      <c r="K877" s="19"/>
      <c r="L877" s="20"/>
      <c r="M877" s="21"/>
      <c r="N877" s="15"/>
      <c r="O877" s="15"/>
      <c r="P877" s="15"/>
      <c r="Q877" s="14" t="s">
        <v>3682</v>
      </c>
    </row>
    <row r="878" spans="4:17" x14ac:dyDescent="0.25">
      <c r="D878" s="15" t="s">
        <v>6551</v>
      </c>
      <c r="E878" s="14" t="s">
        <v>2802</v>
      </c>
      <c r="F878" s="15"/>
      <c r="G878" s="14"/>
      <c r="H878" s="15"/>
      <c r="I878" s="15"/>
      <c r="J878" s="14" t="str">
        <f t="shared" si="14"/>
        <v/>
      </c>
      <c r="K878" s="19"/>
      <c r="L878" s="20"/>
      <c r="M878" s="21"/>
      <c r="N878" s="15"/>
      <c r="O878" s="15"/>
      <c r="P878" s="15"/>
      <c r="Q878" s="14" t="s">
        <v>3683</v>
      </c>
    </row>
    <row r="879" spans="4:17" x14ac:dyDescent="0.25">
      <c r="D879" s="15" t="s">
        <v>6552</v>
      </c>
      <c r="E879" s="14" t="s">
        <v>2802</v>
      </c>
      <c r="F879" s="15"/>
      <c r="G879" s="14"/>
      <c r="H879" s="15"/>
      <c r="I879" s="15"/>
      <c r="J879" s="14" t="str">
        <f t="shared" si="14"/>
        <v/>
      </c>
      <c r="K879" s="19"/>
      <c r="L879" s="20"/>
      <c r="M879" s="21"/>
      <c r="N879" s="15"/>
      <c r="O879" s="15"/>
      <c r="P879" s="15"/>
      <c r="Q879" s="14" t="s">
        <v>3684</v>
      </c>
    </row>
    <row r="880" spans="4:17" x14ac:dyDescent="0.25">
      <c r="D880" s="15" t="s">
        <v>6553</v>
      </c>
      <c r="E880" s="14" t="s">
        <v>2802</v>
      </c>
      <c r="F880" s="15"/>
      <c r="G880" s="14"/>
      <c r="H880" s="15"/>
      <c r="I880" s="15"/>
      <c r="J880" s="14" t="str">
        <f t="shared" si="14"/>
        <v/>
      </c>
      <c r="K880" s="19"/>
      <c r="L880" s="20"/>
      <c r="M880" s="21"/>
      <c r="N880" s="15"/>
      <c r="O880" s="15"/>
      <c r="P880" s="15"/>
      <c r="Q880" s="14" t="s">
        <v>3685</v>
      </c>
    </row>
    <row r="881" spans="4:17" x14ac:dyDescent="0.25">
      <c r="D881" s="15" t="s">
        <v>6554</v>
      </c>
      <c r="E881" s="14" t="s">
        <v>2802</v>
      </c>
      <c r="F881" s="15"/>
      <c r="G881" s="14"/>
      <c r="H881" s="15"/>
      <c r="I881" s="15"/>
      <c r="J881" s="14" t="str">
        <f t="shared" si="14"/>
        <v/>
      </c>
      <c r="K881" s="19"/>
      <c r="L881" s="20"/>
      <c r="M881" s="21"/>
      <c r="N881" s="15"/>
      <c r="O881" s="15"/>
      <c r="P881" s="15"/>
      <c r="Q881" s="14" t="s">
        <v>3686</v>
      </c>
    </row>
    <row r="882" spans="4:17" x14ac:dyDescent="0.25">
      <c r="D882" s="15" t="s">
        <v>6555</v>
      </c>
      <c r="E882" s="14" t="s">
        <v>2802</v>
      </c>
      <c r="F882" s="15"/>
      <c r="G882" s="14"/>
      <c r="H882" s="15"/>
      <c r="I882" s="15"/>
      <c r="J882" s="14" t="str">
        <f t="shared" si="14"/>
        <v/>
      </c>
      <c r="K882" s="19"/>
      <c r="L882" s="20"/>
      <c r="M882" s="21"/>
      <c r="N882" s="15"/>
      <c r="O882" s="15"/>
      <c r="P882" s="15"/>
      <c r="Q882" s="14" t="s">
        <v>3687</v>
      </c>
    </row>
    <row r="883" spans="4:17" x14ac:dyDescent="0.25">
      <c r="D883" s="15" t="s">
        <v>6556</v>
      </c>
      <c r="E883" s="14" t="s">
        <v>2802</v>
      </c>
      <c r="F883" s="15"/>
      <c r="G883" s="14"/>
      <c r="H883" s="15"/>
      <c r="I883" s="15"/>
      <c r="J883" s="14" t="str">
        <f t="shared" si="14"/>
        <v/>
      </c>
      <c r="K883" s="19"/>
      <c r="L883" s="20"/>
      <c r="M883" s="21"/>
      <c r="N883" s="15"/>
      <c r="O883" s="15"/>
      <c r="P883" s="15"/>
      <c r="Q883" s="14" t="s">
        <v>3688</v>
      </c>
    </row>
    <row r="884" spans="4:17" x14ac:dyDescent="0.25">
      <c r="D884" s="15" t="s">
        <v>6557</v>
      </c>
      <c r="E884" s="14" t="s">
        <v>2802</v>
      </c>
      <c r="F884" s="15"/>
      <c r="G884" s="14"/>
      <c r="H884" s="15"/>
      <c r="I884" s="15"/>
      <c r="J884" s="14" t="str">
        <f t="shared" si="14"/>
        <v/>
      </c>
      <c r="K884" s="19"/>
      <c r="L884" s="20"/>
      <c r="M884" s="21"/>
      <c r="N884" s="15"/>
      <c r="O884" s="15"/>
      <c r="P884" s="15"/>
      <c r="Q884" s="14" t="s">
        <v>3689</v>
      </c>
    </row>
    <row r="885" spans="4:17" x14ac:dyDescent="0.25">
      <c r="D885" s="15" t="s">
        <v>6558</v>
      </c>
      <c r="E885" s="14" t="s">
        <v>2802</v>
      </c>
      <c r="F885" s="15"/>
      <c r="G885" s="14"/>
      <c r="H885" s="15"/>
      <c r="I885" s="15"/>
      <c r="J885" s="14" t="str">
        <f t="shared" si="14"/>
        <v/>
      </c>
      <c r="K885" s="19"/>
      <c r="L885" s="20"/>
      <c r="M885" s="21"/>
      <c r="N885" s="15"/>
      <c r="O885" s="15"/>
      <c r="P885" s="15"/>
      <c r="Q885" s="14" t="s">
        <v>3690</v>
      </c>
    </row>
    <row r="886" spans="4:17" x14ac:dyDescent="0.25">
      <c r="D886" s="15" t="s">
        <v>6559</v>
      </c>
      <c r="E886" s="14" t="s">
        <v>2802</v>
      </c>
      <c r="F886" s="15"/>
      <c r="G886" s="14"/>
      <c r="H886" s="15"/>
      <c r="I886" s="15"/>
      <c r="J886" s="14" t="str">
        <f t="shared" si="14"/>
        <v/>
      </c>
      <c r="K886" s="19"/>
      <c r="L886" s="20"/>
      <c r="M886" s="21"/>
      <c r="N886" s="15"/>
      <c r="O886" s="15"/>
      <c r="P886" s="15"/>
      <c r="Q886" s="14" t="s">
        <v>3691</v>
      </c>
    </row>
    <row r="887" spans="4:17" x14ac:dyDescent="0.25">
      <c r="D887" s="15" t="s">
        <v>6560</v>
      </c>
      <c r="E887" s="14" t="s">
        <v>2802</v>
      </c>
      <c r="F887" s="15"/>
      <c r="G887" s="14"/>
      <c r="H887" s="15"/>
      <c r="I887" s="15"/>
      <c r="J887" s="14" t="str">
        <f t="shared" si="14"/>
        <v/>
      </c>
      <c r="K887" s="19"/>
      <c r="L887" s="20"/>
      <c r="M887" s="21"/>
      <c r="N887" s="15"/>
      <c r="O887" s="15"/>
      <c r="P887" s="15"/>
      <c r="Q887" s="14" t="s">
        <v>3692</v>
      </c>
    </row>
    <row r="888" spans="4:17" x14ac:dyDescent="0.25">
      <c r="D888" s="15" t="s">
        <v>6561</v>
      </c>
      <c r="E888" s="14" t="s">
        <v>2802</v>
      </c>
      <c r="F888" s="15"/>
      <c r="G888" s="14"/>
      <c r="H888" s="15"/>
      <c r="I888" s="15"/>
      <c r="J888" s="14" t="str">
        <f t="shared" si="14"/>
        <v/>
      </c>
      <c r="K888" s="19"/>
      <c r="L888" s="20"/>
      <c r="M888" s="21"/>
      <c r="N888" s="15"/>
      <c r="O888" s="15"/>
      <c r="P888" s="15"/>
      <c r="Q888" s="14" t="s">
        <v>3693</v>
      </c>
    </row>
    <row r="889" spans="4:17" x14ac:dyDescent="0.25">
      <c r="D889" s="15" t="s">
        <v>6562</v>
      </c>
      <c r="E889" s="14" t="s">
        <v>2802</v>
      </c>
      <c r="F889" s="15"/>
      <c r="G889" s="14"/>
      <c r="H889" s="15"/>
      <c r="I889" s="15"/>
      <c r="J889" s="14" t="str">
        <f t="shared" si="14"/>
        <v/>
      </c>
      <c r="K889" s="19"/>
      <c r="L889" s="20"/>
      <c r="M889" s="21"/>
      <c r="N889" s="15"/>
      <c r="O889" s="15"/>
      <c r="P889" s="15"/>
      <c r="Q889" s="14" t="s">
        <v>3694</v>
      </c>
    </row>
    <row r="890" spans="4:17" x14ac:dyDescent="0.25">
      <c r="D890" s="15" t="s">
        <v>6563</v>
      </c>
      <c r="E890" s="14" t="s">
        <v>2802</v>
      </c>
      <c r="F890" s="15"/>
      <c r="G890" s="14"/>
      <c r="H890" s="15"/>
      <c r="I890" s="15"/>
      <c r="J890" s="14" t="str">
        <f t="shared" si="14"/>
        <v/>
      </c>
      <c r="K890" s="19"/>
      <c r="L890" s="20"/>
      <c r="M890" s="21"/>
      <c r="N890" s="15"/>
      <c r="O890" s="15"/>
      <c r="P890" s="15"/>
      <c r="Q890" s="14" t="s">
        <v>3695</v>
      </c>
    </row>
    <row r="891" spans="4:17" x14ac:dyDescent="0.25">
      <c r="D891" s="15" t="s">
        <v>6564</v>
      </c>
      <c r="E891" s="14" t="s">
        <v>2802</v>
      </c>
      <c r="F891" s="15"/>
      <c r="G891" s="14"/>
      <c r="H891" s="15"/>
      <c r="I891" s="15"/>
      <c r="J891" s="14" t="str">
        <f t="shared" si="14"/>
        <v/>
      </c>
      <c r="K891" s="19"/>
      <c r="L891" s="20"/>
      <c r="M891" s="21"/>
      <c r="N891" s="15"/>
      <c r="O891" s="15"/>
      <c r="P891" s="15"/>
      <c r="Q891" s="14" t="s">
        <v>3696</v>
      </c>
    </row>
    <row r="892" spans="4:17" x14ac:dyDescent="0.25">
      <c r="D892" s="15" t="s">
        <v>6565</v>
      </c>
      <c r="E892" s="14" t="s">
        <v>2802</v>
      </c>
      <c r="F892" s="15"/>
      <c r="G892" s="14"/>
      <c r="H892" s="15"/>
      <c r="I892" s="15"/>
      <c r="J892" s="14" t="str">
        <f t="shared" ref="J892:J915" si="15">F892&amp;H892&amp;I892</f>
        <v/>
      </c>
      <c r="K892" s="19"/>
      <c r="L892" s="20"/>
      <c r="M892" s="21"/>
      <c r="N892" s="15"/>
      <c r="O892" s="15"/>
      <c r="P892" s="15"/>
      <c r="Q892" s="14" t="s">
        <v>3697</v>
      </c>
    </row>
    <row r="893" spans="4:17" x14ac:dyDescent="0.25">
      <c r="D893" s="15" t="s">
        <v>6566</v>
      </c>
      <c r="E893" s="14" t="s">
        <v>2802</v>
      </c>
      <c r="F893" s="15"/>
      <c r="G893" s="14"/>
      <c r="H893" s="15"/>
      <c r="I893" s="15"/>
      <c r="J893" s="14" t="str">
        <f t="shared" si="15"/>
        <v/>
      </c>
      <c r="K893" s="19"/>
      <c r="L893" s="20"/>
      <c r="M893" s="21"/>
      <c r="N893" s="15"/>
      <c r="O893" s="15"/>
      <c r="P893" s="15"/>
      <c r="Q893" s="14" t="s">
        <v>3698</v>
      </c>
    </row>
    <row r="894" spans="4:17" x14ac:dyDescent="0.25">
      <c r="D894" s="15" t="s">
        <v>6567</v>
      </c>
      <c r="E894" s="14" t="s">
        <v>2802</v>
      </c>
      <c r="F894" s="15"/>
      <c r="G894" s="14"/>
      <c r="H894" s="15"/>
      <c r="I894" s="15"/>
      <c r="J894" s="14" t="str">
        <f t="shared" si="15"/>
        <v/>
      </c>
      <c r="K894" s="19"/>
      <c r="L894" s="20"/>
      <c r="M894" s="21"/>
      <c r="N894" s="15"/>
      <c r="O894" s="15"/>
      <c r="P894" s="15"/>
      <c r="Q894" s="14" t="s">
        <v>3699</v>
      </c>
    </row>
    <row r="895" spans="4:17" x14ac:dyDescent="0.25">
      <c r="D895" s="15" t="s">
        <v>6568</v>
      </c>
      <c r="E895" s="14" t="s">
        <v>2802</v>
      </c>
      <c r="F895" s="15"/>
      <c r="G895" s="14"/>
      <c r="H895" s="15"/>
      <c r="I895" s="15"/>
      <c r="J895" s="14" t="str">
        <f t="shared" si="15"/>
        <v/>
      </c>
      <c r="K895" s="19"/>
      <c r="L895" s="20"/>
      <c r="M895" s="21"/>
      <c r="N895" s="15"/>
      <c r="O895" s="15"/>
      <c r="P895" s="15"/>
      <c r="Q895" s="14" t="s">
        <v>3700</v>
      </c>
    </row>
    <row r="896" spans="4:17" x14ac:dyDescent="0.25">
      <c r="D896" s="15" t="s">
        <v>6569</v>
      </c>
      <c r="E896" s="14" t="s">
        <v>2809</v>
      </c>
      <c r="F896" s="15"/>
      <c r="G896" s="14"/>
      <c r="H896" s="15"/>
      <c r="I896" s="15"/>
      <c r="J896" s="14" t="str">
        <f t="shared" si="15"/>
        <v/>
      </c>
      <c r="K896" s="19"/>
      <c r="L896" s="20"/>
      <c r="M896" s="21"/>
      <c r="N896" s="15"/>
      <c r="O896" s="15"/>
      <c r="P896" s="15"/>
      <c r="Q896" s="14" t="s">
        <v>3701</v>
      </c>
    </row>
    <row r="897" spans="4:17" x14ac:dyDescent="0.25">
      <c r="D897" s="15" t="s">
        <v>6570</v>
      </c>
      <c r="E897" s="14" t="s">
        <v>2809</v>
      </c>
      <c r="F897" s="15"/>
      <c r="G897" s="14"/>
      <c r="H897" s="15"/>
      <c r="I897" s="15"/>
      <c r="J897" s="14" t="str">
        <f t="shared" si="15"/>
        <v/>
      </c>
      <c r="K897" s="19"/>
      <c r="L897" s="20"/>
      <c r="M897" s="21"/>
      <c r="N897" s="15"/>
      <c r="O897" s="15"/>
      <c r="P897" s="15"/>
      <c r="Q897" s="14" t="s">
        <v>3702</v>
      </c>
    </row>
    <row r="898" spans="4:17" x14ac:dyDescent="0.25">
      <c r="D898" s="15" t="s">
        <v>6571</v>
      </c>
      <c r="E898" s="14" t="s">
        <v>2809</v>
      </c>
      <c r="F898" s="15"/>
      <c r="G898" s="14"/>
      <c r="H898" s="15"/>
      <c r="I898" s="15"/>
      <c r="J898" s="14" t="str">
        <f t="shared" si="15"/>
        <v/>
      </c>
      <c r="K898" s="19"/>
      <c r="L898" s="20"/>
      <c r="M898" s="21"/>
      <c r="N898" s="15"/>
      <c r="O898" s="15"/>
      <c r="P898" s="15"/>
      <c r="Q898" s="14" t="s">
        <v>3703</v>
      </c>
    </row>
    <row r="899" spans="4:17" x14ac:dyDescent="0.25">
      <c r="D899" s="15" t="s">
        <v>6572</v>
      </c>
      <c r="E899" s="14" t="s">
        <v>2809</v>
      </c>
      <c r="F899" s="15"/>
      <c r="G899" s="14"/>
      <c r="H899" s="15"/>
      <c r="I899" s="15"/>
      <c r="J899" s="14" t="str">
        <f t="shared" si="15"/>
        <v/>
      </c>
      <c r="K899" s="19"/>
      <c r="L899" s="20"/>
      <c r="M899" s="21"/>
      <c r="N899" s="15"/>
      <c r="O899" s="15"/>
      <c r="P899" s="15"/>
      <c r="Q899" s="14" t="s">
        <v>3704</v>
      </c>
    </row>
    <row r="900" spans="4:17" x14ac:dyDescent="0.25">
      <c r="D900" s="15" t="s">
        <v>6573</v>
      </c>
      <c r="E900" s="14" t="s">
        <v>2809</v>
      </c>
      <c r="F900" s="15"/>
      <c r="G900" s="14"/>
      <c r="H900" s="15"/>
      <c r="I900" s="15"/>
      <c r="J900" s="14" t="str">
        <f t="shared" si="15"/>
        <v/>
      </c>
      <c r="K900" s="19"/>
      <c r="L900" s="20"/>
      <c r="M900" s="21"/>
      <c r="N900" s="15"/>
      <c r="O900" s="15"/>
      <c r="P900" s="15"/>
      <c r="Q900" s="14" t="s">
        <v>3705</v>
      </c>
    </row>
    <row r="901" spans="4:17" x14ac:dyDescent="0.25">
      <c r="D901" s="15" t="s">
        <v>6574</v>
      </c>
      <c r="E901" s="14" t="s">
        <v>2809</v>
      </c>
      <c r="F901" s="15"/>
      <c r="G901" s="14"/>
      <c r="H901" s="15"/>
      <c r="I901" s="15"/>
      <c r="J901" s="14" t="str">
        <f t="shared" si="15"/>
        <v/>
      </c>
      <c r="K901" s="19"/>
      <c r="L901" s="20"/>
      <c r="M901" s="21"/>
      <c r="N901" s="15"/>
      <c r="O901" s="15"/>
      <c r="P901" s="15"/>
      <c r="Q901" s="14" t="s">
        <v>3706</v>
      </c>
    </row>
    <row r="902" spans="4:17" x14ac:dyDescent="0.25">
      <c r="D902" s="15" t="s">
        <v>6575</v>
      </c>
      <c r="E902" s="14" t="s">
        <v>2809</v>
      </c>
      <c r="F902" s="15"/>
      <c r="G902" s="14"/>
      <c r="H902" s="15"/>
      <c r="I902" s="15"/>
      <c r="J902" s="14" t="str">
        <f t="shared" si="15"/>
        <v/>
      </c>
      <c r="K902" s="19"/>
      <c r="L902" s="20"/>
      <c r="M902" s="21"/>
      <c r="N902" s="15"/>
      <c r="O902" s="15"/>
      <c r="P902" s="15"/>
      <c r="Q902" s="14" t="s">
        <v>3707</v>
      </c>
    </row>
    <row r="903" spans="4:17" x14ac:dyDescent="0.25">
      <c r="D903" s="15" t="s">
        <v>6576</v>
      </c>
      <c r="E903" s="14" t="s">
        <v>2809</v>
      </c>
      <c r="F903" s="15"/>
      <c r="G903" s="14"/>
      <c r="H903" s="15"/>
      <c r="I903" s="15"/>
      <c r="J903" s="14" t="str">
        <f t="shared" si="15"/>
        <v/>
      </c>
      <c r="K903" s="19"/>
      <c r="L903" s="20"/>
      <c r="M903" s="21"/>
      <c r="N903" s="15"/>
      <c r="O903" s="15"/>
      <c r="P903" s="15"/>
      <c r="Q903" s="14" t="s">
        <v>3708</v>
      </c>
    </row>
    <row r="904" spans="4:17" x14ac:dyDescent="0.25">
      <c r="D904" s="15" t="s">
        <v>6577</v>
      </c>
      <c r="E904" s="14" t="s">
        <v>2809</v>
      </c>
      <c r="F904" s="15"/>
      <c r="G904" s="14"/>
      <c r="H904" s="15"/>
      <c r="I904" s="15"/>
      <c r="J904" s="14" t="str">
        <f t="shared" si="15"/>
        <v/>
      </c>
      <c r="K904" s="19"/>
      <c r="L904" s="20"/>
      <c r="M904" s="21"/>
      <c r="N904" s="15"/>
      <c r="O904" s="15"/>
      <c r="P904" s="15"/>
      <c r="Q904" s="14" t="s">
        <v>3709</v>
      </c>
    </row>
    <row r="905" spans="4:17" x14ac:dyDescent="0.25">
      <c r="D905" s="15" t="s">
        <v>6578</v>
      </c>
      <c r="E905" s="14" t="s">
        <v>2809</v>
      </c>
      <c r="F905" s="15"/>
      <c r="G905" s="14"/>
      <c r="H905" s="15"/>
      <c r="I905" s="15"/>
      <c r="J905" s="14" t="str">
        <f t="shared" si="15"/>
        <v/>
      </c>
      <c r="K905" s="19"/>
      <c r="L905" s="20"/>
      <c r="M905" s="21"/>
      <c r="N905" s="15"/>
      <c r="O905" s="15"/>
      <c r="P905" s="15"/>
      <c r="Q905" s="14" t="s">
        <v>3710</v>
      </c>
    </row>
    <row r="906" spans="4:17" x14ac:dyDescent="0.25">
      <c r="D906" s="15" t="s">
        <v>6579</v>
      </c>
      <c r="E906" s="14" t="s">
        <v>2809</v>
      </c>
      <c r="F906" s="15"/>
      <c r="G906" s="14"/>
      <c r="H906" s="15"/>
      <c r="I906" s="15"/>
      <c r="J906" s="14" t="str">
        <f t="shared" si="15"/>
        <v/>
      </c>
      <c r="K906" s="19"/>
      <c r="L906" s="20"/>
      <c r="M906" s="21"/>
      <c r="N906" s="15"/>
      <c r="O906" s="15"/>
      <c r="P906" s="15"/>
      <c r="Q906" s="14" t="s">
        <v>3711</v>
      </c>
    </row>
    <row r="907" spans="4:17" x14ac:dyDescent="0.25">
      <c r="D907" s="15" t="s">
        <v>6580</v>
      </c>
      <c r="E907" s="14" t="s">
        <v>2809</v>
      </c>
      <c r="F907" s="15"/>
      <c r="G907" s="14"/>
      <c r="H907" s="15"/>
      <c r="I907" s="15"/>
      <c r="J907" s="14" t="str">
        <f t="shared" si="15"/>
        <v/>
      </c>
      <c r="K907" s="19"/>
      <c r="L907" s="20"/>
      <c r="M907" s="21"/>
      <c r="N907" s="15"/>
      <c r="O907" s="15"/>
      <c r="P907" s="15"/>
      <c r="Q907" s="14" t="s">
        <v>3712</v>
      </c>
    </row>
    <row r="908" spans="4:17" x14ac:dyDescent="0.25">
      <c r="D908" s="15" t="s">
        <v>6581</v>
      </c>
      <c r="E908" s="14" t="s">
        <v>2809</v>
      </c>
      <c r="F908" s="15"/>
      <c r="G908" s="14"/>
      <c r="H908" s="15"/>
      <c r="I908" s="15"/>
      <c r="J908" s="14" t="str">
        <f t="shared" si="15"/>
        <v/>
      </c>
      <c r="K908" s="19"/>
      <c r="L908" s="20"/>
      <c r="M908" s="21"/>
      <c r="N908" s="15"/>
      <c r="O908" s="15"/>
      <c r="P908" s="15"/>
      <c r="Q908" s="14" t="s">
        <v>3713</v>
      </c>
    </row>
    <row r="909" spans="4:17" x14ac:dyDescent="0.25">
      <c r="D909" s="15" t="s">
        <v>6582</v>
      </c>
      <c r="E909" s="14" t="s">
        <v>2809</v>
      </c>
      <c r="F909" s="15"/>
      <c r="G909" s="14"/>
      <c r="H909" s="15"/>
      <c r="I909" s="15"/>
      <c r="J909" s="14" t="str">
        <f t="shared" si="15"/>
        <v/>
      </c>
      <c r="K909" s="19"/>
      <c r="L909" s="20"/>
      <c r="M909" s="21"/>
      <c r="N909" s="15"/>
      <c r="O909" s="15"/>
      <c r="P909" s="15"/>
      <c r="Q909" s="14" t="s">
        <v>3714</v>
      </c>
    </row>
    <row r="910" spans="4:17" x14ac:dyDescent="0.25">
      <c r="D910" s="15" t="s">
        <v>6583</v>
      </c>
      <c r="E910" s="14" t="s">
        <v>2809</v>
      </c>
      <c r="F910" s="15"/>
      <c r="G910" s="14"/>
      <c r="H910" s="15"/>
      <c r="I910" s="15"/>
      <c r="J910" s="14" t="str">
        <f t="shared" si="15"/>
        <v/>
      </c>
      <c r="K910" s="19"/>
      <c r="L910" s="20"/>
      <c r="M910" s="21"/>
      <c r="N910" s="15"/>
      <c r="O910" s="15"/>
      <c r="P910" s="15"/>
      <c r="Q910" s="14" t="s">
        <v>3715</v>
      </c>
    </row>
    <row r="911" spans="4:17" x14ac:dyDescent="0.25">
      <c r="D911" s="15" t="s">
        <v>6584</v>
      </c>
      <c r="E911" s="14" t="s">
        <v>2809</v>
      </c>
      <c r="F911" s="15"/>
      <c r="G911" s="14"/>
      <c r="H911" s="15"/>
      <c r="I911" s="15"/>
      <c r="J911" s="14" t="str">
        <f t="shared" si="15"/>
        <v/>
      </c>
      <c r="K911" s="19"/>
      <c r="L911" s="20"/>
      <c r="M911" s="21"/>
      <c r="N911" s="15"/>
      <c r="O911" s="15"/>
      <c r="P911" s="15"/>
      <c r="Q911" s="14" t="s">
        <v>3716</v>
      </c>
    </row>
    <row r="912" spans="4:17" x14ac:dyDescent="0.25">
      <c r="D912" s="15" t="s">
        <v>6585</v>
      </c>
      <c r="E912" s="14" t="s">
        <v>2809</v>
      </c>
      <c r="F912" s="15"/>
      <c r="G912" s="14"/>
      <c r="H912" s="15"/>
      <c r="I912" s="15"/>
      <c r="J912" s="14" t="str">
        <f t="shared" si="15"/>
        <v/>
      </c>
      <c r="K912" s="19"/>
      <c r="L912" s="20"/>
      <c r="M912" s="21"/>
      <c r="N912" s="15"/>
      <c r="O912" s="15"/>
      <c r="P912" s="15"/>
      <c r="Q912" s="14" t="s">
        <v>3717</v>
      </c>
    </row>
    <row r="913" spans="4:17" x14ac:dyDescent="0.25">
      <c r="D913" s="15" t="s">
        <v>6586</v>
      </c>
      <c r="E913" s="14" t="s">
        <v>2809</v>
      </c>
      <c r="F913" s="15"/>
      <c r="G913" s="14"/>
      <c r="H913" s="15"/>
      <c r="I913" s="15"/>
      <c r="J913" s="14" t="str">
        <f t="shared" si="15"/>
        <v/>
      </c>
      <c r="K913" s="19"/>
      <c r="L913" s="20"/>
      <c r="M913" s="21"/>
      <c r="N913" s="15"/>
      <c r="O913" s="15"/>
      <c r="P913" s="15"/>
      <c r="Q913" s="14" t="s">
        <v>3718</v>
      </c>
    </row>
    <row r="914" spans="4:17" x14ac:dyDescent="0.25">
      <c r="D914" s="15" t="s">
        <v>6587</v>
      </c>
      <c r="E914" s="14" t="s">
        <v>2809</v>
      </c>
      <c r="F914" s="15"/>
      <c r="G914" s="14"/>
      <c r="H914" s="15"/>
      <c r="I914" s="15"/>
      <c r="J914" s="14" t="str">
        <f t="shared" si="15"/>
        <v/>
      </c>
      <c r="K914" s="19"/>
      <c r="L914" s="20"/>
      <c r="M914" s="21"/>
      <c r="N914" s="15"/>
      <c r="O914" s="15"/>
      <c r="P914" s="15"/>
      <c r="Q914" s="14" t="s">
        <v>3719</v>
      </c>
    </row>
    <row r="915" spans="4:17" x14ac:dyDescent="0.25">
      <c r="D915" s="15" t="s">
        <v>6588</v>
      </c>
      <c r="E915" s="14" t="s">
        <v>2809</v>
      </c>
      <c r="F915" s="15"/>
      <c r="G915" s="14"/>
      <c r="H915" s="15"/>
      <c r="I915" s="15"/>
      <c r="J915" s="14" t="str">
        <f t="shared" si="15"/>
        <v/>
      </c>
      <c r="K915" s="19"/>
      <c r="L915" s="20"/>
      <c r="M915" s="21"/>
      <c r="N915" s="15"/>
      <c r="O915" s="15"/>
      <c r="P915" s="15"/>
      <c r="Q915" s="14" t="s">
        <v>3720</v>
      </c>
    </row>
  </sheetData>
  <dataValidations count="9">
    <dataValidation type="custom" allowBlank="1" showInputMessage="1" showErrorMessage="1" errorTitle="X-Author for Excel" error="Id and Lookup fields are not editable." promptTitle="X-Author for Excel" sqref="O3:O153 O159:O309 Q315:Q915">
      <formula1>""</formula1>
    </dataValidation>
    <dataValidation type="decimal" allowBlank="1" showInputMessage="1" showErrorMessage="1" errorTitle="X-Author for Excel" error="Please enter a valid numeric value. Valid range for Baseline N# is -1E+16 to 1E+16." promptTitle="X-Author for Excel" sqref="K315:K915">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P3:P153">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formula1>-999.9</formula1>
      <formula2>999.9</formula2>
    </dataValidation>
    <dataValidation type="list" allowBlank="1" showInputMessage="1" showErrorMessage="1" errorTitle="X-Author for Excel" error="Please select a value from the drop-down." promptTitle="X-Author for Excel" sqref="L3:L153">
      <formula1>IF(IFERROR(ROWS(INDIRECT(SUBSTITUTE("AIM_Impact_Disaggregation__c.AIM_Baseline_Year__c"," ","_"))),-1) &lt; 0, XAE_Invalid_PLData,INDIRECT(SUBSTITUTE("AIM_Impact_Disaggregation__c.AIM_Baseline_Year__c","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Q3:Q153">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formula1>-999.99</formula1>
      <formula2>999.99</formula2>
    </dataValidation>
    <dataValidation type="list" allowBlank="1" showInputMessage="1" showErrorMessage="1" errorTitle="X-Author for Excel" error="Please select a value from the drop-down." promptTitle="X-Author for Excel" sqref="L159:L309">
      <formula1>IF(IFERROR(ROWS(INDIRECT(SUBSTITUTE("AIM_Outcome_Disaggregation__c.AIM_Baseline_Year__c"," ","_"))),-1) &lt; 0, XAE_Invalid_PLData,INDIRECT(SUBSTITUTE("AIM_Outcome_Disaggregation__c.AIM_Baseline_Year__c","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formula1>IF(IFERROR(ROWS(INDIRECT(SUBSTITUTE("AIM_Coverage_Disaggregation__c.AIM_Year__c"," ","_"))),-1) &lt; 0, XAE_Invalid_PLData,INDIRECT(SUBSTITUTE("AIM_Coverage_Disaggregation__c.AIM_Year__c"," ","_")))</formula1>
    </dataValidation>
  </dataValidation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116"/>
  <sheetViews>
    <sheetView workbookViewId="0">
      <selection activeCell="H2" sqref="H2"/>
    </sheetView>
  </sheetViews>
  <sheetFormatPr defaultColWidth="8.59765625" defaultRowHeight="13.2" x14ac:dyDescent="0.25"/>
  <cols>
    <col min="1" max="1" width="13.59765625" style="1" bestFit="1" customWidth="1"/>
    <col min="2" max="2" width="24.09765625" style="1" customWidth="1"/>
    <col min="3" max="3" width="12.59765625" style="1" customWidth="1"/>
    <col min="4" max="4" width="13.59765625" style="1" bestFit="1" customWidth="1"/>
    <col min="5" max="5" width="26.796875" style="1" customWidth="1"/>
    <col min="6" max="6" width="18.796875" style="1" customWidth="1"/>
    <col min="7" max="8" width="8.59765625" style="1"/>
    <col min="9" max="9" width="16.59765625" style="1" customWidth="1"/>
    <col min="10" max="16384" width="8.59765625" style="1"/>
  </cols>
  <sheetData>
    <row r="1" spans="1:9" x14ac:dyDescent="0.25">
      <c r="A1" s="703" t="s">
        <v>6589</v>
      </c>
      <c r="B1" s="703"/>
      <c r="C1" s="703"/>
      <c r="D1" s="703"/>
    </row>
    <row r="2" spans="1:9" x14ac:dyDescent="0.25">
      <c r="A2" s="14" t="s">
        <v>319</v>
      </c>
      <c r="B2" s="18" t="s">
        <v>329</v>
      </c>
      <c r="C2" s="17"/>
      <c r="D2" s="14" t="s">
        <v>6590</v>
      </c>
      <c r="E2" s="14" t="s">
        <v>318</v>
      </c>
      <c r="F2" s="14" t="str">
        <f>A2</f>
        <v>Account Role ID</v>
      </c>
      <c r="G2" s="14"/>
      <c r="H2" s="14" t="str">
        <f>B2</f>
        <v>Account (Name)</v>
      </c>
      <c r="I2" s="14" t="s">
        <v>2084</v>
      </c>
    </row>
    <row r="3" spans="1:9" hidden="1" x14ac:dyDescent="0.25">
      <c r="A3" s="15" t="s">
        <v>322</v>
      </c>
      <c r="B3" s="14" t="s">
        <v>320</v>
      </c>
      <c r="C3" s="14" t="str">
        <f t="array" ref="C3">IFERROR(INDEX($B$3:$B$12, MATCH(0, COUNTIF($C$2:C2, $B$3:$B$12&amp;"") + IF($B$3:$B$12="",1,0), 0)), "")</f>
        <v>[Account (Name)]</v>
      </c>
      <c r="D3" s="14" t="s">
        <v>332</v>
      </c>
      <c r="E3" s="15" t="s">
        <v>321</v>
      </c>
      <c r="F3" s="15" t="str">
        <f>A3</f>
        <v>[Account Role ID]</v>
      </c>
      <c r="G3" s="14"/>
      <c r="H3" s="14" t="str">
        <f>B3</f>
        <v>[Account (Name)]</v>
      </c>
      <c r="I3" s="14" t="s">
        <v>2145</v>
      </c>
    </row>
    <row r="4" spans="1:9" x14ac:dyDescent="0.25">
      <c r="A4" s="15" t="s">
        <v>6591</v>
      </c>
      <c r="B4" s="14" t="s">
        <v>752</v>
      </c>
      <c r="C4" s="14" t="str">
        <f t="array" ref="C4">IFERROR(INDEX($B$3:$B$12, MATCH(0, COUNTIF($C$2:C3, $B$3:$B$12&amp;"") + IF($B$3:$B$12="",1,0), 0)), "")</f>
        <v>United Nations Development Programme</v>
      </c>
      <c r="D4" s="14" t="s">
        <v>6592</v>
      </c>
      <c r="E4" s="15" t="s">
        <v>6593</v>
      </c>
      <c r="F4" s="15" t="str">
        <f t="shared" ref="F4:F11" si="0">A4</f>
        <v>AR-07593</v>
      </c>
      <c r="G4" s="14"/>
      <c r="H4" s="14" t="str">
        <f t="shared" ref="H4:H11" si="1">B4</f>
        <v>United Nations Development Programme</v>
      </c>
      <c r="I4" s="14"/>
    </row>
    <row r="5" spans="1:9" x14ac:dyDescent="0.25">
      <c r="A5" s="15" t="s">
        <v>6594</v>
      </c>
      <c r="B5" s="14" t="s">
        <v>752</v>
      </c>
      <c r="C5" s="14" t="str">
        <f t="array" ref="C5">IFERROR(INDEX($B$3:$B$12, MATCH(0, COUNTIF($C$2:C4, $B$3:$B$12&amp;"") + IF($B$3:$B$12="",1,0), 0)), "")</f>
        <v>Project HOPE  - the People to People Health Foundation</v>
      </c>
      <c r="D5" s="14" t="s">
        <v>6592</v>
      </c>
      <c r="E5" s="15" t="s">
        <v>6595</v>
      </c>
      <c r="F5" s="15" t="str">
        <f t="shared" si="0"/>
        <v>AR-01028</v>
      </c>
      <c r="G5" s="14"/>
      <c r="H5" s="14" t="str">
        <f t="shared" si="1"/>
        <v>United Nations Development Programme</v>
      </c>
      <c r="I5" s="14"/>
    </row>
    <row r="6" spans="1:9" x14ac:dyDescent="0.25">
      <c r="A6" s="15" t="s">
        <v>6596</v>
      </c>
      <c r="B6" s="14" t="s">
        <v>752</v>
      </c>
      <c r="C6" s="14" t="str">
        <f t="array" ref="C6">IFERROR(INDEX($B$3:$B$12, MATCH(0, COUNTIF($C$2:C5, $B$3:$B$12&amp;"") + IF($B$3:$B$12="",1,0), 0)), "")</f>
        <v/>
      </c>
      <c r="D6" s="14" t="s">
        <v>6592</v>
      </c>
      <c r="E6" s="15" t="s">
        <v>6597</v>
      </c>
      <c r="F6" s="15" t="str">
        <f t="shared" si="0"/>
        <v>AR-01029</v>
      </c>
      <c r="G6" s="14"/>
      <c r="H6" s="14" t="str">
        <f t="shared" si="1"/>
        <v>United Nations Development Programme</v>
      </c>
      <c r="I6" s="14"/>
    </row>
    <row r="7" spans="1:9" x14ac:dyDescent="0.25">
      <c r="A7" s="15" t="s">
        <v>6598</v>
      </c>
      <c r="B7" s="14" t="s">
        <v>752</v>
      </c>
      <c r="C7" s="14" t="str">
        <f t="array" ref="C7">IFERROR(INDEX($B$3:$B$12, MATCH(0, COUNTIF($C$2:C6, $B$3:$B$12&amp;"") + IF($B$3:$B$12="",1,0), 0)), "")</f>
        <v/>
      </c>
      <c r="D7" s="14" t="s">
        <v>6592</v>
      </c>
      <c r="E7" s="15" t="s">
        <v>6599</v>
      </c>
      <c r="F7" s="15" t="str">
        <f t="shared" si="0"/>
        <v>AR-01030</v>
      </c>
      <c r="G7" s="14"/>
      <c r="H7" s="14" t="str">
        <f t="shared" si="1"/>
        <v>United Nations Development Programme</v>
      </c>
      <c r="I7" s="14"/>
    </row>
    <row r="8" spans="1:9" x14ac:dyDescent="0.25">
      <c r="A8" s="15" t="s">
        <v>6600</v>
      </c>
      <c r="B8" s="14" t="s">
        <v>6601</v>
      </c>
      <c r="C8" s="14" t="str">
        <f t="array" ref="C8">IFERROR(INDEX($B$3:$B$12, MATCH(0, COUNTIF($C$2:C7, $B$3:$B$12&amp;"") + IF($B$3:$B$12="",1,0), 0)), "")</f>
        <v/>
      </c>
      <c r="D8" s="14" t="s">
        <v>6602</v>
      </c>
      <c r="E8" s="15" t="s">
        <v>6603</v>
      </c>
      <c r="F8" s="15" t="str">
        <f t="shared" si="0"/>
        <v>AR-01618</v>
      </c>
      <c r="G8" s="14"/>
      <c r="H8" s="14" t="str">
        <f t="shared" si="1"/>
        <v>Project HOPE  - the People to People Health Foundation</v>
      </c>
      <c r="I8" s="14"/>
    </row>
    <row r="9" spans="1:9" x14ac:dyDescent="0.25">
      <c r="A9" s="15" t="s">
        <v>6604</v>
      </c>
      <c r="B9" s="14" t="s">
        <v>752</v>
      </c>
      <c r="C9" s="14" t="str">
        <f t="array" ref="C9">IFERROR(INDEX($B$3:$B$12, MATCH(0, COUNTIF($C$2:C8, $B$3:$B$12&amp;"") + IF($B$3:$B$12="",1,0), 0)), "")</f>
        <v/>
      </c>
      <c r="D9" s="14" t="s">
        <v>6592</v>
      </c>
      <c r="E9" s="15" t="s">
        <v>6605</v>
      </c>
      <c r="F9" s="15" t="str">
        <f t="shared" si="0"/>
        <v>AR-01027</v>
      </c>
      <c r="G9" s="14"/>
      <c r="H9" s="14" t="str">
        <f t="shared" si="1"/>
        <v>United Nations Development Programme</v>
      </c>
      <c r="I9" s="14"/>
    </row>
    <row r="10" spans="1:9" x14ac:dyDescent="0.25">
      <c r="A10" s="15" t="s">
        <v>6606</v>
      </c>
      <c r="B10" s="14" t="s">
        <v>752</v>
      </c>
      <c r="C10" s="14" t="str">
        <f t="array" ref="C10">IFERROR(INDEX($B$3:$B$12, MATCH(0, COUNTIF($C$2:C9, $B$3:$B$12&amp;"") + IF($B$3:$B$12="",1,0), 0)), "")</f>
        <v/>
      </c>
      <c r="D10" s="14" t="s">
        <v>6592</v>
      </c>
      <c r="E10" s="15" t="s">
        <v>6607</v>
      </c>
      <c r="F10" s="15" t="str">
        <f t="shared" si="0"/>
        <v>AR-04177</v>
      </c>
      <c r="G10" s="14"/>
      <c r="H10" s="14" t="str">
        <f t="shared" si="1"/>
        <v>United Nations Development Programme</v>
      </c>
      <c r="I10" s="14"/>
    </row>
    <row r="11" spans="1:9" x14ac:dyDescent="0.25">
      <c r="A11" s="15" t="s">
        <v>6608</v>
      </c>
      <c r="B11" s="14" t="s">
        <v>752</v>
      </c>
      <c r="C11" s="14" t="str">
        <f t="array" ref="C11">IFERROR(INDEX($B$3:$B$12, MATCH(0, COUNTIF($C$2:C10, $B$3:$B$12&amp;"") + IF($B$3:$B$12="",1,0), 0)), "")</f>
        <v/>
      </c>
      <c r="D11" s="14" t="s">
        <v>6592</v>
      </c>
      <c r="E11" s="15" t="s">
        <v>6609</v>
      </c>
      <c r="F11" s="15" t="str">
        <f t="shared" si="0"/>
        <v>AR-08389</v>
      </c>
      <c r="G11" s="14"/>
      <c r="H11" s="14" t="str">
        <f t="shared" si="1"/>
        <v>United Nations Development Programme</v>
      </c>
      <c r="I11" s="14"/>
    </row>
    <row r="13" spans="1:9" hidden="1" x14ac:dyDescent="0.25"/>
    <row r="14" spans="1:9" hidden="1" x14ac:dyDescent="0.25"/>
    <row r="15" spans="1:9" hidden="1" x14ac:dyDescent="0.25"/>
    <row r="16" spans="1:9" hidden="1" x14ac:dyDescent="0.25"/>
    <row r="18" spans="1:4" x14ac:dyDescent="0.25">
      <c r="A18" s="703" t="s">
        <v>6610</v>
      </c>
      <c r="B18" s="703"/>
      <c r="C18" s="703"/>
      <c r="D18" s="703"/>
    </row>
    <row r="19" spans="1:4" x14ac:dyDescent="0.25">
      <c r="A19" s="14" t="s">
        <v>319</v>
      </c>
      <c r="B19" s="14" t="s">
        <v>329</v>
      </c>
      <c r="C19" s="14"/>
      <c r="D19" s="14" t="s">
        <v>6590</v>
      </c>
    </row>
    <row r="20" spans="1:4" hidden="1" x14ac:dyDescent="0.25">
      <c r="A20" s="15" t="s">
        <v>322</v>
      </c>
      <c r="B20" s="14" t="s">
        <v>320</v>
      </c>
      <c r="C20" s="14" t="str">
        <f t="array" ref="C20">IFERROR(INDEX($B$20:$B$300, MATCH(0, COUNTIF($C$19:C19, $B$20:$B$300&amp;"") + IF($B$20:$B$300="",1,0), 0)), "")</f>
        <v>[Account (Name)]</v>
      </c>
      <c r="D20" s="14" t="s">
        <v>332</v>
      </c>
    </row>
    <row r="21" spans="1:4" x14ac:dyDescent="0.25">
      <c r="A21" s="15" t="s">
        <v>6611</v>
      </c>
      <c r="B21" s="14" t="s">
        <v>6612</v>
      </c>
      <c r="C21" s="14" t="str">
        <f t="array" ref="C21">IFERROR(INDEX($B$20:$B$300, MATCH(0, COUNTIF($C$19:C20, $B$20:$B$300&amp;"") + IF($B$20:$B$300="",1,0), 0)), "")</f>
        <v>Kazakh scientific center of dermatology and infectious diseases of the Ministry of Health of the Republic of Kazakhstan</v>
      </c>
      <c r="D21" s="14" t="s">
        <v>6613</v>
      </c>
    </row>
    <row r="22" spans="1:4" x14ac:dyDescent="0.25">
      <c r="A22" s="15" t="s">
        <v>6614</v>
      </c>
      <c r="B22" s="14" t="s">
        <v>6601</v>
      </c>
      <c r="C22" s="14" t="str">
        <f t="array" ref="C22">IFERROR(INDEX($B$20:$B$300, MATCH(0, COUNTIF($C$19:C21, $B$20:$B$300&amp;"") + IF($B$20:$B$300="",1,0), 0)), "")</f>
        <v>Project HOPE  - the People to People Health Foundation</v>
      </c>
      <c r="D22" s="14" t="s">
        <v>6615</v>
      </c>
    </row>
    <row r="23" spans="1:4" x14ac:dyDescent="0.25">
      <c r="A23" s="15" t="s">
        <v>6616</v>
      </c>
      <c r="B23" s="14" t="s">
        <v>6617</v>
      </c>
      <c r="C23" s="14" t="str">
        <f t="array" ref="C23">IFERROR(INDEX($B$20:$B$300, MATCH(0, COUNTIF($C$19:C22, $B$20:$B$300&amp;"") + IF($B$20:$B$300="",1,0), 0)), "")</f>
        <v>RSE on REU “National Scientific Center of Phthisiopulmonology of the Republic of  Kazakhstan” of the Ministry of Health of the Republic of  Kazakhstan</v>
      </c>
      <c r="D23" s="14" t="s">
        <v>6618</v>
      </c>
    </row>
    <row r="24" spans="1:4" x14ac:dyDescent="0.25">
      <c r="A24" s="15" t="s">
        <v>6619</v>
      </c>
      <c r="B24" s="14" t="s">
        <v>6612</v>
      </c>
      <c r="C24" s="14" t="str">
        <f t="array" ref="C24">IFERROR(INDEX($B$20:$B$300, MATCH(0, COUNTIF($C$19:C23, $B$20:$B$300&amp;"") + IF($B$20:$B$300="",1,0), 0)), "")</f>
        <v>United Nations Development Programme</v>
      </c>
      <c r="D24" s="14" t="s">
        <v>6613</v>
      </c>
    </row>
    <row r="25" spans="1:4" x14ac:dyDescent="0.25">
      <c r="A25" s="15" t="s">
        <v>6620</v>
      </c>
      <c r="B25" s="14" t="s">
        <v>6617</v>
      </c>
      <c r="C25" s="14" t="str">
        <f t="array" ref="C25">IFERROR(INDEX($B$20:$B$300, MATCH(0, COUNTIF($C$19:C24, $B$20:$B$300&amp;"") + IF($B$20:$B$300="",1,0), 0)), "")</f>
        <v>Republican Center of Tuberculosis Control - Tajikistan</v>
      </c>
      <c r="D25" s="14" t="s">
        <v>6618</v>
      </c>
    </row>
    <row r="26" spans="1:4" x14ac:dyDescent="0.25">
      <c r="A26" s="15" t="s">
        <v>6621</v>
      </c>
      <c r="B26" s="14" t="s">
        <v>6612</v>
      </c>
      <c r="C26" s="14" t="str">
        <f t="array" ref="C26">IFERROR(INDEX($B$20:$B$300, MATCH(0, COUNTIF($C$19:C25, $B$20:$B$300&amp;"") + IF($B$20:$B$300="",1,0), 0)), "")</f>
        <v>Republican Center to Fight AIDS</v>
      </c>
      <c r="D26" s="14" t="s">
        <v>6613</v>
      </c>
    </row>
    <row r="27" spans="1:4" x14ac:dyDescent="0.25">
      <c r="A27" s="15" t="s">
        <v>6622</v>
      </c>
      <c r="B27" s="14" t="s">
        <v>6617</v>
      </c>
      <c r="C27" s="14" t="str">
        <f t="array" ref="C27">IFERROR(INDEX($B$20:$B$300, MATCH(0, COUNTIF($C$19:C26, $B$20:$B$300&amp;"") + IF($B$20:$B$300="",1,0), 0)), "")</f>
        <v>Republican Center of State Sanitary-Epidemiological Surveillance of the Republic of Uzbekistan</v>
      </c>
      <c r="D27" s="14" t="s">
        <v>6618</v>
      </c>
    </row>
    <row r="28" spans="1:4" x14ac:dyDescent="0.25">
      <c r="A28" s="15" t="s">
        <v>6623</v>
      </c>
      <c r="B28" s="14" t="s">
        <v>6617</v>
      </c>
      <c r="C28" s="14" t="str">
        <f t="array" ref="C28">IFERROR(INDEX($B$20:$B$300, MATCH(0, COUNTIF($C$19:C27, $B$20:$B$300&amp;"") + IF($B$20:$B$300="",1,0), 0)), "")</f>
        <v>Republican DOTS Centre  Ministry of Health of the Republic of Uzbekistan</v>
      </c>
      <c r="D28" s="14" t="s">
        <v>6618</v>
      </c>
    </row>
    <row r="29" spans="1:4" x14ac:dyDescent="0.25">
      <c r="A29" s="15" t="s">
        <v>6591</v>
      </c>
      <c r="B29" s="14" t="s">
        <v>752</v>
      </c>
      <c r="C29" s="14" t="str">
        <f t="array" ref="C29">IFERROR(INDEX($B$20:$B$300, MATCH(0, COUNTIF($C$19:C28, $B$20:$B$300&amp;"") + IF($B$20:$B$300="",1,0), 0)), "")</f>
        <v>Republican Specialized Scientific-Practical Medical Center of Phthisiology and Pulmonology</v>
      </c>
      <c r="D29" s="14" t="s">
        <v>6592</v>
      </c>
    </row>
    <row r="30" spans="1:4" x14ac:dyDescent="0.25">
      <c r="A30" s="15" t="s">
        <v>6594</v>
      </c>
      <c r="B30" s="14" t="s">
        <v>752</v>
      </c>
      <c r="C30" s="14" t="str">
        <f t="array" ref="C30">IFERROR(INDEX($B$20:$B$300, MATCH(0, COUNTIF($C$19:C29, $B$20:$B$300&amp;"") + IF($B$20:$B$300="",1,0), 0)), "")</f>
        <v>Ministry of Health of Mongolia</v>
      </c>
      <c r="D30" s="14" t="s">
        <v>6592</v>
      </c>
    </row>
    <row r="31" spans="1:4" x14ac:dyDescent="0.25">
      <c r="A31" s="15" t="s">
        <v>6596</v>
      </c>
      <c r="B31" s="14" t="s">
        <v>752</v>
      </c>
      <c r="C31" s="14" t="str">
        <f t="array" ref="C31">IFERROR(INDEX($B$20:$B$300, MATCH(0, COUNTIF($C$19:C30, $B$20:$B$300&amp;"") + IF($B$20:$B$300="",1,0), 0)), "")</f>
        <v>Ministry of Health of the Lao People's Democratic Republic</v>
      </c>
      <c r="D31" s="14" t="s">
        <v>6592</v>
      </c>
    </row>
    <row r="32" spans="1:4" x14ac:dyDescent="0.25">
      <c r="A32" s="15" t="s">
        <v>6598</v>
      </c>
      <c r="B32" s="14" t="s">
        <v>752</v>
      </c>
      <c r="C32" s="14" t="str">
        <f t="array" ref="C32">IFERROR(INDEX($B$20:$B$300, MATCH(0, COUNTIF($C$19:C31, $B$20:$B$300&amp;"") + IF($B$20:$B$300="",1,0), 0)), "")</f>
        <v>Malaysian AIDS Council</v>
      </c>
      <c r="D32" s="14" t="s">
        <v>6592</v>
      </c>
    </row>
    <row r="33" spans="1:4" x14ac:dyDescent="0.25">
      <c r="A33" s="15" t="s">
        <v>6600</v>
      </c>
      <c r="B33" s="14" t="s">
        <v>6601</v>
      </c>
      <c r="C33" s="14" t="str">
        <f t="array" ref="C33">IFERROR(INDEX($B$20:$B$300, MATCH(0, COUNTIF($C$19:C32, $B$20:$B$300&amp;"") + IF($B$20:$B$300="",1,0), 0)), "")</f>
        <v>Ministry of Health of the Democratic Republic of Timor-Leste</v>
      </c>
      <c r="D33" s="14" t="s">
        <v>6602</v>
      </c>
    </row>
    <row r="34" spans="1:4" x14ac:dyDescent="0.25">
      <c r="A34" s="15" t="s">
        <v>6604</v>
      </c>
      <c r="B34" s="14" t="s">
        <v>752</v>
      </c>
      <c r="C34" s="14" t="str">
        <f t="array" ref="C34">IFERROR(INDEX($B$20:$B$300, MATCH(0, COUNTIF($C$19:C33, $B$20:$B$300&amp;"") + IF($B$20:$B$300="",1,0), 0)), "")</f>
        <v>Ministry of Health of the Royal Government of Bhutan</v>
      </c>
      <c r="D34" s="14" t="s">
        <v>6592</v>
      </c>
    </row>
    <row r="35" spans="1:4" x14ac:dyDescent="0.25">
      <c r="A35" s="15" t="s">
        <v>6606</v>
      </c>
      <c r="B35" s="14" t="s">
        <v>752</v>
      </c>
      <c r="C35" s="14" t="str">
        <f t="array" ref="C35">IFERROR(INDEX($B$20:$B$300, MATCH(0, COUNTIF($C$19:C34, $B$20:$B$300&amp;"") + IF($B$20:$B$300="",1,0), 0)), "")</f>
        <v>Ministry of Health of the Republic of Armenia</v>
      </c>
      <c r="D35" s="14" t="s">
        <v>6592</v>
      </c>
    </row>
    <row r="36" spans="1:4" x14ac:dyDescent="0.25">
      <c r="A36" s="15" t="s">
        <v>6608</v>
      </c>
      <c r="B36" s="14" t="s">
        <v>752</v>
      </c>
      <c r="C36" s="14" t="str">
        <f t="array" ref="C36">IFERROR(INDEX($B$20:$B$300, MATCH(0, COUNTIF($C$19:C35, $B$20:$B$300&amp;"") + IF($B$20:$B$300="",1,0), 0)), "")</f>
        <v>Mission East</v>
      </c>
      <c r="D36" s="14" t="s">
        <v>6592</v>
      </c>
    </row>
    <row r="37" spans="1:4" x14ac:dyDescent="0.25">
      <c r="A37" s="15" t="s">
        <v>6624</v>
      </c>
      <c r="B37" s="14" t="s">
        <v>752</v>
      </c>
      <c r="C37" s="14" t="str">
        <f t="array" ref="C37">IFERROR(INDEX($B$20:$B$300, MATCH(0, COUNTIF($C$19:C36, $B$20:$B$300&amp;"") + IF($B$20:$B$300="",1,0), 0)), "")</f>
        <v>Ministry of Health of the Republic of Azerbaijan</v>
      </c>
      <c r="D37" s="14" t="s">
        <v>6625</v>
      </c>
    </row>
    <row r="38" spans="1:4" x14ac:dyDescent="0.25">
      <c r="A38" s="15" t="s">
        <v>6626</v>
      </c>
      <c r="B38" s="14" t="s">
        <v>6601</v>
      </c>
      <c r="C38" s="14" t="str">
        <f t="array" ref="C38">IFERROR(INDEX($B$20:$B$300, MATCH(0, COUNTIF($C$19:C37, $B$20:$B$300&amp;"") + IF($B$20:$B$300="",1,0), 0)), "")</f>
        <v>Main Medical Department of the Ministry of Justice of the Republic of Azerbaijan</v>
      </c>
      <c r="D38" s="14" t="s">
        <v>6602</v>
      </c>
    </row>
    <row r="39" spans="1:4" x14ac:dyDescent="0.25">
      <c r="A39" s="15" t="s">
        <v>6627</v>
      </c>
      <c r="B39" s="14" t="s">
        <v>6628</v>
      </c>
      <c r="C39" s="14" t="str">
        <f t="array" ref="C39">IFERROR(INDEX($B$20:$B$300, MATCH(0, COUNTIF($C$19:C38, $B$20:$B$300&amp;"") + IF($B$20:$B$300="",1,0), 0)), "")</f>
        <v>National Center For Disease Control and Public Health</v>
      </c>
      <c r="D39" s="14" t="s">
        <v>6629</v>
      </c>
    </row>
    <row r="40" spans="1:4" x14ac:dyDescent="0.25">
      <c r="A40" s="15" t="s">
        <v>6630</v>
      </c>
      <c r="B40" s="14" t="s">
        <v>752</v>
      </c>
      <c r="C40" s="14" t="str">
        <f t="array" ref="C40">IFERROR(INDEX($B$20:$B$300, MATCH(0, COUNTIF($C$19:C39, $B$20:$B$300&amp;"") + IF($B$20:$B$300="",1,0), 0)), "")</f>
        <v>Republican Scientific and Practical Center for Medical Technologies, Informatization, Administration and Management of Health</v>
      </c>
      <c r="D40" s="14" t="s">
        <v>6625</v>
      </c>
    </row>
    <row r="41" spans="1:4" x14ac:dyDescent="0.25">
      <c r="A41" s="15" t="s">
        <v>6631</v>
      </c>
      <c r="B41" s="14" t="s">
        <v>752</v>
      </c>
      <c r="C41" s="14" t="str">
        <f t="array" ref="C41">IFERROR(INDEX($B$20:$B$300, MATCH(0, COUNTIF($C$19:C40, $B$20:$B$300&amp;"") + IF($B$20:$B$300="",1,0), 0)), "")</f>
        <v>Public Institution - Coordination, Implementation and Monitoring Unit of the Health  System Projects</v>
      </c>
      <c r="D41" s="14" t="s">
        <v>6625</v>
      </c>
    </row>
    <row r="42" spans="1:4" x14ac:dyDescent="0.25">
      <c r="A42" s="15" t="s">
        <v>6632</v>
      </c>
      <c r="B42" s="14" t="s">
        <v>6601</v>
      </c>
      <c r="C42" s="14" t="str">
        <f t="array" ref="C42">IFERROR(INDEX($B$20:$B$300, MATCH(0, COUNTIF($C$19:C41, $B$20:$B$300&amp;"") + IF($B$20:$B$300="",1,0), 0)), "")</f>
        <v>Center for Health Policies and Studies</v>
      </c>
      <c r="D42" s="14" t="s">
        <v>6602</v>
      </c>
    </row>
    <row r="43" spans="1:4" x14ac:dyDescent="0.25">
      <c r="A43" s="15" t="s">
        <v>6633</v>
      </c>
      <c r="B43" s="14" t="s">
        <v>752</v>
      </c>
      <c r="C43" s="14" t="str">
        <f t="array" ref="C43">IFERROR(INDEX($B$20:$B$300, MATCH(0, COUNTIF($C$19:C42, $B$20:$B$300&amp;"") + IF($B$20:$B$300="",1,0), 0)), "")</f>
        <v>State Institution "Public Health Center of the Ministry of Health of Ukraine"</v>
      </c>
      <c r="D43" s="14" t="s">
        <v>6625</v>
      </c>
    </row>
    <row r="44" spans="1:4" x14ac:dyDescent="0.25">
      <c r="A44" s="15" t="s">
        <v>6634</v>
      </c>
      <c r="B44" s="14" t="s">
        <v>752</v>
      </c>
      <c r="C44" s="14" t="str">
        <f t="array" ref="C44">IFERROR(INDEX($B$20:$B$300, MATCH(0, COUNTIF($C$19:C43, $B$20:$B$300&amp;"") + IF($B$20:$B$300="",1,0), 0)), "")</f>
        <v>Charitable Organization "All-Ukrainian Network of People Living with HIV/AIDS"</v>
      </c>
      <c r="D44" s="14" t="s">
        <v>6625</v>
      </c>
    </row>
    <row r="45" spans="1:4" x14ac:dyDescent="0.25">
      <c r="A45" s="15" t="s">
        <v>6635</v>
      </c>
      <c r="B45" s="14" t="s">
        <v>752</v>
      </c>
      <c r="C45" s="14" t="str">
        <f t="array" ref="C45">IFERROR(INDEX($B$20:$B$300, MATCH(0, COUNTIF($C$19:C44, $B$20:$B$300&amp;"") + IF($B$20:$B$300="",1,0), 0)), "")</f>
        <v>International Charitable Foundation “Alliance for Public Health”</v>
      </c>
      <c r="D45" s="14" t="s">
        <v>6625</v>
      </c>
    </row>
    <row r="46" spans="1:4" x14ac:dyDescent="0.25">
      <c r="A46" s="15" t="s">
        <v>6636</v>
      </c>
      <c r="B46" s="14" t="s">
        <v>6628</v>
      </c>
      <c r="C46" s="14" t="str">
        <f t="array" ref="C46">IFERROR(INDEX($B$20:$B$300, MATCH(0, COUNTIF($C$19:C45, $B$20:$B$300&amp;"") + IF($B$20:$B$300="",1,0), 0)), "")</f>
        <v>United Nations Children's Fund</v>
      </c>
      <c r="D46" s="14" t="s">
        <v>6629</v>
      </c>
    </row>
    <row r="47" spans="1:4" x14ac:dyDescent="0.25">
      <c r="A47" s="15" t="s">
        <v>6637</v>
      </c>
      <c r="B47" s="14" t="s">
        <v>6601</v>
      </c>
      <c r="C47" s="14" t="str">
        <f t="array" ref="C47">IFERROR(INDEX($B$20:$B$300, MATCH(0, COUNTIF($C$19:C46, $B$20:$B$300&amp;"") + IF($B$20:$B$300="",1,0), 0)), "")</f>
        <v>World Vision (PNG) Trust</v>
      </c>
      <c r="D47" s="14" t="s">
        <v>6602</v>
      </c>
    </row>
    <row r="48" spans="1:4" x14ac:dyDescent="0.25">
      <c r="A48" s="15" t="s">
        <v>6638</v>
      </c>
      <c r="B48" s="14" t="s">
        <v>752</v>
      </c>
      <c r="C48" s="14" t="str">
        <f t="array" ref="C48">IFERROR(INDEX($B$20:$B$300, MATCH(0, COUNTIF($C$19:C47, $B$20:$B$300&amp;"") + IF($B$20:$B$300="",1,0), 0)), "")</f>
        <v>The Rotary Club of Port Moresby Inc.</v>
      </c>
      <c r="D48" s="14" t="s">
        <v>6625</v>
      </c>
    </row>
    <row r="49" spans="1:4" x14ac:dyDescent="0.25">
      <c r="A49" s="15" t="s">
        <v>6639</v>
      </c>
      <c r="B49" s="14" t="s">
        <v>752</v>
      </c>
      <c r="C49" s="14" t="str">
        <f t="array" ref="C49">IFERROR(INDEX($B$20:$B$300, MATCH(0, COUNTIF($C$19:C48, $B$20:$B$300&amp;"") + IF($B$20:$B$300="",1,0), 0)), "")</f>
        <v>Oil Search Foundation</v>
      </c>
      <c r="D49" s="14" t="s">
        <v>6640</v>
      </c>
    </row>
    <row r="50" spans="1:4" x14ac:dyDescent="0.25">
      <c r="A50" s="15" t="s">
        <v>6641</v>
      </c>
      <c r="B50" s="14" t="s">
        <v>752</v>
      </c>
      <c r="C50" s="14" t="str">
        <f t="array" ref="C50">IFERROR(INDEX($B$20:$B$300, MATCH(0, COUNTIF($C$19:C49, $B$20:$B$300&amp;"") + IF($B$20:$B$300="",1,0), 0)), "")</f>
        <v>Population Services International</v>
      </c>
      <c r="D50" s="14" t="s">
        <v>6640</v>
      </c>
    </row>
    <row r="51" spans="1:4" x14ac:dyDescent="0.25">
      <c r="A51" s="15" t="s">
        <v>6642</v>
      </c>
      <c r="B51" s="14" t="s">
        <v>752</v>
      </c>
      <c r="C51" s="14" t="str">
        <f t="array" ref="C51">IFERROR(INDEX($B$20:$B$300, MATCH(0, COUNTIF($C$19:C50, $B$20:$B$300&amp;"") + IF($B$20:$B$300="",1,0), 0)), "")</f>
        <v>Federal Ministry of Health of the Federal Democratic Republic of Ethiopia</v>
      </c>
      <c r="D51" s="14" t="s">
        <v>6640</v>
      </c>
    </row>
    <row r="52" spans="1:4" x14ac:dyDescent="0.25">
      <c r="A52" s="15" t="s">
        <v>6643</v>
      </c>
      <c r="B52" s="14" t="s">
        <v>752</v>
      </c>
      <c r="C52" s="14" t="str">
        <f t="array" ref="C52">IFERROR(INDEX($B$20:$B$300, MATCH(0, COUNTIF($C$19:C51, $B$20:$B$300&amp;"") + IF($B$20:$B$300="",1,0), 0)), "")</f>
        <v>HIV/AIDS Prevention and Control Office</v>
      </c>
      <c r="D52" s="14" t="s">
        <v>6640</v>
      </c>
    </row>
    <row r="53" spans="1:4" x14ac:dyDescent="0.25">
      <c r="A53" s="15" t="s">
        <v>6644</v>
      </c>
      <c r="B53" s="14" t="s">
        <v>6645</v>
      </c>
      <c r="C53" s="14" t="str">
        <f t="array" ref="C53">IFERROR(INDEX($B$20:$B$300, MATCH(0, COUNTIF($C$19:C52, $B$20:$B$300&amp;"") + IF($B$20:$B$300="",1,0), 0)), "")</f>
        <v>Amref Health Africa</v>
      </c>
      <c r="D53" s="14" t="s">
        <v>6646</v>
      </c>
    </row>
    <row r="54" spans="1:4" x14ac:dyDescent="0.25">
      <c r="A54" s="15" t="s">
        <v>6647</v>
      </c>
      <c r="B54" s="14" t="s">
        <v>6648</v>
      </c>
      <c r="C54" s="14" t="str">
        <f t="array" ref="C54">IFERROR(INDEX($B$20:$B$300, MATCH(0, COUNTIF($C$19:C53, $B$20:$B$300&amp;"") + IF($B$20:$B$300="",1,0), 0)), "")</f>
        <v>National Treasury of the Republic of Kenya</v>
      </c>
      <c r="D54" s="14" t="s">
        <v>6649</v>
      </c>
    </row>
    <row r="55" spans="1:4" x14ac:dyDescent="0.25">
      <c r="A55" s="15" t="s">
        <v>6650</v>
      </c>
      <c r="B55" s="14" t="s">
        <v>6651</v>
      </c>
      <c r="C55" s="14" t="str">
        <f t="array" ref="C55">IFERROR(INDEX($B$20:$B$300, MATCH(0, COUNTIF($C$19:C54, $B$20:$B$300&amp;"") + IF($B$20:$B$300="",1,0), 0)), "")</f>
        <v>Kenya Red Cross Society</v>
      </c>
      <c r="D55" s="14" t="s">
        <v>6652</v>
      </c>
    </row>
    <row r="56" spans="1:4" x14ac:dyDescent="0.25">
      <c r="A56" s="15" t="s">
        <v>6653</v>
      </c>
      <c r="B56" s="14" t="s">
        <v>6648</v>
      </c>
      <c r="C56" s="14" t="str">
        <f t="array" ref="C56">IFERROR(INDEX($B$20:$B$300, MATCH(0, COUNTIF($C$19:C55, $B$20:$B$300&amp;"") + IF($B$20:$B$300="",1,0), 0)), "")</f>
        <v>World Vision International</v>
      </c>
      <c r="D56" s="14" t="s">
        <v>6649</v>
      </c>
    </row>
    <row r="57" spans="1:4" x14ac:dyDescent="0.25">
      <c r="A57" s="15" t="s">
        <v>6654</v>
      </c>
      <c r="B57" s="14" t="s">
        <v>752</v>
      </c>
      <c r="C57" s="14" t="str">
        <f t="array" ref="C57">IFERROR(INDEX($B$20:$B$300, MATCH(0, COUNTIF($C$19:C56, $B$20:$B$300&amp;"") + IF($B$20:$B$300="",1,0), 0)), "")</f>
        <v>Ministry of Finance, Planning and Economic Development of the Republic of Uganda</v>
      </c>
      <c r="D57" s="14" t="s">
        <v>6655</v>
      </c>
    </row>
    <row r="58" spans="1:4" x14ac:dyDescent="0.25">
      <c r="A58" s="15" t="s">
        <v>6656</v>
      </c>
      <c r="B58" s="14" t="s">
        <v>6645</v>
      </c>
      <c r="C58" s="14" t="str">
        <f t="array" ref="C58">IFERROR(INDEX($B$20:$B$300, MATCH(0, COUNTIF($C$19:C57, $B$20:$B$300&amp;"") + IF($B$20:$B$300="",1,0), 0)), "")</f>
        <v>The AIDS Support Organisation (Uganda) Limited</v>
      </c>
      <c r="D58" s="14" t="s">
        <v>6646</v>
      </c>
    </row>
    <row r="59" spans="1:4" x14ac:dyDescent="0.25">
      <c r="A59" s="15" t="s">
        <v>6657</v>
      </c>
      <c r="B59" s="14" t="s">
        <v>6651</v>
      </c>
      <c r="C59" s="14" t="str">
        <f t="array" ref="C59">IFERROR(INDEX($B$20:$B$300, MATCH(0, COUNTIF($C$19:C58, $B$20:$B$300&amp;"") + IF($B$20:$B$300="",1,0), 0)), "")</f>
        <v>Federal Ministry of Health of the Republic of Sudan</v>
      </c>
      <c r="D59" s="14" t="s">
        <v>6652</v>
      </c>
    </row>
    <row r="60" spans="1:4" x14ac:dyDescent="0.25">
      <c r="A60" s="15" t="s">
        <v>6658</v>
      </c>
      <c r="B60" s="14" t="s">
        <v>6651</v>
      </c>
      <c r="C60" s="14" t="str">
        <f t="array" ref="C60">IFERROR(INDEX($B$20:$B$300, MATCH(0, COUNTIF($C$19:C59, $B$20:$B$300&amp;"") + IF($B$20:$B$300="",1,0), 0)), "")</f>
        <v>Conseil National de Lutte contre le VIH/SIDA, la Tuberculose, le Paludisme, les Hépatites, les Infections sexuellement transmissibles et les Epidémies</v>
      </c>
      <c r="D60" s="14" t="s">
        <v>6652</v>
      </c>
    </row>
    <row r="61" spans="1:4" x14ac:dyDescent="0.25">
      <c r="A61" s="15" t="s">
        <v>6659</v>
      </c>
      <c r="B61" s="14" t="s">
        <v>6645</v>
      </c>
      <c r="C61" s="14" t="str">
        <f t="array" ref="C61">IFERROR(INDEX($B$20:$B$300, MATCH(0, COUNTIF($C$19:C60, $B$20:$B$300&amp;"") + IF($B$20:$B$300="",1,0), 0)), "")</f>
        <v>Programme santé de lutte contre le Sida</v>
      </c>
      <c r="D61" s="14" t="s">
        <v>6646</v>
      </c>
    </row>
    <row r="62" spans="1:4" x14ac:dyDescent="0.25">
      <c r="A62" s="15" t="s">
        <v>6660</v>
      </c>
      <c r="B62" s="14" t="s">
        <v>6661</v>
      </c>
      <c r="C62" s="14" t="str">
        <f t="array" ref="C62">IFERROR(INDEX($B$20:$B$300, MATCH(0, COUNTIF($C$19:C61, $B$20:$B$300&amp;"") + IF($B$20:$B$300="",1,0), 0)), "")</f>
        <v>Plan International, Inc.</v>
      </c>
      <c r="D62" s="14" t="s">
        <v>6662</v>
      </c>
    </row>
    <row r="63" spans="1:4" x14ac:dyDescent="0.25">
      <c r="A63" s="15" t="s">
        <v>6663</v>
      </c>
      <c r="B63" s="14" t="s">
        <v>6651</v>
      </c>
      <c r="C63" s="14" t="str">
        <f t="array" ref="C63">IFERROR(INDEX($B$20:$B$300, MATCH(0, COUNTIF($C$19:C62, $B$20:$B$300&amp;"") + IF($B$20:$B$300="",1,0), 0)), "")</f>
        <v>Programme National de Lutte contre le Paludisme de la République du Bénin</v>
      </c>
      <c r="D63" s="14" t="s">
        <v>6652</v>
      </c>
    </row>
    <row r="64" spans="1:4" x14ac:dyDescent="0.25">
      <c r="A64" s="15" t="s">
        <v>6664</v>
      </c>
      <c r="B64" s="14" t="s">
        <v>6661</v>
      </c>
      <c r="C64" s="14" t="str">
        <f t="array" ref="C64">IFERROR(INDEX($B$20:$B$300, MATCH(0, COUNTIF($C$19:C63, $B$20:$B$300&amp;"") + IF($B$20:$B$300="",1,0), 0)), "")</f>
        <v>National Tuberculosis Programme of the Republic of Benin</v>
      </c>
      <c r="D64" s="14" t="s">
        <v>6662</v>
      </c>
    </row>
    <row r="65" spans="1:4" x14ac:dyDescent="0.25">
      <c r="A65" s="15" t="s">
        <v>6665</v>
      </c>
      <c r="B65" s="14" t="s">
        <v>6645</v>
      </c>
      <c r="C65" s="14" t="str">
        <f t="array" ref="C65">IFERROR(INDEX($B$20:$B$300, MATCH(0, COUNTIF($C$19:C64, $B$20:$B$300&amp;"") + IF($B$20:$B$300="",1,0), 0)), "")</f>
        <v>Africare</v>
      </c>
      <c r="D65" s="14" t="s">
        <v>6646</v>
      </c>
    </row>
    <row r="66" spans="1:4" x14ac:dyDescent="0.25">
      <c r="A66" s="15" t="s">
        <v>6666</v>
      </c>
      <c r="B66" s="14" t="s">
        <v>6667</v>
      </c>
      <c r="C66" s="14" t="str">
        <f t="array" ref="C66">IFERROR(INDEX($B$20:$B$300, MATCH(0, COUNTIF($C$19:C65, $B$20:$B$300&amp;"") + IF($B$20:$B$300="",1,0), 0)), "")</f>
        <v>Catholic Relief Services - United States Conference of Catholic Bishops</v>
      </c>
      <c r="D66" s="14" t="s">
        <v>6668</v>
      </c>
    </row>
    <row r="67" spans="1:4" x14ac:dyDescent="0.25">
      <c r="A67" s="15" t="s">
        <v>6669</v>
      </c>
      <c r="B67" s="14" t="s">
        <v>6667</v>
      </c>
      <c r="C67" s="14" t="str">
        <f t="array" ref="C67">IFERROR(INDEX($B$20:$B$300, MATCH(0, COUNTIF($C$19:C66, $B$20:$B$300&amp;"") + IF($B$20:$B$300="",1,0), 0)), "")</f>
        <v>Health System Performance Program</v>
      </c>
      <c r="D67" s="14" t="s">
        <v>6668</v>
      </c>
    </row>
    <row r="68" spans="1:4" x14ac:dyDescent="0.25">
      <c r="A68" s="15" t="s">
        <v>6670</v>
      </c>
      <c r="B68" s="14" t="s">
        <v>6667</v>
      </c>
      <c r="C68" s="14" t="str">
        <f t="array" ref="C68">IFERROR(INDEX($B$20:$B$300, MATCH(0, COUNTIF($C$19:C67, $B$20:$B$300&amp;"") + IF($B$20:$B$300="",1,0), 0)), "")</f>
        <v/>
      </c>
      <c r="D68" s="14" t="s">
        <v>6668</v>
      </c>
    </row>
    <row r="69" spans="1:4" x14ac:dyDescent="0.25">
      <c r="A69" s="15" t="s">
        <v>6671</v>
      </c>
      <c r="B69" s="14" t="s">
        <v>6667</v>
      </c>
      <c r="C69" s="14" t="str">
        <f t="array" ref="C69">IFERROR(INDEX($B$20:$B$300, MATCH(0, COUNTIF($C$19:C68, $B$20:$B$300&amp;"") + IF($B$20:$B$300="",1,0), 0)), "")</f>
        <v/>
      </c>
      <c r="D69" s="14" t="s">
        <v>6668</v>
      </c>
    </row>
    <row r="70" spans="1:4" x14ac:dyDescent="0.25">
      <c r="A70" s="15" t="s">
        <v>6672</v>
      </c>
      <c r="B70" s="14" t="s">
        <v>6667</v>
      </c>
      <c r="C70" s="14" t="str">
        <f t="array" ref="C70">IFERROR(INDEX($B$20:$B$300, MATCH(0, COUNTIF($C$19:C69, $B$20:$B$300&amp;"") + IF($B$20:$B$300="",1,0), 0)), "")</f>
        <v/>
      </c>
      <c r="D70" s="14" t="s">
        <v>6668</v>
      </c>
    </row>
    <row r="71" spans="1:4" x14ac:dyDescent="0.25">
      <c r="A71" s="15" t="s">
        <v>6673</v>
      </c>
      <c r="B71" s="14" t="s">
        <v>6667</v>
      </c>
      <c r="C71" s="14" t="str">
        <f t="array" ref="C71">IFERROR(INDEX($B$20:$B$300, MATCH(0, COUNTIF($C$19:C70, $B$20:$B$300&amp;"") + IF($B$20:$B$300="",1,0), 0)), "")</f>
        <v/>
      </c>
      <c r="D71" s="14" t="s">
        <v>6668</v>
      </c>
    </row>
    <row r="72" spans="1:4" x14ac:dyDescent="0.25">
      <c r="A72" s="15" t="s">
        <v>6674</v>
      </c>
      <c r="B72" s="14" t="s">
        <v>6667</v>
      </c>
      <c r="C72" s="14" t="str">
        <f t="array" ref="C72">IFERROR(INDEX($B$20:$B$300, MATCH(0, COUNTIF($C$19:C71, $B$20:$B$300&amp;"") + IF($B$20:$B$300="",1,0), 0)), "")</f>
        <v/>
      </c>
      <c r="D72" s="14" t="s">
        <v>6668</v>
      </c>
    </row>
    <row r="73" spans="1:4" x14ac:dyDescent="0.25">
      <c r="A73" s="15" t="s">
        <v>6675</v>
      </c>
      <c r="B73" s="14" t="s">
        <v>6676</v>
      </c>
      <c r="C73" s="14" t="str">
        <f t="array" ref="C73">IFERROR(INDEX($B$20:$B$300, MATCH(0, COUNTIF($C$19:C72, $B$20:$B$300&amp;"") + IF($B$20:$B$300="",1,0), 0)), "")</f>
        <v/>
      </c>
      <c r="D73" s="14" t="s">
        <v>6677</v>
      </c>
    </row>
    <row r="74" spans="1:4" x14ac:dyDescent="0.25">
      <c r="A74" s="15" t="s">
        <v>6678</v>
      </c>
      <c r="B74" s="14" t="s">
        <v>6676</v>
      </c>
      <c r="C74" s="14" t="str">
        <f t="array" ref="C74">IFERROR(INDEX($B$20:$B$300, MATCH(0, COUNTIF($C$19:C73, $B$20:$B$300&amp;"") + IF($B$20:$B$300="",1,0), 0)), "")</f>
        <v/>
      </c>
      <c r="D74" s="14" t="s">
        <v>6677</v>
      </c>
    </row>
    <row r="75" spans="1:4" x14ac:dyDescent="0.25">
      <c r="A75" s="15" t="s">
        <v>6679</v>
      </c>
      <c r="B75" s="14" t="s">
        <v>6676</v>
      </c>
      <c r="C75" s="14" t="str">
        <f t="array" ref="C75">IFERROR(INDEX($B$20:$B$300, MATCH(0, COUNTIF($C$19:C74, $B$20:$B$300&amp;"") + IF($B$20:$B$300="",1,0), 0)), "")</f>
        <v/>
      </c>
      <c r="D75" s="14" t="s">
        <v>6677</v>
      </c>
    </row>
    <row r="76" spans="1:4" x14ac:dyDescent="0.25">
      <c r="A76" s="15" t="s">
        <v>6680</v>
      </c>
      <c r="B76" s="14" t="s">
        <v>6676</v>
      </c>
      <c r="C76" s="14" t="str">
        <f t="array" ref="C76">IFERROR(INDEX($B$20:$B$300, MATCH(0, COUNTIF($C$19:C75, $B$20:$B$300&amp;"") + IF($B$20:$B$300="",1,0), 0)), "")</f>
        <v/>
      </c>
      <c r="D76" s="14" t="s">
        <v>6677</v>
      </c>
    </row>
    <row r="77" spans="1:4" x14ac:dyDescent="0.25">
      <c r="A77" s="15" t="s">
        <v>6681</v>
      </c>
      <c r="B77" s="14" t="s">
        <v>6676</v>
      </c>
      <c r="C77" s="14" t="str">
        <f t="array" ref="C77">IFERROR(INDEX($B$20:$B$300, MATCH(0, COUNTIF($C$19:C76, $B$20:$B$300&amp;"") + IF($B$20:$B$300="",1,0), 0)), "")</f>
        <v/>
      </c>
      <c r="D77" s="14" t="s">
        <v>6677</v>
      </c>
    </row>
    <row r="78" spans="1:4" x14ac:dyDescent="0.25">
      <c r="A78" s="15" t="s">
        <v>6682</v>
      </c>
      <c r="B78" s="14" t="s">
        <v>6676</v>
      </c>
      <c r="C78" s="14" t="str">
        <f t="array" ref="C78">IFERROR(INDEX($B$20:$B$300, MATCH(0, COUNTIF($C$19:C77, $B$20:$B$300&amp;"") + IF($B$20:$B$300="",1,0), 0)), "")</f>
        <v/>
      </c>
      <c r="D78" s="14" t="s">
        <v>6677</v>
      </c>
    </row>
    <row r="79" spans="1:4" x14ac:dyDescent="0.25">
      <c r="A79" s="15" t="s">
        <v>6683</v>
      </c>
      <c r="B79" s="14" t="s">
        <v>6676</v>
      </c>
      <c r="C79" s="14" t="str">
        <f t="array" ref="C79">IFERROR(INDEX($B$20:$B$300, MATCH(0, COUNTIF($C$19:C78, $B$20:$B$300&amp;"") + IF($B$20:$B$300="",1,0), 0)), "")</f>
        <v/>
      </c>
      <c r="D79" s="14" t="s">
        <v>6677</v>
      </c>
    </row>
    <row r="80" spans="1:4" x14ac:dyDescent="0.25">
      <c r="A80" s="15" t="s">
        <v>6684</v>
      </c>
      <c r="B80" s="14" t="s">
        <v>6676</v>
      </c>
      <c r="C80" s="14" t="str">
        <f t="array" ref="C80">IFERROR(INDEX($B$20:$B$300, MATCH(0, COUNTIF($C$19:C79, $B$20:$B$300&amp;"") + IF($B$20:$B$300="",1,0), 0)), "")</f>
        <v/>
      </c>
      <c r="D80" s="14" t="s">
        <v>6677</v>
      </c>
    </row>
    <row r="81" spans="1:4" x14ac:dyDescent="0.25">
      <c r="A81" s="15" t="s">
        <v>6685</v>
      </c>
      <c r="B81" s="14" t="s">
        <v>6676</v>
      </c>
      <c r="C81" s="14" t="str">
        <f t="array" ref="C81">IFERROR(INDEX($B$20:$B$300, MATCH(0, COUNTIF($C$19:C80, $B$20:$B$300&amp;"") + IF($B$20:$B$300="",1,0), 0)), "")</f>
        <v/>
      </c>
      <c r="D81" s="14" t="s">
        <v>6677</v>
      </c>
    </row>
    <row r="82" spans="1:4" x14ac:dyDescent="0.25">
      <c r="A82" s="15" t="s">
        <v>6686</v>
      </c>
      <c r="B82" s="14" t="s">
        <v>6687</v>
      </c>
      <c r="C82" s="14" t="str">
        <f t="array" ref="C82">IFERROR(INDEX($B$20:$B$300, MATCH(0, COUNTIF($C$19:C81, $B$20:$B$300&amp;"") + IF($B$20:$B$300="",1,0), 0)), "")</f>
        <v/>
      </c>
      <c r="D82" s="14" t="s">
        <v>6688</v>
      </c>
    </row>
    <row r="83" spans="1:4" x14ac:dyDescent="0.25">
      <c r="A83" s="15" t="s">
        <v>6689</v>
      </c>
      <c r="B83" s="14" t="s">
        <v>6687</v>
      </c>
      <c r="C83" s="14" t="str">
        <f t="array" ref="C83">IFERROR(INDEX($B$20:$B$300, MATCH(0, COUNTIF($C$19:C82, $B$20:$B$300&amp;"") + IF($B$20:$B$300="",1,0), 0)), "")</f>
        <v/>
      </c>
      <c r="D83" s="14" t="s">
        <v>6688</v>
      </c>
    </row>
    <row r="84" spans="1:4" x14ac:dyDescent="0.25">
      <c r="A84" s="15" t="s">
        <v>6690</v>
      </c>
      <c r="B84" s="14" t="s">
        <v>6687</v>
      </c>
      <c r="C84" s="14" t="str">
        <f t="array" ref="C84">IFERROR(INDEX($B$20:$B$300, MATCH(0, COUNTIF($C$19:C83, $B$20:$B$300&amp;"") + IF($B$20:$B$300="",1,0), 0)), "")</f>
        <v/>
      </c>
      <c r="D84" s="14" t="s">
        <v>6688</v>
      </c>
    </row>
    <row r="85" spans="1:4" x14ac:dyDescent="0.25">
      <c r="A85" s="15" t="s">
        <v>6691</v>
      </c>
      <c r="B85" s="14" t="s">
        <v>6687</v>
      </c>
      <c r="C85" s="14" t="str">
        <f t="array" ref="C85">IFERROR(INDEX($B$20:$B$300, MATCH(0, COUNTIF($C$19:C84, $B$20:$B$300&amp;"") + IF($B$20:$B$300="",1,0), 0)), "")</f>
        <v/>
      </c>
      <c r="D85" s="14" t="s">
        <v>6688</v>
      </c>
    </row>
    <row r="86" spans="1:4" x14ac:dyDescent="0.25">
      <c r="A86" s="15" t="s">
        <v>6692</v>
      </c>
      <c r="B86" s="14" t="s">
        <v>6693</v>
      </c>
      <c r="C86" s="14" t="str">
        <f t="array" ref="C86">IFERROR(INDEX($B$20:$B$300, MATCH(0, COUNTIF($C$19:C85, $B$20:$B$300&amp;"") + IF($B$20:$B$300="",1,0), 0)), "")</f>
        <v/>
      </c>
      <c r="D86" s="14" t="s">
        <v>6694</v>
      </c>
    </row>
    <row r="87" spans="1:4" x14ac:dyDescent="0.25">
      <c r="A87" s="15" t="s">
        <v>6695</v>
      </c>
      <c r="B87" s="14" t="s">
        <v>6693</v>
      </c>
      <c r="C87" s="14" t="str">
        <f t="array" ref="C87">IFERROR(INDEX($B$20:$B$300, MATCH(0, COUNTIF($C$19:C86, $B$20:$B$300&amp;"") + IF($B$20:$B$300="",1,0), 0)), "")</f>
        <v/>
      </c>
      <c r="D87" s="14" t="s">
        <v>6694</v>
      </c>
    </row>
    <row r="88" spans="1:4" x14ac:dyDescent="0.25">
      <c r="A88" s="15" t="s">
        <v>6696</v>
      </c>
      <c r="B88" s="14" t="s">
        <v>6693</v>
      </c>
      <c r="C88" s="14" t="str">
        <f t="array" ref="C88">IFERROR(INDEX($B$20:$B$300, MATCH(0, COUNTIF($C$19:C87, $B$20:$B$300&amp;"") + IF($B$20:$B$300="",1,0), 0)), "")</f>
        <v/>
      </c>
      <c r="D88" s="14" t="s">
        <v>6694</v>
      </c>
    </row>
    <row r="89" spans="1:4" x14ac:dyDescent="0.25">
      <c r="A89" s="15" t="s">
        <v>6697</v>
      </c>
      <c r="B89" s="14" t="s">
        <v>6693</v>
      </c>
      <c r="C89" s="14" t="str">
        <f t="array" ref="C89">IFERROR(INDEX($B$20:$B$300, MATCH(0, COUNTIF($C$19:C88, $B$20:$B$300&amp;"") + IF($B$20:$B$300="",1,0), 0)), "")</f>
        <v/>
      </c>
      <c r="D89" s="14" t="s">
        <v>6694</v>
      </c>
    </row>
    <row r="90" spans="1:4" x14ac:dyDescent="0.25">
      <c r="A90" s="15" t="s">
        <v>6698</v>
      </c>
      <c r="B90" s="14" t="s">
        <v>6693</v>
      </c>
      <c r="C90" s="14" t="str">
        <f t="array" ref="C90">IFERROR(INDEX($B$20:$B$300, MATCH(0, COUNTIF($C$19:C89, $B$20:$B$300&amp;"") + IF($B$20:$B$300="",1,0), 0)), "")</f>
        <v/>
      </c>
      <c r="D90" s="14" t="s">
        <v>6694</v>
      </c>
    </row>
    <row r="91" spans="1:4" x14ac:dyDescent="0.25">
      <c r="A91" s="15" t="s">
        <v>6699</v>
      </c>
      <c r="B91" s="14" t="s">
        <v>6693</v>
      </c>
      <c r="C91" s="14" t="str">
        <f t="array" ref="C91">IFERROR(INDEX($B$20:$B$300, MATCH(0, COUNTIF($C$19:C90, $B$20:$B$300&amp;"") + IF($B$20:$B$300="",1,0), 0)), "")</f>
        <v/>
      </c>
      <c r="D91" s="14" t="s">
        <v>6694</v>
      </c>
    </row>
    <row r="92" spans="1:4" x14ac:dyDescent="0.25">
      <c r="A92" s="15" t="s">
        <v>6700</v>
      </c>
      <c r="B92" s="14" t="s">
        <v>6693</v>
      </c>
      <c r="C92" s="14" t="str">
        <f t="array" ref="C92">IFERROR(INDEX($B$20:$B$300, MATCH(0, COUNTIF($C$19:C91, $B$20:$B$300&amp;"") + IF($B$20:$B$300="",1,0), 0)), "")</f>
        <v/>
      </c>
      <c r="D92" s="14" t="s">
        <v>6694</v>
      </c>
    </row>
    <row r="93" spans="1:4" x14ac:dyDescent="0.25">
      <c r="A93" s="15" t="s">
        <v>6701</v>
      </c>
      <c r="B93" s="14" t="s">
        <v>6693</v>
      </c>
      <c r="C93" s="14" t="str">
        <f t="array" ref="C93">IFERROR(INDEX($B$20:$B$300, MATCH(0, COUNTIF($C$19:C92, $B$20:$B$300&amp;"") + IF($B$20:$B$300="",1,0), 0)), "")</f>
        <v/>
      </c>
      <c r="D93" s="14" t="s">
        <v>6694</v>
      </c>
    </row>
    <row r="94" spans="1:4" x14ac:dyDescent="0.25">
      <c r="A94" s="15" t="s">
        <v>6702</v>
      </c>
      <c r="B94" s="14" t="s">
        <v>6703</v>
      </c>
      <c r="C94" s="14" t="str">
        <f t="array" ref="C94">IFERROR(INDEX($B$20:$B$300, MATCH(0, COUNTIF($C$19:C93, $B$20:$B$300&amp;"") + IF($B$20:$B$300="",1,0), 0)), "")</f>
        <v/>
      </c>
      <c r="D94" s="14" t="s">
        <v>6704</v>
      </c>
    </row>
    <row r="95" spans="1:4" x14ac:dyDescent="0.25">
      <c r="A95" s="15" t="s">
        <v>6705</v>
      </c>
      <c r="B95" s="14" t="s">
        <v>6703</v>
      </c>
      <c r="C95" s="14" t="str">
        <f t="array" ref="C95">IFERROR(INDEX($B$20:$B$300, MATCH(0, COUNTIF($C$19:C94, $B$20:$B$300&amp;"") + IF($B$20:$B$300="",1,0), 0)), "")</f>
        <v/>
      </c>
      <c r="D95" s="14" t="s">
        <v>6704</v>
      </c>
    </row>
    <row r="96" spans="1:4" x14ac:dyDescent="0.25">
      <c r="A96" s="15" t="s">
        <v>6706</v>
      </c>
      <c r="B96" s="14" t="s">
        <v>6703</v>
      </c>
      <c r="C96" s="14" t="str">
        <f t="array" ref="C96">IFERROR(INDEX($B$20:$B$300, MATCH(0, COUNTIF($C$19:C95, $B$20:$B$300&amp;"") + IF($B$20:$B$300="",1,0), 0)), "")</f>
        <v/>
      </c>
      <c r="D96" s="14" t="s">
        <v>6704</v>
      </c>
    </row>
    <row r="97" spans="1:4" x14ac:dyDescent="0.25">
      <c r="A97" s="15" t="s">
        <v>6707</v>
      </c>
      <c r="B97" s="14" t="s">
        <v>6703</v>
      </c>
      <c r="C97" s="14" t="str">
        <f t="array" ref="C97">IFERROR(INDEX($B$20:$B$300, MATCH(0, COUNTIF($C$19:C96, $B$20:$B$300&amp;"") + IF($B$20:$B$300="",1,0), 0)), "")</f>
        <v/>
      </c>
      <c r="D97" s="14" t="s">
        <v>6704</v>
      </c>
    </row>
    <row r="98" spans="1:4" x14ac:dyDescent="0.25">
      <c r="A98" s="15" t="s">
        <v>6708</v>
      </c>
      <c r="B98" s="14" t="s">
        <v>6703</v>
      </c>
      <c r="C98" s="14" t="str">
        <f t="array" ref="C98">IFERROR(INDEX($B$20:$B$300, MATCH(0, COUNTIF($C$19:C97, $B$20:$B$300&amp;"") + IF($B$20:$B$300="",1,0), 0)), "")</f>
        <v/>
      </c>
      <c r="D98" s="14" t="s">
        <v>6704</v>
      </c>
    </row>
    <row r="99" spans="1:4" x14ac:dyDescent="0.25">
      <c r="A99" s="15" t="s">
        <v>6709</v>
      </c>
      <c r="B99" s="14" t="s">
        <v>6703</v>
      </c>
      <c r="C99" s="14" t="str">
        <f t="array" ref="C99">IFERROR(INDEX($B$20:$B$300, MATCH(0, COUNTIF($C$19:C98, $B$20:$B$300&amp;"") + IF($B$20:$B$300="",1,0), 0)), "")</f>
        <v/>
      </c>
      <c r="D99" s="14" t="s">
        <v>6704</v>
      </c>
    </row>
    <row r="100" spans="1:4" x14ac:dyDescent="0.25">
      <c r="A100" s="15" t="s">
        <v>6710</v>
      </c>
      <c r="B100" s="14" t="s">
        <v>6703</v>
      </c>
      <c r="C100" s="14" t="str">
        <f t="array" ref="C100">IFERROR(INDEX($B$20:$B$300, MATCH(0, COUNTIF($C$19:C99, $B$20:$B$300&amp;"") + IF($B$20:$B$300="",1,0), 0)), "")</f>
        <v/>
      </c>
      <c r="D100" s="14" t="s">
        <v>6704</v>
      </c>
    </row>
    <row r="101" spans="1:4" x14ac:dyDescent="0.25">
      <c r="A101" s="15" t="s">
        <v>6711</v>
      </c>
      <c r="B101" s="14" t="s">
        <v>6703</v>
      </c>
      <c r="C101" s="14" t="str">
        <f t="array" ref="C101">IFERROR(INDEX($B$20:$B$300, MATCH(0, COUNTIF($C$19:C100, $B$20:$B$300&amp;"") + IF($B$20:$B$300="",1,0), 0)), "")</f>
        <v/>
      </c>
      <c r="D101" s="14" t="s">
        <v>6704</v>
      </c>
    </row>
    <row r="102" spans="1:4" x14ac:dyDescent="0.25">
      <c r="A102" s="15" t="s">
        <v>6712</v>
      </c>
      <c r="B102" s="14" t="s">
        <v>6703</v>
      </c>
      <c r="C102" s="14" t="str">
        <f t="array" ref="C102">IFERROR(INDEX($B$20:$B$300, MATCH(0, COUNTIF($C$19:C101, $B$20:$B$300&amp;"") + IF($B$20:$B$300="",1,0), 0)), "")</f>
        <v/>
      </c>
      <c r="D102" s="14" t="s">
        <v>6704</v>
      </c>
    </row>
    <row r="103" spans="1:4" x14ac:dyDescent="0.25">
      <c r="A103" s="15" t="s">
        <v>6713</v>
      </c>
      <c r="B103" s="14" t="s">
        <v>6714</v>
      </c>
      <c r="C103" s="14" t="str">
        <f t="array" ref="C103">IFERROR(INDEX($B$20:$B$300, MATCH(0, COUNTIF($C$19:C102, $B$20:$B$300&amp;"") + IF($B$20:$B$300="",1,0), 0)), "")</f>
        <v/>
      </c>
      <c r="D103" s="14" t="s">
        <v>6715</v>
      </c>
    </row>
    <row r="104" spans="1:4" x14ac:dyDescent="0.25">
      <c r="A104" s="15" t="s">
        <v>6716</v>
      </c>
      <c r="B104" s="14" t="s">
        <v>6717</v>
      </c>
      <c r="C104" s="14" t="str">
        <f t="array" ref="C104">IFERROR(INDEX($B$20:$B$300, MATCH(0, COUNTIF($C$19:C103, $B$20:$B$300&amp;"") + IF($B$20:$B$300="",1,0), 0)), "")</f>
        <v/>
      </c>
      <c r="D104" s="14" t="s">
        <v>6718</v>
      </c>
    </row>
    <row r="105" spans="1:4" x14ac:dyDescent="0.25">
      <c r="A105" s="15" t="s">
        <v>6719</v>
      </c>
      <c r="B105" s="14" t="s">
        <v>6714</v>
      </c>
      <c r="C105" s="14" t="str">
        <f t="array" ref="C105">IFERROR(INDEX($B$20:$B$300, MATCH(0, COUNTIF($C$19:C104, $B$20:$B$300&amp;"") + IF($B$20:$B$300="",1,0), 0)), "")</f>
        <v/>
      </c>
      <c r="D105" s="14" t="s">
        <v>6715</v>
      </c>
    </row>
    <row r="106" spans="1:4" x14ac:dyDescent="0.25">
      <c r="A106" s="15" t="s">
        <v>6720</v>
      </c>
      <c r="B106" s="14" t="s">
        <v>6714</v>
      </c>
      <c r="C106" s="14" t="str">
        <f t="array" ref="C106">IFERROR(INDEX($B$20:$B$300, MATCH(0, COUNTIF($C$19:C105, $B$20:$B$300&amp;"") + IF($B$20:$B$300="",1,0), 0)), "")</f>
        <v/>
      </c>
      <c r="D106" s="14" t="s">
        <v>6715</v>
      </c>
    </row>
    <row r="107" spans="1:4" x14ac:dyDescent="0.25">
      <c r="A107" s="15" t="s">
        <v>6721</v>
      </c>
      <c r="B107" s="14" t="s">
        <v>6714</v>
      </c>
      <c r="C107" s="14" t="str">
        <f t="array" ref="C107">IFERROR(INDEX($B$20:$B$300, MATCH(0, COUNTIF($C$19:C106, $B$20:$B$300&amp;"") + IF($B$20:$B$300="",1,0), 0)), "")</f>
        <v/>
      </c>
      <c r="D107" s="14" t="s">
        <v>6715</v>
      </c>
    </row>
    <row r="108" spans="1:4" x14ac:dyDescent="0.25">
      <c r="A108" s="15" t="s">
        <v>6722</v>
      </c>
      <c r="B108" s="14" t="s">
        <v>6714</v>
      </c>
      <c r="C108" s="14" t="str">
        <f t="array" ref="C108">IFERROR(INDEX($B$20:$B$300, MATCH(0, COUNTIF($C$19:C107, $B$20:$B$300&amp;"") + IF($B$20:$B$300="",1,0), 0)), "")</f>
        <v/>
      </c>
      <c r="D108" s="14" t="s">
        <v>6715</v>
      </c>
    </row>
    <row r="109" spans="1:4" x14ac:dyDescent="0.25">
      <c r="A109" s="15" t="s">
        <v>6723</v>
      </c>
      <c r="B109" s="14" t="s">
        <v>6714</v>
      </c>
      <c r="C109" s="14" t="str">
        <f t="array" ref="C109">IFERROR(INDEX($B$20:$B$300, MATCH(0, COUNTIF($C$19:C108, $B$20:$B$300&amp;"") + IF($B$20:$B$300="",1,0), 0)), "")</f>
        <v/>
      </c>
      <c r="D109" s="14" t="s">
        <v>6715</v>
      </c>
    </row>
    <row r="110" spans="1:4" x14ac:dyDescent="0.25">
      <c r="A110" s="15" t="s">
        <v>6724</v>
      </c>
      <c r="B110" s="14" t="s">
        <v>6714</v>
      </c>
      <c r="C110" s="14" t="str">
        <f t="array" ref="C110">IFERROR(INDEX($B$20:$B$300, MATCH(0, COUNTIF($C$19:C109, $B$20:$B$300&amp;"") + IF($B$20:$B$300="",1,0), 0)), "")</f>
        <v/>
      </c>
      <c r="D110" s="14" t="s">
        <v>6715</v>
      </c>
    </row>
    <row r="111" spans="1:4" x14ac:dyDescent="0.25">
      <c r="A111" s="15" t="s">
        <v>6725</v>
      </c>
      <c r="B111" s="14" t="s">
        <v>6714</v>
      </c>
      <c r="C111" s="14" t="str">
        <f t="array" ref="C111">IFERROR(INDEX($B$20:$B$300, MATCH(0, COUNTIF($C$19:C110, $B$20:$B$300&amp;"") + IF($B$20:$B$300="",1,0), 0)), "")</f>
        <v/>
      </c>
      <c r="D111" s="14" t="s">
        <v>6715</v>
      </c>
    </row>
    <row r="112" spans="1:4" x14ac:dyDescent="0.25">
      <c r="A112" s="15" t="s">
        <v>6726</v>
      </c>
      <c r="B112" s="14" t="s">
        <v>6727</v>
      </c>
      <c r="C112" s="14" t="str">
        <f t="array" ref="C112">IFERROR(INDEX($B$20:$B$300, MATCH(0, COUNTIF($C$19:C111, $B$20:$B$300&amp;"") + IF($B$20:$B$300="",1,0), 0)), "")</f>
        <v/>
      </c>
      <c r="D112" s="14" t="s">
        <v>6728</v>
      </c>
    </row>
    <row r="113" spans="1:4" x14ac:dyDescent="0.25">
      <c r="A113" s="15" t="s">
        <v>6729</v>
      </c>
      <c r="B113" s="14" t="s">
        <v>6727</v>
      </c>
      <c r="C113" s="14" t="str">
        <f t="array" ref="C113">IFERROR(INDEX($B$20:$B$300, MATCH(0, COUNTIF($C$19:C112, $B$20:$B$300&amp;"") + IF($B$20:$B$300="",1,0), 0)), "")</f>
        <v/>
      </c>
      <c r="D113" s="14" t="s">
        <v>6728</v>
      </c>
    </row>
    <row r="114" spans="1:4" x14ac:dyDescent="0.25">
      <c r="A114" s="15" t="s">
        <v>6730</v>
      </c>
      <c r="B114" s="14" t="s">
        <v>6727</v>
      </c>
      <c r="C114" s="14" t="str">
        <f t="array" ref="C114">IFERROR(INDEX($B$20:$B$300, MATCH(0, COUNTIF($C$19:C113, $B$20:$B$300&amp;"") + IF($B$20:$B$300="",1,0), 0)), "")</f>
        <v/>
      </c>
      <c r="D114" s="14" t="s">
        <v>6728</v>
      </c>
    </row>
    <row r="115" spans="1:4" x14ac:dyDescent="0.25">
      <c r="A115" s="15" t="s">
        <v>6731</v>
      </c>
      <c r="B115" s="14" t="s">
        <v>6727</v>
      </c>
      <c r="C115" s="14" t="str">
        <f t="array" ref="C115">IFERROR(INDEX($B$20:$B$300, MATCH(0, COUNTIF($C$19:C114, $B$20:$B$300&amp;"") + IF($B$20:$B$300="",1,0), 0)), "")</f>
        <v/>
      </c>
      <c r="D115" s="14" t="s">
        <v>6728</v>
      </c>
    </row>
    <row r="116" spans="1:4" x14ac:dyDescent="0.25">
      <c r="A116" s="15" t="s">
        <v>6732</v>
      </c>
      <c r="B116" s="14" t="s">
        <v>6733</v>
      </c>
      <c r="C116" s="14" t="str">
        <f t="array" ref="C116">IFERROR(INDEX($B$20:$B$300, MATCH(0, COUNTIF($C$19:C115, $B$20:$B$300&amp;"") + IF($B$20:$B$300="",1,0), 0)), "")</f>
        <v/>
      </c>
      <c r="D116" s="14" t="s">
        <v>6734</v>
      </c>
    </row>
    <row r="117" spans="1:4" x14ac:dyDescent="0.25">
      <c r="A117" s="15" t="s">
        <v>6735</v>
      </c>
      <c r="B117" s="14" t="s">
        <v>6727</v>
      </c>
      <c r="C117" s="14" t="str">
        <f t="array" ref="C117">IFERROR(INDEX($B$20:$B$300, MATCH(0, COUNTIF($C$19:C116, $B$20:$B$300&amp;"") + IF($B$20:$B$300="",1,0), 0)), "")</f>
        <v/>
      </c>
      <c r="D117" s="14" t="s">
        <v>6728</v>
      </c>
    </row>
    <row r="118" spans="1:4" x14ac:dyDescent="0.25">
      <c r="A118" s="15" t="s">
        <v>6736</v>
      </c>
      <c r="B118" s="14" t="s">
        <v>6727</v>
      </c>
      <c r="C118" s="14" t="str">
        <f t="array" ref="C118">IFERROR(INDEX($B$20:$B$300, MATCH(0, COUNTIF($C$19:C117, $B$20:$B$300&amp;"") + IF($B$20:$B$300="",1,0), 0)), "")</f>
        <v/>
      </c>
      <c r="D118" s="14" t="s">
        <v>6728</v>
      </c>
    </row>
    <row r="119" spans="1:4" x14ac:dyDescent="0.25">
      <c r="A119" s="15" t="s">
        <v>6737</v>
      </c>
      <c r="B119" s="14" t="s">
        <v>6727</v>
      </c>
      <c r="C119" s="14" t="str">
        <f t="array" ref="C119">IFERROR(INDEX($B$20:$B$300, MATCH(0, COUNTIF($C$19:C118, $B$20:$B$300&amp;"") + IF($B$20:$B$300="",1,0), 0)), "")</f>
        <v/>
      </c>
      <c r="D119" s="14" t="s">
        <v>6728</v>
      </c>
    </row>
    <row r="120" spans="1:4" x14ac:dyDescent="0.25">
      <c r="A120" s="15" t="s">
        <v>6738</v>
      </c>
      <c r="B120" s="14" t="s">
        <v>6727</v>
      </c>
      <c r="C120" s="14" t="str">
        <f t="array" ref="C120">IFERROR(INDEX($B$20:$B$300, MATCH(0, COUNTIF($C$19:C119, $B$20:$B$300&amp;"") + IF($B$20:$B$300="",1,0), 0)), "")</f>
        <v/>
      </c>
      <c r="D120" s="14" t="s">
        <v>6728</v>
      </c>
    </row>
    <row r="121" spans="1:4" x14ac:dyDescent="0.25">
      <c r="A121" s="15" t="s">
        <v>6739</v>
      </c>
      <c r="B121" s="14" t="s">
        <v>6740</v>
      </c>
      <c r="C121" s="14" t="str">
        <f t="array" ref="C121">IFERROR(INDEX($B$20:$B$300, MATCH(0, COUNTIF($C$19:C120, $B$20:$B$300&amp;"") + IF($B$20:$B$300="",1,0), 0)), "")</f>
        <v/>
      </c>
      <c r="D121" s="14" t="s">
        <v>6741</v>
      </c>
    </row>
    <row r="122" spans="1:4" x14ac:dyDescent="0.25">
      <c r="A122" s="15" t="s">
        <v>6742</v>
      </c>
      <c r="B122" s="14" t="s">
        <v>6740</v>
      </c>
      <c r="C122" s="14" t="str">
        <f t="array" ref="C122">IFERROR(INDEX($B$20:$B$300, MATCH(0, COUNTIF($C$19:C121, $B$20:$B$300&amp;"") + IF($B$20:$B$300="",1,0), 0)), "")</f>
        <v/>
      </c>
      <c r="D122" s="14" t="s">
        <v>6741</v>
      </c>
    </row>
    <row r="123" spans="1:4" x14ac:dyDescent="0.25">
      <c r="A123" s="15" t="s">
        <v>6743</v>
      </c>
      <c r="B123" s="14" t="s">
        <v>6740</v>
      </c>
      <c r="C123" s="14" t="str">
        <f t="array" ref="C123">IFERROR(INDEX($B$20:$B$300, MATCH(0, COUNTIF($C$19:C122, $B$20:$B$300&amp;"") + IF($B$20:$B$300="",1,0), 0)), "")</f>
        <v/>
      </c>
      <c r="D123" s="14" t="s">
        <v>6741</v>
      </c>
    </row>
    <row r="124" spans="1:4" x14ac:dyDescent="0.25">
      <c r="A124" s="15" t="s">
        <v>6744</v>
      </c>
      <c r="B124" s="14" t="s">
        <v>6740</v>
      </c>
      <c r="C124" s="14" t="str">
        <f t="array" ref="C124">IFERROR(INDEX($B$20:$B$300, MATCH(0, COUNTIF($C$19:C123, $B$20:$B$300&amp;"") + IF($B$20:$B$300="",1,0), 0)), "")</f>
        <v/>
      </c>
      <c r="D124" s="14" t="s">
        <v>6741</v>
      </c>
    </row>
    <row r="125" spans="1:4" x14ac:dyDescent="0.25">
      <c r="A125" s="15" t="s">
        <v>6745</v>
      </c>
      <c r="B125" s="14" t="s">
        <v>6740</v>
      </c>
      <c r="C125" s="14" t="str">
        <f t="array" ref="C125">IFERROR(INDEX($B$20:$B$300, MATCH(0, COUNTIF($C$19:C124, $B$20:$B$300&amp;"") + IF($B$20:$B$300="",1,0), 0)), "")</f>
        <v/>
      </c>
      <c r="D125" s="14" t="s">
        <v>6741</v>
      </c>
    </row>
    <row r="126" spans="1:4" x14ac:dyDescent="0.25">
      <c r="A126" s="15" t="s">
        <v>6746</v>
      </c>
      <c r="B126" s="14" t="s">
        <v>6740</v>
      </c>
      <c r="C126" s="14" t="str">
        <f t="array" ref="C126">IFERROR(INDEX($B$20:$B$300, MATCH(0, COUNTIF($C$19:C125, $B$20:$B$300&amp;"") + IF($B$20:$B$300="",1,0), 0)), "")</f>
        <v/>
      </c>
      <c r="D126" s="14" t="s">
        <v>6741</v>
      </c>
    </row>
    <row r="127" spans="1:4" x14ac:dyDescent="0.25">
      <c r="A127" s="15" t="s">
        <v>6747</v>
      </c>
      <c r="B127" s="14" t="s">
        <v>6748</v>
      </c>
      <c r="C127" s="14" t="str">
        <f t="array" ref="C127">IFERROR(INDEX($B$20:$B$300, MATCH(0, COUNTIF($C$19:C126, $B$20:$B$300&amp;"") + IF($B$20:$B$300="",1,0), 0)), "")</f>
        <v/>
      </c>
      <c r="D127" s="14" t="s">
        <v>6749</v>
      </c>
    </row>
    <row r="128" spans="1:4" x14ac:dyDescent="0.25">
      <c r="A128" s="15" t="s">
        <v>6750</v>
      </c>
      <c r="B128" s="14" t="s">
        <v>6748</v>
      </c>
      <c r="C128" s="14" t="str">
        <f t="array" ref="C128">IFERROR(INDEX($B$20:$B$300, MATCH(0, COUNTIF($C$19:C127, $B$20:$B$300&amp;"") + IF($B$20:$B$300="",1,0), 0)), "")</f>
        <v/>
      </c>
      <c r="D128" s="14" t="s">
        <v>6749</v>
      </c>
    </row>
    <row r="129" spans="1:4" x14ac:dyDescent="0.25">
      <c r="A129" s="15" t="s">
        <v>6751</v>
      </c>
      <c r="B129" s="14" t="s">
        <v>752</v>
      </c>
      <c r="C129" s="14" t="str">
        <f t="array" ref="C129">IFERROR(INDEX($B$20:$B$300, MATCH(0, COUNTIF($C$19:C128, $B$20:$B$300&amp;"") + IF($B$20:$B$300="",1,0), 0)), "")</f>
        <v/>
      </c>
      <c r="D129" s="14" t="s">
        <v>6752</v>
      </c>
    </row>
    <row r="130" spans="1:4" x14ac:dyDescent="0.25">
      <c r="A130" s="15" t="s">
        <v>6753</v>
      </c>
      <c r="B130" s="14" t="s">
        <v>752</v>
      </c>
      <c r="C130" s="14" t="str">
        <f t="array" ref="C130">IFERROR(INDEX($B$20:$B$300, MATCH(0, COUNTIF($C$19:C129, $B$20:$B$300&amp;"") + IF($B$20:$B$300="",1,0), 0)), "")</f>
        <v/>
      </c>
      <c r="D130" s="14" t="s">
        <v>6752</v>
      </c>
    </row>
    <row r="131" spans="1:4" x14ac:dyDescent="0.25">
      <c r="A131" s="15" t="s">
        <v>6754</v>
      </c>
      <c r="B131" s="14" t="s">
        <v>6748</v>
      </c>
      <c r="C131" s="14" t="str">
        <f t="array" ref="C131">IFERROR(INDEX($B$20:$B$300, MATCH(0, COUNTIF($C$19:C130, $B$20:$B$300&amp;"") + IF($B$20:$B$300="",1,0), 0)), "")</f>
        <v/>
      </c>
      <c r="D131" s="14" t="s">
        <v>6749</v>
      </c>
    </row>
    <row r="132" spans="1:4" x14ac:dyDescent="0.25">
      <c r="A132" s="15" t="s">
        <v>6755</v>
      </c>
      <c r="B132" s="14" t="s">
        <v>6748</v>
      </c>
      <c r="C132" s="14" t="str">
        <f t="array" ref="C132">IFERROR(INDEX($B$20:$B$300, MATCH(0, COUNTIF($C$19:C131, $B$20:$B$300&amp;"") + IF($B$20:$B$300="",1,0), 0)), "")</f>
        <v/>
      </c>
      <c r="D132" s="14" t="s">
        <v>6749</v>
      </c>
    </row>
    <row r="133" spans="1:4" x14ac:dyDescent="0.25">
      <c r="A133" s="15" t="s">
        <v>6756</v>
      </c>
      <c r="B133" s="14" t="s">
        <v>6748</v>
      </c>
      <c r="C133" s="14" t="str">
        <f t="array" ref="C133">IFERROR(INDEX($B$20:$B$300, MATCH(0, COUNTIF($C$19:C132, $B$20:$B$300&amp;"") + IF($B$20:$B$300="",1,0), 0)), "")</f>
        <v/>
      </c>
      <c r="D133" s="14" t="s">
        <v>6749</v>
      </c>
    </row>
    <row r="134" spans="1:4" x14ac:dyDescent="0.25">
      <c r="A134" s="15" t="s">
        <v>6757</v>
      </c>
      <c r="B134" s="14" t="s">
        <v>6748</v>
      </c>
      <c r="C134" s="14" t="str">
        <f t="array" ref="C134">IFERROR(INDEX($B$20:$B$300, MATCH(0, COUNTIF($C$19:C133, $B$20:$B$300&amp;"") + IF($B$20:$B$300="",1,0), 0)), "")</f>
        <v/>
      </c>
      <c r="D134" s="14" t="s">
        <v>6749</v>
      </c>
    </row>
    <row r="135" spans="1:4" x14ac:dyDescent="0.25">
      <c r="A135" s="15" t="s">
        <v>6758</v>
      </c>
      <c r="B135" s="14" t="s">
        <v>6748</v>
      </c>
      <c r="C135" s="14" t="str">
        <f t="array" ref="C135">IFERROR(INDEX($B$20:$B$300, MATCH(0, COUNTIF($C$19:C134, $B$20:$B$300&amp;"") + IF($B$20:$B$300="",1,0), 0)), "")</f>
        <v/>
      </c>
      <c r="D135" s="14" t="s">
        <v>6749</v>
      </c>
    </row>
    <row r="136" spans="1:4" x14ac:dyDescent="0.25">
      <c r="A136" s="15" t="s">
        <v>6759</v>
      </c>
      <c r="B136" s="14" t="s">
        <v>752</v>
      </c>
      <c r="C136" s="14" t="str">
        <f t="array" ref="C136">IFERROR(INDEX($B$20:$B$300, MATCH(0, COUNTIF($C$19:C135, $B$20:$B$300&amp;"") + IF($B$20:$B$300="",1,0), 0)), "")</f>
        <v/>
      </c>
      <c r="D136" s="14" t="s">
        <v>6752</v>
      </c>
    </row>
    <row r="137" spans="1:4" x14ac:dyDescent="0.25">
      <c r="A137" s="15" t="s">
        <v>6760</v>
      </c>
      <c r="B137" s="14" t="s">
        <v>752</v>
      </c>
      <c r="C137" s="14" t="str">
        <f t="array" ref="C137">IFERROR(INDEX($B$20:$B$300, MATCH(0, COUNTIF($C$19:C136, $B$20:$B$300&amp;"") + IF($B$20:$B$300="",1,0), 0)), "")</f>
        <v/>
      </c>
      <c r="D137" s="14" t="s">
        <v>6752</v>
      </c>
    </row>
    <row r="138" spans="1:4" x14ac:dyDescent="0.25">
      <c r="A138" s="15" t="s">
        <v>6761</v>
      </c>
      <c r="B138" s="14" t="s">
        <v>6762</v>
      </c>
      <c r="C138" s="14" t="str">
        <f t="array" ref="C138">IFERROR(INDEX($B$20:$B$300, MATCH(0, COUNTIF($C$19:C137, $B$20:$B$300&amp;"") + IF($B$20:$B$300="",1,0), 0)), "")</f>
        <v/>
      </c>
      <c r="D138" s="14" t="s">
        <v>6763</v>
      </c>
    </row>
    <row r="139" spans="1:4" x14ac:dyDescent="0.25">
      <c r="A139" s="15" t="s">
        <v>6764</v>
      </c>
      <c r="B139" s="14" t="s">
        <v>6762</v>
      </c>
      <c r="C139" s="14" t="str">
        <f t="array" ref="C139">IFERROR(INDEX($B$20:$B$300, MATCH(0, COUNTIF($C$19:C138, $B$20:$B$300&amp;"") + IF($B$20:$B$300="",1,0), 0)), "")</f>
        <v/>
      </c>
      <c r="D139" s="14" t="s">
        <v>6763</v>
      </c>
    </row>
    <row r="140" spans="1:4" x14ac:dyDescent="0.25">
      <c r="A140" s="15" t="s">
        <v>6765</v>
      </c>
      <c r="B140" s="14" t="s">
        <v>6762</v>
      </c>
      <c r="C140" s="14" t="str">
        <f t="array" ref="C140">IFERROR(INDEX($B$20:$B$300, MATCH(0, COUNTIF($C$19:C139, $B$20:$B$300&amp;"") + IF($B$20:$B$300="",1,0), 0)), "")</f>
        <v/>
      </c>
      <c r="D140" s="14" t="s">
        <v>6763</v>
      </c>
    </row>
    <row r="141" spans="1:4" x14ac:dyDescent="0.25">
      <c r="A141" s="15" t="s">
        <v>6766</v>
      </c>
      <c r="B141" s="14" t="s">
        <v>6767</v>
      </c>
      <c r="C141" s="14" t="str">
        <f t="array" ref="C141">IFERROR(INDEX($B$20:$B$300, MATCH(0, COUNTIF($C$19:C140, $B$20:$B$300&amp;"") + IF($B$20:$B$300="",1,0), 0)), "")</f>
        <v/>
      </c>
      <c r="D141" s="14" t="s">
        <v>6768</v>
      </c>
    </row>
    <row r="142" spans="1:4" x14ac:dyDescent="0.25">
      <c r="A142" s="15" t="s">
        <v>6769</v>
      </c>
      <c r="B142" s="14" t="s">
        <v>6767</v>
      </c>
      <c r="C142" s="14" t="str">
        <f t="array" ref="C142">IFERROR(INDEX($B$20:$B$300, MATCH(0, COUNTIF($C$19:C141, $B$20:$B$300&amp;"") + IF($B$20:$B$300="",1,0), 0)), "")</f>
        <v/>
      </c>
      <c r="D142" s="14" t="s">
        <v>6768</v>
      </c>
    </row>
    <row r="143" spans="1:4" x14ac:dyDescent="0.25">
      <c r="A143" s="15" t="s">
        <v>6770</v>
      </c>
      <c r="B143" s="14" t="s">
        <v>6767</v>
      </c>
      <c r="C143" s="14" t="str">
        <f t="array" ref="C143">IFERROR(INDEX($B$20:$B$300, MATCH(0, COUNTIF($C$19:C142, $B$20:$B$300&amp;"") + IF($B$20:$B$300="",1,0), 0)), "")</f>
        <v/>
      </c>
      <c r="D143" s="14" t="s">
        <v>6768</v>
      </c>
    </row>
    <row r="144" spans="1:4" x14ac:dyDescent="0.25">
      <c r="A144" s="15" t="s">
        <v>6771</v>
      </c>
      <c r="B144" s="14" t="s">
        <v>6767</v>
      </c>
      <c r="C144" s="14" t="str">
        <f t="array" ref="C144">IFERROR(INDEX($B$20:$B$300, MATCH(0, COUNTIF($C$19:C143, $B$20:$B$300&amp;"") + IF($B$20:$B$300="",1,0), 0)), "")</f>
        <v/>
      </c>
      <c r="D144" s="14" t="s">
        <v>6768</v>
      </c>
    </row>
    <row r="145" spans="1:4" x14ac:dyDescent="0.25">
      <c r="A145" s="15" t="s">
        <v>6772</v>
      </c>
      <c r="B145" s="14" t="s">
        <v>6762</v>
      </c>
      <c r="C145" s="14" t="str">
        <f t="array" ref="C145">IFERROR(INDEX($B$20:$B$300, MATCH(0, COUNTIF($C$19:C144, $B$20:$B$300&amp;"") + IF($B$20:$B$300="",1,0), 0)), "")</f>
        <v/>
      </c>
      <c r="D145" s="14" t="s">
        <v>6763</v>
      </c>
    </row>
    <row r="146" spans="1:4" x14ac:dyDescent="0.25">
      <c r="A146" s="15" t="s">
        <v>6773</v>
      </c>
      <c r="B146" s="14" t="s">
        <v>6767</v>
      </c>
      <c r="C146" s="14" t="str">
        <f t="array" ref="C146">IFERROR(INDEX($B$20:$B$300, MATCH(0, COUNTIF($C$19:C145, $B$20:$B$300&amp;"") + IF($B$20:$B$300="",1,0), 0)), "")</f>
        <v/>
      </c>
      <c r="D146" s="14" t="s">
        <v>6768</v>
      </c>
    </row>
    <row r="147" spans="1:4" x14ac:dyDescent="0.25">
      <c r="A147" s="15" t="s">
        <v>6774</v>
      </c>
      <c r="B147" s="14" t="s">
        <v>6762</v>
      </c>
      <c r="C147" s="14" t="str">
        <f t="array" ref="C147">IFERROR(INDEX($B$20:$B$300, MATCH(0, COUNTIF($C$19:C146, $B$20:$B$300&amp;"") + IF($B$20:$B$300="",1,0), 0)), "")</f>
        <v/>
      </c>
      <c r="D147" s="14" t="s">
        <v>6763</v>
      </c>
    </row>
    <row r="148" spans="1:4" x14ac:dyDescent="0.25">
      <c r="A148" s="15" t="s">
        <v>6775</v>
      </c>
      <c r="B148" s="14" t="s">
        <v>6762</v>
      </c>
      <c r="C148" s="14" t="str">
        <f t="array" ref="C148">IFERROR(INDEX($B$20:$B$300, MATCH(0, COUNTIF($C$19:C147, $B$20:$B$300&amp;"") + IF($B$20:$B$300="",1,0), 0)), "")</f>
        <v/>
      </c>
      <c r="D148" s="14" t="s">
        <v>6763</v>
      </c>
    </row>
    <row r="149" spans="1:4" x14ac:dyDescent="0.25">
      <c r="A149" s="15" t="s">
        <v>6776</v>
      </c>
      <c r="B149" s="14" t="s">
        <v>6777</v>
      </c>
      <c r="C149" s="14" t="str">
        <f t="array" ref="C149">IFERROR(INDEX($B$20:$B$300, MATCH(0, COUNTIF($C$19:C148, $B$20:$B$300&amp;"") + IF($B$20:$B$300="",1,0), 0)), "")</f>
        <v/>
      </c>
      <c r="D149" s="14" t="s">
        <v>6778</v>
      </c>
    </row>
    <row r="150" spans="1:4" x14ac:dyDescent="0.25">
      <c r="A150" s="15" t="s">
        <v>6779</v>
      </c>
      <c r="B150" s="14" t="s">
        <v>6780</v>
      </c>
      <c r="C150" s="14" t="str">
        <f t="array" ref="C150">IFERROR(INDEX($B$20:$B$300, MATCH(0, COUNTIF($C$19:C149, $B$20:$B$300&amp;"") + IF($B$20:$B$300="",1,0), 0)), "")</f>
        <v/>
      </c>
      <c r="D150" s="14" t="s">
        <v>6781</v>
      </c>
    </row>
    <row r="151" spans="1:4" x14ac:dyDescent="0.25">
      <c r="A151" s="15" t="s">
        <v>6782</v>
      </c>
      <c r="B151" s="14" t="s">
        <v>6783</v>
      </c>
      <c r="C151" s="14" t="str">
        <f t="array" ref="C151">IFERROR(INDEX($B$20:$B$300, MATCH(0, COUNTIF($C$19:C150, $B$20:$B$300&amp;"") + IF($B$20:$B$300="",1,0), 0)), "")</f>
        <v/>
      </c>
      <c r="D151" s="14" t="s">
        <v>6784</v>
      </c>
    </row>
    <row r="152" spans="1:4" x14ac:dyDescent="0.25">
      <c r="A152" s="15" t="s">
        <v>6785</v>
      </c>
      <c r="B152" s="14" t="s">
        <v>6786</v>
      </c>
      <c r="C152" s="14" t="str">
        <f t="array" ref="C152">IFERROR(INDEX($B$20:$B$300, MATCH(0, COUNTIF($C$19:C151, $B$20:$B$300&amp;"") + IF($B$20:$B$300="",1,0), 0)), "")</f>
        <v/>
      </c>
      <c r="D152" s="14" t="s">
        <v>6787</v>
      </c>
    </row>
    <row r="153" spans="1:4" x14ac:dyDescent="0.25">
      <c r="A153" s="15" t="s">
        <v>6788</v>
      </c>
      <c r="B153" s="14" t="s">
        <v>6783</v>
      </c>
      <c r="C153" s="14" t="str">
        <f t="array" ref="C153">IFERROR(INDEX($B$20:$B$300, MATCH(0, COUNTIF($C$19:C152, $B$20:$B$300&amp;"") + IF($B$20:$B$300="",1,0), 0)), "")</f>
        <v/>
      </c>
      <c r="D153" s="14" t="s">
        <v>6784</v>
      </c>
    </row>
    <row r="154" spans="1:4" x14ac:dyDescent="0.25">
      <c r="A154" s="15" t="s">
        <v>6789</v>
      </c>
      <c r="B154" s="14" t="s">
        <v>6780</v>
      </c>
      <c r="C154" s="14" t="str">
        <f t="array" ref="C154">IFERROR(INDEX($B$20:$B$300, MATCH(0, COUNTIF($C$19:C153, $B$20:$B$300&amp;"") + IF($B$20:$B$300="",1,0), 0)), "")</f>
        <v/>
      </c>
      <c r="D154" s="14" t="s">
        <v>6781</v>
      </c>
    </row>
    <row r="155" spans="1:4" x14ac:dyDescent="0.25">
      <c r="A155" s="15" t="s">
        <v>6790</v>
      </c>
      <c r="B155" s="14" t="s">
        <v>6777</v>
      </c>
      <c r="C155" s="14" t="str">
        <f t="array" ref="C155">IFERROR(INDEX($B$20:$B$300, MATCH(0, COUNTIF($C$19:C154, $B$20:$B$300&amp;"") + IF($B$20:$B$300="",1,0), 0)), "")</f>
        <v/>
      </c>
      <c r="D155" s="14" t="s">
        <v>6778</v>
      </c>
    </row>
    <row r="156" spans="1:4" x14ac:dyDescent="0.25">
      <c r="A156" s="15" t="s">
        <v>6791</v>
      </c>
      <c r="B156" s="14" t="s">
        <v>6777</v>
      </c>
      <c r="C156" s="14" t="str">
        <f t="array" ref="C156">IFERROR(INDEX($B$20:$B$300, MATCH(0, COUNTIF($C$19:C155, $B$20:$B$300&amp;"") + IF($B$20:$B$300="",1,0), 0)), "")</f>
        <v/>
      </c>
      <c r="D156" s="14" t="s">
        <v>6778</v>
      </c>
    </row>
    <row r="157" spans="1:4" x14ac:dyDescent="0.25">
      <c r="A157" s="15" t="s">
        <v>6792</v>
      </c>
      <c r="B157" s="14" t="s">
        <v>6783</v>
      </c>
      <c r="C157" s="14" t="str">
        <f t="array" ref="C157">IFERROR(INDEX($B$20:$B$300, MATCH(0, COUNTIF($C$19:C156, $B$20:$B$300&amp;"") + IF($B$20:$B$300="",1,0), 0)), "")</f>
        <v/>
      </c>
      <c r="D157" s="14" t="s">
        <v>6784</v>
      </c>
    </row>
    <row r="158" spans="1:4" x14ac:dyDescent="0.25">
      <c r="A158" s="15" t="s">
        <v>6793</v>
      </c>
      <c r="B158" s="14" t="s">
        <v>6780</v>
      </c>
      <c r="C158" s="14" t="str">
        <f t="array" ref="C158">IFERROR(INDEX($B$20:$B$300, MATCH(0, COUNTIF($C$19:C157, $B$20:$B$300&amp;"") + IF($B$20:$B$300="",1,0), 0)), "")</f>
        <v/>
      </c>
      <c r="D158" s="14" t="s">
        <v>6781</v>
      </c>
    </row>
    <row r="159" spans="1:4" x14ac:dyDescent="0.25">
      <c r="A159" s="15" t="s">
        <v>6794</v>
      </c>
      <c r="B159" s="14" t="s">
        <v>6777</v>
      </c>
      <c r="C159" s="14" t="str">
        <f t="array" ref="C159">IFERROR(INDEX($B$20:$B$300, MATCH(0, COUNTIF($C$19:C158, $B$20:$B$300&amp;"") + IF($B$20:$B$300="",1,0), 0)), "")</f>
        <v/>
      </c>
      <c r="D159" s="14" t="s">
        <v>6778</v>
      </c>
    </row>
    <row r="160" spans="1:4" x14ac:dyDescent="0.25">
      <c r="A160" s="15" t="s">
        <v>6795</v>
      </c>
      <c r="B160" s="14" t="s">
        <v>6777</v>
      </c>
      <c r="C160" s="14" t="str">
        <f t="array" ref="C160">IFERROR(INDEX($B$20:$B$300, MATCH(0, COUNTIF($C$19:C159, $B$20:$B$300&amp;"") + IF($B$20:$B$300="",1,0), 0)), "")</f>
        <v/>
      </c>
      <c r="D160" s="14" t="s">
        <v>6778</v>
      </c>
    </row>
    <row r="161" spans="1:4" x14ac:dyDescent="0.25">
      <c r="A161" s="15" t="s">
        <v>6796</v>
      </c>
      <c r="B161" s="14" t="s">
        <v>6783</v>
      </c>
      <c r="C161" s="14" t="str">
        <f t="array" ref="C161">IFERROR(INDEX($B$20:$B$300, MATCH(0, COUNTIF($C$19:C160, $B$20:$B$300&amp;"") + IF($B$20:$B$300="",1,0), 0)), "")</f>
        <v/>
      </c>
      <c r="D161" s="14" t="s">
        <v>6784</v>
      </c>
    </row>
    <row r="162" spans="1:4" x14ac:dyDescent="0.25">
      <c r="A162" s="15" t="s">
        <v>6797</v>
      </c>
      <c r="B162" s="14" t="s">
        <v>6780</v>
      </c>
      <c r="C162" s="14" t="str">
        <f t="array" ref="C162">IFERROR(INDEX($B$20:$B$300, MATCH(0, COUNTIF($C$19:C161, $B$20:$B$300&amp;"") + IF($B$20:$B$300="",1,0), 0)), "")</f>
        <v/>
      </c>
      <c r="D162" s="14" t="s">
        <v>6781</v>
      </c>
    </row>
    <row r="163" spans="1:4" x14ac:dyDescent="0.25">
      <c r="A163" s="15" t="s">
        <v>6798</v>
      </c>
      <c r="B163" s="14" t="s">
        <v>6786</v>
      </c>
      <c r="C163" s="14" t="str">
        <f t="array" ref="C163">IFERROR(INDEX($B$20:$B$300, MATCH(0, COUNTIF($C$19:C162, $B$20:$B$300&amp;"") + IF($B$20:$B$300="",1,0), 0)), "")</f>
        <v/>
      </c>
      <c r="D163" s="14" t="s">
        <v>6787</v>
      </c>
    </row>
    <row r="164" spans="1:4" x14ac:dyDescent="0.25">
      <c r="A164" s="15" t="s">
        <v>6799</v>
      </c>
      <c r="B164" s="14" t="s">
        <v>6786</v>
      </c>
      <c r="C164" s="14" t="str">
        <f t="array" ref="C164">IFERROR(INDEX($B$20:$B$300, MATCH(0, COUNTIF($C$19:C163, $B$20:$B$300&amp;"") + IF($B$20:$B$300="",1,0), 0)), "")</f>
        <v/>
      </c>
      <c r="D164" s="14" t="s">
        <v>6787</v>
      </c>
    </row>
    <row r="165" spans="1:4" x14ac:dyDescent="0.25">
      <c r="A165" s="15" t="s">
        <v>6800</v>
      </c>
      <c r="B165" s="14" t="s">
        <v>6801</v>
      </c>
      <c r="C165" s="14" t="str">
        <f t="array" ref="C165">IFERROR(INDEX($B$20:$B$300, MATCH(0, COUNTIF($C$19:C164, $B$20:$B$300&amp;"") + IF($B$20:$B$300="",1,0), 0)), "")</f>
        <v/>
      </c>
      <c r="D165" s="14" t="s">
        <v>6802</v>
      </c>
    </row>
    <row r="166" spans="1:4" x14ac:dyDescent="0.25">
      <c r="A166" s="15" t="s">
        <v>6803</v>
      </c>
      <c r="B166" s="14" t="s">
        <v>6804</v>
      </c>
      <c r="C166" s="14" t="str">
        <f t="array" ref="C166">IFERROR(INDEX($B$20:$B$300, MATCH(0, COUNTIF($C$19:C165, $B$20:$B$300&amp;"") + IF($B$20:$B$300="",1,0), 0)), "")</f>
        <v/>
      </c>
      <c r="D166" s="14" t="s">
        <v>6805</v>
      </c>
    </row>
    <row r="167" spans="1:4" x14ac:dyDescent="0.25">
      <c r="A167" s="15" t="s">
        <v>6806</v>
      </c>
      <c r="B167" s="14" t="s">
        <v>6807</v>
      </c>
      <c r="C167" s="14" t="str">
        <f t="array" ref="C167">IFERROR(INDEX($B$20:$B$300, MATCH(0, COUNTIF($C$19:C166, $B$20:$B$300&amp;"") + IF($B$20:$B$300="",1,0), 0)), "")</f>
        <v/>
      </c>
      <c r="D167" s="14" t="s">
        <v>6808</v>
      </c>
    </row>
    <row r="168" spans="1:4" x14ac:dyDescent="0.25">
      <c r="A168" s="15" t="s">
        <v>6809</v>
      </c>
      <c r="B168" s="14" t="s">
        <v>6810</v>
      </c>
      <c r="C168" s="14" t="str">
        <f t="array" ref="C168">IFERROR(INDEX($B$20:$B$300, MATCH(0, COUNTIF($C$19:C167, $B$20:$B$300&amp;"") + IF($B$20:$B$300="",1,0), 0)), "")</f>
        <v/>
      </c>
      <c r="D168" s="14" t="s">
        <v>6811</v>
      </c>
    </row>
    <row r="169" spans="1:4" x14ac:dyDescent="0.25">
      <c r="A169" s="15" t="s">
        <v>6812</v>
      </c>
      <c r="B169" s="14" t="s">
        <v>6804</v>
      </c>
      <c r="C169" s="14" t="str">
        <f t="array" ref="C169">IFERROR(INDEX($B$20:$B$300, MATCH(0, COUNTIF($C$19:C168, $B$20:$B$300&amp;"") + IF($B$20:$B$300="",1,0), 0)), "")</f>
        <v/>
      </c>
      <c r="D169" s="14" t="s">
        <v>6805</v>
      </c>
    </row>
    <row r="170" spans="1:4" x14ac:dyDescent="0.25">
      <c r="A170" s="15" t="s">
        <v>6813</v>
      </c>
      <c r="B170" s="14" t="s">
        <v>6801</v>
      </c>
      <c r="C170" s="14" t="str">
        <f t="array" ref="C170">IFERROR(INDEX($B$20:$B$300, MATCH(0, COUNTIF($C$19:C169, $B$20:$B$300&amp;"") + IF($B$20:$B$300="",1,0), 0)), "")</f>
        <v/>
      </c>
      <c r="D170" s="14" t="s">
        <v>6802</v>
      </c>
    </row>
    <row r="171" spans="1:4" x14ac:dyDescent="0.25">
      <c r="A171" s="15" t="s">
        <v>6814</v>
      </c>
      <c r="B171" s="14" t="s">
        <v>6810</v>
      </c>
      <c r="C171" s="14" t="str">
        <f t="array" ref="C171">IFERROR(INDEX($B$20:$B$300, MATCH(0, COUNTIF($C$19:C170, $B$20:$B$300&amp;"") + IF($B$20:$B$300="",1,0), 0)), "")</f>
        <v/>
      </c>
      <c r="D171" s="14" t="s">
        <v>6811</v>
      </c>
    </row>
    <row r="172" spans="1:4" x14ac:dyDescent="0.25">
      <c r="A172" s="15" t="s">
        <v>6815</v>
      </c>
      <c r="B172" s="14" t="s">
        <v>6801</v>
      </c>
      <c r="C172" s="14" t="str">
        <f t="array" ref="C172">IFERROR(INDEX($B$20:$B$300, MATCH(0, COUNTIF($C$19:C171, $B$20:$B$300&amp;"") + IF($B$20:$B$300="",1,0), 0)), "")</f>
        <v/>
      </c>
      <c r="D172" s="14" t="s">
        <v>6802</v>
      </c>
    </row>
    <row r="173" spans="1:4" x14ac:dyDescent="0.25">
      <c r="A173" s="15" t="s">
        <v>6816</v>
      </c>
      <c r="B173" s="14" t="s">
        <v>6807</v>
      </c>
      <c r="C173" s="14" t="str">
        <f t="array" ref="C173">IFERROR(INDEX($B$20:$B$300, MATCH(0, COUNTIF($C$19:C172, $B$20:$B$300&amp;"") + IF($B$20:$B$300="",1,0), 0)), "")</f>
        <v/>
      </c>
      <c r="D173" s="14" t="s">
        <v>6808</v>
      </c>
    </row>
    <row r="174" spans="1:4" x14ac:dyDescent="0.25">
      <c r="A174" s="15" t="s">
        <v>6817</v>
      </c>
      <c r="B174" s="14" t="s">
        <v>6804</v>
      </c>
      <c r="C174" s="14" t="str">
        <f t="array" ref="C174">IFERROR(INDEX($B$20:$B$300, MATCH(0, COUNTIF($C$19:C173, $B$20:$B$300&amp;"") + IF($B$20:$B$300="",1,0), 0)), "")</f>
        <v/>
      </c>
      <c r="D174" s="14" t="s">
        <v>6805</v>
      </c>
    </row>
    <row r="175" spans="1:4" x14ac:dyDescent="0.25">
      <c r="A175" s="15" t="s">
        <v>6818</v>
      </c>
      <c r="B175" s="14" t="s">
        <v>6801</v>
      </c>
      <c r="C175" s="14" t="str">
        <f t="array" ref="C175">IFERROR(INDEX($B$20:$B$300, MATCH(0, COUNTIF($C$19:C174, $B$20:$B$300&amp;"") + IF($B$20:$B$300="",1,0), 0)), "")</f>
        <v/>
      </c>
      <c r="D175" s="14" t="s">
        <v>6802</v>
      </c>
    </row>
    <row r="176" spans="1:4" x14ac:dyDescent="0.25">
      <c r="A176" s="15" t="s">
        <v>6819</v>
      </c>
      <c r="B176" s="14" t="s">
        <v>752</v>
      </c>
      <c r="C176" s="14" t="str">
        <f t="array" ref="C176">IFERROR(INDEX($B$20:$B$300, MATCH(0, COUNTIF($C$19:C175, $B$20:$B$300&amp;"") + IF($B$20:$B$300="",1,0), 0)), "")</f>
        <v/>
      </c>
      <c r="D176" s="14" t="s">
        <v>6820</v>
      </c>
    </row>
    <row r="177" spans="1:4" x14ac:dyDescent="0.25">
      <c r="A177" s="15" t="s">
        <v>6821</v>
      </c>
      <c r="B177" s="14" t="s">
        <v>6786</v>
      </c>
      <c r="C177" s="14" t="str">
        <f t="array" ref="C177">IFERROR(INDEX($B$20:$B$300, MATCH(0, COUNTIF($C$19:C176, $B$20:$B$300&amp;"") + IF($B$20:$B$300="",1,0), 0)), "")</f>
        <v/>
      </c>
      <c r="D177" s="14" t="s">
        <v>6787</v>
      </c>
    </row>
    <row r="178" spans="1:4" x14ac:dyDescent="0.25">
      <c r="A178" s="15" t="s">
        <v>6822</v>
      </c>
      <c r="B178" s="14" t="s">
        <v>6786</v>
      </c>
      <c r="C178" s="14" t="str">
        <f t="array" ref="C178">IFERROR(INDEX($B$20:$B$300, MATCH(0, COUNTIF($C$19:C177, $B$20:$B$300&amp;"") + IF($B$20:$B$300="",1,0), 0)), "")</f>
        <v/>
      </c>
      <c r="D178" s="14" t="s">
        <v>6823</v>
      </c>
    </row>
    <row r="179" spans="1:4" x14ac:dyDescent="0.25">
      <c r="A179" s="15" t="s">
        <v>6824</v>
      </c>
      <c r="B179" s="14" t="s">
        <v>752</v>
      </c>
      <c r="C179" s="14" t="str">
        <f t="array" ref="C179">IFERROR(INDEX($B$20:$B$300, MATCH(0, COUNTIF($C$19:C178, $B$20:$B$300&amp;"") + IF($B$20:$B$300="",1,0), 0)), "")</f>
        <v/>
      </c>
      <c r="D179" s="14" t="s">
        <v>6820</v>
      </c>
    </row>
    <row r="180" spans="1:4" x14ac:dyDescent="0.25">
      <c r="A180" s="15" t="s">
        <v>6825</v>
      </c>
      <c r="B180" s="14" t="s">
        <v>752</v>
      </c>
      <c r="C180" s="14" t="str">
        <f t="array" ref="C180">IFERROR(INDEX($B$20:$B$300, MATCH(0, COUNTIF($C$19:C179, $B$20:$B$300&amp;"") + IF($B$20:$B$300="",1,0), 0)), "")</f>
        <v/>
      </c>
      <c r="D180" s="14" t="s">
        <v>6820</v>
      </c>
    </row>
    <row r="181" spans="1:4" x14ac:dyDescent="0.25">
      <c r="A181" s="15" t="s">
        <v>6826</v>
      </c>
      <c r="B181" s="14" t="s">
        <v>6810</v>
      </c>
      <c r="C181" s="14" t="str">
        <f t="array" ref="C181">IFERROR(INDEX($B$20:$B$300, MATCH(0, COUNTIF($C$19:C180, $B$20:$B$300&amp;"") + IF($B$20:$B$300="",1,0), 0)), "")</f>
        <v/>
      </c>
      <c r="D181" s="14" t="s">
        <v>6811</v>
      </c>
    </row>
    <row r="182" spans="1:4" x14ac:dyDescent="0.25">
      <c r="A182" s="15" t="s">
        <v>6827</v>
      </c>
      <c r="B182" s="14" t="s">
        <v>752</v>
      </c>
      <c r="C182" s="14" t="str">
        <f t="array" ref="C182">IFERROR(INDEX($B$20:$B$300, MATCH(0, COUNTIF($C$19:C181, $B$20:$B$300&amp;"") + IF($B$20:$B$300="",1,0), 0)), "")</f>
        <v/>
      </c>
      <c r="D182" s="14" t="s">
        <v>6820</v>
      </c>
    </row>
    <row r="183" spans="1:4" x14ac:dyDescent="0.25">
      <c r="A183" s="15" t="s">
        <v>6828</v>
      </c>
      <c r="B183" s="14" t="s">
        <v>752</v>
      </c>
      <c r="C183" s="14" t="str">
        <f t="array" ref="C183">IFERROR(INDEX($B$20:$B$300, MATCH(0, COUNTIF($C$19:C182, $B$20:$B$300&amp;"") + IF($B$20:$B$300="",1,0), 0)), "")</f>
        <v/>
      </c>
      <c r="D183" s="14" t="s">
        <v>6820</v>
      </c>
    </row>
    <row r="184" spans="1:4" x14ac:dyDescent="0.25">
      <c r="A184" s="15" t="s">
        <v>6829</v>
      </c>
      <c r="B184" s="14" t="s">
        <v>752</v>
      </c>
      <c r="C184" s="14" t="str">
        <f t="array" ref="C184">IFERROR(INDEX($B$20:$B$300, MATCH(0, COUNTIF($C$19:C183, $B$20:$B$300&amp;"") + IF($B$20:$B$300="",1,0), 0)), "")</f>
        <v/>
      </c>
      <c r="D184" s="14" t="s">
        <v>6820</v>
      </c>
    </row>
    <row r="185" spans="1:4" x14ac:dyDescent="0.25">
      <c r="A185" s="15" t="s">
        <v>6830</v>
      </c>
      <c r="B185" s="14" t="s">
        <v>752</v>
      </c>
      <c r="C185" s="14" t="str">
        <f t="array" ref="C185">IFERROR(INDEX($B$20:$B$300, MATCH(0, COUNTIF($C$19:C184, $B$20:$B$300&amp;"") + IF($B$20:$B$300="",1,0), 0)), "")</f>
        <v/>
      </c>
      <c r="D185" s="14" t="s">
        <v>6820</v>
      </c>
    </row>
    <row r="186" spans="1:4" x14ac:dyDescent="0.25">
      <c r="A186" s="15" t="s">
        <v>6831</v>
      </c>
      <c r="B186" s="14" t="s">
        <v>752</v>
      </c>
      <c r="C186" s="14" t="str">
        <f t="array" ref="C186">IFERROR(INDEX($B$20:$B$300, MATCH(0, COUNTIF($C$19:C185, $B$20:$B$300&amp;"") + IF($B$20:$B$300="",1,0), 0)), "")</f>
        <v/>
      </c>
      <c r="D186" s="14" t="s">
        <v>6820</v>
      </c>
    </row>
    <row r="187" spans="1:4" x14ac:dyDescent="0.25">
      <c r="A187" s="15" t="s">
        <v>6832</v>
      </c>
      <c r="B187" s="14" t="s">
        <v>6810</v>
      </c>
      <c r="C187" s="14" t="str">
        <f t="array" ref="C187">IFERROR(INDEX($B$20:$B$300, MATCH(0, COUNTIF($C$19:C186, $B$20:$B$300&amp;"") + IF($B$20:$B$300="",1,0), 0)), "")</f>
        <v/>
      </c>
      <c r="D187" s="14" t="s">
        <v>6811</v>
      </c>
    </row>
    <row r="188" spans="1:4" x14ac:dyDescent="0.25">
      <c r="A188" s="15" t="s">
        <v>6833</v>
      </c>
      <c r="B188" s="14" t="s">
        <v>6810</v>
      </c>
      <c r="C188" s="14" t="str">
        <f t="array" ref="C188">IFERROR(INDEX($B$20:$B$300, MATCH(0, COUNTIF($C$19:C187, $B$20:$B$300&amp;"") + IF($B$20:$B$300="",1,0), 0)), "")</f>
        <v/>
      </c>
      <c r="D188" s="14" t="s">
        <v>6811</v>
      </c>
    </row>
    <row r="189" spans="1:4" x14ac:dyDescent="0.25">
      <c r="A189" s="15" t="s">
        <v>6834</v>
      </c>
      <c r="B189" s="14" t="s">
        <v>752</v>
      </c>
      <c r="C189" s="14" t="str">
        <f t="array" ref="C189">IFERROR(INDEX($B$20:$B$300, MATCH(0, COUNTIF($C$19:C188, $B$20:$B$300&amp;"") + IF($B$20:$B$300="",1,0), 0)), "")</f>
        <v/>
      </c>
      <c r="D189" s="14" t="s">
        <v>6820</v>
      </c>
    </row>
    <row r="190" spans="1:4" x14ac:dyDescent="0.25">
      <c r="A190" s="15" t="s">
        <v>6835</v>
      </c>
      <c r="B190" s="14" t="s">
        <v>752</v>
      </c>
      <c r="C190" s="14" t="str">
        <f t="array" ref="C190">IFERROR(INDEX($B$20:$B$300, MATCH(0, COUNTIF($C$19:C189, $B$20:$B$300&amp;"") + IF($B$20:$B$300="",1,0), 0)), "")</f>
        <v/>
      </c>
      <c r="D190" s="14" t="s">
        <v>6820</v>
      </c>
    </row>
    <row r="191" spans="1:4" x14ac:dyDescent="0.25">
      <c r="A191" s="15" t="s">
        <v>6836</v>
      </c>
      <c r="B191" s="14" t="s">
        <v>752</v>
      </c>
      <c r="C191" s="14" t="str">
        <f t="array" ref="C191">IFERROR(INDEX($B$20:$B$300, MATCH(0, COUNTIF($C$19:C190, $B$20:$B$300&amp;"") + IF($B$20:$B$300="",1,0), 0)), "")</f>
        <v/>
      </c>
      <c r="D191" s="14" t="s">
        <v>6820</v>
      </c>
    </row>
    <row r="192" spans="1:4" x14ac:dyDescent="0.25">
      <c r="A192" s="15" t="s">
        <v>6837</v>
      </c>
      <c r="B192" s="14" t="s">
        <v>6786</v>
      </c>
      <c r="C192" s="14" t="str">
        <f t="array" ref="C192">IFERROR(INDEX($B$20:$B$300, MATCH(0, COUNTIF($C$19:C191, $B$20:$B$300&amp;"") + IF($B$20:$B$300="",1,0), 0)), "")</f>
        <v/>
      </c>
      <c r="D192" s="14" t="s">
        <v>6787</v>
      </c>
    </row>
    <row r="193" spans="1:4" x14ac:dyDescent="0.25">
      <c r="A193" s="15" t="s">
        <v>6838</v>
      </c>
      <c r="B193" s="14" t="s">
        <v>752</v>
      </c>
      <c r="C193" s="14" t="str">
        <f t="array" ref="C193">IFERROR(INDEX($B$20:$B$300, MATCH(0, COUNTIF($C$19:C192, $B$20:$B$300&amp;"") + IF($B$20:$B$300="",1,0), 0)), "")</f>
        <v/>
      </c>
      <c r="D193" s="14" t="s">
        <v>6839</v>
      </c>
    </row>
    <row r="194" spans="1:4" x14ac:dyDescent="0.25">
      <c r="A194" s="15" t="s">
        <v>6840</v>
      </c>
      <c r="B194" s="14" t="s">
        <v>752</v>
      </c>
      <c r="C194" s="14" t="str">
        <f t="array" ref="C194">IFERROR(INDEX($B$20:$B$300, MATCH(0, COUNTIF($C$19:C193, $B$20:$B$300&amp;"") + IF($B$20:$B$300="",1,0), 0)), "")</f>
        <v/>
      </c>
      <c r="D194" s="14" t="s">
        <v>6839</v>
      </c>
    </row>
    <row r="195" spans="1:4" x14ac:dyDescent="0.25">
      <c r="A195" s="15" t="s">
        <v>6841</v>
      </c>
      <c r="B195" s="14" t="s">
        <v>752</v>
      </c>
      <c r="C195" s="14" t="str">
        <f t="array" ref="C195">IFERROR(INDEX($B$20:$B$300, MATCH(0, COUNTIF($C$19:C194, $B$20:$B$300&amp;"") + IF($B$20:$B$300="",1,0), 0)), "")</f>
        <v/>
      </c>
      <c r="D195" s="14" t="s">
        <v>6839</v>
      </c>
    </row>
    <row r="196" spans="1:4" x14ac:dyDescent="0.25">
      <c r="A196" s="15" t="s">
        <v>6842</v>
      </c>
      <c r="B196" s="14" t="s">
        <v>752</v>
      </c>
      <c r="C196" s="14" t="str">
        <f t="array" ref="C196">IFERROR(INDEX($B$20:$B$300, MATCH(0, COUNTIF($C$19:C195, $B$20:$B$300&amp;"") + IF($B$20:$B$300="",1,0), 0)), "")</f>
        <v/>
      </c>
      <c r="D196" s="14" t="s">
        <v>6839</v>
      </c>
    </row>
    <row r="197" spans="1:4" x14ac:dyDescent="0.25">
      <c r="A197" s="15" t="s">
        <v>6843</v>
      </c>
      <c r="B197" s="14" t="s">
        <v>752</v>
      </c>
      <c r="C197" s="14" t="str">
        <f t="array" ref="C197">IFERROR(INDEX($B$20:$B$300, MATCH(0, COUNTIF($C$19:C196, $B$20:$B$300&amp;"") + IF($B$20:$B$300="",1,0), 0)), "")</f>
        <v/>
      </c>
      <c r="D197" s="14" t="s">
        <v>6839</v>
      </c>
    </row>
    <row r="198" spans="1:4" x14ac:dyDescent="0.25">
      <c r="A198" s="15" t="s">
        <v>6844</v>
      </c>
      <c r="B198" s="14" t="s">
        <v>752</v>
      </c>
      <c r="C198" s="14" t="str">
        <f t="array" ref="C198">IFERROR(INDEX($B$20:$B$300, MATCH(0, COUNTIF($C$19:C197, $B$20:$B$300&amp;"") + IF($B$20:$B$300="",1,0), 0)), "")</f>
        <v/>
      </c>
      <c r="D198" s="14" t="s">
        <v>6839</v>
      </c>
    </row>
    <row r="199" spans="1:4" x14ac:dyDescent="0.25">
      <c r="A199" s="15" t="s">
        <v>6845</v>
      </c>
      <c r="B199" s="14" t="s">
        <v>752</v>
      </c>
      <c r="C199" s="14" t="str">
        <f t="array" ref="C199">IFERROR(INDEX($B$20:$B$300, MATCH(0, COUNTIF($C$19:C198, $B$20:$B$300&amp;"") + IF($B$20:$B$300="",1,0), 0)), "")</f>
        <v/>
      </c>
      <c r="D199" s="14" t="s">
        <v>6839</v>
      </c>
    </row>
    <row r="200" spans="1:4" x14ac:dyDescent="0.25">
      <c r="A200" s="15" t="s">
        <v>6846</v>
      </c>
      <c r="B200" s="14" t="s">
        <v>752</v>
      </c>
      <c r="C200" s="14" t="str">
        <f t="array" ref="C200">IFERROR(INDEX($B$20:$B$300, MATCH(0, COUNTIF($C$19:C199, $B$20:$B$300&amp;"") + IF($B$20:$B$300="",1,0), 0)), "")</f>
        <v/>
      </c>
      <c r="D200" s="14" t="s">
        <v>6839</v>
      </c>
    </row>
    <row r="201" spans="1:4" x14ac:dyDescent="0.25">
      <c r="A201" s="15" t="s">
        <v>6847</v>
      </c>
      <c r="B201" s="14" t="s">
        <v>752</v>
      </c>
      <c r="C201" s="14" t="str">
        <f t="array" ref="C201">IFERROR(INDEX($B$20:$B$300, MATCH(0, COUNTIF($C$19:C200, $B$20:$B$300&amp;"") + IF($B$20:$B$300="",1,0), 0)), "")</f>
        <v/>
      </c>
      <c r="D201" s="14" t="s">
        <v>6839</v>
      </c>
    </row>
    <row r="202" spans="1:4" x14ac:dyDescent="0.25">
      <c r="A202" s="15" t="s">
        <v>6848</v>
      </c>
      <c r="B202" s="14" t="s">
        <v>752</v>
      </c>
      <c r="C202" s="14" t="str">
        <f t="array" ref="C202">IFERROR(INDEX($B$20:$B$300, MATCH(0, COUNTIF($C$19:C201, $B$20:$B$300&amp;"") + IF($B$20:$B$300="",1,0), 0)), "")</f>
        <v/>
      </c>
      <c r="D202" s="14" t="s">
        <v>6839</v>
      </c>
    </row>
    <row r="203" spans="1:4" x14ac:dyDescent="0.25">
      <c r="A203" s="15" t="s">
        <v>6849</v>
      </c>
      <c r="B203" s="14" t="s">
        <v>6786</v>
      </c>
      <c r="C203" s="14" t="str">
        <f t="array" ref="C203">IFERROR(INDEX($B$20:$B$300, MATCH(0, COUNTIF($C$19:C202, $B$20:$B$300&amp;"") + IF($B$20:$B$300="",1,0), 0)), "")</f>
        <v/>
      </c>
      <c r="D203" s="14" t="s">
        <v>6850</v>
      </c>
    </row>
    <row r="204" spans="1:4" x14ac:dyDescent="0.25">
      <c r="A204" s="15" t="s">
        <v>6851</v>
      </c>
      <c r="B204" s="14" t="s">
        <v>6786</v>
      </c>
      <c r="C204" s="14" t="str">
        <f t="array" ref="C204">IFERROR(INDEX($B$20:$B$300, MATCH(0, COUNTIF($C$19:C203, $B$20:$B$300&amp;"") + IF($B$20:$B$300="",1,0), 0)), "")</f>
        <v/>
      </c>
      <c r="D204" s="14" t="s">
        <v>6850</v>
      </c>
    </row>
    <row r="205" spans="1:4" x14ac:dyDescent="0.25">
      <c r="A205" s="15" t="s">
        <v>6852</v>
      </c>
      <c r="B205" s="14" t="s">
        <v>6853</v>
      </c>
      <c r="C205" s="14" t="str">
        <f t="array" ref="C205">IFERROR(INDEX($B$20:$B$300, MATCH(0, COUNTIF($C$19:C204, $B$20:$B$300&amp;"") + IF($B$20:$B$300="",1,0), 0)), "")</f>
        <v/>
      </c>
      <c r="D205" s="14" t="s">
        <v>6854</v>
      </c>
    </row>
    <row r="206" spans="1:4" x14ac:dyDescent="0.25">
      <c r="A206" s="15" t="s">
        <v>6855</v>
      </c>
      <c r="B206" s="14" t="s">
        <v>6856</v>
      </c>
      <c r="C206" s="14" t="str">
        <f t="array" ref="C206">IFERROR(INDEX($B$20:$B$300, MATCH(0, COUNTIF($C$19:C205, $B$20:$B$300&amp;"") + IF($B$20:$B$300="",1,0), 0)), "")</f>
        <v/>
      </c>
      <c r="D206" s="14" t="s">
        <v>6857</v>
      </c>
    </row>
    <row r="207" spans="1:4" x14ac:dyDescent="0.25">
      <c r="A207" s="15" t="s">
        <v>6858</v>
      </c>
      <c r="B207" s="14" t="s">
        <v>6853</v>
      </c>
      <c r="C207" s="14" t="str">
        <f t="array" ref="C207">IFERROR(INDEX($B$20:$B$300, MATCH(0, COUNTIF($C$19:C206, $B$20:$B$300&amp;"") + IF($B$20:$B$300="",1,0), 0)), "")</f>
        <v/>
      </c>
      <c r="D207" s="14" t="s">
        <v>6854</v>
      </c>
    </row>
    <row r="208" spans="1:4" x14ac:dyDescent="0.25">
      <c r="A208" s="15" t="s">
        <v>6859</v>
      </c>
      <c r="B208" s="14" t="s">
        <v>6853</v>
      </c>
      <c r="C208" s="14" t="str">
        <f t="array" ref="C208">IFERROR(INDEX($B$20:$B$300, MATCH(0, COUNTIF($C$19:C207, $B$20:$B$300&amp;"") + IF($B$20:$B$300="",1,0), 0)), "")</f>
        <v/>
      </c>
      <c r="D208" s="14" t="s">
        <v>6854</v>
      </c>
    </row>
    <row r="209" spans="1:4" x14ac:dyDescent="0.25">
      <c r="A209" s="15" t="s">
        <v>6860</v>
      </c>
      <c r="B209" s="14" t="s">
        <v>6853</v>
      </c>
      <c r="C209" s="14" t="str">
        <f t="array" ref="C209">IFERROR(INDEX($B$20:$B$300, MATCH(0, COUNTIF($C$19:C208, $B$20:$B$300&amp;"") + IF($B$20:$B$300="",1,0), 0)), "")</f>
        <v/>
      </c>
      <c r="D209" s="14" t="s">
        <v>6854</v>
      </c>
    </row>
    <row r="210" spans="1:4" x14ac:dyDescent="0.25">
      <c r="A210" s="15" t="s">
        <v>6861</v>
      </c>
      <c r="B210" s="14" t="s">
        <v>6856</v>
      </c>
      <c r="C210" s="14" t="str">
        <f t="array" ref="C210">IFERROR(INDEX($B$20:$B$300, MATCH(0, COUNTIF($C$19:C209, $B$20:$B$300&amp;"") + IF($B$20:$B$300="",1,0), 0)), "")</f>
        <v/>
      </c>
      <c r="D210" s="14" t="s">
        <v>6857</v>
      </c>
    </row>
    <row r="211" spans="1:4" x14ac:dyDescent="0.25">
      <c r="A211" s="15" t="s">
        <v>6862</v>
      </c>
      <c r="B211" s="14" t="s">
        <v>6856</v>
      </c>
      <c r="C211" s="14" t="str">
        <f t="array" ref="C211">IFERROR(INDEX($B$20:$B$300, MATCH(0, COUNTIF($C$19:C210, $B$20:$B$300&amp;"") + IF($B$20:$B$300="",1,0), 0)), "")</f>
        <v/>
      </c>
      <c r="D211" s="14" t="s">
        <v>6857</v>
      </c>
    </row>
    <row r="212" spans="1:4" x14ac:dyDescent="0.25">
      <c r="A212" s="15" t="s">
        <v>6863</v>
      </c>
      <c r="B212" s="14" t="s">
        <v>6853</v>
      </c>
      <c r="C212" s="14" t="str">
        <f t="array" ref="C212">IFERROR(INDEX($B$20:$B$300, MATCH(0, COUNTIF($C$19:C211, $B$20:$B$300&amp;"") + IF($B$20:$B$300="",1,0), 0)), "")</f>
        <v/>
      </c>
      <c r="D212" s="14" t="s">
        <v>6854</v>
      </c>
    </row>
    <row r="213" spans="1:4" x14ac:dyDescent="0.25">
      <c r="A213" s="15" t="s">
        <v>6864</v>
      </c>
      <c r="B213" s="14" t="s">
        <v>6853</v>
      </c>
      <c r="C213" s="14" t="str">
        <f t="array" ref="C213">IFERROR(INDEX($B$20:$B$300, MATCH(0, COUNTIF($C$19:C212, $B$20:$B$300&amp;"") + IF($B$20:$B$300="",1,0), 0)), "")</f>
        <v/>
      </c>
      <c r="D213" s="14" t="s">
        <v>6854</v>
      </c>
    </row>
    <row r="214" spans="1:4" x14ac:dyDescent="0.25">
      <c r="A214" s="15" t="s">
        <v>6865</v>
      </c>
      <c r="B214" s="14" t="s">
        <v>6853</v>
      </c>
      <c r="C214" s="14" t="str">
        <f t="array" ref="C214">IFERROR(INDEX($B$20:$B$300, MATCH(0, COUNTIF($C$19:C213, $B$20:$B$300&amp;"") + IF($B$20:$B$300="",1,0), 0)), "")</f>
        <v/>
      </c>
      <c r="D214" s="14" t="s">
        <v>6854</v>
      </c>
    </row>
    <row r="215" spans="1:4" x14ac:dyDescent="0.25">
      <c r="A215" s="15" t="s">
        <v>6866</v>
      </c>
      <c r="B215" s="14" t="s">
        <v>6853</v>
      </c>
      <c r="C215" s="14" t="str">
        <f t="array" ref="C215">IFERROR(INDEX($B$20:$B$300, MATCH(0, COUNTIF($C$19:C214, $B$20:$B$300&amp;"") + IF($B$20:$B$300="",1,0), 0)), "")</f>
        <v/>
      </c>
      <c r="D215" s="14" t="s">
        <v>6854</v>
      </c>
    </row>
    <row r="216" spans="1:4" x14ac:dyDescent="0.25">
      <c r="A216" s="15" t="s">
        <v>6867</v>
      </c>
      <c r="B216" s="14" t="s">
        <v>6856</v>
      </c>
      <c r="C216" s="14" t="str">
        <f t="array" ref="C216">IFERROR(INDEX($B$20:$B$300, MATCH(0, COUNTIF($C$19:C215, $B$20:$B$300&amp;"") + IF($B$20:$B$300="",1,0), 0)), "")</f>
        <v/>
      </c>
      <c r="D216" s="14" t="s">
        <v>6857</v>
      </c>
    </row>
    <row r="217" spans="1:4" x14ac:dyDescent="0.25">
      <c r="A217" s="15" t="s">
        <v>6868</v>
      </c>
      <c r="B217" s="14" t="s">
        <v>6853</v>
      </c>
      <c r="C217" s="14" t="str">
        <f t="array" ref="C217">IFERROR(INDEX($B$20:$B$300, MATCH(0, COUNTIF($C$19:C216, $B$20:$B$300&amp;"") + IF($B$20:$B$300="",1,0), 0)), "")</f>
        <v/>
      </c>
      <c r="D217" s="14" t="s">
        <v>6854</v>
      </c>
    </row>
    <row r="218" spans="1:4" x14ac:dyDescent="0.25">
      <c r="A218" s="15" t="s">
        <v>6869</v>
      </c>
      <c r="B218" s="14" t="s">
        <v>6853</v>
      </c>
      <c r="C218" s="14" t="str">
        <f t="array" ref="C218">IFERROR(INDEX($B$20:$B$300, MATCH(0, COUNTIF($C$19:C217, $B$20:$B$300&amp;"") + IF($B$20:$B$300="",1,0), 0)), "")</f>
        <v/>
      </c>
      <c r="D218" s="14" t="s">
        <v>6854</v>
      </c>
    </row>
    <row r="219" spans="1:4" x14ac:dyDescent="0.25">
      <c r="A219" s="15" t="s">
        <v>6870</v>
      </c>
      <c r="B219" s="14" t="s">
        <v>6853</v>
      </c>
      <c r="C219" s="14" t="str">
        <f t="array" ref="C219">IFERROR(INDEX($B$20:$B$300, MATCH(0, COUNTIF($C$19:C218, $B$20:$B$300&amp;"") + IF($B$20:$B$300="",1,0), 0)), "")</f>
        <v/>
      </c>
      <c r="D219" s="14" t="s">
        <v>6854</v>
      </c>
    </row>
    <row r="220" spans="1:4" x14ac:dyDescent="0.25">
      <c r="A220" s="15" t="s">
        <v>6871</v>
      </c>
      <c r="B220" s="14" t="s">
        <v>6872</v>
      </c>
      <c r="C220" s="14" t="str">
        <f t="array" ref="C220">IFERROR(INDEX($B$20:$B$300, MATCH(0, COUNTIF($C$19:C219, $B$20:$B$300&amp;"") + IF($B$20:$B$300="",1,0), 0)), "")</f>
        <v/>
      </c>
      <c r="D220" s="14" t="s">
        <v>6873</v>
      </c>
    </row>
    <row r="221" spans="1:4" x14ac:dyDescent="0.25">
      <c r="A221" s="15" t="s">
        <v>6874</v>
      </c>
      <c r="B221" s="14" t="s">
        <v>6875</v>
      </c>
      <c r="C221" s="14" t="str">
        <f t="array" ref="C221">IFERROR(INDEX($B$20:$B$300, MATCH(0, COUNTIF($C$19:C220, $B$20:$B$300&amp;"") + IF($B$20:$B$300="",1,0), 0)), "")</f>
        <v/>
      </c>
      <c r="D221" s="14" t="s">
        <v>6876</v>
      </c>
    </row>
    <row r="222" spans="1:4" x14ac:dyDescent="0.25">
      <c r="A222" s="15" t="s">
        <v>6877</v>
      </c>
      <c r="B222" s="14" t="s">
        <v>6878</v>
      </c>
      <c r="C222" s="14" t="str">
        <f t="array" ref="C222">IFERROR(INDEX($B$20:$B$300, MATCH(0, COUNTIF($C$19:C221, $B$20:$B$300&amp;"") + IF($B$20:$B$300="",1,0), 0)), "")</f>
        <v/>
      </c>
      <c r="D222" s="14" t="s">
        <v>6879</v>
      </c>
    </row>
    <row r="223" spans="1:4" x14ac:dyDescent="0.25">
      <c r="A223" s="15" t="s">
        <v>6880</v>
      </c>
      <c r="B223" s="14" t="s">
        <v>6875</v>
      </c>
      <c r="C223" s="14" t="str">
        <f t="array" ref="C223">IFERROR(INDEX($B$20:$B$300, MATCH(0, COUNTIF($C$19:C222, $B$20:$B$300&amp;"") + IF($B$20:$B$300="",1,0), 0)), "")</f>
        <v/>
      </c>
      <c r="D223" s="14" t="s">
        <v>6876</v>
      </c>
    </row>
    <row r="224" spans="1:4" x14ac:dyDescent="0.25">
      <c r="A224" s="15" t="s">
        <v>6881</v>
      </c>
      <c r="B224" s="14" t="s">
        <v>6872</v>
      </c>
      <c r="C224" s="14" t="str">
        <f t="array" ref="C224">IFERROR(INDEX($B$20:$B$300, MATCH(0, COUNTIF($C$19:C223, $B$20:$B$300&amp;"") + IF($B$20:$B$300="",1,0), 0)), "")</f>
        <v/>
      </c>
      <c r="D224" s="14" t="s">
        <v>6873</v>
      </c>
    </row>
    <row r="225" spans="1:4" x14ac:dyDescent="0.25">
      <c r="A225" s="15" t="s">
        <v>6882</v>
      </c>
      <c r="B225" s="14" t="s">
        <v>6875</v>
      </c>
      <c r="C225" s="14" t="str">
        <f t="array" ref="C225">IFERROR(INDEX($B$20:$B$300, MATCH(0, COUNTIF($C$19:C224, $B$20:$B$300&amp;"") + IF($B$20:$B$300="",1,0), 0)), "")</f>
        <v/>
      </c>
      <c r="D225" s="14" t="s">
        <v>6876</v>
      </c>
    </row>
    <row r="226" spans="1:4" x14ac:dyDescent="0.25">
      <c r="A226" s="15" t="s">
        <v>6883</v>
      </c>
      <c r="B226" s="14" t="s">
        <v>6875</v>
      </c>
      <c r="C226" s="14" t="str">
        <f t="array" ref="C226">IFERROR(INDEX($B$20:$B$300, MATCH(0, COUNTIF($C$19:C225, $B$20:$B$300&amp;"") + IF($B$20:$B$300="",1,0), 0)), "")</f>
        <v/>
      </c>
      <c r="D226" s="14" t="s">
        <v>6876</v>
      </c>
    </row>
    <row r="227" spans="1:4" x14ac:dyDescent="0.25">
      <c r="A227" s="15" t="s">
        <v>6884</v>
      </c>
      <c r="B227" s="14" t="s">
        <v>6872</v>
      </c>
      <c r="C227" s="14" t="str">
        <f t="array" ref="C227">IFERROR(INDEX($B$20:$B$300, MATCH(0, COUNTIF($C$19:C226, $B$20:$B$300&amp;"") + IF($B$20:$B$300="",1,0), 0)), "")</f>
        <v/>
      </c>
      <c r="D227" s="14" t="s">
        <v>6873</v>
      </c>
    </row>
    <row r="228" spans="1:4" x14ac:dyDescent="0.25">
      <c r="A228" s="15" t="s">
        <v>6885</v>
      </c>
      <c r="B228" s="14" t="s">
        <v>6875</v>
      </c>
      <c r="C228" s="14" t="str">
        <f t="array" ref="C228">IFERROR(INDEX($B$20:$B$300, MATCH(0, COUNTIF($C$19:C227, $B$20:$B$300&amp;"") + IF($B$20:$B$300="",1,0), 0)), "")</f>
        <v/>
      </c>
      <c r="D228" s="14" t="s">
        <v>6876</v>
      </c>
    </row>
    <row r="229" spans="1:4" x14ac:dyDescent="0.25">
      <c r="A229" s="15" t="s">
        <v>6886</v>
      </c>
      <c r="B229" s="14" t="s">
        <v>6878</v>
      </c>
      <c r="C229" s="14" t="str">
        <f t="array" ref="C229">IFERROR(INDEX($B$20:$B$300, MATCH(0, COUNTIF($C$19:C228, $B$20:$B$300&amp;"") + IF($B$20:$B$300="",1,0), 0)), "")</f>
        <v/>
      </c>
      <c r="D229" s="14" t="s">
        <v>6879</v>
      </c>
    </row>
    <row r="230" spans="1:4" x14ac:dyDescent="0.25">
      <c r="A230" s="15" t="s">
        <v>6887</v>
      </c>
      <c r="B230" s="14" t="s">
        <v>6872</v>
      </c>
      <c r="C230" s="14" t="str">
        <f t="array" ref="C230">IFERROR(INDEX($B$20:$B$300, MATCH(0, COUNTIF($C$19:C229, $B$20:$B$300&amp;"") + IF($B$20:$B$300="",1,0), 0)), "")</f>
        <v/>
      </c>
      <c r="D230" s="14" t="s">
        <v>6873</v>
      </c>
    </row>
    <row r="231" spans="1:4" x14ac:dyDescent="0.25">
      <c r="A231" s="15" t="s">
        <v>6888</v>
      </c>
      <c r="B231" s="14" t="s">
        <v>6875</v>
      </c>
      <c r="C231" s="14" t="str">
        <f t="array" ref="C231">IFERROR(INDEX($B$20:$B$300, MATCH(0, COUNTIF($C$19:C230, $B$20:$B$300&amp;"") + IF($B$20:$B$300="",1,0), 0)), "")</f>
        <v/>
      </c>
      <c r="D231" s="14" t="s">
        <v>6876</v>
      </c>
    </row>
    <row r="232" spans="1:4" x14ac:dyDescent="0.25">
      <c r="A232" s="15" t="s">
        <v>6889</v>
      </c>
      <c r="B232" s="14" t="s">
        <v>6872</v>
      </c>
      <c r="C232" s="14" t="str">
        <f t="array" ref="C232">IFERROR(INDEX($B$20:$B$300, MATCH(0, COUNTIF($C$19:C231, $B$20:$B$300&amp;"") + IF($B$20:$B$300="",1,0), 0)), "")</f>
        <v/>
      </c>
      <c r="D232" s="14" t="s">
        <v>6873</v>
      </c>
    </row>
    <row r="233" spans="1:4" x14ac:dyDescent="0.25">
      <c r="A233" s="15" t="s">
        <v>6890</v>
      </c>
      <c r="B233" s="14" t="s">
        <v>6878</v>
      </c>
      <c r="C233" s="14" t="str">
        <f t="array" ref="C233">IFERROR(INDEX($B$20:$B$300, MATCH(0, COUNTIF($C$19:C232, $B$20:$B$300&amp;"") + IF($B$20:$B$300="",1,0), 0)), "")</f>
        <v/>
      </c>
      <c r="D233" s="14" t="s">
        <v>6879</v>
      </c>
    </row>
    <row r="234" spans="1:4" x14ac:dyDescent="0.25">
      <c r="A234" s="15" t="s">
        <v>6891</v>
      </c>
      <c r="B234" s="14" t="s">
        <v>6875</v>
      </c>
      <c r="C234" s="14" t="str">
        <f t="array" ref="C234">IFERROR(INDEX($B$20:$B$300, MATCH(0, COUNTIF($C$19:C233, $B$20:$B$300&amp;"") + IF($B$20:$B$300="",1,0), 0)), "")</f>
        <v/>
      </c>
      <c r="D234" s="14" t="s">
        <v>6876</v>
      </c>
    </row>
    <row r="235" spans="1:4" x14ac:dyDescent="0.25">
      <c r="A235" s="15" t="s">
        <v>6892</v>
      </c>
      <c r="B235" s="14" t="s">
        <v>6872</v>
      </c>
      <c r="C235" s="14" t="str">
        <f t="array" ref="C235">IFERROR(INDEX($B$20:$B$300, MATCH(0, COUNTIF($C$19:C234, $B$20:$B$300&amp;"") + IF($B$20:$B$300="",1,0), 0)), "")</f>
        <v/>
      </c>
      <c r="D235" s="14" t="s">
        <v>6873</v>
      </c>
    </row>
    <row r="236" spans="1:4" x14ac:dyDescent="0.25">
      <c r="A236" s="15" t="s">
        <v>6893</v>
      </c>
      <c r="B236" s="14" t="s">
        <v>6894</v>
      </c>
      <c r="C236" s="14" t="str">
        <f t="array" ref="C236">IFERROR(INDEX($B$20:$B$300, MATCH(0, COUNTIF($C$19:C235, $B$20:$B$300&amp;"") + IF($B$20:$B$300="",1,0), 0)), "")</f>
        <v/>
      </c>
      <c r="D236" s="14" t="s">
        <v>6895</v>
      </c>
    </row>
    <row r="237" spans="1:4" x14ac:dyDescent="0.25">
      <c r="A237" s="15" t="s">
        <v>6896</v>
      </c>
      <c r="B237" s="14" t="s">
        <v>6786</v>
      </c>
      <c r="C237" s="14" t="str">
        <f t="array" ref="C237">IFERROR(INDEX($B$20:$B$300, MATCH(0, COUNTIF($C$19:C236, $B$20:$B$300&amp;"") + IF($B$20:$B$300="",1,0), 0)), "")</f>
        <v/>
      </c>
      <c r="D237" s="14" t="s">
        <v>6787</v>
      </c>
    </row>
    <row r="238" spans="1:4" x14ac:dyDescent="0.25">
      <c r="A238" s="15" t="s">
        <v>6897</v>
      </c>
      <c r="B238" s="14" t="s">
        <v>6786</v>
      </c>
      <c r="C238" s="14" t="str">
        <f t="array" ref="C238">IFERROR(INDEX($B$20:$B$300, MATCH(0, COUNTIF($C$19:C237, $B$20:$B$300&amp;"") + IF($B$20:$B$300="",1,0), 0)), "")</f>
        <v/>
      </c>
      <c r="D238" s="14" t="s">
        <v>6787</v>
      </c>
    </row>
    <row r="239" spans="1:4" x14ac:dyDescent="0.25">
      <c r="A239" s="15" t="s">
        <v>6898</v>
      </c>
      <c r="B239" s="14" t="s">
        <v>6786</v>
      </c>
      <c r="C239" s="14" t="str">
        <f t="array" ref="C239">IFERROR(INDEX($B$20:$B$300, MATCH(0, COUNTIF($C$19:C238, $B$20:$B$300&amp;"") + IF($B$20:$B$300="",1,0), 0)), "")</f>
        <v/>
      </c>
      <c r="D239" s="14" t="s">
        <v>6787</v>
      </c>
    </row>
    <row r="240" spans="1:4" x14ac:dyDescent="0.25">
      <c r="A240" s="15" t="s">
        <v>6899</v>
      </c>
      <c r="B240" s="14" t="s">
        <v>6786</v>
      </c>
      <c r="C240" s="14" t="str">
        <f t="array" ref="C240">IFERROR(INDEX($B$20:$B$300, MATCH(0, COUNTIF($C$19:C239, $B$20:$B$300&amp;"") + IF($B$20:$B$300="",1,0), 0)), "")</f>
        <v/>
      </c>
      <c r="D240" s="14" t="s">
        <v>6787</v>
      </c>
    </row>
    <row r="241" spans="1:4" x14ac:dyDescent="0.25">
      <c r="A241" s="15" t="s">
        <v>6900</v>
      </c>
      <c r="B241" s="14" t="s">
        <v>6894</v>
      </c>
      <c r="C241" s="14" t="str">
        <f t="array" ref="C241">IFERROR(INDEX($B$20:$B$300, MATCH(0, COUNTIF($C$19:C240, $B$20:$B$300&amp;"") + IF($B$20:$B$300="",1,0), 0)), "")</f>
        <v/>
      </c>
      <c r="D241" s="14" t="s">
        <v>6895</v>
      </c>
    </row>
    <row r="242" spans="1:4" x14ac:dyDescent="0.25">
      <c r="A242" s="15" t="s">
        <v>6901</v>
      </c>
      <c r="B242" s="14" t="s">
        <v>6786</v>
      </c>
      <c r="C242" s="14" t="str">
        <f t="array" ref="C242">IFERROR(INDEX($B$20:$B$300, MATCH(0, COUNTIF($C$19:C241, $B$20:$B$300&amp;"") + IF($B$20:$B$300="",1,0), 0)), "")</f>
        <v/>
      </c>
      <c r="D242" s="14" t="s">
        <v>6787</v>
      </c>
    </row>
    <row r="243" spans="1:4" x14ac:dyDescent="0.25">
      <c r="A243" s="15" t="s">
        <v>6902</v>
      </c>
      <c r="B243" s="14" t="s">
        <v>6786</v>
      </c>
      <c r="C243" s="14" t="str">
        <f t="array" ref="C243">IFERROR(INDEX($B$20:$B$300, MATCH(0, COUNTIF($C$19:C242, $B$20:$B$300&amp;"") + IF($B$20:$B$300="",1,0), 0)), "")</f>
        <v/>
      </c>
      <c r="D243" s="14" t="s">
        <v>6787</v>
      </c>
    </row>
    <row r="244" spans="1:4" x14ac:dyDescent="0.25">
      <c r="A244" s="15" t="s">
        <v>6903</v>
      </c>
      <c r="B244" s="14" t="s">
        <v>6894</v>
      </c>
      <c r="C244" s="14" t="str">
        <f t="array" ref="C244">IFERROR(INDEX($B$20:$B$300, MATCH(0, COUNTIF($C$19:C243, $B$20:$B$300&amp;"") + IF($B$20:$B$300="",1,0), 0)), "")</f>
        <v/>
      </c>
      <c r="D244" s="14" t="s">
        <v>6895</v>
      </c>
    </row>
    <row r="245" spans="1:4" x14ac:dyDescent="0.25">
      <c r="A245" s="15" t="s">
        <v>6904</v>
      </c>
      <c r="B245" s="14" t="s">
        <v>6786</v>
      </c>
      <c r="C245" s="14" t="str">
        <f t="array" ref="C245">IFERROR(INDEX($B$20:$B$300, MATCH(0, COUNTIF($C$19:C244, $B$20:$B$300&amp;"") + IF($B$20:$B$300="",1,0), 0)), "")</f>
        <v/>
      </c>
      <c r="D245" s="14" t="s">
        <v>6787</v>
      </c>
    </row>
    <row r="246" spans="1:4" x14ac:dyDescent="0.25">
      <c r="A246" s="15" t="s">
        <v>6905</v>
      </c>
      <c r="B246" s="14" t="s">
        <v>6786</v>
      </c>
      <c r="C246" s="14" t="str">
        <f t="array" ref="C246">IFERROR(INDEX($B$20:$B$300, MATCH(0, COUNTIF($C$19:C245, $B$20:$B$300&amp;"") + IF($B$20:$B$300="",1,0), 0)), "")</f>
        <v/>
      </c>
      <c r="D246" s="14" t="s">
        <v>6787</v>
      </c>
    </row>
    <row r="247" spans="1:4" x14ac:dyDescent="0.25">
      <c r="A247" s="15" t="s">
        <v>6906</v>
      </c>
      <c r="B247" s="14" t="s">
        <v>6907</v>
      </c>
      <c r="C247" s="14" t="str">
        <f t="array" ref="C247">IFERROR(INDEX($B$20:$B$300, MATCH(0, COUNTIF($C$19:C246, $B$20:$B$300&amp;"") + IF($B$20:$B$300="",1,0), 0)), "")</f>
        <v/>
      </c>
      <c r="D247" s="14" t="s">
        <v>6908</v>
      </c>
    </row>
    <row r="248" spans="1:4" x14ac:dyDescent="0.25">
      <c r="A248" s="15" t="s">
        <v>6909</v>
      </c>
      <c r="B248" s="14" t="s">
        <v>6910</v>
      </c>
      <c r="C248" s="14" t="str">
        <f t="array" ref="C248">IFERROR(INDEX($B$20:$B$300, MATCH(0, COUNTIF($C$19:C247, $B$20:$B$300&amp;"") + IF($B$20:$B$300="",1,0), 0)), "")</f>
        <v/>
      </c>
      <c r="D248" s="14" t="s">
        <v>6911</v>
      </c>
    </row>
    <row r="249" spans="1:4" x14ac:dyDescent="0.25">
      <c r="A249" s="15" t="s">
        <v>6912</v>
      </c>
      <c r="B249" s="14" t="s">
        <v>6907</v>
      </c>
      <c r="C249" s="14" t="str">
        <f t="array" ref="C249">IFERROR(INDEX($B$20:$B$300, MATCH(0, COUNTIF($C$19:C248, $B$20:$B$300&amp;"") + IF($B$20:$B$300="",1,0), 0)), "")</f>
        <v/>
      </c>
      <c r="D249" s="14" t="s">
        <v>6908</v>
      </c>
    </row>
    <row r="250" spans="1:4" x14ac:dyDescent="0.25">
      <c r="A250" s="15" t="s">
        <v>6913</v>
      </c>
      <c r="B250" s="14" t="s">
        <v>6910</v>
      </c>
      <c r="C250" s="14" t="str">
        <f t="array" ref="C250">IFERROR(INDEX($B$20:$B$300, MATCH(0, COUNTIF($C$19:C249, $B$20:$B$300&amp;"") + IF($B$20:$B$300="",1,0), 0)), "")</f>
        <v/>
      </c>
      <c r="D250" s="14" t="s">
        <v>6911</v>
      </c>
    </row>
    <row r="251" spans="1:4" x14ac:dyDescent="0.25">
      <c r="A251" s="15" t="s">
        <v>6914</v>
      </c>
      <c r="B251" s="14" t="s">
        <v>6907</v>
      </c>
      <c r="C251" s="14" t="str">
        <f t="array" ref="C251">IFERROR(INDEX($B$20:$B$300, MATCH(0, COUNTIF($C$19:C250, $B$20:$B$300&amp;"") + IF($B$20:$B$300="",1,0), 0)), "")</f>
        <v/>
      </c>
      <c r="D251" s="14" t="s">
        <v>6908</v>
      </c>
    </row>
    <row r="252" spans="1:4" x14ac:dyDescent="0.25">
      <c r="A252" s="15" t="s">
        <v>6915</v>
      </c>
      <c r="B252" s="14" t="s">
        <v>6910</v>
      </c>
      <c r="C252" s="14" t="str">
        <f t="array" ref="C252">IFERROR(INDEX($B$20:$B$300, MATCH(0, COUNTIF($C$19:C251, $B$20:$B$300&amp;"") + IF($B$20:$B$300="",1,0), 0)), "")</f>
        <v/>
      </c>
      <c r="D252" s="14" t="s">
        <v>6911</v>
      </c>
    </row>
    <row r="253" spans="1:4" x14ac:dyDescent="0.25">
      <c r="A253" s="15" t="s">
        <v>6916</v>
      </c>
      <c r="B253" s="14" t="s">
        <v>6907</v>
      </c>
      <c r="C253" s="14" t="str">
        <f t="array" ref="C253">IFERROR(INDEX($B$20:$B$300, MATCH(0, COUNTIF($C$19:C252, $B$20:$B$300&amp;"") + IF($B$20:$B$300="",1,0), 0)), "")</f>
        <v/>
      </c>
      <c r="D253" s="14" t="s">
        <v>6908</v>
      </c>
    </row>
    <row r="254" spans="1:4" x14ac:dyDescent="0.25">
      <c r="A254" s="15" t="s">
        <v>6917</v>
      </c>
      <c r="B254" s="14" t="s">
        <v>6907</v>
      </c>
      <c r="C254" s="14" t="str">
        <f t="array" ref="C254">IFERROR(INDEX($B$20:$B$300, MATCH(0, COUNTIF($C$19:C253, $B$20:$B$300&amp;"") + IF($B$20:$B$300="",1,0), 0)), "")</f>
        <v/>
      </c>
      <c r="D254" s="14" t="s">
        <v>6908</v>
      </c>
    </row>
    <row r="255" spans="1:4" x14ac:dyDescent="0.25">
      <c r="A255" s="15" t="s">
        <v>6918</v>
      </c>
      <c r="B255" s="14" t="s">
        <v>6907</v>
      </c>
      <c r="C255" s="14" t="str">
        <f t="array" ref="C255">IFERROR(INDEX($B$20:$B$300, MATCH(0, COUNTIF($C$19:C254, $B$20:$B$300&amp;"") + IF($B$20:$B$300="",1,0), 0)), "")</f>
        <v/>
      </c>
      <c r="D255" s="14" t="s">
        <v>6908</v>
      </c>
    </row>
    <row r="256" spans="1:4" x14ac:dyDescent="0.25">
      <c r="A256" s="15" t="s">
        <v>6919</v>
      </c>
      <c r="B256" s="14" t="s">
        <v>6910</v>
      </c>
      <c r="C256" s="14" t="str">
        <f t="array" ref="C256">IFERROR(INDEX($B$20:$B$300, MATCH(0, COUNTIF($C$19:C255, $B$20:$B$300&amp;"") + IF($B$20:$B$300="",1,0), 0)), "")</f>
        <v/>
      </c>
      <c r="D256" s="14" t="s">
        <v>6911</v>
      </c>
    </row>
    <row r="257" spans="1:4" x14ac:dyDescent="0.25">
      <c r="A257" s="15" t="s">
        <v>6920</v>
      </c>
      <c r="B257" s="14" t="s">
        <v>6907</v>
      </c>
      <c r="C257" s="14" t="str">
        <f t="array" ref="C257">IFERROR(INDEX($B$20:$B$300, MATCH(0, COUNTIF($C$19:C256, $B$20:$B$300&amp;"") + IF($B$20:$B$300="",1,0), 0)), "")</f>
        <v/>
      </c>
      <c r="D257" s="14" t="s">
        <v>6908</v>
      </c>
    </row>
    <row r="258" spans="1:4" x14ac:dyDescent="0.25">
      <c r="A258" s="15" t="s">
        <v>6921</v>
      </c>
      <c r="B258" s="14" t="s">
        <v>6910</v>
      </c>
      <c r="C258" s="14" t="str">
        <f t="array" ref="C258">IFERROR(INDEX($B$20:$B$300, MATCH(0, COUNTIF($C$19:C257, $B$20:$B$300&amp;"") + IF($B$20:$B$300="",1,0), 0)), "")</f>
        <v/>
      </c>
      <c r="D258" s="14" t="s">
        <v>6911</v>
      </c>
    </row>
    <row r="259" spans="1:4" x14ac:dyDescent="0.25">
      <c r="A259" s="15" t="s">
        <v>6922</v>
      </c>
      <c r="B259" s="14" t="s">
        <v>6907</v>
      </c>
      <c r="C259" s="14" t="str">
        <f t="array" ref="C259">IFERROR(INDEX($B$20:$B$300, MATCH(0, COUNTIF($C$19:C258, $B$20:$B$300&amp;"") + IF($B$20:$B$300="",1,0), 0)), "")</f>
        <v/>
      </c>
      <c r="D259" s="14" t="s">
        <v>6908</v>
      </c>
    </row>
    <row r="260" spans="1:4" x14ac:dyDescent="0.25">
      <c r="A260" s="15" t="s">
        <v>6923</v>
      </c>
      <c r="B260" s="14" t="s">
        <v>6910</v>
      </c>
      <c r="C260" s="14" t="str">
        <f t="array" ref="C260">IFERROR(INDEX($B$20:$B$300, MATCH(0, COUNTIF($C$19:C259, $B$20:$B$300&amp;"") + IF($B$20:$B$300="",1,0), 0)), "")</f>
        <v/>
      </c>
      <c r="D260" s="14" t="s">
        <v>6911</v>
      </c>
    </row>
    <row r="261" spans="1:4" x14ac:dyDescent="0.25">
      <c r="A261" s="15" t="s">
        <v>6924</v>
      </c>
      <c r="B261" s="14" t="s">
        <v>6907</v>
      </c>
      <c r="C261" s="14" t="str">
        <f t="array" ref="C261">IFERROR(INDEX($B$20:$B$300, MATCH(0, COUNTIF($C$19:C260, $B$20:$B$300&amp;"") + IF($B$20:$B$300="",1,0), 0)), "")</f>
        <v/>
      </c>
      <c r="D261" s="14" t="s">
        <v>6908</v>
      </c>
    </row>
    <row r="262" spans="1:4" x14ac:dyDescent="0.25">
      <c r="A262" s="15" t="s">
        <v>6925</v>
      </c>
      <c r="B262" s="14" t="s">
        <v>6907</v>
      </c>
      <c r="C262" s="14" t="str">
        <f t="array" ref="C262">IFERROR(INDEX($B$20:$B$300, MATCH(0, COUNTIF($C$19:C261, $B$20:$B$300&amp;"") + IF($B$20:$B$300="",1,0), 0)), "")</f>
        <v/>
      </c>
      <c r="D262" s="14" t="s">
        <v>6908</v>
      </c>
    </row>
    <row r="263" spans="1:4" x14ac:dyDescent="0.25">
      <c r="A263" s="15" t="s">
        <v>6926</v>
      </c>
      <c r="B263" s="14" t="s">
        <v>6907</v>
      </c>
      <c r="C263" s="14" t="str">
        <f t="array" ref="C263">IFERROR(INDEX($B$20:$B$300, MATCH(0, COUNTIF($C$19:C262, $B$20:$B$300&amp;"") + IF($B$20:$B$300="",1,0), 0)), "")</f>
        <v/>
      </c>
      <c r="D263" s="14" t="s">
        <v>6908</v>
      </c>
    </row>
    <row r="264" spans="1:4" x14ac:dyDescent="0.25">
      <c r="A264" s="15" t="s">
        <v>6927</v>
      </c>
      <c r="B264" s="14" t="s">
        <v>6910</v>
      </c>
      <c r="C264" s="14" t="str">
        <f t="array" ref="C264">IFERROR(INDEX($B$20:$B$300, MATCH(0, COUNTIF($C$19:C263, $B$20:$B$300&amp;"") + IF($B$20:$B$300="",1,0), 0)), "")</f>
        <v/>
      </c>
      <c r="D264" s="14" t="s">
        <v>6911</v>
      </c>
    </row>
    <row r="265" spans="1:4" x14ac:dyDescent="0.25">
      <c r="A265" s="15" t="s">
        <v>6928</v>
      </c>
      <c r="B265" s="14" t="s">
        <v>6907</v>
      </c>
      <c r="C265" s="14" t="str">
        <f t="array" ref="C265">IFERROR(INDEX($B$20:$B$300, MATCH(0, COUNTIF($C$19:C264, $B$20:$B$300&amp;"") + IF($B$20:$B$300="",1,0), 0)), "")</f>
        <v/>
      </c>
      <c r="D265" s="14" t="s">
        <v>6908</v>
      </c>
    </row>
    <row r="266" spans="1:4" x14ac:dyDescent="0.25">
      <c r="A266" s="15" t="s">
        <v>6929</v>
      </c>
      <c r="B266" s="14" t="s">
        <v>6910</v>
      </c>
      <c r="C266" s="14" t="str">
        <f t="array" ref="C266">IFERROR(INDEX($B$20:$B$300, MATCH(0, COUNTIF($C$19:C265, $B$20:$B$300&amp;"") + IF($B$20:$B$300="",1,0), 0)), "")</f>
        <v/>
      </c>
      <c r="D266" s="14" t="s">
        <v>6911</v>
      </c>
    </row>
    <row r="267" spans="1:4" x14ac:dyDescent="0.25">
      <c r="A267" s="15" t="s">
        <v>6930</v>
      </c>
      <c r="B267" s="14" t="s">
        <v>752</v>
      </c>
      <c r="C267" s="14" t="str">
        <f t="array" ref="C267">IFERROR(INDEX($B$20:$B$300, MATCH(0, COUNTIF($C$19:C266, $B$20:$B$300&amp;"") + IF($B$20:$B$300="",1,0), 0)), "")</f>
        <v/>
      </c>
      <c r="D267" s="14" t="s">
        <v>6931</v>
      </c>
    </row>
    <row r="268" spans="1:4" x14ac:dyDescent="0.25">
      <c r="A268" s="15" t="s">
        <v>6932</v>
      </c>
      <c r="B268" s="14" t="s">
        <v>752</v>
      </c>
      <c r="C268" s="14" t="str">
        <f t="array" ref="C268">IFERROR(INDEX($B$20:$B$300, MATCH(0, COUNTIF($C$19:C267, $B$20:$B$300&amp;"") + IF($B$20:$B$300="",1,0), 0)), "")</f>
        <v/>
      </c>
      <c r="D268" s="14" t="s">
        <v>6931</v>
      </c>
    </row>
    <row r="269" spans="1:4" x14ac:dyDescent="0.25">
      <c r="A269" s="15" t="s">
        <v>6933</v>
      </c>
      <c r="B269" s="14" t="s">
        <v>752</v>
      </c>
      <c r="C269" s="14" t="str">
        <f t="array" ref="C269">IFERROR(INDEX($B$20:$B$300, MATCH(0, COUNTIF($C$19:C268, $B$20:$B$300&amp;"") + IF($B$20:$B$300="",1,0), 0)), "")</f>
        <v/>
      </c>
      <c r="D269" s="14" t="s">
        <v>6931</v>
      </c>
    </row>
    <row r="270" spans="1:4" x14ac:dyDescent="0.25">
      <c r="A270" s="15" t="s">
        <v>6934</v>
      </c>
      <c r="B270" s="14" t="s">
        <v>752</v>
      </c>
      <c r="C270" s="14" t="str">
        <f t="array" ref="C270">IFERROR(INDEX($B$20:$B$300, MATCH(0, COUNTIF($C$19:C269, $B$20:$B$300&amp;"") + IF($B$20:$B$300="",1,0), 0)), "")</f>
        <v/>
      </c>
      <c r="D270" s="14" t="s">
        <v>6931</v>
      </c>
    </row>
    <row r="271" spans="1:4" x14ac:dyDescent="0.25">
      <c r="A271" s="15" t="s">
        <v>6935</v>
      </c>
      <c r="B271" s="14" t="s">
        <v>6936</v>
      </c>
      <c r="C271" s="14" t="str">
        <f t="array" ref="C271">IFERROR(INDEX($B$20:$B$300, MATCH(0, COUNTIF($C$19:C270, $B$20:$B$300&amp;"") + IF($B$20:$B$300="",1,0), 0)), "")</f>
        <v/>
      </c>
      <c r="D271" s="14" t="s">
        <v>6937</v>
      </c>
    </row>
    <row r="272" spans="1:4" x14ac:dyDescent="0.25">
      <c r="A272" s="15" t="s">
        <v>6938</v>
      </c>
      <c r="B272" s="14" t="s">
        <v>752</v>
      </c>
      <c r="C272" s="14" t="str">
        <f t="array" ref="C272">IFERROR(INDEX($B$20:$B$300, MATCH(0, COUNTIF($C$19:C271, $B$20:$B$300&amp;"") + IF($B$20:$B$300="",1,0), 0)), "")</f>
        <v/>
      </c>
      <c r="D272" s="14" t="s">
        <v>6931</v>
      </c>
    </row>
    <row r="273" spans="1:4" x14ac:dyDescent="0.25">
      <c r="A273" s="15" t="s">
        <v>6939</v>
      </c>
      <c r="B273" s="14" t="s">
        <v>752</v>
      </c>
      <c r="C273" s="14" t="str">
        <f t="array" ref="C273">IFERROR(INDEX($B$20:$B$300, MATCH(0, COUNTIF($C$19:C272, $B$20:$B$300&amp;"") + IF($B$20:$B$300="",1,0), 0)), "")</f>
        <v/>
      </c>
      <c r="D273" s="14" t="s">
        <v>6931</v>
      </c>
    </row>
    <row r="274" spans="1:4" x14ac:dyDescent="0.25">
      <c r="A274" s="15" t="s">
        <v>6940</v>
      </c>
      <c r="B274" s="14" t="s">
        <v>752</v>
      </c>
      <c r="C274" s="14" t="str">
        <f t="array" ref="C274">IFERROR(INDEX($B$20:$B$300, MATCH(0, COUNTIF($C$19:C273, $B$20:$B$300&amp;"") + IF($B$20:$B$300="",1,0), 0)), "")</f>
        <v/>
      </c>
      <c r="D274" s="14" t="s">
        <v>6931</v>
      </c>
    </row>
    <row r="275" spans="1:4" x14ac:dyDescent="0.25">
      <c r="A275" s="15" t="s">
        <v>6941</v>
      </c>
      <c r="B275" s="14" t="s">
        <v>752</v>
      </c>
      <c r="C275" s="14" t="str">
        <f t="array" ref="C275">IFERROR(INDEX($B$20:$B$300, MATCH(0, COUNTIF($C$19:C274, $B$20:$B$300&amp;"") + IF($B$20:$B$300="",1,0), 0)), "")</f>
        <v/>
      </c>
      <c r="D275" s="14" t="s">
        <v>6931</v>
      </c>
    </row>
    <row r="276" spans="1:4" x14ac:dyDescent="0.25">
      <c r="A276" s="15" t="s">
        <v>6942</v>
      </c>
      <c r="B276" s="14" t="s">
        <v>6936</v>
      </c>
      <c r="C276" s="14" t="str">
        <f t="array" ref="C276">IFERROR(INDEX($B$20:$B$300, MATCH(0, COUNTIF($C$19:C275, $B$20:$B$300&amp;"") + IF($B$20:$B$300="",1,0), 0)), "")</f>
        <v/>
      </c>
      <c r="D276" s="14" t="s">
        <v>6937</v>
      </c>
    </row>
    <row r="277" spans="1:4" x14ac:dyDescent="0.25">
      <c r="A277" s="15" t="s">
        <v>6943</v>
      </c>
      <c r="B277" s="14" t="s">
        <v>6936</v>
      </c>
      <c r="C277" s="14" t="str">
        <f t="array" ref="C277">IFERROR(INDEX($B$20:$B$300, MATCH(0, COUNTIF($C$19:C276, $B$20:$B$300&amp;"") + IF($B$20:$B$300="",1,0), 0)), "")</f>
        <v/>
      </c>
      <c r="D277" s="14" t="s">
        <v>6937</v>
      </c>
    </row>
    <row r="278" spans="1:4" x14ac:dyDescent="0.25">
      <c r="A278" s="15" t="s">
        <v>6944</v>
      </c>
      <c r="B278" s="14" t="s">
        <v>752</v>
      </c>
      <c r="C278" s="14" t="str">
        <f t="array" ref="C278">IFERROR(INDEX($B$20:$B$300, MATCH(0, COUNTIF($C$19:C277, $B$20:$B$300&amp;"") + IF($B$20:$B$300="",1,0), 0)), "")</f>
        <v/>
      </c>
      <c r="D278" s="14" t="s">
        <v>6931</v>
      </c>
    </row>
    <row r="279" spans="1:4" x14ac:dyDescent="0.25">
      <c r="A279" s="15" t="s">
        <v>6945</v>
      </c>
      <c r="B279" s="14" t="s">
        <v>6936</v>
      </c>
      <c r="C279" s="14" t="str">
        <f t="array" ref="C279">IFERROR(INDEX($B$20:$B$300, MATCH(0, COUNTIF($C$19:C278, $B$20:$B$300&amp;"") + IF($B$20:$B$300="",1,0), 0)), "")</f>
        <v/>
      </c>
      <c r="D279" s="14" t="s">
        <v>6937</v>
      </c>
    </row>
    <row r="280" spans="1:4" x14ac:dyDescent="0.25">
      <c r="A280" s="15" t="s">
        <v>6946</v>
      </c>
      <c r="B280" s="14" t="s">
        <v>6947</v>
      </c>
      <c r="C280" s="14" t="str">
        <f t="array" ref="C280">IFERROR(INDEX($B$20:$B$300, MATCH(0, COUNTIF($C$19:C279, $B$20:$B$300&amp;"") + IF($B$20:$B$300="",1,0), 0)), "")</f>
        <v/>
      </c>
      <c r="D280" s="14" t="s">
        <v>6948</v>
      </c>
    </row>
    <row r="281" spans="1:4" x14ac:dyDescent="0.25">
      <c r="A281" s="15" t="s">
        <v>6949</v>
      </c>
      <c r="B281" s="14" t="s">
        <v>6950</v>
      </c>
      <c r="C281" s="14" t="str">
        <f t="array" ref="C281">IFERROR(INDEX($B$20:$B$300, MATCH(0, COUNTIF($C$19:C280, $B$20:$B$300&amp;"") + IF($B$20:$B$300="",1,0), 0)), "")</f>
        <v/>
      </c>
      <c r="D281" s="14" t="s">
        <v>6951</v>
      </c>
    </row>
    <row r="282" spans="1:4" x14ac:dyDescent="0.25">
      <c r="A282" s="15" t="s">
        <v>6952</v>
      </c>
      <c r="B282" s="14" t="s">
        <v>6953</v>
      </c>
      <c r="C282" s="14" t="str">
        <f t="array" ref="C282">IFERROR(INDEX($B$20:$B$300, MATCH(0, COUNTIF($C$19:C281, $B$20:$B$300&amp;"") + IF($B$20:$B$300="",1,0), 0)), "")</f>
        <v/>
      </c>
      <c r="D282" s="14" t="s">
        <v>6954</v>
      </c>
    </row>
    <row r="283" spans="1:4" x14ac:dyDescent="0.25">
      <c r="A283" s="15" t="s">
        <v>6955</v>
      </c>
      <c r="B283" s="14" t="s">
        <v>6956</v>
      </c>
      <c r="C283" s="14" t="str">
        <f t="array" ref="C283">IFERROR(INDEX($B$20:$B$300, MATCH(0, COUNTIF($C$19:C282, $B$20:$B$300&amp;"") + IF($B$20:$B$300="",1,0), 0)), "")</f>
        <v/>
      </c>
      <c r="D283" s="14" t="s">
        <v>6957</v>
      </c>
    </row>
    <row r="284" spans="1:4" x14ac:dyDescent="0.25">
      <c r="A284" s="15" t="s">
        <v>6958</v>
      </c>
      <c r="B284" s="14" t="s">
        <v>6959</v>
      </c>
      <c r="C284" s="14" t="str">
        <f t="array" ref="C284">IFERROR(INDEX($B$20:$B$300, MATCH(0, COUNTIF($C$19:C283, $B$20:$B$300&amp;"") + IF($B$20:$B$300="",1,0), 0)), "")</f>
        <v/>
      </c>
      <c r="D284" s="14" t="s">
        <v>6960</v>
      </c>
    </row>
    <row r="285" spans="1:4" x14ac:dyDescent="0.25">
      <c r="A285" s="15" t="s">
        <v>6961</v>
      </c>
      <c r="B285" s="14" t="s">
        <v>6947</v>
      </c>
      <c r="C285" s="14" t="str">
        <f t="array" ref="C285">IFERROR(INDEX($B$20:$B$300, MATCH(0, COUNTIF($C$19:C284, $B$20:$B$300&amp;"") + IF($B$20:$B$300="",1,0), 0)), "")</f>
        <v/>
      </c>
      <c r="D285" s="14" t="s">
        <v>6948</v>
      </c>
    </row>
    <row r="286" spans="1:4" x14ac:dyDescent="0.25">
      <c r="A286" s="15" t="s">
        <v>6962</v>
      </c>
      <c r="B286" s="14" t="s">
        <v>6947</v>
      </c>
      <c r="C286" s="14" t="str">
        <f t="array" ref="C286">IFERROR(INDEX($B$20:$B$300, MATCH(0, COUNTIF($C$19:C285, $B$20:$B$300&amp;"") + IF($B$20:$B$300="",1,0), 0)), "")</f>
        <v/>
      </c>
      <c r="D286" s="14" t="s">
        <v>6948</v>
      </c>
    </row>
    <row r="287" spans="1:4" x14ac:dyDescent="0.25">
      <c r="A287" s="15" t="s">
        <v>6963</v>
      </c>
      <c r="B287" s="14" t="s">
        <v>6950</v>
      </c>
      <c r="C287" s="14" t="str">
        <f t="array" ref="C287">IFERROR(INDEX($B$20:$B$300, MATCH(0, COUNTIF($C$19:C286, $B$20:$B$300&amp;"") + IF($B$20:$B$300="",1,0), 0)), "")</f>
        <v/>
      </c>
      <c r="D287" s="14" t="s">
        <v>6951</v>
      </c>
    </row>
    <row r="288" spans="1:4" x14ac:dyDescent="0.25">
      <c r="A288" s="15" t="s">
        <v>6964</v>
      </c>
      <c r="B288" s="14" t="s">
        <v>6965</v>
      </c>
      <c r="C288" s="14" t="str">
        <f t="array" ref="C288">IFERROR(INDEX($B$20:$B$300, MATCH(0, COUNTIF($C$19:C287, $B$20:$B$300&amp;"") + IF($B$20:$B$300="",1,0), 0)), "")</f>
        <v/>
      </c>
      <c r="D288" s="14" t="s">
        <v>6966</v>
      </c>
    </row>
    <row r="289" spans="1:4" x14ac:dyDescent="0.25">
      <c r="A289" s="15" t="s">
        <v>6967</v>
      </c>
      <c r="B289" s="14" t="s">
        <v>6968</v>
      </c>
      <c r="C289" s="14" t="str">
        <f t="array" ref="C289">IFERROR(INDEX($B$20:$B$300, MATCH(0, COUNTIF($C$19:C288, $B$20:$B$300&amp;"") + IF($B$20:$B$300="",1,0), 0)), "")</f>
        <v/>
      </c>
      <c r="D289" s="14" t="s">
        <v>6969</v>
      </c>
    </row>
    <row r="290" spans="1:4" x14ac:dyDescent="0.25">
      <c r="A290" s="15" t="s">
        <v>6970</v>
      </c>
      <c r="B290" s="14" t="s">
        <v>6959</v>
      </c>
      <c r="C290" s="14" t="str">
        <f t="array" ref="C290">IFERROR(INDEX($B$20:$B$300, MATCH(0, COUNTIF($C$19:C289, $B$20:$B$300&amp;"") + IF($B$20:$B$300="",1,0), 0)), "")</f>
        <v/>
      </c>
      <c r="D290" s="14" t="s">
        <v>6960</v>
      </c>
    </row>
    <row r="291" spans="1:4" x14ac:dyDescent="0.25">
      <c r="A291" s="15" t="s">
        <v>6971</v>
      </c>
      <c r="B291" s="14" t="s">
        <v>6953</v>
      </c>
      <c r="C291" s="14" t="str">
        <f t="array" ref="C291">IFERROR(INDEX($B$20:$B$300, MATCH(0, COUNTIF($C$19:C290, $B$20:$B$300&amp;"") + IF($B$20:$B$300="",1,0), 0)), "")</f>
        <v/>
      </c>
      <c r="D291" s="14" t="s">
        <v>6954</v>
      </c>
    </row>
    <row r="292" spans="1:4" x14ac:dyDescent="0.25">
      <c r="A292" s="15" t="s">
        <v>6972</v>
      </c>
      <c r="B292" s="14" t="s">
        <v>6973</v>
      </c>
      <c r="C292" s="14" t="str">
        <f t="array" ref="C292">IFERROR(INDEX($B$20:$B$300, MATCH(0, COUNTIF($C$19:C291, $B$20:$B$300&amp;"") + IF($B$20:$B$300="",1,0), 0)), "")</f>
        <v/>
      </c>
      <c r="D292" s="14" t="s">
        <v>6974</v>
      </c>
    </row>
    <row r="293" spans="1:4" x14ac:dyDescent="0.25">
      <c r="A293" s="15" t="s">
        <v>6975</v>
      </c>
      <c r="B293" s="14" t="s">
        <v>6956</v>
      </c>
      <c r="C293" s="14" t="str">
        <f t="array" ref="C293">IFERROR(INDEX($B$20:$B$300, MATCH(0, COUNTIF($C$19:C292, $B$20:$B$300&amp;"") + IF($B$20:$B$300="",1,0), 0)), "")</f>
        <v/>
      </c>
      <c r="D293" s="14" t="s">
        <v>6957</v>
      </c>
    </row>
    <row r="294" spans="1:4" x14ac:dyDescent="0.25">
      <c r="A294" s="15" t="s">
        <v>6976</v>
      </c>
      <c r="B294" s="14" t="s">
        <v>6950</v>
      </c>
      <c r="C294" s="14" t="str">
        <f t="array" ref="C294">IFERROR(INDEX($B$20:$B$300, MATCH(0, COUNTIF($C$19:C293, $B$20:$B$300&amp;"") + IF($B$20:$B$300="",1,0), 0)), "")</f>
        <v/>
      </c>
      <c r="D294" s="14" t="s">
        <v>6951</v>
      </c>
    </row>
    <row r="295" spans="1:4" x14ac:dyDescent="0.25">
      <c r="A295" s="15" t="s">
        <v>6977</v>
      </c>
      <c r="B295" s="14" t="s">
        <v>6953</v>
      </c>
      <c r="C295" s="14" t="str">
        <f t="array" ref="C295">IFERROR(INDEX($B$20:$B$300, MATCH(0, COUNTIF($C$19:C294, $B$20:$B$300&amp;"") + IF($B$20:$B$300="",1,0), 0)), "")</f>
        <v/>
      </c>
      <c r="D295" s="14" t="s">
        <v>6954</v>
      </c>
    </row>
    <row r="296" spans="1:4" x14ac:dyDescent="0.25">
      <c r="A296" s="15" t="s">
        <v>6978</v>
      </c>
      <c r="B296" s="14" t="s">
        <v>6959</v>
      </c>
      <c r="C296" s="14" t="str">
        <f t="array" ref="C296">IFERROR(INDEX($B$20:$B$300, MATCH(0, COUNTIF($C$19:C295, $B$20:$B$300&amp;"") + IF($B$20:$B$300="",1,0), 0)), "")</f>
        <v/>
      </c>
      <c r="D296" s="14" t="s">
        <v>6960</v>
      </c>
    </row>
    <row r="297" spans="1:4" x14ac:dyDescent="0.25">
      <c r="A297" s="15" t="s">
        <v>6979</v>
      </c>
      <c r="B297" s="14" t="s">
        <v>6956</v>
      </c>
      <c r="C297" s="14" t="str">
        <f t="array" ref="C297">IFERROR(INDEX($B$20:$B$300, MATCH(0, COUNTIF($C$19:C296, $B$20:$B$300&amp;"") + IF($B$20:$B$300="",1,0), 0)), "")</f>
        <v/>
      </c>
      <c r="D297" s="14" t="s">
        <v>6957</v>
      </c>
    </row>
    <row r="298" spans="1:4" x14ac:dyDescent="0.25">
      <c r="A298" s="15" t="s">
        <v>6980</v>
      </c>
      <c r="B298" s="14" t="s">
        <v>6947</v>
      </c>
      <c r="C298" s="14" t="str">
        <f t="array" ref="C298">IFERROR(INDEX($B$20:$B$300, MATCH(0, COUNTIF($C$19:C297, $B$20:$B$300&amp;"") + IF($B$20:$B$300="",1,0), 0)), "")</f>
        <v/>
      </c>
      <c r="D298" s="14" t="s">
        <v>6948</v>
      </c>
    </row>
    <row r="299" spans="1:4" x14ac:dyDescent="0.25">
      <c r="A299" s="15" t="s">
        <v>6981</v>
      </c>
      <c r="B299" s="14" t="s">
        <v>6947</v>
      </c>
      <c r="C299" s="14" t="str">
        <f t="array" ref="C299">IFERROR(INDEX($B$20:$B$300, MATCH(0, COUNTIF($C$19:C298, $B$20:$B$300&amp;"") + IF($B$20:$B$300="",1,0), 0)), "")</f>
        <v/>
      </c>
      <c r="D299" s="14" t="s">
        <v>6948</v>
      </c>
    </row>
    <row r="303" spans="1:4" x14ac:dyDescent="0.25">
      <c r="B303" s="3"/>
    </row>
    <row r="304" spans="1:4" x14ac:dyDescent="0.25">
      <c r="B304" s="3"/>
    </row>
    <row r="305" spans="2:2" x14ac:dyDescent="0.25">
      <c r="B305" s="3"/>
    </row>
    <row r="306" spans="2:2" x14ac:dyDescent="0.25">
      <c r="B306" s="3"/>
    </row>
    <row r="307" spans="2:2" x14ac:dyDescent="0.25">
      <c r="B307" s="3"/>
    </row>
    <row r="308" spans="2:2" x14ac:dyDescent="0.25">
      <c r="B308" s="3"/>
    </row>
    <row r="309" spans="2:2" x14ac:dyDescent="0.25">
      <c r="B309" s="3"/>
    </row>
    <row r="310" spans="2:2" x14ac:dyDescent="0.25">
      <c r="B310" s="3"/>
    </row>
    <row r="311" spans="2:2" x14ac:dyDescent="0.25">
      <c r="B311" s="3"/>
    </row>
    <row r="312" spans="2:2" x14ac:dyDescent="0.25">
      <c r="B312" s="3"/>
    </row>
    <row r="313" spans="2:2" x14ac:dyDescent="0.25">
      <c r="B313" s="3"/>
    </row>
    <row r="314" spans="2:2" x14ac:dyDescent="0.25">
      <c r="B314" s="3"/>
    </row>
    <row r="315" spans="2:2" x14ac:dyDescent="0.25">
      <c r="B315" s="3"/>
    </row>
    <row r="316" spans="2:2" x14ac:dyDescent="0.25">
      <c r="B316" s="3"/>
    </row>
    <row r="317" spans="2:2" x14ac:dyDescent="0.25">
      <c r="B317" s="3"/>
    </row>
    <row r="318" spans="2:2" x14ac:dyDescent="0.25">
      <c r="B318" s="3"/>
    </row>
    <row r="319" spans="2:2" x14ac:dyDescent="0.25">
      <c r="B319" s="3"/>
    </row>
    <row r="320" spans="2:2" x14ac:dyDescent="0.25">
      <c r="B320" s="3"/>
    </row>
    <row r="321" spans="2:2" x14ac:dyDescent="0.25">
      <c r="B321" s="3"/>
    </row>
    <row r="322" spans="2:2" x14ac:dyDescent="0.25">
      <c r="B322" s="3"/>
    </row>
    <row r="323" spans="2:2" x14ac:dyDescent="0.25">
      <c r="B323" s="3"/>
    </row>
    <row r="324" spans="2:2" x14ac:dyDescent="0.25">
      <c r="B324" s="3"/>
    </row>
    <row r="325" spans="2:2" x14ac:dyDescent="0.25">
      <c r="B325" s="3"/>
    </row>
    <row r="326" spans="2:2" x14ac:dyDescent="0.25">
      <c r="B326" s="3"/>
    </row>
    <row r="327" spans="2:2" x14ac:dyDescent="0.25">
      <c r="B327" s="3"/>
    </row>
    <row r="328" spans="2:2" x14ac:dyDescent="0.25">
      <c r="B328" s="3"/>
    </row>
    <row r="329" spans="2:2" x14ac:dyDescent="0.25">
      <c r="B329" s="3"/>
    </row>
    <row r="330" spans="2:2" x14ac:dyDescent="0.25">
      <c r="B330" s="3"/>
    </row>
    <row r="331" spans="2:2" x14ac:dyDescent="0.25">
      <c r="B331" s="3"/>
    </row>
    <row r="332" spans="2:2" x14ac:dyDescent="0.25">
      <c r="B332" s="3"/>
    </row>
    <row r="333" spans="2:2" x14ac:dyDescent="0.25">
      <c r="B333" s="3"/>
    </row>
    <row r="334" spans="2:2" x14ac:dyDescent="0.25">
      <c r="B334" s="3"/>
    </row>
    <row r="335" spans="2:2" x14ac:dyDescent="0.25">
      <c r="B335" s="3"/>
    </row>
    <row r="336" spans="2:2" x14ac:dyDescent="0.25">
      <c r="B336" s="3"/>
    </row>
    <row r="337" spans="2:2" x14ac:dyDescent="0.25">
      <c r="B337" s="3"/>
    </row>
    <row r="338" spans="2:2" x14ac:dyDescent="0.25">
      <c r="B338" s="3"/>
    </row>
    <row r="339" spans="2:2" x14ac:dyDescent="0.25">
      <c r="B339" s="3"/>
    </row>
    <row r="340" spans="2:2" x14ac:dyDescent="0.25">
      <c r="B340" s="3"/>
    </row>
    <row r="341" spans="2:2" x14ac:dyDescent="0.25">
      <c r="B341" s="3"/>
    </row>
    <row r="342" spans="2:2" x14ac:dyDescent="0.25">
      <c r="B342" s="3"/>
    </row>
    <row r="343" spans="2:2" x14ac:dyDescent="0.25">
      <c r="B343" s="3"/>
    </row>
    <row r="344" spans="2:2" x14ac:dyDescent="0.25">
      <c r="B344" s="3"/>
    </row>
    <row r="345" spans="2:2" x14ac:dyDescent="0.25">
      <c r="B345" s="3"/>
    </row>
    <row r="346" spans="2:2" x14ac:dyDescent="0.25">
      <c r="B346" s="3"/>
    </row>
    <row r="347" spans="2:2" x14ac:dyDescent="0.25">
      <c r="B347" s="3"/>
    </row>
    <row r="348" spans="2:2" x14ac:dyDescent="0.25">
      <c r="B348" s="3"/>
    </row>
    <row r="349" spans="2:2" x14ac:dyDescent="0.25">
      <c r="B349" s="3"/>
    </row>
    <row r="350" spans="2:2" x14ac:dyDescent="0.25">
      <c r="B350" s="3"/>
    </row>
    <row r="351" spans="2:2" x14ac:dyDescent="0.25">
      <c r="B351" s="3"/>
    </row>
    <row r="352" spans="2:2" x14ac:dyDescent="0.25">
      <c r="B352" s="3"/>
    </row>
    <row r="353" spans="2:2" x14ac:dyDescent="0.25">
      <c r="B353" s="3"/>
    </row>
    <row r="354" spans="2:2" x14ac:dyDescent="0.25">
      <c r="B354" s="3"/>
    </row>
    <row r="355" spans="2:2" x14ac:dyDescent="0.25">
      <c r="B355" s="3"/>
    </row>
    <row r="356" spans="2:2" x14ac:dyDescent="0.25">
      <c r="B356" s="3"/>
    </row>
    <row r="357" spans="2:2" x14ac:dyDescent="0.25">
      <c r="B357" s="3"/>
    </row>
    <row r="358" spans="2:2" x14ac:dyDescent="0.25">
      <c r="B358" s="3"/>
    </row>
    <row r="359" spans="2:2" x14ac:dyDescent="0.25">
      <c r="B359" s="3"/>
    </row>
    <row r="360" spans="2:2" x14ac:dyDescent="0.25">
      <c r="B360" s="3"/>
    </row>
    <row r="361" spans="2:2" x14ac:dyDescent="0.25">
      <c r="B361" s="3"/>
    </row>
    <row r="362" spans="2:2" x14ac:dyDescent="0.25">
      <c r="B362" s="3"/>
    </row>
    <row r="363" spans="2:2" x14ac:dyDescent="0.25">
      <c r="B363" s="3"/>
    </row>
    <row r="364" spans="2:2" x14ac:dyDescent="0.25">
      <c r="B364" s="3"/>
    </row>
    <row r="365" spans="2:2" x14ac:dyDescent="0.25">
      <c r="B365" s="3"/>
    </row>
    <row r="366" spans="2:2" x14ac:dyDescent="0.25">
      <c r="B366" s="3"/>
    </row>
    <row r="367" spans="2:2" x14ac:dyDescent="0.25">
      <c r="B367" s="3"/>
    </row>
    <row r="368" spans="2:2" x14ac:dyDescent="0.25">
      <c r="B368" s="3"/>
    </row>
    <row r="369" spans="2:2" x14ac:dyDescent="0.25">
      <c r="B369" s="3"/>
    </row>
    <row r="370" spans="2:2" x14ac:dyDescent="0.25">
      <c r="B370" s="3"/>
    </row>
    <row r="371" spans="2:2" x14ac:dyDescent="0.25">
      <c r="B371" s="3"/>
    </row>
    <row r="372" spans="2:2" x14ac:dyDescent="0.25">
      <c r="B372" s="3"/>
    </row>
    <row r="373" spans="2:2" x14ac:dyDescent="0.25">
      <c r="B373" s="3"/>
    </row>
    <row r="374" spans="2:2" x14ac:dyDescent="0.25">
      <c r="B374" s="3"/>
    </row>
    <row r="375" spans="2:2" x14ac:dyDescent="0.25">
      <c r="B375" s="3"/>
    </row>
    <row r="376" spans="2:2" x14ac:dyDescent="0.25">
      <c r="B376" s="3"/>
    </row>
    <row r="377" spans="2:2" x14ac:dyDescent="0.25">
      <c r="B377" s="3"/>
    </row>
    <row r="378" spans="2:2" x14ac:dyDescent="0.25">
      <c r="B378" s="3"/>
    </row>
    <row r="379" spans="2:2" x14ac:dyDescent="0.25">
      <c r="B379" s="3"/>
    </row>
    <row r="380" spans="2:2" x14ac:dyDescent="0.25">
      <c r="B380" s="3"/>
    </row>
    <row r="381" spans="2:2" x14ac:dyDescent="0.25">
      <c r="B381" s="3"/>
    </row>
    <row r="382" spans="2:2" x14ac:dyDescent="0.25">
      <c r="B382" s="3"/>
    </row>
    <row r="383" spans="2:2" x14ac:dyDescent="0.25">
      <c r="B383" s="3"/>
    </row>
    <row r="384" spans="2:2" x14ac:dyDescent="0.25">
      <c r="B384" s="3"/>
    </row>
    <row r="385" spans="2:2" x14ac:dyDescent="0.25">
      <c r="B385" s="3"/>
    </row>
    <row r="386" spans="2:2" x14ac:dyDescent="0.25">
      <c r="B386" s="3"/>
    </row>
    <row r="387" spans="2:2" x14ac:dyDescent="0.25">
      <c r="B387" s="3"/>
    </row>
    <row r="388" spans="2:2" x14ac:dyDescent="0.25">
      <c r="B388" s="3"/>
    </row>
    <row r="389" spans="2:2" x14ac:dyDescent="0.25">
      <c r="B389" s="3"/>
    </row>
    <row r="390" spans="2:2" x14ac:dyDescent="0.25">
      <c r="B390" s="3"/>
    </row>
    <row r="391" spans="2:2" x14ac:dyDescent="0.25">
      <c r="B391" s="3"/>
    </row>
    <row r="392" spans="2:2" x14ac:dyDescent="0.25">
      <c r="B392" s="3"/>
    </row>
    <row r="393" spans="2:2" x14ac:dyDescent="0.25">
      <c r="B393" s="3"/>
    </row>
    <row r="394" spans="2:2" x14ac:dyDescent="0.25">
      <c r="B394" s="3"/>
    </row>
    <row r="395" spans="2:2" x14ac:dyDescent="0.25">
      <c r="B395" s="3"/>
    </row>
    <row r="396" spans="2:2" x14ac:dyDescent="0.25">
      <c r="B396" s="3"/>
    </row>
    <row r="397" spans="2:2" x14ac:dyDescent="0.25">
      <c r="B397" s="3"/>
    </row>
    <row r="398" spans="2:2" x14ac:dyDescent="0.25">
      <c r="B398" s="3"/>
    </row>
    <row r="399" spans="2:2" x14ac:dyDescent="0.25">
      <c r="B399" s="3"/>
    </row>
    <row r="400" spans="2:2" x14ac:dyDescent="0.25">
      <c r="B400" s="3"/>
    </row>
    <row r="401" spans="2:2" x14ac:dyDescent="0.25">
      <c r="B401" s="3"/>
    </row>
    <row r="402" spans="2:2" x14ac:dyDescent="0.25">
      <c r="B402" s="3"/>
    </row>
    <row r="403" spans="2:2" x14ac:dyDescent="0.25">
      <c r="B403" s="3"/>
    </row>
    <row r="404" spans="2:2" x14ac:dyDescent="0.25">
      <c r="B404" s="3"/>
    </row>
    <row r="405" spans="2:2" x14ac:dyDescent="0.25">
      <c r="B405" s="3"/>
    </row>
    <row r="406" spans="2:2" x14ac:dyDescent="0.25">
      <c r="B406" s="3"/>
    </row>
    <row r="407" spans="2:2" x14ac:dyDescent="0.25">
      <c r="B407" s="3"/>
    </row>
    <row r="408" spans="2:2" x14ac:dyDescent="0.25">
      <c r="B408" s="3"/>
    </row>
    <row r="409" spans="2:2" x14ac:dyDescent="0.25">
      <c r="B409" s="3"/>
    </row>
    <row r="410" spans="2:2" x14ac:dyDescent="0.25">
      <c r="B410" s="3"/>
    </row>
    <row r="411" spans="2:2" x14ac:dyDescent="0.25">
      <c r="B411" s="3"/>
    </row>
    <row r="412" spans="2:2" x14ac:dyDescent="0.25">
      <c r="B412" s="3"/>
    </row>
    <row r="413" spans="2:2" x14ac:dyDescent="0.25">
      <c r="B413" s="3"/>
    </row>
    <row r="414" spans="2:2" x14ac:dyDescent="0.25">
      <c r="B414" s="3"/>
    </row>
    <row r="415" spans="2:2" x14ac:dyDescent="0.25">
      <c r="B415" s="3"/>
    </row>
    <row r="416" spans="2:2" x14ac:dyDescent="0.25">
      <c r="B416" s="3"/>
    </row>
    <row r="417" spans="2:2" x14ac:dyDescent="0.25">
      <c r="B417" s="3"/>
    </row>
    <row r="418" spans="2:2" x14ac:dyDescent="0.25">
      <c r="B418" s="3"/>
    </row>
    <row r="419" spans="2:2" x14ac:dyDescent="0.25">
      <c r="B419" s="3"/>
    </row>
    <row r="420" spans="2:2" x14ac:dyDescent="0.25">
      <c r="B420" s="3"/>
    </row>
    <row r="421" spans="2:2" x14ac:dyDescent="0.25">
      <c r="B421" s="3"/>
    </row>
    <row r="422" spans="2:2" x14ac:dyDescent="0.25">
      <c r="B422" s="3"/>
    </row>
    <row r="423" spans="2:2" x14ac:dyDescent="0.25">
      <c r="B423" s="3"/>
    </row>
    <row r="424" spans="2:2" x14ac:dyDescent="0.25">
      <c r="B424" s="3"/>
    </row>
    <row r="425" spans="2:2" x14ac:dyDescent="0.25">
      <c r="B425" s="3"/>
    </row>
    <row r="426" spans="2:2" x14ac:dyDescent="0.25">
      <c r="B426" s="3"/>
    </row>
    <row r="427" spans="2:2" x14ac:dyDescent="0.25">
      <c r="B427" s="3"/>
    </row>
    <row r="428" spans="2:2" x14ac:dyDescent="0.25">
      <c r="B428" s="3"/>
    </row>
    <row r="429" spans="2:2" x14ac:dyDescent="0.25">
      <c r="B429" s="3"/>
    </row>
    <row r="430" spans="2:2" x14ac:dyDescent="0.25">
      <c r="B430" s="3"/>
    </row>
    <row r="431" spans="2:2" x14ac:dyDescent="0.25">
      <c r="B431" s="3"/>
    </row>
    <row r="432" spans="2:2" x14ac:dyDescent="0.25">
      <c r="B432" s="3"/>
    </row>
    <row r="433" spans="2:2" x14ac:dyDescent="0.25">
      <c r="B433" s="3"/>
    </row>
    <row r="434" spans="2:2" x14ac:dyDescent="0.25">
      <c r="B434" s="3"/>
    </row>
    <row r="435" spans="2:2" x14ac:dyDescent="0.25">
      <c r="B435" s="3"/>
    </row>
    <row r="436" spans="2:2" x14ac:dyDescent="0.25">
      <c r="B436" s="3"/>
    </row>
    <row r="437" spans="2:2" x14ac:dyDescent="0.25">
      <c r="B437" s="3"/>
    </row>
    <row r="438" spans="2:2" x14ac:dyDescent="0.25">
      <c r="B438" s="3"/>
    </row>
    <row r="439" spans="2:2" x14ac:dyDescent="0.25">
      <c r="B439" s="3"/>
    </row>
    <row r="440" spans="2:2" x14ac:dyDescent="0.25">
      <c r="B440" s="3"/>
    </row>
    <row r="441" spans="2:2" x14ac:dyDescent="0.25">
      <c r="B441" s="3"/>
    </row>
    <row r="442" spans="2:2" x14ac:dyDescent="0.25">
      <c r="B442" s="3"/>
    </row>
    <row r="443" spans="2:2" x14ac:dyDescent="0.25">
      <c r="B443" s="3"/>
    </row>
    <row r="444" spans="2:2" x14ac:dyDescent="0.25">
      <c r="B444" s="3"/>
    </row>
    <row r="445" spans="2:2" x14ac:dyDescent="0.25">
      <c r="B445" s="3"/>
    </row>
    <row r="446" spans="2:2" x14ac:dyDescent="0.25">
      <c r="B446" s="3"/>
    </row>
    <row r="447" spans="2:2" x14ac:dyDescent="0.25">
      <c r="B447" s="3"/>
    </row>
    <row r="448" spans="2:2" x14ac:dyDescent="0.25">
      <c r="B448" s="3"/>
    </row>
    <row r="449" spans="2:2" x14ac:dyDescent="0.25">
      <c r="B449" s="3"/>
    </row>
    <row r="450" spans="2:2" x14ac:dyDescent="0.25">
      <c r="B450" s="3"/>
    </row>
    <row r="451" spans="2:2" x14ac:dyDescent="0.25">
      <c r="B451" s="3"/>
    </row>
    <row r="452" spans="2:2" x14ac:dyDescent="0.25">
      <c r="B452" s="3"/>
    </row>
    <row r="453" spans="2:2" x14ac:dyDescent="0.25">
      <c r="B453" s="3"/>
    </row>
    <row r="454" spans="2:2" x14ac:dyDescent="0.25">
      <c r="B454" s="3"/>
    </row>
    <row r="455" spans="2:2" x14ac:dyDescent="0.25">
      <c r="B455" s="3"/>
    </row>
    <row r="456" spans="2:2" x14ac:dyDescent="0.25">
      <c r="B456" s="3"/>
    </row>
    <row r="457" spans="2:2" x14ac:dyDescent="0.25">
      <c r="B457" s="3"/>
    </row>
    <row r="458" spans="2:2" x14ac:dyDescent="0.25">
      <c r="B458" s="3"/>
    </row>
    <row r="459" spans="2:2" x14ac:dyDescent="0.25">
      <c r="B459" s="3"/>
    </row>
    <row r="460" spans="2:2" x14ac:dyDescent="0.25">
      <c r="B460" s="3"/>
    </row>
    <row r="461" spans="2:2" x14ac:dyDescent="0.25">
      <c r="B461" s="3"/>
    </row>
    <row r="462" spans="2:2" x14ac:dyDescent="0.25">
      <c r="B462" s="3"/>
    </row>
    <row r="463" spans="2:2" x14ac:dyDescent="0.25">
      <c r="B463" s="3"/>
    </row>
    <row r="464" spans="2:2" x14ac:dyDescent="0.25">
      <c r="B464" s="3"/>
    </row>
    <row r="465" spans="2:2" x14ac:dyDescent="0.25">
      <c r="B465" s="3"/>
    </row>
    <row r="466" spans="2:2" x14ac:dyDescent="0.25">
      <c r="B466" s="3"/>
    </row>
    <row r="467" spans="2:2" x14ac:dyDescent="0.25">
      <c r="B467" s="3"/>
    </row>
    <row r="468" spans="2:2" x14ac:dyDescent="0.25">
      <c r="B468" s="3"/>
    </row>
    <row r="469" spans="2:2" x14ac:dyDescent="0.25">
      <c r="B469" s="3"/>
    </row>
    <row r="470" spans="2:2" x14ac:dyDescent="0.25">
      <c r="B470" s="3"/>
    </row>
    <row r="471" spans="2:2" x14ac:dyDescent="0.25">
      <c r="B471" s="3"/>
    </row>
    <row r="472" spans="2:2" x14ac:dyDescent="0.25">
      <c r="B472" s="3"/>
    </row>
    <row r="473" spans="2:2" x14ac:dyDescent="0.25">
      <c r="B473" s="3"/>
    </row>
    <row r="474" spans="2:2" x14ac:dyDescent="0.25">
      <c r="B474" s="3"/>
    </row>
    <row r="475" spans="2:2" x14ac:dyDescent="0.25">
      <c r="B475" s="3"/>
    </row>
    <row r="476" spans="2:2" x14ac:dyDescent="0.25">
      <c r="B476" s="3"/>
    </row>
    <row r="477" spans="2:2" x14ac:dyDescent="0.25">
      <c r="B477" s="3"/>
    </row>
    <row r="478" spans="2:2" x14ac:dyDescent="0.25">
      <c r="B478" s="3"/>
    </row>
    <row r="479" spans="2:2" x14ac:dyDescent="0.25">
      <c r="B479" s="3"/>
    </row>
    <row r="480" spans="2:2" x14ac:dyDescent="0.25">
      <c r="B480" s="3"/>
    </row>
    <row r="481" spans="2:2" x14ac:dyDescent="0.25">
      <c r="B481" s="3"/>
    </row>
    <row r="482" spans="2:2" x14ac:dyDescent="0.25">
      <c r="B482" s="3"/>
    </row>
    <row r="483" spans="2:2" x14ac:dyDescent="0.25">
      <c r="B483" s="3"/>
    </row>
    <row r="484" spans="2:2" x14ac:dyDescent="0.25">
      <c r="B484" s="3"/>
    </row>
    <row r="485" spans="2:2" x14ac:dyDescent="0.25">
      <c r="B485" s="3"/>
    </row>
    <row r="486" spans="2:2" x14ac:dyDescent="0.25">
      <c r="B486" s="3"/>
    </row>
    <row r="487" spans="2:2" x14ac:dyDescent="0.25">
      <c r="B487" s="3"/>
    </row>
    <row r="488" spans="2:2" x14ac:dyDescent="0.25">
      <c r="B488" s="3"/>
    </row>
    <row r="489" spans="2:2" x14ac:dyDescent="0.25">
      <c r="B489" s="3"/>
    </row>
    <row r="490" spans="2:2" x14ac:dyDescent="0.25">
      <c r="B490" s="3"/>
    </row>
    <row r="491" spans="2:2" x14ac:dyDescent="0.25">
      <c r="B491" s="3"/>
    </row>
    <row r="492" spans="2:2" x14ac:dyDescent="0.25">
      <c r="B492" s="3"/>
    </row>
    <row r="493" spans="2:2" x14ac:dyDescent="0.25">
      <c r="B493" s="3"/>
    </row>
    <row r="494" spans="2:2" x14ac:dyDescent="0.25">
      <c r="B494" s="3"/>
    </row>
    <row r="495" spans="2:2" x14ac:dyDescent="0.25">
      <c r="B495" s="3"/>
    </row>
    <row r="496" spans="2:2" x14ac:dyDescent="0.25">
      <c r="B496" s="3"/>
    </row>
    <row r="497" spans="2:2" x14ac:dyDescent="0.25">
      <c r="B497" s="3"/>
    </row>
    <row r="498" spans="2:2" x14ac:dyDescent="0.25">
      <c r="B498" s="3"/>
    </row>
    <row r="499" spans="2:2" x14ac:dyDescent="0.25">
      <c r="B499" s="3"/>
    </row>
    <row r="500" spans="2:2" x14ac:dyDescent="0.25">
      <c r="B500" s="3"/>
    </row>
    <row r="501" spans="2:2" x14ac:dyDescent="0.25">
      <c r="B501" s="3"/>
    </row>
    <row r="502" spans="2:2" x14ac:dyDescent="0.25">
      <c r="B502" s="3"/>
    </row>
    <row r="503" spans="2:2" x14ac:dyDescent="0.25">
      <c r="B503" s="3"/>
    </row>
    <row r="504" spans="2:2" x14ac:dyDescent="0.25">
      <c r="B504" s="3"/>
    </row>
    <row r="505" spans="2:2" x14ac:dyDescent="0.25">
      <c r="B505" s="3"/>
    </row>
    <row r="506" spans="2:2" x14ac:dyDescent="0.25">
      <c r="B506" s="3"/>
    </row>
    <row r="507" spans="2:2" x14ac:dyDescent="0.25">
      <c r="B507" s="3"/>
    </row>
    <row r="508" spans="2:2" x14ac:dyDescent="0.25">
      <c r="B508" s="3"/>
    </row>
    <row r="509" spans="2:2" x14ac:dyDescent="0.25">
      <c r="B509" s="3"/>
    </row>
    <row r="510" spans="2:2" x14ac:dyDescent="0.25">
      <c r="B510" s="3"/>
    </row>
    <row r="511" spans="2:2" x14ac:dyDescent="0.25">
      <c r="B511" s="3"/>
    </row>
    <row r="512" spans="2:2" x14ac:dyDescent="0.25">
      <c r="B512" s="3"/>
    </row>
    <row r="513" spans="2:2" x14ac:dyDescent="0.25">
      <c r="B513" s="3"/>
    </row>
    <row r="514" spans="2:2" x14ac:dyDescent="0.25">
      <c r="B514" s="3"/>
    </row>
    <row r="515" spans="2:2" x14ac:dyDescent="0.25">
      <c r="B515" s="3"/>
    </row>
    <row r="516" spans="2:2" x14ac:dyDescent="0.25">
      <c r="B516" s="3"/>
    </row>
    <row r="517" spans="2:2" x14ac:dyDescent="0.25">
      <c r="B517" s="3"/>
    </row>
    <row r="518" spans="2:2" x14ac:dyDescent="0.25">
      <c r="B518" s="3"/>
    </row>
    <row r="519" spans="2:2" x14ac:dyDescent="0.25">
      <c r="B519" s="3"/>
    </row>
    <row r="520" spans="2:2" x14ac:dyDescent="0.25">
      <c r="B520" s="3"/>
    </row>
    <row r="521" spans="2:2" x14ac:dyDescent="0.25">
      <c r="B521" s="3"/>
    </row>
    <row r="522" spans="2:2" x14ac:dyDescent="0.25">
      <c r="B522" s="3"/>
    </row>
    <row r="523" spans="2:2" x14ac:dyDescent="0.25">
      <c r="B523" s="3"/>
    </row>
    <row r="524" spans="2:2" x14ac:dyDescent="0.25">
      <c r="B524" s="3"/>
    </row>
    <row r="525" spans="2:2" x14ac:dyDescent="0.25">
      <c r="B525" s="3"/>
    </row>
    <row r="526" spans="2:2" x14ac:dyDescent="0.25">
      <c r="B526" s="3"/>
    </row>
    <row r="527" spans="2:2" x14ac:dyDescent="0.25">
      <c r="B527" s="3"/>
    </row>
    <row r="528" spans="2:2" x14ac:dyDescent="0.25">
      <c r="B528" s="3"/>
    </row>
    <row r="529" spans="2:2" x14ac:dyDescent="0.25">
      <c r="B529" s="3"/>
    </row>
    <row r="530" spans="2:2" x14ac:dyDescent="0.25">
      <c r="B530" s="3"/>
    </row>
    <row r="531" spans="2:2" x14ac:dyDescent="0.25">
      <c r="B531" s="3"/>
    </row>
    <row r="532" spans="2:2" x14ac:dyDescent="0.25">
      <c r="B532" s="3"/>
    </row>
    <row r="533" spans="2:2" x14ac:dyDescent="0.25">
      <c r="B533" s="3"/>
    </row>
    <row r="534" spans="2:2" x14ac:dyDescent="0.25">
      <c r="B534" s="3"/>
    </row>
    <row r="535" spans="2:2" x14ac:dyDescent="0.25">
      <c r="B535" s="3"/>
    </row>
    <row r="536" spans="2:2" x14ac:dyDescent="0.25">
      <c r="B536" s="3"/>
    </row>
    <row r="537" spans="2:2" x14ac:dyDescent="0.25">
      <c r="B537" s="3"/>
    </row>
    <row r="538" spans="2:2" x14ac:dyDescent="0.25">
      <c r="B538" s="3"/>
    </row>
    <row r="539" spans="2:2" x14ac:dyDescent="0.25">
      <c r="B539" s="3"/>
    </row>
    <row r="540" spans="2:2" x14ac:dyDescent="0.25">
      <c r="B540" s="3"/>
    </row>
    <row r="541" spans="2:2" x14ac:dyDescent="0.25">
      <c r="B541" s="3"/>
    </row>
    <row r="542" spans="2:2" x14ac:dyDescent="0.25">
      <c r="B542" s="3"/>
    </row>
    <row r="543" spans="2:2" x14ac:dyDescent="0.25">
      <c r="B543" s="3"/>
    </row>
    <row r="544" spans="2:2" x14ac:dyDescent="0.25">
      <c r="B544" s="3"/>
    </row>
    <row r="545" spans="2:2" x14ac:dyDescent="0.25">
      <c r="B545" s="3"/>
    </row>
    <row r="546" spans="2:2" x14ac:dyDescent="0.25">
      <c r="B546" s="3"/>
    </row>
    <row r="547" spans="2:2" x14ac:dyDescent="0.25">
      <c r="B547" s="3"/>
    </row>
    <row r="548" spans="2:2" x14ac:dyDescent="0.25">
      <c r="B548" s="3"/>
    </row>
    <row r="549" spans="2:2" x14ac:dyDescent="0.25">
      <c r="B549" s="3"/>
    </row>
    <row r="550" spans="2:2" x14ac:dyDescent="0.25">
      <c r="B550" s="3"/>
    </row>
    <row r="551" spans="2:2" x14ac:dyDescent="0.25">
      <c r="B551" s="3"/>
    </row>
    <row r="552" spans="2:2" x14ac:dyDescent="0.25">
      <c r="B552" s="3"/>
    </row>
    <row r="553" spans="2:2" x14ac:dyDescent="0.25">
      <c r="B553" s="3"/>
    </row>
    <row r="554" spans="2:2" x14ac:dyDescent="0.25">
      <c r="B554" s="3"/>
    </row>
    <row r="555" spans="2:2" x14ac:dyDescent="0.25">
      <c r="B555" s="3"/>
    </row>
    <row r="556" spans="2:2" x14ac:dyDescent="0.25">
      <c r="B556" s="3"/>
    </row>
    <row r="557" spans="2:2" x14ac:dyDescent="0.25">
      <c r="B557" s="3"/>
    </row>
    <row r="558" spans="2:2" x14ac:dyDescent="0.25">
      <c r="B558" s="3"/>
    </row>
    <row r="559" spans="2:2" x14ac:dyDescent="0.25">
      <c r="B559" s="3"/>
    </row>
    <row r="560" spans="2:2" x14ac:dyDescent="0.25">
      <c r="B560" s="3"/>
    </row>
    <row r="561" spans="2:2" x14ac:dyDescent="0.25">
      <c r="B561" s="3"/>
    </row>
    <row r="562" spans="2:2" x14ac:dyDescent="0.25">
      <c r="B562" s="3"/>
    </row>
    <row r="563" spans="2:2" x14ac:dyDescent="0.25">
      <c r="B563" s="3"/>
    </row>
    <row r="564" spans="2:2" x14ac:dyDescent="0.25">
      <c r="B564" s="3"/>
    </row>
    <row r="565" spans="2:2" x14ac:dyDescent="0.25">
      <c r="B565" s="3"/>
    </row>
    <row r="566" spans="2:2" x14ac:dyDescent="0.25">
      <c r="B566" s="3"/>
    </row>
    <row r="567" spans="2:2" x14ac:dyDescent="0.25">
      <c r="B567" s="3"/>
    </row>
    <row r="568" spans="2:2" x14ac:dyDescent="0.25">
      <c r="B568" s="3"/>
    </row>
    <row r="569" spans="2:2" x14ac:dyDescent="0.25">
      <c r="B569" s="3"/>
    </row>
    <row r="570" spans="2:2" x14ac:dyDescent="0.25">
      <c r="B570" s="3"/>
    </row>
    <row r="571" spans="2:2" x14ac:dyDescent="0.25">
      <c r="B571" s="3"/>
    </row>
    <row r="572" spans="2:2" x14ac:dyDescent="0.25">
      <c r="B572" s="3"/>
    </row>
    <row r="573" spans="2:2" x14ac:dyDescent="0.25">
      <c r="B573" s="3"/>
    </row>
    <row r="574" spans="2:2" x14ac:dyDescent="0.25">
      <c r="B574" s="3"/>
    </row>
    <row r="575" spans="2:2" x14ac:dyDescent="0.25">
      <c r="B575" s="3"/>
    </row>
    <row r="576" spans="2:2" x14ac:dyDescent="0.25">
      <c r="B576" s="3"/>
    </row>
    <row r="577" spans="2:2" x14ac:dyDescent="0.25">
      <c r="B577" s="3"/>
    </row>
    <row r="578" spans="2:2" x14ac:dyDescent="0.25">
      <c r="B578" s="3"/>
    </row>
    <row r="579" spans="2:2" x14ac:dyDescent="0.25">
      <c r="B579" s="3"/>
    </row>
    <row r="580" spans="2:2" x14ac:dyDescent="0.25">
      <c r="B580" s="3"/>
    </row>
    <row r="581" spans="2:2" x14ac:dyDescent="0.25">
      <c r="B581" s="3"/>
    </row>
    <row r="582" spans="2:2" x14ac:dyDescent="0.25">
      <c r="B582" s="3"/>
    </row>
    <row r="583" spans="2:2" x14ac:dyDescent="0.25">
      <c r="B583" s="3"/>
    </row>
    <row r="584" spans="2:2" x14ac:dyDescent="0.25">
      <c r="B584" s="3"/>
    </row>
    <row r="585" spans="2:2" x14ac:dyDescent="0.25">
      <c r="B585" s="3"/>
    </row>
    <row r="586" spans="2:2" x14ac:dyDescent="0.25">
      <c r="B586" s="3"/>
    </row>
    <row r="587" spans="2:2" x14ac:dyDescent="0.25">
      <c r="B587" s="3"/>
    </row>
    <row r="588" spans="2:2" x14ac:dyDescent="0.25">
      <c r="B588" s="3"/>
    </row>
    <row r="589" spans="2:2" x14ac:dyDescent="0.25">
      <c r="B589" s="3"/>
    </row>
    <row r="590" spans="2:2" x14ac:dyDescent="0.25">
      <c r="B590" s="3"/>
    </row>
    <row r="591" spans="2:2" x14ac:dyDescent="0.25">
      <c r="B591" s="3"/>
    </row>
    <row r="592" spans="2:2" x14ac:dyDescent="0.25">
      <c r="B592" s="3"/>
    </row>
    <row r="593" spans="2:2" x14ac:dyDescent="0.25">
      <c r="B593" s="3"/>
    </row>
    <row r="594" spans="2:2" x14ac:dyDescent="0.25">
      <c r="B594" s="3"/>
    </row>
    <row r="595" spans="2:2" x14ac:dyDescent="0.25">
      <c r="B595" s="3"/>
    </row>
    <row r="596" spans="2:2" x14ac:dyDescent="0.25">
      <c r="B596" s="3"/>
    </row>
    <row r="597" spans="2:2" x14ac:dyDescent="0.25">
      <c r="B597" s="3"/>
    </row>
    <row r="598" spans="2:2" x14ac:dyDescent="0.25">
      <c r="B598" s="3"/>
    </row>
    <row r="599" spans="2:2" x14ac:dyDescent="0.25">
      <c r="B599" s="3"/>
    </row>
    <row r="600" spans="2:2" x14ac:dyDescent="0.25">
      <c r="B600" s="3"/>
    </row>
    <row r="601" spans="2:2" x14ac:dyDescent="0.25">
      <c r="B601" s="3"/>
    </row>
    <row r="602" spans="2:2" x14ac:dyDescent="0.25">
      <c r="B602" s="3"/>
    </row>
    <row r="603" spans="2:2" x14ac:dyDescent="0.25">
      <c r="B603" s="3"/>
    </row>
    <row r="604" spans="2:2" x14ac:dyDescent="0.25">
      <c r="B604" s="3"/>
    </row>
    <row r="605" spans="2:2" x14ac:dyDescent="0.25">
      <c r="B605" s="3"/>
    </row>
    <row r="606" spans="2:2" x14ac:dyDescent="0.25">
      <c r="B606" s="3"/>
    </row>
    <row r="607" spans="2:2" x14ac:dyDescent="0.25">
      <c r="B607" s="3"/>
    </row>
    <row r="608" spans="2:2" x14ac:dyDescent="0.25">
      <c r="B608" s="3"/>
    </row>
    <row r="609" spans="2:2" x14ac:dyDescent="0.25">
      <c r="B609" s="3"/>
    </row>
    <row r="610" spans="2:2" x14ac:dyDescent="0.25">
      <c r="B610" s="3"/>
    </row>
    <row r="611" spans="2:2" x14ac:dyDescent="0.25">
      <c r="B611" s="3"/>
    </row>
    <row r="612" spans="2:2" x14ac:dyDescent="0.25">
      <c r="B612" s="3"/>
    </row>
    <row r="613" spans="2:2" x14ac:dyDescent="0.25">
      <c r="B613" s="3"/>
    </row>
    <row r="614" spans="2:2" x14ac:dyDescent="0.25">
      <c r="B614" s="3"/>
    </row>
    <row r="615" spans="2:2" x14ac:dyDescent="0.25">
      <c r="B615" s="3"/>
    </row>
    <row r="616" spans="2:2" x14ac:dyDescent="0.25">
      <c r="B616" s="3"/>
    </row>
    <row r="617" spans="2:2" x14ac:dyDescent="0.25">
      <c r="B617" s="3"/>
    </row>
    <row r="618" spans="2:2" x14ac:dyDescent="0.25">
      <c r="B618" s="3"/>
    </row>
    <row r="619" spans="2:2" x14ac:dyDescent="0.25">
      <c r="B619" s="3"/>
    </row>
    <row r="620" spans="2:2" x14ac:dyDescent="0.25">
      <c r="B620" s="3"/>
    </row>
    <row r="621" spans="2:2" x14ac:dyDescent="0.25">
      <c r="B621" s="3"/>
    </row>
    <row r="622" spans="2:2" x14ac:dyDescent="0.25">
      <c r="B622" s="3"/>
    </row>
    <row r="623" spans="2:2" x14ac:dyDescent="0.25">
      <c r="B623" s="3"/>
    </row>
    <row r="624" spans="2:2" x14ac:dyDescent="0.25">
      <c r="B624" s="3"/>
    </row>
    <row r="625" spans="2:2" x14ac:dyDescent="0.25">
      <c r="B625" s="3"/>
    </row>
    <row r="626" spans="2:2" x14ac:dyDescent="0.25">
      <c r="B626" s="3"/>
    </row>
    <row r="627" spans="2:2" x14ac:dyDescent="0.25">
      <c r="B627" s="3"/>
    </row>
    <row r="628" spans="2:2" x14ac:dyDescent="0.25">
      <c r="B628" s="3"/>
    </row>
    <row r="629" spans="2:2" x14ac:dyDescent="0.25">
      <c r="B629" s="3"/>
    </row>
    <row r="630" spans="2:2" x14ac:dyDescent="0.25">
      <c r="B630" s="3"/>
    </row>
    <row r="631" spans="2:2" x14ac:dyDescent="0.25">
      <c r="B631" s="3"/>
    </row>
    <row r="632" spans="2:2" x14ac:dyDescent="0.25">
      <c r="B632" s="3"/>
    </row>
    <row r="633" spans="2:2" x14ac:dyDescent="0.25">
      <c r="B633" s="3"/>
    </row>
    <row r="634" spans="2:2" x14ac:dyDescent="0.25">
      <c r="B634" s="3"/>
    </row>
    <row r="635" spans="2:2" x14ac:dyDescent="0.25">
      <c r="B635" s="3"/>
    </row>
    <row r="636" spans="2:2" x14ac:dyDescent="0.25">
      <c r="B636" s="3"/>
    </row>
    <row r="637" spans="2:2" x14ac:dyDescent="0.25">
      <c r="B637" s="3"/>
    </row>
    <row r="638" spans="2:2" x14ac:dyDescent="0.25">
      <c r="B638" s="3"/>
    </row>
    <row r="639" spans="2:2" x14ac:dyDescent="0.25">
      <c r="B639" s="3"/>
    </row>
    <row r="640" spans="2:2" x14ac:dyDescent="0.25">
      <c r="B640" s="3"/>
    </row>
    <row r="641" spans="2:2" x14ac:dyDescent="0.25">
      <c r="B641" s="3"/>
    </row>
    <row r="642" spans="2:2" x14ac:dyDescent="0.25">
      <c r="B642" s="3"/>
    </row>
    <row r="643" spans="2:2" x14ac:dyDescent="0.25">
      <c r="B643" s="3"/>
    </row>
    <row r="644" spans="2:2" x14ac:dyDescent="0.25">
      <c r="B644" s="3"/>
    </row>
    <row r="645" spans="2:2" x14ac:dyDescent="0.25">
      <c r="B645" s="3"/>
    </row>
    <row r="646" spans="2:2" x14ac:dyDescent="0.25">
      <c r="B646" s="3"/>
    </row>
    <row r="647" spans="2:2" x14ac:dyDescent="0.25">
      <c r="B647" s="3"/>
    </row>
    <row r="648" spans="2:2" x14ac:dyDescent="0.25">
      <c r="B648" s="3"/>
    </row>
    <row r="649" spans="2:2" x14ac:dyDescent="0.25">
      <c r="B649" s="3"/>
    </row>
    <row r="650" spans="2:2" x14ac:dyDescent="0.25">
      <c r="B650" s="3"/>
    </row>
    <row r="651" spans="2:2" x14ac:dyDescent="0.25">
      <c r="B651" s="3"/>
    </row>
    <row r="652" spans="2:2" x14ac:dyDescent="0.25">
      <c r="B652" s="3"/>
    </row>
    <row r="653" spans="2:2" x14ac:dyDescent="0.25">
      <c r="B653" s="3"/>
    </row>
    <row r="654" spans="2:2" x14ac:dyDescent="0.25">
      <c r="B654" s="3"/>
    </row>
    <row r="655" spans="2:2" x14ac:dyDescent="0.25">
      <c r="B655" s="3"/>
    </row>
    <row r="656" spans="2:2" x14ac:dyDescent="0.25">
      <c r="B656" s="3"/>
    </row>
    <row r="657" spans="2:2" x14ac:dyDescent="0.25">
      <c r="B657" s="3"/>
    </row>
    <row r="658" spans="2:2" x14ac:dyDescent="0.25">
      <c r="B658" s="3"/>
    </row>
    <row r="659" spans="2:2" x14ac:dyDescent="0.25">
      <c r="B659" s="3"/>
    </row>
    <row r="660" spans="2:2" x14ac:dyDescent="0.25">
      <c r="B660" s="3"/>
    </row>
    <row r="661" spans="2:2" x14ac:dyDescent="0.25">
      <c r="B661" s="3"/>
    </row>
    <row r="662" spans="2:2" x14ac:dyDescent="0.25">
      <c r="B662" s="3"/>
    </row>
    <row r="663" spans="2:2" x14ac:dyDescent="0.25">
      <c r="B663" s="3"/>
    </row>
    <row r="664" spans="2:2" x14ac:dyDescent="0.25">
      <c r="B664" s="3"/>
    </row>
    <row r="665" spans="2:2" x14ac:dyDescent="0.25">
      <c r="B665" s="3"/>
    </row>
    <row r="666" spans="2:2" x14ac:dyDescent="0.25">
      <c r="B666" s="3"/>
    </row>
    <row r="667" spans="2:2" x14ac:dyDescent="0.25">
      <c r="B667" s="3"/>
    </row>
    <row r="668" spans="2:2" x14ac:dyDescent="0.25">
      <c r="B668" s="3"/>
    </row>
    <row r="669" spans="2:2" x14ac:dyDescent="0.25">
      <c r="B669" s="3"/>
    </row>
    <row r="670" spans="2:2" x14ac:dyDescent="0.25">
      <c r="B670" s="3"/>
    </row>
    <row r="671" spans="2:2" x14ac:dyDescent="0.25">
      <c r="B671" s="3"/>
    </row>
    <row r="672" spans="2:2" x14ac:dyDescent="0.25">
      <c r="B672" s="3"/>
    </row>
    <row r="673" spans="2:2" x14ac:dyDescent="0.25">
      <c r="B673" s="3"/>
    </row>
    <row r="674" spans="2:2" x14ac:dyDescent="0.25">
      <c r="B674" s="3"/>
    </row>
    <row r="675" spans="2:2" x14ac:dyDescent="0.25">
      <c r="B675" s="3"/>
    </row>
    <row r="676" spans="2:2" x14ac:dyDescent="0.25">
      <c r="B676" s="3"/>
    </row>
    <row r="677" spans="2:2" x14ac:dyDescent="0.25">
      <c r="B677" s="3"/>
    </row>
    <row r="678" spans="2:2" x14ac:dyDescent="0.25">
      <c r="B678" s="3"/>
    </row>
    <row r="679" spans="2:2" x14ac:dyDescent="0.25">
      <c r="B679" s="3"/>
    </row>
    <row r="680" spans="2:2" x14ac:dyDescent="0.25">
      <c r="B680" s="3"/>
    </row>
    <row r="681" spans="2:2" x14ac:dyDescent="0.25">
      <c r="B681" s="3"/>
    </row>
    <row r="682" spans="2:2" x14ac:dyDescent="0.25">
      <c r="B682" s="3"/>
    </row>
    <row r="683" spans="2:2" x14ac:dyDescent="0.25">
      <c r="B683" s="3"/>
    </row>
    <row r="684" spans="2:2" x14ac:dyDescent="0.25">
      <c r="B684" s="3"/>
    </row>
    <row r="685" spans="2:2" x14ac:dyDescent="0.25">
      <c r="B685" s="3"/>
    </row>
    <row r="686" spans="2:2" x14ac:dyDescent="0.25">
      <c r="B686" s="3"/>
    </row>
    <row r="687" spans="2:2" x14ac:dyDescent="0.25">
      <c r="B687" s="3"/>
    </row>
    <row r="688" spans="2:2" x14ac:dyDescent="0.25">
      <c r="B688" s="3"/>
    </row>
    <row r="689" spans="2:2" x14ac:dyDescent="0.25">
      <c r="B689" s="3"/>
    </row>
    <row r="690" spans="2:2" x14ac:dyDescent="0.25">
      <c r="B690" s="3"/>
    </row>
    <row r="691" spans="2:2" x14ac:dyDescent="0.25">
      <c r="B691" s="3"/>
    </row>
    <row r="692" spans="2:2" x14ac:dyDescent="0.25">
      <c r="B692" s="3"/>
    </row>
    <row r="693" spans="2:2" x14ac:dyDescent="0.25">
      <c r="B693" s="3"/>
    </row>
    <row r="694" spans="2:2" x14ac:dyDescent="0.25">
      <c r="B694" s="3"/>
    </row>
    <row r="695" spans="2:2" x14ac:dyDescent="0.25">
      <c r="B695" s="3"/>
    </row>
    <row r="696" spans="2:2" x14ac:dyDescent="0.25">
      <c r="B696" s="3"/>
    </row>
    <row r="697" spans="2:2" x14ac:dyDescent="0.25">
      <c r="B697" s="3"/>
    </row>
    <row r="698" spans="2:2" x14ac:dyDescent="0.25">
      <c r="B698" s="3"/>
    </row>
    <row r="699" spans="2:2" x14ac:dyDescent="0.25">
      <c r="B699" s="3"/>
    </row>
    <row r="700" spans="2:2" x14ac:dyDescent="0.25">
      <c r="B700" s="3"/>
    </row>
    <row r="701" spans="2:2" x14ac:dyDescent="0.25">
      <c r="B701" s="3"/>
    </row>
    <row r="702" spans="2:2" x14ac:dyDescent="0.25">
      <c r="B702" s="3"/>
    </row>
    <row r="703" spans="2:2" x14ac:dyDescent="0.25">
      <c r="B703" s="3"/>
    </row>
    <row r="704" spans="2:2" x14ac:dyDescent="0.25">
      <c r="B704" s="3"/>
    </row>
    <row r="705" spans="2:2" x14ac:dyDescent="0.25">
      <c r="B705" s="3"/>
    </row>
    <row r="706" spans="2:2" x14ac:dyDescent="0.25">
      <c r="B706" s="3"/>
    </row>
    <row r="707" spans="2:2" x14ac:dyDescent="0.25">
      <c r="B707" s="3"/>
    </row>
    <row r="708" spans="2:2" x14ac:dyDescent="0.25">
      <c r="B708" s="3"/>
    </row>
    <row r="709" spans="2:2" x14ac:dyDescent="0.25">
      <c r="B709" s="3"/>
    </row>
    <row r="710" spans="2:2" x14ac:dyDescent="0.25">
      <c r="B710" s="3"/>
    </row>
    <row r="711" spans="2:2" x14ac:dyDescent="0.25">
      <c r="B711" s="3"/>
    </row>
    <row r="712" spans="2:2" x14ac:dyDescent="0.25">
      <c r="B712" s="3"/>
    </row>
    <row r="713" spans="2:2" x14ac:dyDescent="0.25">
      <c r="B713" s="3"/>
    </row>
    <row r="714" spans="2:2" x14ac:dyDescent="0.25">
      <c r="B714" s="3"/>
    </row>
    <row r="715" spans="2:2" x14ac:dyDescent="0.25">
      <c r="B715" s="3"/>
    </row>
    <row r="716" spans="2:2" x14ac:dyDescent="0.25">
      <c r="B716" s="3"/>
    </row>
    <row r="717" spans="2:2" x14ac:dyDescent="0.25">
      <c r="B717" s="3"/>
    </row>
    <row r="718" spans="2:2" x14ac:dyDescent="0.25">
      <c r="B718" s="3"/>
    </row>
    <row r="719" spans="2:2" x14ac:dyDescent="0.25">
      <c r="B719" s="3"/>
    </row>
    <row r="720" spans="2:2" x14ac:dyDescent="0.25">
      <c r="B720" s="3"/>
    </row>
    <row r="721" spans="2:2" x14ac:dyDescent="0.25">
      <c r="B721" s="3"/>
    </row>
    <row r="722" spans="2:2" x14ac:dyDescent="0.25">
      <c r="B722" s="3"/>
    </row>
    <row r="723" spans="2:2" x14ac:dyDescent="0.25">
      <c r="B723" s="3"/>
    </row>
    <row r="724" spans="2:2" x14ac:dyDescent="0.25">
      <c r="B724" s="3"/>
    </row>
    <row r="725" spans="2:2" x14ac:dyDescent="0.25">
      <c r="B725" s="3"/>
    </row>
    <row r="726" spans="2:2" x14ac:dyDescent="0.25">
      <c r="B726" s="3"/>
    </row>
    <row r="727" spans="2:2" x14ac:dyDescent="0.25">
      <c r="B727" s="3"/>
    </row>
    <row r="728" spans="2:2" x14ac:dyDescent="0.25">
      <c r="B728" s="3"/>
    </row>
    <row r="729" spans="2:2" x14ac:dyDescent="0.25">
      <c r="B729" s="3"/>
    </row>
    <row r="730" spans="2:2" x14ac:dyDescent="0.25">
      <c r="B730" s="3"/>
    </row>
    <row r="731" spans="2:2" x14ac:dyDescent="0.25">
      <c r="B731" s="3"/>
    </row>
    <row r="732" spans="2:2" x14ac:dyDescent="0.25">
      <c r="B732" s="3"/>
    </row>
    <row r="733" spans="2:2" x14ac:dyDescent="0.25">
      <c r="B733" s="3"/>
    </row>
    <row r="734" spans="2:2" x14ac:dyDescent="0.25">
      <c r="B734" s="3"/>
    </row>
    <row r="735" spans="2:2" x14ac:dyDescent="0.25">
      <c r="B735" s="3"/>
    </row>
    <row r="736" spans="2:2" x14ac:dyDescent="0.25">
      <c r="B736" s="3"/>
    </row>
    <row r="737" spans="2:2" x14ac:dyDescent="0.25">
      <c r="B737" s="3"/>
    </row>
    <row r="738" spans="2:2" x14ac:dyDescent="0.25">
      <c r="B738" s="3"/>
    </row>
    <row r="739" spans="2:2" x14ac:dyDescent="0.25">
      <c r="B739" s="3"/>
    </row>
    <row r="740" spans="2:2" x14ac:dyDescent="0.25">
      <c r="B740" s="3"/>
    </row>
    <row r="741" spans="2:2" x14ac:dyDescent="0.25">
      <c r="B741" s="3"/>
    </row>
    <row r="742" spans="2:2" x14ac:dyDescent="0.25">
      <c r="B742" s="3"/>
    </row>
    <row r="743" spans="2:2" x14ac:dyDescent="0.25">
      <c r="B743" s="3"/>
    </row>
    <row r="744" spans="2:2" x14ac:dyDescent="0.25">
      <c r="B744" s="3"/>
    </row>
    <row r="745" spans="2:2" x14ac:dyDescent="0.25">
      <c r="B745" s="3"/>
    </row>
    <row r="746" spans="2:2" x14ac:dyDescent="0.25">
      <c r="B746" s="3"/>
    </row>
    <row r="747" spans="2:2" x14ac:dyDescent="0.25">
      <c r="B747" s="3"/>
    </row>
    <row r="748" spans="2:2" x14ac:dyDescent="0.25">
      <c r="B748" s="3"/>
    </row>
    <row r="749" spans="2:2" x14ac:dyDescent="0.25">
      <c r="B749" s="3"/>
    </row>
    <row r="750" spans="2:2" x14ac:dyDescent="0.25">
      <c r="B750" s="3"/>
    </row>
    <row r="751" spans="2:2" x14ac:dyDescent="0.25">
      <c r="B751" s="3"/>
    </row>
    <row r="752" spans="2:2" x14ac:dyDescent="0.25">
      <c r="B752" s="3"/>
    </row>
    <row r="753" spans="2:2" x14ac:dyDescent="0.25">
      <c r="B753" s="3"/>
    </row>
    <row r="754" spans="2:2" x14ac:dyDescent="0.25">
      <c r="B754" s="3"/>
    </row>
    <row r="755" spans="2:2" x14ac:dyDescent="0.25">
      <c r="B755" s="3"/>
    </row>
    <row r="756" spans="2:2" x14ac:dyDescent="0.25">
      <c r="B756" s="3"/>
    </row>
    <row r="757" spans="2:2" x14ac:dyDescent="0.25">
      <c r="B757" s="3"/>
    </row>
    <row r="758" spans="2:2" x14ac:dyDescent="0.25">
      <c r="B758" s="3"/>
    </row>
    <row r="759" spans="2:2" x14ac:dyDescent="0.25">
      <c r="B759" s="3"/>
    </row>
    <row r="760" spans="2:2" x14ac:dyDescent="0.25">
      <c r="B760" s="3"/>
    </row>
    <row r="761" spans="2:2" x14ac:dyDescent="0.25">
      <c r="B761" s="3"/>
    </row>
    <row r="762" spans="2:2" x14ac:dyDescent="0.25">
      <c r="B762" s="3"/>
    </row>
    <row r="763" spans="2:2" x14ac:dyDescent="0.25">
      <c r="B763" s="3"/>
    </row>
    <row r="764" spans="2:2" x14ac:dyDescent="0.25">
      <c r="B764" s="3"/>
    </row>
    <row r="765" spans="2:2" x14ac:dyDescent="0.25">
      <c r="B765" s="3"/>
    </row>
    <row r="766" spans="2:2" x14ac:dyDescent="0.25">
      <c r="B766" s="3"/>
    </row>
    <row r="767" spans="2:2" x14ac:dyDescent="0.25">
      <c r="B767" s="3"/>
    </row>
    <row r="768" spans="2:2" x14ac:dyDescent="0.25">
      <c r="B768" s="3"/>
    </row>
    <row r="769" spans="2:2" x14ac:dyDescent="0.25">
      <c r="B769" s="3"/>
    </row>
    <row r="770" spans="2:2" x14ac:dyDescent="0.25">
      <c r="B770" s="3"/>
    </row>
    <row r="771" spans="2:2" x14ac:dyDescent="0.25">
      <c r="B771" s="3"/>
    </row>
    <row r="772" spans="2:2" x14ac:dyDescent="0.25">
      <c r="B772" s="3"/>
    </row>
    <row r="773" spans="2:2" x14ac:dyDescent="0.25">
      <c r="B773" s="3"/>
    </row>
    <row r="774" spans="2:2" x14ac:dyDescent="0.25">
      <c r="B774" s="3"/>
    </row>
    <row r="775" spans="2:2" x14ac:dyDescent="0.25">
      <c r="B775" s="3"/>
    </row>
    <row r="776" spans="2:2" x14ac:dyDescent="0.25">
      <c r="B776" s="3"/>
    </row>
    <row r="777" spans="2:2" x14ac:dyDescent="0.25">
      <c r="B777" s="3"/>
    </row>
    <row r="778" spans="2:2" x14ac:dyDescent="0.25">
      <c r="B778" s="3"/>
    </row>
    <row r="779" spans="2:2" x14ac:dyDescent="0.25">
      <c r="B779" s="3"/>
    </row>
    <row r="780" spans="2:2" x14ac:dyDescent="0.25">
      <c r="B780" s="3"/>
    </row>
    <row r="781" spans="2:2" x14ac:dyDescent="0.25">
      <c r="B781" s="3"/>
    </row>
    <row r="782" spans="2:2" x14ac:dyDescent="0.25">
      <c r="B782" s="3"/>
    </row>
    <row r="783" spans="2:2" x14ac:dyDescent="0.25">
      <c r="B783" s="3"/>
    </row>
    <row r="784" spans="2:2" x14ac:dyDescent="0.25">
      <c r="B784" s="3"/>
    </row>
    <row r="785" spans="2:2" x14ac:dyDescent="0.25">
      <c r="B785" s="3"/>
    </row>
    <row r="786" spans="2:2" x14ac:dyDescent="0.25">
      <c r="B786" s="3"/>
    </row>
    <row r="787" spans="2:2" x14ac:dyDescent="0.25">
      <c r="B787" s="3"/>
    </row>
    <row r="788" spans="2:2" x14ac:dyDescent="0.25">
      <c r="B788" s="3"/>
    </row>
    <row r="789" spans="2:2" x14ac:dyDescent="0.25">
      <c r="B789" s="3"/>
    </row>
    <row r="790" spans="2:2" x14ac:dyDescent="0.25">
      <c r="B790" s="3"/>
    </row>
    <row r="791" spans="2:2" x14ac:dyDescent="0.25">
      <c r="B791" s="3"/>
    </row>
    <row r="792" spans="2:2" x14ac:dyDescent="0.25">
      <c r="B792" s="3"/>
    </row>
    <row r="793" spans="2:2" x14ac:dyDescent="0.25">
      <c r="B793" s="3"/>
    </row>
    <row r="794" spans="2:2" x14ac:dyDescent="0.25">
      <c r="B794" s="3"/>
    </row>
    <row r="795" spans="2:2" x14ac:dyDescent="0.25">
      <c r="B795" s="3"/>
    </row>
    <row r="796" spans="2:2" x14ac:dyDescent="0.25">
      <c r="B796" s="3"/>
    </row>
    <row r="797" spans="2:2" x14ac:dyDescent="0.25">
      <c r="B797" s="3"/>
    </row>
    <row r="798" spans="2:2" x14ac:dyDescent="0.25">
      <c r="B798" s="3"/>
    </row>
    <row r="799" spans="2:2" x14ac:dyDescent="0.25">
      <c r="B799" s="3"/>
    </row>
    <row r="800" spans="2:2" x14ac:dyDescent="0.25">
      <c r="B800" s="3"/>
    </row>
    <row r="801" spans="2:2" x14ac:dyDescent="0.25">
      <c r="B801" s="3"/>
    </row>
    <row r="802" spans="2:2" x14ac:dyDescent="0.25">
      <c r="B802" s="3"/>
    </row>
    <row r="803" spans="2:2" x14ac:dyDescent="0.25">
      <c r="B803" s="3"/>
    </row>
    <row r="804" spans="2:2" x14ac:dyDescent="0.25">
      <c r="B804" s="3"/>
    </row>
    <row r="805" spans="2:2" x14ac:dyDescent="0.25">
      <c r="B805" s="3"/>
    </row>
    <row r="806" spans="2:2" x14ac:dyDescent="0.25">
      <c r="B806" s="3"/>
    </row>
    <row r="807" spans="2:2" x14ac:dyDescent="0.25">
      <c r="B807" s="3"/>
    </row>
    <row r="808" spans="2:2" x14ac:dyDescent="0.25">
      <c r="B808" s="3"/>
    </row>
    <row r="809" spans="2:2" x14ac:dyDescent="0.25">
      <c r="B809" s="3"/>
    </row>
    <row r="810" spans="2:2" x14ac:dyDescent="0.25">
      <c r="B810" s="3"/>
    </row>
    <row r="811" spans="2:2" x14ac:dyDescent="0.25">
      <c r="B811" s="3"/>
    </row>
    <row r="812" spans="2:2" x14ac:dyDescent="0.25">
      <c r="B812" s="3"/>
    </row>
    <row r="813" spans="2:2" x14ac:dyDescent="0.25">
      <c r="B813" s="3"/>
    </row>
    <row r="814" spans="2:2" x14ac:dyDescent="0.25">
      <c r="B814" s="3"/>
    </row>
    <row r="815" spans="2:2" x14ac:dyDescent="0.25">
      <c r="B815" s="3"/>
    </row>
    <row r="816" spans="2:2" x14ac:dyDescent="0.25">
      <c r="B816" s="3"/>
    </row>
    <row r="817" spans="2:2" x14ac:dyDescent="0.25">
      <c r="B817" s="3"/>
    </row>
    <row r="818" spans="2:2" x14ac:dyDescent="0.25">
      <c r="B818" s="3"/>
    </row>
    <row r="819" spans="2:2" x14ac:dyDescent="0.25">
      <c r="B819" s="3"/>
    </row>
    <row r="820" spans="2:2" x14ac:dyDescent="0.25">
      <c r="B820" s="3"/>
    </row>
    <row r="821" spans="2:2" x14ac:dyDescent="0.25">
      <c r="B821" s="3"/>
    </row>
    <row r="822" spans="2:2" x14ac:dyDescent="0.25">
      <c r="B822" s="3"/>
    </row>
    <row r="823" spans="2:2" x14ac:dyDescent="0.25">
      <c r="B823" s="3"/>
    </row>
    <row r="824" spans="2:2" x14ac:dyDescent="0.25">
      <c r="B824" s="3"/>
    </row>
    <row r="825" spans="2:2" x14ac:dyDescent="0.25">
      <c r="B825" s="3"/>
    </row>
    <row r="826" spans="2:2" x14ac:dyDescent="0.25">
      <c r="B826" s="3"/>
    </row>
    <row r="827" spans="2:2" x14ac:dyDescent="0.25">
      <c r="B827" s="3"/>
    </row>
    <row r="828" spans="2:2" x14ac:dyDescent="0.25">
      <c r="B828" s="3"/>
    </row>
    <row r="829" spans="2:2" x14ac:dyDescent="0.25">
      <c r="B829" s="3"/>
    </row>
    <row r="830" spans="2:2" x14ac:dyDescent="0.25">
      <c r="B830" s="3"/>
    </row>
    <row r="831" spans="2:2" x14ac:dyDescent="0.25">
      <c r="B831" s="3"/>
    </row>
    <row r="832" spans="2:2" x14ac:dyDescent="0.25">
      <c r="B832" s="3"/>
    </row>
    <row r="833" spans="2:2" x14ac:dyDescent="0.25">
      <c r="B833" s="3"/>
    </row>
    <row r="834" spans="2:2" x14ac:dyDescent="0.25">
      <c r="B834" s="3"/>
    </row>
    <row r="835" spans="2:2" x14ac:dyDescent="0.25">
      <c r="B835" s="3"/>
    </row>
    <row r="836" spans="2:2" x14ac:dyDescent="0.25">
      <c r="B836" s="3"/>
    </row>
    <row r="837" spans="2:2" x14ac:dyDescent="0.25">
      <c r="B837" s="3"/>
    </row>
    <row r="838" spans="2:2" x14ac:dyDescent="0.25">
      <c r="B838" s="3"/>
    </row>
    <row r="839" spans="2:2" x14ac:dyDescent="0.25">
      <c r="B839" s="3"/>
    </row>
    <row r="840" spans="2:2" x14ac:dyDescent="0.25">
      <c r="B840" s="3"/>
    </row>
    <row r="841" spans="2:2" x14ac:dyDescent="0.25">
      <c r="B841" s="3"/>
    </row>
    <row r="842" spans="2:2" x14ac:dyDescent="0.25">
      <c r="B842" s="3"/>
    </row>
    <row r="843" spans="2:2" x14ac:dyDescent="0.25">
      <c r="B843" s="3"/>
    </row>
    <row r="844" spans="2:2" x14ac:dyDescent="0.25">
      <c r="B844" s="3"/>
    </row>
    <row r="845" spans="2:2" x14ac:dyDescent="0.25">
      <c r="B845" s="3"/>
    </row>
    <row r="846" spans="2:2" x14ac:dyDescent="0.25">
      <c r="B846" s="3"/>
    </row>
    <row r="847" spans="2:2" x14ac:dyDescent="0.25">
      <c r="B847" s="3"/>
    </row>
    <row r="848" spans="2:2" x14ac:dyDescent="0.25">
      <c r="B848" s="3"/>
    </row>
    <row r="849" spans="2:2" x14ac:dyDescent="0.25">
      <c r="B849" s="3"/>
    </row>
    <row r="850" spans="2:2" x14ac:dyDescent="0.25">
      <c r="B850" s="3"/>
    </row>
    <row r="851" spans="2:2" x14ac:dyDescent="0.25">
      <c r="B851" s="3"/>
    </row>
    <row r="852" spans="2:2" x14ac:dyDescent="0.25">
      <c r="B852" s="3"/>
    </row>
    <row r="853" spans="2:2" x14ac:dyDescent="0.25">
      <c r="B853" s="3"/>
    </row>
    <row r="854" spans="2:2" x14ac:dyDescent="0.25">
      <c r="B854" s="3"/>
    </row>
    <row r="855" spans="2:2" x14ac:dyDescent="0.25">
      <c r="B855" s="3"/>
    </row>
    <row r="856" spans="2:2" x14ac:dyDescent="0.25">
      <c r="B856" s="3"/>
    </row>
    <row r="857" spans="2:2" x14ac:dyDescent="0.25">
      <c r="B857" s="3"/>
    </row>
    <row r="858" spans="2:2" x14ac:dyDescent="0.25">
      <c r="B858" s="3"/>
    </row>
    <row r="859" spans="2:2" x14ac:dyDescent="0.25">
      <c r="B859" s="3"/>
    </row>
    <row r="860" spans="2:2" x14ac:dyDescent="0.25">
      <c r="B860" s="3"/>
    </row>
    <row r="861" spans="2:2" x14ac:dyDescent="0.25">
      <c r="B861" s="3"/>
    </row>
    <row r="862" spans="2:2" x14ac:dyDescent="0.25">
      <c r="B862" s="3"/>
    </row>
    <row r="863" spans="2:2" x14ac:dyDescent="0.25">
      <c r="B863" s="3"/>
    </row>
    <row r="864" spans="2:2" x14ac:dyDescent="0.25">
      <c r="B864" s="3"/>
    </row>
    <row r="865" spans="2:2" x14ac:dyDescent="0.25">
      <c r="B865" s="3"/>
    </row>
    <row r="866" spans="2:2" x14ac:dyDescent="0.25">
      <c r="B866" s="3"/>
    </row>
    <row r="867" spans="2:2" x14ac:dyDescent="0.25">
      <c r="B867" s="3"/>
    </row>
    <row r="868" spans="2:2" x14ac:dyDescent="0.25">
      <c r="B868" s="3"/>
    </row>
    <row r="869" spans="2:2" x14ac:dyDescent="0.25">
      <c r="B869" s="3"/>
    </row>
    <row r="870" spans="2:2" x14ac:dyDescent="0.25">
      <c r="B870" s="3"/>
    </row>
    <row r="871" spans="2:2" x14ac:dyDescent="0.25">
      <c r="B871" s="3"/>
    </row>
    <row r="872" spans="2:2" x14ac:dyDescent="0.25">
      <c r="B872" s="3"/>
    </row>
    <row r="873" spans="2:2" x14ac:dyDescent="0.25">
      <c r="B873" s="3"/>
    </row>
    <row r="874" spans="2:2" x14ac:dyDescent="0.25">
      <c r="B874" s="3"/>
    </row>
    <row r="875" spans="2:2" x14ac:dyDescent="0.25">
      <c r="B875" s="3"/>
    </row>
    <row r="876" spans="2:2" x14ac:dyDescent="0.25">
      <c r="B876" s="3"/>
    </row>
    <row r="877" spans="2:2" x14ac:dyDescent="0.25">
      <c r="B877" s="3"/>
    </row>
    <row r="878" spans="2:2" x14ac:dyDescent="0.25">
      <c r="B878" s="3"/>
    </row>
    <row r="879" spans="2:2" x14ac:dyDescent="0.25">
      <c r="B879" s="3"/>
    </row>
    <row r="880" spans="2:2" x14ac:dyDescent="0.25">
      <c r="B880" s="3"/>
    </row>
    <row r="881" spans="2:2" x14ac:dyDescent="0.25">
      <c r="B881" s="3"/>
    </row>
    <row r="882" spans="2:2" x14ac:dyDescent="0.25">
      <c r="B882" s="3"/>
    </row>
    <row r="883" spans="2:2" x14ac:dyDescent="0.25">
      <c r="B883" s="3"/>
    </row>
    <row r="884" spans="2:2" x14ac:dyDescent="0.25">
      <c r="B884" s="3"/>
    </row>
    <row r="885" spans="2:2" x14ac:dyDescent="0.25">
      <c r="B885" s="3"/>
    </row>
    <row r="886" spans="2:2" x14ac:dyDescent="0.25">
      <c r="B886" s="3"/>
    </row>
    <row r="887" spans="2:2" x14ac:dyDescent="0.25">
      <c r="B887" s="3"/>
    </row>
    <row r="888" spans="2:2" x14ac:dyDescent="0.25">
      <c r="B888" s="3"/>
    </row>
    <row r="889" spans="2:2" x14ac:dyDescent="0.25">
      <c r="B889" s="3"/>
    </row>
    <row r="890" spans="2:2" x14ac:dyDescent="0.25">
      <c r="B890" s="3"/>
    </row>
    <row r="891" spans="2:2" x14ac:dyDescent="0.25">
      <c r="B891" s="3"/>
    </row>
    <row r="892" spans="2:2" x14ac:dyDescent="0.25">
      <c r="B892" s="3"/>
    </row>
    <row r="893" spans="2:2" x14ac:dyDescent="0.25">
      <c r="B893" s="3"/>
    </row>
    <row r="894" spans="2:2" x14ac:dyDescent="0.25">
      <c r="B894" s="3"/>
    </row>
    <row r="895" spans="2:2" x14ac:dyDescent="0.25">
      <c r="B895" s="3"/>
    </row>
    <row r="896" spans="2:2" x14ac:dyDescent="0.25">
      <c r="B896" s="3"/>
    </row>
    <row r="897" spans="2:2" x14ac:dyDescent="0.25">
      <c r="B897" s="3"/>
    </row>
    <row r="898" spans="2:2" x14ac:dyDescent="0.25">
      <c r="B898" s="3"/>
    </row>
    <row r="899" spans="2:2" x14ac:dyDescent="0.25">
      <c r="B899" s="3"/>
    </row>
    <row r="900" spans="2:2" x14ac:dyDescent="0.25">
      <c r="B900" s="3"/>
    </row>
    <row r="901" spans="2:2" x14ac:dyDescent="0.25">
      <c r="B901" s="3"/>
    </row>
    <row r="902" spans="2:2" x14ac:dyDescent="0.25">
      <c r="B902" s="3"/>
    </row>
    <row r="903" spans="2:2" x14ac:dyDescent="0.25">
      <c r="B903" s="3"/>
    </row>
    <row r="904" spans="2:2" x14ac:dyDescent="0.25">
      <c r="B904" s="3"/>
    </row>
    <row r="905" spans="2:2" x14ac:dyDescent="0.25">
      <c r="B905" s="3"/>
    </row>
    <row r="906" spans="2:2" x14ac:dyDescent="0.25">
      <c r="B906" s="3"/>
    </row>
    <row r="907" spans="2:2" x14ac:dyDescent="0.25">
      <c r="B907" s="3"/>
    </row>
    <row r="908" spans="2:2" x14ac:dyDescent="0.25">
      <c r="B908" s="3"/>
    </row>
    <row r="909" spans="2:2" x14ac:dyDescent="0.25">
      <c r="B909" s="3"/>
    </row>
    <row r="910" spans="2:2" x14ac:dyDescent="0.25">
      <c r="B910" s="3"/>
    </row>
    <row r="911" spans="2:2" x14ac:dyDescent="0.25">
      <c r="B911" s="3"/>
    </row>
    <row r="912" spans="2:2" x14ac:dyDescent="0.25">
      <c r="B912" s="3"/>
    </row>
    <row r="913" spans="2:2" x14ac:dyDescent="0.25">
      <c r="B913" s="3"/>
    </row>
    <row r="914" spans="2:2" x14ac:dyDescent="0.25">
      <c r="B914" s="3"/>
    </row>
    <row r="915" spans="2:2" x14ac:dyDescent="0.25">
      <c r="B915" s="3"/>
    </row>
    <row r="916" spans="2:2" x14ac:dyDescent="0.25">
      <c r="B916" s="3"/>
    </row>
    <row r="917" spans="2:2" x14ac:dyDescent="0.25">
      <c r="B917" s="3"/>
    </row>
    <row r="918" spans="2:2" x14ac:dyDescent="0.25">
      <c r="B918" s="3"/>
    </row>
    <row r="919" spans="2:2" x14ac:dyDescent="0.25">
      <c r="B919" s="3"/>
    </row>
    <row r="920" spans="2:2" x14ac:dyDescent="0.25">
      <c r="B920" s="3"/>
    </row>
    <row r="921" spans="2:2" x14ac:dyDescent="0.25">
      <c r="B921" s="3"/>
    </row>
    <row r="922" spans="2:2" x14ac:dyDescent="0.25">
      <c r="B922" s="3"/>
    </row>
    <row r="923" spans="2:2" x14ac:dyDescent="0.25">
      <c r="B923" s="3"/>
    </row>
    <row r="924" spans="2:2" x14ac:dyDescent="0.25">
      <c r="B924" s="3"/>
    </row>
    <row r="925" spans="2:2" x14ac:dyDescent="0.25">
      <c r="B925" s="3"/>
    </row>
    <row r="926" spans="2:2" x14ac:dyDescent="0.25">
      <c r="B926" s="3"/>
    </row>
    <row r="927" spans="2:2" x14ac:dyDescent="0.25">
      <c r="B927" s="3"/>
    </row>
    <row r="928" spans="2:2" x14ac:dyDescent="0.25">
      <c r="B928" s="3"/>
    </row>
    <row r="929" spans="2:2" x14ac:dyDescent="0.25">
      <c r="B929" s="3"/>
    </row>
    <row r="930" spans="2:2" x14ac:dyDescent="0.25">
      <c r="B930" s="3"/>
    </row>
    <row r="931" spans="2:2" x14ac:dyDescent="0.25">
      <c r="B931" s="3"/>
    </row>
    <row r="932" spans="2:2" x14ac:dyDescent="0.25">
      <c r="B932" s="3"/>
    </row>
    <row r="933" spans="2:2" x14ac:dyDescent="0.25">
      <c r="B933" s="3"/>
    </row>
    <row r="934" spans="2:2" x14ac:dyDescent="0.25">
      <c r="B934" s="3"/>
    </row>
    <row r="935" spans="2:2" x14ac:dyDescent="0.25">
      <c r="B935" s="3"/>
    </row>
    <row r="936" spans="2:2" x14ac:dyDescent="0.25">
      <c r="B936" s="3"/>
    </row>
    <row r="937" spans="2:2" x14ac:dyDescent="0.25">
      <c r="B937" s="3"/>
    </row>
    <row r="938" spans="2:2" x14ac:dyDescent="0.25">
      <c r="B938" s="3"/>
    </row>
    <row r="939" spans="2:2" x14ac:dyDescent="0.25">
      <c r="B939" s="3"/>
    </row>
    <row r="940" spans="2:2" x14ac:dyDescent="0.25">
      <c r="B940" s="3"/>
    </row>
    <row r="941" spans="2:2" x14ac:dyDescent="0.25">
      <c r="B941" s="3"/>
    </row>
    <row r="942" spans="2:2" x14ac:dyDescent="0.25">
      <c r="B942" s="3"/>
    </row>
    <row r="943" spans="2:2" x14ac:dyDescent="0.25">
      <c r="B943" s="3"/>
    </row>
    <row r="944" spans="2:2" x14ac:dyDescent="0.25">
      <c r="B944" s="3"/>
    </row>
    <row r="945" spans="2:2" x14ac:dyDescent="0.25">
      <c r="B945" s="3"/>
    </row>
    <row r="946" spans="2:2" x14ac:dyDescent="0.25">
      <c r="B946" s="3"/>
    </row>
    <row r="947" spans="2:2" x14ac:dyDescent="0.25">
      <c r="B947" s="3"/>
    </row>
    <row r="948" spans="2:2" x14ac:dyDescent="0.25">
      <c r="B948" s="3"/>
    </row>
    <row r="949" spans="2:2" x14ac:dyDescent="0.25">
      <c r="B949" s="3"/>
    </row>
    <row r="950" spans="2:2" x14ac:dyDescent="0.25">
      <c r="B950" s="3"/>
    </row>
    <row r="951" spans="2:2" x14ac:dyDescent="0.25">
      <c r="B951" s="3"/>
    </row>
    <row r="952" spans="2:2" x14ac:dyDescent="0.25">
      <c r="B952" s="3"/>
    </row>
    <row r="953" spans="2:2" x14ac:dyDescent="0.25">
      <c r="B953" s="3"/>
    </row>
    <row r="954" spans="2:2" x14ac:dyDescent="0.25">
      <c r="B954" s="3"/>
    </row>
    <row r="955" spans="2:2" x14ac:dyDescent="0.25">
      <c r="B955" s="3"/>
    </row>
    <row r="956" spans="2:2" x14ac:dyDescent="0.25">
      <c r="B956" s="3"/>
    </row>
    <row r="957" spans="2:2" x14ac:dyDescent="0.25">
      <c r="B957" s="3"/>
    </row>
    <row r="958" spans="2:2" x14ac:dyDescent="0.25">
      <c r="B958" s="3"/>
    </row>
    <row r="959" spans="2:2" x14ac:dyDescent="0.25">
      <c r="B959" s="3"/>
    </row>
    <row r="960" spans="2:2" x14ac:dyDescent="0.25">
      <c r="B960" s="3"/>
    </row>
    <row r="961" spans="2:2" x14ac:dyDescent="0.25">
      <c r="B961" s="3"/>
    </row>
    <row r="962" spans="2:2" x14ac:dyDescent="0.25">
      <c r="B962" s="3"/>
    </row>
    <row r="963" spans="2:2" x14ac:dyDescent="0.25">
      <c r="B963" s="3"/>
    </row>
    <row r="964" spans="2:2" x14ac:dyDescent="0.25">
      <c r="B964" s="3"/>
    </row>
    <row r="965" spans="2:2" x14ac:dyDescent="0.25">
      <c r="B965" s="3"/>
    </row>
    <row r="966" spans="2:2" x14ac:dyDescent="0.25">
      <c r="B966" s="3"/>
    </row>
    <row r="967" spans="2:2" x14ac:dyDescent="0.25">
      <c r="B967" s="3"/>
    </row>
    <row r="968" spans="2:2" x14ac:dyDescent="0.25">
      <c r="B968" s="3"/>
    </row>
    <row r="969" spans="2:2" x14ac:dyDescent="0.25">
      <c r="B969" s="3"/>
    </row>
    <row r="970" spans="2:2" x14ac:dyDescent="0.25">
      <c r="B970" s="3"/>
    </row>
    <row r="971" spans="2:2" x14ac:dyDescent="0.25">
      <c r="B971" s="3"/>
    </row>
    <row r="972" spans="2:2" x14ac:dyDescent="0.25">
      <c r="B972" s="3"/>
    </row>
    <row r="973" spans="2:2" x14ac:dyDescent="0.25">
      <c r="B973" s="3"/>
    </row>
    <row r="974" spans="2:2" x14ac:dyDescent="0.25">
      <c r="B974" s="3"/>
    </row>
    <row r="975" spans="2:2" x14ac:dyDescent="0.25">
      <c r="B975" s="3"/>
    </row>
    <row r="976" spans="2:2" x14ac:dyDescent="0.25">
      <c r="B976" s="3"/>
    </row>
    <row r="977" spans="2:2" x14ac:dyDescent="0.25">
      <c r="B977" s="3"/>
    </row>
    <row r="978" spans="2:2" x14ac:dyDescent="0.25">
      <c r="B978" s="3"/>
    </row>
    <row r="979" spans="2:2" x14ac:dyDescent="0.25">
      <c r="B979" s="3"/>
    </row>
    <row r="980" spans="2:2" x14ac:dyDescent="0.25">
      <c r="B980" s="3"/>
    </row>
    <row r="981" spans="2:2" x14ac:dyDescent="0.25">
      <c r="B981" s="3"/>
    </row>
    <row r="982" spans="2:2" x14ac:dyDescent="0.25">
      <c r="B982" s="3"/>
    </row>
    <row r="983" spans="2:2" x14ac:dyDescent="0.25">
      <c r="B983" s="3"/>
    </row>
    <row r="984" spans="2:2" x14ac:dyDescent="0.25">
      <c r="B984" s="3"/>
    </row>
    <row r="985" spans="2:2" x14ac:dyDescent="0.25">
      <c r="B985" s="3"/>
    </row>
    <row r="986" spans="2:2" x14ac:dyDescent="0.25">
      <c r="B986" s="3"/>
    </row>
    <row r="987" spans="2:2" x14ac:dyDescent="0.25">
      <c r="B987" s="3"/>
    </row>
    <row r="988" spans="2:2" x14ac:dyDescent="0.25">
      <c r="B988" s="3"/>
    </row>
    <row r="989" spans="2:2" x14ac:dyDescent="0.25">
      <c r="B989" s="3"/>
    </row>
    <row r="990" spans="2:2" x14ac:dyDescent="0.25">
      <c r="B990" s="3"/>
    </row>
    <row r="991" spans="2:2" x14ac:dyDescent="0.25">
      <c r="B991" s="3"/>
    </row>
    <row r="992" spans="2:2" x14ac:dyDescent="0.25">
      <c r="B992" s="3"/>
    </row>
    <row r="993" spans="2:2" x14ac:dyDescent="0.25">
      <c r="B993" s="3"/>
    </row>
    <row r="994" spans="2:2" x14ac:dyDescent="0.25">
      <c r="B994" s="3"/>
    </row>
    <row r="995" spans="2:2" x14ac:dyDescent="0.25">
      <c r="B995" s="3"/>
    </row>
    <row r="996" spans="2:2" x14ac:dyDescent="0.25">
      <c r="B996" s="3"/>
    </row>
    <row r="997" spans="2:2" x14ac:dyDescent="0.25">
      <c r="B997" s="3"/>
    </row>
    <row r="998" spans="2:2" x14ac:dyDescent="0.25">
      <c r="B998" s="3"/>
    </row>
    <row r="999" spans="2:2" x14ac:dyDescent="0.25">
      <c r="B999" s="3"/>
    </row>
    <row r="1000" spans="2:2" x14ac:dyDescent="0.25">
      <c r="B1000" s="3"/>
    </row>
    <row r="1001" spans="2:2" x14ac:dyDescent="0.25">
      <c r="B1001" s="3"/>
    </row>
    <row r="1002" spans="2:2" x14ac:dyDescent="0.25">
      <c r="B1002" s="3"/>
    </row>
    <row r="1003" spans="2:2" x14ac:dyDescent="0.25">
      <c r="B1003" s="3"/>
    </row>
    <row r="1004" spans="2:2" x14ac:dyDescent="0.25">
      <c r="B1004" s="3"/>
    </row>
    <row r="1005" spans="2:2" x14ac:dyDescent="0.25">
      <c r="B1005" s="3"/>
    </row>
    <row r="1006" spans="2:2" x14ac:dyDescent="0.25">
      <c r="B1006" s="3"/>
    </row>
    <row r="1007" spans="2:2" x14ac:dyDescent="0.25">
      <c r="B1007" s="3"/>
    </row>
    <row r="1008" spans="2:2" x14ac:dyDescent="0.25">
      <c r="B1008" s="3"/>
    </row>
    <row r="1009" spans="2:2" x14ac:dyDescent="0.25">
      <c r="B1009" s="3"/>
    </row>
    <row r="1010" spans="2:2" x14ac:dyDescent="0.25">
      <c r="B1010" s="3"/>
    </row>
    <row r="1011" spans="2:2" x14ac:dyDescent="0.25">
      <c r="B1011" s="3"/>
    </row>
    <row r="1012" spans="2:2" x14ac:dyDescent="0.25">
      <c r="B1012" s="3"/>
    </row>
    <row r="1013" spans="2:2" x14ac:dyDescent="0.25">
      <c r="B1013" s="3"/>
    </row>
    <row r="1014" spans="2:2" x14ac:dyDescent="0.25">
      <c r="B1014" s="3"/>
    </row>
    <row r="1015" spans="2:2" x14ac:dyDescent="0.25">
      <c r="B1015" s="3"/>
    </row>
    <row r="1016" spans="2:2" x14ac:dyDescent="0.25">
      <c r="B1016" s="3"/>
    </row>
    <row r="1017" spans="2:2" x14ac:dyDescent="0.25">
      <c r="B1017" s="3"/>
    </row>
    <row r="1018" spans="2:2" x14ac:dyDescent="0.25">
      <c r="B1018" s="3"/>
    </row>
    <row r="1019" spans="2:2" x14ac:dyDescent="0.25">
      <c r="B1019" s="3"/>
    </row>
    <row r="1020" spans="2:2" x14ac:dyDescent="0.25">
      <c r="B1020" s="3"/>
    </row>
    <row r="1021" spans="2:2" x14ac:dyDescent="0.25">
      <c r="B1021" s="3"/>
    </row>
    <row r="1022" spans="2:2" x14ac:dyDescent="0.25">
      <c r="B1022" s="3"/>
    </row>
    <row r="1023" spans="2:2" x14ac:dyDescent="0.25">
      <c r="B1023" s="3"/>
    </row>
    <row r="1024" spans="2:2" x14ac:dyDescent="0.25">
      <c r="B1024" s="3"/>
    </row>
    <row r="1025" spans="2:2" x14ac:dyDescent="0.25">
      <c r="B1025" s="3"/>
    </row>
    <row r="1026" spans="2:2" x14ac:dyDescent="0.25">
      <c r="B1026" s="3"/>
    </row>
    <row r="1027" spans="2:2" x14ac:dyDescent="0.25">
      <c r="B1027" s="3"/>
    </row>
    <row r="1028" spans="2:2" x14ac:dyDescent="0.25">
      <c r="B1028" s="3"/>
    </row>
    <row r="1029" spans="2:2" x14ac:dyDescent="0.25">
      <c r="B1029" s="3"/>
    </row>
    <row r="1030" spans="2:2" x14ac:dyDescent="0.25">
      <c r="B1030" s="3"/>
    </row>
    <row r="1031" spans="2:2" x14ac:dyDescent="0.25">
      <c r="B1031" s="3"/>
    </row>
    <row r="1032" spans="2:2" x14ac:dyDescent="0.25">
      <c r="B1032" s="3"/>
    </row>
    <row r="1033" spans="2:2" x14ac:dyDescent="0.25">
      <c r="B1033" s="3"/>
    </row>
    <row r="1034" spans="2:2" x14ac:dyDescent="0.25">
      <c r="B1034" s="3"/>
    </row>
    <row r="1035" spans="2:2" x14ac:dyDescent="0.25">
      <c r="B1035" s="3"/>
    </row>
    <row r="1036" spans="2:2" x14ac:dyDescent="0.25">
      <c r="B1036" s="3"/>
    </row>
    <row r="1037" spans="2:2" x14ac:dyDescent="0.25">
      <c r="B1037" s="3"/>
    </row>
    <row r="1038" spans="2:2" x14ac:dyDescent="0.25">
      <c r="B1038" s="3"/>
    </row>
    <row r="1039" spans="2:2" x14ac:dyDescent="0.25">
      <c r="B1039" s="3"/>
    </row>
    <row r="1040" spans="2:2" x14ac:dyDescent="0.25">
      <c r="B1040" s="3"/>
    </row>
    <row r="1041" spans="2:2" x14ac:dyDescent="0.25">
      <c r="B1041" s="3"/>
    </row>
    <row r="1042" spans="2:2" x14ac:dyDescent="0.25">
      <c r="B1042" s="3"/>
    </row>
    <row r="1043" spans="2:2" x14ac:dyDescent="0.25">
      <c r="B1043" s="3"/>
    </row>
    <row r="1044" spans="2:2" x14ac:dyDescent="0.25">
      <c r="B1044" s="3"/>
    </row>
    <row r="1045" spans="2:2" x14ac:dyDescent="0.25">
      <c r="B1045" s="3"/>
    </row>
    <row r="1046" spans="2:2" x14ac:dyDescent="0.25">
      <c r="B1046" s="3"/>
    </row>
    <row r="1047" spans="2:2" x14ac:dyDescent="0.25">
      <c r="B1047" s="3"/>
    </row>
    <row r="1048" spans="2:2" x14ac:dyDescent="0.25">
      <c r="B1048" s="3"/>
    </row>
    <row r="1049" spans="2:2" x14ac:dyDescent="0.25">
      <c r="B1049" s="3"/>
    </row>
    <row r="1050" spans="2:2" x14ac:dyDescent="0.25">
      <c r="B1050" s="3"/>
    </row>
    <row r="1051" spans="2:2" x14ac:dyDescent="0.25">
      <c r="B1051" s="3"/>
    </row>
    <row r="1052" spans="2:2" x14ac:dyDescent="0.25">
      <c r="B1052" s="3"/>
    </row>
    <row r="1053" spans="2:2" x14ac:dyDescent="0.25">
      <c r="B1053" s="3"/>
    </row>
    <row r="1054" spans="2:2" x14ac:dyDescent="0.25">
      <c r="B1054" s="3"/>
    </row>
    <row r="1055" spans="2:2" x14ac:dyDescent="0.25">
      <c r="B1055" s="3"/>
    </row>
    <row r="1056" spans="2:2" x14ac:dyDescent="0.25">
      <c r="B1056" s="3"/>
    </row>
    <row r="1057" spans="2:2" x14ac:dyDescent="0.25">
      <c r="B1057" s="3"/>
    </row>
    <row r="1058" spans="2:2" x14ac:dyDescent="0.25">
      <c r="B1058" s="3"/>
    </row>
    <row r="1059" spans="2:2" x14ac:dyDescent="0.25">
      <c r="B1059" s="3"/>
    </row>
    <row r="1060" spans="2:2" x14ac:dyDescent="0.25">
      <c r="B1060" s="3"/>
    </row>
    <row r="1061" spans="2:2" x14ac:dyDescent="0.25">
      <c r="B1061" s="3"/>
    </row>
    <row r="1062" spans="2:2" x14ac:dyDescent="0.25">
      <c r="B1062" s="3"/>
    </row>
    <row r="1063" spans="2:2" x14ac:dyDescent="0.25">
      <c r="B1063" s="3"/>
    </row>
    <row r="1064" spans="2:2" x14ac:dyDescent="0.25">
      <c r="B1064" s="3"/>
    </row>
    <row r="1065" spans="2:2" x14ac:dyDescent="0.25">
      <c r="B1065" s="3"/>
    </row>
    <row r="1066" spans="2:2" x14ac:dyDescent="0.25">
      <c r="B1066" s="3"/>
    </row>
    <row r="1067" spans="2:2" x14ac:dyDescent="0.25">
      <c r="B1067" s="3"/>
    </row>
    <row r="1068" spans="2:2" x14ac:dyDescent="0.25">
      <c r="B1068" s="3"/>
    </row>
    <row r="1069" spans="2:2" x14ac:dyDescent="0.25">
      <c r="B1069" s="3"/>
    </row>
    <row r="1070" spans="2:2" x14ac:dyDescent="0.25">
      <c r="B1070" s="3"/>
    </row>
    <row r="1071" spans="2:2" x14ac:dyDescent="0.25">
      <c r="B1071" s="3"/>
    </row>
    <row r="1072" spans="2:2" x14ac:dyDescent="0.25">
      <c r="B1072" s="3"/>
    </row>
    <row r="1073" spans="2:2" x14ac:dyDescent="0.25">
      <c r="B1073" s="3"/>
    </row>
    <row r="1074" spans="2:2" x14ac:dyDescent="0.25">
      <c r="B1074" s="3"/>
    </row>
    <row r="1075" spans="2:2" x14ac:dyDescent="0.25">
      <c r="B1075" s="3"/>
    </row>
    <row r="1076" spans="2:2" x14ac:dyDescent="0.25">
      <c r="B1076" s="3"/>
    </row>
    <row r="1077" spans="2:2" x14ac:dyDescent="0.25">
      <c r="B1077" s="3"/>
    </row>
    <row r="1078" spans="2:2" x14ac:dyDescent="0.25">
      <c r="B1078" s="3"/>
    </row>
    <row r="1079" spans="2:2" x14ac:dyDescent="0.25">
      <c r="B1079" s="3"/>
    </row>
    <row r="1080" spans="2:2" x14ac:dyDescent="0.25">
      <c r="B1080" s="3"/>
    </row>
    <row r="1081" spans="2:2" x14ac:dyDescent="0.25">
      <c r="B1081" s="3"/>
    </row>
    <row r="1082" spans="2:2" x14ac:dyDescent="0.25">
      <c r="B1082" s="3"/>
    </row>
    <row r="1083" spans="2:2" x14ac:dyDescent="0.25">
      <c r="B1083" s="3"/>
    </row>
    <row r="1084" spans="2:2" x14ac:dyDescent="0.25">
      <c r="B1084" s="3"/>
    </row>
    <row r="1085" spans="2:2" x14ac:dyDescent="0.25">
      <c r="B1085" s="3"/>
    </row>
    <row r="1086" spans="2:2" x14ac:dyDescent="0.25">
      <c r="B1086" s="3"/>
    </row>
    <row r="1087" spans="2:2" x14ac:dyDescent="0.25">
      <c r="B1087" s="3"/>
    </row>
    <row r="1088" spans="2:2" x14ac:dyDescent="0.25">
      <c r="B1088" s="3"/>
    </row>
    <row r="1089" spans="2:2" x14ac:dyDescent="0.25">
      <c r="B1089" s="3"/>
    </row>
    <row r="1090" spans="2:2" x14ac:dyDescent="0.25">
      <c r="B1090" s="3"/>
    </row>
    <row r="1091" spans="2:2" x14ac:dyDescent="0.25">
      <c r="B1091" s="3"/>
    </row>
    <row r="1092" spans="2:2" x14ac:dyDescent="0.25">
      <c r="B1092" s="3"/>
    </row>
    <row r="1093" spans="2:2" x14ac:dyDescent="0.25">
      <c r="B1093" s="3"/>
    </row>
    <row r="1094" spans="2:2" x14ac:dyDescent="0.25">
      <c r="B1094" s="3"/>
    </row>
    <row r="1095" spans="2:2" x14ac:dyDescent="0.25">
      <c r="B1095" s="3"/>
    </row>
    <row r="1096" spans="2:2" x14ac:dyDescent="0.25">
      <c r="B1096" s="3"/>
    </row>
    <row r="1097" spans="2:2" x14ac:dyDescent="0.25">
      <c r="B1097" s="3"/>
    </row>
    <row r="1098" spans="2:2" x14ac:dyDescent="0.25">
      <c r="B1098" s="3"/>
    </row>
    <row r="1099" spans="2:2" x14ac:dyDescent="0.25">
      <c r="B1099" s="3"/>
    </row>
    <row r="1100" spans="2:2" x14ac:dyDescent="0.25">
      <c r="B1100" s="3"/>
    </row>
    <row r="1101" spans="2:2" x14ac:dyDescent="0.25">
      <c r="B1101" s="3"/>
    </row>
    <row r="1102" spans="2:2" x14ac:dyDescent="0.25">
      <c r="B1102" s="3"/>
    </row>
    <row r="1103" spans="2:2" x14ac:dyDescent="0.25">
      <c r="B1103" s="3"/>
    </row>
    <row r="1104" spans="2:2" x14ac:dyDescent="0.25">
      <c r="B1104" s="3"/>
    </row>
    <row r="1105" spans="1:2" x14ac:dyDescent="0.25">
      <c r="B1105" s="3"/>
    </row>
    <row r="1106" spans="1:2" x14ac:dyDescent="0.25">
      <c r="B1106" s="3"/>
    </row>
    <row r="1107" spans="1:2" x14ac:dyDescent="0.25">
      <c r="B1107" s="3"/>
    </row>
    <row r="1108" spans="1:2" x14ac:dyDescent="0.25">
      <c r="B1108" s="3"/>
    </row>
    <row r="1109" spans="1:2" x14ac:dyDescent="0.25">
      <c r="B1109" s="3"/>
    </row>
    <row r="1110" spans="1:2" x14ac:dyDescent="0.25">
      <c r="B1110" s="3"/>
    </row>
    <row r="1111" spans="1:2" x14ac:dyDescent="0.25">
      <c r="B1111" s="3"/>
    </row>
    <row r="1112" spans="1:2" x14ac:dyDescent="0.25">
      <c r="B1112" s="3"/>
    </row>
    <row r="1113" spans="1:2" x14ac:dyDescent="0.25">
      <c r="A1113" s="1" t="str">
        <f t="array" ref="A1113">IF(ISERROR(INDEX(List,MATCH(0,COUNTIF(List,"&lt;"&amp;List)-SUM(COUNTIF(List,$A$302:A1112)),0))),"",INDEX(List,MATCH(0,COUNTIF(List,"&lt;"&amp;List)-SUM(COUNTIF(List,$A$302:A1112),0))))</f>
        <v>[Account (Name)]</v>
      </c>
      <c r="B1113" s="3">
        <f>IF(A1113="","",MAX(B$302:B1112)+1)</f>
        <v>1</v>
      </c>
    </row>
    <row r="1114" spans="1:2" x14ac:dyDescent="0.25">
      <c r="A1114" s="1" t="str">
        <f t="array" ref="A1114">IF(ISERROR(INDEX(List,MATCH(0,COUNTIF(List,"&lt;"&amp;List)-SUM(COUNTIF(List,$A$302:A1113)),0))),"",INDEX(List,MATCH(0,COUNTIF(List,"&lt;"&amp;List)-SUM(COUNTIF(List,$A$302:A1113),0))))</f>
        <v>[Account (Name)]</v>
      </c>
      <c r="B1114" s="3">
        <f>IF(A1114="","",MAX(B$302:B1113)+1)</f>
        <v>2</v>
      </c>
    </row>
    <row r="1115" spans="1:2" x14ac:dyDescent="0.25">
      <c r="A1115" s="1" t="str">
        <f t="array" ref="A1115">IF(ISERROR(INDEX(List,MATCH(0,COUNTIF(List,"&lt;"&amp;List)-SUM(COUNTIF(List,$A$302:A1114)),0))),"",INDEX(List,MATCH(0,COUNTIF(List,"&lt;"&amp;List)-SUM(COUNTIF(List,$A$302:A1114),0))))</f>
        <v>[Account (Name)]</v>
      </c>
      <c r="B1115" s="3">
        <f>IF(A1115="","",MAX(B$302:B1114)+1)</f>
        <v>3</v>
      </c>
    </row>
    <row r="1116" spans="1:2" x14ac:dyDescent="0.25">
      <c r="A1116" s="1" t="str">
        <f t="array" ref="A1116">IF(ISERROR(INDEX(List,MATCH(0,COUNTIF(List,"&lt;"&amp;List)-SUM(COUNTIF(List,$A$302:A1115)),0))),"",INDEX(List,MATCH(0,COUNTIF(List,"&lt;"&amp;List)-SUM(COUNTIF(List,$A$302:A1115),0))))</f>
        <v>United Nations Development Programme</v>
      </c>
      <c r="B1116" s="3">
        <f>IF(A1116="","",MAX(B$302:B1115)+1)</f>
        <v>4</v>
      </c>
    </row>
  </sheetData>
  <sheetProtection selectLockedCells="1" selectUnlockedCells="1"/>
  <mergeCells count="2">
    <mergeCell ref="A1:D1"/>
    <mergeCell ref="A18:D18"/>
  </mergeCells>
  <dataValidations count="1">
    <dataValidation type="custom" allowBlank="1" showInputMessage="1" showErrorMessage="1" errorTitle="X-Author for Excel" error="Id and Lookup fields are not editable." promptTitle="X-Author for Excel" sqref="D20:D299 D3:E11">
      <formula1>""</formula1>
    </dataValidation>
  </dataValidations>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BE30"/>
  <sheetViews>
    <sheetView workbookViewId="0"/>
  </sheetViews>
  <sheetFormatPr defaultRowHeight="15.6" x14ac:dyDescent="0.3"/>
  <sheetData>
    <row r="1" spans="1:57" x14ac:dyDescent="0.3">
      <c r="A1" s="4" t="s">
        <v>6982</v>
      </c>
      <c r="B1" t="s">
        <v>6983</v>
      </c>
      <c r="Y1" t="s">
        <v>6984</v>
      </c>
      <c r="Z1" t="s">
        <v>6985</v>
      </c>
      <c r="AA1" t="s">
        <v>6986</v>
      </c>
      <c r="AB1" t="s">
        <v>6987</v>
      </c>
      <c r="AC1" t="s">
        <v>6988</v>
      </c>
      <c r="AD1" t="s">
        <v>6989</v>
      </c>
      <c r="AE1" t="s">
        <v>6990</v>
      </c>
      <c r="AF1" t="s">
        <v>6991</v>
      </c>
      <c r="AG1" t="s">
        <v>6992</v>
      </c>
      <c r="AH1" t="s">
        <v>6993</v>
      </c>
      <c r="AI1" t="s">
        <v>6994</v>
      </c>
      <c r="AJ1" t="s">
        <v>6995</v>
      </c>
      <c r="AK1" t="s">
        <v>6996</v>
      </c>
      <c r="AL1" t="s">
        <v>6997</v>
      </c>
      <c r="AM1" t="s">
        <v>6998</v>
      </c>
      <c r="AN1" t="s">
        <v>6999</v>
      </c>
      <c r="AO1" t="s">
        <v>7000</v>
      </c>
      <c r="AP1" t="s">
        <v>7001</v>
      </c>
      <c r="AQ1" t="s">
        <v>7002</v>
      </c>
      <c r="AR1" t="s">
        <v>7003</v>
      </c>
      <c r="AS1" t="s">
        <v>7004</v>
      </c>
      <c r="AT1" t="s">
        <v>7005</v>
      </c>
      <c r="AU1" t="s">
        <v>7006</v>
      </c>
      <c r="AV1" t="s">
        <v>7007</v>
      </c>
      <c r="AW1" t="s">
        <v>7008</v>
      </c>
      <c r="AX1" t="s">
        <v>7009</v>
      </c>
      <c r="AY1" t="s">
        <v>7010</v>
      </c>
      <c r="AZ1" t="s">
        <v>7011</v>
      </c>
      <c r="BA1" t="s">
        <v>7012</v>
      </c>
      <c r="BB1" t="s">
        <v>7013</v>
      </c>
      <c r="BC1" t="s">
        <v>7014</v>
      </c>
      <c r="BD1" t="s">
        <v>7015</v>
      </c>
      <c r="BE1" t="s">
        <v>7016</v>
      </c>
    </row>
    <row r="2" spans="1:57" x14ac:dyDescent="0.3">
      <c r="Y2" s="13" t="s">
        <v>7017</v>
      </c>
      <c r="Z2" s="13" t="s">
        <v>7018</v>
      </c>
      <c r="AA2" s="13" t="s">
        <v>7019</v>
      </c>
      <c r="AB2" s="13" t="s">
        <v>7020</v>
      </c>
      <c r="AC2" s="13" t="s">
        <v>7021</v>
      </c>
      <c r="AD2" s="13" t="s">
        <v>7022</v>
      </c>
      <c r="AE2" s="13" t="s">
        <v>2182</v>
      </c>
      <c r="AF2" s="13" t="s">
        <v>639</v>
      </c>
      <c r="AG2" s="13" t="s">
        <v>7022</v>
      </c>
      <c r="AH2" s="13" t="s">
        <v>7022</v>
      </c>
      <c r="AI2" s="13" t="s">
        <v>7022</v>
      </c>
      <c r="AJ2" s="13" t="s">
        <v>639</v>
      </c>
      <c r="AK2" s="13" t="s">
        <v>7022</v>
      </c>
      <c r="AL2" s="13" t="s">
        <v>7022</v>
      </c>
      <c r="AM2" s="13" t="s">
        <v>7022</v>
      </c>
      <c r="AN2" s="13" t="s">
        <v>7022</v>
      </c>
      <c r="AO2" s="13" t="s">
        <v>639</v>
      </c>
      <c r="AP2" s="13" t="s">
        <v>7023</v>
      </c>
      <c r="AQ2" s="13" t="s">
        <v>7024</v>
      </c>
      <c r="AR2" s="13" t="s">
        <v>7024</v>
      </c>
      <c r="AS2" s="13" t="s">
        <v>7024</v>
      </c>
      <c r="AT2" s="13" t="s">
        <v>7024</v>
      </c>
      <c r="AU2" s="13" t="s">
        <v>7024</v>
      </c>
      <c r="AV2" s="13" t="s">
        <v>7024</v>
      </c>
      <c r="AW2" s="13" t="s">
        <v>7024</v>
      </c>
      <c r="AX2" s="13" t="s">
        <v>7024</v>
      </c>
      <c r="AY2" s="13" t="s">
        <v>624</v>
      </c>
      <c r="AZ2" s="13" t="s">
        <v>624</v>
      </c>
      <c r="BA2" s="13" t="s">
        <v>624</v>
      </c>
      <c r="BB2" s="13" t="s">
        <v>624</v>
      </c>
      <c r="BC2" s="13" t="s">
        <v>624</v>
      </c>
      <c r="BD2" s="13" t="s">
        <v>624</v>
      </c>
      <c r="BE2" s="13" t="s">
        <v>624</v>
      </c>
    </row>
    <row r="3" spans="1:57" x14ac:dyDescent="0.3">
      <c r="Y3" s="13" t="s">
        <v>7025</v>
      </c>
      <c r="Z3" s="13" t="s">
        <v>7026</v>
      </c>
      <c r="AB3" s="13" t="s">
        <v>7027</v>
      </c>
      <c r="AC3" s="13" t="s">
        <v>7028</v>
      </c>
      <c r="AD3" s="13" t="s">
        <v>7029</v>
      </c>
      <c r="AE3" s="13" t="s">
        <v>2274</v>
      </c>
      <c r="AG3" s="13" t="s">
        <v>7029</v>
      </c>
      <c r="AH3" s="13" t="s">
        <v>7029</v>
      </c>
      <c r="AI3" s="13" t="s">
        <v>7029</v>
      </c>
      <c r="AK3" s="13" t="s">
        <v>7029</v>
      </c>
      <c r="AL3" s="13" t="s">
        <v>7029</v>
      </c>
      <c r="AM3" s="13" t="s">
        <v>7029</v>
      </c>
      <c r="AN3" s="13" t="s">
        <v>7029</v>
      </c>
      <c r="AP3" s="13" t="s">
        <v>7030</v>
      </c>
      <c r="AQ3" s="13" t="s">
        <v>7031</v>
      </c>
      <c r="AR3" s="13" t="s">
        <v>7031</v>
      </c>
      <c r="AS3" s="13" t="s">
        <v>7031</v>
      </c>
      <c r="AT3" s="13" t="s">
        <v>7031</v>
      </c>
      <c r="AU3" s="13" t="s">
        <v>7031</v>
      </c>
      <c r="AV3" s="13" t="s">
        <v>7031</v>
      </c>
      <c r="AW3" s="13" t="s">
        <v>7031</v>
      </c>
      <c r="AX3" s="13" t="s">
        <v>7031</v>
      </c>
      <c r="AY3" s="13" t="s">
        <v>626</v>
      </c>
      <c r="AZ3" s="13" t="s">
        <v>626</v>
      </c>
      <c r="BA3" s="13" t="s">
        <v>626</v>
      </c>
      <c r="BB3" s="13" t="s">
        <v>626</v>
      </c>
      <c r="BC3" s="13" t="s">
        <v>626</v>
      </c>
      <c r="BD3" s="13" t="s">
        <v>626</v>
      </c>
      <c r="BE3" s="13" t="s">
        <v>626</v>
      </c>
    </row>
    <row r="4" spans="1:57" x14ac:dyDescent="0.3">
      <c r="Y4" s="13" t="s">
        <v>2211</v>
      </c>
      <c r="Z4" s="13" t="s">
        <v>2211</v>
      </c>
      <c r="AB4" s="13" t="s">
        <v>625</v>
      </c>
      <c r="AC4" s="13" t="s">
        <v>7032</v>
      </c>
      <c r="AD4" s="13" t="s">
        <v>7033</v>
      </c>
      <c r="AE4" s="13" t="s">
        <v>639</v>
      </c>
      <c r="AG4" s="13" t="s">
        <v>7033</v>
      </c>
      <c r="AH4" s="13" t="s">
        <v>7033</v>
      </c>
      <c r="AI4" s="13" t="s">
        <v>7033</v>
      </c>
      <c r="AK4" s="13" t="s">
        <v>7033</v>
      </c>
      <c r="AL4" s="13" t="s">
        <v>7033</v>
      </c>
      <c r="AM4" s="13" t="s">
        <v>7033</v>
      </c>
      <c r="AN4" s="13" t="s">
        <v>7033</v>
      </c>
      <c r="AP4" s="13" t="s">
        <v>7034</v>
      </c>
      <c r="AQ4" s="13" t="s">
        <v>7035</v>
      </c>
      <c r="AR4" s="13" t="s">
        <v>7035</v>
      </c>
      <c r="AS4" s="13" t="s">
        <v>7035</v>
      </c>
      <c r="AT4" s="13" t="s">
        <v>7035</v>
      </c>
      <c r="AU4" s="13" t="s">
        <v>7035</v>
      </c>
      <c r="AV4" s="13" t="s">
        <v>7035</v>
      </c>
      <c r="AW4" s="13" t="s">
        <v>7035</v>
      </c>
      <c r="AX4" s="13" t="s">
        <v>7035</v>
      </c>
      <c r="AY4" s="13" t="s">
        <v>628</v>
      </c>
      <c r="AZ4" s="13" t="s">
        <v>628</v>
      </c>
      <c r="BA4" s="13" t="s">
        <v>628</v>
      </c>
      <c r="BB4" s="13" t="s">
        <v>628</v>
      </c>
      <c r="BC4" s="13" t="s">
        <v>628</v>
      </c>
      <c r="BD4" s="13" t="s">
        <v>628</v>
      </c>
      <c r="BE4" s="13" t="s">
        <v>628</v>
      </c>
    </row>
    <row r="5" spans="1:57" x14ac:dyDescent="0.3">
      <c r="Y5" s="13" t="s">
        <v>258</v>
      </c>
      <c r="Z5" s="13" t="s">
        <v>258</v>
      </c>
      <c r="AB5" s="13" t="s">
        <v>629</v>
      </c>
      <c r="AC5" s="13" t="s">
        <v>626</v>
      </c>
      <c r="AD5" s="13" t="s">
        <v>7036</v>
      </c>
      <c r="AG5" s="13" t="s">
        <v>7036</v>
      </c>
      <c r="AH5" s="13" t="s">
        <v>7036</v>
      </c>
      <c r="AI5" s="13" t="s">
        <v>7036</v>
      </c>
      <c r="AK5" s="13" t="s">
        <v>7036</v>
      </c>
      <c r="AL5" s="13" t="s">
        <v>7036</v>
      </c>
      <c r="AM5" s="13" t="s">
        <v>7036</v>
      </c>
      <c r="AN5" s="13" t="s">
        <v>7036</v>
      </c>
      <c r="AP5" s="13" t="s">
        <v>7037</v>
      </c>
      <c r="AR5" s="13" t="s">
        <v>7038</v>
      </c>
      <c r="AS5" s="13" t="s">
        <v>7038</v>
      </c>
      <c r="AT5" s="13" t="s">
        <v>7038</v>
      </c>
      <c r="AU5" s="13" t="s">
        <v>7038</v>
      </c>
      <c r="AV5" s="13" t="s">
        <v>7038</v>
      </c>
      <c r="AW5" s="13" t="s">
        <v>7038</v>
      </c>
      <c r="AX5" s="13" t="s">
        <v>7038</v>
      </c>
      <c r="AY5" s="13" t="s">
        <v>7038</v>
      </c>
      <c r="AZ5" s="13" t="s">
        <v>7038</v>
      </c>
      <c r="BA5" s="13" t="s">
        <v>7038</v>
      </c>
      <c r="BB5" s="13" t="s">
        <v>7038</v>
      </c>
    </row>
    <row r="6" spans="1:57" x14ac:dyDescent="0.3">
      <c r="Y6" s="13" t="s">
        <v>1046</v>
      </c>
      <c r="Z6" s="13" t="s">
        <v>1046</v>
      </c>
      <c r="AB6" s="13" t="s">
        <v>627</v>
      </c>
      <c r="AC6" s="13" t="s">
        <v>628</v>
      </c>
      <c r="AD6" s="13" t="s">
        <v>7039</v>
      </c>
      <c r="AG6" s="13" t="s">
        <v>7039</v>
      </c>
      <c r="AH6" s="13" t="s">
        <v>7039</v>
      </c>
      <c r="AI6" s="13" t="s">
        <v>7039</v>
      </c>
      <c r="AK6" s="13" t="s">
        <v>7039</v>
      </c>
      <c r="AL6" s="13" t="s">
        <v>7039</v>
      </c>
      <c r="AM6" s="13" t="s">
        <v>7039</v>
      </c>
      <c r="AN6" s="13" t="s">
        <v>7039</v>
      </c>
    </row>
    <row r="7" spans="1:57" x14ac:dyDescent="0.3">
      <c r="Y7" s="13" t="s">
        <v>7040</v>
      </c>
      <c r="Z7" s="13" t="s">
        <v>7040</v>
      </c>
      <c r="AC7" s="13" t="s">
        <v>624</v>
      </c>
      <c r="AD7" s="13" t="s">
        <v>7041</v>
      </c>
      <c r="AG7" s="13" t="s">
        <v>7041</v>
      </c>
      <c r="AH7" s="13" t="s">
        <v>7041</v>
      </c>
      <c r="AI7" s="13" t="s">
        <v>7041</v>
      </c>
      <c r="AK7" s="13" t="s">
        <v>7041</v>
      </c>
      <c r="AL7" s="13" t="s">
        <v>7041</v>
      </c>
      <c r="AM7" s="13" t="s">
        <v>7041</v>
      </c>
      <c r="AN7" s="13" t="s">
        <v>7041</v>
      </c>
    </row>
    <row r="8" spans="1:57" x14ac:dyDescent="0.3">
      <c r="Y8" s="13" t="s">
        <v>7017</v>
      </c>
      <c r="Z8" s="13" t="s">
        <v>7018</v>
      </c>
      <c r="AC8" s="13" t="s">
        <v>7042</v>
      </c>
      <c r="AD8" s="13" t="s">
        <v>7043</v>
      </c>
      <c r="AG8" s="13" t="s">
        <v>7043</v>
      </c>
      <c r="AH8" s="13" t="s">
        <v>7043</v>
      </c>
      <c r="AI8" s="13" t="s">
        <v>7043</v>
      </c>
      <c r="AK8" s="13" t="s">
        <v>7043</v>
      </c>
      <c r="AL8" s="13" t="s">
        <v>7043</v>
      </c>
      <c r="AM8" s="13" t="s">
        <v>7043</v>
      </c>
      <c r="AN8" s="13" t="s">
        <v>7043</v>
      </c>
    </row>
    <row r="9" spans="1:57" x14ac:dyDescent="0.3">
      <c r="Y9" s="13" t="s">
        <v>7025</v>
      </c>
      <c r="Z9" s="13" t="s">
        <v>7026</v>
      </c>
      <c r="AD9" s="13" t="s">
        <v>7044</v>
      </c>
      <c r="AG9" s="13" t="s">
        <v>7044</v>
      </c>
      <c r="AH9" s="13" t="s">
        <v>7044</v>
      </c>
      <c r="AI9" s="13" t="s">
        <v>7044</v>
      </c>
      <c r="AK9" s="13" t="s">
        <v>7044</v>
      </c>
      <c r="AL9" s="13" t="s">
        <v>7044</v>
      </c>
      <c r="AM9" s="13" t="s">
        <v>7044</v>
      </c>
      <c r="AN9" s="13" t="s">
        <v>7044</v>
      </c>
    </row>
    <row r="10" spans="1:57" x14ac:dyDescent="0.3">
      <c r="Y10" s="13" t="s">
        <v>2211</v>
      </c>
      <c r="Z10" s="13" t="s">
        <v>2211</v>
      </c>
      <c r="AD10" s="13" t="s">
        <v>7045</v>
      </c>
      <c r="AG10" s="13" t="s">
        <v>7045</v>
      </c>
      <c r="AH10" s="13" t="s">
        <v>7045</v>
      </c>
      <c r="AI10" s="13" t="s">
        <v>7045</v>
      </c>
      <c r="AK10" s="13" t="s">
        <v>7045</v>
      </c>
      <c r="AL10" s="13" t="s">
        <v>7045</v>
      </c>
      <c r="AM10" s="13" t="s">
        <v>7045</v>
      </c>
      <c r="AN10" s="13" t="s">
        <v>7045</v>
      </c>
    </row>
    <row r="11" spans="1:57" x14ac:dyDescent="0.3">
      <c r="Y11" s="13" t="s">
        <v>258</v>
      </c>
      <c r="Z11" s="13" t="s">
        <v>258</v>
      </c>
      <c r="AD11" s="13" t="s">
        <v>7046</v>
      </c>
      <c r="AG11" s="13" t="s">
        <v>7046</v>
      </c>
      <c r="AH11" s="13" t="s">
        <v>7046</v>
      </c>
      <c r="AI11" s="13" t="s">
        <v>7046</v>
      </c>
      <c r="AK11" s="13" t="s">
        <v>7046</v>
      </c>
      <c r="AL11" s="13" t="s">
        <v>7046</v>
      </c>
      <c r="AM11" s="13" t="s">
        <v>7046</v>
      </c>
      <c r="AN11" s="13" t="s">
        <v>7046</v>
      </c>
    </row>
    <row r="12" spans="1:57" x14ac:dyDescent="0.3">
      <c r="Y12" s="13" t="s">
        <v>1046</v>
      </c>
      <c r="Z12" s="13" t="s">
        <v>1046</v>
      </c>
      <c r="AD12" s="13" t="s">
        <v>7047</v>
      </c>
      <c r="AG12" s="13" t="s">
        <v>7047</v>
      </c>
      <c r="AH12" s="13" t="s">
        <v>7047</v>
      </c>
      <c r="AI12" s="13" t="s">
        <v>7047</v>
      </c>
      <c r="AK12" s="13" t="s">
        <v>7047</v>
      </c>
      <c r="AL12" s="13" t="s">
        <v>7047</v>
      </c>
      <c r="AM12" s="13" t="s">
        <v>7047</v>
      </c>
      <c r="AN12" s="13" t="s">
        <v>7047</v>
      </c>
    </row>
    <row r="13" spans="1:57" x14ac:dyDescent="0.3">
      <c r="Y13" s="13" t="s">
        <v>7040</v>
      </c>
      <c r="Z13" s="13" t="s">
        <v>7040</v>
      </c>
      <c r="AD13" s="13" t="s">
        <v>7048</v>
      </c>
      <c r="AG13" s="13" t="s">
        <v>7048</v>
      </c>
      <c r="AH13" s="13" t="s">
        <v>7048</v>
      </c>
      <c r="AI13" s="13" t="s">
        <v>7048</v>
      </c>
      <c r="AK13" s="13" t="s">
        <v>7048</v>
      </c>
      <c r="AL13" s="13" t="s">
        <v>7048</v>
      </c>
      <c r="AM13" s="13" t="s">
        <v>7048</v>
      </c>
      <c r="AN13" s="13" t="s">
        <v>7048</v>
      </c>
    </row>
    <row r="14" spans="1:57" x14ac:dyDescent="0.3">
      <c r="AD14" s="13" t="s">
        <v>7049</v>
      </c>
      <c r="AG14" s="13" t="s">
        <v>7049</v>
      </c>
      <c r="AH14" s="13" t="s">
        <v>7049</v>
      </c>
      <c r="AI14" s="13" t="s">
        <v>7049</v>
      </c>
      <c r="AK14" s="13" t="s">
        <v>7049</v>
      </c>
      <c r="AL14" s="13" t="s">
        <v>7049</v>
      </c>
      <c r="AM14" s="13" t="s">
        <v>7049</v>
      </c>
      <c r="AN14" s="13" t="s">
        <v>7049</v>
      </c>
    </row>
    <row r="15" spans="1:57" x14ac:dyDescent="0.3">
      <c r="AD15" s="13" t="s">
        <v>7050</v>
      </c>
      <c r="AG15" s="13" t="s">
        <v>7050</v>
      </c>
      <c r="AH15" s="13" t="s">
        <v>7050</v>
      </c>
      <c r="AI15" s="13" t="s">
        <v>7050</v>
      </c>
      <c r="AK15" s="13" t="s">
        <v>7050</v>
      </c>
      <c r="AL15" s="13" t="s">
        <v>7050</v>
      </c>
      <c r="AM15" s="13" t="s">
        <v>7050</v>
      </c>
      <c r="AN15" s="13" t="s">
        <v>7050</v>
      </c>
    </row>
    <row r="16" spans="1:57" x14ac:dyDescent="0.3">
      <c r="AD16" s="13" t="s">
        <v>7051</v>
      </c>
      <c r="AG16" s="13" t="s">
        <v>7051</v>
      </c>
      <c r="AH16" s="13" t="s">
        <v>7051</v>
      </c>
      <c r="AI16" s="13" t="s">
        <v>7051</v>
      </c>
      <c r="AK16" s="13" t="s">
        <v>7051</v>
      </c>
      <c r="AL16" s="13" t="s">
        <v>7051</v>
      </c>
      <c r="AM16" s="13" t="s">
        <v>7051</v>
      </c>
      <c r="AN16" s="13" t="s">
        <v>7051</v>
      </c>
    </row>
    <row r="17" spans="30:40" x14ac:dyDescent="0.3">
      <c r="AD17" s="13" t="s">
        <v>7052</v>
      </c>
      <c r="AG17" s="13" t="s">
        <v>7052</v>
      </c>
      <c r="AH17" s="13" t="s">
        <v>7052</v>
      </c>
      <c r="AI17" s="13" t="s">
        <v>7052</v>
      </c>
      <c r="AK17" s="13" t="s">
        <v>7052</v>
      </c>
      <c r="AL17" s="13" t="s">
        <v>7052</v>
      </c>
      <c r="AM17" s="13" t="s">
        <v>7052</v>
      </c>
      <c r="AN17" s="13" t="s">
        <v>7052</v>
      </c>
    </row>
    <row r="18" spans="30:40" x14ac:dyDescent="0.3">
      <c r="AD18" s="13" t="s">
        <v>7053</v>
      </c>
      <c r="AG18" s="13" t="s">
        <v>7053</v>
      </c>
      <c r="AH18" s="13" t="s">
        <v>7053</v>
      </c>
      <c r="AI18" s="13" t="s">
        <v>7053</v>
      </c>
      <c r="AK18" s="13" t="s">
        <v>7053</v>
      </c>
      <c r="AL18" s="13" t="s">
        <v>7053</v>
      </c>
      <c r="AM18" s="13" t="s">
        <v>7053</v>
      </c>
      <c r="AN18" s="13" t="s">
        <v>7053</v>
      </c>
    </row>
    <row r="19" spans="30:40" x14ac:dyDescent="0.3">
      <c r="AD19" s="13" t="s">
        <v>7054</v>
      </c>
      <c r="AG19" s="13" t="s">
        <v>7054</v>
      </c>
      <c r="AH19" s="13" t="s">
        <v>7054</v>
      </c>
      <c r="AI19" s="13" t="s">
        <v>7054</v>
      </c>
      <c r="AK19" s="13" t="s">
        <v>7054</v>
      </c>
      <c r="AL19" s="13" t="s">
        <v>7054</v>
      </c>
      <c r="AM19" s="13" t="s">
        <v>7054</v>
      </c>
      <c r="AN19" s="13" t="s">
        <v>7054</v>
      </c>
    </row>
    <row r="20" spans="30:40" x14ac:dyDescent="0.3">
      <c r="AD20" s="13" t="s">
        <v>7055</v>
      </c>
      <c r="AG20" s="13" t="s">
        <v>7055</v>
      </c>
      <c r="AH20" s="13" t="s">
        <v>7055</v>
      </c>
      <c r="AI20" s="13" t="s">
        <v>7055</v>
      </c>
      <c r="AK20" s="13" t="s">
        <v>7055</v>
      </c>
      <c r="AL20" s="13" t="s">
        <v>7055</v>
      </c>
      <c r="AM20" s="13" t="s">
        <v>7055</v>
      </c>
      <c r="AN20" s="13" t="s">
        <v>7055</v>
      </c>
    </row>
    <row r="21" spans="30:40" x14ac:dyDescent="0.3">
      <c r="AD21" s="13" t="s">
        <v>7056</v>
      </c>
      <c r="AG21" s="13" t="s">
        <v>7056</v>
      </c>
      <c r="AH21" s="13" t="s">
        <v>7056</v>
      </c>
      <c r="AI21" s="13" t="s">
        <v>7056</v>
      </c>
      <c r="AK21" s="13" t="s">
        <v>7056</v>
      </c>
      <c r="AL21" s="13" t="s">
        <v>7056</v>
      </c>
      <c r="AM21" s="13" t="s">
        <v>7056</v>
      </c>
      <c r="AN21" s="13" t="s">
        <v>7056</v>
      </c>
    </row>
    <row r="22" spans="30:40" x14ac:dyDescent="0.3">
      <c r="AD22" s="13" t="s">
        <v>7057</v>
      </c>
      <c r="AG22" s="13" t="s">
        <v>7057</v>
      </c>
      <c r="AH22" s="13" t="s">
        <v>7057</v>
      </c>
      <c r="AI22" s="13" t="s">
        <v>7057</v>
      </c>
      <c r="AK22" s="13" t="s">
        <v>7057</v>
      </c>
      <c r="AL22" s="13" t="s">
        <v>7057</v>
      </c>
      <c r="AM22" s="13" t="s">
        <v>7057</v>
      </c>
      <c r="AN22" s="13" t="s">
        <v>7057</v>
      </c>
    </row>
    <row r="23" spans="30:40" x14ac:dyDescent="0.3">
      <c r="AD23" s="13" t="s">
        <v>7058</v>
      </c>
      <c r="AG23" s="13" t="s">
        <v>7058</v>
      </c>
      <c r="AH23" s="13" t="s">
        <v>7058</v>
      </c>
      <c r="AI23" s="13" t="s">
        <v>7058</v>
      </c>
      <c r="AK23" s="13" t="s">
        <v>7058</v>
      </c>
      <c r="AL23" s="13" t="s">
        <v>7058</v>
      </c>
      <c r="AM23" s="13" t="s">
        <v>7058</v>
      </c>
      <c r="AN23" s="13" t="s">
        <v>7058</v>
      </c>
    </row>
    <row r="24" spans="30:40" x14ac:dyDescent="0.3">
      <c r="AD24" s="13" t="s">
        <v>7059</v>
      </c>
      <c r="AG24" s="13" t="s">
        <v>7059</v>
      </c>
      <c r="AH24" s="13" t="s">
        <v>7059</v>
      </c>
      <c r="AI24" s="13" t="s">
        <v>7059</v>
      </c>
      <c r="AK24" s="13" t="s">
        <v>7059</v>
      </c>
      <c r="AL24" s="13" t="s">
        <v>7059</v>
      </c>
      <c r="AM24" s="13" t="s">
        <v>7059</v>
      </c>
      <c r="AN24" s="13" t="s">
        <v>7059</v>
      </c>
    </row>
    <row r="25" spans="30:40" x14ac:dyDescent="0.3">
      <c r="AD25" s="13" t="s">
        <v>7060</v>
      </c>
      <c r="AG25" s="13" t="s">
        <v>7060</v>
      </c>
      <c r="AH25" s="13" t="s">
        <v>7060</v>
      </c>
      <c r="AI25" s="13" t="s">
        <v>7060</v>
      </c>
      <c r="AK25" s="13" t="s">
        <v>7060</v>
      </c>
      <c r="AL25" s="13" t="s">
        <v>7060</v>
      </c>
      <c r="AM25" s="13" t="s">
        <v>7060</v>
      </c>
      <c r="AN25" s="13" t="s">
        <v>7060</v>
      </c>
    </row>
    <row r="26" spans="30:40" x14ac:dyDescent="0.3">
      <c r="AD26" s="13" t="s">
        <v>7061</v>
      </c>
      <c r="AG26" s="13" t="s">
        <v>7061</v>
      </c>
      <c r="AH26" s="13" t="s">
        <v>7061</v>
      </c>
      <c r="AI26" s="13" t="s">
        <v>7061</v>
      </c>
      <c r="AK26" s="13" t="s">
        <v>7061</v>
      </c>
      <c r="AL26" s="13" t="s">
        <v>7061</v>
      </c>
      <c r="AM26" s="13" t="s">
        <v>7061</v>
      </c>
      <c r="AN26" s="13" t="s">
        <v>7061</v>
      </c>
    </row>
    <row r="27" spans="30:40" x14ac:dyDescent="0.3">
      <c r="AD27" s="13" t="s">
        <v>7062</v>
      </c>
      <c r="AG27" s="13" t="s">
        <v>7062</v>
      </c>
      <c r="AH27" s="13" t="s">
        <v>7062</v>
      </c>
      <c r="AI27" s="13" t="s">
        <v>7062</v>
      </c>
      <c r="AK27" s="13" t="s">
        <v>7062</v>
      </c>
      <c r="AL27" s="13" t="s">
        <v>7062</v>
      </c>
      <c r="AM27" s="13" t="s">
        <v>7062</v>
      </c>
      <c r="AN27" s="13" t="s">
        <v>7062</v>
      </c>
    </row>
    <row r="28" spans="30:40" x14ac:dyDescent="0.3">
      <c r="AD28" s="13" t="s">
        <v>7063</v>
      </c>
      <c r="AG28" s="13" t="s">
        <v>7063</v>
      </c>
      <c r="AH28" s="13" t="s">
        <v>7063</v>
      </c>
      <c r="AI28" s="13" t="s">
        <v>7063</v>
      </c>
      <c r="AK28" s="13" t="s">
        <v>7063</v>
      </c>
      <c r="AL28" s="13" t="s">
        <v>7063</v>
      </c>
      <c r="AM28" s="13" t="s">
        <v>7063</v>
      </c>
      <c r="AN28" s="13" t="s">
        <v>7063</v>
      </c>
    </row>
    <row r="29" spans="30:40" x14ac:dyDescent="0.3">
      <c r="AD29" s="13" t="s">
        <v>7064</v>
      </c>
      <c r="AG29" s="13" t="s">
        <v>7064</v>
      </c>
      <c r="AH29" s="13" t="s">
        <v>7064</v>
      </c>
      <c r="AI29" s="13" t="s">
        <v>7064</v>
      </c>
      <c r="AK29" s="13" t="s">
        <v>7064</v>
      </c>
      <c r="AL29" s="13" t="s">
        <v>7064</v>
      </c>
      <c r="AM29" s="13" t="s">
        <v>7064</v>
      </c>
      <c r="AN29" s="13" t="s">
        <v>7064</v>
      </c>
    </row>
    <row r="30" spans="30:40" x14ac:dyDescent="0.3">
      <c r="AD30" s="13" t="s">
        <v>7065</v>
      </c>
      <c r="AG30" s="13" t="s">
        <v>7065</v>
      </c>
      <c r="AH30" s="13" t="s">
        <v>7065</v>
      </c>
      <c r="AI30" s="13" t="s">
        <v>7065</v>
      </c>
      <c r="AK30" s="13" t="s">
        <v>7065</v>
      </c>
      <c r="AL30" s="13" t="s">
        <v>7065</v>
      </c>
      <c r="AM30" s="13" t="s">
        <v>7065</v>
      </c>
      <c r="AN30" s="13" t="s">
        <v>7065</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3073" r:id="rId4">
          <objectPr defaultSize="0" r:id="rId5">
            <anchor moveWithCells="1">
              <from>
                <xdr:col>0</xdr:col>
                <xdr:colOff>0</xdr:colOff>
                <xdr:row>0</xdr:row>
                <xdr:rowOff>0</xdr:rowOff>
              </from>
              <to>
                <xdr:col>6</xdr:col>
                <xdr:colOff>472440</xdr:colOff>
                <xdr:row>2</xdr:row>
                <xdr:rowOff>137160</xdr:rowOff>
              </to>
            </anchor>
          </objectPr>
        </oleObject>
      </mc:Choice>
      <mc:Fallback>
        <oleObject progId="Packager Shell Object" dvAspect="DVASPECT_ICON" shapeId="3073" r:id="rId4"/>
      </mc:Fallback>
    </mc:AlternateContent>
    <mc:AlternateContent xmlns:mc="http://schemas.openxmlformats.org/markup-compatibility/2006">
      <mc:Choice Requires="x14">
        <oleObject progId="Packager Shell Object" dvAspect="DVASPECT_ICON" shapeId="3074" r:id="rId6">
          <objectPr defaultSize="0" r:id="rId7">
            <anchor moveWithCells="1">
              <from>
                <xdr:col>0</xdr:col>
                <xdr:colOff>0</xdr:colOff>
                <xdr:row>0</xdr:row>
                <xdr:rowOff>0</xdr:rowOff>
              </from>
              <to>
                <xdr:col>0</xdr:col>
                <xdr:colOff>571500</xdr:colOff>
                <xdr:row>2</xdr:row>
                <xdr:rowOff>137160</xdr:rowOff>
              </to>
            </anchor>
          </objectPr>
        </oleObject>
      </mc:Choice>
      <mc:Fallback>
        <oleObject progId="Packager Shell Object" dvAspect="DVASPECT_ICON" shapeId="3074" r:id="rId6"/>
      </mc:Fallback>
    </mc:AlternateContent>
    <mc:AlternateContent xmlns:mc="http://schemas.openxmlformats.org/markup-compatibility/2006">
      <mc:Choice Requires="x14">
        <oleObject progId="Packager Shell Object" dvAspect="DVASPECT_ICON" shapeId="3075" r:id="rId8">
          <objectPr defaultSize="0" r:id="rId9">
            <anchor moveWithCells="1">
              <from>
                <xdr:col>0</xdr:col>
                <xdr:colOff>0</xdr:colOff>
                <xdr:row>0</xdr:row>
                <xdr:rowOff>0</xdr:rowOff>
              </from>
              <to>
                <xdr:col>1</xdr:col>
                <xdr:colOff>335280</xdr:colOff>
                <xdr:row>2</xdr:row>
                <xdr:rowOff>137160</xdr:rowOff>
              </to>
            </anchor>
          </objectPr>
        </oleObject>
      </mc:Choice>
      <mc:Fallback>
        <oleObject progId="Packager Shell Object" dvAspect="DVASPECT_ICON" shapeId="3075" r:id="rId8"/>
      </mc:Fallback>
    </mc:AlternateContent>
    <mc:AlternateContent xmlns:mc="http://schemas.openxmlformats.org/markup-compatibility/2006">
      <mc:Choice Requires="x14">
        <oleObject progId="Packager Shell Object" dvAspect="DVASPECT_ICON" shapeId="3076" r:id="rId10">
          <objectPr defaultSize="0" r:id="rId11">
            <anchor moveWithCells="1">
              <from>
                <xdr:col>0</xdr:col>
                <xdr:colOff>0</xdr:colOff>
                <xdr:row>0</xdr:row>
                <xdr:rowOff>0</xdr:rowOff>
              </from>
              <to>
                <xdr:col>1</xdr:col>
                <xdr:colOff>281940</xdr:colOff>
                <xdr:row>2</xdr:row>
                <xdr:rowOff>137160</xdr:rowOff>
              </to>
            </anchor>
          </objectPr>
        </oleObject>
      </mc:Choice>
      <mc:Fallback>
        <oleObject progId="Packager Shell Object" dvAspect="DVASPECT_ICON" shapeId="3076"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E14"/>
  <sheetViews>
    <sheetView topLeftCell="A5" zoomScale="70" zoomScaleNormal="70" workbookViewId="0">
      <selection activeCell="E8" sqref="E8"/>
    </sheetView>
  </sheetViews>
  <sheetFormatPr defaultRowHeight="15.6" x14ac:dyDescent="0.3"/>
  <cols>
    <col min="1" max="2" width="16.59765625" customWidth="1"/>
    <col min="3" max="3" width="36.59765625" customWidth="1"/>
    <col min="4" max="4" width="17.09765625" customWidth="1"/>
    <col min="5" max="5" width="26.09765625" bestFit="1" customWidth="1"/>
  </cols>
  <sheetData>
    <row r="1" spans="1:5" x14ac:dyDescent="0.3">
      <c r="A1" s="5" t="s">
        <v>579</v>
      </c>
      <c r="B1" s="5" t="s">
        <v>580</v>
      </c>
      <c r="C1" s="5" t="s">
        <v>581</v>
      </c>
      <c r="D1" s="5" t="s">
        <v>582</v>
      </c>
      <c r="E1" s="5" t="s">
        <v>583</v>
      </c>
    </row>
    <row r="2" spans="1:5" ht="118.5" customHeight="1" x14ac:dyDescent="0.3">
      <c r="A2" s="7">
        <v>6</v>
      </c>
      <c r="B2" s="8">
        <v>43308</v>
      </c>
      <c r="C2" s="6" t="s">
        <v>584</v>
      </c>
      <c r="D2" s="5" t="s">
        <v>585</v>
      </c>
      <c r="E2" s="5" t="s">
        <v>586</v>
      </c>
    </row>
    <row r="3" spans="1:5" ht="28.8" x14ac:dyDescent="0.3">
      <c r="A3" s="5">
        <v>7</v>
      </c>
      <c r="B3" s="9">
        <v>43328</v>
      </c>
      <c r="C3" s="402" t="s">
        <v>587</v>
      </c>
      <c r="D3" s="5"/>
      <c r="E3" s="5"/>
    </row>
    <row r="4" spans="1:5" ht="249.6" x14ac:dyDescent="0.3">
      <c r="A4" s="403" t="s">
        <v>588</v>
      </c>
      <c r="B4" s="9">
        <v>44140</v>
      </c>
      <c r="C4" s="22" t="s">
        <v>589</v>
      </c>
      <c r="D4" s="403" t="s">
        <v>590</v>
      </c>
      <c r="E4" s="403" t="s">
        <v>591</v>
      </c>
    </row>
    <row r="5" spans="1:5" ht="43.2" x14ac:dyDescent="0.3">
      <c r="A5" s="403" t="s">
        <v>588</v>
      </c>
      <c r="B5" s="9">
        <v>44012</v>
      </c>
      <c r="C5" s="6" t="s">
        <v>592</v>
      </c>
      <c r="D5" s="403" t="s">
        <v>593</v>
      </c>
      <c r="E5" s="403" t="s">
        <v>594</v>
      </c>
    </row>
    <row r="6" spans="1:5" ht="144" x14ac:dyDescent="0.3">
      <c r="A6" s="403" t="s">
        <v>595</v>
      </c>
      <c r="B6" s="9">
        <v>44214</v>
      </c>
      <c r="C6" s="402" t="s">
        <v>596</v>
      </c>
      <c r="D6" s="403" t="s">
        <v>597</v>
      </c>
      <c r="E6" s="403" t="s">
        <v>598</v>
      </c>
    </row>
    <row r="7" spans="1:5" ht="86.4" x14ac:dyDescent="0.3">
      <c r="A7" s="403" t="s">
        <v>599</v>
      </c>
      <c r="B7" s="29">
        <v>44777</v>
      </c>
      <c r="C7" s="402" t="s">
        <v>600</v>
      </c>
      <c r="D7" s="403" t="s">
        <v>593</v>
      </c>
      <c r="E7" s="403" t="s">
        <v>601</v>
      </c>
    </row>
    <row r="8" spans="1:5" x14ac:dyDescent="0.3">
      <c r="A8" s="5"/>
      <c r="B8" s="5"/>
      <c r="C8" s="5"/>
      <c r="D8" s="5"/>
      <c r="E8" s="5"/>
    </row>
    <row r="9" spans="1:5" x14ac:dyDescent="0.3">
      <c r="A9" s="5"/>
      <c r="B9" s="5"/>
      <c r="C9" s="5"/>
      <c r="D9" s="5"/>
      <c r="E9" s="5"/>
    </row>
    <row r="10" spans="1:5" x14ac:dyDescent="0.3">
      <c r="A10" s="5"/>
      <c r="B10" s="5"/>
      <c r="C10" s="5"/>
      <c r="D10" s="5"/>
      <c r="E10" s="5"/>
    </row>
    <row r="11" spans="1:5" x14ac:dyDescent="0.3">
      <c r="A11" s="5"/>
      <c r="B11" s="5"/>
      <c r="C11" s="5"/>
      <c r="D11" s="5"/>
      <c r="E11" s="5"/>
    </row>
    <row r="12" spans="1:5" x14ac:dyDescent="0.3">
      <c r="A12" s="5"/>
      <c r="B12" s="5"/>
      <c r="C12" s="5"/>
      <c r="D12" s="5"/>
      <c r="E12" s="5"/>
    </row>
    <row r="13" spans="1:5" x14ac:dyDescent="0.3">
      <c r="A13" s="5"/>
      <c r="B13" s="5"/>
      <c r="C13" s="5"/>
      <c r="D13" s="5"/>
      <c r="E13" s="5"/>
    </row>
    <row r="14" spans="1:5" x14ac:dyDescent="0.3">
      <c r="A14" s="5"/>
      <c r="B14" s="5"/>
      <c r="C14" s="5"/>
      <c r="D14" s="5"/>
      <c r="E14" s="5"/>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Q174"/>
  <sheetViews>
    <sheetView topLeftCell="A30" workbookViewId="0">
      <selection activeCell="D49" sqref="D49"/>
    </sheetView>
  </sheetViews>
  <sheetFormatPr defaultRowHeight="15.6" x14ac:dyDescent="0.3"/>
  <cols>
    <col min="1" max="1" width="25.59765625" customWidth="1"/>
    <col min="4" max="4" width="17.09765625" customWidth="1"/>
    <col min="5" max="5" width="13.59765625" customWidth="1"/>
    <col min="6" max="6" width="16.09765625" customWidth="1"/>
    <col min="7" max="7" width="26.296875" customWidth="1"/>
    <col min="9" max="9" width="23.59765625" customWidth="1"/>
    <col min="12" max="12" width="27.796875" customWidth="1"/>
    <col min="14" max="14" width="24.296875" customWidth="1"/>
    <col min="16" max="16" width="24.09765625" customWidth="1"/>
    <col min="17" max="17" width="8.796875" customWidth="1"/>
  </cols>
  <sheetData>
    <row r="1" spans="1:17" x14ac:dyDescent="0.3">
      <c r="A1" t="s">
        <v>602</v>
      </c>
      <c r="B1" t="s">
        <v>603</v>
      </c>
      <c r="C1" t="s">
        <v>604</v>
      </c>
      <c r="D1" t="s">
        <v>605</v>
      </c>
      <c r="E1" t="s">
        <v>606</v>
      </c>
      <c r="F1" t="s">
        <v>607</v>
      </c>
      <c r="G1" t="s">
        <v>608</v>
      </c>
      <c r="H1" t="s">
        <v>609</v>
      </c>
      <c r="L1" t="s">
        <v>610</v>
      </c>
      <c r="N1" t="s">
        <v>611</v>
      </c>
      <c r="P1" t="s">
        <v>610</v>
      </c>
    </row>
    <row r="2" spans="1:17" x14ac:dyDescent="0.3">
      <c r="B2">
        <f>COUNTA(#REF!)-2</f>
        <v>-1</v>
      </c>
      <c r="C2">
        <f>COUNTA(#REF!)-2</f>
        <v>-1</v>
      </c>
      <c r="D2" s="13">
        <f>COUNTA(#REF!)-1</f>
        <v>0</v>
      </c>
      <c r="E2" s="13">
        <f>COUNTA(#REF!)-2</f>
        <v>-1</v>
      </c>
      <c r="F2" s="13">
        <f>COUNTA(#REF!)-1</f>
        <v>0</v>
      </c>
      <c r="G2" s="13">
        <f>COUNTA(#REF!)-1</f>
        <v>0</v>
      </c>
      <c r="H2">
        <f>COUNTA(#REF!)-2</f>
        <v>-1</v>
      </c>
      <c r="L2" t="str">
        <f t="array" ref="L2">IFERROR(INDEX(SectionAPopulation, MATCH(0, COUNTIF($L$1:L1, SectionAPopulation&amp;"") + IF(SectionAPopulation="",1,0), 0)), "")</f>
        <v/>
      </c>
      <c r="N2">
        <f>'update Helper'!X2</f>
        <v>180</v>
      </c>
      <c r="O2">
        <f ca="1">OFFSET('Overview - Section A'!$AK$124,MATCH(P2,'Overview - Section A'!$AN$124:$AN$175,0)-1,0,IF(COUNTIF('Overview - Section A'!$AN$124:$AN$175,P2)&gt;1,1,COUNTIF('Overview - Section A'!$AN$124:$AN$175,P2)),1)</f>
        <v>0</v>
      </c>
      <c r="P2" t="str">
        <f t="array" ref="P2">IFERROR(INDEX('Overview - Section A'!$AN$124:$AN$175, MATCH(0, COUNTIF($P$1:P1, 'Overview - Section A'!$AN$124:$AN$175&amp;"") + IF('Overview - Section A'!$AN$124:$AN$175="",1,0), 0)), "")</f>
        <v>0</v>
      </c>
      <c r="Q2" t="str">
        <f ca="1">OFFSET('Overview - Section A'!$AK$124,MATCH(P2,'Overview - Section A'!$AN$124:$AN$175,0)-1,1,IF(COUNTIF('Overview - Section A'!$AN$124:$AN$175,P2)&gt;1,1,COUNTIF('Overview - Section A'!$AN$124:$AN$175,P2)),1)</f>
        <v/>
      </c>
    </row>
    <row r="3" spans="1:17" x14ac:dyDescent="0.3">
      <c r="A3" t="s">
        <v>612</v>
      </c>
      <c r="B3">
        <f>B2*2</f>
        <v>-2</v>
      </c>
      <c r="C3">
        <f t="shared" ref="C3:G3" si="0">C2*2</f>
        <v>-2</v>
      </c>
      <c r="D3">
        <f t="shared" si="0"/>
        <v>0</v>
      </c>
      <c r="E3">
        <f t="shared" si="0"/>
        <v>-2</v>
      </c>
      <c r="F3">
        <f t="shared" si="0"/>
        <v>0</v>
      </c>
      <c r="G3">
        <f t="shared" si="0"/>
        <v>0</v>
      </c>
      <c r="L3" t="str">
        <f t="array" ref="L3">IFERROR(INDEX(SectionAPopulation, MATCH(0, COUNTIF($L$1:L2, SectionAPopulation&amp;"") + IF(SectionAPopulation="",1,0), 0)), "")</f>
        <v/>
      </c>
      <c r="O3" t="str">
        <f ca="1">OFFSET('Overview - Section A'!$AK$124,MATCH(P3,'Overview - Section A'!$AN$124:$AN$175,0)-1,0,IF(COUNTIF('Overview - Section A'!$AN$124:$AN$175,P3)&gt;1,1,COUNTIF('Overview - Section A'!$AN$124:$AN$175,P3)),1)</f>
        <v/>
      </c>
      <c r="P3" t="str">
        <f t="array" ref="P3">IFERROR(INDEX('Overview - Section A'!$AN$124:$AN$175, MATCH(0, COUNTIF($P$1:P2, 'Overview - Section A'!$AN$124:$AN$175&amp;"") + IF('Overview - Section A'!$AN$124:$AN$175="",1,0), 0)), "")</f>
        <v/>
      </c>
      <c r="Q3" t="str">
        <f ca="1">OFFSET('Overview - Section A'!$AK$124,MATCH(P3,'Overview - Section A'!$AN$124:$AN$175,0)-1,1,IF(COUNTIF('Overview - Section A'!$AN$124:$AN$175,P3)&gt;1,1,COUNTIF('Overview - Section A'!$AN$124:$AN$175,P3)),1)</f>
        <v/>
      </c>
    </row>
    <row r="4" spans="1:17" x14ac:dyDescent="0.3">
      <c r="L4" t="str">
        <f t="array" ref="L4">IFERROR(INDEX(SectionAPopulation, MATCH(0, COUNTIF($L$1:L3, SectionAPopulation&amp;"") + IF(SectionAPopulation="",1,0), 0)), "")</f>
        <v/>
      </c>
      <c r="O4" t="str">
        <f ca="1">OFFSET('Overview - Section A'!$AK$124,MATCH(P4,'Overview - Section A'!$AN$124:$AN$175,0)-1,0,IF(COUNTIF('Overview - Section A'!$AN$124:$AN$175,P4)&gt;1,1,COUNTIF('Overview - Section A'!$AN$124:$AN$175,P4)),1)</f>
        <v/>
      </c>
      <c r="P4" t="str">
        <f t="array" ref="P4">IFERROR(INDEX('Overview - Section A'!$AN$124:$AN$175, MATCH(0, COUNTIF($P$1:P3, 'Overview - Section A'!$AN$124:$AN$175&amp;"") + IF('Overview - Section A'!$AN$124:$AN$175="",1,0), 0)), "")</f>
        <v/>
      </c>
      <c r="Q4" t="str">
        <f ca="1">OFFSET('Overview - Section A'!$AK$124,MATCH(P4,'Overview - Section A'!$AN$124:$AN$175,0)-1,1,IF(COUNTIF('Overview - Section A'!$AN$124:$AN$175,P4)&gt;1,1,COUNTIF('Overview - Section A'!$AN$124:$AN$175,P4)),1)</f>
        <v/>
      </c>
    </row>
    <row r="5" spans="1:17" x14ac:dyDescent="0.3">
      <c r="A5" t="s">
        <v>613</v>
      </c>
      <c r="B5">
        <v>9</v>
      </c>
      <c r="L5" t="str">
        <f t="array" ref="L5">IFERROR(INDEX(SectionAPopulation, MATCH(0, COUNTIF($L$1:L4, SectionAPopulation&amp;"") + IF(SectionAPopulation="",1,0), 0)), "")</f>
        <v/>
      </c>
      <c r="O5" t="str">
        <f ca="1">OFFSET('Overview - Section A'!$AK$124,MATCH(P5,'Overview - Section A'!$AN$124:$AN$175,0)-1,0,IF(COUNTIF('Overview - Section A'!$AN$124:$AN$175,P5)&gt;1,1,COUNTIF('Overview - Section A'!$AN$124:$AN$175,P5)),1)</f>
        <v/>
      </c>
      <c r="P5" t="str">
        <f t="array" ref="P5">IFERROR(INDEX('Overview - Section A'!$AN$124:$AN$175, MATCH(0, COUNTIF($P$1:P4, 'Overview - Section A'!$AN$124:$AN$175&amp;"") + IF('Overview - Section A'!$AN$124:$AN$175="",1,0), 0)), "")</f>
        <v/>
      </c>
      <c r="Q5" t="str">
        <f ca="1">OFFSET('Overview - Section A'!$AK$124,MATCH(P5,'Overview - Section A'!$AN$124:$AN$175,0)-1,1,IF(COUNTIF('Overview - Section A'!$AN$124:$AN$175,P5)&gt;1,1,COUNTIF('Overview - Section A'!$AN$124:$AN$175,P5)),1)</f>
        <v/>
      </c>
    </row>
    <row r="6" spans="1:17" x14ac:dyDescent="0.3">
      <c r="A6" t="s">
        <v>614</v>
      </c>
      <c r="B6">
        <v>9</v>
      </c>
      <c r="L6" t="str">
        <f t="array" ref="L6">IFERROR(INDEX(SectionAPopulation, MATCH(0, COUNTIF($L$1:L5, SectionAPopulation&amp;"") + IF(SectionAPopulation="",1,0), 0)), "")</f>
        <v/>
      </c>
      <c r="O6" t="str">
        <f ca="1">OFFSET('Overview - Section A'!$AK$124,MATCH(P6,'Overview - Section A'!$AN$124:$AN$175,0)-1,0,IF(COUNTIF('Overview - Section A'!$AN$124:$AN$175,P6)&gt;1,1,COUNTIF('Overview - Section A'!$AN$124:$AN$175,P6)),1)</f>
        <v/>
      </c>
      <c r="P6" t="str">
        <f t="array" ref="P6">IFERROR(INDEX('Overview - Section A'!$AN$124:$AN$175, MATCH(0, COUNTIF($P$1:P5, 'Overview - Section A'!$AN$124:$AN$175&amp;"") + IF('Overview - Section A'!$AN$124:$AN$175="",1,0), 0)), "")</f>
        <v/>
      </c>
      <c r="Q6" t="str">
        <f ca="1">OFFSET('Overview - Section A'!$AK$124,MATCH(P6,'Overview - Section A'!$AN$124:$AN$175,0)-1,1,IF(COUNTIF('Overview - Section A'!$AN$124:$AN$175,P6)&gt;1,1,COUNTIF('Overview - Section A'!$AN$124:$AN$175,P6)),1)</f>
        <v/>
      </c>
    </row>
    <row r="7" spans="1:17" x14ac:dyDescent="0.3">
      <c r="A7" t="s">
        <v>615</v>
      </c>
      <c r="B7">
        <v>7</v>
      </c>
      <c r="L7" t="str">
        <f t="array" ref="L7">IFERROR(INDEX(SectionAPopulation, MATCH(0, COUNTIF($L$1:L6, SectionAPopulation&amp;"") + IF(SectionAPopulation="",1,0), 0)), "")</f>
        <v/>
      </c>
      <c r="O7" t="str">
        <f ca="1">OFFSET('Overview - Section A'!$AK$124,MATCH(P7,'Overview - Section A'!$AN$124:$AN$175,0)-1,0,IF(COUNTIF('Overview - Section A'!$AN$124:$AN$175,P7)&gt;1,1,COUNTIF('Overview - Section A'!$AN$124:$AN$175,P7)),1)</f>
        <v/>
      </c>
      <c r="P7" t="str">
        <f t="array" ref="P7">IFERROR(INDEX('Overview - Section A'!$AN$124:$AN$175, MATCH(0, COUNTIF($P$1:P6, 'Overview - Section A'!$AN$124:$AN$175&amp;"") + IF('Overview - Section A'!$AN$124:$AN$175="",1,0), 0)), "")</f>
        <v/>
      </c>
      <c r="Q7" t="str">
        <f ca="1">OFFSET('Overview - Section A'!$AK$124,MATCH(P7,'Overview - Section A'!$AN$124:$AN$175,0)-1,1,IF(COUNTIF('Overview - Section A'!$AN$124:$AN$175,P7)&gt;1,1,COUNTIF('Overview - Section A'!$AN$124:$AN$175,P7)),1)</f>
        <v/>
      </c>
    </row>
    <row r="8" spans="1:17" x14ac:dyDescent="0.3">
      <c r="A8" t="s">
        <v>616</v>
      </c>
      <c r="B8">
        <v>9</v>
      </c>
      <c r="L8" t="str">
        <f t="array" ref="L8">IFERROR(INDEX(SectionAPopulation, MATCH(0, COUNTIF($L$1:L7, SectionAPopulation&amp;"") + IF(SectionAPopulation="",1,0), 0)), "")</f>
        <v/>
      </c>
      <c r="O8" t="str">
        <f ca="1">OFFSET('Overview - Section A'!$AK$124,MATCH(P8,'Overview - Section A'!$AN$124:$AN$175,0)-1,0,IF(COUNTIF('Overview - Section A'!$AN$124:$AN$175,P8)&gt;1,1,COUNTIF('Overview - Section A'!$AN$124:$AN$175,P8)),1)</f>
        <v/>
      </c>
      <c r="P8" t="str">
        <f t="array" ref="P8">IFERROR(INDEX('Overview - Section A'!$AN$124:$AN$175, MATCH(0, COUNTIF($P$1:P7, 'Overview - Section A'!$AN$124:$AN$175&amp;"") + IF('Overview - Section A'!$AN$124:$AN$175="",1,0), 0)), "")</f>
        <v/>
      </c>
      <c r="Q8" t="str">
        <f ca="1">OFFSET('Overview - Section A'!$AK$124,MATCH(P8,'Overview - Section A'!$AN$124:$AN$175,0)-1,1,IF(COUNTIF('Overview - Section A'!$AN$124:$AN$175,P8)&gt;1,1,COUNTIF('Overview - Section A'!$AN$124:$AN$175,P8)),1)</f>
        <v/>
      </c>
    </row>
    <row r="9" spans="1:17" x14ac:dyDescent="0.3">
      <c r="A9" t="s">
        <v>617</v>
      </c>
      <c r="B9" s="13">
        <f>E2+B8+10</f>
        <v>18</v>
      </c>
      <c r="C9">
        <f>(B9-12)*2</f>
        <v>12</v>
      </c>
      <c r="L9" t="str">
        <f t="array" ref="L9">IFERROR(INDEX(SectionAPopulation, MATCH(0, COUNTIF($L$1:L8, SectionAPopulation&amp;"") + IF(SectionAPopulation="",1,0), 0)), "")</f>
        <v/>
      </c>
      <c r="O9" t="str">
        <f ca="1">OFFSET('Overview - Section A'!$AK$124,MATCH(P9,'Overview - Section A'!$AN$124:$AN$175,0)-1,0,IF(COUNTIF('Overview - Section A'!$AN$124:$AN$175,P9)&gt;1,1,COUNTIF('Overview - Section A'!$AN$124:$AN$175,P9)),1)</f>
        <v/>
      </c>
      <c r="P9" t="str">
        <f t="array" ref="P9">IFERROR(INDEX('Overview - Section A'!$AN$124:$AN$175, MATCH(0, COUNTIF($P$1:P8, 'Overview - Section A'!$AN$124:$AN$175&amp;"") + IF('Overview - Section A'!$AN$124:$AN$175="",1,0), 0)), "")</f>
        <v/>
      </c>
      <c r="Q9" t="str">
        <f ca="1">OFFSET('Overview - Section A'!$AK$124,MATCH(P9,'Overview - Section A'!$AN$124:$AN$175,0)-1,1,IF(COUNTIF('Overview - Section A'!$AN$124:$AN$175,P9)&gt;1,1,COUNTIF('Overview - Section A'!$AN$124:$AN$175,P9)),1)</f>
        <v/>
      </c>
    </row>
    <row r="10" spans="1:17" x14ac:dyDescent="0.3">
      <c r="A10" t="s">
        <v>618</v>
      </c>
      <c r="B10" s="13">
        <f>F2+B9+9</f>
        <v>27</v>
      </c>
      <c r="C10">
        <f>(B10-19)*2</f>
        <v>16</v>
      </c>
      <c r="L10" t="str">
        <f t="array" ref="L10">IFERROR(INDEX(SectionAPopulation, MATCH(0, COUNTIF($L$1:L9, SectionAPopulation&amp;"") + IF(SectionAPopulation="",1,0), 0)), "")</f>
        <v/>
      </c>
      <c r="O10" t="str">
        <f ca="1">OFFSET('Overview - Section A'!$AK$124,MATCH(P10,'Overview - Section A'!$AN$124:$AN$175,0)-1,0,IF(COUNTIF('Overview - Section A'!$AN$124:$AN$175,P10)&gt;1,1,COUNTIF('Overview - Section A'!$AN$124:$AN$175,P10)),1)</f>
        <v/>
      </c>
      <c r="P10" t="str">
        <f t="array" ref="P10">IFERROR(INDEX('Overview - Section A'!$AN$124:$AN$175, MATCH(0, COUNTIF($P$1:P9, 'Overview - Section A'!$AN$124:$AN$175&amp;"") + IF('Overview - Section A'!$AN$124:$AN$175="",1,0), 0)), "")</f>
        <v/>
      </c>
      <c r="Q10" t="str">
        <f ca="1">OFFSET('Overview - Section A'!$AK$124,MATCH(P10,'Overview - Section A'!$AN$124:$AN$175,0)-1,1,IF(COUNTIF('Overview - Section A'!$AN$124:$AN$175,P10)&gt;1,1,COUNTIF('Overview - Section A'!$AN$124:$AN$175,P10)),1)</f>
        <v/>
      </c>
    </row>
    <row r="11" spans="1:17" x14ac:dyDescent="0.3">
      <c r="A11" t="s">
        <v>619</v>
      </c>
      <c r="B11">
        <v>9</v>
      </c>
      <c r="L11" t="str">
        <f t="array" ref="L11">IFERROR(INDEX(SectionAPopulation, MATCH(0, COUNTIF($L$1:L10, SectionAPopulation&amp;"") + IF(SectionAPopulation="",1,0), 0)), "")</f>
        <v/>
      </c>
      <c r="O11" t="str">
        <f ca="1">OFFSET('Overview - Section A'!$AK$124,MATCH(P11,'Overview - Section A'!$AN$124:$AN$175,0)-1,0,IF(COUNTIF('Overview - Section A'!$AN$124:$AN$175,P11)&gt;1,1,COUNTIF('Overview - Section A'!$AN$124:$AN$175,P11)),1)</f>
        <v/>
      </c>
      <c r="P11" t="str">
        <f t="array" ref="P11">IFERROR(INDEX('Overview - Section A'!$AN$124:$AN$175, MATCH(0, COUNTIF($P$1:P10, 'Overview - Section A'!$AN$124:$AN$175&amp;"") + IF('Overview - Section A'!$AN$124:$AN$175="",1,0), 0)), "")</f>
        <v/>
      </c>
      <c r="Q11" t="str">
        <f ca="1">OFFSET('Overview - Section A'!$AK$124,MATCH(P11,'Overview - Section A'!$AN$124:$AN$175,0)-1,1,IF(COUNTIF('Overview - Section A'!$AN$124:$AN$175,P11)&gt;1,1,COUNTIF('Overview - Section A'!$AN$124:$AN$175,P11)),1)</f>
        <v/>
      </c>
    </row>
    <row r="12" spans="1:17" x14ac:dyDescent="0.3">
      <c r="L12" t="str">
        <f t="array" ref="L12">IFERROR(INDEX(SectionAPopulation, MATCH(0, COUNTIF($L$1:L11, SectionAPopulation&amp;"") + IF(SectionAPopulation="",1,0), 0)), "")</f>
        <v/>
      </c>
      <c r="O12" t="str">
        <f ca="1">OFFSET('Overview - Section A'!$AK$124,MATCH(P12,'Overview - Section A'!$AN$124:$AN$175,0)-1,0,IF(COUNTIF('Overview - Section A'!$AN$124:$AN$175,P12)&gt;1,1,COUNTIF('Overview - Section A'!$AN$124:$AN$175,P12)),1)</f>
        <v/>
      </c>
      <c r="P12" t="str">
        <f t="array" ref="P12">IFERROR(INDEX('Overview - Section A'!$AN$124:$AN$175, MATCH(0, COUNTIF($P$1:P11, 'Overview - Section A'!$AN$124:$AN$175&amp;"") + IF('Overview - Section A'!$AN$124:$AN$175="",1,0), 0)), "")</f>
        <v/>
      </c>
      <c r="Q12" t="str">
        <f ca="1">OFFSET('Overview - Section A'!$AK$124,MATCH(P12,'Overview - Section A'!$AN$124:$AN$175,0)-1,1,IF(COUNTIF('Overview - Section A'!$AN$124:$AN$175,P12)&gt;1,1,COUNTIF('Overview - Section A'!$AN$124:$AN$175,P12)),1)</f>
        <v/>
      </c>
    </row>
    <row r="13" spans="1:17" x14ac:dyDescent="0.3">
      <c r="L13" t="str">
        <f t="array" ref="L13">IFERROR(INDEX(SectionAPopulation, MATCH(0, COUNTIF($L$1:L12, SectionAPopulation&amp;"") + IF(SectionAPopulation="",1,0), 0)), "")</f>
        <v/>
      </c>
      <c r="O13" t="str">
        <f ca="1">OFFSET('Overview - Section A'!$AK$124,MATCH(P13,'Overview - Section A'!$AN$124:$AN$175,0)-1,0,IF(COUNTIF('Overview - Section A'!$AN$124:$AN$175,P13)&gt;1,1,COUNTIF('Overview - Section A'!$AN$124:$AN$175,P13)),1)</f>
        <v/>
      </c>
      <c r="P13" t="str">
        <f t="array" ref="P13">IFERROR(INDEX('Overview - Section A'!$AN$124:$AN$175, MATCH(0, COUNTIF($P$1:P12, 'Overview - Section A'!$AN$124:$AN$175&amp;"") + IF('Overview - Section A'!$AN$124:$AN$175="",1,0), 0)), "")</f>
        <v/>
      </c>
      <c r="Q13" t="str">
        <f ca="1">OFFSET('Overview - Section A'!$AK$124,MATCH(P13,'Overview - Section A'!$AN$124:$AN$175,0)-1,1,IF(COUNTIF('Overview - Section A'!$AN$124:$AN$175,P13)&gt;1,1,COUNTIF('Overview - Section A'!$AN$124:$AN$175,P13)),1)</f>
        <v/>
      </c>
    </row>
    <row r="14" spans="1:17" x14ac:dyDescent="0.3">
      <c r="A14" s="25" t="s">
        <v>620</v>
      </c>
      <c r="E14" t="s">
        <v>621</v>
      </c>
      <c r="G14" t="s">
        <v>622</v>
      </c>
      <c r="I14" t="s">
        <v>623</v>
      </c>
      <c r="L14" t="str">
        <f t="array" ref="L14">IFERROR(INDEX(SectionAPopulation, MATCH(0, COUNTIF($L$1:L13, SectionAPopulation&amp;"") + IF(SectionAPopulation="",1,0), 0)), "")</f>
        <v/>
      </c>
      <c r="O14" t="str">
        <f ca="1">OFFSET('Overview - Section A'!$AK$124,MATCH(P14,'Overview - Section A'!$AN$124:$AN$175,0)-1,0,IF(COUNTIF('Overview - Section A'!$AN$124:$AN$175,P14)&gt;1,1,COUNTIF('Overview - Section A'!$AN$124:$AN$175,P14)),1)</f>
        <v/>
      </c>
      <c r="P14" t="str">
        <f t="array" ref="P14">IFERROR(INDEX('Overview - Section A'!$AN$124:$AN$175, MATCH(0, COUNTIF($P$1:P13, 'Overview - Section A'!$AN$124:$AN$175&amp;"") + IF('Overview - Section A'!$AN$124:$AN$175="",1,0), 0)), "")</f>
        <v/>
      </c>
      <c r="Q14" t="str">
        <f ca="1">OFFSET('Overview - Section A'!$AK$124,MATCH(P14,'Overview - Section A'!$AN$124:$AN$175,0)-1,1,IF(COUNTIF('Overview - Section A'!$AN$124:$AN$175,P14)&gt;1,1,COUNTIF('Overview - Section A'!$AN$124:$AN$175,P14)),1)</f>
        <v/>
      </c>
    </row>
    <row r="15" spans="1:17" x14ac:dyDescent="0.3">
      <c r="E15" s="25" t="s">
        <v>624</v>
      </c>
      <c r="G15" s="25" t="str">
        <f ca="1">IF(OFFSET('Overview - Section A'!I$27,H15,0)&lt;&gt;"",OFFSET('Overview - Section A'!E$27,H15,0),"")</f>
        <v/>
      </c>
      <c r="H15">
        <v>1</v>
      </c>
      <c r="I15" t="str">
        <f ca="1">IFERROR(LOOKUP(2, 1/((COUNTIF(I$14:I14,$G$15:$G$41)=0)*($G$15:$G$41&lt;&gt;"")), $G$15:$G$41),"")</f>
        <v/>
      </c>
      <c r="L15" t="str">
        <f t="array" ref="L15">IFERROR(INDEX(SectionAPopulation, MATCH(0, COUNTIF($L$1:L14, SectionAPopulation&amp;"") + IF(SectionAPopulation="",1,0), 0)), "")</f>
        <v/>
      </c>
      <c r="O15" t="str">
        <f ca="1">OFFSET('Overview - Section A'!$AK$124,MATCH(P15,'Overview - Section A'!$AN$124:$AN$175,0)-1,0,IF(COUNTIF('Overview - Section A'!$AN$124:$AN$175,P15)&gt;1,1,COUNTIF('Overview - Section A'!$AN$124:$AN$175,P15)),1)</f>
        <v/>
      </c>
      <c r="P15" t="str">
        <f t="array" ref="P15">IFERROR(INDEX('Overview - Section A'!$AN$124:$AN$175, MATCH(0, COUNTIF($P$1:P14, 'Overview - Section A'!$AN$124:$AN$175&amp;"") + IF('Overview - Section A'!$AN$124:$AN$175="",1,0), 0)), "")</f>
        <v/>
      </c>
      <c r="Q15" t="str">
        <f ca="1">OFFSET('Overview - Section A'!$AK$124,MATCH(P15,'Overview - Section A'!$AN$124:$AN$175,0)-1,1,IF(COUNTIF('Overview - Section A'!$AN$124:$AN$175,P15)&gt;1,1,COUNTIF('Overview - Section A'!$AN$124:$AN$175,P15)),1)</f>
        <v/>
      </c>
    </row>
    <row r="16" spans="1:17" x14ac:dyDescent="0.3">
      <c r="A16" s="25" t="s">
        <v>625</v>
      </c>
      <c r="E16" s="25" t="s">
        <v>626</v>
      </c>
      <c r="G16" s="25" t="str">
        <f ca="1">IF(OFFSET('Overview - Section A'!I$27,H16,0)&lt;&gt;"",OFFSET('Overview - Section A'!E$27,H16,0),"")</f>
        <v/>
      </c>
      <c r="H16">
        <v>2</v>
      </c>
      <c r="I16" t="str">
        <f ca="1">IFERROR(LOOKUP(2, 1/((COUNTIF(I$14:I15,$G$15:$G$41)=0)*($G$15:$G$41&lt;&gt;"")), $G$15:$G$41),"")</f>
        <v/>
      </c>
      <c r="L16" t="str">
        <f t="array" ref="L16">IFERROR(INDEX(SectionAPopulation, MATCH(0, COUNTIF($L$1:L15, SectionAPopulation&amp;"") + IF(SectionAPopulation="",1,0), 0)), "")</f>
        <v/>
      </c>
      <c r="O16" t="str">
        <f ca="1">OFFSET('Overview - Section A'!$AK$124,MATCH(P16,'Overview - Section A'!$AN$124:$AN$175,0)-1,0,IF(COUNTIF('Overview - Section A'!$AN$124:$AN$175,P16)&gt;1,1,COUNTIF('Overview - Section A'!$AN$124:$AN$175,P16)),1)</f>
        <v/>
      </c>
      <c r="P16" t="str">
        <f t="array" ref="P16">IFERROR(INDEX('Overview - Section A'!$AN$124:$AN$175, MATCH(0, COUNTIF($P$1:P15, 'Overview - Section A'!$AN$124:$AN$175&amp;"") + IF('Overview - Section A'!$AN$124:$AN$175="",1,0), 0)), "")</f>
        <v/>
      </c>
      <c r="Q16" t="str">
        <f ca="1">OFFSET('Overview - Section A'!$AK$124,MATCH(P16,'Overview - Section A'!$AN$124:$AN$175,0)-1,1,IF(COUNTIF('Overview - Section A'!$AN$124:$AN$175,P16)&gt;1,1,COUNTIF('Overview - Section A'!$AN$124:$AN$175,P16)),1)</f>
        <v/>
      </c>
    </row>
    <row r="17" spans="1:17" x14ac:dyDescent="0.3">
      <c r="A17" s="25" t="s">
        <v>627</v>
      </c>
      <c r="E17" s="25" t="s">
        <v>628</v>
      </c>
      <c r="G17" s="25" t="str">
        <f ca="1">IF(OFFSET('Overview - Section A'!I$27,H17,0)&lt;&gt;"",OFFSET('Overview - Section A'!E$27,H17,0),"")</f>
        <v/>
      </c>
      <c r="H17">
        <v>3</v>
      </c>
      <c r="I17" t="str">
        <f ca="1">IFERROR(LOOKUP(2, 1/((COUNTIF(I$14:I16,$G$15:$G$41)=0)*($G$15:$G$41&lt;&gt;"")), $G$15:$G$41),"")</f>
        <v/>
      </c>
      <c r="L17" t="str">
        <f t="array" ref="L17">IFERROR(INDEX(SectionAPopulation, MATCH(0, COUNTIF($L$1:L16, SectionAPopulation&amp;"") + IF(SectionAPopulation="",1,0), 0)), "")</f>
        <v/>
      </c>
      <c r="O17" t="str">
        <f ca="1">OFFSET('Overview - Section A'!$AK$124,MATCH(P17,'Overview - Section A'!$AN$124:$AN$175,0)-1,0,IF(COUNTIF('Overview - Section A'!$AN$124:$AN$175,P17)&gt;1,1,COUNTIF('Overview - Section A'!$AN$124:$AN$175,P17)),1)</f>
        <v/>
      </c>
      <c r="P17" t="str">
        <f t="array" ref="P17">IFERROR(INDEX('Overview - Section A'!$AN$124:$AN$175, MATCH(0, COUNTIF($P$1:P16, 'Overview - Section A'!$AN$124:$AN$175&amp;"") + IF('Overview - Section A'!$AN$124:$AN$175="",1,0), 0)), "")</f>
        <v/>
      </c>
      <c r="Q17" t="str">
        <f ca="1">OFFSET('Overview - Section A'!$AK$124,MATCH(P17,'Overview - Section A'!$AN$124:$AN$175,0)-1,1,IF(COUNTIF('Overview - Section A'!$AN$124:$AN$175,P17)&gt;1,1,COUNTIF('Overview - Section A'!$AN$124:$AN$175,P17)),1)</f>
        <v/>
      </c>
    </row>
    <row r="18" spans="1:17" x14ac:dyDescent="0.3">
      <c r="A18" s="25" t="s">
        <v>629</v>
      </c>
      <c r="E18" s="25"/>
      <c r="G18" s="25" t="str">
        <f ca="1">IF(OFFSET('Overview - Section A'!I$27,H18,0)&lt;&gt;"",OFFSET('Overview - Section A'!E$27,H18,0),"")</f>
        <v/>
      </c>
      <c r="H18">
        <v>4</v>
      </c>
      <c r="I18" t="str">
        <f ca="1">IFERROR(LOOKUP(2, 1/((COUNTIF(I$14:I17,$G$15:$G$41)=0)*($G$15:$G$41&lt;&gt;"")), $G$15:$G$41),"")</f>
        <v/>
      </c>
      <c r="L18" t="str">
        <f t="array" ref="L18">IFERROR(INDEX(SectionAPopulation, MATCH(0, COUNTIF($L$1:L17, SectionAPopulation&amp;"") + IF(SectionAPopulation="",1,0), 0)), "")</f>
        <v/>
      </c>
      <c r="O18" t="str">
        <f ca="1">OFFSET('Overview - Section A'!$AK$124,MATCH(P18,'Overview - Section A'!$AN$124:$AN$175,0)-1,0,IF(COUNTIF('Overview - Section A'!$AN$124:$AN$175,P18)&gt;1,1,COUNTIF('Overview - Section A'!$AN$124:$AN$175,P18)),1)</f>
        <v/>
      </c>
      <c r="P18" t="str">
        <f t="array" ref="P18">IFERROR(INDEX('Overview - Section A'!$AN$124:$AN$175, MATCH(0, COUNTIF($P$1:P17, 'Overview - Section A'!$AN$124:$AN$175&amp;"") + IF('Overview - Section A'!$AN$124:$AN$175="",1,0), 0)), "")</f>
        <v/>
      </c>
      <c r="Q18" t="str">
        <f ca="1">OFFSET('Overview - Section A'!$AK$124,MATCH(P18,'Overview - Section A'!$AN$124:$AN$175,0)-1,1,IF(COUNTIF('Overview - Section A'!$AN$124:$AN$175,P18)&gt;1,1,COUNTIF('Overview - Section A'!$AN$124:$AN$175,P18)),1)</f>
        <v/>
      </c>
    </row>
    <row r="19" spans="1:17" x14ac:dyDescent="0.3">
      <c r="G19" s="25" t="str">
        <f ca="1">IF(OFFSET('Overview - Section A'!I$27,H19,0)&lt;&gt;"",OFFSET('Overview - Section A'!E$27,H19,0),"")</f>
        <v/>
      </c>
      <c r="H19">
        <v>5</v>
      </c>
      <c r="I19" t="str">
        <f ca="1">IFERROR(LOOKUP(2, 1/((COUNTIF(I$14:I18,$G$15:$G$41)=0)*($G$15:$G$41&lt;&gt;"")), $G$15:$G$41),"")</f>
        <v/>
      </c>
      <c r="L19" t="str">
        <f t="array" ref="L19">IFERROR(INDEX(SectionAPopulation, MATCH(0, COUNTIF($L$1:L18, SectionAPopulation&amp;"") + IF(SectionAPopulation="",1,0), 0)), "")</f>
        <v/>
      </c>
      <c r="O19" t="str">
        <f ca="1">OFFSET('Overview - Section A'!$AK$124,MATCH(P19,'Overview - Section A'!$AN$124:$AN$175,0)-1,0,IF(COUNTIF('Overview - Section A'!$AN$124:$AN$175,P19)&gt;1,1,COUNTIF('Overview - Section A'!$AN$124:$AN$175,P19)),1)</f>
        <v/>
      </c>
      <c r="P19" t="str">
        <f t="array" ref="P19">IFERROR(INDEX('Overview - Section A'!$AN$124:$AN$175, MATCH(0, COUNTIF($P$1:P18, 'Overview - Section A'!$AN$124:$AN$175&amp;"") + IF('Overview - Section A'!$AN$124:$AN$175="",1,0), 0)), "")</f>
        <v/>
      </c>
      <c r="Q19" t="str">
        <f ca="1">OFFSET('Overview - Section A'!$AK$124,MATCH(P19,'Overview - Section A'!$AN$124:$AN$175,0)-1,1,IF(COUNTIF('Overview - Section A'!$AN$124:$AN$175,P19)&gt;1,1,COUNTIF('Overview - Section A'!$AN$124:$AN$175,P19)),1)</f>
        <v/>
      </c>
    </row>
    <row r="20" spans="1:17" x14ac:dyDescent="0.3">
      <c r="G20" s="25" t="str">
        <f ca="1">IF(OFFSET('Overview - Section A'!I$27,H20,0)&lt;&gt;"",OFFSET('Overview - Section A'!E$27,H20,0),"")</f>
        <v/>
      </c>
      <c r="H20">
        <v>6</v>
      </c>
      <c r="I20" t="str">
        <f ca="1">IFERROR(LOOKUP(2, 1/((COUNTIF(I$14:I19,$G$15:$G$41)=0)*($G$15:$G$41&lt;&gt;"")), $G$15:$G$41),"")</f>
        <v/>
      </c>
      <c r="L20" t="str">
        <f t="array" ref="L20">IFERROR(INDEX(SectionAPopulation, MATCH(0, COUNTIF($L$1:L19, SectionAPopulation&amp;"") + IF(SectionAPopulation="",1,0), 0)), "")</f>
        <v/>
      </c>
      <c r="O20" t="str">
        <f ca="1">OFFSET('Overview - Section A'!$AK$124,MATCH(P20,'Overview - Section A'!$AN$124:$AN$175,0)-1,0,IF(COUNTIF('Overview - Section A'!$AN$124:$AN$175,P20)&gt;1,1,COUNTIF('Overview - Section A'!$AN$124:$AN$175,P20)),1)</f>
        <v/>
      </c>
      <c r="P20" t="str">
        <f t="array" ref="P20">IFERROR(INDEX('Overview - Section A'!$AN$124:$AN$175, MATCH(0, COUNTIF($P$1:P19, 'Overview - Section A'!$AN$124:$AN$175&amp;"") + IF('Overview - Section A'!$AN$124:$AN$175="",1,0), 0)), "")</f>
        <v/>
      </c>
      <c r="Q20" t="str">
        <f ca="1">OFFSET('Overview - Section A'!$AK$124,MATCH(P20,'Overview - Section A'!$AN$124:$AN$175,0)-1,1,IF(COUNTIF('Overview - Section A'!$AN$124:$AN$175,P20)&gt;1,1,COUNTIF('Overview - Section A'!$AN$124:$AN$175,P20)),1)</f>
        <v/>
      </c>
    </row>
    <row r="21" spans="1:17" x14ac:dyDescent="0.3">
      <c r="A21" s="28" t="s">
        <v>630</v>
      </c>
      <c r="B21">
        <f>MAX('update Helper'!Q$2:Q34)</f>
        <v>15</v>
      </c>
      <c r="D21" t="s">
        <v>631</v>
      </c>
      <c r="E21">
        <f>'update Helper'!AA2</f>
        <v>150</v>
      </c>
      <c r="G21" s="25" t="str">
        <f ca="1">IF(OFFSET('Overview - Section A'!I$27,H21,0)&lt;&gt;"",OFFSET('Overview - Section A'!E$27,H21,0),"")</f>
        <v/>
      </c>
      <c r="H21">
        <v>7</v>
      </c>
      <c r="I21" t="str">
        <f ca="1">IFERROR(LOOKUP(2, 1/((COUNTIF(I$14:I20,$G$15:$G$41)=0)*($G$15:$G$41&lt;&gt;"")), $G$15:$G$41),"")</f>
        <v/>
      </c>
      <c r="L21" t="str">
        <f t="array" ref="L21">IFERROR(INDEX(SectionAPopulation, MATCH(0, COUNTIF($L$1:L20, SectionAPopulation&amp;"") + IF(SectionAPopulation="",1,0), 0)), "")</f>
        <v/>
      </c>
      <c r="O21" t="str">
        <f ca="1">OFFSET('Overview - Section A'!$AK$124,MATCH(P21,'Overview - Section A'!$AN$124:$AN$175,0)-1,0,IF(COUNTIF('Overview - Section A'!$AN$124:$AN$175,P21)&gt;1,1,COUNTIF('Overview - Section A'!$AN$124:$AN$175,P21)),1)</f>
        <v/>
      </c>
      <c r="P21" t="str">
        <f t="array" ref="P21">IFERROR(INDEX('Overview - Section A'!$AN$124:$AN$175, MATCH(0, COUNTIF($P$1:P20, 'Overview - Section A'!$AN$124:$AN$175&amp;"") + IF('Overview - Section A'!$AN$124:$AN$175="",1,0), 0)), "")</f>
        <v/>
      </c>
      <c r="Q21" t="str">
        <f ca="1">OFFSET('Overview - Section A'!$AK$124,MATCH(P21,'Overview - Section A'!$AN$124:$AN$175,0)-1,1,IF(COUNTIF('Overview - Section A'!$AN$124:$AN$175,P21)&gt;1,1,COUNTIF('Overview - Section A'!$AN$124:$AN$175,P21)),1)</f>
        <v/>
      </c>
    </row>
    <row r="22" spans="1:17" x14ac:dyDescent="0.3">
      <c r="A22" t="s">
        <v>632</v>
      </c>
      <c r="B22">
        <f>MAX('update Helper'!P42:P224)</f>
        <v>90</v>
      </c>
      <c r="D22" t="s">
        <v>633</v>
      </c>
      <c r="E22">
        <f>'update Helper'!AB2</f>
        <v>150</v>
      </c>
      <c r="G22" s="25" t="str">
        <f ca="1">IF(OFFSET('Overview - Section A'!I$27,H22,0)&lt;&gt;"",OFFSET('Overview - Section A'!E$27,H22,0),"")</f>
        <v/>
      </c>
      <c r="H22">
        <v>8</v>
      </c>
      <c r="I22" t="str">
        <f ca="1">IFERROR(LOOKUP(2, 1/((COUNTIF(I$14:I21,$G$15:$G$41)=0)*($G$15:$G$41&lt;&gt;"")), $G$15:$G$41),"")</f>
        <v/>
      </c>
      <c r="L22" t="str">
        <f t="array" ref="L22">IFERROR(INDEX(SectionAPopulation, MATCH(0, COUNTIF($L$1:L21, SectionAPopulation&amp;"") + IF(SectionAPopulation="",1,0), 0)), "")</f>
        <v/>
      </c>
      <c r="O22" t="str">
        <f ca="1">OFFSET('Overview - Section A'!$AK$124,MATCH(P22,'Overview - Section A'!$AN$124:$AN$175,0)-1,0,IF(COUNTIF('Overview - Section A'!$AN$124:$AN$175,P22)&gt;1,1,COUNTIF('Overview - Section A'!$AN$124:$AN$175,P22)),1)</f>
        <v/>
      </c>
      <c r="P22" t="str">
        <f t="array" ref="P22">IFERROR(INDEX('Overview - Section A'!$AN$124:$AN$175, MATCH(0, COUNTIF($P$1:P21, 'Overview - Section A'!$AN$124:$AN$175&amp;"") + IF('Overview - Section A'!$AN$124:$AN$175="",1,0), 0)), "")</f>
        <v/>
      </c>
      <c r="Q22" t="str">
        <f ca="1">OFFSET('Overview - Section A'!$AK$124,MATCH(P22,'Overview - Section A'!$AN$124:$AN$175,0)-1,1,IF(COUNTIF('Overview - Section A'!$AN$124:$AN$175,P22)&gt;1,1,COUNTIF('Overview - Section A'!$AN$124:$AN$175,P22)),1)</f>
        <v/>
      </c>
    </row>
    <row r="23" spans="1:17" x14ac:dyDescent="0.3">
      <c r="A23" t="s">
        <v>634</v>
      </c>
      <c r="B23">
        <f>COUNTA('Outcome Indicators - Section C '!A9:A100)</f>
        <v>15</v>
      </c>
      <c r="G23" s="25" t="str">
        <f ca="1">IF(OFFSET('Overview - Section A'!I$27,H23,0)&lt;&gt;"",OFFSET('Overview - Section A'!E$27,H23,0),"")</f>
        <v/>
      </c>
      <c r="H23">
        <v>9</v>
      </c>
      <c r="I23" t="str">
        <f ca="1">IFERROR(LOOKUP(2, 1/((COUNTIF(I$14:I22,$G$15:$G$41)=0)*($G$15:$G$41&lt;&gt;"")), $G$15:$G$41),"")</f>
        <v/>
      </c>
      <c r="L23" t="str">
        <f t="array" ref="L23">IFERROR(INDEX(SectionAPopulation, MATCH(0, COUNTIF($L$1:L22, SectionAPopulation&amp;"") + IF(SectionAPopulation="",1,0), 0)), "")</f>
        <v/>
      </c>
      <c r="O23" t="str">
        <f ca="1">OFFSET('Overview - Section A'!$AK$124,MATCH(P23,'Overview - Section A'!$AN$124:$AN$175,0)-1,0,IF(COUNTIF('Overview - Section A'!$AN$124:$AN$175,P23)&gt;1,1,COUNTIF('Overview - Section A'!$AN$124:$AN$175,P23)),1)</f>
        <v/>
      </c>
      <c r="P23" t="str">
        <f t="array" ref="P23">IFERROR(INDEX('Overview - Section A'!$AN$124:$AN$175, MATCH(0, COUNTIF($P$1:P22, 'Overview - Section A'!$AN$124:$AN$175&amp;"") + IF('Overview - Section A'!$AN$124:$AN$175="",1,0), 0)), "")</f>
        <v/>
      </c>
      <c r="Q23" t="str">
        <f ca="1">OFFSET('Overview - Section A'!$AK$124,MATCH(P23,'Overview - Section A'!$AN$124:$AN$175,0)-1,1,IF(COUNTIF('Overview - Section A'!$AN$124:$AN$175,P23)&gt;1,1,COUNTIF('Overview - Section A'!$AN$124:$AN$175,P23)),1)</f>
        <v/>
      </c>
    </row>
    <row r="24" spans="1:17" x14ac:dyDescent="0.3">
      <c r="A24" t="s">
        <v>635</v>
      </c>
      <c r="G24" s="25" t="str">
        <f ca="1">IF(OFFSET('Overview - Section A'!J$31,H24,0)&lt;&gt;0,OFFSET('Overview - Section A'!E$31,H24,0),"")</f>
        <v/>
      </c>
      <c r="H24">
        <v>1</v>
      </c>
      <c r="I24" t="str">
        <f ca="1">IFERROR(LOOKUP(2, 1/((COUNTIF(I$14:I23,$G$15:$G$41)=0)*($G$15:$G$41&lt;&gt;"")), $G$15:$G$41),"")</f>
        <v/>
      </c>
      <c r="L24" t="str">
        <f t="array" ref="L24">IFERROR(INDEX(SectionAPopulation, MATCH(0, COUNTIF($L$1:L23, SectionAPopulation&amp;"") + IF(SectionAPopulation="",1,0), 0)), "")</f>
        <v/>
      </c>
      <c r="O24" t="str">
        <f ca="1">OFFSET('Overview - Section A'!$AK$124,MATCH(P24,'Overview - Section A'!$AN$124:$AN$175,0)-1,0,IF(COUNTIF('Overview - Section A'!$AN$124:$AN$175,P24)&gt;1,1,COUNTIF('Overview - Section A'!$AN$124:$AN$175,P24)),1)</f>
        <v/>
      </c>
      <c r="P24" t="str">
        <f t="array" ref="P24">IFERROR(INDEX('Overview - Section A'!$AN$124:$AN$175, MATCH(0, COUNTIF($P$1:P23, 'Overview - Section A'!$AN$124:$AN$175&amp;"") + IF('Overview - Section A'!$AN$124:$AN$175="",1,0), 0)), "")</f>
        <v/>
      </c>
      <c r="Q24" t="str">
        <f ca="1">OFFSET('Overview - Section A'!$AK$124,MATCH(P24,'Overview - Section A'!$AN$124:$AN$175,0)-1,1,IF(COUNTIF('Overview - Section A'!$AN$124:$AN$175,P24)&gt;1,1,COUNTIF('Overview - Section A'!$AN$124:$AN$175,P24)),1)</f>
        <v/>
      </c>
    </row>
    <row r="25" spans="1:17" x14ac:dyDescent="0.3">
      <c r="A25" t="s">
        <v>636</v>
      </c>
      <c r="B25">
        <f>COUNTA('Coverage Indicators - Section D'!A9:A100)</f>
        <v>30</v>
      </c>
      <c r="G25" s="25" t="str">
        <f ca="1">IF(OFFSET('Overview - Section A'!J$31,H25,0)&lt;&gt;0,OFFSET('Overview - Section A'!E$31,H25,0),"")</f>
        <v/>
      </c>
      <c r="H25">
        <v>2</v>
      </c>
      <c r="I25" t="str">
        <f ca="1">IFERROR(LOOKUP(2, 1/((COUNTIF(I$14:I24,$G$15:$G$41)=0)*($G$15:$G$41&lt;&gt;"")), $G$15:$G$41),"")</f>
        <v/>
      </c>
      <c r="L25" t="str">
        <f t="array" ref="L25">IFERROR(INDEX(SectionAPopulation, MATCH(0, COUNTIF($L$1:L24, SectionAPopulation&amp;"") + IF(SectionAPopulation="",1,0), 0)), "")</f>
        <v/>
      </c>
      <c r="O25" t="str">
        <f ca="1">OFFSET('Overview - Section A'!$AK$124,MATCH(P25,'Overview - Section A'!$AN$124:$AN$175,0)-1,0,IF(COUNTIF('Overview - Section A'!$AN$124:$AN$175,P25)&gt;1,1,COUNTIF('Overview - Section A'!$AN$124:$AN$175,P25)),1)</f>
        <v/>
      </c>
      <c r="P25" t="str">
        <f t="array" ref="P25">IFERROR(INDEX('Overview - Section A'!$AN$124:$AN$175, MATCH(0, COUNTIF($P$1:P24, 'Overview - Section A'!$AN$124:$AN$175&amp;"") + IF('Overview - Section A'!$AN$124:$AN$175="",1,0), 0)), "")</f>
        <v/>
      </c>
      <c r="Q25" t="str">
        <f ca="1">OFFSET('Overview - Section A'!$AK$124,MATCH(P25,'Overview - Section A'!$AN$124:$AN$175,0)-1,1,IF(COUNTIF('Overview - Section A'!$AN$124:$AN$175,P25)&gt;1,1,COUNTIF('Overview - Section A'!$AN$124:$AN$175,P25)),1)</f>
        <v/>
      </c>
    </row>
    <row r="26" spans="1:17" x14ac:dyDescent="0.3">
      <c r="A26" t="s">
        <v>637</v>
      </c>
      <c r="B26">
        <f>'update Helper'!X2</f>
        <v>180</v>
      </c>
      <c r="G26" s="25" t="str">
        <f ca="1">IF(OFFSET('Overview - Section A'!J$31,H26,0)&lt;&gt;0,OFFSET('Overview - Section A'!E$31,H26,0),"")</f>
        <v/>
      </c>
      <c r="H26">
        <v>3</v>
      </c>
      <c r="I26" t="str">
        <f ca="1">IFERROR(LOOKUP(2, 1/((COUNTIF(I$14:I25,$G$15:$G$41)=0)*($G$15:$G$41&lt;&gt;"")), $G$15:$G$41),"")</f>
        <v/>
      </c>
      <c r="L26" t="str">
        <f t="array" ref="L26">IFERROR(INDEX(SectionAPopulation, MATCH(0, COUNTIF($L$1:L25, SectionAPopulation&amp;"") + IF(SectionAPopulation="",1,0), 0)), "")</f>
        <v/>
      </c>
      <c r="O26" t="str">
        <f ca="1">OFFSET('Overview - Section A'!$AK$124,MATCH(P26,'Overview - Section A'!$AN$124:$AN$175,0)-1,0,IF(COUNTIF('Overview - Section A'!$AN$124:$AN$175,P26)&gt;1,1,COUNTIF('Overview - Section A'!$AN$124:$AN$175,P26)),1)</f>
        <v/>
      </c>
      <c r="P26" t="str">
        <f t="array" ref="P26">IFERROR(INDEX('Overview - Section A'!$AN$124:$AN$175, MATCH(0, COUNTIF($P$1:P25, 'Overview - Section A'!$AN$124:$AN$175&amp;"") + IF('Overview - Section A'!$AN$124:$AN$175="",1,0), 0)), "")</f>
        <v/>
      </c>
      <c r="Q26" t="str">
        <f ca="1">OFFSET('Overview - Section A'!$AK$124,MATCH(P26,'Overview - Section A'!$AN$124:$AN$175,0)-1,1,IF(COUNTIF('Overview - Section A'!$AN$124:$AN$175,P26)&gt;1,1,COUNTIF('Overview - Section A'!$AN$124:$AN$175,P26)),1)</f>
        <v/>
      </c>
    </row>
    <row r="27" spans="1:17" x14ac:dyDescent="0.3">
      <c r="A27" t="s">
        <v>638</v>
      </c>
      <c r="B27">
        <f>'update Helper'!Z2</f>
        <v>600</v>
      </c>
      <c r="G27" s="25" t="str">
        <f ca="1">IF(OFFSET('Overview - Section A'!J$31,H27,0)&lt;&gt;0,OFFSET('Overview - Section A'!E$31,H27,0),"")</f>
        <v/>
      </c>
      <c r="H27">
        <v>4</v>
      </c>
      <c r="I27" t="str">
        <f ca="1">IFERROR(LOOKUP(2, 1/((COUNTIF(I$14:I26,$G$15:$G$41)=0)*($G$15:$G$41&lt;&gt;"")), $G$15:$G$41),"")</f>
        <v/>
      </c>
      <c r="L27" t="str">
        <f t="array" ref="L27">IFERROR(INDEX(SectionAPopulation, MATCH(0, COUNTIF($L$1:L26, SectionAPopulation&amp;"") + IF(SectionAPopulation="",1,0), 0)), "")</f>
        <v/>
      </c>
      <c r="O27" t="str">
        <f ca="1">OFFSET('Overview - Section A'!$AK$124,MATCH(P27,'Overview - Section A'!$AN$124:$AN$175,0)-1,0,IF(COUNTIF('Overview - Section A'!$AN$124:$AN$175,P27)&gt;1,1,COUNTIF('Overview - Section A'!$AN$124:$AN$175,P27)),1)</f>
        <v/>
      </c>
      <c r="P27" t="str">
        <f t="array" ref="P27">IFERROR(INDEX('Overview - Section A'!$AN$124:$AN$175, MATCH(0, COUNTIF($P$1:P26, 'Overview - Section A'!$AN$124:$AN$175&amp;"") + IF('Overview - Section A'!$AN$124:$AN$175="",1,0), 0)), "")</f>
        <v/>
      </c>
      <c r="Q27" t="str">
        <f ca="1">OFFSET('Overview - Section A'!$AK$124,MATCH(P27,'Overview - Section A'!$AN$124:$AN$175,0)-1,1,IF(COUNTIF('Overview - Section A'!$AN$124:$AN$175,P27)&gt;1,1,COUNTIF('Overview - Section A'!$AN$124:$AN$175,P27)),1)</f>
        <v/>
      </c>
    </row>
    <row r="28" spans="1:17" x14ac:dyDescent="0.3">
      <c r="G28" s="25" t="str">
        <f ca="1">IF(OFFSET('Overview - Section A'!J$31,H28,0)&lt;&gt;0,OFFSET('Overview - Section A'!E$31,H28,0),"")</f>
        <v/>
      </c>
      <c r="H28">
        <v>5</v>
      </c>
      <c r="I28" t="str">
        <f ca="1">IFERROR(LOOKUP(2, 1/((COUNTIF(I$14:I27,$G$15:$G$41)=0)*($G$15:$G$41&lt;&gt;"")), $G$15:$G$41),"")</f>
        <v/>
      </c>
      <c r="L28" t="str">
        <f t="array" ref="L28">IFERROR(INDEX(SectionAPopulation, MATCH(0, COUNTIF($L$1:L27, SectionAPopulation&amp;"") + IF(SectionAPopulation="",1,0), 0)), "")</f>
        <v/>
      </c>
      <c r="O28" t="str">
        <f ca="1">OFFSET('Overview - Section A'!$AK$124,MATCH(P28,'Overview - Section A'!$AN$124:$AN$175,0)-1,0,IF(COUNTIF('Overview - Section A'!$AN$124:$AN$175,P28)&gt;1,1,COUNTIF('Overview - Section A'!$AN$124:$AN$175,P28)),1)</f>
        <v/>
      </c>
      <c r="P28" t="str">
        <f t="array" ref="P28">IFERROR(INDEX('Overview - Section A'!$AN$124:$AN$175, MATCH(0, COUNTIF($P$1:P27, 'Overview - Section A'!$AN$124:$AN$175&amp;"") + IF('Overview - Section A'!$AN$124:$AN$175="",1,0), 0)), "")</f>
        <v/>
      </c>
      <c r="Q28" t="str">
        <f ca="1">OFFSET('Overview - Section A'!$AK$124,MATCH(P28,'Overview - Section A'!$AN$124:$AN$175,0)-1,1,IF(COUNTIF('Overview - Section A'!$AN$124:$AN$175,P28)&gt;1,1,COUNTIF('Overview - Section A'!$AN$124:$AN$175,P28)),1)</f>
        <v/>
      </c>
    </row>
    <row r="29" spans="1:17" x14ac:dyDescent="0.3">
      <c r="A29" t="s">
        <v>639</v>
      </c>
      <c r="G29" s="25" t="str">
        <f ca="1">IF(OFFSET('Overview - Section A'!J$31,H29,0)&lt;&gt;0,OFFSET('Overview - Section A'!E$31,H29,0),"")</f>
        <v/>
      </c>
      <c r="H29">
        <v>6</v>
      </c>
      <c r="I29" t="str">
        <f ca="1">IFERROR(LOOKUP(2, 1/((COUNTIF(I$14:I28,$G$15:$G$41)=0)*($G$15:$G$41&lt;&gt;"")), $G$15:$G$41),"")</f>
        <v/>
      </c>
      <c r="L29" t="str">
        <f t="array" ref="L29">IFERROR(INDEX(SectionAPopulation, MATCH(0, COUNTIF($L$1:L28, SectionAPopulation&amp;"") + IF(SectionAPopulation="",1,0), 0)), "")</f>
        <v/>
      </c>
      <c r="O29" t="str">
        <f ca="1">OFFSET('Overview - Section A'!$AK$124,MATCH(P29,'Overview - Section A'!$AN$124:$AN$175,0)-1,0,IF(COUNTIF('Overview - Section A'!$AN$124:$AN$175,P29)&gt;1,1,COUNTIF('Overview - Section A'!$AN$124:$AN$175,P29)),1)</f>
        <v/>
      </c>
      <c r="P29" t="str">
        <f t="array" ref="P29">IFERROR(INDEX('Overview - Section A'!$AN$124:$AN$175, MATCH(0, COUNTIF($P$1:P28, 'Overview - Section A'!$AN$124:$AN$175&amp;"") + IF('Overview - Section A'!$AN$124:$AN$175="",1,0), 0)), "")</f>
        <v/>
      </c>
      <c r="Q29" t="str">
        <f ca="1">OFFSET('Overview - Section A'!$AK$124,MATCH(P29,'Overview - Section A'!$AN$124:$AN$175,0)-1,1,IF(COUNTIF('Overview - Section A'!$AN$124:$AN$175,P29)&gt;1,1,COUNTIF('Overview - Section A'!$AN$124:$AN$175,P29)),1)</f>
        <v/>
      </c>
    </row>
    <row r="30" spans="1:17" x14ac:dyDescent="0.3">
      <c r="G30" s="25" t="str">
        <f ca="1">IF(OFFSET('Overview - Section A'!J$31,H30,0)&lt;&gt;0,OFFSET('Overview - Section A'!E$31,H30,0),"")</f>
        <v/>
      </c>
      <c r="H30">
        <v>7</v>
      </c>
      <c r="I30" t="str">
        <f ca="1">IFERROR(LOOKUP(2, 1/((COUNTIF(I$14:I29,$G$15:$G$41)=0)*($G$15:$G$41&lt;&gt;"")), $G$15:$G$41),"")</f>
        <v/>
      </c>
      <c r="L30" t="str">
        <f t="array" ref="L30">IFERROR(INDEX(SectionAPopulation, MATCH(0, COUNTIF($L$1:L29, SectionAPopulation&amp;"") + IF(SectionAPopulation="",1,0), 0)), "")</f>
        <v/>
      </c>
      <c r="O30" t="str">
        <f ca="1">OFFSET('Overview - Section A'!$AK$124,MATCH(P30,'Overview - Section A'!$AN$124:$AN$175,0)-1,0,IF(COUNTIF('Overview - Section A'!$AN$124:$AN$175,P30)&gt;1,1,COUNTIF('Overview - Section A'!$AN$124:$AN$175,P30)),1)</f>
        <v/>
      </c>
      <c r="P30" t="str">
        <f t="array" ref="P30">IFERROR(INDEX('Overview - Section A'!$AN$124:$AN$175, MATCH(0, COUNTIF($P$1:P29, 'Overview - Section A'!$AN$124:$AN$175&amp;"") + IF('Overview - Section A'!$AN$124:$AN$175="",1,0), 0)), "")</f>
        <v/>
      </c>
      <c r="Q30" t="str">
        <f ca="1">OFFSET('Overview - Section A'!$AK$124,MATCH(P30,'Overview - Section A'!$AN$124:$AN$175,0)-1,1,IF(COUNTIF('Overview - Section A'!$AN$124:$AN$175,P30)&gt;1,1,COUNTIF('Overview - Section A'!$AN$124:$AN$175,P30)),1)</f>
        <v/>
      </c>
    </row>
    <row r="31" spans="1:17" x14ac:dyDescent="0.3">
      <c r="C31">
        <v>2014</v>
      </c>
      <c r="G31" s="25" t="str">
        <f ca="1">IF(OFFSET('Overview - Section A'!J$31,H31,0)&lt;&gt;0,OFFSET('Overview - Section A'!E$31,H31,0),"")</f>
        <v/>
      </c>
      <c r="H31">
        <v>8</v>
      </c>
      <c r="I31" t="str">
        <f ca="1">IFERROR(LOOKUP(2, 1/((COUNTIF(I$14:I30,$G$15:$G$41)=0)*($G$15:$G$41&lt;&gt;"")), $G$15:$G$41),"")</f>
        <v/>
      </c>
      <c r="L31" t="str">
        <f t="array" ref="L31">IFERROR(INDEX(SectionAPopulation, MATCH(0, COUNTIF($L$1:L30, SectionAPopulation&amp;"") + IF(SectionAPopulation="",1,0), 0)), "")</f>
        <v/>
      </c>
      <c r="O31" t="str">
        <f ca="1">OFFSET('Overview - Section A'!$AK$124,MATCH(P31,'Overview - Section A'!$AN$124:$AN$175,0)-1,0,IF(COUNTIF('Overview - Section A'!$AN$124:$AN$175,P31)&gt;1,1,COUNTIF('Overview - Section A'!$AN$124:$AN$175,P31)),1)</f>
        <v/>
      </c>
      <c r="P31" t="str">
        <f t="array" ref="P31">IFERROR(INDEX('Overview - Section A'!$AN$124:$AN$175, MATCH(0, COUNTIF($P$1:P30, 'Overview - Section A'!$AN$124:$AN$175&amp;"") + IF('Overview - Section A'!$AN$124:$AN$175="",1,0), 0)), "")</f>
        <v/>
      </c>
      <c r="Q31" t="str">
        <f ca="1">OFFSET('Overview - Section A'!$AK$124,MATCH(P31,'Overview - Section A'!$AN$124:$AN$175,0)-1,1,IF(COUNTIF('Overview - Section A'!$AN$124:$AN$175,P31)&gt;1,1,COUNTIF('Overview - Section A'!$AN$124:$AN$175,P31)),1)</f>
        <v/>
      </c>
    </row>
    <row r="32" spans="1:17" x14ac:dyDescent="0.3">
      <c r="A32" t="s">
        <v>640</v>
      </c>
      <c r="C32">
        <v>2015</v>
      </c>
      <c r="G32" s="25" t="str">
        <f ca="1">IF(OFFSET('Overview - Section A'!J$31,H32,0)&lt;&gt;0,OFFSET('Overview - Section A'!E$31,H32,0),"")</f>
        <v/>
      </c>
      <c r="H32">
        <v>9</v>
      </c>
      <c r="I32" t="str">
        <f ca="1">IFERROR(LOOKUP(2, 1/((COUNTIF(I$14:I31,$G$15:$G$41)=0)*($G$15:$G$41&lt;&gt;"")), $G$15:$G$41),"")</f>
        <v/>
      </c>
      <c r="L32" t="str">
        <f t="array" ref="L32">IFERROR(INDEX(SectionAPopulation, MATCH(0, COUNTIF($L$1:L31, SectionAPopulation&amp;"") + IF(SectionAPopulation="",1,0), 0)), "")</f>
        <v/>
      </c>
      <c r="O32" t="str">
        <f ca="1">OFFSET('Overview - Section A'!$AK$124,MATCH(P32,'Overview - Section A'!$AN$124:$AN$175,0)-1,0,IF(COUNTIF('Overview - Section A'!$AN$124:$AN$175,P32)&gt;1,1,COUNTIF('Overview - Section A'!$AN$124:$AN$175,P32)),1)</f>
        <v/>
      </c>
      <c r="P32" t="str">
        <f t="array" ref="P32">IFERROR(INDEX('Overview - Section A'!$AN$124:$AN$175, MATCH(0, COUNTIF($P$1:P31, 'Overview - Section A'!$AN$124:$AN$175&amp;"") + IF('Overview - Section A'!$AN$124:$AN$175="",1,0), 0)), "")</f>
        <v/>
      </c>
      <c r="Q32" t="str">
        <f ca="1">OFFSET('Overview - Section A'!$AK$124,MATCH(P32,'Overview - Section A'!$AN$124:$AN$175,0)-1,1,IF(COUNTIF('Overview - Section A'!$AN$124:$AN$175,P32)&gt;1,1,COUNTIF('Overview - Section A'!$AN$124:$AN$175,P32)),1)</f>
        <v/>
      </c>
    </row>
    <row r="33" spans="1:17" x14ac:dyDescent="0.3">
      <c r="A33" t="str">
        <f ca="1">IF(ISNUMBER(DATEVALUE(TEXT(TODAY(),"a-mmm-jj"))),"j-mmm-aa","[$-en-GB]d-mmm-yy")</f>
        <v>[$-en-GB]d-mmm-yy</v>
      </c>
      <c r="C33">
        <v>2016</v>
      </c>
      <c r="G33" s="25" t="str">
        <f ca="1">IF(AND(OFFSET('Overview - Section A'!K$31,H33,0)&lt;&gt;0,OFFSET('Overview - Section A'!D$31,H33,0)&lt;&gt;0),OFFSET('Overview - Section A'!D$31,H33,0),"")</f>
        <v/>
      </c>
      <c r="H33">
        <v>1</v>
      </c>
      <c r="I33" t="str">
        <f ca="1">IFERROR(LOOKUP(2, 1/((COUNTIF(I$14:I32,$G$15:$G$41)=0)*($G$15:$G$41&lt;&gt;"")), $G$15:$G$41),"")</f>
        <v/>
      </c>
      <c r="L33" t="str">
        <f t="array" ref="L33">IFERROR(INDEX(SectionAPopulation, MATCH(0, COUNTIF($L$1:L32, SectionAPopulation&amp;"") + IF(SectionAPopulation="",1,0), 0)), "")</f>
        <v/>
      </c>
      <c r="O33" t="str">
        <f ca="1">OFFSET('Overview - Section A'!$AK$124,MATCH(P33,'Overview - Section A'!$AN$124:$AN$175,0)-1,0,IF(COUNTIF('Overview - Section A'!$AN$124:$AN$175,P33)&gt;1,1,COUNTIF('Overview - Section A'!$AN$124:$AN$175,P33)),1)</f>
        <v/>
      </c>
      <c r="P33" t="str">
        <f t="array" ref="P33">IFERROR(INDEX('Overview - Section A'!$AN$124:$AN$175, MATCH(0, COUNTIF($P$1:P32, 'Overview - Section A'!$AN$124:$AN$175&amp;"") + IF('Overview - Section A'!$AN$124:$AN$175="",1,0), 0)), "")</f>
        <v/>
      </c>
      <c r="Q33" t="str">
        <f ca="1">OFFSET('Overview - Section A'!$AK$124,MATCH(P33,'Overview - Section A'!$AN$124:$AN$175,0)-1,1,IF(COUNTIF('Overview - Section A'!$AN$124:$AN$175,P33)&gt;1,1,COUNTIF('Overview - Section A'!$AN$124:$AN$175,P33)),1)</f>
        <v/>
      </c>
    </row>
    <row r="34" spans="1:17" x14ac:dyDescent="0.3">
      <c r="C34">
        <v>2017</v>
      </c>
      <c r="G34" s="25" t="str">
        <f ca="1">IF(AND(OFFSET('Overview - Section A'!K$31,H34,0)&lt;&gt;0,OFFSET('Overview - Section A'!D$31,H34,0)&lt;&gt;0),OFFSET('Overview - Section A'!D$31,H34,0),"")</f>
        <v/>
      </c>
      <c r="H34">
        <v>2</v>
      </c>
      <c r="I34" t="str">
        <f ca="1">IFERROR(LOOKUP(2, 1/((COUNTIF(I$14:I33,$G$15:$G$41)=0)*($G$15:$G$41&lt;&gt;"")), $G$15:$G$41),"")</f>
        <v/>
      </c>
      <c r="L34" t="str">
        <f t="array" ref="L34">IFERROR(INDEX(SectionAPopulation, MATCH(0, COUNTIF($L$1:L33, SectionAPopulation&amp;"") + IF(SectionAPopulation="",1,0), 0)), "")</f>
        <v/>
      </c>
      <c r="O34" t="str">
        <f ca="1">OFFSET('Overview - Section A'!$AK$124,MATCH(P34,'Overview - Section A'!$AN$124:$AN$175,0)-1,0,IF(COUNTIF('Overview - Section A'!$AN$124:$AN$175,P34)&gt;1,1,COUNTIF('Overview - Section A'!$AN$124:$AN$175,P34)),1)</f>
        <v/>
      </c>
      <c r="P34" t="str">
        <f t="array" ref="P34">IFERROR(INDEX('Overview - Section A'!$AN$124:$AN$175, MATCH(0, COUNTIF($P$1:P33, 'Overview - Section A'!$AN$124:$AN$175&amp;"") + IF('Overview - Section A'!$AN$124:$AN$175="",1,0), 0)), "")</f>
        <v/>
      </c>
      <c r="Q34" t="str">
        <f ca="1">OFFSET('Overview - Section A'!$AK$124,MATCH(P34,'Overview - Section A'!$AN$124:$AN$175,0)-1,1,IF(COUNTIF('Overview - Section A'!$AN$124:$AN$175,P34)&gt;1,1,COUNTIF('Overview - Section A'!$AN$124:$AN$175,P34)),1)</f>
        <v/>
      </c>
    </row>
    <row r="35" spans="1:17" x14ac:dyDescent="0.3">
      <c r="C35">
        <v>2018</v>
      </c>
      <c r="G35" s="25" t="str">
        <f ca="1">IF(AND(OFFSET('Overview - Section A'!K$31,H35,0)&lt;&gt;0,OFFSET('Overview - Section A'!D$31,H35,0)&lt;&gt;0),OFFSET('Overview - Section A'!D$31,H35,0),"")</f>
        <v/>
      </c>
      <c r="H35">
        <v>3</v>
      </c>
      <c r="I35" t="str">
        <f ca="1">IFERROR(LOOKUP(2, 1/((COUNTIF(I$14:I34,$G$15:$G$41)=0)*($G$15:$G$41&lt;&gt;"")), $G$15:$G$41),"")</f>
        <v/>
      </c>
      <c r="L35" t="str">
        <f t="array" ref="L35">IFERROR(INDEX(SectionAPopulation, MATCH(0, COUNTIF($L$1:L34, SectionAPopulation&amp;"") + IF(SectionAPopulation="",1,0), 0)), "")</f>
        <v/>
      </c>
      <c r="O35" t="str">
        <f ca="1">OFFSET('Overview - Section A'!$AK$124,MATCH(P35,'Overview - Section A'!$AN$124:$AN$175,0)-1,0,IF(COUNTIF('Overview - Section A'!$AN$124:$AN$175,P35)&gt;1,1,COUNTIF('Overview - Section A'!$AN$124:$AN$175,P35)),1)</f>
        <v/>
      </c>
      <c r="P35" t="str">
        <f t="array" ref="P35">IFERROR(INDEX('Overview - Section A'!$AN$124:$AN$175, MATCH(0, COUNTIF($P$1:P34, 'Overview - Section A'!$AN$124:$AN$175&amp;"") + IF('Overview - Section A'!$AN$124:$AN$175="",1,0), 0)), "")</f>
        <v/>
      </c>
      <c r="Q35" t="str">
        <f ca="1">OFFSET('Overview - Section A'!$AK$124,MATCH(P35,'Overview - Section A'!$AN$124:$AN$175,0)-1,1,IF(COUNTIF('Overview - Section A'!$AN$124:$AN$175,P35)&gt;1,1,COUNTIF('Overview - Section A'!$AN$124:$AN$175,P35)),1)</f>
        <v/>
      </c>
    </row>
    <row r="36" spans="1:17" x14ac:dyDescent="0.3">
      <c r="C36">
        <v>2019</v>
      </c>
      <c r="G36" s="25" t="str">
        <f ca="1">IF(AND(OFFSET('Overview - Section A'!K$31,H36,0)&lt;&gt;0,OFFSET('Overview - Section A'!D$31,H36,0)&lt;&gt;0),OFFSET('Overview - Section A'!D$31,H36,0),"")</f>
        <v/>
      </c>
      <c r="H36">
        <v>4</v>
      </c>
      <c r="I36" t="str">
        <f ca="1">IFERROR(LOOKUP(2, 1/((COUNTIF(I$14:I35,$G$15:$G$41)=0)*($G$15:$G$41&lt;&gt;"")), $G$15:$G$41),"")</f>
        <v/>
      </c>
      <c r="L36" t="str">
        <f t="array" ref="L36">IFERROR(INDEX(SectionAPopulation, MATCH(0, COUNTIF($L$1:L35, SectionAPopulation&amp;"") + IF(SectionAPopulation="",1,0), 0)), "")</f>
        <v/>
      </c>
      <c r="O36" t="str">
        <f ca="1">OFFSET('Overview - Section A'!$AK$124,MATCH(P36,'Overview - Section A'!$AN$124:$AN$175,0)-1,0,IF(COUNTIF('Overview - Section A'!$AN$124:$AN$175,P36)&gt;1,1,COUNTIF('Overview - Section A'!$AN$124:$AN$175,P36)),1)</f>
        <v/>
      </c>
      <c r="P36" t="str">
        <f t="array" ref="P36">IFERROR(INDEX('Overview - Section A'!$AN$124:$AN$175, MATCH(0, COUNTIF($P$1:P35, 'Overview - Section A'!$AN$124:$AN$175&amp;"") + IF('Overview - Section A'!$AN$124:$AN$175="",1,0), 0)), "")</f>
        <v/>
      </c>
      <c r="Q36" t="str">
        <f ca="1">OFFSET('Overview - Section A'!$AK$124,MATCH(P36,'Overview - Section A'!$AN$124:$AN$175,0)-1,1,IF(COUNTIF('Overview - Section A'!$AN$124:$AN$175,P36)&gt;1,1,COUNTIF('Overview - Section A'!$AN$124:$AN$175,P36)),1)</f>
        <v/>
      </c>
    </row>
    <row r="37" spans="1:17" x14ac:dyDescent="0.3">
      <c r="C37">
        <v>2020</v>
      </c>
      <c r="G37" s="25" t="str">
        <f ca="1">IF(AND(OFFSET('Overview - Section A'!K$31,H37,0)&lt;&gt;0,OFFSET('Overview - Section A'!D$31,H37,0)&lt;&gt;0),OFFSET('Overview - Section A'!D$31,H37,0),"")</f>
        <v/>
      </c>
      <c r="H37">
        <v>5</v>
      </c>
      <c r="I37" t="str">
        <f ca="1">IFERROR(LOOKUP(2, 1/((COUNTIF(I$14:I36,$G$15:$G$41)=0)*($G$15:$G$41&lt;&gt;"")), $G$15:$G$41),"")</f>
        <v/>
      </c>
      <c r="L37" t="str">
        <f t="array" ref="L37">IFERROR(INDEX(SectionAPopulation, MATCH(0, COUNTIF($L$1:L36, SectionAPopulation&amp;"") + IF(SectionAPopulation="",1,0), 0)), "")</f>
        <v/>
      </c>
      <c r="O37" t="str">
        <f ca="1">OFFSET('Overview - Section A'!$AK$124,MATCH(P37,'Overview - Section A'!$AN$124:$AN$175,0)-1,0,IF(COUNTIF('Overview - Section A'!$AN$124:$AN$175,P37)&gt;1,1,COUNTIF('Overview - Section A'!$AN$124:$AN$175,P37)),1)</f>
        <v/>
      </c>
      <c r="P37" t="str">
        <f t="array" ref="P37">IFERROR(INDEX('Overview - Section A'!$AN$124:$AN$175, MATCH(0, COUNTIF($P$1:P36, 'Overview - Section A'!$AN$124:$AN$175&amp;"") + IF('Overview - Section A'!$AN$124:$AN$175="",1,0), 0)), "")</f>
        <v/>
      </c>
      <c r="Q37" t="str">
        <f ca="1">OFFSET('Overview - Section A'!$AK$124,MATCH(P37,'Overview - Section A'!$AN$124:$AN$175,0)-1,1,IF(COUNTIF('Overview - Section A'!$AN$124:$AN$175,P37)&gt;1,1,COUNTIF('Overview - Section A'!$AN$124:$AN$175,P37)),1)</f>
        <v/>
      </c>
    </row>
    <row r="38" spans="1:17" x14ac:dyDescent="0.3">
      <c r="C38">
        <v>2021</v>
      </c>
      <c r="G38" s="25" t="str">
        <f ca="1">IF(AND(OFFSET('Overview - Section A'!K$31,H38,0)&lt;&gt;0,OFFSET('Overview - Section A'!D$31,H38,0)&lt;&gt;0),OFFSET('Overview - Section A'!D$31,H38,0),"")</f>
        <v/>
      </c>
      <c r="H38">
        <v>6</v>
      </c>
      <c r="I38" t="str">
        <f ca="1">IFERROR(LOOKUP(2, 1/((COUNTIF(I$14:I37,$G$15:$G$41)=0)*($G$15:$G$41&lt;&gt;"")), $G$15:$G$41),"")</f>
        <v/>
      </c>
      <c r="L38" t="str">
        <f t="array" ref="L38">IFERROR(INDEX(SectionAPopulation, MATCH(0, COUNTIF($L$1:L37, SectionAPopulation&amp;"") + IF(SectionAPopulation="",1,0), 0)), "")</f>
        <v/>
      </c>
      <c r="O38" t="str">
        <f ca="1">OFFSET('Overview - Section A'!$AK$124,MATCH(P38,'Overview - Section A'!$AN$124:$AN$175,0)-1,0,IF(COUNTIF('Overview - Section A'!$AN$124:$AN$175,P38)&gt;1,1,COUNTIF('Overview - Section A'!$AN$124:$AN$175,P38)),1)</f>
        <v/>
      </c>
      <c r="P38" t="str">
        <f t="array" ref="P38">IFERROR(INDEX('Overview - Section A'!$AN$124:$AN$175, MATCH(0, COUNTIF($P$1:P37, 'Overview - Section A'!$AN$124:$AN$175&amp;"") + IF('Overview - Section A'!$AN$124:$AN$175="",1,0), 0)), "")</f>
        <v/>
      </c>
      <c r="Q38" t="str">
        <f ca="1">OFFSET('Overview - Section A'!$AK$124,MATCH(P38,'Overview - Section A'!$AN$124:$AN$175,0)-1,1,IF(COUNTIF('Overview - Section A'!$AN$124:$AN$175,P38)&gt;1,1,COUNTIF('Overview - Section A'!$AN$124:$AN$175,P38)),1)</f>
        <v/>
      </c>
    </row>
    <row r="39" spans="1:17" x14ac:dyDescent="0.3">
      <c r="C39">
        <v>2022</v>
      </c>
      <c r="G39" s="25" t="str">
        <f ca="1">IF(AND(OFFSET('Overview - Section A'!K$31,H39,0)&lt;&gt;0,OFFSET('Overview - Section A'!D$31,H39,0)&lt;&gt;0),OFFSET('Overview - Section A'!D$31,H39,0),"")</f>
        <v/>
      </c>
      <c r="H39">
        <v>7</v>
      </c>
      <c r="I39" t="str">
        <f ca="1">IFERROR(LOOKUP(2, 1/((COUNTIF(I$14:I38,$G$15:$G$41)=0)*($G$15:$G$41&lt;&gt;"")), $G$15:$G$41),"")</f>
        <v/>
      </c>
      <c r="L39" t="str">
        <f t="array" ref="L39">IFERROR(INDEX(SectionAPopulation, MATCH(0, COUNTIF($L$1:L38, SectionAPopulation&amp;"") + IF(SectionAPopulation="",1,0), 0)), "")</f>
        <v/>
      </c>
      <c r="O39" t="str">
        <f ca="1">OFFSET('Overview - Section A'!$AK$124,MATCH(P39,'Overview - Section A'!$AN$124:$AN$175,0)-1,0,IF(COUNTIF('Overview - Section A'!$AN$124:$AN$175,P39)&gt;1,1,COUNTIF('Overview - Section A'!$AN$124:$AN$175,P39)),1)</f>
        <v/>
      </c>
      <c r="P39" t="str">
        <f t="array" ref="P39">IFERROR(INDEX('Overview - Section A'!$AN$124:$AN$175, MATCH(0, COUNTIF($P$1:P38, 'Overview - Section A'!$AN$124:$AN$175&amp;"") + IF('Overview - Section A'!$AN$124:$AN$175="",1,0), 0)), "")</f>
        <v/>
      </c>
      <c r="Q39" t="str">
        <f ca="1">OFFSET('Overview - Section A'!$AK$124,MATCH(P39,'Overview - Section A'!$AN$124:$AN$175,0)-1,1,IF(COUNTIF('Overview - Section A'!$AN$124:$AN$175,P39)&gt;1,1,COUNTIF('Overview - Section A'!$AN$124:$AN$175,P39)),1)</f>
        <v/>
      </c>
    </row>
    <row r="40" spans="1:17" x14ac:dyDescent="0.3">
      <c r="C40">
        <v>2023</v>
      </c>
      <c r="G40" s="25" t="str">
        <f ca="1">IF(AND(OFFSET('Overview - Section A'!K$31,H40,0)&lt;&gt;0,OFFSET('Overview - Section A'!D$31,H40,0)&lt;&gt;0),OFFSET('Overview - Section A'!D$31,H40,0),"")</f>
        <v/>
      </c>
      <c r="H40">
        <v>8</v>
      </c>
      <c r="I40" t="str">
        <f ca="1">IFERROR(LOOKUP(2, 1/((COUNTIF(I$14:I39,$G$15:$G$41)=0)*($G$15:$G$41&lt;&gt;"")), $G$15:$G$41),"")</f>
        <v/>
      </c>
      <c r="L40" t="str">
        <f t="array" ref="L40">IFERROR(INDEX(SectionAPopulation, MATCH(0, COUNTIF($L$1:L39, SectionAPopulation&amp;"") + IF(SectionAPopulation="",1,0), 0)), "")</f>
        <v/>
      </c>
      <c r="O40" t="str">
        <f ca="1">OFFSET('Overview - Section A'!$AK$124,MATCH(P40,'Overview - Section A'!$AN$124:$AN$175,0)-1,0,IF(COUNTIF('Overview - Section A'!$AN$124:$AN$175,P40)&gt;1,1,COUNTIF('Overview - Section A'!$AN$124:$AN$175,P40)),1)</f>
        <v/>
      </c>
      <c r="P40" t="str">
        <f t="array" ref="P40">IFERROR(INDEX('Overview - Section A'!$AN$124:$AN$175, MATCH(0, COUNTIF($P$1:P39, 'Overview - Section A'!$AN$124:$AN$175&amp;"") + IF('Overview - Section A'!$AN$124:$AN$175="",1,0), 0)), "")</f>
        <v/>
      </c>
      <c r="Q40" t="str">
        <f ca="1">OFFSET('Overview - Section A'!$AK$124,MATCH(P40,'Overview - Section A'!$AN$124:$AN$175,0)-1,1,IF(COUNTIF('Overview - Section A'!$AN$124:$AN$175,P40)&gt;1,1,COUNTIF('Overview - Section A'!$AN$124:$AN$175,P40)),1)</f>
        <v/>
      </c>
    </row>
    <row r="41" spans="1:17" x14ac:dyDescent="0.3">
      <c r="C41">
        <v>2024</v>
      </c>
      <c r="G41" s="25" t="str">
        <f ca="1">IF(AND(OFFSET('Overview - Section A'!K$31,H41,0)&lt;&gt;0,OFFSET('Overview - Section A'!D$31,H41,0)&lt;&gt;0),OFFSET('Overview - Section A'!D$31,H41,0),"")</f>
        <v/>
      </c>
      <c r="H41">
        <v>9</v>
      </c>
      <c r="I41" t="str">
        <f ca="1">IFERROR(LOOKUP(2, 1/((COUNTIF(I$14:I40,$G$15:$G$41)=0)*($G$15:$G$41&lt;&gt;"")), $G$15:$G$41),"")</f>
        <v/>
      </c>
      <c r="L41" t="str">
        <f t="array" ref="L41">IFERROR(INDEX(SectionAPopulation, MATCH(0, COUNTIF($L$1:L40, SectionAPopulation&amp;"") + IF(SectionAPopulation="",1,0), 0)), "")</f>
        <v/>
      </c>
      <c r="O41" t="str">
        <f ca="1">OFFSET('Overview - Section A'!$AK$124,MATCH(P41,'Overview - Section A'!$AN$124:$AN$175,0)-1,0,IF(COUNTIF('Overview - Section A'!$AN$124:$AN$175,P41)&gt;1,1,COUNTIF('Overview - Section A'!$AN$124:$AN$175,P41)),1)</f>
        <v/>
      </c>
      <c r="P41" t="str">
        <f t="array" ref="P41">IFERROR(INDEX('Overview - Section A'!$AN$124:$AN$175, MATCH(0, COUNTIF($P$1:P40, 'Overview - Section A'!$AN$124:$AN$175&amp;"") + IF('Overview - Section A'!$AN$124:$AN$175="",1,0), 0)), "")</f>
        <v/>
      </c>
      <c r="Q41" t="str">
        <f ca="1">OFFSET('Overview - Section A'!$AK$124,MATCH(P41,'Overview - Section A'!$AN$124:$AN$175,0)-1,1,IF(COUNTIF('Overview - Section A'!$AN$124:$AN$175,P41)&gt;1,1,COUNTIF('Overview - Section A'!$AN$124:$AN$175,P41)),1)</f>
        <v/>
      </c>
    </row>
    <row r="42" spans="1:17" x14ac:dyDescent="0.3">
      <c r="C42">
        <v>2025</v>
      </c>
      <c r="L42" t="str">
        <f t="array" ref="L42">IFERROR(INDEX(SectionAPopulation, MATCH(0, COUNTIF($L$1:L41, SectionAPopulation&amp;"") + IF(SectionAPopulation="",1,0), 0)), "")</f>
        <v/>
      </c>
      <c r="O42" t="str">
        <f ca="1">OFFSET('Overview - Section A'!$AK$124,MATCH(P42,'Overview - Section A'!$AN$124:$AN$175,0)-1,0,IF(COUNTIF('Overview - Section A'!$AN$124:$AN$175,P42)&gt;1,1,COUNTIF('Overview - Section A'!$AN$124:$AN$175,P42)),1)</f>
        <v/>
      </c>
      <c r="P42" t="str">
        <f t="array" ref="P42">IFERROR(INDEX('Overview - Section A'!$AN$124:$AN$175, MATCH(0, COUNTIF($P$1:P41, 'Overview - Section A'!$AN$124:$AN$175&amp;"") + IF('Overview - Section A'!$AN$124:$AN$175="",1,0), 0)), "")</f>
        <v/>
      </c>
      <c r="Q42" t="str">
        <f ca="1">OFFSET('Overview - Section A'!$AK$124,MATCH(P42,'Overview - Section A'!$AN$124:$AN$175,0)-1,1,IF(COUNTIF('Overview - Section A'!$AN$124:$AN$175,P42)&gt;1,1,COUNTIF('Overview - Section A'!$AN$124:$AN$175,P42)),1)</f>
        <v/>
      </c>
    </row>
    <row r="43" spans="1:17" x14ac:dyDescent="0.3">
      <c r="C43">
        <v>2026</v>
      </c>
      <c r="L43" t="str">
        <f t="array" ref="L43">IFERROR(INDEX(SectionAPopulation, MATCH(0, COUNTIF($L$1:L42, SectionAPopulation&amp;"") + IF(SectionAPopulation="",1,0), 0)), "")</f>
        <v/>
      </c>
      <c r="O43" t="str">
        <f ca="1">OFFSET('Overview - Section A'!$AK$124,MATCH(P43,'Overview - Section A'!$AN$124:$AN$175,0)-1,0,IF(COUNTIF('Overview - Section A'!$AN$124:$AN$175,P43)&gt;1,1,COUNTIF('Overview - Section A'!$AN$124:$AN$175,P43)),1)</f>
        <v/>
      </c>
      <c r="P43" t="str">
        <f t="array" ref="P43">IFERROR(INDEX('Overview - Section A'!$AN$124:$AN$175, MATCH(0, COUNTIF($P$1:P42, 'Overview - Section A'!$AN$124:$AN$175&amp;"") + IF('Overview - Section A'!$AN$124:$AN$175="",1,0), 0)), "")</f>
        <v/>
      </c>
      <c r="Q43" t="str">
        <f ca="1">OFFSET('Overview - Section A'!$AK$124,MATCH(P43,'Overview - Section A'!$AN$124:$AN$175,0)-1,1,IF(COUNTIF('Overview - Section A'!$AN$124:$AN$175,P43)&gt;1,1,COUNTIF('Overview - Section A'!$AN$124:$AN$175,P43)),1)</f>
        <v/>
      </c>
    </row>
    <row r="44" spans="1:17" x14ac:dyDescent="0.3">
      <c r="C44">
        <v>2027</v>
      </c>
      <c r="L44" t="str">
        <f t="array" ref="L44">IFERROR(INDEX(SectionAPopulation, MATCH(0, COUNTIF($L$1:L43, SectionAPopulation&amp;"") + IF(SectionAPopulation="",1,0), 0)), "")</f>
        <v/>
      </c>
      <c r="O44" t="str">
        <f ca="1">OFFSET('Overview - Section A'!$AK$124,MATCH(P44,'Overview - Section A'!$AN$124:$AN$175,0)-1,0,IF(COUNTIF('Overview - Section A'!$AN$124:$AN$175,P44)&gt;1,1,COUNTIF('Overview - Section A'!$AN$124:$AN$175,P44)),1)</f>
        <v/>
      </c>
      <c r="P44" t="str">
        <f t="array" ref="P44">IFERROR(INDEX('Overview - Section A'!$AN$124:$AN$175, MATCH(0, COUNTIF($P$1:P43, 'Overview - Section A'!$AN$124:$AN$175&amp;"") + IF('Overview - Section A'!$AN$124:$AN$175="",1,0), 0)), "")</f>
        <v/>
      </c>
      <c r="Q44" t="str">
        <f ca="1">OFFSET('Overview - Section A'!$AK$124,MATCH(P44,'Overview - Section A'!$AN$124:$AN$175,0)-1,1,IF(COUNTIF('Overview - Section A'!$AN$124:$AN$175,P44)&gt;1,1,COUNTIF('Overview - Section A'!$AN$124:$AN$175,P44)),1)</f>
        <v/>
      </c>
    </row>
    <row r="45" spans="1:17" x14ac:dyDescent="0.3">
      <c r="C45">
        <v>2028</v>
      </c>
      <c r="L45" t="str">
        <f t="array" ref="L45">IFERROR(INDEX(SectionAPopulation, MATCH(0, COUNTIF($L$1:L44, SectionAPopulation&amp;"") + IF(SectionAPopulation="",1,0), 0)), "")</f>
        <v/>
      </c>
      <c r="O45" t="str">
        <f ca="1">OFFSET('Overview - Section A'!$AK$124,MATCH(P45,'Overview - Section A'!$AN$124:$AN$175,0)-1,0,IF(COUNTIF('Overview - Section A'!$AN$124:$AN$175,P45)&gt;1,1,COUNTIF('Overview - Section A'!$AN$124:$AN$175,P45)),1)</f>
        <v/>
      </c>
      <c r="P45" t="str">
        <f t="array" ref="P45">IFERROR(INDEX('Overview - Section A'!$AN$124:$AN$175, MATCH(0, COUNTIF($P$1:P44, 'Overview - Section A'!$AN$124:$AN$175&amp;"") + IF('Overview - Section A'!$AN$124:$AN$175="",1,0), 0)), "")</f>
        <v/>
      </c>
      <c r="Q45" t="str">
        <f ca="1">OFFSET('Overview - Section A'!$AK$124,MATCH(P45,'Overview - Section A'!$AN$124:$AN$175,0)-1,1,IF(COUNTIF('Overview - Section A'!$AN$124:$AN$175,P45)&gt;1,1,COUNTIF('Overview - Section A'!$AN$124:$AN$175,P45)),1)</f>
        <v/>
      </c>
    </row>
    <row r="46" spans="1:17" x14ac:dyDescent="0.3">
      <c r="C46">
        <v>2029</v>
      </c>
      <c r="L46" t="str">
        <f t="array" ref="L46">IFERROR(INDEX(SectionAPopulation, MATCH(0, COUNTIF($L$1:L45, SectionAPopulation&amp;"") + IF(SectionAPopulation="",1,0), 0)), "")</f>
        <v/>
      </c>
      <c r="O46" t="str">
        <f ca="1">OFFSET('Overview - Section A'!$AK$124,MATCH(P46,'Overview - Section A'!$AN$124:$AN$175,0)-1,0,IF(COUNTIF('Overview - Section A'!$AN$124:$AN$175,P46)&gt;1,1,COUNTIF('Overview - Section A'!$AN$124:$AN$175,P46)),1)</f>
        <v/>
      </c>
      <c r="P46" t="str">
        <f t="array" ref="P46">IFERROR(INDEX('Overview - Section A'!$AN$124:$AN$175, MATCH(0, COUNTIF($P$1:P45, 'Overview - Section A'!$AN$124:$AN$175&amp;"") + IF('Overview - Section A'!$AN$124:$AN$175="",1,0), 0)), "")</f>
        <v/>
      </c>
      <c r="Q46" t="str">
        <f ca="1">OFFSET('Overview - Section A'!$AK$124,MATCH(P46,'Overview - Section A'!$AN$124:$AN$175,0)-1,1,IF(COUNTIF('Overview - Section A'!$AN$124:$AN$175,P46)&gt;1,1,COUNTIF('Overview - Section A'!$AN$124:$AN$175,P46)),1)</f>
        <v/>
      </c>
    </row>
    <row r="47" spans="1:17" x14ac:dyDescent="0.3">
      <c r="C47">
        <v>2030</v>
      </c>
      <c r="L47" t="str">
        <f t="array" ref="L47">IFERROR(INDEX(SectionAPopulation, MATCH(0, COUNTIF($L$1:L46, SectionAPopulation&amp;"") + IF(SectionAPopulation="",1,0), 0)), "")</f>
        <v/>
      </c>
      <c r="O47" t="str">
        <f ca="1">OFFSET('Overview - Section A'!$AK$124,MATCH(P47,'Overview - Section A'!$AN$124:$AN$175,0)-1,0,IF(COUNTIF('Overview - Section A'!$AN$124:$AN$175,P47)&gt;1,1,COUNTIF('Overview - Section A'!$AN$124:$AN$175,P47)),1)</f>
        <v/>
      </c>
      <c r="P47" t="str">
        <f t="array" ref="P47">IFERROR(INDEX('Overview - Section A'!$AN$124:$AN$175, MATCH(0, COUNTIF($P$1:P46, 'Overview - Section A'!$AN$124:$AN$175&amp;"") + IF('Overview - Section A'!$AN$124:$AN$175="",1,0), 0)), "")</f>
        <v/>
      </c>
      <c r="Q47" t="str">
        <f ca="1">OFFSET('Overview - Section A'!$AK$124,MATCH(P47,'Overview - Section A'!$AN$124:$AN$175,0)-1,1,IF(COUNTIF('Overview - Section A'!$AN$124:$AN$175,P47)&gt;1,1,COUNTIF('Overview - Section A'!$AN$124:$AN$175,P47)),1)</f>
        <v/>
      </c>
    </row>
    <row r="48" spans="1:17" x14ac:dyDescent="0.3">
      <c r="L48" t="str">
        <f t="array" ref="L48">IFERROR(INDEX(SectionAPopulation, MATCH(0, COUNTIF($L$1:L47, SectionAPopulation&amp;"") + IF(SectionAPopulation="",1,0), 0)), "")</f>
        <v/>
      </c>
      <c r="O48" t="str">
        <f ca="1">OFFSET('Overview - Section A'!$AK$124,MATCH(P48,'Overview - Section A'!$AN$124:$AN$175,0)-1,0,IF(COUNTIF('Overview - Section A'!$AN$124:$AN$175,P48)&gt;1,1,COUNTIF('Overview - Section A'!$AN$124:$AN$175,P48)),1)</f>
        <v/>
      </c>
      <c r="P48" t="str">
        <f t="array" ref="P48">IFERROR(INDEX('Overview - Section A'!$AN$124:$AN$175, MATCH(0, COUNTIF($P$1:P47, 'Overview - Section A'!$AN$124:$AN$175&amp;"") + IF('Overview - Section A'!$AN$124:$AN$175="",1,0), 0)), "")</f>
        <v/>
      </c>
      <c r="Q48" t="str">
        <f ca="1">OFFSET('Overview - Section A'!$AK$124,MATCH(P48,'Overview - Section A'!$AN$124:$AN$175,0)-1,1,IF(COUNTIF('Overview - Section A'!$AN$124:$AN$175,P48)&gt;1,1,COUNTIF('Overview - Section A'!$AN$124:$AN$175,P48)),1)</f>
        <v/>
      </c>
    </row>
    <row r="49" spans="1:17" x14ac:dyDescent="0.3">
      <c r="L49" t="str">
        <f t="array" ref="L49">IFERROR(INDEX(SectionAPopulation, MATCH(0, COUNTIF($L$1:L48, SectionAPopulation&amp;"") + IF(SectionAPopulation="",1,0), 0)), "")</f>
        <v/>
      </c>
      <c r="O49" t="str">
        <f ca="1">OFFSET('Overview - Section A'!$AK$124,MATCH(P49,'Overview - Section A'!$AN$124:$AN$175,0)-1,0,IF(COUNTIF('Overview - Section A'!$AN$124:$AN$175,P49)&gt;1,1,COUNTIF('Overview - Section A'!$AN$124:$AN$175,P49)),1)</f>
        <v/>
      </c>
      <c r="P49" t="str">
        <f t="array" ref="P49">IFERROR(INDEX('Overview - Section A'!$AN$124:$AN$175, MATCH(0, COUNTIF($P$1:P48, 'Overview - Section A'!$AN$124:$AN$175&amp;"") + IF('Overview - Section A'!$AN$124:$AN$175="",1,0), 0)), "")</f>
        <v/>
      </c>
      <c r="Q49" t="str">
        <f ca="1">OFFSET('Overview - Section A'!$AK$124,MATCH(P49,'Overview - Section A'!$AN$124:$AN$175,0)-1,1,IF(COUNTIF('Overview - Section A'!$AN$124:$AN$175,P49)&gt;1,1,COUNTIF('Overview - Section A'!$AN$124:$AN$175,P49)),1)</f>
        <v/>
      </c>
    </row>
    <row r="50" spans="1:17" x14ac:dyDescent="0.3">
      <c r="O50" t="str">
        <f ca="1">OFFSET('Overview - Section A'!$AK$124,MATCH(P50,'Overview - Section A'!$AN$124:$AN$175,0)-1,0,IF(COUNTIF('Overview - Section A'!$AN$124:$AN$175,P50)&gt;1,1,COUNTIF('Overview - Section A'!$AN$124:$AN$175,P50)),1)</f>
        <v/>
      </c>
      <c r="P50" t="str">
        <f t="array" ref="P50">IFERROR(INDEX('Overview - Section A'!$AN$124:$AN$175, MATCH(0, COUNTIF($P$1:P49, 'Overview - Section A'!$AN$124:$AN$175&amp;"") + IF('Overview - Section A'!$AN$124:$AN$175="",1,0), 0)), "")</f>
        <v/>
      </c>
      <c r="Q50" t="str">
        <f ca="1">OFFSET('Overview - Section A'!$AK$124,MATCH(P50,'Overview - Section A'!$AN$124:$AN$175,0)-1,1,IF(COUNTIF('Overview - Section A'!$AN$124:$AN$175,P50)&gt;1,1,COUNTIF('Overview - Section A'!$AN$124:$AN$175,P50)),1)</f>
        <v/>
      </c>
    </row>
    <row r="61" spans="1:17" x14ac:dyDescent="0.3">
      <c r="A61" t="s">
        <v>641</v>
      </c>
    </row>
    <row r="62" spans="1:17" x14ac:dyDescent="0.3">
      <c r="A62" t="s">
        <v>642</v>
      </c>
    </row>
    <row r="63" spans="1:17" x14ac:dyDescent="0.3">
      <c r="A63" t="s">
        <v>643</v>
      </c>
    </row>
    <row r="64" spans="1:17" x14ac:dyDescent="0.3">
      <c r="A64" t="s">
        <v>644</v>
      </c>
    </row>
    <row r="85" spans="1:1" x14ac:dyDescent="0.3">
      <c r="A85" t="s">
        <v>645</v>
      </c>
    </row>
    <row r="86" spans="1:1" x14ac:dyDescent="0.3">
      <c r="A86" t="s">
        <v>646</v>
      </c>
    </row>
    <row r="87" spans="1:1" x14ac:dyDescent="0.3">
      <c r="A87" t="s">
        <v>647</v>
      </c>
    </row>
    <row r="88" spans="1:1" x14ac:dyDescent="0.3">
      <c r="A88" t="s">
        <v>648</v>
      </c>
    </row>
    <row r="89" spans="1:1" x14ac:dyDescent="0.3">
      <c r="A89" t="s">
        <v>649</v>
      </c>
    </row>
    <row r="90" spans="1:1" x14ac:dyDescent="0.3">
      <c r="A90" t="s">
        <v>650</v>
      </c>
    </row>
    <row r="91" spans="1:1" x14ac:dyDescent="0.3">
      <c r="A91" t="s">
        <v>651</v>
      </c>
    </row>
    <row r="92" spans="1:1" x14ac:dyDescent="0.3">
      <c r="A92" t="s">
        <v>652</v>
      </c>
    </row>
    <row r="93" spans="1:1" x14ac:dyDescent="0.3">
      <c r="A93" t="s">
        <v>653</v>
      </c>
    </row>
    <row r="94" spans="1:1" x14ac:dyDescent="0.3">
      <c r="A94" t="s">
        <v>654</v>
      </c>
    </row>
    <row r="95" spans="1:1" x14ac:dyDescent="0.3">
      <c r="A95" t="s">
        <v>655</v>
      </c>
    </row>
    <row r="96" spans="1:1" x14ac:dyDescent="0.3">
      <c r="A96" t="s">
        <v>656</v>
      </c>
    </row>
    <row r="97" spans="1:1" x14ac:dyDescent="0.3">
      <c r="A97" t="s">
        <v>657</v>
      </c>
    </row>
    <row r="98" spans="1:1" x14ac:dyDescent="0.3">
      <c r="A98" t="s">
        <v>658</v>
      </c>
    </row>
    <row r="99" spans="1:1" x14ac:dyDescent="0.3">
      <c r="A99" t="s">
        <v>659</v>
      </c>
    </row>
    <row r="100" spans="1:1" x14ac:dyDescent="0.3">
      <c r="A100" t="s">
        <v>660</v>
      </c>
    </row>
    <row r="101" spans="1:1" x14ac:dyDescent="0.3">
      <c r="A101" t="s">
        <v>661</v>
      </c>
    </row>
    <row r="102" spans="1:1" x14ac:dyDescent="0.3">
      <c r="A102" t="s">
        <v>662</v>
      </c>
    </row>
    <row r="103" spans="1:1" x14ac:dyDescent="0.3">
      <c r="A103" t="s">
        <v>663</v>
      </c>
    </row>
    <row r="104" spans="1:1" x14ac:dyDescent="0.3">
      <c r="A104" t="s">
        <v>664</v>
      </c>
    </row>
    <row r="105" spans="1:1" x14ac:dyDescent="0.3">
      <c r="A105" t="s">
        <v>665</v>
      </c>
    </row>
    <row r="106" spans="1:1" x14ac:dyDescent="0.3">
      <c r="A106" t="s">
        <v>666</v>
      </c>
    </row>
    <row r="107" spans="1:1" x14ac:dyDescent="0.3">
      <c r="A107" t="s">
        <v>667</v>
      </c>
    </row>
    <row r="108" spans="1:1" x14ac:dyDescent="0.3">
      <c r="A108" t="s">
        <v>668</v>
      </c>
    </row>
    <row r="109" spans="1:1" x14ac:dyDescent="0.3">
      <c r="A109" t="s">
        <v>669</v>
      </c>
    </row>
    <row r="110" spans="1:1" x14ac:dyDescent="0.3">
      <c r="A110" t="s">
        <v>670</v>
      </c>
    </row>
    <row r="111" spans="1:1" x14ac:dyDescent="0.3">
      <c r="A111" t="s">
        <v>671</v>
      </c>
    </row>
    <row r="112" spans="1:1" x14ac:dyDescent="0.3">
      <c r="A112" t="s">
        <v>672</v>
      </c>
    </row>
    <row r="113" spans="1:1" x14ac:dyDescent="0.3">
      <c r="A113" t="s">
        <v>673</v>
      </c>
    </row>
    <row r="114" spans="1:1" x14ac:dyDescent="0.3">
      <c r="A114" t="s">
        <v>674</v>
      </c>
    </row>
    <row r="115" spans="1:1" x14ac:dyDescent="0.3">
      <c r="A115" t="s">
        <v>675</v>
      </c>
    </row>
    <row r="116" spans="1:1" x14ac:dyDescent="0.3">
      <c r="A116" t="s">
        <v>676</v>
      </c>
    </row>
    <row r="117" spans="1:1" x14ac:dyDescent="0.3">
      <c r="A117" t="s">
        <v>677</v>
      </c>
    </row>
    <row r="118" spans="1:1" x14ac:dyDescent="0.3">
      <c r="A118" t="s">
        <v>678</v>
      </c>
    </row>
    <row r="119" spans="1:1" x14ac:dyDescent="0.3">
      <c r="A119" t="s">
        <v>679</v>
      </c>
    </row>
    <row r="120" spans="1:1" x14ac:dyDescent="0.3">
      <c r="A120" t="s">
        <v>680</v>
      </c>
    </row>
    <row r="121" spans="1:1" x14ac:dyDescent="0.3">
      <c r="A121" t="s">
        <v>681</v>
      </c>
    </row>
    <row r="122" spans="1:1" x14ac:dyDescent="0.3">
      <c r="A122" t="s">
        <v>682</v>
      </c>
    </row>
    <row r="123" spans="1:1" x14ac:dyDescent="0.3">
      <c r="A123" t="s">
        <v>683</v>
      </c>
    </row>
    <row r="124" spans="1:1" x14ac:dyDescent="0.3">
      <c r="A124" t="s">
        <v>684</v>
      </c>
    </row>
    <row r="125" spans="1:1" x14ac:dyDescent="0.3">
      <c r="A125" t="s">
        <v>685</v>
      </c>
    </row>
    <row r="126" spans="1:1" x14ac:dyDescent="0.3">
      <c r="A126" t="s">
        <v>686</v>
      </c>
    </row>
    <row r="127" spans="1:1" x14ac:dyDescent="0.3">
      <c r="A127" t="s">
        <v>687</v>
      </c>
    </row>
    <row r="128" spans="1:1" x14ac:dyDescent="0.3">
      <c r="A128" t="s">
        <v>688</v>
      </c>
    </row>
    <row r="129" spans="1:1" x14ac:dyDescent="0.3">
      <c r="A129" t="s">
        <v>689</v>
      </c>
    </row>
    <row r="130" spans="1:1" x14ac:dyDescent="0.3">
      <c r="A130" t="s">
        <v>690</v>
      </c>
    </row>
    <row r="131" spans="1:1" x14ac:dyDescent="0.3">
      <c r="A131" t="s">
        <v>691</v>
      </c>
    </row>
    <row r="132" spans="1:1" x14ac:dyDescent="0.3">
      <c r="A132" t="s">
        <v>692</v>
      </c>
    </row>
    <row r="133" spans="1:1" x14ac:dyDescent="0.3">
      <c r="A133" t="s">
        <v>693</v>
      </c>
    </row>
    <row r="134" spans="1:1" x14ac:dyDescent="0.3">
      <c r="A134" t="s">
        <v>694</v>
      </c>
    </row>
    <row r="135" spans="1:1" x14ac:dyDescent="0.3">
      <c r="A135" t="s">
        <v>695</v>
      </c>
    </row>
    <row r="136" spans="1:1" x14ac:dyDescent="0.3">
      <c r="A136" t="s">
        <v>696</v>
      </c>
    </row>
    <row r="137" spans="1:1" x14ac:dyDescent="0.3">
      <c r="A137" t="s">
        <v>697</v>
      </c>
    </row>
    <row r="138" spans="1:1" x14ac:dyDescent="0.3">
      <c r="A138" t="s">
        <v>698</v>
      </c>
    </row>
    <row r="139" spans="1:1" x14ac:dyDescent="0.3">
      <c r="A139" t="s">
        <v>699</v>
      </c>
    </row>
    <row r="140" spans="1:1" x14ac:dyDescent="0.3">
      <c r="A140" t="s">
        <v>700</v>
      </c>
    </row>
    <row r="141" spans="1:1" x14ac:dyDescent="0.3">
      <c r="A141" t="s">
        <v>701</v>
      </c>
    </row>
    <row r="142" spans="1:1" x14ac:dyDescent="0.3">
      <c r="A142" t="s">
        <v>702</v>
      </c>
    </row>
    <row r="143" spans="1:1" x14ac:dyDescent="0.3">
      <c r="A143" t="s">
        <v>703</v>
      </c>
    </row>
    <row r="144" spans="1:1" x14ac:dyDescent="0.3">
      <c r="A144" t="s">
        <v>704</v>
      </c>
    </row>
    <row r="145" spans="1:1" x14ac:dyDescent="0.3">
      <c r="A145" t="s">
        <v>705</v>
      </c>
    </row>
    <row r="146" spans="1:1" x14ac:dyDescent="0.3">
      <c r="A146" t="s">
        <v>706</v>
      </c>
    </row>
    <row r="147" spans="1:1" x14ac:dyDescent="0.3">
      <c r="A147" t="s">
        <v>707</v>
      </c>
    </row>
    <row r="148" spans="1:1" x14ac:dyDescent="0.3">
      <c r="A148" t="s">
        <v>708</v>
      </c>
    </row>
    <row r="149" spans="1:1" x14ac:dyDescent="0.3">
      <c r="A149" t="s">
        <v>709</v>
      </c>
    </row>
    <row r="150" spans="1:1" x14ac:dyDescent="0.3">
      <c r="A150" t="s">
        <v>710</v>
      </c>
    </row>
    <row r="151" spans="1:1" x14ac:dyDescent="0.3">
      <c r="A151" t="s">
        <v>711</v>
      </c>
    </row>
    <row r="152" spans="1:1" x14ac:dyDescent="0.3">
      <c r="A152" t="s">
        <v>712</v>
      </c>
    </row>
    <row r="153" spans="1:1" x14ac:dyDescent="0.3">
      <c r="A153" t="s">
        <v>713</v>
      </c>
    </row>
    <row r="154" spans="1:1" x14ac:dyDescent="0.3">
      <c r="A154" t="s">
        <v>714</v>
      </c>
    </row>
    <row r="155" spans="1:1" x14ac:dyDescent="0.3">
      <c r="A155" t="s">
        <v>715</v>
      </c>
    </row>
    <row r="156" spans="1:1" x14ac:dyDescent="0.3">
      <c r="A156" t="s">
        <v>716</v>
      </c>
    </row>
    <row r="157" spans="1:1" x14ac:dyDescent="0.3">
      <c r="A157" t="s">
        <v>717</v>
      </c>
    </row>
    <row r="158" spans="1:1" x14ac:dyDescent="0.3">
      <c r="A158" t="s">
        <v>718</v>
      </c>
    </row>
    <row r="159" spans="1:1" x14ac:dyDescent="0.3">
      <c r="A159" t="s">
        <v>719</v>
      </c>
    </row>
    <row r="160" spans="1:1" x14ac:dyDescent="0.3">
      <c r="A160" t="s">
        <v>720</v>
      </c>
    </row>
    <row r="161" spans="1:1" x14ac:dyDescent="0.3">
      <c r="A161" t="s">
        <v>721</v>
      </c>
    </row>
    <row r="162" spans="1:1" x14ac:dyDescent="0.3">
      <c r="A162" t="s">
        <v>722</v>
      </c>
    </row>
    <row r="163" spans="1:1" x14ac:dyDescent="0.3">
      <c r="A163" t="s">
        <v>723</v>
      </c>
    </row>
    <row r="164" spans="1:1" x14ac:dyDescent="0.3">
      <c r="A164" t="s">
        <v>724</v>
      </c>
    </row>
    <row r="165" spans="1:1" x14ac:dyDescent="0.3">
      <c r="A165" t="s">
        <v>725</v>
      </c>
    </row>
    <row r="166" spans="1:1" x14ac:dyDescent="0.3">
      <c r="A166" t="s">
        <v>726</v>
      </c>
    </row>
    <row r="167" spans="1:1" x14ac:dyDescent="0.3">
      <c r="A167" t="s">
        <v>727</v>
      </c>
    </row>
    <row r="168" spans="1:1" x14ac:dyDescent="0.3">
      <c r="A168" t="s">
        <v>728</v>
      </c>
    </row>
    <row r="169" spans="1:1" x14ac:dyDescent="0.3">
      <c r="A169" t="s">
        <v>729</v>
      </c>
    </row>
    <row r="170" spans="1:1" x14ac:dyDescent="0.3">
      <c r="A170" t="s">
        <v>730</v>
      </c>
    </row>
    <row r="171" spans="1:1" x14ac:dyDescent="0.3">
      <c r="A171" t="s">
        <v>731</v>
      </c>
    </row>
    <row r="172" spans="1:1" x14ac:dyDescent="0.3">
      <c r="A172" t="s">
        <v>732</v>
      </c>
    </row>
    <row r="173" spans="1:1" x14ac:dyDescent="0.3">
      <c r="A173" t="s">
        <v>733</v>
      </c>
    </row>
    <row r="174" spans="1:1" x14ac:dyDescent="0.3">
      <c r="A174" t="s">
        <v>734</v>
      </c>
    </row>
  </sheetData>
  <phoneticPr fontId="1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K323"/>
  <sheetViews>
    <sheetView showGridLines="0" zoomScale="75" zoomScaleNormal="75" workbookViewId="0">
      <pane xSplit="2" ySplit="8" topLeftCell="U11" activePane="bottomRight" state="frozen"/>
      <selection pane="topRight" activeCell="C1" sqref="C1"/>
      <selection pane="bottomLeft" activeCell="A9" sqref="A9"/>
      <selection pane="bottomRight" activeCell="AA13" sqref="AA13:AA14"/>
    </sheetView>
  </sheetViews>
  <sheetFormatPr defaultColWidth="8.59765625" defaultRowHeight="13.8" x14ac:dyDescent="0.25"/>
  <cols>
    <col min="1" max="1" width="16.296875" style="52" customWidth="1"/>
    <col min="2" max="3" width="30.59765625" style="52" customWidth="1"/>
    <col min="4" max="4" width="16.59765625" style="52" customWidth="1"/>
    <col min="5" max="5" width="20.09765625" style="52" customWidth="1"/>
    <col min="6" max="6" width="16.09765625" style="52" customWidth="1"/>
    <col min="7" max="7" width="30.59765625" style="52" customWidth="1"/>
    <col min="8" max="8" width="40.59765625" style="52" customWidth="1"/>
    <col min="9" max="9" width="30.59765625" style="52" customWidth="1"/>
    <col min="10" max="10" width="20.59765625" style="52" customWidth="1"/>
    <col min="11" max="11" width="16.09765625" style="52" customWidth="1"/>
    <col min="12" max="12" width="20.09765625" style="52" customWidth="1"/>
    <col min="13" max="13" width="21.5" style="52" customWidth="1"/>
    <col min="14" max="14" width="16.09765625" style="52" customWidth="1"/>
    <col min="15" max="15" width="15.59765625" style="52" customWidth="1"/>
    <col min="16" max="16" width="19.59765625" style="52" customWidth="1"/>
    <col min="17" max="17" width="20.59765625" style="52" customWidth="1"/>
    <col min="18" max="18" width="15.09765625" style="52" customWidth="1"/>
    <col min="19" max="19" width="14.5" style="52" customWidth="1"/>
    <col min="20" max="20" width="13" style="52" customWidth="1"/>
    <col min="21" max="21" width="18.59765625" style="52" customWidth="1"/>
    <col min="22" max="22" width="16.09765625" style="52" customWidth="1"/>
    <col min="23" max="23" width="11.59765625" style="52" customWidth="1"/>
    <col min="24" max="24" width="13.09765625" style="52" customWidth="1"/>
    <col min="25" max="25" width="18.59765625" style="52" customWidth="1"/>
    <col min="26" max="26" width="15.09765625" style="52" customWidth="1"/>
    <col min="27" max="27" width="58.09765625" style="52" customWidth="1"/>
    <col min="28" max="28" width="23.09765625" style="52" hidden="1" customWidth="1"/>
    <col min="29" max="29" width="21" style="52" hidden="1" customWidth="1"/>
    <col min="30" max="30" width="15" style="52" hidden="1" customWidth="1"/>
    <col min="31" max="31" width="11.59765625" style="52" hidden="1" customWidth="1"/>
    <col min="32" max="32" width="14" style="52" hidden="1" customWidth="1"/>
    <col min="33" max="33" width="29.09765625" style="52" hidden="1" customWidth="1"/>
    <col min="34" max="34" width="22.5" style="52" hidden="1" customWidth="1"/>
    <col min="35" max="40" width="0" style="114" hidden="1" customWidth="1"/>
    <col min="41" max="41" width="34.09765625" style="137" bestFit="1" customWidth="1"/>
    <col min="42" max="42" width="30.59765625" style="138" hidden="1" customWidth="1"/>
    <col min="43" max="43" width="28.296875" style="138" hidden="1" customWidth="1"/>
    <col min="44" max="48" width="3.59765625" style="138" hidden="1" customWidth="1"/>
    <col min="49" max="52" width="10.09765625" style="138" hidden="1" customWidth="1"/>
    <col min="53" max="53" width="12" style="138" hidden="1" customWidth="1"/>
    <col min="54" max="54" width="11.296875" style="138" hidden="1" customWidth="1"/>
    <col min="55" max="55" width="11.59765625" style="138" hidden="1" customWidth="1"/>
    <col min="56" max="56" width="23.09765625" style="159" hidden="1" customWidth="1"/>
    <col min="57" max="57" width="17.59765625" style="130" hidden="1" customWidth="1"/>
    <col min="58" max="58" width="15.59765625" style="130" hidden="1" customWidth="1"/>
    <col min="59" max="59" width="16.5" style="130" hidden="1" customWidth="1"/>
    <col min="60" max="60" width="19" style="130" hidden="1" customWidth="1"/>
    <col min="61" max="61" width="20" style="130" hidden="1" customWidth="1"/>
    <col min="62" max="62" width="21.09765625" style="130" hidden="1" customWidth="1"/>
    <col min="63" max="63" width="9" style="130"/>
    <col min="64" max="16384" width="8.59765625" style="52"/>
  </cols>
  <sheetData>
    <row r="1" spans="1:63" ht="15.6" customHeight="1" x14ac:dyDescent="0.25">
      <c r="A1" s="517" t="s">
        <v>735</v>
      </c>
      <c r="B1" s="517"/>
      <c r="C1" s="517"/>
      <c r="D1" s="517"/>
      <c r="E1" s="517"/>
      <c r="F1" s="517"/>
      <c r="G1" s="517"/>
      <c r="H1" s="165"/>
      <c r="I1" s="165"/>
      <c r="J1" s="518"/>
      <c r="K1" s="518"/>
      <c r="L1" s="518"/>
      <c r="M1" s="518"/>
      <c r="N1" s="518"/>
      <c r="O1" s="518"/>
      <c r="P1" s="518"/>
      <c r="Q1" s="518"/>
      <c r="R1" s="518"/>
      <c r="S1" s="518"/>
      <c r="T1" s="518"/>
      <c r="U1" s="518"/>
      <c r="V1" s="518"/>
      <c r="W1" s="518"/>
      <c r="X1" s="518"/>
      <c r="Y1" s="518"/>
      <c r="Z1" s="518"/>
      <c r="AA1" s="518"/>
    </row>
    <row r="2" spans="1:63" ht="15.6" customHeight="1" x14ac:dyDescent="0.25">
      <c r="A2" s="517"/>
      <c r="B2" s="517"/>
      <c r="C2" s="517"/>
      <c r="D2" s="517"/>
      <c r="E2" s="517"/>
      <c r="F2" s="517"/>
      <c r="G2" s="517"/>
      <c r="H2" s="166"/>
      <c r="I2" s="166"/>
      <c r="J2" s="519"/>
      <c r="K2" s="519"/>
      <c r="L2" s="519"/>
      <c r="M2" s="519"/>
      <c r="N2" s="519"/>
      <c r="O2" s="519"/>
      <c r="P2" s="519"/>
      <c r="Q2" s="519"/>
      <c r="R2" s="519"/>
      <c r="S2" s="519"/>
      <c r="T2" s="519"/>
      <c r="U2" s="519"/>
      <c r="V2" s="519"/>
      <c r="W2" s="519"/>
      <c r="X2" s="519"/>
      <c r="Y2" s="519"/>
      <c r="Z2" s="519"/>
      <c r="AA2" s="519"/>
    </row>
    <row r="3" spans="1:63" s="172" customFormat="1" ht="14.4" thickBot="1" x14ac:dyDescent="0.3">
      <c r="A3" s="167"/>
      <c r="B3" s="167"/>
      <c r="C3" s="168"/>
      <c r="D3" s="167"/>
      <c r="E3" s="167"/>
      <c r="F3" s="167"/>
      <c r="G3" s="167"/>
      <c r="H3" s="169"/>
      <c r="I3" s="170"/>
      <c r="J3" s="170"/>
      <c r="K3" s="170"/>
      <c r="L3" s="170"/>
      <c r="M3" s="170"/>
      <c r="N3" s="170"/>
      <c r="O3" s="170"/>
      <c r="P3" s="170"/>
      <c r="Q3" s="170"/>
      <c r="R3" s="170"/>
      <c r="S3" s="170"/>
      <c r="T3" s="170"/>
      <c r="U3" s="170"/>
      <c r="V3" s="170"/>
      <c r="W3" s="170"/>
      <c r="X3" s="170"/>
      <c r="Y3" s="170"/>
      <c r="Z3" s="170"/>
      <c r="AA3" s="171"/>
      <c r="AI3" s="173"/>
      <c r="AJ3" s="173"/>
      <c r="AK3" s="173"/>
      <c r="AL3" s="173"/>
      <c r="AM3" s="173"/>
      <c r="AN3" s="173"/>
      <c r="AO3" s="174"/>
      <c r="AP3" s="175"/>
      <c r="AQ3" s="175"/>
      <c r="AR3" s="175"/>
      <c r="AS3" s="175"/>
      <c r="AT3" s="175"/>
      <c r="AU3" s="175"/>
      <c r="AV3" s="175"/>
      <c r="AW3" s="175"/>
      <c r="AX3" s="175"/>
      <c r="AY3" s="175"/>
      <c r="AZ3" s="175"/>
      <c r="BA3" s="175"/>
      <c r="BB3" s="175"/>
      <c r="BC3" s="175"/>
      <c r="BD3" s="176"/>
      <c r="BE3" s="177"/>
      <c r="BF3" s="177"/>
      <c r="BG3" s="177"/>
      <c r="BH3" s="177"/>
      <c r="BI3" s="177"/>
      <c r="BJ3" s="177"/>
      <c r="BK3" s="177"/>
    </row>
    <row r="4" spans="1:63" ht="14.4" thickBot="1" x14ac:dyDescent="0.3">
      <c r="A4" s="178" t="s">
        <v>89</v>
      </c>
      <c r="B4" s="128" t="s">
        <v>306</v>
      </c>
      <c r="C4" s="128" t="s">
        <v>736</v>
      </c>
      <c r="D4" s="179"/>
      <c r="E4" s="179"/>
      <c r="F4" s="179"/>
      <c r="G4" s="179"/>
      <c r="H4" s="169"/>
      <c r="I4" s="170"/>
      <c r="J4" s="170"/>
      <c r="K4" s="170"/>
      <c r="L4" s="170"/>
      <c r="M4" s="170"/>
      <c r="N4" s="170"/>
      <c r="O4" s="170"/>
      <c r="P4" s="170"/>
      <c r="Q4" s="170"/>
      <c r="R4" s="170"/>
      <c r="S4" s="170"/>
      <c r="T4" s="170"/>
      <c r="U4" s="170"/>
      <c r="V4" s="170"/>
      <c r="W4" s="170"/>
      <c r="X4" s="170"/>
      <c r="Y4" s="170"/>
      <c r="Z4" s="170"/>
      <c r="AA4" s="171"/>
    </row>
    <row r="5" spans="1:63" s="182" customFormat="1" ht="14.4" thickBot="1" x14ac:dyDescent="0.3">
      <c r="A5" s="178" t="s">
        <v>91</v>
      </c>
      <c r="B5" s="180">
        <f ca="1">MAX(A9:A38) - COUNTIF(AO9:AO38,"No Error")</f>
        <v>0</v>
      </c>
      <c r="C5" s="167"/>
      <c r="D5" s="179"/>
      <c r="E5" s="179"/>
      <c r="F5" s="179"/>
      <c r="G5" s="179"/>
      <c r="H5" s="169"/>
      <c r="I5" s="170"/>
      <c r="J5" s="170"/>
      <c r="K5" s="181">
        <v>2</v>
      </c>
      <c r="L5" s="170"/>
      <c r="M5" s="170"/>
      <c r="N5" s="170"/>
      <c r="O5" s="181">
        <v>3</v>
      </c>
      <c r="P5" s="170"/>
      <c r="Q5" s="170"/>
      <c r="R5" s="170"/>
      <c r="S5" s="181">
        <v>4</v>
      </c>
      <c r="T5" s="170"/>
      <c r="U5" s="170"/>
      <c r="V5" s="170"/>
      <c r="W5" s="181">
        <v>5</v>
      </c>
      <c r="X5" s="170"/>
      <c r="Y5" s="170"/>
      <c r="Z5" s="170"/>
      <c r="AA5" s="171"/>
      <c r="AI5" s="183"/>
      <c r="AJ5" s="183"/>
      <c r="AK5" s="183"/>
      <c r="AL5" s="183"/>
      <c r="AM5" s="183"/>
      <c r="AN5" s="183"/>
      <c r="AO5" s="184"/>
      <c r="AP5" s="185"/>
      <c r="AQ5" s="185"/>
      <c r="AR5" s="185"/>
      <c r="AS5" s="185"/>
      <c r="AT5" s="185"/>
      <c r="AU5" s="185"/>
      <c r="AV5" s="185"/>
      <c r="AW5" s="185"/>
      <c r="AX5" s="185"/>
      <c r="AY5" s="185"/>
      <c r="AZ5" s="185"/>
      <c r="BA5" s="185"/>
      <c r="BB5" s="185"/>
      <c r="BC5" s="185"/>
      <c r="BD5" s="186"/>
      <c r="BE5" s="187"/>
      <c r="BF5" s="187"/>
      <c r="BG5" s="187"/>
      <c r="BH5" s="187"/>
      <c r="BI5" s="187"/>
      <c r="BJ5" s="187"/>
      <c r="BK5" s="187"/>
    </row>
    <row r="7" spans="1:63" x14ac:dyDescent="0.25">
      <c r="A7" s="188"/>
      <c r="B7" s="188"/>
      <c r="C7" s="188"/>
      <c r="D7" s="188"/>
      <c r="E7" s="188"/>
      <c r="F7" s="188"/>
      <c r="G7" s="188"/>
      <c r="H7" s="188"/>
      <c r="I7" s="188"/>
      <c r="J7" s="188"/>
      <c r="K7" s="511">
        <f ca="1">IFERROR(IF(YEAR(INDEX('Overview - Section A'!$A$47:$A$54,MATCH(K5,'Overview - Section A'!$B$47:$B$54,0)))&lt;=YEAR('Overview - Section A'!$E$8),YEAR(INDEX('Overview - Section A'!$A$47:$A$54,MATCH($K$5,'Overview - Section A'!$B$47:$B$54,0))),""),"")</f>
        <v>2024</v>
      </c>
      <c r="L7" s="512"/>
      <c r="M7" s="512"/>
      <c r="N7" s="513"/>
      <c r="O7" s="514">
        <f ca="1">IFERROR(IF(K7+1&lt;=YEAR('Overview - Section A'!$E$8),K7+1,""),"")</f>
        <v>2025</v>
      </c>
      <c r="P7" s="512"/>
      <c r="Q7" s="512"/>
      <c r="R7" s="515"/>
      <c r="S7" s="514">
        <f ca="1">IFERROR(IF(O7+1&lt;=YEAR('Overview - Section A'!$E$8),O7+1,""),"")</f>
        <v>2026</v>
      </c>
      <c r="T7" s="512"/>
      <c r="U7" s="512"/>
      <c r="V7" s="515"/>
      <c r="W7" s="514" t="str">
        <f ca="1">IFERROR(IF(S7+1&lt;=YEAR('Overview - Section A'!$E$8),S7+1,""),"")</f>
        <v/>
      </c>
      <c r="X7" s="512"/>
      <c r="Y7" s="512"/>
      <c r="Z7" s="512"/>
      <c r="AA7" s="189"/>
      <c r="AB7" s="115"/>
      <c r="AC7" s="115"/>
      <c r="AD7" s="115"/>
      <c r="AE7" s="115"/>
      <c r="AF7" s="115"/>
      <c r="AG7" s="115"/>
      <c r="AH7" s="190">
        <v>2020</v>
      </c>
      <c r="AI7" s="190">
        <v>2021</v>
      </c>
      <c r="AJ7" s="190">
        <v>2022</v>
      </c>
      <c r="AK7" s="190">
        <v>2023</v>
      </c>
      <c r="AL7" s="190">
        <v>2024</v>
      </c>
      <c r="AM7" s="190">
        <v>2025</v>
      </c>
      <c r="AN7" s="190">
        <v>2026</v>
      </c>
      <c r="AO7" s="161"/>
    </row>
    <row r="8" spans="1:63" ht="59.1" customHeight="1" x14ac:dyDescent="0.25">
      <c r="A8" s="191" t="s">
        <v>737</v>
      </c>
      <c r="B8" s="191" t="s">
        <v>738</v>
      </c>
      <c r="C8" s="191" t="s">
        <v>739</v>
      </c>
      <c r="D8" s="192" t="s">
        <v>740</v>
      </c>
      <c r="E8" s="191" t="s">
        <v>105</v>
      </c>
      <c r="F8" s="191" t="s">
        <v>741</v>
      </c>
      <c r="G8" s="191" t="s">
        <v>199</v>
      </c>
      <c r="H8" s="191" t="s">
        <v>742</v>
      </c>
      <c r="I8" s="191" t="s">
        <v>120</v>
      </c>
      <c r="J8" s="191" t="s">
        <v>127</v>
      </c>
      <c r="K8" s="119" t="s">
        <v>743</v>
      </c>
      <c r="L8" s="119" t="s">
        <v>225</v>
      </c>
      <c r="M8" s="119" t="s">
        <v>744</v>
      </c>
      <c r="N8" s="119" t="s">
        <v>745</v>
      </c>
      <c r="O8" s="119" t="s">
        <v>743</v>
      </c>
      <c r="P8" s="119" t="s">
        <v>225</v>
      </c>
      <c r="Q8" s="119" t="s">
        <v>744</v>
      </c>
      <c r="R8" s="119" t="s">
        <v>745</v>
      </c>
      <c r="S8" s="119" t="s">
        <v>743</v>
      </c>
      <c r="T8" s="119" t="s">
        <v>225</v>
      </c>
      <c r="U8" s="119" t="s">
        <v>744</v>
      </c>
      <c r="V8" s="119" t="s">
        <v>745</v>
      </c>
      <c r="W8" s="119" t="s">
        <v>743</v>
      </c>
      <c r="X8" s="119" t="s">
        <v>225</v>
      </c>
      <c r="Y8" s="119" t="s">
        <v>744</v>
      </c>
      <c r="Z8" s="119" t="s">
        <v>745</v>
      </c>
      <c r="AA8" s="118" t="s">
        <v>176</v>
      </c>
      <c r="AE8" s="52" t="s">
        <v>746</v>
      </c>
      <c r="AG8" s="52" t="s">
        <v>747</v>
      </c>
      <c r="AH8" s="52" t="s">
        <v>748</v>
      </c>
      <c r="AO8" s="143" t="s">
        <v>157</v>
      </c>
      <c r="BD8" s="159" t="s">
        <v>749</v>
      </c>
    </row>
    <row r="9" spans="1:63" ht="60.75" customHeight="1" x14ac:dyDescent="0.25">
      <c r="A9" s="487">
        <v>1</v>
      </c>
      <c r="B9" s="478" t="s">
        <v>750</v>
      </c>
      <c r="C9" s="478"/>
      <c r="D9" s="194">
        <v>40</v>
      </c>
      <c r="E9" s="489"/>
      <c r="F9" s="478">
        <v>2021</v>
      </c>
      <c r="G9" s="478" t="s">
        <v>751</v>
      </c>
      <c r="H9" s="491" t="str">
        <f>AB9</f>
        <v>Gender,Age,Gender | Age</v>
      </c>
      <c r="I9" s="493" t="s">
        <v>752</v>
      </c>
      <c r="J9" s="478" t="s">
        <v>753</v>
      </c>
      <c r="K9" s="193">
        <v>45</v>
      </c>
      <c r="L9" s="481"/>
      <c r="M9" s="483"/>
      <c r="N9" s="485"/>
      <c r="O9" s="193">
        <v>45</v>
      </c>
      <c r="P9" s="481"/>
      <c r="Q9" s="483"/>
      <c r="R9" s="485"/>
      <c r="S9" s="193">
        <v>45</v>
      </c>
      <c r="T9" s="481"/>
      <c r="U9" s="483"/>
      <c r="V9" s="485"/>
      <c r="W9" s="193"/>
      <c r="X9" s="481" t="str">
        <f ca="1">IF(OR(INDIRECT("'update Helper'!K"&amp;AG9+3)="",W9&lt;&gt;0,W10&lt;&gt;0),IF(IFERROR((W9/W10),"")="","",(W9/W10)),INDIRECT("'update Helper'!K"&amp;AG9+3)/100)</f>
        <v/>
      </c>
      <c r="Y9" s="483"/>
      <c r="Z9" s="485"/>
      <c r="AA9" s="478" t="s">
        <v>754</v>
      </c>
      <c r="AB9" s="52" t="str">
        <f t="array" ref="AB9">IFERROR(IF(INDEX('Reference Records'!$D$4:$D$24,MATCH(LEFT(B9,255),LEFT('Reference Records'!$C$4:$C$24,255),0))=0,"",INDEX('Reference Records'!$D$4:$D$24,MATCH(LEFT(B9,255),LEFT('Reference Records'!$C$4:$C$24,255),0))),"")</f>
        <v>Gender,Age,Gender | Age</v>
      </c>
      <c r="AC9" s="480" t="str">
        <f>IF(H9&lt;&gt;"",B9&amp;C9,"")</f>
        <v>HIV I-4 Number of AIDS-related deaths per 100,000 population</v>
      </c>
      <c r="AD9" s="480" t="b">
        <f>IF(OR(B9&lt;&gt;"",C9&lt;&gt;""),TRUE,FALSE)</f>
        <v>1</v>
      </c>
      <c r="AE9" s="52" t="str">
        <f t="array" ref="AE9">IFERROR(IF(INDEX('Reference Records'!$G$4:$G$24,MATCH(LEFT(B9,255),LEFT('Reference Records'!$C$4:$C$24,255),0))=0,"",INDEX('Reference Records'!$G$4:$G$24,MATCH(LEFT(B9,255),LEFT('Reference Records'!$C$4:$C$24,255),0))),"")</f>
        <v>a1JDm000000k9beMAA</v>
      </c>
      <c r="AG9" s="52">
        <f>ROW(Impact_indicator_targets___section_B)+3</f>
        <v>44</v>
      </c>
      <c r="AH9" s="52">
        <f>ROW(Impact_indicator___section_B)+3</f>
        <v>4</v>
      </c>
      <c r="AO9" s="516" t="str">
        <f ca="1">IF(AND(BI9="Continue",BJ9="Continue"),"No Error",IF(AND(BI9&lt;&gt;"Continue",BJ9="Continue"),BI9,IF(AND(BJ9&lt;&gt;"Continue",BI9="Continue"),BJ9,CONCATENATE(BI9,CHAR(10),BJ9))))</f>
        <v>No Error</v>
      </c>
      <c r="AP9" s="477" t="str" cm="1">
        <f t="array" ref="AP9">IF(ISBLANK(B9),"Continue",(IF(IFERROR(_xlfn.XMATCH(B9,LEFT('Reference Records'!$I$3:$I$21,32768),0),0)&lt;&gt;0,"Continue","Invalid indicator entry. Select from dropdown list.")))</f>
        <v>Continue</v>
      </c>
      <c r="AQ9" s="477" t="str">
        <f>IF(SUM(AR9:AV10)=0, "Continue", "Enter valid number only.")</f>
        <v>Continue</v>
      </c>
      <c r="AR9" s="150">
        <f>IF(NOT(ISBLANK(D9)),IF(D9&lt;&gt;"",(IF(NOT(ISNUMBER(D9)),1,0)),0),0)</f>
        <v>0</v>
      </c>
      <c r="AS9" s="150">
        <f>IF(NOT(ISBLANK(K9)),IF(K9&lt;&gt;"",(IF(NOT(ISNUMBER(K9)),1,0)),0),0)</f>
        <v>0</v>
      </c>
      <c r="AT9" s="150">
        <f>IF(NOT(ISBLANK(O9)),IF(O9&lt;&gt;"",(IF(NOT(ISNUMBER(O9)),1,0)),0),0)</f>
        <v>0</v>
      </c>
      <c r="AU9" s="150">
        <f>IF(NOT(ISBLANK(S9)),IF(S9&lt;&gt;"",(IF(NOT(ISNUMBER(S9)),1,0)),0),0)</f>
        <v>0</v>
      </c>
      <c r="AV9" s="150">
        <f>IF(NOT(ISBLANK(W9)),IF(W9&lt;&gt;"",(IF(NOT(ISNUMBER(W9)),1,0)),0),0)</f>
        <v>0</v>
      </c>
      <c r="AW9" s="477">
        <f>IF(NOT(ISBLANK(E9)),IF(E9&lt;&gt;"",(IF(NOT(ISNUMBER(E9)),1,0)),0),0)</f>
        <v>0</v>
      </c>
      <c r="AX9" s="477">
        <f>IF(NOT(ISBLANK(L9)),IF(L9&lt;&gt;"",(IF(NOT(ISNUMBER(L9)),1,0)),0),0)</f>
        <v>0</v>
      </c>
      <c r="AY9" s="477">
        <f>IF(NOT(ISBLANK(P9)),IF(P9&lt;&gt;"",(IF(NOT(ISNUMBER(P9)),1,0)),0),0)</f>
        <v>0</v>
      </c>
      <c r="AZ9" s="477">
        <f>IF(NOT(ISBLANK(T9)),IF(T9&lt;&gt;"",(IF(NOT(ISNUMBER(T9)),1,0)),0),0)</f>
        <v>0</v>
      </c>
      <c r="BA9" s="477">
        <f ca="1">IF(NOT(ISBLANK(X9)),IF(X9&lt;&gt;"",(IF(NOT(ISNUMBER(X9)),1,0)),0),0)</f>
        <v>0</v>
      </c>
      <c r="BB9" s="477" t="str">
        <f ca="1">IF(SUM(AW9:BA10)=0, "Continue", "Enter valid number only.")</f>
        <v>Continue</v>
      </c>
      <c r="BC9" s="477" t="str">
        <f ca="1">IF(AND(AQ9="Continue",BB9="Continue"),"Continue",IF(AND(AQ9&lt;&gt;"Continue",BB9="Continue"),AQ9,IF(AND(BB9&lt;&gt;"Continue",AQ9="Continue"),BB9,CONCATENATE(AQ9,CHAR(10)))))</f>
        <v>Continue</v>
      </c>
      <c r="BD9" s="159" t="b">
        <f>IFERROR(INDEX('Reference Records'!$O$3:$O$21,MATCH($B9,'Reference Records'!$I$3:$I$21,0)),"")</f>
        <v>1</v>
      </c>
      <c r="BE9" s="130" t="str">
        <f ca="1">IF(AND($BF9="Continue",$BG9="Continue"),"Continue",
 IF(AND($BF9="Continue",$BG9&lt;&gt;"Continue"),$BG9,
 IF(AND($BF9&lt;&gt;"Continue",$BG9="Continue"),$BF9,
 IF(AND($BF9&lt;&gt;"Continue",$BG9&lt;&gt;"Continue"),CONCATENATE($BF9,CHAR(10),$BG9)))))</f>
        <v>Continue</v>
      </c>
      <c r="BF9" s="130" t="str">
        <f>IF(OR($BD9=FALSE,$BD9=""),"Continue",IF(AND($BD9=TRUE, AND($D10="",$K10="",$O10="",$S10="",$W10="")),"Continue","Denominator is not applicable for this indicator."))</f>
        <v>Continue</v>
      </c>
      <c r="BG9" s="130" t="str">
        <f ca="1">IF(OR($BD9=FALSE,$BD9=""),"Continue",IF(AND($BD9=TRUE,$E9="",$L9="",$P9="",$T9="",$X9=""),"Continue","Percentage is not applicable for this indicator."))</f>
        <v>Continue</v>
      </c>
      <c r="BH9" s="477" t="str">
        <f ca="1">IF(AND(AP9="Continue",BC9="Continue"),"Continue",IF(AND(AP9&lt;&gt;"Continue",BC9="Continue"),AP9,IF(AND(BC9&lt;&gt;"Continue",AP9="Continue"),BC9,CONCATENATE(AP9,CHAR(10),BC9))))</f>
        <v>Continue</v>
      </c>
      <c r="BI9" s="477" t="str">
        <f>IF(AND(B9="",C9=""),"Continue",
IF(AND(B9="",C9&lt;&gt;""),"Continue",
IF(AND(B9&lt;&gt;"",C9=""),"Continue",
IF(AND(B9&lt;&gt;"",C9&lt;&gt;""),"Cannot enter both standard and custom indicators on the same line."))))</f>
        <v>Continue</v>
      </c>
      <c r="BJ9" s="477" t="str">
        <f ca="1">IF(AND(BE9="Continue",BH9="Continue"),"Continue",IF(AND(BE9&lt;&gt;"Continue",BH9="Continue"),BE9,IF(AND(BH9&lt;&gt;"Continue",BE9="Continue"),BH9,CONCATENATE(BE9,CHAR(10),BH9))))</f>
        <v>Continue</v>
      </c>
    </row>
    <row r="10" spans="1:63" ht="69.599999999999994" customHeight="1" x14ac:dyDescent="0.25">
      <c r="A10" s="488"/>
      <c r="B10" s="479"/>
      <c r="C10" s="479"/>
      <c r="D10" s="194"/>
      <c r="E10" s="490"/>
      <c r="F10" s="479"/>
      <c r="G10" s="479"/>
      <c r="H10" s="492"/>
      <c r="I10" s="494"/>
      <c r="J10" s="479"/>
      <c r="K10" s="194"/>
      <c r="L10" s="482"/>
      <c r="M10" s="484"/>
      <c r="N10" s="486"/>
      <c r="O10" s="194"/>
      <c r="P10" s="482"/>
      <c r="Q10" s="484"/>
      <c r="R10" s="486"/>
      <c r="S10" s="194"/>
      <c r="T10" s="482"/>
      <c r="U10" s="484"/>
      <c r="V10" s="486"/>
      <c r="W10" s="194"/>
      <c r="X10" s="482"/>
      <c r="Y10" s="484"/>
      <c r="Z10" s="486"/>
      <c r="AA10" s="479"/>
      <c r="AC10" s="480"/>
      <c r="AD10" s="480"/>
      <c r="AO10" s="516"/>
      <c r="AP10" s="477"/>
      <c r="AQ10" s="477"/>
      <c r="AR10" s="150">
        <f t="shared" ref="AR10:AR38" si="0">IF(NOT(ISBLANK(D10)),IF(D10&lt;&gt;"",(IF(NOT(ISNUMBER(D10)),1,0)),0),0)</f>
        <v>0</v>
      </c>
      <c r="AS10" s="150">
        <f t="shared" ref="AS10:AS38" si="1">IF(NOT(ISBLANK(K10)),IF(K10&lt;&gt;"",(IF(NOT(ISNUMBER(K10)),1,0)),0),0)</f>
        <v>0</v>
      </c>
      <c r="AT10" s="150">
        <f t="shared" ref="AT10:AT38" si="2">IF(NOT(ISBLANK(O10)),IF(O10&lt;&gt;"",(IF(NOT(ISNUMBER(O10)),1,0)),0),0)</f>
        <v>0</v>
      </c>
      <c r="AU10" s="150">
        <f t="shared" ref="AU10:AU38" si="3">IF(NOT(ISBLANK(S10)),IF(S10&lt;&gt;"",(IF(NOT(ISNUMBER(S10)),1,0)),0),0)</f>
        <v>0</v>
      </c>
      <c r="AV10" s="150">
        <f t="shared" ref="AV10:AV38" si="4">IF(NOT(ISBLANK(W10)),IF(W10&lt;&gt;"",(IF(NOT(ISNUMBER(W10)),1,0)),0),0)</f>
        <v>0</v>
      </c>
      <c r="AW10" s="477"/>
      <c r="AX10" s="477"/>
      <c r="AY10" s="477"/>
      <c r="AZ10" s="477"/>
      <c r="BA10" s="477"/>
      <c r="BB10" s="477"/>
      <c r="BC10" s="477"/>
      <c r="BD10" s="159" t="str">
        <f>IFERROR(INDEX('Reference Records'!$O$3:$O$21,MATCH($B10,'Reference Records'!$I$3:$I$21,0)),"")</f>
        <v/>
      </c>
      <c r="BE10" s="130" t="str">
        <f t="shared" ref="BE10:BE38" si="5">IF(AND($BF10="Continue",$BG10="Continue"),"Continue",
 IF(AND($BF10="Continue",$BG10&lt;&gt;"Continue"),$BG10,
 IF(AND($BF10&lt;&gt;"Continue",$BG10="Continue"),$BF10,
 IF(AND($BF10&lt;&gt;"Continue",$BG10&lt;&gt;"Continue"),CONCATENATE($BF10,CHAR(10),$BG10)))))</f>
        <v>Continue</v>
      </c>
      <c r="BF10" s="130" t="str">
        <f t="shared" ref="BF10:BF38" si="6">IF(OR($BD10=FALSE,$BD10=""),"Continue",IF(AND($BD10=TRUE, AND($D11="",$K11="",$O11="",$S11="",$W11="")),"Continue","Denominator is not applicable for this indicator."))</f>
        <v>Continue</v>
      </c>
      <c r="BG10" s="130" t="str">
        <f t="shared" ref="BG10:BG38" si="7">IF(OR($BD10=FALSE,$BD10=""),"Continue",IF(AND($BD10=TRUE,$E10="",$L10="",$P10="",$T10="",$X10=""),"Continue","Percentage is not applicable for this indicator."))</f>
        <v>Continue</v>
      </c>
      <c r="BH10" s="477"/>
      <c r="BI10" s="477"/>
      <c r="BJ10" s="477"/>
    </row>
    <row r="11" spans="1:63" ht="41.1" customHeight="1" x14ac:dyDescent="0.25">
      <c r="A11" s="487">
        <v>2</v>
      </c>
      <c r="B11" s="501" t="s">
        <v>755</v>
      </c>
      <c r="C11" s="501"/>
      <c r="D11" s="196"/>
      <c r="E11" s="503">
        <v>0.108</v>
      </c>
      <c r="F11" s="501">
        <v>2021</v>
      </c>
      <c r="G11" s="501" t="s">
        <v>756</v>
      </c>
      <c r="H11" s="491" t="str">
        <f>AB11</f>
        <v>Age</v>
      </c>
      <c r="I11" s="507" t="s">
        <v>752</v>
      </c>
      <c r="J11" s="501" t="s">
        <v>753</v>
      </c>
      <c r="K11" s="195"/>
      <c r="L11" s="495"/>
      <c r="M11" s="497"/>
      <c r="N11" s="499"/>
      <c r="O11" s="195"/>
      <c r="P11" s="495">
        <v>0.1</v>
      </c>
      <c r="Q11" s="497"/>
      <c r="R11" s="499"/>
      <c r="S11" s="195"/>
      <c r="T11" s="495" t="str">
        <f ca="1">IF(OR(INDIRECT("'update Helper'!K"&amp;AG11+2)="",S11&lt;&gt;0,S12&lt;&gt;0),IF(IFERROR((S11/S12),"")="","",(S11/S12)),INDIRECT("'update Helper'!K"&amp;AG11+2)/100)</f>
        <v/>
      </c>
      <c r="U11" s="497"/>
      <c r="V11" s="499"/>
      <c r="W11" s="195"/>
      <c r="X11" s="495" t="str">
        <f ca="1">IF(OR(INDIRECT("'update Helper'!K"&amp;AG11+3)="",W11&lt;&gt;0,W12&lt;&gt;0),IF(IFERROR((W11/W12),"")="","",(W11/W12)),INDIRECT("'update Helper'!K"&amp;AG11+3)/100)</f>
        <v/>
      </c>
      <c r="Y11" s="497"/>
      <c r="Z11" s="499"/>
      <c r="AA11" s="501" t="s">
        <v>757</v>
      </c>
      <c r="AB11" s="52" t="str">
        <f t="array" ref="AB11">IFERROR(IF(INDEX('Reference Records'!$D$4:$D$24,MATCH(LEFT(B11,255),LEFT('Reference Records'!$C$4:$C$24,255),0))=0,"",INDEX('Reference Records'!$D$4:$D$24,MATCH(LEFT(B11,255),LEFT('Reference Records'!$C$4:$C$24,255),0))),"")</f>
        <v>Age</v>
      </c>
      <c r="AC11" s="480" t="str">
        <f>IF(H11&lt;&gt;"",B11&amp;C11,"")</f>
        <v>HIV I-9a⁽ᴹ⁾ Percentage of men who have sex with men who are living with HIV</v>
      </c>
      <c r="AD11" s="480" t="b">
        <f>IF(OR(B11&lt;&gt;"",C11&lt;&gt;""),TRUE,FALSE)</f>
        <v>1</v>
      </c>
      <c r="AE11" s="52" t="str">
        <f t="array" ref="AE11">IFERROR(IF(INDEX('Reference Records'!$G$4:$G$24,MATCH(LEFT(B11,255),LEFT('Reference Records'!$C$4:$C$24,255),0))=0,"",INDEX('Reference Records'!$G$4:$G$24,MATCH(LEFT(B11,255),LEFT('Reference Records'!$C$4:$C$24,255),0))),"")</f>
        <v>a1JDm000000k9bgMAA</v>
      </c>
      <c r="AG11" s="52">
        <f>AG9+'update Helper'!$R$2</f>
        <v>50</v>
      </c>
      <c r="AH11" s="52">
        <f>AH9+1</f>
        <v>5</v>
      </c>
      <c r="AO11" s="516" t="str">
        <f t="shared" ref="AO11" ca="1" si="8">IF(AND(BI11="Continue",BJ11="Continue"),"No Error",IF(AND(BI11&lt;&gt;"Continue",BJ11="Continue"),BI11,IF(AND(BJ11&lt;&gt;"Continue",BI11="Continue"),BJ11,CONCATENATE(BI11,CHAR(10),BJ11))))</f>
        <v>No Error</v>
      </c>
      <c r="AP11" s="477" t="str" cm="1">
        <f t="array" ref="AP11">IF(ISBLANK(B11),"Continue",(IF(IFERROR(_xlfn.XMATCH(B11,LEFT('Reference Records'!$I$3:$I$21,32768),0),0)&lt;&gt;0,"Continue","Invalid indicator entry. Select from dropdown list.")))</f>
        <v>Continue</v>
      </c>
      <c r="AQ11" s="477" t="str">
        <f t="shared" ref="AQ11" si="9">IF(SUM(AR11:AV12)=0, "Continue", "Enter valid number only.")</f>
        <v>Continue</v>
      </c>
      <c r="AR11" s="150">
        <f t="shared" si="0"/>
        <v>0</v>
      </c>
      <c r="AS11" s="150">
        <f t="shared" si="1"/>
        <v>0</v>
      </c>
      <c r="AT11" s="150">
        <f t="shared" si="2"/>
        <v>0</v>
      </c>
      <c r="AU11" s="150">
        <f t="shared" si="3"/>
        <v>0</v>
      </c>
      <c r="AV11" s="150">
        <f t="shared" si="4"/>
        <v>0</v>
      </c>
      <c r="AW11" s="477">
        <f t="shared" ref="AW11" si="10">IF(NOT(ISBLANK(E11)),IF(E11&lt;&gt;"",(IF(NOT(ISNUMBER(E11)),1,0)),0),0)</f>
        <v>0</v>
      </c>
      <c r="AX11" s="477">
        <f t="shared" ref="AX11" si="11">IF(NOT(ISBLANK(L11)),IF(L11&lt;&gt;"",(IF(NOT(ISNUMBER(L11)),1,0)),0),0)</f>
        <v>0</v>
      </c>
      <c r="AY11" s="477">
        <f t="shared" ref="AY11" si="12">IF(NOT(ISBLANK(P11)),IF(P11&lt;&gt;"",(IF(NOT(ISNUMBER(P11)),1,0)),0),0)</f>
        <v>0</v>
      </c>
      <c r="AZ11" s="477">
        <f t="shared" ref="AZ11" ca="1" si="13">IF(NOT(ISBLANK(T11)),IF(T11&lt;&gt;"",(IF(NOT(ISNUMBER(T11)),1,0)),0),0)</f>
        <v>0</v>
      </c>
      <c r="BA11" s="477">
        <f t="shared" ref="BA11" ca="1" si="14">IF(NOT(ISBLANK(X11)),IF(X11&lt;&gt;"",(IF(NOT(ISNUMBER(X11)),1,0)),0),0)</f>
        <v>0</v>
      </c>
      <c r="BB11" s="477" t="str">
        <f t="shared" ref="BB11" ca="1" si="15">IF(SUM(AW11:BA12)=0, "Continue", "Enter valid number only.")</f>
        <v>Continue</v>
      </c>
      <c r="BC11" s="477" t="str">
        <f t="shared" ref="BC11" ca="1" si="16">IF(AND(AQ11="Continue",BB11="Continue"),"Continue",IF(AND(AQ11&lt;&gt;"Continue",BB11="Continue"),AQ11,IF(AND(BB11&lt;&gt;"Continue",AQ11="Continue"),BB11,CONCATENATE(AQ11,CHAR(10)))))</f>
        <v>Continue</v>
      </c>
      <c r="BD11" s="159" t="b">
        <f>IFERROR(INDEX('Reference Records'!$O$3:$O$21,MATCH($B11,'Reference Records'!$I$3:$I$21,0)),"")</f>
        <v>0</v>
      </c>
      <c r="BE11" s="130" t="str">
        <f t="shared" si="5"/>
        <v>Continue</v>
      </c>
      <c r="BF11" s="130" t="str">
        <f t="shared" si="6"/>
        <v>Continue</v>
      </c>
      <c r="BG11" s="130" t="str">
        <f t="shared" si="7"/>
        <v>Continue</v>
      </c>
      <c r="BH11" s="477" t="str">
        <f t="shared" ref="BH11" ca="1" si="17">IF(AND(AP11="Continue",BC11="Continue"),"Continue",IF(AND(AP11&lt;&gt;"Continue",BC11="Continue"),AP11,IF(AND(BC11&lt;&gt;"Continue",AP11="Continue"),BC11,CONCATENATE(AP11,CHAR(10),BC11))))</f>
        <v>Continue</v>
      </c>
      <c r="BI11" s="477" t="str">
        <f t="shared" ref="BI11" si="18">IF(AND(B11="",C11=""),"Continue",
IF(AND(B11="",C11&lt;&gt;""),"Continue",
IF(AND(B11&lt;&gt;"",C11=""),"Continue",
IF(AND(B11&lt;&gt;"",C11&lt;&gt;""),"Cannot enter both standard and custom indicators on the same line."))))</f>
        <v>Continue</v>
      </c>
      <c r="BJ11" s="477" t="str">
        <f t="shared" ref="BJ11" ca="1" si="19">IF(AND(BE11="Continue",BH11="Continue"),"Continue",IF(AND(BE11&lt;&gt;"Continue",BH11="Continue"),BE11,IF(AND(BH11&lt;&gt;"Continue",BE11="Continue"),BH11,CONCATENATE(BE11,CHAR(10),BH11))))</f>
        <v>Continue</v>
      </c>
    </row>
    <row r="12" spans="1:63" ht="63.6" customHeight="1" x14ac:dyDescent="0.25">
      <c r="A12" s="488"/>
      <c r="B12" s="502"/>
      <c r="C12" s="502"/>
      <c r="D12" s="196"/>
      <c r="E12" s="504"/>
      <c r="F12" s="502"/>
      <c r="G12" s="502"/>
      <c r="H12" s="492"/>
      <c r="I12" s="508"/>
      <c r="J12" s="502"/>
      <c r="K12" s="196"/>
      <c r="L12" s="496"/>
      <c r="M12" s="498"/>
      <c r="N12" s="500"/>
      <c r="O12" s="196"/>
      <c r="P12" s="496"/>
      <c r="Q12" s="498"/>
      <c r="R12" s="500"/>
      <c r="S12" s="196"/>
      <c r="T12" s="496"/>
      <c r="U12" s="498"/>
      <c r="V12" s="500"/>
      <c r="W12" s="196"/>
      <c r="X12" s="496"/>
      <c r="Y12" s="498"/>
      <c r="Z12" s="500"/>
      <c r="AA12" s="502"/>
      <c r="AC12" s="480"/>
      <c r="AD12" s="480"/>
      <c r="AO12" s="516"/>
      <c r="AP12" s="477"/>
      <c r="AQ12" s="477"/>
      <c r="AR12" s="150">
        <f t="shared" si="0"/>
        <v>0</v>
      </c>
      <c r="AS12" s="150">
        <f t="shared" si="1"/>
        <v>0</v>
      </c>
      <c r="AT12" s="150">
        <f t="shared" si="2"/>
        <v>0</v>
      </c>
      <c r="AU12" s="150">
        <f t="shared" si="3"/>
        <v>0</v>
      </c>
      <c r="AV12" s="150">
        <f t="shared" si="4"/>
        <v>0</v>
      </c>
      <c r="AW12" s="477"/>
      <c r="AX12" s="477"/>
      <c r="AY12" s="477"/>
      <c r="AZ12" s="477"/>
      <c r="BA12" s="477"/>
      <c r="BB12" s="477"/>
      <c r="BC12" s="477"/>
      <c r="BD12" s="159" t="str">
        <f>IFERROR(INDEX('Reference Records'!$O$3:$O$21,MATCH($B12,'Reference Records'!$I$3:$I$21,0)),"")</f>
        <v/>
      </c>
      <c r="BE12" s="130" t="str">
        <f t="shared" si="5"/>
        <v>Continue</v>
      </c>
      <c r="BF12" s="130" t="str">
        <f t="shared" si="6"/>
        <v>Continue</v>
      </c>
      <c r="BG12" s="130" t="str">
        <f t="shared" si="7"/>
        <v>Continue</v>
      </c>
      <c r="BH12" s="477"/>
      <c r="BI12" s="477"/>
      <c r="BJ12" s="477"/>
    </row>
    <row r="13" spans="1:63" ht="30" customHeight="1" x14ac:dyDescent="0.25">
      <c r="A13" s="487">
        <v>3</v>
      </c>
      <c r="B13" s="478" t="s">
        <v>758</v>
      </c>
      <c r="C13" s="478"/>
      <c r="D13" s="194"/>
      <c r="E13" s="489">
        <v>3.5900000000000001E-2</v>
      </c>
      <c r="F13" s="478">
        <v>2022</v>
      </c>
      <c r="G13" s="509" t="s">
        <v>759</v>
      </c>
      <c r="H13" s="491" t="str">
        <f>AB13</f>
        <v>Gender,Age</v>
      </c>
      <c r="I13" s="493" t="s">
        <v>752</v>
      </c>
      <c r="J13" s="478" t="s">
        <v>753</v>
      </c>
      <c r="K13" s="193"/>
      <c r="L13" s="481" t="str">
        <f ca="1">IF(OR(INDIRECT("'update Helper'!K"&amp;AG13)="",K13&lt;&gt;0,K14&lt;&gt;0),IF(IFERROR((K13/K14),"")="","",(K13/K14)),INDIRECT("'update Helper'!K"&amp;AG13)/100)</f>
        <v/>
      </c>
      <c r="M13" s="483"/>
      <c r="N13" s="485"/>
      <c r="O13" s="193"/>
      <c r="P13" s="481" t="str">
        <f ca="1">IF(OR(INDIRECT("'update Helper'!K"&amp;AG13+1)="",O13&lt;&gt;0,O14&lt;&gt;0),IF(IFERROR((O13/O14),"")="","",(O13/O14)),INDIRECT("'update Helper'!K"&amp;AG13+1)/100)</f>
        <v/>
      </c>
      <c r="Q13" s="483"/>
      <c r="R13" s="485"/>
      <c r="S13" s="193"/>
      <c r="T13" s="495">
        <v>0.03</v>
      </c>
      <c r="U13" s="483"/>
      <c r="V13" s="485"/>
      <c r="W13" s="193"/>
      <c r="X13" s="481" t="str">
        <f ca="1">IF(OR(INDIRECT("'update Helper'!K"&amp;AG13+3)="",W13&lt;&gt;0,W14&lt;&gt;0),IF(IFERROR((W13/W14),"")="","",(W13/W14)),INDIRECT("'update Helper'!K"&amp;AG13+3)/100)</f>
        <v/>
      </c>
      <c r="Y13" s="483"/>
      <c r="Z13" s="485"/>
      <c r="AA13" s="478" t="s">
        <v>760</v>
      </c>
      <c r="AB13" s="52" t="str">
        <f t="array" ref="AB13">IFERROR(IF(INDEX('Reference Records'!$D$4:$D$24,MATCH(LEFT(B13,255),LEFT('Reference Records'!$C$4:$C$24,255),0))=0,"",INDEX('Reference Records'!$D$4:$D$24,MATCH(LEFT(B13,255),LEFT('Reference Records'!$C$4:$C$24,255),0))),"")</f>
        <v>Gender,Age</v>
      </c>
      <c r="AC13" s="480" t="str">
        <f>IF(H13&lt;&gt;"",B13&amp;C13,"")</f>
        <v>HIV I-10⁽ᴹ⁾ Percentage of sex workers who are living with HIV</v>
      </c>
      <c r="AD13" s="480" t="b">
        <f>IF(OR(B13&lt;&gt;"",C13&lt;&gt;""),TRUE,FALSE)</f>
        <v>1</v>
      </c>
      <c r="AE13" s="52" t="str">
        <f t="array" ref="AE13">IFERROR(IF(INDEX('Reference Records'!$G$4:$G$24,MATCH(LEFT(B13,255),LEFT('Reference Records'!$C$4:$C$24,255),0))=0,"",INDEX('Reference Records'!$G$4:$G$24,MATCH(LEFT(B13,255),LEFT('Reference Records'!$C$4:$C$24,255),0))),"")</f>
        <v>a1JDm000000k9biMAA</v>
      </c>
      <c r="AG13" s="52">
        <f>AG11+'update Helper'!$R$2</f>
        <v>56</v>
      </c>
      <c r="AH13" s="52">
        <f t="shared" ref="AH13" si="20">AH11+1</f>
        <v>6</v>
      </c>
      <c r="AO13" s="516" t="str">
        <f t="shared" ref="AO13" ca="1" si="21">IF(AND(BI13="Continue",BJ13="Continue"),"No Error",IF(AND(BI13&lt;&gt;"Continue",BJ13="Continue"),BI13,IF(AND(BJ13&lt;&gt;"Continue",BI13="Continue"),BJ13,CONCATENATE(BI13,CHAR(10),BJ13))))</f>
        <v>No Error</v>
      </c>
      <c r="AP13" s="477" t="str" cm="1">
        <f t="array" ref="AP13">IF(ISBLANK(B13),"Continue",(IF(IFERROR(_xlfn.XMATCH(B13,LEFT('Reference Records'!$I$3:$I$21,32768),0),0)&lt;&gt;0,"Continue","Invalid indicator entry. Select from dropdown list.")))</f>
        <v>Continue</v>
      </c>
      <c r="AQ13" s="477" t="str">
        <f t="shared" ref="AQ13" si="22">IF(SUM(AR13:AV14)=0, "Continue", "Enter valid number only.")</f>
        <v>Continue</v>
      </c>
      <c r="AR13" s="150">
        <f t="shared" si="0"/>
        <v>0</v>
      </c>
      <c r="AS13" s="150">
        <f t="shared" si="1"/>
        <v>0</v>
      </c>
      <c r="AT13" s="150">
        <f t="shared" si="2"/>
        <v>0</v>
      </c>
      <c r="AU13" s="150">
        <f t="shared" si="3"/>
        <v>0</v>
      </c>
      <c r="AV13" s="150">
        <f t="shared" si="4"/>
        <v>0</v>
      </c>
      <c r="AW13" s="477">
        <f t="shared" ref="AW13" si="23">IF(NOT(ISBLANK(E13)),IF(E13&lt;&gt;"",(IF(NOT(ISNUMBER(E13)),1,0)),0),0)</f>
        <v>0</v>
      </c>
      <c r="AX13" s="477">
        <f t="shared" ref="AX13" ca="1" si="24">IF(NOT(ISBLANK(L13)),IF(L13&lt;&gt;"",(IF(NOT(ISNUMBER(L13)),1,0)),0),0)</f>
        <v>0</v>
      </c>
      <c r="AY13" s="477">
        <f t="shared" ref="AY13" ca="1" si="25">IF(NOT(ISBLANK(P13)),IF(P13&lt;&gt;"",(IF(NOT(ISNUMBER(P13)),1,0)),0),0)</f>
        <v>0</v>
      </c>
      <c r="AZ13" s="477">
        <f t="shared" ref="AZ13" si="26">IF(NOT(ISBLANK(T13)),IF(T13&lt;&gt;"",(IF(NOT(ISNUMBER(T13)),1,0)),0),0)</f>
        <v>0</v>
      </c>
      <c r="BA13" s="477">
        <f t="shared" ref="BA13" ca="1" si="27">IF(NOT(ISBLANK(X13)),IF(X13&lt;&gt;"",(IF(NOT(ISNUMBER(X13)),1,0)),0),0)</f>
        <v>0</v>
      </c>
      <c r="BB13" s="477" t="str">
        <f t="shared" ref="BB13" ca="1" si="28">IF(SUM(AW13:BA14)=0, "Continue", "Enter valid number only.")</f>
        <v>Continue</v>
      </c>
      <c r="BC13" s="477" t="str">
        <f t="shared" ref="BC13" ca="1" si="29">IF(AND(AQ13="Continue",BB13="Continue"),"Continue",IF(AND(AQ13&lt;&gt;"Continue",BB13="Continue"),AQ13,IF(AND(BB13&lt;&gt;"Continue",AQ13="Continue"),BB13,CONCATENATE(AQ13,CHAR(10)))))</f>
        <v>Continue</v>
      </c>
      <c r="BD13" s="159" t="b">
        <f>IFERROR(INDEX('Reference Records'!$O$3:$O$21,MATCH($B13,'Reference Records'!$I$3:$I$21,0)),"")</f>
        <v>0</v>
      </c>
      <c r="BE13" s="130" t="str">
        <f t="shared" si="5"/>
        <v>Continue</v>
      </c>
      <c r="BF13" s="130" t="str">
        <f t="shared" si="6"/>
        <v>Continue</v>
      </c>
      <c r="BG13" s="130" t="str">
        <f t="shared" si="7"/>
        <v>Continue</v>
      </c>
      <c r="BH13" s="477" t="str">
        <f t="shared" ref="BH13" ca="1" si="30">IF(AND(AP13="Continue",BC13="Continue"),"Continue",IF(AND(AP13&lt;&gt;"Continue",BC13="Continue"),AP13,IF(AND(BC13&lt;&gt;"Continue",AP13="Continue"),BC13,CONCATENATE(AP13,CHAR(10),BC13))))</f>
        <v>Continue</v>
      </c>
      <c r="BI13" s="477" t="str">
        <f t="shared" ref="BI13" si="31">IF(AND(B13="",C13=""),"Continue",
IF(AND(B13="",C13&lt;&gt;""),"Continue",
IF(AND(B13&lt;&gt;"",C13=""),"Continue",
IF(AND(B13&lt;&gt;"",C13&lt;&gt;""),"Cannot enter both standard and custom indicators on the same line."))))</f>
        <v>Continue</v>
      </c>
      <c r="BJ13" s="477" t="str">
        <f t="shared" ref="BJ13" ca="1" si="32">IF(AND(BE13="Continue",BH13="Continue"),"Continue",IF(AND(BE13&lt;&gt;"Continue",BH13="Continue"),BE13,IF(AND(BH13&lt;&gt;"Continue",BE13="Continue"),BH13,CONCATENATE(BE13,CHAR(10),BH13))))</f>
        <v>Continue</v>
      </c>
    </row>
    <row r="14" spans="1:63" ht="21" customHeight="1" x14ac:dyDescent="0.25">
      <c r="A14" s="488"/>
      <c r="B14" s="479"/>
      <c r="C14" s="479"/>
      <c r="D14" s="194"/>
      <c r="E14" s="490"/>
      <c r="F14" s="479"/>
      <c r="G14" s="510"/>
      <c r="H14" s="492"/>
      <c r="I14" s="494"/>
      <c r="J14" s="479"/>
      <c r="K14" s="194"/>
      <c r="L14" s="482"/>
      <c r="M14" s="484"/>
      <c r="N14" s="486"/>
      <c r="O14" s="194"/>
      <c r="P14" s="482"/>
      <c r="Q14" s="484"/>
      <c r="R14" s="486"/>
      <c r="S14" s="194"/>
      <c r="T14" s="496"/>
      <c r="U14" s="484"/>
      <c r="V14" s="486"/>
      <c r="W14" s="194"/>
      <c r="X14" s="482"/>
      <c r="Y14" s="484"/>
      <c r="Z14" s="486"/>
      <c r="AA14" s="479"/>
      <c r="AC14" s="480"/>
      <c r="AD14" s="480"/>
      <c r="AO14" s="516"/>
      <c r="AP14" s="477"/>
      <c r="AQ14" s="477"/>
      <c r="AR14" s="150">
        <f t="shared" si="0"/>
        <v>0</v>
      </c>
      <c r="AS14" s="150">
        <f t="shared" si="1"/>
        <v>0</v>
      </c>
      <c r="AT14" s="150">
        <f t="shared" si="2"/>
        <v>0</v>
      </c>
      <c r="AU14" s="150">
        <f t="shared" si="3"/>
        <v>0</v>
      </c>
      <c r="AV14" s="150">
        <f t="shared" si="4"/>
        <v>0</v>
      </c>
      <c r="AW14" s="477"/>
      <c r="AX14" s="477"/>
      <c r="AY14" s="477"/>
      <c r="AZ14" s="477"/>
      <c r="BA14" s="477"/>
      <c r="BB14" s="477"/>
      <c r="BC14" s="477"/>
      <c r="BD14" s="159" t="str">
        <f>IFERROR(INDEX('Reference Records'!$O$3:$O$21,MATCH($B14,'Reference Records'!$I$3:$I$21,0)),"")</f>
        <v/>
      </c>
      <c r="BE14" s="130" t="str">
        <f t="shared" si="5"/>
        <v>Continue</v>
      </c>
      <c r="BF14" s="130" t="str">
        <f t="shared" si="6"/>
        <v>Continue</v>
      </c>
      <c r="BG14" s="130" t="str">
        <f t="shared" si="7"/>
        <v>Continue</v>
      </c>
      <c r="BH14" s="477"/>
      <c r="BI14" s="477"/>
      <c r="BJ14" s="477"/>
    </row>
    <row r="15" spans="1:63" ht="30" customHeight="1" x14ac:dyDescent="0.25">
      <c r="A15" s="487">
        <v>4</v>
      </c>
      <c r="B15" s="501" t="s">
        <v>761</v>
      </c>
      <c r="C15" s="501"/>
      <c r="D15" s="196"/>
      <c r="E15" s="503">
        <v>0.19639999999999999</v>
      </c>
      <c r="F15" s="501">
        <v>2021</v>
      </c>
      <c r="G15" s="501" t="s">
        <v>756</v>
      </c>
      <c r="H15" s="491" t="str">
        <f>AB15</f>
        <v>Age</v>
      </c>
      <c r="I15" s="507" t="s">
        <v>752</v>
      </c>
      <c r="J15" s="501" t="s">
        <v>753</v>
      </c>
      <c r="K15" s="195"/>
      <c r="L15" s="495" t="str">
        <f ca="1">IF(OR(INDIRECT("'update Helper'!K"&amp;AG15)="",K15&lt;&gt;0,K16&lt;&gt;0),IF(IFERROR((K15/K16),"")="","",(K15/K16)),INDIRECT("'update Helper'!K"&amp;AG15)/100)</f>
        <v/>
      </c>
      <c r="M15" s="497"/>
      <c r="N15" s="499"/>
      <c r="O15" s="195"/>
      <c r="P15" s="495" t="str">
        <f ca="1">IF(OR(INDIRECT("'update Helper'!K"&amp;AG15+1)="",O15&lt;&gt;0,O16&lt;&gt;0),IF(IFERROR((O15/O16),"")="","",(O15/O16)),INDIRECT("'update Helper'!K"&amp;AG15+1)/100)</f>
        <v/>
      </c>
      <c r="Q15" s="497"/>
      <c r="R15" s="499"/>
      <c r="S15" s="195"/>
      <c r="T15" s="495">
        <v>0.19</v>
      </c>
      <c r="U15" s="497"/>
      <c r="V15" s="499"/>
      <c r="W15" s="195"/>
      <c r="X15" s="495" t="str">
        <f ca="1">IF(OR(INDIRECT("'update Helper'!K"&amp;AG15+3)="",W15&lt;&gt;0,W16&lt;&gt;0),IF(IFERROR((W15/W16),"")="","",(W15/W16)),INDIRECT("'update Helper'!K"&amp;AG15+3)/100)</f>
        <v/>
      </c>
      <c r="Y15" s="497"/>
      <c r="Z15" s="499"/>
      <c r="AA15" s="501" t="s">
        <v>762</v>
      </c>
      <c r="AB15" s="52" t="str">
        <f t="array" ref="AB15">IFERROR(IF(INDEX('Reference Records'!$D$4:$D$24,MATCH(LEFT(B15,255),LEFT('Reference Records'!$C$4:$C$24,255),0))=0,"",INDEX('Reference Records'!$D$4:$D$24,MATCH(LEFT(B15,255),LEFT('Reference Records'!$C$4:$C$24,255),0))),"")</f>
        <v>Age</v>
      </c>
      <c r="AC15" s="480" t="str">
        <f>IF(H15&lt;&gt;"",B15&amp;C15,"")</f>
        <v>HIV I-9b⁽ᴹ⁾ Percentage of transgender people who are living with HIV</v>
      </c>
      <c r="AD15" s="480" t="b">
        <f>IF(OR(B15&lt;&gt;"",C15&lt;&gt;""),TRUE,FALSE)</f>
        <v>1</v>
      </c>
      <c r="AE15" s="52" t="str">
        <f t="array" ref="AE15">IFERROR(IF(INDEX('Reference Records'!$G$4:$G$24,MATCH(LEFT(B15,255),LEFT('Reference Records'!$C$4:$C$24,255),0))=0,"",INDEX('Reference Records'!$G$4:$G$24,MATCH(LEFT(B15,255),LEFT('Reference Records'!$C$4:$C$24,255),0))),"")</f>
        <v>a1JDm000000k9bhMAA</v>
      </c>
      <c r="AG15" s="52">
        <f>AG13+'update Helper'!$R$2</f>
        <v>62</v>
      </c>
      <c r="AH15" s="52">
        <f t="shared" ref="AH15" si="33">AH13+1</f>
        <v>7</v>
      </c>
      <c r="AO15" s="516" t="str">
        <f t="shared" ref="AO15" ca="1" si="34">IF(AND(BI15="Continue",BJ15="Continue"),"No Error",IF(AND(BI15&lt;&gt;"Continue",BJ15="Continue"),BI15,IF(AND(BJ15&lt;&gt;"Continue",BI15="Continue"),BJ15,CONCATENATE(BI15,CHAR(10),BJ15))))</f>
        <v>No Error</v>
      </c>
      <c r="AP15" s="477" t="str" cm="1">
        <f t="array" ref="AP15">IF(ISBLANK(B15),"Continue",(IF(IFERROR(_xlfn.XMATCH(B15,LEFT('Reference Records'!$I$3:$I$21,32768),0),0)&lt;&gt;0,"Continue","Invalid indicator entry. Select from dropdown list.")))</f>
        <v>Continue</v>
      </c>
      <c r="AQ15" s="477" t="str">
        <f t="shared" ref="AQ15" si="35">IF(SUM(AR15:AV16)=0, "Continue", "Enter valid number only.")</f>
        <v>Continue</v>
      </c>
      <c r="AR15" s="150">
        <f t="shared" si="0"/>
        <v>0</v>
      </c>
      <c r="AS15" s="150">
        <f t="shared" si="1"/>
        <v>0</v>
      </c>
      <c r="AT15" s="150">
        <f t="shared" si="2"/>
        <v>0</v>
      </c>
      <c r="AU15" s="150">
        <f t="shared" si="3"/>
        <v>0</v>
      </c>
      <c r="AV15" s="150">
        <f t="shared" si="4"/>
        <v>0</v>
      </c>
      <c r="AW15" s="477">
        <f t="shared" ref="AW15" si="36">IF(NOT(ISBLANK(E15)),IF(E15&lt;&gt;"",(IF(NOT(ISNUMBER(E15)),1,0)),0),0)</f>
        <v>0</v>
      </c>
      <c r="AX15" s="477">
        <f t="shared" ref="AX15" ca="1" si="37">IF(NOT(ISBLANK(L15)),IF(L15&lt;&gt;"",(IF(NOT(ISNUMBER(L15)),1,0)),0),0)</f>
        <v>0</v>
      </c>
      <c r="AY15" s="477">
        <f t="shared" ref="AY15" ca="1" si="38">IF(NOT(ISBLANK(P15)),IF(P15&lt;&gt;"",(IF(NOT(ISNUMBER(P15)),1,0)),0),0)</f>
        <v>0</v>
      </c>
      <c r="AZ15" s="477">
        <f t="shared" ref="AZ15" si="39">IF(NOT(ISBLANK(T15)),IF(T15&lt;&gt;"",(IF(NOT(ISNUMBER(T15)),1,0)),0),0)</f>
        <v>0</v>
      </c>
      <c r="BA15" s="477">
        <f t="shared" ref="BA15" ca="1" si="40">IF(NOT(ISBLANK(X15)),IF(X15&lt;&gt;"",(IF(NOT(ISNUMBER(X15)),1,0)),0),0)</f>
        <v>0</v>
      </c>
      <c r="BB15" s="477" t="str">
        <f t="shared" ref="BB15" ca="1" si="41">IF(SUM(AW15:BA16)=0, "Continue", "Enter valid number only.")</f>
        <v>Continue</v>
      </c>
      <c r="BC15" s="477" t="str">
        <f t="shared" ref="BC15" ca="1" si="42">IF(AND(AQ15="Continue",BB15="Continue"),"Continue",IF(AND(AQ15&lt;&gt;"Continue",BB15="Continue"),AQ15,IF(AND(BB15&lt;&gt;"Continue",AQ15="Continue"),BB15,CONCATENATE(AQ15,CHAR(10)))))</f>
        <v>Continue</v>
      </c>
      <c r="BD15" s="159" t="b">
        <f>IFERROR(INDEX('Reference Records'!$O$3:$O$21,MATCH($B15,'Reference Records'!$I$3:$I$21,0)),"")</f>
        <v>0</v>
      </c>
      <c r="BE15" s="130" t="str">
        <f t="shared" si="5"/>
        <v>Continue</v>
      </c>
      <c r="BF15" s="130" t="str">
        <f t="shared" si="6"/>
        <v>Continue</v>
      </c>
      <c r="BG15" s="130" t="str">
        <f t="shared" si="7"/>
        <v>Continue</v>
      </c>
      <c r="BH15" s="477" t="str">
        <f t="shared" ref="BH15" ca="1" si="43">IF(AND(AP15="Continue",BC15="Continue"),"Continue",IF(AND(AP15&lt;&gt;"Continue",BC15="Continue"),AP15,IF(AND(BC15&lt;&gt;"Continue",AP15="Continue"),BC15,CONCATENATE(AP15,CHAR(10),BC15))))</f>
        <v>Continue</v>
      </c>
      <c r="BI15" s="477" t="str">
        <f t="shared" ref="BI15" si="44">IF(AND(B15="",C15=""),"Continue",
IF(AND(B15="",C15&lt;&gt;""),"Continue",
IF(AND(B15&lt;&gt;"",C15=""),"Continue",
IF(AND(B15&lt;&gt;"",C15&lt;&gt;""),"Cannot enter both standard and custom indicators on the same line."))))</f>
        <v>Continue</v>
      </c>
      <c r="BJ15" s="477" t="str">
        <f t="shared" ref="BJ15" ca="1" si="45">IF(AND(BE15="Continue",BH15="Continue"),"Continue",IF(AND(BE15&lt;&gt;"Continue",BH15="Continue"),BE15,IF(AND(BH15&lt;&gt;"Continue",BE15="Continue"),BH15,CONCATENATE(BE15,CHAR(10),BH15))))</f>
        <v>Continue</v>
      </c>
    </row>
    <row r="16" spans="1:63" ht="42.6" customHeight="1" x14ac:dyDescent="0.25">
      <c r="A16" s="488"/>
      <c r="B16" s="502"/>
      <c r="C16" s="502"/>
      <c r="D16" s="196"/>
      <c r="E16" s="504"/>
      <c r="F16" s="502"/>
      <c r="G16" s="502"/>
      <c r="H16" s="492"/>
      <c r="I16" s="508"/>
      <c r="J16" s="502"/>
      <c r="K16" s="196"/>
      <c r="L16" s="496"/>
      <c r="M16" s="498"/>
      <c r="N16" s="500"/>
      <c r="O16" s="196"/>
      <c r="P16" s="496"/>
      <c r="Q16" s="498"/>
      <c r="R16" s="500"/>
      <c r="S16" s="196"/>
      <c r="T16" s="496"/>
      <c r="U16" s="498"/>
      <c r="V16" s="500"/>
      <c r="W16" s="196"/>
      <c r="X16" s="496"/>
      <c r="Y16" s="498"/>
      <c r="Z16" s="500"/>
      <c r="AA16" s="502"/>
      <c r="AC16" s="480"/>
      <c r="AD16" s="480"/>
      <c r="AO16" s="516"/>
      <c r="AP16" s="477"/>
      <c r="AQ16" s="477"/>
      <c r="AR16" s="150">
        <f t="shared" si="0"/>
        <v>0</v>
      </c>
      <c r="AS16" s="150">
        <f t="shared" si="1"/>
        <v>0</v>
      </c>
      <c r="AT16" s="150">
        <f t="shared" si="2"/>
        <v>0</v>
      </c>
      <c r="AU16" s="150">
        <f t="shared" si="3"/>
        <v>0</v>
      </c>
      <c r="AV16" s="150">
        <f t="shared" si="4"/>
        <v>0</v>
      </c>
      <c r="AW16" s="477"/>
      <c r="AX16" s="477"/>
      <c r="AY16" s="477"/>
      <c r="AZ16" s="477"/>
      <c r="BA16" s="477"/>
      <c r="BB16" s="477"/>
      <c r="BC16" s="477"/>
      <c r="BD16" s="159" t="str">
        <f>IFERROR(INDEX('Reference Records'!$O$3:$O$21,MATCH($B16,'Reference Records'!$I$3:$I$21,0)),"")</f>
        <v/>
      </c>
      <c r="BE16" s="130" t="str">
        <f t="shared" si="5"/>
        <v>Continue</v>
      </c>
      <c r="BF16" s="130" t="str">
        <f t="shared" si="6"/>
        <v>Continue</v>
      </c>
      <c r="BG16" s="130" t="str">
        <f t="shared" si="7"/>
        <v>Continue</v>
      </c>
      <c r="BH16" s="477"/>
      <c r="BI16" s="477"/>
      <c r="BJ16" s="477"/>
    </row>
    <row r="17" spans="1:62" ht="30" customHeight="1" x14ac:dyDescent="0.25">
      <c r="A17" s="487">
        <v>5</v>
      </c>
      <c r="B17" s="478" t="s">
        <v>763</v>
      </c>
      <c r="C17" s="478"/>
      <c r="D17" s="193"/>
      <c r="E17" s="489">
        <v>0.16200000000000001</v>
      </c>
      <c r="F17" s="478">
        <v>2021</v>
      </c>
      <c r="G17" s="478" t="s">
        <v>756</v>
      </c>
      <c r="H17" s="491" t="str">
        <f>AB17</f>
        <v>Gender,Age</v>
      </c>
      <c r="I17" s="493" t="s">
        <v>752</v>
      </c>
      <c r="J17" s="478" t="s">
        <v>753</v>
      </c>
      <c r="K17" s="193"/>
      <c r="L17" s="481" t="str">
        <f ca="1">IF(OR(INDIRECT("'update Helper'!K"&amp;AG17)="",K17&lt;&gt;0,K18&lt;&gt;0),IF(IFERROR((K17/K18),"")="","",(K17/K18)),INDIRECT("'update Helper'!K"&amp;AG17)/100)</f>
        <v/>
      </c>
      <c r="M17" s="483"/>
      <c r="N17" s="485"/>
      <c r="O17" s="193"/>
      <c r="P17" s="481">
        <v>0.12</v>
      </c>
      <c r="Q17" s="483"/>
      <c r="R17" s="485"/>
      <c r="S17" s="193"/>
      <c r="T17" s="481" t="str">
        <f ca="1">IF(OR(INDIRECT("'update Helper'!K"&amp;AG17+2)="",S17&lt;&gt;0,S18&lt;&gt;0),IF(IFERROR((S17/S18),"")="","",(S17/S18)),INDIRECT("'update Helper'!K"&amp;AG17+2)/100)</f>
        <v/>
      </c>
      <c r="U17" s="483"/>
      <c r="V17" s="485"/>
      <c r="W17" s="193"/>
      <c r="X17" s="481" t="str">
        <f ca="1">IF(OR(INDIRECT("'update Helper'!K"&amp;AG17+3)="",W17&lt;&gt;0,W18&lt;&gt;0),IF(IFERROR((W17/W18),"")="","",(W17/W18)),INDIRECT("'update Helper'!K"&amp;AG17+3)/100)</f>
        <v/>
      </c>
      <c r="Y17" s="483"/>
      <c r="Z17" s="485"/>
      <c r="AA17" s="501" t="s">
        <v>764</v>
      </c>
      <c r="AB17" s="52" t="str">
        <f t="array" ref="AB17">IFERROR(IF(INDEX('Reference Records'!$D$4:$D$24,MATCH(LEFT(B17,255),LEFT('Reference Records'!$C$4:$C$24,255),0))=0,"",INDEX('Reference Records'!$D$4:$D$24,MATCH(LEFT(B17,255),LEFT('Reference Records'!$C$4:$C$24,255),0))),"")</f>
        <v>Gender,Age</v>
      </c>
      <c r="AC17" s="480" t="str">
        <f>IF(H17&lt;&gt;"",B17&amp;C17,"")</f>
        <v>HIV I-11⁽ᴹ⁾ Percentage of people who inject drugs who are living with HIV</v>
      </c>
      <c r="AD17" s="480" t="b">
        <f>IF(OR(B17&lt;&gt;"",C17&lt;&gt;""),TRUE,FALSE)</f>
        <v>1</v>
      </c>
      <c r="AE17" s="52" t="str">
        <f t="array" ref="AE17">IFERROR(IF(INDEX('Reference Records'!$G$4:$G$24,MATCH(LEFT(B17,255),LEFT('Reference Records'!$C$4:$C$24,255),0))=0,"",INDEX('Reference Records'!$G$4:$G$24,MATCH(LEFT(B17,255),LEFT('Reference Records'!$C$4:$C$24,255),0))),"")</f>
        <v>a1JDm000000k9bjMAA</v>
      </c>
      <c r="AG17" s="52">
        <f>AG15+'update Helper'!$R$2</f>
        <v>68</v>
      </c>
      <c r="AH17" s="52">
        <f t="shared" ref="AH17" si="46">AH15+1</f>
        <v>8</v>
      </c>
      <c r="AO17" s="516" t="str">
        <f t="shared" ref="AO17" ca="1" si="47">IF(AND(BI17="Continue",BJ17="Continue"),"No Error",IF(AND(BI17&lt;&gt;"Continue",BJ17="Continue"),BI17,IF(AND(BJ17&lt;&gt;"Continue",BI17="Continue"),BJ17,CONCATENATE(BI17,CHAR(10),BJ17))))</f>
        <v>No Error</v>
      </c>
      <c r="AP17" s="477" t="str" cm="1">
        <f t="array" ref="AP17">IF(ISBLANK(B17),"Continue",(IF(IFERROR(_xlfn.XMATCH(B17,LEFT('Reference Records'!$I$3:$I$21,32768),0),0)&lt;&gt;0,"Continue","Invalid indicator entry. Select from dropdown list.")))</f>
        <v>Continue</v>
      </c>
      <c r="AQ17" s="477" t="str">
        <f t="shared" ref="AQ17" si="48">IF(SUM(AR17:AV18)=0, "Continue", "Enter valid number only.")</f>
        <v>Continue</v>
      </c>
      <c r="AR17" s="150">
        <f t="shared" si="0"/>
        <v>0</v>
      </c>
      <c r="AS17" s="150">
        <f t="shared" si="1"/>
        <v>0</v>
      </c>
      <c r="AT17" s="150">
        <f t="shared" si="2"/>
        <v>0</v>
      </c>
      <c r="AU17" s="150">
        <f t="shared" si="3"/>
        <v>0</v>
      </c>
      <c r="AV17" s="150">
        <f t="shared" si="4"/>
        <v>0</v>
      </c>
      <c r="AW17" s="477">
        <f t="shared" ref="AW17" si="49">IF(NOT(ISBLANK(E17)),IF(E17&lt;&gt;"",(IF(NOT(ISNUMBER(E17)),1,0)),0),0)</f>
        <v>0</v>
      </c>
      <c r="AX17" s="477">
        <f t="shared" ref="AX17" ca="1" si="50">IF(NOT(ISBLANK(L17)),IF(L17&lt;&gt;"",(IF(NOT(ISNUMBER(L17)),1,0)),0),0)</f>
        <v>0</v>
      </c>
      <c r="AY17" s="477">
        <f t="shared" ref="AY17" si="51">IF(NOT(ISBLANK(P17)),IF(P17&lt;&gt;"",(IF(NOT(ISNUMBER(P17)),1,0)),0),0)</f>
        <v>0</v>
      </c>
      <c r="AZ17" s="477">
        <f t="shared" ref="AZ17" ca="1" si="52">IF(NOT(ISBLANK(T17)),IF(T17&lt;&gt;"",(IF(NOT(ISNUMBER(T17)),1,0)),0),0)</f>
        <v>0</v>
      </c>
      <c r="BA17" s="477">
        <f t="shared" ref="BA17" ca="1" si="53">IF(NOT(ISBLANK(X17)),IF(X17&lt;&gt;"",(IF(NOT(ISNUMBER(X17)),1,0)),0),0)</f>
        <v>0</v>
      </c>
      <c r="BB17" s="477" t="str">
        <f t="shared" ref="BB17" ca="1" si="54">IF(SUM(AW17:BA18)=0, "Continue", "Enter valid number only.")</f>
        <v>Continue</v>
      </c>
      <c r="BC17" s="477" t="str">
        <f t="shared" ref="BC17" ca="1" si="55">IF(AND(AQ17="Continue",BB17="Continue"),"Continue",IF(AND(AQ17&lt;&gt;"Continue",BB17="Continue"),AQ17,IF(AND(BB17&lt;&gt;"Continue",AQ17="Continue"),BB17,CONCATENATE(AQ17,CHAR(10)))))</f>
        <v>Continue</v>
      </c>
      <c r="BD17" s="159" t="b">
        <f>IFERROR(INDEX('Reference Records'!$O$3:$O$21,MATCH($B17,'Reference Records'!$I$3:$I$21,0)),"")</f>
        <v>0</v>
      </c>
      <c r="BE17" s="130" t="str">
        <f t="shared" si="5"/>
        <v>Continue</v>
      </c>
      <c r="BF17" s="130" t="str">
        <f t="shared" si="6"/>
        <v>Continue</v>
      </c>
      <c r="BG17" s="130" t="str">
        <f t="shared" si="7"/>
        <v>Continue</v>
      </c>
      <c r="BH17" s="477" t="str">
        <f t="shared" ref="BH17" ca="1" si="56">IF(AND(AP17="Continue",BC17="Continue"),"Continue",IF(AND(AP17&lt;&gt;"Continue",BC17="Continue"),AP17,IF(AND(BC17&lt;&gt;"Continue",AP17="Continue"),BC17,CONCATENATE(AP17,CHAR(10),BC17))))</f>
        <v>Continue</v>
      </c>
      <c r="BI17" s="477" t="str">
        <f t="shared" ref="BI17" si="57">IF(AND(B17="",C17=""),"Continue",
IF(AND(B17="",C17&lt;&gt;""),"Continue",
IF(AND(B17&lt;&gt;"",C17=""),"Continue",
IF(AND(B17&lt;&gt;"",C17&lt;&gt;""),"Cannot enter both standard and custom indicators on the same line."))))</f>
        <v>Continue</v>
      </c>
      <c r="BJ17" s="477" t="str">
        <f t="shared" ref="BJ17" ca="1" si="58">IF(AND(BE17="Continue",BH17="Continue"),"Continue",IF(AND(BE17&lt;&gt;"Continue",BH17="Continue"),BE17,IF(AND(BH17&lt;&gt;"Continue",BE17="Continue"),BH17,CONCATENATE(BE17,CHAR(10),BH17))))</f>
        <v>Continue</v>
      </c>
    </row>
    <row r="18" spans="1:62" ht="46.05" customHeight="1" x14ac:dyDescent="0.25">
      <c r="A18" s="488"/>
      <c r="B18" s="479"/>
      <c r="C18" s="479"/>
      <c r="D18" s="194"/>
      <c r="E18" s="490"/>
      <c r="F18" s="479"/>
      <c r="G18" s="479"/>
      <c r="H18" s="492"/>
      <c r="I18" s="494"/>
      <c r="J18" s="479"/>
      <c r="K18" s="194"/>
      <c r="L18" s="482"/>
      <c r="M18" s="484"/>
      <c r="N18" s="486"/>
      <c r="O18" s="194"/>
      <c r="P18" s="482"/>
      <c r="Q18" s="484"/>
      <c r="R18" s="486"/>
      <c r="S18" s="194"/>
      <c r="T18" s="482"/>
      <c r="U18" s="484"/>
      <c r="V18" s="486"/>
      <c r="W18" s="194"/>
      <c r="X18" s="482"/>
      <c r="Y18" s="484"/>
      <c r="Z18" s="486"/>
      <c r="AA18" s="502"/>
      <c r="AC18" s="480"/>
      <c r="AD18" s="480"/>
      <c r="AO18" s="516"/>
      <c r="AP18" s="477"/>
      <c r="AQ18" s="477"/>
      <c r="AR18" s="150">
        <f t="shared" si="0"/>
        <v>0</v>
      </c>
      <c r="AS18" s="150">
        <f t="shared" si="1"/>
        <v>0</v>
      </c>
      <c r="AT18" s="150">
        <f t="shared" si="2"/>
        <v>0</v>
      </c>
      <c r="AU18" s="150">
        <f t="shared" si="3"/>
        <v>0</v>
      </c>
      <c r="AV18" s="150">
        <f t="shared" si="4"/>
        <v>0</v>
      </c>
      <c r="AW18" s="477"/>
      <c r="AX18" s="477"/>
      <c r="AY18" s="477"/>
      <c r="AZ18" s="477"/>
      <c r="BA18" s="477"/>
      <c r="BB18" s="477"/>
      <c r="BC18" s="477"/>
      <c r="BD18" s="159" t="str">
        <f>IFERROR(INDEX('Reference Records'!$O$3:$O$21,MATCH($B18,'Reference Records'!$I$3:$I$21,0)),"")</f>
        <v/>
      </c>
      <c r="BE18" s="130" t="str">
        <f t="shared" si="5"/>
        <v>Continue</v>
      </c>
      <c r="BF18" s="130" t="str">
        <f t="shared" si="6"/>
        <v>Continue</v>
      </c>
      <c r="BG18" s="130" t="str">
        <f t="shared" si="7"/>
        <v>Continue</v>
      </c>
      <c r="BH18" s="477"/>
      <c r="BI18" s="477"/>
      <c r="BJ18" s="477"/>
    </row>
    <row r="19" spans="1:62" ht="30" customHeight="1" x14ac:dyDescent="0.25">
      <c r="A19" s="487">
        <v>6</v>
      </c>
      <c r="B19" s="501" t="s">
        <v>765</v>
      </c>
      <c r="C19" s="501"/>
      <c r="D19" s="195">
        <v>3.7</v>
      </c>
      <c r="E19" s="503"/>
      <c r="F19" s="501">
        <v>2021</v>
      </c>
      <c r="G19" s="501" t="s">
        <v>766</v>
      </c>
      <c r="H19" s="491" t="str">
        <f>AB19</f>
        <v/>
      </c>
      <c r="I19" s="507" t="s">
        <v>752</v>
      </c>
      <c r="J19" s="501" t="s">
        <v>753</v>
      </c>
      <c r="K19" s="195">
        <v>2.7</v>
      </c>
      <c r="L19" s="495" t="str">
        <f ca="1">IF(OR(INDIRECT("'update Helper'!K"&amp;AG19)="",K19&lt;&gt;0,K20&lt;&gt;0),IF(IFERROR((K19/K20),"")="","",(K19/K20)),INDIRECT("'update Helper'!K"&amp;AG19)/100)</f>
        <v/>
      </c>
      <c r="M19" s="497">
        <v>45748</v>
      </c>
      <c r="N19" s="499"/>
      <c r="O19" s="195"/>
      <c r="P19" s="495" t="str">
        <f ca="1">IF(OR(INDIRECT("'update Helper'!K"&amp;AG19+1)="",O19&lt;&gt;0,O20&lt;&gt;0),IF(IFERROR((O19/O20),"")="","",(O19/O20)),INDIRECT("'update Helper'!K"&amp;AG19+1)/100)</f>
        <v/>
      </c>
      <c r="Q19" s="497"/>
      <c r="R19" s="499"/>
      <c r="S19" s="195">
        <v>2.5</v>
      </c>
      <c r="T19" s="495" t="str">
        <f ca="1">IF(OR(INDIRECT("'update Helper'!K"&amp;AG19+2)="",S19&lt;&gt;0,S20&lt;&gt;0),IF(IFERROR((S19/S20),"")="","",(S19/S20)),INDIRECT("'update Helper'!K"&amp;AG19+2)/100)</f>
        <v/>
      </c>
      <c r="U19" s="497">
        <v>46113</v>
      </c>
      <c r="V19" s="499"/>
      <c r="W19" s="195">
        <v>2.2999999999999998</v>
      </c>
      <c r="X19" s="495" t="str">
        <f ca="1">IF(OR(INDIRECT("'update Helper'!K"&amp;AG19+3)="",W19&lt;&gt;0,W20&lt;&gt;0),IF(IFERROR((W19/W20),"")="","",(W19/W20)),INDIRECT("'update Helper'!K"&amp;AG19+3)/100)</f>
        <v/>
      </c>
      <c r="Y19" s="497">
        <v>46478</v>
      </c>
      <c r="Z19" s="499"/>
      <c r="AA19" s="501" t="s">
        <v>767</v>
      </c>
      <c r="AB19" s="52" t="str">
        <f t="array" ref="AB19">IFERROR(IF(INDEX('Reference Records'!$D$4:$D$24,MATCH(LEFT(B19,255),LEFT('Reference Records'!$C$4:$C$24,255),0))=0,"",INDEX('Reference Records'!$D$4:$D$24,MATCH(LEFT(B19,255),LEFT('Reference Records'!$C$4:$C$24,255),0))),"")</f>
        <v/>
      </c>
      <c r="AC19" s="480" t="str">
        <f>IF(H19&lt;&gt;"",B19&amp;C19,"")</f>
        <v/>
      </c>
      <c r="AD19" s="480" t="b">
        <f>IF(OR(B19&lt;&gt;"",C19&lt;&gt;""),TRUE,FALSE)</f>
        <v>1</v>
      </c>
      <c r="AE19" s="52" t="str">
        <f t="array" ref="AE19">IFERROR(IF(INDEX('Reference Records'!$G$4:$G$24,MATCH(LEFT(B19,255),LEFT('Reference Records'!$C$4:$C$24,255),0))=0,"",INDEX('Reference Records'!$G$4:$G$24,MATCH(LEFT(B19,255),LEFT('Reference Records'!$C$4:$C$24,255),0))),"")</f>
        <v>a1JDm000000k9boMAA</v>
      </c>
      <c r="AG19" s="52">
        <f>AG17+'update Helper'!$R$2</f>
        <v>74</v>
      </c>
      <c r="AH19" s="52">
        <f t="shared" ref="AH19" si="59">AH17+1</f>
        <v>9</v>
      </c>
      <c r="AO19" s="516" t="str">
        <f t="shared" ref="AO19" ca="1" si="60">IF(AND(BI19="Continue",BJ19="Continue"),"No Error",IF(AND(BI19&lt;&gt;"Continue",BJ19="Continue"),BI19,IF(AND(BJ19&lt;&gt;"Continue",BI19="Continue"),BJ19,CONCATENATE(BI19,CHAR(10),BJ19))))</f>
        <v>No Error</v>
      </c>
      <c r="AP19" s="477" t="str" cm="1">
        <f t="array" ref="AP19">IF(ISBLANK(B19),"Continue",(IF(IFERROR(_xlfn.XMATCH(B19,LEFT('Reference Records'!$I$3:$I$21,32768),0),0)&lt;&gt;0,"Continue","Invalid indicator entry. Select from dropdown list.")))</f>
        <v>Continue</v>
      </c>
      <c r="AQ19" s="477" t="str">
        <f t="shared" ref="AQ19" si="61">IF(SUM(AR19:AV20)=0, "Continue", "Enter valid number only.")</f>
        <v>Continue</v>
      </c>
      <c r="AR19" s="150">
        <f t="shared" si="0"/>
        <v>0</v>
      </c>
      <c r="AS19" s="150">
        <f t="shared" si="1"/>
        <v>0</v>
      </c>
      <c r="AT19" s="150">
        <f t="shared" si="2"/>
        <v>0</v>
      </c>
      <c r="AU19" s="150">
        <f t="shared" si="3"/>
        <v>0</v>
      </c>
      <c r="AV19" s="150">
        <f t="shared" si="4"/>
        <v>0</v>
      </c>
      <c r="AW19" s="477">
        <f t="shared" ref="AW19" si="62">IF(NOT(ISBLANK(E19)),IF(E19&lt;&gt;"",(IF(NOT(ISNUMBER(E19)),1,0)),0),0)</f>
        <v>0</v>
      </c>
      <c r="AX19" s="477">
        <f t="shared" ref="AX19" ca="1" si="63">IF(NOT(ISBLANK(L19)),IF(L19&lt;&gt;"",(IF(NOT(ISNUMBER(L19)),1,0)),0),0)</f>
        <v>0</v>
      </c>
      <c r="AY19" s="477">
        <f t="shared" ref="AY19" ca="1" si="64">IF(NOT(ISBLANK(P19)),IF(P19&lt;&gt;"",(IF(NOT(ISNUMBER(P19)),1,0)),0),0)</f>
        <v>0</v>
      </c>
      <c r="AZ19" s="477">
        <f t="shared" ref="AZ19" ca="1" si="65">IF(NOT(ISBLANK(T19)),IF(T19&lt;&gt;"",(IF(NOT(ISNUMBER(T19)),1,0)),0),0)</f>
        <v>0</v>
      </c>
      <c r="BA19" s="477">
        <f t="shared" ref="BA19" ca="1" si="66">IF(NOT(ISBLANK(X19)),IF(X19&lt;&gt;"",(IF(NOT(ISNUMBER(X19)),1,0)),0),0)</f>
        <v>0</v>
      </c>
      <c r="BB19" s="477" t="str">
        <f t="shared" ref="BB19" ca="1" si="67">IF(SUM(AW19:BA20)=0, "Continue", "Enter valid number only.")</f>
        <v>Continue</v>
      </c>
      <c r="BC19" s="477" t="str">
        <f t="shared" ref="BC19" ca="1" si="68">IF(AND(AQ19="Continue",BB19="Continue"),"Continue",IF(AND(AQ19&lt;&gt;"Continue",BB19="Continue"),AQ19,IF(AND(BB19&lt;&gt;"Continue",AQ19="Continue"),BB19,CONCATENATE(AQ19,CHAR(10)))))</f>
        <v>Continue</v>
      </c>
      <c r="BD19" s="159" t="b">
        <f>IFERROR(INDEX('Reference Records'!$O$3:$O$21,MATCH($B19,'Reference Records'!$I$3:$I$21,0)),"")</f>
        <v>1</v>
      </c>
      <c r="BE19" s="130" t="str">
        <f t="shared" ca="1" si="5"/>
        <v>Continue</v>
      </c>
      <c r="BF19" s="130" t="str">
        <f t="shared" si="6"/>
        <v>Continue</v>
      </c>
      <c r="BG19" s="130" t="str">
        <f t="shared" ca="1" si="7"/>
        <v>Continue</v>
      </c>
      <c r="BH19" s="477" t="str">
        <f t="shared" ref="BH19" ca="1" si="69">IF(AND(AP19="Continue",BC19="Continue"),"Continue",IF(AND(AP19&lt;&gt;"Continue",BC19="Continue"),AP19,IF(AND(BC19&lt;&gt;"Continue",AP19="Continue"),BC19,CONCATENATE(AP19,CHAR(10),BC19))))</f>
        <v>Continue</v>
      </c>
      <c r="BI19" s="477" t="str">
        <f t="shared" ref="BI19" si="70">IF(AND(B19="",C19=""),"Continue",
IF(AND(B19="",C19&lt;&gt;""),"Continue",
IF(AND(B19&lt;&gt;"",C19=""),"Continue",
IF(AND(B19&lt;&gt;"",C19&lt;&gt;""),"Cannot enter both standard and custom indicators on the same line."))))</f>
        <v>Continue</v>
      </c>
      <c r="BJ19" s="477" t="str">
        <f t="shared" ref="BJ19" ca="1" si="71">IF(AND(BE19="Continue",BH19="Continue"),"Continue",IF(AND(BE19&lt;&gt;"Continue",BH19="Continue"),BE19,IF(AND(BH19&lt;&gt;"Continue",BE19="Continue"),BH19,CONCATENATE(BE19,CHAR(10),BH19))))</f>
        <v>Continue</v>
      </c>
    </row>
    <row r="20" spans="1:62" ht="30" customHeight="1" x14ac:dyDescent="0.25">
      <c r="A20" s="488"/>
      <c r="B20" s="502"/>
      <c r="C20" s="502"/>
      <c r="D20" s="196"/>
      <c r="E20" s="504"/>
      <c r="F20" s="502"/>
      <c r="G20" s="502"/>
      <c r="H20" s="492"/>
      <c r="I20" s="508"/>
      <c r="J20" s="502"/>
      <c r="K20" s="196"/>
      <c r="L20" s="496"/>
      <c r="M20" s="498"/>
      <c r="N20" s="500"/>
      <c r="O20" s="196"/>
      <c r="P20" s="496"/>
      <c r="Q20" s="498"/>
      <c r="R20" s="500"/>
      <c r="S20" s="196"/>
      <c r="T20" s="496"/>
      <c r="U20" s="498"/>
      <c r="V20" s="500"/>
      <c r="W20" s="196"/>
      <c r="X20" s="496"/>
      <c r="Y20" s="498"/>
      <c r="Z20" s="500"/>
      <c r="AA20" s="502"/>
      <c r="AC20" s="480"/>
      <c r="AD20" s="480"/>
      <c r="AO20" s="516"/>
      <c r="AP20" s="477"/>
      <c r="AQ20" s="477"/>
      <c r="AR20" s="150">
        <f t="shared" si="0"/>
        <v>0</v>
      </c>
      <c r="AS20" s="150">
        <f t="shared" si="1"/>
        <v>0</v>
      </c>
      <c r="AT20" s="150">
        <f t="shared" si="2"/>
        <v>0</v>
      </c>
      <c r="AU20" s="150">
        <f t="shared" si="3"/>
        <v>0</v>
      </c>
      <c r="AV20" s="150">
        <f t="shared" si="4"/>
        <v>0</v>
      </c>
      <c r="AW20" s="477"/>
      <c r="AX20" s="477"/>
      <c r="AY20" s="477"/>
      <c r="AZ20" s="477"/>
      <c r="BA20" s="477"/>
      <c r="BB20" s="477"/>
      <c r="BC20" s="477"/>
      <c r="BD20" s="159" t="str">
        <f>IFERROR(INDEX('Reference Records'!$O$3:$O$21,MATCH($B20,'Reference Records'!$I$3:$I$21,0)),"")</f>
        <v/>
      </c>
      <c r="BE20" s="130" t="str">
        <f t="shared" si="5"/>
        <v>Continue</v>
      </c>
      <c r="BF20" s="130" t="str">
        <f t="shared" si="6"/>
        <v>Continue</v>
      </c>
      <c r="BG20" s="130" t="str">
        <f t="shared" si="7"/>
        <v>Continue</v>
      </c>
      <c r="BH20" s="477"/>
      <c r="BI20" s="477"/>
      <c r="BJ20" s="477"/>
    </row>
    <row r="21" spans="1:62" ht="30" customHeight="1" x14ac:dyDescent="0.25">
      <c r="A21" s="487">
        <v>7</v>
      </c>
      <c r="B21" s="478" t="s">
        <v>768</v>
      </c>
      <c r="C21" s="478"/>
      <c r="D21" s="193">
        <v>500</v>
      </c>
      <c r="E21" s="489">
        <f ca="1">IF(OR(INDIRECT("'update Helper'!D"&amp;AH21)="",D21&lt;&gt;0,D22&lt;&gt;0),IF(IFERROR((D21/D22),"")="","",(D21/D22)),INDIRECT("'update Helper'!D"&amp;AH21)/100)</f>
        <v>0.25879917184265011</v>
      </c>
      <c r="F21" s="478">
        <v>2021</v>
      </c>
      <c r="G21" s="478" t="s">
        <v>766</v>
      </c>
      <c r="H21" s="491" t="str">
        <f>AB21</f>
        <v/>
      </c>
      <c r="I21" s="493" t="s">
        <v>752</v>
      </c>
      <c r="J21" s="478" t="s">
        <v>753</v>
      </c>
      <c r="K21" s="193"/>
      <c r="L21" s="481">
        <v>0.245</v>
      </c>
      <c r="M21" s="483">
        <v>45748</v>
      </c>
      <c r="N21" s="485"/>
      <c r="O21" s="193"/>
      <c r="P21" s="481">
        <v>0.24</v>
      </c>
      <c r="Q21" s="483">
        <v>46113</v>
      </c>
      <c r="R21" s="485"/>
      <c r="S21" s="193"/>
      <c r="T21" s="481">
        <v>0.23499999999999999</v>
      </c>
      <c r="U21" s="483">
        <v>46478</v>
      </c>
      <c r="V21" s="485"/>
      <c r="W21" s="193"/>
      <c r="X21" s="481" t="str">
        <f ca="1">IF(OR(INDIRECT("'update Helper'!K"&amp;AG21+3)="",W21&lt;&gt;0,W22&lt;&gt;0),IF(IFERROR((W21/W22),"")="","",(W21/W22)),INDIRECT("'update Helper'!K"&amp;AG21+3)/100)</f>
        <v/>
      </c>
      <c r="Y21" s="483"/>
      <c r="Z21" s="485"/>
      <c r="AA21" s="478" t="s">
        <v>769</v>
      </c>
      <c r="AB21" s="52" t="str">
        <f t="array" ref="AB21">IFERROR(IF(INDEX('Reference Records'!$D$4:$D$24,MATCH(LEFT(B21,255),LEFT('Reference Records'!$C$4:$C$24,255),0))=0,"",INDEX('Reference Records'!$D$4:$D$24,MATCH(LEFT(B21,255),LEFT('Reference Records'!$C$4:$C$24,255),0))),"")</f>
        <v/>
      </c>
      <c r="AC21" s="480" t="str">
        <f>IF(H21&lt;&gt;"",B21&amp;C21,"")</f>
        <v/>
      </c>
      <c r="AD21" s="480" t="b">
        <f>IF(OR(B21&lt;&gt;"",C21&lt;&gt;""),TRUE,FALSE)</f>
        <v>1</v>
      </c>
      <c r="AE21" s="52" t="str">
        <f t="array" ref="AE21">IFERROR(IF(INDEX('Reference Records'!$G$4:$G$24,MATCH(LEFT(B21,255),LEFT('Reference Records'!$C$4:$C$24,255),0))=0,"",INDEX('Reference Records'!$G$4:$G$24,MATCH(LEFT(B21,255),LEFT('Reference Records'!$C$4:$C$24,255),0))),"")</f>
        <v>a1JDm000000k9bpMAA</v>
      </c>
      <c r="AG21" s="52">
        <f>AG19+'update Helper'!$R$2</f>
        <v>80</v>
      </c>
      <c r="AH21" s="52">
        <f t="shared" ref="AH21" si="72">AH19+1</f>
        <v>10</v>
      </c>
      <c r="AO21" s="516" t="str">
        <f t="shared" ref="AO21" ca="1" si="73">IF(AND(BI21="Continue",BJ21="Continue"),"No Error",IF(AND(BI21&lt;&gt;"Continue",BJ21="Continue"),BI21,IF(AND(BJ21&lt;&gt;"Continue",BI21="Continue"),BJ21,CONCATENATE(BI21,CHAR(10),BJ21))))</f>
        <v>No Error</v>
      </c>
      <c r="AP21" s="477" t="str" cm="1">
        <f t="array" ref="AP21">IF(ISBLANK(B21),"Continue",(IF(IFERROR(_xlfn.XMATCH(B21,LEFT('Reference Records'!$I$3:$I$21,32768),0),0)&lt;&gt;0,"Continue","Invalid indicator entry. Select from dropdown list.")))</f>
        <v>Continue</v>
      </c>
      <c r="AQ21" s="477" t="str">
        <f t="shared" ref="AQ21" si="74">IF(SUM(AR21:AV22)=0, "Continue", "Enter valid number only.")</f>
        <v>Continue</v>
      </c>
      <c r="AR21" s="150">
        <f t="shared" si="0"/>
        <v>0</v>
      </c>
      <c r="AS21" s="150">
        <f t="shared" si="1"/>
        <v>0</v>
      </c>
      <c r="AT21" s="150">
        <f t="shared" si="2"/>
        <v>0</v>
      </c>
      <c r="AU21" s="150">
        <f t="shared" si="3"/>
        <v>0</v>
      </c>
      <c r="AV21" s="150">
        <f t="shared" si="4"/>
        <v>0</v>
      </c>
      <c r="AW21" s="477">
        <f t="shared" ref="AW21" ca="1" si="75">IF(NOT(ISBLANK(E21)),IF(E21&lt;&gt;"",(IF(NOT(ISNUMBER(E21)),1,0)),0),0)</f>
        <v>0</v>
      </c>
      <c r="AX21" s="477">
        <f t="shared" ref="AX21" si="76">IF(NOT(ISBLANK(L21)),IF(L21&lt;&gt;"",(IF(NOT(ISNUMBER(L21)),1,0)),0),0)</f>
        <v>0</v>
      </c>
      <c r="AY21" s="477">
        <f t="shared" ref="AY21" si="77">IF(NOT(ISBLANK(P21)),IF(P21&lt;&gt;"",(IF(NOT(ISNUMBER(P21)),1,0)),0),0)</f>
        <v>0</v>
      </c>
      <c r="AZ21" s="477">
        <f t="shared" ref="AZ21" si="78">IF(NOT(ISBLANK(T21)),IF(T21&lt;&gt;"",(IF(NOT(ISNUMBER(T21)),1,0)),0),0)</f>
        <v>0</v>
      </c>
      <c r="BA21" s="477">
        <f t="shared" ref="BA21" ca="1" si="79">IF(NOT(ISBLANK(X21)),IF(X21&lt;&gt;"",(IF(NOT(ISNUMBER(X21)),1,0)),0),0)</f>
        <v>0</v>
      </c>
      <c r="BB21" s="477" t="str">
        <f t="shared" ref="BB21" ca="1" si="80">IF(SUM(AW21:BA22)=0, "Continue", "Enter valid number only.")</f>
        <v>Continue</v>
      </c>
      <c r="BC21" s="477" t="str">
        <f t="shared" ref="BC21" ca="1" si="81">IF(AND(AQ21="Continue",BB21="Continue"),"Continue",IF(AND(AQ21&lt;&gt;"Continue",BB21="Continue"),AQ21,IF(AND(BB21&lt;&gt;"Continue",AQ21="Continue"),BB21,CONCATENATE(AQ21,CHAR(10)))))</f>
        <v>Continue</v>
      </c>
      <c r="BD21" s="159" t="b">
        <f>IFERROR(INDEX('Reference Records'!$O$3:$O$21,MATCH($B21,'Reference Records'!$I$3:$I$21,0)),"")</f>
        <v>0</v>
      </c>
      <c r="BE21" s="130" t="str">
        <f t="shared" si="5"/>
        <v>Continue</v>
      </c>
      <c r="BF21" s="130" t="str">
        <f t="shared" si="6"/>
        <v>Continue</v>
      </c>
      <c r="BG21" s="130" t="str">
        <f t="shared" si="7"/>
        <v>Continue</v>
      </c>
      <c r="BH21" s="477" t="str">
        <f t="shared" ref="BH21" ca="1" si="82">IF(AND(AP21="Continue",BC21="Continue"),"Continue",IF(AND(AP21&lt;&gt;"Continue",BC21="Continue"),AP21,IF(AND(BC21&lt;&gt;"Continue",AP21="Continue"),BC21,CONCATENATE(AP21,CHAR(10),BC21))))</f>
        <v>Continue</v>
      </c>
      <c r="BI21" s="477" t="str">
        <f t="shared" ref="BI21" si="83">IF(AND(B21="",C21=""),"Continue",
IF(AND(B21="",C21&lt;&gt;""),"Continue",
IF(AND(B21&lt;&gt;"",C21=""),"Continue",
IF(AND(B21&lt;&gt;"",C21&lt;&gt;""),"Cannot enter both standard and custom indicators on the same line."))))</f>
        <v>Continue</v>
      </c>
      <c r="BJ21" s="477" t="str">
        <f t="shared" ref="BJ21" ca="1" si="84">IF(AND(BE21="Continue",BH21="Continue"),"Continue",IF(AND(BE21&lt;&gt;"Continue",BH21="Continue"),BE21,IF(AND(BH21&lt;&gt;"Continue",BE21="Continue"),BH21,CONCATENATE(BE21,CHAR(10),BH21))))</f>
        <v>Continue</v>
      </c>
    </row>
    <row r="22" spans="1:62" ht="30" customHeight="1" x14ac:dyDescent="0.25">
      <c r="A22" s="488"/>
      <c r="B22" s="479"/>
      <c r="C22" s="479"/>
      <c r="D22" s="194">
        <v>1932</v>
      </c>
      <c r="E22" s="490"/>
      <c r="F22" s="479"/>
      <c r="G22" s="479"/>
      <c r="H22" s="492"/>
      <c r="I22" s="494"/>
      <c r="J22" s="479"/>
      <c r="K22" s="194"/>
      <c r="L22" s="482"/>
      <c r="M22" s="484"/>
      <c r="N22" s="486"/>
      <c r="O22" s="194"/>
      <c r="P22" s="482"/>
      <c r="Q22" s="484"/>
      <c r="R22" s="486"/>
      <c r="S22" s="194"/>
      <c r="T22" s="482"/>
      <c r="U22" s="484"/>
      <c r="V22" s="486"/>
      <c r="W22" s="194"/>
      <c r="X22" s="482"/>
      <c r="Y22" s="484"/>
      <c r="Z22" s="486"/>
      <c r="AA22" s="479"/>
      <c r="AC22" s="480"/>
      <c r="AD22" s="480"/>
      <c r="AO22" s="516"/>
      <c r="AP22" s="477"/>
      <c r="AQ22" s="477"/>
      <c r="AR22" s="150">
        <f t="shared" si="0"/>
        <v>0</v>
      </c>
      <c r="AS22" s="150">
        <f t="shared" si="1"/>
        <v>0</v>
      </c>
      <c r="AT22" s="150">
        <f t="shared" si="2"/>
        <v>0</v>
      </c>
      <c r="AU22" s="150">
        <f t="shared" si="3"/>
        <v>0</v>
      </c>
      <c r="AV22" s="150">
        <f t="shared" si="4"/>
        <v>0</v>
      </c>
      <c r="AW22" s="477"/>
      <c r="AX22" s="477"/>
      <c r="AY22" s="477"/>
      <c r="AZ22" s="477"/>
      <c r="BA22" s="477"/>
      <c r="BB22" s="477"/>
      <c r="BC22" s="477"/>
      <c r="BD22" s="159" t="str">
        <f>IFERROR(INDEX('Reference Records'!$O$3:$O$21,MATCH($B22,'Reference Records'!$I$3:$I$21,0)),"")</f>
        <v/>
      </c>
      <c r="BE22" s="130" t="str">
        <f t="shared" si="5"/>
        <v>Continue</v>
      </c>
      <c r="BF22" s="130" t="str">
        <f t="shared" si="6"/>
        <v>Continue</v>
      </c>
      <c r="BG22" s="130" t="str">
        <f t="shared" si="7"/>
        <v>Continue</v>
      </c>
      <c r="BH22" s="477"/>
      <c r="BI22" s="477"/>
      <c r="BJ22" s="477"/>
    </row>
    <row r="23" spans="1:62" ht="30" customHeight="1" x14ac:dyDescent="0.25">
      <c r="A23" s="487">
        <v>8</v>
      </c>
      <c r="B23" s="501"/>
      <c r="C23" s="501"/>
      <c r="D23" s="195"/>
      <c r="E23" s="503" t="str">
        <f ca="1">IF(OR(INDIRECT("'update Helper'!D"&amp;AH23)="",D23&lt;&gt;0,D24&lt;&gt;0),IF(IFERROR((D23/D24),"")="","",(D23/D24)),INDIRECT("'update Helper'!D"&amp;AH23)/100)</f>
        <v/>
      </c>
      <c r="F23" s="501"/>
      <c r="G23" s="501"/>
      <c r="H23" s="491" t="str">
        <f>AB23</f>
        <v/>
      </c>
      <c r="I23" s="505"/>
      <c r="J23" s="501"/>
      <c r="K23" s="195"/>
      <c r="L23" s="495" t="str">
        <f ca="1">IF(OR(INDIRECT("'update Helper'!K"&amp;AG23)="",K23&lt;&gt;0,K24&lt;&gt;0),IF(IFERROR((K23/K24),"")="","",(K23/K24)),INDIRECT("'update Helper'!K"&amp;AG23)/100)</f>
        <v/>
      </c>
      <c r="M23" s="497"/>
      <c r="N23" s="499"/>
      <c r="O23" s="195"/>
      <c r="P23" s="495" t="str">
        <f ca="1">IF(OR(INDIRECT("'update Helper'!K"&amp;AG23+1)="",O23&lt;&gt;0,O24&lt;&gt;0),IF(IFERROR((O23/O24),"")="","",(O23/O24)),INDIRECT("'update Helper'!K"&amp;AG23+1)/100)</f>
        <v/>
      </c>
      <c r="Q23" s="497"/>
      <c r="R23" s="499"/>
      <c r="S23" s="195"/>
      <c r="T23" s="495" t="str">
        <f ca="1">IF(OR(INDIRECT("'update Helper'!K"&amp;AG23+2)="",S23&lt;&gt;0,S24&lt;&gt;0),IF(IFERROR((S23/S24),"")="","",(S23/S24)),INDIRECT("'update Helper'!K"&amp;AG23+2)/100)</f>
        <v/>
      </c>
      <c r="U23" s="497"/>
      <c r="V23" s="499"/>
      <c r="W23" s="195"/>
      <c r="X23" s="495" t="str">
        <f ca="1">IF(OR(INDIRECT("'update Helper'!K"&amp;AG23+3)="",W23&lt;&gt;0,W24&lt;&gt;0),IF(IFERROR((W23/W24),"")="","",(W23/W24)),INDIRECT("'update Helper'!K"&amp;AG23+3)/100)</f>
        <v/>
      </c>
      <c r="Y23" s="497"/>
      <c r="Z23" s="499"/>
      <c r="AA23" s="501"/>
      <c r="AB23" s="52" t="str">
        <f t="array" ref="AB23">IFERROR(IF(INDEX('Reference Records'!$D$4:$D$24,MATCH(LEFT(B23,255),LEFT('Reference Records'!$C$4:$C$24,255),0))=0,"",INDEX('Reference Records'!$D$4:$D$24,MATCH(LEFT(B23,255),LEFT('Reference Records'!$C$4:$C$24,255),0))),"")</f>
        <v/>
      </c>
      <c r="AC23" s="480" t="str">
        <f>IF(H23&lt;&gt;"",B23&amp;C23,"")</f>
        <v/>
      </c>
      <c r="AD23" s="480" t="b">
        <f>IF(OR(B23&lt;&gt;"",C23&lt;&gt;""),TRUE,FALSE)</f>
        <v>0</v>
      </c>
      <c r="AE23" s="52" t="str">
        <f t="array" ref="AE23">IFERROR(IF(INDEX('Reference Records'!$G$4:$G$24,MATCH(LEFT(B23,255),LEFT('Reference Records'!$C$4:$C$24,255),0))=0,"",INDEX('Reference Records'!$G$4:$G$24,MATCH(LEFT(B23,255),LEFT('Reference Records'!$C$4:$C$24,255),0))),"")</f>
        <v/>
      </c>
      <c r="AG23" s="52">
        <f>AG21+'update Helper'!$R$2</f>
        <v>86</v>
      </c>
      <c r="AH23" s="52">
        <f t="shared" ref="AH23" si="85">AH21+1</f>
        <v>11</v>
      </c>
      <c r="AO23" s="516" t="str">
        <f t="shared" ref="AO23" ca="1" si="86">IF(AND(BI23="Continue",BJ23="Continue"),"No Error",IF(AND(BI23&lt;&gt;"Continue",BJ23="Continue"),BI23,IF(AND(BJ23&lt;&gt;"Continue",BI23="Continue"),BJ23,CONCATENATE(BI23,CHAR(10),BJ23))))</f>
        <v>No Error</v>
      </c>
      <c r="AP23" s="477" t="str" cm="1">
        <f t="array" ref="AP23">IF(ISBLANK(B23),"Continue",(IF(IFERROR(_xlfn.XMATCH(B23,LEFT('Reference Records'!$I$3:$I$21,32768),0),0)&lt;&gt;0,"Continue","Invalid indicator entry. Select from dropdown list.")))</f>
        <v>Continue</v>
      </c>
      <c r="AQ23" s="477" t="str">
        <f t="shared" ref="AQ23" si="87">IF(SUM(AR23:AV24)=0, "Continue", "Enter valid number only.")</f>
        <v>Continue</v>
      </c>
      <c r="AR23" s="150">
        <f t="shared" si="0"/>
        <v>0</v>
      </c>
      <c r="AS23" s="150">
        <f t="shared" si="1"/>
        <v>0</v>
      </c>
      <c r="AT23" s="150">
        <f t="shared" si="2"/>
        <v>0</v>
      </c>
      <c r="AU23" s="150">
        <f t="shared" si="3"/>
        <v>0</v>
      </c>
      <c r="AV23" s="150">
        <f t="shared" si="4"/>
        <v>0</v>
      </c>
      <c r="AW23" s="477">
        <f t="shared" ref="AW23" ca="1" si="88">IF(NOT(ISBLANK(E23)),IF(E23&lt;&gt;"",(IF(NOT(ISNUMBER(E23)),1,0)),0),0)</f>
        <v>0</v>
      </c>
      <c r="AX23" s="477">
        <f t="shared" ref="AX23" ca="1" si="89">IF(NOT(ISBLANK(L23)),IF(L23&lt;&gt;"",(IF(NOT(ISNUMBER(L23)),1,0)),0),0)</f>
        <v>0</v>
      </c>
      <c r="AY23" s="477">
        <f t="shared" ref="AY23" ca="1" si="90">IF(NOT(ISBLANK(P23)),IF(P23&lt;&gt;"",(IF(NOT(ISNUMBER(P23)),1,0)),0),0)</f>
        <v>0</v>
      </c>
      <c r="AZ23" s="477">
        <f t="shared" ref="AZ23" ca="1" si="91">IF(NOT(ISBLANK(T23)),IF(T23&lt;&gt;"",(IF(NOT(ISNUMBER(T23)),1,0)),0),0)</f>
        <v>0</v>
      </c>
      <c r="BA23" s="477">
        <f t="shared" ref="BA23" ca="1" si="92">IF(NOT(ISBLANK(X23)),IF(X23&lt;&gt;"",(IF(NOT(ISNUMBER(X23)),1,0)),0),0)</f>
        <v>0</v>
      </c>
      <c r="BB23" s="477" t="str">
        <f t="shared" ref="BB23" ca="1" si="93">IF(SUM(AW23:BA24)=0, "Continue", "Enter valid number only.")</f>
        <v>Continue</v>
      </c>
      <c r="BC23" s="477" t="str">
        <f t="shared" ref="BC23" ca="1" si="94">IF(AND(AQ23="Continue",BB23="Continue"),"Continue",IF(AND(AQ23&lt;&gt;"Continue",BB23="Continue"),AQ23,IF(AND(BB23&lt;&gt;"Continue",AQ23="Continue"),BB23,CONCATENATE(AQ23,CHAR(10)))))</f>
        <v>Continue</v>
      </c>
      <c r="BD23" s="159" t="str">
        <f>IFERROR(INDEX('Reference Records'!$O$3:$O$21,MATCH($B23,'Reference Records'!$I$3:$I$21,0)),"")</f>
        <v/>
      </c>
      <c r="BE23" s="130" t="str">
        <f t="shared" si="5"/>
        <v>Continue</v>
      </c>
      <c r="BF23" s="130" t="str">
        <f t="shared" si="6"/>
        <v>Continue</v>
      </c>
      <c r="BG23" s="130" t="str">
        <f t="shared" si="7"/>
        <v>Continue</v>
      </c>
      <c r="BH23" s="477" t="str">
        <f t="shared" ref="BH23" ca="1" si="95">IF(AND(AP23="Continue",BC23="Continue"),"Continue",IF(AND(AP23&lt;&gt;"Continue",BC23="Continue"),AP23,IF(AND(BC23&lt;&gt;"Continue",AP23="Continue"),BC23,CONCATENATE(AP23,CHAR(10),BC23))))</f>
        <v>Continue</v>
      </c>
      <c r="BI23" s="477" t="str">
        <f t="shared" ref="BI23" si="96">IF(AND(B23="",C23=""),"Continue",
IF(AND(B23="",C23&lt;&gt;""),"Continue",
IF(AND(B23&lt;&gt;"",C23=""),"Continue",
IF(AND(B23&lt;&gt;"",C23&lt;&gt;""),"Cannot enter both standard and custom indicators on the same line."))))</f>
        <v>Continue</v>
      </c>
      <c r="BJ23" s="477" t="str">
        <f t="shared" ref="BJ23" ca="1" si="97">IF(AND(BE23="Continue",BH23="Continue"),"Continue",IF(AND(BE23&lt;&gt;"Continue",BH23="Continue"),BE23,IF(AND(BH23&lt;&gt;"Continue",BE23="Continue"),BH23,CONCATENATE(BE23,CHAR(10),BH23))))</f>
        <v>Continue</v>
      </c>
    </row>
    <row r="24" spans="1:62" ht="30" customHeight="1" x14ac:dyDescent="0.25">
      <c r="A24" s="488"/>
      <c r="B24" s="502"/>
      <c r="C24" s="502"/>
      <c r="D24" s="196"/>
      <c r="E24" s="504"/>
      <c r="F24" s="502"/>
      <c r="G24" s="502"/>
      <c r="H24" s="492"/>
      <c r="I24" s="506"/>
      <c r="J24" s="502"/>
      <c r="K24" s="196"/>
      <c r="L24" s="496"/>
      <c r="M24" s="498"/>
      <c r="N24" s="500"/>
      <c r="O24" s="196"/>
      <c r="P24" s="496"/>
      <c r="Q24" s="498"/>
      <c r="R24" s="500"/>
      <c r="S24" s="196"/>
      <c r="T24" s="496"/>
      <c r="U24" s="498"/>
      <c r="V24" s="500"/>
      <c r="W24" s="196"/>
      <c r="X24" s="496"/>
      <c r="Y24" s="498"/>
      <c r="Z24" s="500"/>
      <c r="AA24" s="502"/>
      <c r="AC24" s="480"/>
      <c r="AD24" s="480"/>
      <c r="AO24" s="516"/>
      <c r="AP24" s="477"/>
      <c r="AQ24" s="477"/>
      <c r="AR24" s="150">
        <f t="shared" si="0"/>
        <v>0</v>
      </c>
      <c r="AS24" s="150">
        <f t="shared" si="1"/>
        <v>0</v>
      </c>
      <c r="AT24" s="150">
        <f t="shared" si="2"/>
        <v>0</v>
      </c>
      <c r="AU24" s="150">
        <f t="shared" si="3"/>
        <v>0</v>
      </c>
      <c r="AV24" s="150">
        <f t="shared" si="4"/>
        <v>0</v>
      </c>
      <c r="AW24" s="477"/>
      <c r="AX24" s="477"/>
      <c r="AY24" s="477"/>
      <c r="AZ24" s="477"/>
      <c r="BA24" s="477"/>
      <c r="BB24" s="477"/>
      <c r="BC24" s="477"/>
      <c r="BD24" s="159" t="str">
        <f>IFERROR(INDEX('Reference Records'!$O$3:$O$21,MATCH($B24,'Reference Records'!$I$3:$I$21,0)),"")</f>
        <v/>
      </c>
      <c r="BE24" s="130" t="str">
        <f t="shared" si="5"/>
        <v>Continue</v>
      </c>
      <c r="BF24" s="130" t="str">
        <f t="shared" si="6"/>
        <v>Continue</v>
      </c>
      <c r="BG24" s="130" t="str">
        <f t="shared" si="7"/>
        <v>Continue</v>
      </c>
      <c r="BH24" s="477"/>
      <c r="BI24" s="477"/>
      <c r="BJ24" s="477"/>
    </row>
    <row r="25" spans="1:62" ht="30" customHeight="1" x14ac:dyDescent="0.25">
      <c r="A25" s="487">
        <v>9</v>
      </c>
      <c r="B25" s="478"/>
      <c r="C25" s="478"/>
      <c r="D25" s="193"/>
      <c r="E25" s="489" t="str">
        <f ca="1">IF(OR(INDIRECT("'update Helper'!D"&amp;AH25)="",D25&lt;&gt;0,D26&lt;&gt;0),IF(IFERROR((D25/D26),"")="","",(D25/D26)),INDIRECT("'update Helper'!D"&amp;AH25)/100)</f>
        <v/>
      </c>
      <c r="F25" s="478"/>
      <c r="G25" s="478"/>
      <c r="H25" s="491" t="str">
        <f>AB25</f>
        <v/>
      </c>
      <c r="I25" s="493"/>
      <c r="J25" s="478"/>
      <c r="K25" s="193"/>
      <c r="L25" s="481" t="str">
        <f ca="1">IF(OR(INDIRECT("'update Helper'!K"&amp;AG25)="",K25&lt;&gt;0,K26&lt;&gt;0),IF(IFERROR((K25/K26),"")="","",(K25/K26)),INDIRECT("'update Helper'!K"&amp;AG25)/100)</f>
        <v/>
      </c>
      <c r="M25" s="483"/>
      <c r="N25" s="485"/>
      <c r="O25" s="193"/>
      <c r="P25" s="481" t="str">
        <f ca="1">IF(OR(INDIRECT("'update Helper'!K"&amp;AG25+1)="",O25&lt;&gt;0,O26&lt;&gt;0),IF(IFERROR((O25/O26),"")="","",(O25/O26)),INDIRECT("'update Helper'!K"&amp;AG25+1)/100)</f>
        <v/>
      </c>
      <c r="Q25" s="483"/>
      <c r="R25" s="485"/>
      <c r="S25" s="193"/>
      <c r="T25" s="481" t="str">
        <f ca="1">IF(OR(INDIRECT("'update Helper'!K"&amp;AG25+2)="",S25&lt;&gt;0,S26&lt;&gt;0),IF(IFERROR((S25/S26),"")="","",(S25/S26)),INDIRECT("'update Helper'!K"&amp;AG25+2)/100)</f>
        <v/>
      </c>
      <c r="U25" s="483"/>
      <c r="V25" s="485"/>
      <c r="W25" s="193"/>
      <c r="X25" s="481" t="str">
        <f ca="1">IF(OR(INDIRECT("'update Helper'!K"&amp;AG25+3)="",W25&lt;&gt;0,W26&lt;&gt;0),IF(IFERROR((W25/W26),"")="","",(W25/W26)),INDIRECT("'update Helper'!K"&amp;AG25+3)/100)</f>
        <v/>
      </c>
      <c r="Y25" s="483"/>
      <c r="Z25" s="485"/>
      <c r="AA25" s="478"/>
      <c r="AB25" s="52" t="str">
        <f t="array" ref="AB25">IFERROR(IF(INDEX('Reference Records'!$D$4:$D$24,MATCH(LEFT(B25,255),LEFT('Reference Records'!$C$4:$C$24,255),0))=0,"",INDEX('Reference Records'!$D$4:$D$24,MATCH(LEFT(B25,255),LEFT('Reference Records'!$C$4:$C$24,255),0))),"")</f>
        <v/>
      </c>
      <c r="AC25" s="480" t="str">
        <f>IF(H25&lt;&gt;"",B25&amp;C25,"")</f>
        <v/>
      </c>
      <c r="AD25" s="480" t="b">
        <f>IF(OR(B25&lt;&gt;"",C25&lt;&gt;""),TRUE,FALSE)</f>
        <v>0</v>
      </c>
      <c r="AE25" s="52" t="str">
        <f t="array" ref="AE25">IFERROR(IF(INDEX('Reference Records'!$G$4:$G$24,MATCH(LEFT(B25,255),LEFT('Reference Records'!$C$4:$C$24,255),0))=0,"",INDEX('Reference Records'!$G$4:$G$24,MATCH(LEFT(B25,255),LEFT('Reference Records'!$C$4:$C$24,255),0))),"")</f>
        <v/>
      </c>
      <c r="AG25" s="52">
        <f>AG23+'update Helper'!$R$2</f>
        <v>92</v>
      </c>
      <c r="AH25" s="52">
        <f t="shared" ref="AH25" si="98">AH23+1</f>
        <v>12</v>
      </c>
      <c r="AO25" s="516" t="str">
        <f t="shared" ref="AO25" ca="1" si="99">IF(AND(BI25="Continue",BJ25="Continue"),"No Error",IF(AND(BI25&lt;&gt;"Continue",BJ25="Continue"),BI25,IF(AND(BJ25&lt;&gt;"Continue",BI25="Continue"),BJ25,CONCATENATE(BI25,CHAR(10),BJ25))))</f>
        <v>No Error</v>
      </c>
      <c r="AP25" s="477" t="str" cm="1">
        <f t="array" ref="AP25">IF(ISBLANK(B25),"Continue",(IF(IFERROR(_xlfn.XMATCH(B25,LEFT('Reference Records'!$I$3:$I$21,32768),0),0)&lt;&gt;0,"Continue","Invalid indicator entry. Select from dropdown list.")))</f>
        <v>Continue</v>
      </c>
      <c r="AQ25" s="477" t="str">
        <f t="shared" ref="AQ25" si="100">IF(SUM(AR25:AV26)=0, "Continue", "Enter valid number only.")</f>
        <v>Continue</v>
      </c>
      <c r="AR25" s="150">
        <f t="shared" si="0"/>
        <v>0</v>
      </c>
      <c r="AS25" s="150">
        <f t="shared" si="1"/>
        <v>0</v>
      </c>
      <c r="AT25" s="150">
        <f t="shared" si="2"/>
        <v>0</v>
      </c>
      <c r="AU25" s="150">
        <f t="shared" si="3"/>
        <v>0</v>
      </c>
      <c r="AV25" s="150">
        <f t="shared" si="4"/>
        <v>0</v>
      </c>
      <c r="AW25" s="477">
        <f t="shared" ref="AW25" ca="1" si="101">IF(NOT(ISBLANK(E25)),IF(E25&lt;&gt;"",(IF(NOT(ISNUMBER(E25)),1,0)),0),0)</f>
        <v>0</v>
      </c>
      <c r="AX25" s="477">
        <f t="shared" ref="AX25" ca="1" si="102">IF(NOT(ISBLANK(L25)),IF(L25&lt;&gt;"",(IF(NOT(ISNUMBER(L25)),1,0)),0),0)</f>
        <v>0</v>
      </c>
      <c r="AY25" s="477">
        <f t="shared" ref="AY25" ca="1" si="103">IF(NOT(ISBLANK(P25)),IF(P25&lt;&gt;"",(IF(NOT(ISNUMBER(P25)),1,0)),0),0)</f>
        <v>0</v>
      </c>
      <c r="AZ25" s="477">
        <f t="shared" ref="AZ25" ca="1" si="104">IF(NOT(ISBLANK(T25)),IF(T25&lt;&gt;"",(IF(NOT(ISNUMBER(T25)),1,0)),0),0)</f>
        <v>0</v>
      </c>
      <c r="BA25" s="477">
        <f t="shared" ref="BA25" ca="1" si="105">IF(NOT(ISBLANK(X25)),IF(X25&lt;&gt;"",(IF(NOT(ISNUMBER(X25)),1,0)),0),0)</f>
        <v>0</v>
      </c>
      <c r="BB25" s="477" t="str">
        <f t="shared" ref="BB25" ca="1" si="106">IF(SUM(AW25:BA26)=0, "Continue", "Enter valid number only.")</f>
        <v>Continue</v>
      </c>
      <c r="BC25" s="477" t="str">
        <f t="shared" ref="BC25" ca="1" si="107">IF(AND(AQ25="Continue",BB25="Continue"),"Continue",IF(AND(AQ25&lt;&gt;"Continue",BB25="Continue"),AQ25,IF(AND(BB25&lt;&gt;"Continue",AQ25="Continue"),BB25,CONCATENATE(AQ25,CHAR(10)))))</f>
        <v>Continue</v>
      </c>
      <c r="BD25" s="159" t="str">
        <f>IFERROR(INDEX('Reference Records'!$O$3:$O$21,MATCH($B25,'Reference Records'!$I$3:$I$21,0)),"")</f>
        <v/>
      </c>
      <c r="BE25" s="130" t="str">
        <f t="shared" si="5"/>
        <v>Continue</v>
      </c>
      <c r="BF25" s="130" t="str">
        <f t="shared" si="6"/>
        <v>Continue</v>
      </c>
      <c r="BG25" s="130" t="str">
        <f t="shared" si="7"/>
        <v>Continue</v>
      </c>
      <c r="BH25" s="477" t="str">
        <f t="shared" ref="BH25" ca="1" si="108">IF(AND(AP25="Continue",BC25="Continue"),"Continue",IF(AND(AP25&lt;&gt;"Continue",BC25="Continue"),AP25,IF(AND(BC25&lt;&gt;"Continue",AP25="Continue"),BC25,CONCATENATE(AP25,CHAR(10),BC25))))</f>
        <v>Continue</v>
      </c>
      <c r="BI25" s="477" t="str">
        <f t="shared" ref="BI25" si="109">IF(AND(B25="",C25=""),"Continue",
IF(AND(B25="",C25&lt;&gt;""),"Continue",
IF(AND(B25&lt;&gt;"",C25=""),"Continue",
IF(AND(B25&lt;&gt;"",C25&lt;&gt;""),"Cannot enter both standard and custom indicators on the same line."))))</f>
        <v>Continue</v>
      </c>
      <c r="BJ25" s="477" t="str">
        <f t="shared" ref="BJ25" ca="1" si="110">IF(AND(BE25="Continue",BH25="Continue"),"Continue",IF(AND(BE25&lt;&gt;"Continue",BH25="Continue"),BE25,IF(AND(BH25&lt;&gt;"Continue",BE25="Continue"),BH25,CONCATENATE(BE25,CHAR(10),BH25))))</f>
        <v>Continue</v>
      </c>
    </row>
    <row r="26" spans="1:62" ht="30" customHeight="1" x14ac:dyDescent="0.25">
      <c r="A26" s="488"/>
      <c r="B26" s="479"/>
      <c r="C26" s="479"/>
      <c r="D26" s="194"/>
      <c r="E26" s="490"/>
      <c r="F26" s="479"/>
      <c r="G26" s="479"/>
      <c r="H26" s="492"/>
      <c r="I26" s="494"/>
      <c r="J26" s="479"/>
      <c r="K26" s="194"/>
      <c r="L26" s="482"/>
      <c r="M26" s="484"/>
      <c r="N26" s="486"/>
      <c r="O26" s="194"/>
      <c r="P26" s="482"/>
      <c r="Q26" s="484"/>
      <c r="R26" s="486"/>
      <c r="S26" s="194"/>
      <c r="T26" s="482"/>
      <c r="U26" s="484"/>
      <c r="V26" s="486"/>
      <c r="W26" s="194"/>
      <c r="X26" s="482"/>
      <c r="Y26" s="484"/>
      <c r="Z26" s="486"/>
      <c r="AA26" s="479"/>
      <c r="AC26" s="480"/>
      <c r="AD26" s="480"/>
      <c r="AO26" s="516"/>
      <c r="AP26" s="477"/>
      <c r="AQ26" s="477"/>
      <c r="AR26" s="150">
        <f t="shared" si="0"/>
        <v>0</v>
      </c>
      <c r="AS26" s="150">
        <f t="shared" si="1"/>
        <v>0</v>
      </c>
      <c r="AT26" s="150">
        <f t="shared" si="2"/>
        <v>0</v>
      </c>
      <c r="AU26" s="150">
        <f t="shared" si="3"/>
        <v>0</v>
      </c>
      <c r="AV26" s="150">
        <f t="shared" si="4"/>
        <v>0</v>
      </c>
      <c r="AW26" s="477"/>
      <c r="AX26" s="477"/>
      <c r="AY26" s="477"/>
      <c r="AZ26" s="477"/>
      <c r="BA26" s="477"/>
      <c r="BB26" s="477"/>
      <c r="BC26" s="477"/>
      <c r="BD26" s="159" t="str">
        <f>IFERROR(INDEX('Reference Records'!$O$3:$O$21,MATCH($B26,'Reference Records'!$I$3:$I$21,0)),"")</f>
        <v/>
      </c>
      <c r="BE26" s="130" t="str">
        <f t="shared" si="5"/>
        <v>Continue</v>
      </c>
      <c r="BF26" s="130" t="str">
        <f t="shared" si="6"/>
        <v>Continue</v>
      </c>
      <c r="BG26" s="130" t="str">
        <f t="shared" si="7"/>
        <v>Continue</v>
      </c>
      <c r="BH26" s="477"/>
      <c r="BI26" s="477"/>
      <c r="BJ26" s="477"/>
    </row>
    <row r="27" spans="1:62" ht="30" customHeight="1" x14ac:dyDescent="0.25">
      <c r="A27" s="487">
        <v>10</v>
      </c>
      <c r="B27" s="501"/>
      <c r="C27" s="501"/>
      <c r="D27" s="195"/>
      <c r="E27" s="503" t="str">
        <f ca="1">IF(OR(INDIRECT("'update Helper'!D"&amp;AH27)="",D27&lt;&gt;0,D28&lt;&gt;0),IF(IFERROR((D27/D28),"")="","",(D27/D28)),INDIRECT("'update Helper'!D"&amp;AH27)/100)</f>
        <v/>
      </c>
      <c r="F27" s="501"/>
      <c r="G27" s="501"/>
      <c r="H27" s="491" t="str">
        <f>AB27</f>
        <v/>
      </c>
      <c r="I27" s="505"/>
      <c r="J27" s="501"/>
      <c r="K27" s="195"/>
      <c r="L27" s="495" t="str">
        <f ca="1">IF(OR(INDIRECT("'update Helper'!K"&amp;AG27)="",K27&lt;&gt;0,K28&lt;&gt;0),IF(IFERROR((K27/K28),"")="","",(K27/K28)),INDIRECT("'update Helper'!K"&amp;AG27)/100)</f>
        <v/>
      </c>
      <c r="M27" s="497"/>
      <c r="N27" s="499"/>
      <c r="O27" s="195"/>
      <c r="P27" s="495" t="str">
        <f ca="1">IF(OR(INDIRECT("'update Helper'!K"&amp;AG27+1)="",O27&lt;&gt;0,O28&lt;&gt;0),IF(IFERROR((O27/O28),"")="","",(O27/O28)),INDIRECT("'update Helper'!K"&amp;AG27+1)/100)</f>
        <v/>
      </c>
      <c r="Q27" s="497"/>
      <c r="R27" s="499"/>
      <c r="S27" s="195"/>
      <c r="T27" s="495" t="str">
        <f ca="1">IF(OR(INDIRECT("'update Helper'!K"&amp;AG27+2)="",S27&lt;&gt;0,S28&lt;&gt;0),IF(IFERROR((S27/S28),"")="","",(S27/S28)),INDIRECT("'update Helper'!K"&amp;AG27+2)/100)</f>
        <v/>
      </c>
      <c r="U27" s="497"/>
      <c r="V27" s="499"/>
      <c r="W27" s="195"/>
      <c r="X27" s="495" t="str">
        <f ca="1">IF(OR(INDIRECT("'update Helper'!K"&amp;AG27+3)="",W27&lt;&gt;0,W28&lt;&gt;0),IF(IFERROR((W27/W28),"")="","",(W27/W28)),INDIRECT("'update Helper'!K"&amp;AG27+3)/100)</f>
        <v/>
      </c>
      <c r="Y27" s="497"/>
      <c r="Z27" s="499"/>
      <c r="AA27" s="501"/>
      <c r="AB27" s="52" t="str">
        <f t="array" ref="AB27">IFERROR(IF(INDEX('Reference Records'!$D$4:$D$24,MATCH(LEFT(B27,255),LEFT('Reference Records'!$C$4:$C$24,255),0))=0,"",INDEX('Reference Records'!$D$4:$D$24,MATCH(LEFT(B27,255),LEFT('Reference Records'!$C$4:$C$24,255),0))),"")</f>
        <v/>
      </c>
      <c r="AC27" s="480" t="str">
        <f>IF(H27&lt;&gt;"",B27&amp;C27,"")</f>
        <v/>
      </c>
      <c r="AD27" s="480" t="b">
        <f>IF(OR(B27&lt;&gt;"",C27&lt;&gt;""),TRUE,FALSE)</f>
        <v>0</v>
      </c>
      <c r="AE27" s="52" t="str">
        <f t="array" ref="AE27">IFERROR(IF(INDEX('Reference Records'!$G$4:$G$24,MATCH(LEFT(B27,255),LEFT('Reference Records'!$C$4:$C$24,255),0))=0,"",INDEX('Reference Records'!$G$4:$G$24,MATCH(LEFT(B27,255),LEFT('Reference Records'!$C$4:$C$24,255),0))),"")</f>
        <v/>
      </c>
      <c r="AG27" s="52">
        <f>AG25+'update Helper'!$R$2</f>
        <v>98</v>
      </c>
      <c r="AH27" s="52">
        <f t="shared" ref="AH27" si="111">AH25+1</f>
        <v>13</v>
      </c>
      <c r="AO27" s="516" t="str">
        <f t="shared" ref="AO27" ca="1" si="112">IF(AND(BI27="Continue",BJ27="Continue"),"No Error",IF(AND(BI27&lt;&gt;"Continue",BJ27="Continue"),BI27,IF(AND(BJ27&lt;&gt;"Continue",BI27="Continue"),BJ27,CONCATENATE(BI27,CHAR(10),BJ27))))</f>
        <v>No Error</v>
      </c>
      <c r="AP27" s="477" t="str" cm="1">
        <f t="array" ref="AP27">IF(ISBLANK(B27),"Continue",(IF(IFERROR(_xlfn.XMATCH(B27,LEFT('Reference Records'!$I$3:$I$21,32768),0),0)&lt;&gt;0,"Continue","Invalid indicator entry. Select from dropdown list.")))</f>
        <v>Continue</v>
      </c>
      <c r="AQ27" s="477" t="str">
        <f t="shared" ref="AQ27" si="113">IF(SUM(AR27:AV28)=0, "Continue", "Enter valid number only.")</f>
        <v>Continue</v>
      </c>
      <c r="AR27" s="150">
        <f t="shared" si="0"/>
        <v>0</v>
      </c>
      <c r="AS27" s="150">
        <f t="shared" si="1"/>
        <v>0</v>
      </c>
      <c r="AT27" s="150">
        <f t="shared" si="2"/>
        <v>0</v>
      </c>
      <c r="AU27" s="150">
        <f t="shared" si="3"/>
        <v>0</v>
      </c>
      <c r="AV27" s="150">
        <f t="shared" si="4"/>
        <v>0</v>
      </c>
      <c r="AW27" s="477">
        <f t="shared" ref="AW27" ca="1" si="114">IF(NOT(ISBLANK(E27)),IF(E27&lt;&gt;"",(IF(NOT(ISNUMBER(E27)),1,0)),0),0)</f>
        <v>0</v>
      </c>
      <c r="AX27" s="477">
        <f t="shared" ref="AX27" ca="1" si="115">IF(NOT(ISBLANK(L27)),IF(L27&lt;&gt;"",(IF(NOT(ISNUMBER(L27)),1,0)),0),0)</f>
        <v>0</v>
      </c>
      <c r="AY27" s="477">
        <f t="shared" ref="AY27" ca="1" si="116">IF(NOT(ISBLANK(P27)),IF(P27&lt;&gt;"",(IF(NOT(ISNUMBER(P27)),1,0)),0),0)</f>
        <v>0</v>
      </c>
      <c r="AZ27" s="477">
        <f t="shared" ref="AZ27" ca="1" si="117">IF(NOT(ISBLANK(T27)),IF(T27&lt;&gt;"",(IF(NOT(ISNUMBER(T27)),1,0)),0),0)</f>
        <v>0</v>
      </c>
      <c r="BA27" s="477">
        <f t="shared" ref="BA27" ca="1" si="118">IF(NOT(ISBLANK(X27)),IF(X27&lt;&gt;"",(IF(NOT(ISNUMBER(X27)),1,0)),0),0)</f>
        <v>0</v>
      </c>
      <c r="BB27" s="477" t="str">
        <f t="shared" ref="BB27" ca="1" si="119">IF(SUM(AW27:BA28)=0, "Continue", "Enter valid number only.")</f>
        <v>Continue</v>
      </c>
      <c r="BC27" s="477" t="str">
        <f t="shared" ref="BC27" ca="1" si="120">IF(AND(AQ27="Continue",BB27="Continue"),"Continue",IF(AND(AQ27&lt;&gt;"Continue",BB27="Continue"),AQ27,IF(AND(BB27&lt;&gt;"Continue",AQ27="Continue"),BB27,CONCATENATE(AQ27,CHAR(10)))))</f>
        <v>Continue</v>
      </c>
      <c r="BD27" s="159" t="str">
        <f>IFERROR(INDEX('Reference Records'!$O$3:$O$21,MATCH($B27,'Reference Records'!$I$3:$I$21,0)),"")</f>
        <v/>
      </c>
      <c r="BE27" s="130" t="str">
        <f t="shared" si="5"/>
        <v>Continue</v>
      </c>
      <c r="BF27" s="130" t="str">
        <f t="shared" si="6"/>
        <v>Continue</v>
      </c>
      <c r="BG27" s="130" t="str">
        <f t="shared" si="7"/>
        <v>Continue</v>
      </c>
      <c r="BH27" s="477" t="str">
        <f t="shared" ref="BH27" ca="1" si="121">IF(AND(AP27="Continue",BC27="Continue"),"Continue",IF(AND(AP27&lt;&gt;"Continue",BC27="Continue"),AP27,IF(AND(BC27&lt;&gt;"Continue",AP27="Continue"),BC27,CONCATENATE(AP27,CHAR(10),BC27))))</f>
        <v>Continue</v>
      </c>
      <c r="BI27" s="477" t="str">
        <f t="shared" ref="BI27" si="122">IF(AND(B27="",C27=""),"Continue",
IF(AND(B27="",C27&lt;&gt;""),"Continue",
IF(AND(B27&lt;&gt;"",C27=""),"Continue",
IF(AND(B27&lt;&gt;"",C27&lt;&gt;""),"Cannot enter both standard and custom indicators on the same line."))))</f>
        <v>Continue</v>
      </c>
      <c r="BJ27" s="477" t="str">
        <f t="shared" ref="BJ27" ca="1" si="123">IF(AND(BE27="Continue",BH27="Continue"),"Continue",IF(AND(BE27&lt;&gt;"Continue",BH27="Continue"),BE27,IF(AND(BH27&lt;&gt;"Continue",BE27="Continue"),BH27,CONCATENATE(BE27,CHAR(10),BH27))))</f>
        <v>Continue</v>
      </c>
    </row>
    <row r="28" spans="1:62" ht="30" customHeight="1" x14ac:dyDescent="0.25">
      <c r="A28" s="488"/>
      <c r="B28" s="502"/>
      <c r="C28" s="502"/>
      <c r="D28" s="196"/>
      <c r="E28" s="504"/>
      <c r="F28" s="502"/>
      <c r="G28" s="502"/>
      <c r="H28" s="492"/>
      <c r="I28" s="506"/>
      <c r="J28" s="502"/>
      <c r="K28" s="196"/>
      <c r="L28" s="496"/>
      <c r="M28" s="498"/>
      <c r="N28" s="500"/>
      <c r="O28" s="196"/>
      <c r="P28" s="496"/>
      <c r="Q28" s="498"/>
      <c r="R28" s="500"/>
      <c r="S28" s="196"/>
      <c r="T28" s="496"/>
      <c r="U28" s="498"/>
      <c r="V28" s="500"/>
      <c r="W28" s="196"/>
      <c r="X28" s="496"/>
      <c r="Y28" s="498"/>
      <c r="Z28" s="500"/>
      <c r="AA28" s="502"/>
      <c r="AC28" s="480"/>
      <c r="AD28" s="480"/>
      <c r="AO28" s="516"/>
      <c r="AP28" s="477"/>
      <c r="AQ28" s="477"/>
      <c r="AR28" s="150">
        <f t="shared" si="0"/>
        <v>0</v>
      </c>
      <c r="AS28" s="150">
        <f t="shared" si="1"/>
        <v>0</v>
      </c>
      <c r="AT28" s="150">
        <f t="shared" si="2"/>
        <v>0</v>
      </c>
      <c r="AU28" s="150">
        <f t="shared" si="3"/>
        <v>0</v>
      </c>
      <c r="AV28" s="150">
        <f t="shared" si="4"/>
        <v>0</v>
      </c>
      <c r="AW28" s="477"/>
      <c r="AX28" s="477"/>
      <c r="AY28" s="477"/>
      <c r="AZ28" s="477"/>
      <c r="BA28" s="477"/>
      <c r="BB28" s="477"/>
      <c r="BC28" s="477"/>
      <c r="BD28" s="159" t="str">
        <f>IFERROR(INDEX('Reference Records'!$O$3:$O$21,MATCH($B28,'Reference Records'!$I$3:$I$21,0)),"")</f>
        <v/>
      </c>
      <c r="BE28" s="130" t="str">
        <f t="shared" si="5"/>
        <v>Continue</v>
      </c>
      <c r="BF28" s="130" t="str">
        <f t="shared" si="6"/>
        <v>Continue</v>
      </c>
      <c r="BG28" s="130" t="str">
        <f t="shared" si="7"/>
        <v>Continue</v>
      </c>
      <c r="BH28" s="477"/>
      <c r="BI28" s="477"/>
      <c r="BJ28" s="477"/>
    </row>
    <row r="29" spans="1:62" ht="30" customHeight="1" x14ac:dyDescent="0.25">
      <c r="A29" s="487">
        <v>11</v>
      </c>
      <c r="B29" s="478"/>
      <c r="C29" s="478"/>
      <c r="D29" s="193"/>
      <c r="E29" s="489" t="str">
        <f ca="1">IF(OR(INDIRECT("'update Helper'!D"&amp;AH29)="",D29&lt;&gt;0,D30&lt;&gt;0),IF(IFERROR((D29/D30),"")="","",(D29/D30)),INDIRECT("'update Helper'!D"&amp;AH29)/100)</f>
        <v/>
      </c>
      <c r="F29" s="478"/>
      <c r="G29" s="478"/>
      <c r="H29" s="491" t="str">
        <f>AB29</f>
        <v/>
      </c>
      <c r="I29" s="493"/>
      <c r="J29" s="478"/>
      <c r="K29" s="193"/>
      <c r="L29" s="481" t="str">
        <f ca="1">IF(OR(INDIRECT("'update Helper'!K"&amp;AG29)="",K29&lt;&gt;0,K30&lt;&gt;0),IF(IFERROR((K29/K30),"")="","",(K29/K30)),INDIRECT("'update Helper'!K"&amp;AG29)/100)</f>
        <v/>
      </c>
      <c r="M29" s="483"/>
      <c r="N29" s="485"/>
      <c r="O29" s="193"/>
      <c r="P29" s="481" t="str">
        <f ca="1">IF(OR(INDIRECT("'update Helper'!K"&amp;AG29+1)="",O29&lt;&gt;0,O30&lt;&gt;0),IF(IFERROR((O29/O30),"")="","",(O29/O30)),INDIRECT("'update Helper'!K"&amp;AG29+1)/100)</f>
        <v/>
      </c>
      <c r="Q29" s="483"/>
      <c r="R29" s="485"/>
      <c r="S29" s="193"/>
      <c r="T29" s="481" t="str">
        <f ca="1">IF(OR(INDIRECT("'update Helper'!K"&amp;AG29+2)="",S29&lt;&gt;0,S30&lt;&gt;0),IF(IFERROR((S29/S30),"")="","",(S29/S30)),INDIRECT("'update Helper'!K"&amp;AG29+2)/100)</f>
        <v/>
      </c>
      <c r="U29" s="483"/>
      <c r="V29" s="485"/>
      <c r="W29" s="193"/>
      <c r="X29" s="481" t="str">
        <f ca="1">IF(OR(INDIRECT("'update Helper'!K"&amp;AG29+3)="",W29&lt;&gt;0,W30&lt;&gt;0),IF(IFERROR((W29/W30),"")="","",(W29/W30)),INDIRECT("'update Helper'!K"&amp;AG29+3)/100)</f>
        <v/>
      </c>
      <c r="Y29" s="483"/>
      <c r="Z29" s="485"/>
      <c r="AA29" s="478"/>
      <c r="AB29" s="52" t="str">
        <f t="array" ref="AB29">IFERROR(IF(INDEX('Reference Records'!$D$4:$D$24,MATCH(LEFT(B29,255),LEFT('Reference Records'!$C$4:$C$24,255),0))=0,"",INDEX('Reference Records'!$D$4:$D$24,MATCH(LEFT(B29,255),LEFT('Reference Records'!$C$4:$C$24,255),0))),"")</f>
        <v/>
      </c>
      <c r="AC29" s="480" t="str">
        <f>IF(H29&lt;&gt;"",B29&amp;C29,"")</f>
        <v/>
      </c>
      <c r="AD29" s="480" t="b">
        <f>IF(OR(B29&lt;&gt;"",C29&lt;&gt;""),TRUE,FALSE)</f>
        <v>0</v>
      </c>
      <c r="AE29" s="52" t="str">
        <f t="array" ref="AE29">IFERROR(IF(INDEX('Reference Records'!$G$4:$G$24,MATCH(LEFT(B29,255),LEFT('Reference Records'!$C$4:$C$24,255),0))=0,"",INDEX('Reference Records'!$G$4:$G$24,MATCH(LEFT(B29,255),LEFT('Reference Records'!$C$4:$C$24,255),0))),"")</f>
        <v/>
      </c>
      <c r="AG29" s="52">
        <f>AG27+'update Helper'!$R$2</f>
        <v>104</v>
      </c>
      <c r="AH29" s="52">
        <f t="shared" ref="AH29" si="124">AH27+1</f>
        <v>14</v>
      </c>
      <c r="AO29" s="516" t="str">
        <f t="shared" ref="AO29" ca="1" si="125">IF(AND(BI29="Continue",BJ29="Continue"),"No Error",IF(AND(BI29&lt;&gt;"Continue",BJ29="Continue"),BI29,IF(AND(BJ29&lt;&gt;"Continue",BI29="Continue"),BJ29,CONCATENATE(BI29,CHAR(10),BJ29))))</f>
        <v>No Error</v>
      </c>
      <c r="AP29" s="477" t="str" cm="1">
        <f t="array" ref="AP29">IF(ISBLANK(B29),"Continue",(IF(IFERROR(_xlfn.XMATCH(B29,LEFT('Reference Records'!$I$3:$I$21,32768),0),0)&lt;&gt;0,"Continue","Invalid indicator entry. Select from dropdown list.")))</f>
        <v>Continue</v>
      </c>
      <c r="AQ29" s="477" t="str">
        <f t="shared" ref="AQ29" si="126">IF(SUM(AR29:AV30)=0, "Continue", "Enter valid number only.")</f>
        <v>Continue</v>
      </c>
      <c r="AR29" s="150">
        <f t="shared" si="0"/>
        <v>0</v>
      </c>
      <c r="AS29" s="150">
        <f t="shared" si="1"/>
        <v>0</v>
      </c>
      <c r="AT29" s="150">
        <f t="shared" si="2"/>
        <v>0</v>
      </c>
      <c r="AU29" s="150">
        <f t="shared" si="3"/>
        <v>0</v>
      </c>
      <c r="AV29" s="150">
        <f t="shared" si="4"/>
        <v>0</v>
      </c>
      <c r="AW29" s="477">
        <f t="shared" ref="AW29" ca="1" si="127">IF(NOT(ISBLANK(E29)),IF(E29&lt;&gt;"",(IF(NOT(ISNUMBER(E29)),1,0)),0),0)</f>
        <v>0</v>
      </c>
      <c r="AX29" s="477">
        <f t="shared" ref="AX29" ca="1" si="128">IF(NOT(ISBLANK(L29)),IF(L29&lt;&gt;"",(IF(NOT(ISNUMBER(L29)),1,0)),0),0)</f>
        <v>0</v>
      </c>
      <c r="AY29" s="477">
        <f t="shared" ref="AY29" ca="1" si="129">IF(NOT(ISBLANK(P29)),IF(P29&lt;&gt;"",(IF(NOT(ISNUMBER(P29)),1,0)),0),0)</f>
        <v>0</v>
      </c>
      <c r="AZ29" s="477">
        <f t="shared" ref="AZ29" ca="1" si="130">IF(NOT(ISBLANK(T29)),IF(T29&lt;&gt;"",(IF(NOT(ISNUMBER(T29)),1,0)),0),0)</f>
        <v>0</v>
      </c>
      <c r="BA29" s="477">
        <f t="shared" ref="BA29" ca="1" si="131">IF(NOT(ISBLANK(X29)),IF(X29&lt;&gt;"",(IF(NOT(ISNUMBER(X29)),1,0)),0),0)</f>
        <v>0</v>
      </c>
      <c r="BB29" s="477" t="str">
        <f t="shared" ref="BB29" ca="1" si="132">IF(SUM(AW29:BA30)=0, "Continue", "Enter valid number only.")</f>
        <v>Continue</v>
      </c>
      <c r="BC29" s="477" t="str">
        <f t="shared" ref="BC29" ca="1" si="133">IF(AND(AQ29="Continue",BB29="Continue"),"Continue",IF(AND(AQ29&lt;&gt;"Continue",BB29="Continue"),AQ29,IF(AND(BB29&lt;&gt;"Continue",AQ29="Continue"),BB29,CONCATENATE(AQ29,CHAR(10)))))</f>
        <v>Continue</v>
      </c>
      <c r="BD29" s="159" t="str">
        <f>IFERROR(INDEX('Reference Records'!$O$3:$O$21,MATCH($B29,'Reference Records'!$I$3:$I$21,0)),"")</f>
        <v/>
      </c>
      <c r="BE29" s="130" t="str">
        <f t="shared" si="5"/>
        <v>Continue</v>
      </c>
      <c r="BF29" s="130" t="str">
        <f t="shared" si="6"/>
        <v>Continue</v>
      </c>
      <c r="BG29" s="130" t="str">
        <f t="shared" si="7"/>
        <v>Continue</v>
      </c>
      <c r="BH29" s="477" t="str">
        <f t="shared" ref="BH29" ca="1" si="134">IF(AND(AP29="Continue",BC29="Continue"),"Continue",IF(AND(AP29&lt;&gt;"Continue",BC29="Continue"),AP29,IF(AND(BC29&lt;&gt;"Continue",AP29="Continue"),BC29,CONCATENATE(AP29,CHAR(10),BC29))))</f>
        <v>Continue</v>
      </c>
      <c r="BI29" s="477" t="str">
        <f t="shared" ref="BI29" si="135">IF(AND(B29="",C29=""),"Continue",
IF(AND(B29="",C29&lt;&gt;""),"Continue",
IF(AND(B29&lt;&gt;"",C29=""),"Continue",
IF(AND(B29&lt;&gt;"",C29&lt;&gt;""),"Cannot enter both standard and custom indicators on the same line."))))</f>
        <v>Continue</v>
      </c>
      <c r="BJ29" s="477" t="str">
        <f t="shared" ref="BJ29" ca="1" si="136">IF(AND(BE29="Continue",BH29="Continue"),"Continue",IF(AND(BE29&lt;&gt;"Continue",BH29="Continue"),BE29,IF(AND(BH29&lt;&gt;"Continue",BE29="Continue"),BH29,CONCATENATE(BE29,CHAR(10),BH29))))</f>
        <v>Continue</v>
      </c>
    </row>
    <row r="30" spans="1:62" ht="30" customHeight="1" x14ac:dyDescent="0.25">
      <c r="A30" s="488"/>
      <c r="B30" s="479"/>
      <c r="C30" s="479"/>
      <c r="D30" s="194"/>
      <c r="E30" s="490"/>
      <c r="F30" s="479"/>
      <c r="G30" s="479"/>
      <c r="H30" s="492"/>
      <c r="I30" s="494"/>
      <c r="J30" s="479"/>
      <c r="K30" s="194"/>
      <c r="L30" s="482"/>
      <c r="M30" s="484"/>
      <c r="N30" s="486"/>
      <c r="O30" s="194"/>
      <c r="P30" s="482"/>
      <c r="Q30" s="484"/>
      <c r="R30" s="486"/>
      <c r="S30" s="194"/>
      <c r="T30" s="482"/>
      <c r="U30" s="484"/>
      <c r="V30" s="486"/>
      <c r="W30" s="194"/>
      <c r="X30" s="482"/>
      <c r="Y30" s="484"/>
      <c r="Z30" s="486"/>
      <c r="AA30" s="479"/>
      <c r="AC30" s="480"/>
      <c r="AD30" s="480"/>
      <c r="AO30" s="516"/>
      <c r="AP30" s="477"/>
      <c r="AQ30" s="477"/>
      <c r="AR30" s="150">
        <f t="shared" si="0"/>
        <v>0</v>
      </c>
      <c r="AS30" s="150">
        <f t="shared" si="1"/>
        <v>0</v>
      </c>
      <c r="AT30" s="150">
        <f t="shared" si="2"/>
        <v>0</v>
      </c>
      <c r="AU30" s="150">
        <f t="shared" si="3"/>
        <v>0</v>
      </c>
      <c r="AV30" s="150">
        <f t="shared" si="4"/>
        <v>0</v>
      </c>
      <c r="AW30" s="477"/>
      <c r="AX30" s="477"/>
      <c r="AY30" s="477"/>
      <c r="AZ30" s="477"/>
      <c r="BA30" s="477"/>
      <c r="BB30" s="477"/>
      <c r="BC30" s="477"/>
      <c r="BD30" s="159" t="str">
        <f>IFERROR(INDEX('Reference Records'!$O$3:$O$21,MATCH($B30,'Reference Records'!$I$3:$I$21,0)),"")</f>
        <v/>
      </c>
      <c r="BE30" s="130" t="str">
        <f t="shared" si="5"/>
        <v>Continue</v>
      </c>
      <c r="BF30" s="130" t="str">
        <f t="shared" si="6"/>
        <v>Continue</v>
      </c>
      <c r="BG30" s="130" t="str">
        <f t="shared" si="7"/>
        <v>Continue</v>
      </c>
      <c r="BH30" s="477"/>
      <c r="BI30" s="477"/>
      <c r="BJ30" s="477"/>
    </row>
    <row r="31" spans="1:62" ht="30" customHeight="1" x14ac:dyDescent="0.25">
      <c r="A31" s="487">
        <v>12</v>
      </c>
      <c r="B31" s="501"/>
      <c r="C31" s="501"/>
      <c r="D31" s="195"/>
      <c r="E31" s="503" t="str">
        <f ca="1">IF(OR(INDIRECT("'update Helper'!D"&amp;AH31)="",D31&lt;&gt;0,D32&lt;&gt;0),IF(IFERROR((D31/D32),"")="","",(D31/D32)),INDIRECT("'update Helper'!D"&amp;AH31)/100)</f>
        <v/>
      </c>
      <c r="F31" s="501"/>
      <c r="G31" s="501"/>
      <c r="H31" s="491" t="str">
        <f>AB31</f>
        <v/>
      </c>
      <c r="I31" s="505"/>
      <c r="J31" s="501"/>
      <c r="K31" s="195"/>
      <c r="L31" s="495" t="str">
        <f ca="1">IF(OR(INDIRECT("'update Helper'!K"&amp;AG31)="",K31&lt;&gt;0,K32&lt;&gt;0),IF(IFERROR((K31/K32),"")="","",(K31/K32)),INDIRECT("'update Helper'!K"&amp;AG31)/100)</f>
        <v/>
      </c>
      <c r="M31" s="497"/>
      <c r="N31" s="499"/>
      <c r="O31" s="195"/>
      <c r="P31" s="495" t="str">
        <f ca="1">IF(OR(INDIRECT("'update Helper'!K"&amp;AG31+1)="",O31&lt;&gt;0,O32&lt;&gt;0),IF(IFERROR((O31/O32),"")="","",(O31/O32)),INDIRECT("'update Helper'!K"&amp;AG31+1)/100)</f>
        <v/>
      </c>
      <c r="Q31" s="497"/>
      <c r="R31" s="499"/>
      <c r="S31" s="195"/>
      <c r="T31" s="495" t="str">
        <f ca="1">IF(OR(INDIRECT("'update Helper'!K"&amp;AG31+2)="",S31&lt;&gt;0,S32&lt;&gt;0),IF(IFERROR((S31/S32),"")="","",(S31/S32)),INDIRECT("'update Helper'!K"&amp;AG31+2)/100)</f>
        <v/>
      </c>
      <c r="U31" s="497"/>
      <c r="V31" s="499"/>
      <c r="W31" s="195"/>
      <c r="X31" s="495" t="str">
        <f ca="1">IF(OR(INDIRECT("'update Helper'!K"&amp;AG31+3)="",W31&lt;&gt;0,W32&lt;&gt;0),IF(IFERROR((W31/W32),"")="","",(W31/W32)),INDIRECT("'update Helper'!K"&amp;AG31+3)/100)</f>
        <v/>
      </c>
      <c r="Y31" s="497"/>
      <c r="Z31" s="499"/>
      <c r="AA31" s="501"/>
      <c r="AB31" s="52" t="str">
        <f t="array" ref="AB31">IFERROR(IF(INDEX('Reference Records'!$D$4:$D$24,MATCH(LEFT(B31,255),LEFT('Reference Records'!$C$4:$C$24,255),0))=0,"",INDEX('Reference Records'!$D$4:$D$24,MATCH(LEFT(B31,255),LEFT('Reference Records'!$C$4:$C$24,255),0))),"")</f>
        <v/>
      </c>
      <c r="AC31" s="480" t="str">
        <f>IF(H31&lt;&gt;"",B31&amp;C31,"")</f>
        <v/>
      </c>
      <c r="AD31" s="480" t="b">
        <f>IF(OR(B31&lt;&gt;"",C31&lt;&gt;""),TRUE,FALSE)</f>
        <v>0</v>
      </c>
      <c r="AE31" s="52" t="str">
        <f t="array" ref="AE31">IFERROR(IF(INDEX('Reference Records'!$G$4:$G$24,MATCH(LEFT(B31,255),LEFT('Reference Records'!$C$4:$C$24,255),0))=0,"",INDEX('Reference Records'!$G$4:$G$24,MATCH(LEFT(B31,255),LEFT('Reference Records'!$C$4:$C$24,255),0))),"")</f>
        <v/>
      </c>
      <c r="AG31" s="52">
        <f>AG29+'update Helper'!$R$2</f>
        <v>110</v>
      </c>
      <c r="AH31" s="52">
        <f t="shared" ref="AH31" si="137">AH29+1</f>
        <v>15</v>
      </c>
      <c r="AO31" s="516" t="str">
        <f t="shared" ref="AO31" ca="1" si="138">IF(AND(BI31="Continue",BJ31="Continue"),"No Error",IF(AND(BI31&lt;&gt;"Continue",BJ31="Continue"),BI31,IF(AND(BJ31&lt;&gt;"Continue",BI31="Continue"),BJ31,CONCATENATE(BI31,CHAR(10),BJ31))))</f>
        <v>No Error</v>
      </c>
      <c r="AP31" s="477" t="str" cm="1">
        <f t="array" ref="AP31">IF(ISBLANK(B31),"Continue",(IF(IFERROR(_xlfn.XMATCH(B31,LEFT('Reference Records'!$I$3:$I$21,32768),0),0)&lt;&gt;0,"Continue","Invalid indicator entry. Select from dropdown list.")))</f>
        <v>Continue</v>
      </c>
      <c r="AQ31" s="477" t="str">
        <f t="shared" ref="AQ31" si="139">IF(SUM(AR31:AV32)=0, "Continue", "Enter valid number only.")</f>
        <v>Continue</v>
      </c>
      <c r="AR31" s="150">
        <f t="shared" si="0"/>
        <v>0</v>
      </c>
      <c r="AS31" s="150">
        <f t="shared" si="1"/>
        <v>0</v>
      </c>
      <c r="AT31" s="150">
        <f t="shared" si="2"/>
        <v>0</v>
      </c>
      <c r="AU31" s="150">
        <f t="shared" si="3"/>
        <v>0</v>
      </c>
      <c r="AV31" s="150">
        <f t="shared" si="4"/>
        <v>0</v>
      </c>
      <c r="AW31" s="477">
        <f t="shared" ref="AW31" ca="1" si="140">IF(NOT(ISBLANK(E31)),IF(E31&lt;&gt;"",(IF(NOT(ISNUMBER(E31)),1,0)),0),0)</f>
        <v>0</v>
      </c>
      <c r="AX31" s="477">
        <f t="shared" ref="AX31" ca="1" si="141">IF(NOT(ISBLANK(L31)),IF(L31&lt;&gt;"",(IF(NOT(ISNUMBER(L31)),1,0)),0),0)</f>
        <v>0</v>
      </c>
      <c r="AY31" s="477">
        <f t="shared" ref="AY31" ca="1" si="142">IF(NOT(ISBLANK(P31)),IF(P31&lt;&gt;"",(IF(NOT(ISNUMBER(P31)),1,0)),0),0)</f>
        <v>0</v>
      </c>
      <c r="AZ31" s="477">
        <f t="shared" ref="AZ31" ca="1" si="143">IF(NOT(ISBLANK(T31)),IF(T31&lt;&gt;"",(IF(NOT(ISNUMBER(T31)),1,0)),0),0)</f>
        <v>0</v>
      </c>
      <c r="BA31" s="477">
        <f t="shared" ref="BA31" ca="1" si="144">IF(NOT(ISBLANK(X31)),IF(X31&lt;&gt;"",(IF(NOT(ISNUMBER(X31)),1,0)),0),0)</f>
        <v>0</v>
      </c>
      <c r="BB31" s="477" t="str">
        <f t="shared" ref="BB31" ca="1" si="145">IF(SUM(AW31:BA32)=0, "Continue", "Enter valid number only.")</f>
        <v>Continue</v>
      </c>
      <c r="BC31" s="477" t="str">
        <f t="shared" ref="BC31" ca="1" si="146">IF(AND(AQ31="Continue",BB31="Continue"),"Continue",IF(AND(AQ31&lt;&gt;"Continue",BB31="Continue"),AQ31,IF(AND(BB31&lt;&gt;"Continue",AQ31="Continue"),BB31,CONCATENATE(AQ31,CHAR(10)))))</f>
        <v>Continue</v>
      </c>
      <c r="BD31" s="159" t="str">
        <f>IFERROR(INDEX('Reference Records'!$O$3:$O$21,MATCH($B31,'Reference Records'!$I$3:$I$21,0)),"")</f>
        <v/>
      </c>
      <c r="BE31" s="130" t="str">
        <f t="shared" si="5"/>
        <v>Continue</v>
      </c>
      <c r="BF31" s="130" t="str">
        <f t="shared" si="6"/>
        <v>Continue</v>
      </c>
      <c r="BG31" s="130" t="str">
        <f t="shared" si="7"/>
        <v>Continue</v>
      </c>
      <c r="BH31" s="477" t="str">
        <f t="shared" ref="BH31" ca="1" si="147">IF(AND(AP31="Continue",BC31="Continue"),"Continue",IF(AND(AP31&lt;&gt;"Continue",BC31="Continue"),AP31,IF(AND(BC31&lt;&gt;"Continue",AP31="Continue"),BC31,CONCATENATE(AP31,CHAR(10),BC31))))</f>
        <v>Continue</v>
      </c>
      <c r="BI31" s="477" t="str">
        <f t="shared" ref="BI31" si="148">IF(AND(B31="",C31=""),"Continue",
IF(AND(B31="",C31&lt;&gt;""),"Continue",
IF(AND(B31&lt;&gt;"",C31=""),"Continue",
IF(AND(B31&lt;&gt;"",C31&lt;&gt;""),"Cannot enter both standard and custom indicators on the same line."))))</f>
        <v>Continue</v>
      </c>
      <c r="BJ31" s="477" t="str">
        <f t="shared" ref="BJ31" ca="1" si="149">IF(AND(BE31="Continue",BH31="Continue"),"Continue",IF(AND(BE31&lt;&gt;"Continue",BH31="Continue"),BE31,IF(AND(BH31&lt;&gt;"Continue",BE31="Continue"),BH31,CONCATENATE(BE31,CHAR(10),BH31))))</f>
        <v>Continue</v>
      </c>
    </row>
    <row r="32" spans="1:62" ht="30" customHeight="1" x14ac:dyDescent="0.25">
      <c r="A32" s="488"/>
      <c r="B32" s="502"/>
      <c r="C32" s="502"/>
      <c r="D32" s="196"/>
      <c r="E32" s="504"/>
      <c r="F32" s="502"/>
      <c r="G32" s="502"/>
      <c r="H32" s="492"/>
      <c r="I32" s="506"/>
      <c r="J32" s="502"/>
      <c r="K32" s="196"/>
      <c r="L32" s="496"/>
      <c r="M32" s="498"/>
      <c r="N32" s="500"/>
      <c r="O32" s="196"/>
      <c r="P32" s="496"/>
      <c r="Q32" s="498"/>
      <c r="R32" s="500"/>
      <c r="S32" s="196"/>
      <c r="T32" s="496"/>
      <c r="U32" s="498"/>
      <c r="V32" s="500"/>
      <c r="W32" s="196"/>
      <c r="X32" s="496"/>
      <c r="Y32" s="498"/>
      <c r="Z32" s="500"/>
      <c r="AA32" s="502"/>
      <c r="AC32" s="480"/>
      <c r="AD32" s="480"/>
      <c r="AO32" s="516"/>
      <c r="AP32" s="477"/>
      <c r="AQ32" s="477"/>
      <c r="AR32" s="150">
        <f t="shared" si="0"/>
        <v>0</v>
      </c>
      <c r="AS32" s="150">
        <f t="shared" si="1"/>
        <v>0</v>
      </c>
      <c r="AT32" s="150">
        <f t="shared" si="2"/>
        <v>0</v>
      </c>
      <c r="AU32" s="150">
        <f t="shared" si="3"/>
        <v>0</v>
      </c>
      <c r="AV32" s="150">
        <f t="shared" si="4"/>
        <v>0</v>
      </c>
      <c r="AW32" s="477"/>
      <c r="AX32" s="477"/>
      <c r="AY32" s="477"/>
      <c r="AZ32" s="477"/>
      <c r="BA32" s="477"/>
      <c r="BB32" s="477"/>
      <c r="BC32" s="477"/>
      <c r="BD32" s="159" t="str">
        <f>IFERROR(INDEX('Reference Records'!$O$3:$O$21,MATCH($B32,'Reference Records'!$I$3:$I$21,0)),"")</f>
        <v/>
      </c>
      <c r="BE32" s="130" t="str">
        <f t="shared" si="5"/>
        <v>Continue</v>
      </c>
      <c r="BF32" s="130" t="str">
        <f t="shared" si="6"/>
        <v>Continue</v>
      </c>
      <c r="BG32" s="130" t="str">
        <f t="shared" si="7"/>
        <v>Continue</v>
      </c>
      <c r="BH32" s="477"/>
      <c r="BI32" s="477"/>
      <c r="BJ32" s="477"/>
    </row>
    <row r="33" spans="1:62" ht="30" customHeight="1" x14ac:dyDescent="0.25">
      <c r="A33" s="487">
        <v>13</v>
      </c>
      <c r="B33" s="478"/>
      <c r="C33" s="478"/>
      <c r="D33" s="193"/>
      <c r="E33" s="489" t="str">
        <f ca="1">IF(OR(INDIRECT("'update Helper'!D"&amp;AH33)="",D33&lt;&gt;0,D34&lt;&gt;0),IF(IFERROR((D33/D34),"")="","",(D33/D34)),INDIRECT("'update Helper'!D"&amp;AH33)/100)</f>
        <v/>
      </c>
      <c r="F33" s="478"/>
      <c r="G33" s="478"/>
      <c r="H33" s="491" t="str">
        <f>AB33</f>
        <v/>
      </c>
      <c r="I33" s="493"/>
      <c r="J33" s="478"/>
      <c r="K33" s="193"/>
      <c r="L33" s="481" t="str">
        <f ca="1">IF(OR(INDIRECT("'update Helper'!K"&amp;AG33)="",K33&lt;&gt;0,K34&lt;&gt;0),IF(IFERROR((K33/K34),"")="","",(K33/K34)),INDIRECT("'update Helper'!K"&amp;AG33)/100)</f>
        <v/>
      </c>
      <c r="M33" s="483"/>
      <c r="N33" s="485"/>
      <c r="O33" s="193"/>
      <c r="P33" s="481" t="str">
        <f ca="1">IF(OR(INDIRECT("'update Helper'!K"&amp;AG33+1)="",O33&lt;&gt;0,O34&lt;&gt;0),IF(IFERROR((O33/O34),"")="","",(O33/O34)),INDIRECT("'update Helper'!K"&amp;AG33+1)/100)</f>
        <v/>
      </c>
      <c r="Q33" s="483"/>
      <c r="R33" s="485"/>
      <c r="S33" s="193"/>
      <c r="T33" s="481" t="str">
        <f ca="1">IF(OR(INDIRECT("'update Helper'!K"&amp;AG33+2)="",S33&lt;&gt;0,S34&lt;&gt;0),IF(IFERROR((S33/S34),"")="","",(S33/S34)),INDIRECT("'update Helper'!K"&amp;AG33+2)/100)</f>
        <v/>
      </c>
      <c r="U33" s="483"/>
      <c r="V33" s="485"/>
      <c r="W33" s="193"/>
      <c r="X33" s="481" t="str">
        <f ca="1">IF(OR(INDIRECT("'update Helper'!K"&amp;AG33+3)="",W33&lt;&gt;0,W34&lt;&gt;0),IF(IFERROR((W33/W34),"")="","",(W33/W34)),INDIRECT("'update Helper'!K"&amp;AG33+3)/100)</f>
        <v/>
      </c>
      <c r="Y33" s="483"/>
      <c r="Z33" s="485"/>
      <c r="AA33" s="478"/>
      <c r="AB33" s="52" t="str">
        <f t="array" ref="AB33">IFERROR(IF(INDEX('Reference Records'!$D$4:$D$24,MATCH(LEFT(B33,255),LEFT('Reference Records'!$C$4:$C$24,255),0))=0,"",INDEX('Reference Records'!$D$4:$D$24,MATCH(LEFT(B33,255),LEFT('Reference Records'!$C$4:$C$24,255),0))),"")</f>
        <v/>
      </c>
      <c r="AC33" s="480" t="str">
        <f>IF(H33&lt;&gt;"",B33&amp;C33,"")</f>
        <v/>
      </c>
      <c r="AD33" s="480" t="b">
        <f>IF(OR(B33&lt;&gt;"",C33&lt;&gt;""),TRUE,FALSE)</f>
        <v>0</v>
      </c>
      <c r="AE33" s="52" t="str">
        <f t="array" ref="AE33">IFERROR(IF(INDEX('Reference Records'!$G$4:$G$24,MATCH(LEFT(B33,255),LEFT('Reference Records'!$C$4:$C$24,255),0))=0,"",INDEX('Reference Records'!$G$4:$G$24,MATCH(LEFT(B33,255),LEFT('Reference Records'!$C$4:$C$24,255),0))),"")</f>
        <v/>
      </c>
      <c r="AG33" s="52">
        <f>AG31+'update Helper'!$R$2</f>
        <v>116</v>
      </c>
      <c r="AH33" s="52">
        <f t="shared" ref="AH33" si="150">AH31+1</f>
        <v>16</v>
      </c>
      <c r="AO33" s="516" t="str">
        <f t="shared" ref="AO33" ca="1" si="151">IF(AND(BI33="Continue",BJ33="Continue"),"No Error",IF(AND(BI33&lt;&gt;"Continue",BJ33="Continue"),BI33,IF(AND(BJ33&lt;&gt;"Continue",BI33="Continue"),BJ33,CONCATENATE(BI33,CHAR(10),BJ33))))</f>
        <v>No Error</v>
      </c>
      <c r="AP33" s="477" t="str" cm="1">
        <f t="array" ref="AP33">IF(ISBLANK(B33),"Continue",(IF(IFERROR(_xlfn.XMATCH(B33,LEFT('Reference Records'!$I$3:$I$21,32768),0),0)&lt;&gt;0,"Continue","Invalid indicator entry. Select from dropdown list.")))</f>
        <v>Continue</v>
      </c>
      <c r="AQ33" s="477" t="str">
        <f t="shared" ref="AQ33" si="152">IF(SUM(AR33:AV34)=0, "Continue", "Enter valid number only.")</f>
        <v>Continue</v>
      </c>
      <c r="AR33" s="150">
        <f t="shared" si="0"/>
        <v>0</v>
      </c>
      <c r="AS33" s="150">
        <f t="shared" si="1"/>
        <v>0</v>
      </c>
      <c r="AT33" s="150">
        <f t="shared" si="2"/>
        <v>0</v>
      </c>
      <c r="AU33" s="150">
        <f t="shared" si="3"/>
        <v>0</v>
      </c>
      <c r="AV33" s="150">
        <f t="shared" si="4"/>
        <v>0</v>
      </c>
      <c r="AW33" s="477">
        <f t="shared" ref="AW33" ca="1" si="153">IF(NOT(ISBLANK(E33)),IF(E33&lt;&gt;"",(IF(NOT(ISNUMBER(E33)),1,0)),0),0)</f>
        <v>0</v>
      </c>
      <c r="AX33" s="477">
        <f t="shared" ref="AX33" ca="1" si="154">IF(NOT(ISBLANK(L33)),IF(L33&lt;&gt;"",(IF(NOT(ISNUMBER(L33)),1,0)),0),0)</f>
        <v>0</v>
      </c>
      <c r="AY33" s="477">
        <f t="shared" ref="AY33" ca="1" si="155">IF(NOT(ISBLANK(P33)),IF(P33&lt;&gt;"",(IF(NOT(ISNUMBER(P33)),1,0)),0),0)</f>
        <v>0</v>
      </c>
      <c r="AZ33" s="477">
        <f t="shared" ref="AZ33" ca="1" si="156">IF(NOT(ISBLANK(T33)),IF(T33&lt;&gt;"",(IF(NOT(ISNUMBER(T33)),1,0)),0),0)</f>
        <v>0</v>
      </c>
      <c r="BA33" s="477">
        <f t="shared" ref="BA33" ca="1" si="157">IF(NOT(ISBLANK(X33)),IF(X33&lt;&gt;"",(IF(NOT(ISNUMBER(X33)),1,0)),0),0)</f>
        <v>0</v>
      </c>
      <c r="BB33" s="477" t="str">
        <f t="shared" ref="BB33" ca="1" si="158">IF(SUM(AW33:BA34)=0, "Continue", "Enter valid number only.")</f>
        <v>Continue</v>
      </c>
      <c r="BC33" s="477" t="str">
        <f t="shared" ref="BC33" ca="1" si="159">IF(AND(AQ33="Continue",BB33="Continue"),"Continue",IF(AND(AQ33&lt;&gt;"Continue",BB33="Continue"),AQ33,IF(AND(BB33&lt;&gt;"Continue",AQ33="Continue"),BB33,CONCATENATE(AQ33,CHAR(10)))))</f>
        <v>Continue</v>
      </c>
      <c r="BD33" s="159" t="str">
        <f>IFERROR(INDEX('Reference Records'!$O$3:$O$21,MATCH($B33,'Reference Records'!$I$3:$I$21,0)),"")</f>
        <v/>
      </c>
      <c r="BE33" s="130" t="str">
        <f t="shared" si="5"/>
        <v>Continue</v>
      </c>
      <c r="BF33" s="130" t="str">
        <f t="shared" si="6"/>
        <v>Continue</v>
      </c>
      <c r="BG33" s="130" t="str">
        <f t="shared" si="7"/>
        <v>Continue</v>
      </c>
      <c r="BH33" s="477" t="str">
        <f t="shared" ref="BH33" ca="1" si="160">IF(AND(AP33="Continue",BC33="Continue"),"Continue",IF(AND(AP33&lt;&gt;"Continue",BC33="Continue"),AP33,IF(AND(BC33&lt;&gt;"Continue",AP33="Continue"),BC33,CONCATENATE(AP33,CHAR(10),BC33))))</f>
        <v>Continue</v>
      </c>
      <c r="BI33" s="477" t="str">
        <f t="shared" ref="BI33" si="161">IF(AND(B33="",C33=""),"Continue",
IF(AND(B33="",C33&lt;&gt;""),"Continue",
IF(AND(B33&lt;&gt;"",C33=""),"Continue",
IF(AND(B33&lt;&gt;"",C33&lt;&gt;""),"Cannot enter both standard and custom indicators on the same line."))))</f>
        <v>Continue</v>
      </c>
      <c r="BJ33" s="477" t="str">
        <f t="shared" ref="BJ33" ca="1" si="162">IF(AND(BE33="Continue",BH33="Continue"),"Continue",IF(AND(BE33&lt;&gt;"Continue",BH33="Continue"),BE33,IF(AND(BH33&lt;&gt;"Continue",BE33="Continue"),BH33,CONCATENATE(BE33,CHAR(10),BH33))))</f>
        <v>Continue</v>
      </c>
    </row>
    <row r="34" spans="1:62" ht="30" customHeight="1" x14ac:dyDescent="0.25">
      <c r="A34" s="488"/>
      <c r="B34" s="479"/>
      <c r="C34" s="479"/>
      <c r="D34" s="194"/>
      <c r="E34" s="490"/>
      <c r="F34" s="479"/>
      <c r="G34" s="479"/>
      <c r="H34" s="492"/>
      <c r="I34" s="494"/>
      <c r="J34" s="479"/>
      <c r="K34" s="194"/>
      <c r="L34" s="482"/>
      <c r="M34" s="484"/>
      <c r="N34" s="486"/>
      <c r="O34" s="194"/>
      <c r="P34" s="482"/>
      <c r="Q34" s="484"/>
      <c r="R34" s="486"/>
      <c r="S34" s="194"/>
      <c r="T34" s="482"/>
      <c r="U34" s="484"/>
      <c r="V34" s="486"/>
      <c r="W34" s="194"/>
      <c r="X34" s="482"/>
      <c r="Y34" s="484"/>
      <c r="Z34" s="486"/>
      <c r="AA34" s="479"/>
      <c r="AC34" s="480"/>
      <c r="AD34" s="480"/>
      <c r="AO34" s="516"/>
      <c r="AP34" s="477"/>
      <c r="AQ34" s="477"/>
      <c r="AR34" s="150">
        <f t="shared" si="0"/>
        <v>0</v>
      </c>
      <c r="AS34" s="150">
        <f t="shared" si="1"/>
        <v>0</v>
      </c>
      <c r="AT34" s="150">
        <f t="shared" si="2"/>
        <v>0</v>
      </c>
      <c r="AU34" s="150">
        <f t="shared" si="3"/>
        <v>0</v>
      </c>
      <c r="AV34" s="150">
        <f t="shared" si="4"/>
        <v>0</v>
      </c>
      <c r="AW34" s="477"/>
      <c r="AX34" s="477"/>
      <c r="AY34" s="477"/>
      <c r="AZ34" s="477"/>
      <c r="BA34" s="477"/>
      <c r="BB34" s="477"/>
      <c r="BC34" s="477"/>
      <c r="BD34" s="159" t="str">
        <f>IFERROR(INDEX('Reference Records'!$O$3:$O$21,MATCH($B34,'Reference Records'!$I$3:$I$21,0)),"")</f>
        <v/>
      </c>
      <c r="BE34" s="130" t="str">
        <f t="shared" si="5"/>
        <v>Continue</v>
      </c>
      <c r="BF34" s="130" t="str">
        <f t="shared" si="6"/>
        <v>Continue</v>
      </c>
      <c r="BG34" s="130" t="str">
        <f t="shared" si="7"/>
        <v>Continue</v>
      </c>
      <c r="BH34" s="477"/>
      <c r="BI34" s="477"/>
      <c r="BJ34" s="477"/>
    </row>
    <row r="35" spans="1:62" ht="30" customHeight="1" x14ac:dyDescent="0.25">
      <c r="A35" s="487">
        <v>14</v>
      </c>
      <c r="B35" s="501"/>
      <c r="C35" s="501"/>
      <c r="D35" s="195"/>
      <c r="E35" s="503" t="str">
        <f ca="1">IF(OR(INDIRECT("'update Helper'!D"&amp;AH35)="",D35&lt;&gt;0,D36&lt;&gt;0),IF(IFERROR((D35/D36),"")="","",(D35/D36)),INDIRECT("'update Helper'!D"&amp;AH35)/100)</f>
        <v/>
      </c>
      <c r="F35" s="501"/>
      <c r="G35" s="501"/>
      <c r="H35" s="491" t="str">
        <f>AB35</f>
        <v/>
      </c>
      <c r="I35" s="505"/>
      <c r="J35" s="501"/>
      <c r="K35" s="195"/>
      <c r="L35" s="495" t="str">
        <f ca="1">IF(OR(INDIRECT("'update Helper'!K"&amp;AG35)="",K35&lt;&gt;0,K36&lt;&gt;0),IF(IFERROR((K35/K36),"")="","",(K35/K36)),INDIRECT("'update Helper'!K"&amp;AG35)/100)</f>
        <v/>
      </c>
      <c r="M35" s="497"/>
      <c r="N35" s="499"/>
      <c r="O35" s="195"/>
      <c r="P35" s="495" t="str">
        <f ca="1">IF(OR(INDIRECT("'update Helper'!K"&amp;AG35+1)="",O35&lt;&gt;0,O36&lt;&gt;0),IF(IFERROR((O35/O36),"")="","",(O35/O36)),INDIRECT("'update Helper'!K"&amp;AG35+1)/100)</f>
        <v/>
      </c>
      <c r="Q35" s="497"/>
      <c r="R35" s="499"/>
      <c r="S35" s="195"/>
      <c r="T35" s="495" t="str">
        <f ca="1">IF(OR(INDIRECT("'update Helper'!K"&amp;AG35+2)="",S35&lt;&gt;0,S36&lt;&gt;0),IF(IFERROR((S35/S36),"")="","",(S35/S36)),INDIRECT("'update Helper'!K"&amp;AG35+2)/100)</f>
        <v/>
      </c>
      <c r="U35" s="497"/>
      <c r="V35" s="499"/>
      <c r="W35" s="195"/>
      <c r="X35" s="495" t="str">
        <f ca="1">IF(OR(INDIRECT("'update Helper'!K"&amp;AG35+3)="",W35&lt;&gt;0,W36&lt;&gt;0),IF(IFERROR((W35/W36),"")="","",(W35/W36)),INDIRECT("'update Helper'!K"&amp;AG35+3)/100)</f>
        <v/>
      </c>
      <c r="Y35" s="497"/>
      <c r="Z35" s="499"/>
      <c r="AA35" s="501"/>
      <c r="AB35" s="52" t="str">
        <f t="array" ref="AB35">IFERROR(IF(INDEX('Reference Records'!$D$4:$D$24,MATCH(LEFT(B35,255),LEFT('Reference Records'!$C$4:$C$24,255),0))=0,"",INDEX('Reference Records'!$D$4:$D$24,MATCH(LEFT(B35,255),LEFT('Reference Records'!$C$4:$C$24,255),0))),"")</f>
        <v/>
      </c>
      <c r="AC35" s="480" t="str">
        <f>IF(H35&lt;&gt;"",B35&amp;C35,"")</f>
        <v/>
      </c>
      <c r="AD35" s="480" t="b">
        <f>IF(OR(B35&lt;&gt;"",C35&lt;&gt;""),TRUE,FALSE)</f>
        <v>0</v>
      </c>
      <c r="AE35" s="52" t="str">
        <f t="array" ref="AE35">IFERROR(IF(INDEX('Reference Records'!$G$4:$G$24,MATCH(LEFT(B35,255),LEFT('Reference Records'!$C$4:$C$24,255),0))=0,"",INDEX('Reference Records'!$G$4:$G$24,MATCH(LEFT(B35,255),LEFT('Reference Records'!$C$4:$C$24,255),0))),"")</f>
        <v/>
      </c>
      <c r="AG35" s="52">
        <f>AG33+'update Helper'!$R$2</f>
        <v>122</v>
      </c>
      <c r="AH35" s="52">
        <f t="shared" ref="AH35" si="163">AH33+1</f>
        <v>17</v>
      </c>
      <c r="AO35" s="516" t="str">
        <f t="shared" ref="AO35" ca="1" si="164">IF(AND(BI35="Continue",BJ35="Continue"),"No Error",IF(AND(BI35&lt;&gt;"Continue",BJ35="Continue"),BI35,IF(AND(BJ35&lt;&gt;"Continue",BI35="Continue"),BJ35,CONCATENATE(BI35,CHAR(10),BJ35))))</f>
        <v>No Error</v>
      </c>
      <c r="AP35" s="477" t="str" cm="1">
        <f t="array" ref="AP35">IF(ISBLANK(B35),"Continue",(IF(IFERROR(_xlfn.XMATCH(B35,LEFT('Reference Records'!$I$3:$I$21,32768),0),0)&lt;&gt;0,"Continue","Invalid indicator entry. Select from dropdown list.")))</f>
        <v>Continue</v>
      </c>
      <c r="AQ35" s="477" t="str">
        <f t="shared" ref="AQ35" si="165">IF(SUM(AR35:AV36)=0, "Continue", "Enter valid number only.")</f>
        <v>Continue</v>
      </c>
      <c r="AR35" s="150">
        <f t="shared" si="0"/>
        <v>0</v>
      </c>
      <c r="AS35" s="150">
        <f t="shared" si="1"/>
        <v>0</v>
      </c>
      <c r="AT35" s="150">
        <f t="shared" si="2"/>
        <v>0</v>
      </c>
      <c r="AU35" s="150">
        <f t="shared" si="3"/>
        <v>0</v>
      </c>
      <c r="AV35" s="150">
        <f t="shared" si="4"/>
        <v>0</v>
      </c>
      <c r="AW35" s="477">
        <f t="shared" ref="AW35" ca="1" si="166">IF(NOT(ISBLANK(E35)),IF(E35&lt;&gt;"",(IF(NOT(ISNUMBER(E35)),1,0)),0),0)</f>
        <v>0</v>
      </c>
      <c r="AX35" s="477">
        <f t="shared" ref="AX35" ca="1" si="167">IF(NOT(ISBLANK(L35)),IF(L35&lt;&gt;"",(IF(NOT(ISNUMBER(L35)),1,0)),0),0)</f>
        <v>0</v>
      </c>
      <c r="AY35" s="477">
        <f t="shared" ref="AY35" ca="1" si="168">IF(NOT(ISBLANK(P35)),IF(P35&lt;&gt;"",(IF(NOT(ISNUMBER(P35)),1,0)),0),0)</f>
        <v>0</v>
      </c>
      <c r="AZ35" s="477">
        <f t="shared" ref="AZ35" ca="1" si="169">IF(NOT(ISBLANK(T35)),IF(T35&lt;&gt;"",(IF(NOT(ISNUMBER(T35)),1,0)),0),0)</f>
        <v>0</v>
      </c>
      <c r="BA35" s="477">
        <f t="shared" ref="BA35" ca="1" si="170">IF(NOT(ISBLANK(X35)),IF(X35&lt;&gt;"",(IF(NOT(ISNUMBER(X35)),1,0)),0),0)</f>
        <v>0</v>
      </c>
      <c r="BB35" s="477" t="str">
        <f t="shared" ref="BB35" ca="1" si="171">IF(SUM(AW35:BA36)=0, "Continue", "Enter valid number only.")</f>
        <v>Continue</v>
      </c>
      <c r="BC35" s="477" t="str">
        <f t="shared" ref="BC35" ca="1" si="172">IF(AND(AQ35="Continue",BB35="Continue"),"Continue",IF(AND(AQ35&lt;&gt;"Continue",BB35="Continue"),AQ35,IF(AND(BB35&lt;&gt;"Continue",AQ35="Continue"),BB35,CONCATENATE(AQ35,CHAR(10)))))</f>
        <v>Continue</v>
      </c>
      <c r="BD35" s="159" t="str">
        <f>IFERROR(INDEX('Reference Records'!$O$3:$O$21,MATCH($B35,'Reference Records'!$I$3:$I$21,0)),"")</f>
        <v/>
      </c>
      <c r="BE35" s="130" t="str">
        <f t="shared" si="5"/>
        <v>Continue</v>
      </c>
      <c r="BF35" s="130" t="str">
        <f t="shared" si="6"/>
        <v>Continue</v>
      </c>
      <c r="BG35" s="130" t="str">
        <f t="shared" si="7"/>
        <v>Continue</v>
      </c>
      <c r="BH35" s="477" t="str">
        <f t="shared" ref="BH35" ca="1" si="173">IF(AND(AP35="Continue",BC35="Continue"),"Continue",IF(AND(AP35&lt;&gt;"Continue",BC35="Continue"),AP35,IF(AND(BC35&lt;&gt;"Continue",AP35="Continue"),BC35,CONCATENATE(AP35,CHAR(10),BC35))))</f>
        <v>Continue</v>
      </c>
      <c r="BI35" s="477" t="str">
        <f t="shared" ref="BI35" si="174">IF(AND(B35="",C35=""),"Continue",
IF(AND(B35="",C35&lt;&gt;""),"Continue",
IF(AND(B35&lt;&gt;"",C35=""),"Continue",
IF(AND(B35&lt;&gt;"",C35&lt;&gt;""),"Cannot enter both standard and custom indicators on the same line."))))</f>
        <v>Continue</v>
      </c>
      <c r="BJ35" s="477" t="str">
        <f t="shared" ref="BJ35" ca="1" si="175">IF(AND(BE35="Continue",BH35="Continue"),"Continue",IF(AND(BE35&lt;&gt;"Continue",BH35="Continue"),BE35,IF(AND(BH35&lt;&gt;"Continue",BE35="Continue"),BH35,CONCATENATE(BE35,CHAR(10),BH35))))</f>
        <v>Continue</v>
      </c>
    </row>
    <row r="36" spans="1:62" ht="30" customHeight="1" x14ac:dyDescent="0.25">
      <c r="A36" s="488"/>
      <c r="B36" s="502"/>
      <c r="C36" s="502"/>
      <c r="D36" s="196"/>
      <c r="E36" s="504"/>
      <c r="F36" s="502"/>
      <c r="G36" s="502"/>
      <c r="H36" s="492"/>
      <c r="I36" s="506"/>
      <c r="J36" s="502"/>
      <c r="K36" s="196"/>
      <c r="L36" s="496"/>
      <c r="M36" s="498"/>
      <c r="N36" s="500"/>
      <c r="O36" s="196"/>
      <c r="P36" s="496"/>
      <c r="Q36" s="498"/>
      <c r="R36" s="500"/>
      <c r="S36" s="196"/>
      <c r="T36" s="496"/>
      <c r="U36" s="498"/>
      <c r="V36" s="500"/>
      <c r="W36" s="196"/>
      <c r="X36" s="496"/>
      <c r="Y36" s="498"/>
      <c r="Z36" s="500"/>
      <c r="AA36" s="502"/>
      <c r="AC36" s="480"/>
      <c r="AD36" s="480"/>
      <c r="AO36" s="516"/>
      <c r="AP36" s="477"/>
      <c r="AQ36" s="477"/>
      <c r="AR36" s="150">
        <f t="shared" si="0"/>
        <v>0</v>
      </c>
      <c r="AS36" s="150">
        <f t="shared" si="1"/>
        <v>0</v>
      </c>
      <c r="AT36" s="150">
        <f t="shared" si="2"/>
        <v>0</v>
      </c>
      <c r="AU36" s="150">
        <f t="shared" si="3"/>
        <v>0</v>
      </c>
      <c r="AV36" s="150">
        <f t="shared" si="4"/>
        <v>0</v>
      </c>
      <c r="AW36" s="477"/>
      <c r="AX36" s="477"/>
      <c r="AY36" s="477"/>
      <c r="AZ36" s="477"/>
      <c r="BA36" s="477"/>
      <c r="BB36" s="477"/>
      <c r="BC36" s="477"/>
      <c r="BD36" s="159" t="str">
        <f>IFERROR(INDEX('Reference Records'!$O$3:$O$21,MATCH($B36,'Reference Records'!$I$3:$I$21,0)),"")</f>
        <v/>
      </c>
      <c r="BE36" s="130" t="str">
        <f t="shared" si="5"/>
        <v>Continue</v>
      </c>
      <c r="BF36" s="130" t="str">
        <f t="shared" si="6"/>
        <v>Continue</v>
      </c>
      <c r="BG36" s="130" t="str">
        <f t="shared" si="7"/>
        <v>Continue</v>
      </c>
      <c r="BH36" s="477"/>
      <c r="BI36" s="477"/>
      <c r="BJ36" s="477"/>
    </row>
    <row r="37" spans="1:62" ht="30" customHeight="1" x14ac:dyDescent="0.25">
      <c r="A37" s="487">
        <v>15</v>
      </c>
      <c r="B37" s="478"/>
      <c r="C37" s="478"/>
      <c r="D37" s="193"/>
      <c r="E37" s="489" t="str">
        <f ca="1">IF(OR(INDIRECT("'update Helper'!D"&amp;AH37)="",D37&lt;&gt;0,D38&lt;&gt;0),IF(IFERROR((D37/D38),"")="","",(D37/D38)),INDIRECT("'update Helper'!D"&amp;AH37)/100)</f>
        <v/>
      </c>
      <c r="F37" s="478"/>
      <c r="G37" s="478"/>
      <c r="H37" s="491" t="str">
        <f>AB37</f>
        <v/>
      </c>
      <c r="I37" s="493"/>
      <c r="J37" s="478"/>
      <c r="K37" s="193"/>
      <c r="L37" s="481" t="str">
        <f ca="1">IF(OR(INDIRECT("'update Helper'!K"&amp;AG37)="",K37&lt;&gt;0,K38&lt;&gt;0),IF(IFERROR((K37/K38),"")="","",(K37/K38)),INDIRECT("'update Helper'!K"&amp;AG37)/100)</f>
        <v/>
      </c>
      <c r="M37" s="483"/>
      <c r="N37" s="485"/>
      <c r="O37" s="193"/>
      <c r="P37" s="481" t="str">
        <f ca="1">IF(OR(INDIRECT("'update Helper'!K"&amp;AG37+1)="",O37&lt;&gt;0,O38&lt;&gt;0),IF(IFERROR((O37/O38),"")="","",(O37/O38)),INDIRECT("'update Helper'!K"&amp;AG37+1)/100)</f>
        <v/>
      </c>
      <c r="Q37" s="483"/>
      <c r="R37" s="485"/>
      <c r="S37" s="193"/>
      <c r="T37" s="481" t="str">
        <f ca="1">IF(OR(INDIRECT("'update Helper'!K"&amp;AG37+2)="",S37&lt;&gt;0,S38&lt;&gt;0),IF(IFERROR((S37/S38),"")="","",(S37/S38)),INDIRECT("'update Helper'!K"&amp;AG37+2)/100)</f>
        <v/>
      </c>
      <c r="U37" s="483"/>
      <c r="V37" s="485"/>
      <c r="W37" s="193"/>
      <c r="X37" s="481" t="str">
        <f ca="1">IF(OR(INDIRECT("'update Helper'!K"&amp;AG37+3)="",W37&lt;&gt;0,W38&lt;&gt;0),IF(IFERROR((W37/W38),"")="","",(W37/W38)),INDIRECT("'update Helper'!K"&amp;AG37+3)/100)</f>
        <v/>
      </c>
      <c r="Y37" s="483"/>
      <c r="Z37" s="485"/>
      <c r="AA37" s="478"/>
      <c r="AB37" s="52" t="str">
        <f t="array" ref="AB37">IFERROR(IF(INDEX('Reference Records'!$D$4:$D$24,MATCH(LEFT(B37,255),LEFT('Reference Records'!$C$4:$C$24,255),0))=0,"",INDEX('Reference Records'!$D$4:$D$24,MATCH(LEFT(B37,255),LEFT('Reference Records'!$C$4:$C$24,255),0))),"")</f>
        <v/>
      </c>
      <c r="AC37" s="480" t="str">
        <f>IF(H37&lt;&gt;"",B37&amp;C37,"")</f>
        <v/>
      </c>
      <c r="AD37" s="480" t="b">
        <f>IF(OR(B37&lt;&gt;"",C37&lt;&gt;""),TRUE,FALSE)</f>
        <v>0</v>
      </c>
      <c r="AE37" s="52" t="str">
        <f t="array" ref="AE37">IFERROR(IF(INDEX('Reference Records'!$G$4:$G$24,MATCH(LEFT(B37,255),LEFT('Reference Records'!$C$4:$C$24,255),0))=0,"",INDEX('Reference Records'!$G$4:$G$24,MATCH(LEFT(B37,255),LEFT('Reference Records'!$C$4:$C$24,255),0))),"")</f>
        <v/>
      </c>
      <c r="AG37" s="52">
        <f>AG35+'update Helper'!$R$2</f>
        <v>128</v>
      </c>
      <c r="AH37" s="52">
        <f t="shared" ref="AH37" si="176">AH35+1</f>
        <v>18</v>
      </c>
      <c r="AO37" s="516" t="str">
        <f t="shared" ref="AO37" ca="1" si="177">IF(AND(BI37="Continue",BJ37="Continue"),"No Error",IF(AND(BI37&lt;&gt;"Continue",BJ37="Continue"),BI37,IF(AND(BJ37&lt;&gt;"Continue",BI37="Continue"),BJ37,CONCATENATE(BI37,CHAR(10),BJ37))))</f>
        <v>No Error</v>
      </c>
      <c r="AP37" s="477" t="str" cm="1">
        <f t="array" ref="AP37">IF(ISBLANK(B37),"Continue",(IF(IFERROR(_xlfn.XMATCH(B37,LEFT('Reference Records'!$I$3:$I$21,32768),0),0)&lt;&gt;0,"Continue","Invalid indicator entry. Select from dropdown list.")))</f>
        <v>Continue</v>
      </c>
      <c r="AQ37" s="477" t="str">
        <f t="shared" ref="AQ37" si="178">IF(SUM(AR37:AV38)=0, "Continue", "Enter valid number only.")</f>
        <v>Continue</v>
      </c>
      <c r="AR37" s="150">
        <f t="shared" si="0"/>
        <v>0</v>
      </c>
      <c r="AS37" s="150">
        <f t="shared" si="1"/>
        <v>0</v>
      </c>
      <c r="AT37" s="150">
        <f t="shared" si="2"/>
        <v>0</v>
      </c>
      <c r="AU37" s="150">
        <f t="shared" si="3"/>
        <v>0</v>
      </c>
      <c r="AV37" s="150">
        <f t="shared" si="4"/>
        <v>0</v>
      </c>
      <c r="AW37" s="477">
        <f t="shared" ref="AW37" ca="1" si="179">IF(NOT(ISBLANK(E37)),IF(E37&lt;&gt;"",(IF(NOT(ISNUMBER(E37)),1,0)),0),0)</f>
        <v>0</v>
      </c>
      <c r="AX37" s="477">
        <f t="shared" ref="AX37" ca="1" si="180">IF(NOT(ISBLANK(L37)),IF(L37&lt;&gt;"",(IF(NOT(ISNUMBER(L37)),1,0)),0),0)</f>
        <v>0</v>
      </c>
      <c r="AY37" s="477">
        <f t="shared" ref="AY37" ca="1" si="181">IF(NOT(ISBLANK(P37)),IF(P37&lt;&gt;"",(IF(NOT(ISNUMBER(P37)),1,0)),0),0)</f>
        <v>0</v>
      </c>
      <c r="AZ37" s="477">
        <f t="shared" ref="AZ37" ca="1" si="182">IF(NOT(ISBLANK(T37)),IF(T37&lt;&gt;"",(IF(NOT(ISNUMBER(T37)),1,0)),0),0)</f>
        <v>0</v>
      </c>
      <c r="BA37" s="477">
        <f t="shared" ref="BA37" ca="1" si="183">IF(NOT(ISBLANK(X37)),IF(X37&lt;&gt;"",(IF(NOT(ISNUMBER(X37)),1,0)),0),0)</f>
        <v>0</v>
      </c>
      <c r="BB37" s="477" t="str">
        <f t="shared" ref="BB37" ca="1" si="184">IF(SUM(AW37:BA38)=0, "Continue", "Enter valid number only.")</f>
        <v>Continue</v>
      </c>
      <c r="BC37" s="477" t="str">
        <f t="shared" ref="BC37" ca="1" si="185">IF(AND(AQ37="Continue",BB37="Continue"),"Continue",IF(AND(AQ37&lt;&gt;"Continue",BB37="Continue"),AQ37,IF(AND(BB37&lt;&gt;"Continue",AQ37="Continue"),BB37,CONCATENATE(AQ37,CHAR(10)))))</f>
        <v>Continue</v>
      </c>
      <c r="BD37" s="159" t="str">
        <f>IFERROR(INDEX('Reference Records'!$O$3:$O$21,MATCH($B37,'Reference Records'!$I$3:$I$21,0)),"")</f>
        <v/>
      </c>
      <c r="BE37" s="130" t="str">
        <f t="shared" si="5"/>
        <v>Continue</v>
      </c>
      <c r="BF37" s="130" t="str">
        <f t="shared" si="6"/>
        <v>Continue</v>
      </c>
      <c r="BG37" s="130" t="str">
        <f t="shared" si="7"/>
        <v>Continue</v>
      </c>
      <c r="BH37" s="477" t="str">
        <f t="shared" ref="BH37" ca="1" si="186">IF(AND(AP37="Continue",BC37="Continue"),"Continue",IF(AND(AP37&lt;&gt;"Continue",BC37="Continue"),AP37,IF(AND(BC37&lt;&gt;"Continue",AP37="Continue"),BC37,CONCATENATE(AP37,CHAR(10),BC37))))</f>
        <v>Continue</v>
      </c>
      <c r="BI37" s="477" t="str">
        <f t="shared" ref="BI37" si="187">IF(AND(B37="",C37=""),"Continue",
IF(AND(B37="",C37&lt;&gt;""),"Continue",
IF(AND(B37&lt;&gt;"",C37=""),"Continue",
IF(AND(B37&lt;&gt;"",C37&lt;&gt;""),"Cannot enter both standard and custom indicators on the same line."))))</f>
        <v>Continue</v>
      </c>
      <c r="BJ37" s="477" t="str">
        <f t="shared" ref="BJ37" ca="1" si="188">IF(AND(BE37="Continue",BH37="Continue"),"Continue",IF(AND(BE37&lt;&gt;"Continue",BH37="Continue"),BE37,IF(AND(BH37&lt;&gt;"Continue",BE37="Continue"),BH37,CONCATENATE(BE37,CHAR(10),BH37))))</f>
        <v>Continue</v>
      </c>
    </row>
    <row r="38" spans="1:62" ht="30" customHeight="1" x14ac:dyDescent="0.25">
      <c r="A38" s="488"/>
      <c r="B38" s="479"/>
      <c r="C38" s="479"/>
      <c r="D38" s="194"/>
      <c r="E38" s="490"/>
      <c r="F38" s="479"/>
      <c r="G38" s="479"/>
      <c r="H38" s="492"/>
      <c r="I38" s="494"/>
      <c r="J38" s="479"/>
      <c r="K38" s="194"/>
      <c r="L38" s="482"/>
      <c r="M38" s="484"/>
      <c r="N38" s="486"/>
      <c r="O38" s="194"/>
      <c r="P38" s="482"/>
      <c r="Q38" s="484"/>
      <c r="R38" s="486"/>
      <c r="S38" s="194"/>
      <c r="T38" s="482"/>
      <c r="U38" s="484"/>
      <c r="V38" s="486"/>
      <c r="W38" s="194"/>
      <c r="X38" s="482"/>
      <c r="Y38" s="484"/>
      <c r="Z38" s="486"/>
      <c r="AA38" s="479"/>
      <c r="AC38" s="480"/>
      <c r="AD38" s="480"/>
      <c r="AO38" s="516"/>
      <c r="AP38" s="477"/>
      <c r="AQ38" s="477"/>
      <c r="AR38" s="150">
        <f t="shared" si="0"/>
        <v>0</v>
      </c>
      <c r="AS38" s="150">
        <f t="shared" si="1"/>
        <v>0</v>
      </c>
      <c r="AT38" s="150">
        <f t="shared" si="2"/>
        <v>0</v>
      </c>
      <c r="AU38" s="150">
        <f t="shared" si="3"/>
        <v>0</v>
      </c>
      <c r="AV38" s="150">
        <f t="shared" si="4"/>
        <v>0</v>
      </c>
      <c r="AW38" s="477"/>
      <c r="AX38" s="477"/>
      <c r="AY38" s="477"/>
      <c r="AZ38" s="477"/>
      <c r="BA38" s="477"/>
      <c r="BB38" s="477"/>
      <c r="BC38" s="477"/>
      <c r="BD38" s="159" t="str">
        <f>IFERROR(INDEX('Reference Records'!$O$3:$O$21,MATCH($B38,'Reference Records'!$I$3:$I$21,0)),"")</f>
        <v/>
      </c>
      <c r="BE38" s="130" t="str">
        <f t="shared" si="5"/>
        <v>Continue</v>
      </c>
      <c r="BF38" s="130" t="str">
        <f t="shared" si="6"/>
        <v>Continue</v>
      </c>
      <c r="BG38" s="130" t="str">
        <f t="shared" si="7"/>
        <v>Continue</v>
      </c>
      <c r="BH38" s="477"/>
      <c r="BI38" s="477"/>
      <c r="BJ38" s="477"/>
    </row>
    <row r="39" spans="1:62" ht="30" customHeight="1" x14ac:dyDescent="0.25">
      <c r="D39" s="197"/>
    </row>
    <row r="40" spans="1:62" ht="30" customHeight="1" x14ac:dyDescent="0.25">
      <c r="D40" s="197"/>
      <c r="T40" s="130"/>
    </row>
    <row r="41" spans="1:62" ht="30" customHeight="1" x14ac:dyDescent="0.25">
      <c r="D41" s="197"/>
    </row>
    <row r="42" spans="1:62" ht="30" customHeight="1" x14ac:dyDescent="0.25">
      <c r="D42" s="197"/>
    </row>
    <row r="43" spans="1:62" ht="30" customHeight="1" x14ac:dyDescent="0.25">
      <c r="D43" s="197"/>
    </row>
    <row r="44" spans="1:62" ht="30" customHeight="1" x14ac:dyDescent="0.25">
      <c r="D44" s="197"/>
    </row>
    <row r="45" spans="1:62" ht="30" customHeight="1" x14ac:dyDescent="0.25">
      <c r="D45" s="197"/>
    </row>
    <row r="46" spans="1:62" ht="30" customHeight="1" x14ac:dyDescent="0.25">
      <c r="D46" s="197"/>
      <c r="L46" s="130"/>
    </row>
    <row r="47" spans="1:62" ht="30" customHeight="1" x14ac:dyDescent="0.25">
      <c r="D47" s="197"/>
    </row>
    <row r="48" spans="1:62" ht="30" customHeight="1" x14ac:dyDescent="0.25">
      <c r="D48" s="197"/>
    </row>
    <row r="49" spans="4:4" ht="30" customHeight="1" x14ac:dyDescent="0.25">
      <c r="D49" s="197"/>
    </row>
    <row r="50" spans="4:4" ht="30" customHeight="1" x14ac:dyDescent="0.25">
      <c r="D50" s="197"/>
    </row>
    <row r="51" spans="4:4" ht="30" customHeight="1" x14ac:dyDescent="0.25">
      <c r="D51" s="197"/>
    </row>
    <row r="52" spans="4:4" ht="30" customHeight="1" x14ac:dyDescent="0.25">
      <c r="D52" s="197"/>
    </row>
    <row r="53" spans="4:4" ht="30" customHeight="1" x14ac:dyDescent="0.25">
      <c r="D53" s="197"/>
    </row>
    <row r="54" spans="4:4" ht="30" customHeight="1" x14ac:dyDescent="0.25">
      <c r="D54" s="197"/>
    </row>
    <row r="55" spans="4:4" ht="30" customHeight="1" x14ac:dyDescent="0.25">
      <c r="D55" s="197"/>
    </row>
    <row r="56" spans="4:4" ht="30" customHeight="1" x14ac:dyDescent="0.25">
      <c r="D56" s="197"/>
    </row>
    <row r="57" spans="4:4" ht="30" customHeight="1" x14ac:dyDescent="0.25">
      <c r="D57" s="197"/>
    </row>
    <row r="58" spans="4:4" ht="30" customHeight="1" x14ac:dyDescent="0.25">
      <c r="D58" s="197"/>
    </row>
    <row r="59" spans="4:4" ht="30" customHeight="1" x14ac:dyDescent="0.25">
      <c r="D59" s="197"/>
    </row>
    <row r="60" spans="4:4" ht="30" customHeight="1" x14ac:dyDescent="0.25">
      <c r="D60" s="197"/>
    </row>
    <row r="61" spans="4:4" ht="30" customHeight="1" x14ac:dyDescent="0.25">
      <c r="D61" s="197"/>
    </row>
    <row r="62" spans="4:4" ht="30" customHeight="1" x14ac:dyDescent="0.25">
      <c r="D62" s="197"/>
    </row>
    <row r="63" spans="4:4" ht="30" customHeight="1" x14ac:dyDescent="0.25">
      <c r="D63" s="197"/>
    </row>
    <row r="64" spans="4:4" ht="30" customHeight="1" x14ac:dyDescent="0.25">
      <c r="D64" s="197"/>
    </row>
    <row r="65" spans="4:4" ht="30" customHeight="1" x14ac:dyDescent="0.25">
      <c r="D65" s="197"/>
    </row>
    <row r="66" spans="4:4" ht="30" customHeight="1" x14ac:dyDescent="0.25">
      <c r="D66" s="197"/>
    </row>
    <row r="67" spans="4:4" ht="30" customHeight="1" x14ac:dyDescent="0.25">
      <c r="D67" s="197"/>
    </row>
    <row r="68" spans="4:4" ht="30" customHeight="1" x14ac:dyDescent="0.25">
      <c r="D68" s="197"/>
    </row>
    <row r="69" spans="4:4" ht="30" customHeight="1" x14ac:dyDescent="0.25">
      <c r="D69" s="197"/>
    </row>
    <row r="70" spans="4:4" ht="30" customHeight="1" x14ac:dyDescent="0.25">
      <c r="D70" s="197"/>
    </row>
    <row r="71" spans="4:4" ht="30" customHeight="1" x14ac:dyDescent="0.25">
      <c r="D71" s="197"/>
    </row>
    <row r="72" spans="4:4" ht="30" customHeight="1" x14ac:dyDescent="0.25">
      <c r="D72" s="197"/>
    </row>
    <row r="73" spans="4:4" ht="30" customHeight="1" x14ac:dyDescent="0.25">
      <c r="D73" s="197"/>
    </row>
    <row r="74" spans="4:4" ht="30" customHeight="1" x14ac:dyDescent="0.25">
      <c r="D74" s="197"/>
    </row>
    <row r="75" spans="4:4" ht="30" customHeight="1" x14ac:dyDescent="0.25">
      <c r="D75" s="197"/>
    </row>
    <row r="76" spans="4:4" ht="30" customHeight="1" x14ac:dyDescent="0.25">
      <c r="D76" s="197"/>
    </row>
    <row r="77" spans="4:4" ht="30" customHeight="1" x14ac:dyDescent="0.25">
      <c r="D77" s="197"/>
    </row>
    <row r="78" spans="4:4" ht="30" customHeight="1" x14ac:dyDescent="0.25">
      <c r="D78" s="197"/>
    </row>
    <row r="79" spans="4:4" ht="30" customHeight="1" x14ac:dyDescent="0.25">
      <c r="D79" s="197"/>
    </row>
    <row r="80" spans="4:4" ht="30" customHeight="1" x14ac:dyDescent="0.25">
      <c r="D80" s="197"/>
    </row>
    <row r="81" spans="4:4" ht="30" customHeight="1" x14ac:dyDescent="0.25">
      <c r="D81" s="197"/>
    </row>
    <row r="82" spans="4:4" ht="30" customHeight="1" x14ac:dyDescent="0.25">
      <c r="D82" s="197"/>
    </row>
    <row r="83" spans="4:4" ht="30" customHeight="1" x14ac:dyDescent="0.25">
      <c r="D83" s="197"/>
    </row>
    <row r="84" spans="4:4" ht="30" customHeight="1" x14ac:dyDescent="0.25">
      <c r="D84" s="197"/>
    </row>
    <row r="85" spans="4:4" ht="30" customHeight="1" x14ac:dyDescent="0.25">
      <c r="D85" s="197"/>
    </row>
    <row r="86" spans="4:4" ht="30" customHeight="1" x14ac:dyDescent="0.25">
      <c r="D86" s="197"/>
    </row>
    <row r="87" spans="4:4" ht="30" customHeight="1" x14ac:dyDescent="0.25">
      <c r="D87" s="197"/>
    </row>
    <row r="88" spans="4:4" ht="30" customHeight="1" x14ac:dyDescent="0.25">
      <c r="D88" s="197"/>
    </row>
    <row r="89" spans="4:4" ht="30" customHeight="1" x14ac:dyDescent="0.25">
      <c r="D89" s="197"/>
    </row>
    <row r="90" spans="4:4" ht="30" customHeight="1" x14ac:dyDescent="0.25">
      <c r="D90" s="197"/>
    </row>
    <row r="91" spans="4:4" ht="30" customHeight="1" x14ac:dyDescent="0.25">
      <c r="D91" s="197"/>
    </row>
    <row r="92" spans="4:4" ht="30" customHeight="1" x14ac:dyDescent="0.25">
      <c r="D92" s="197"/>
    </row>
    <row r="93" spans="4:4" ht="30" customHeight="1" x14ac:dyDescent="0.25">
      <c r="D93" s="197"/>
    </row>
    <row r="94" spans="4:4" ht="30" customHeight="1" x14ac:dyDescent="0.25">
      <c r="D94" s="197"/>
    </row>
    <row r="95" spans="4:4" ht="30" customHeight="1" x14ac:dyDescent="0.25">
      <c r="D95" s="197"/>
    </row>
    <row r="96" spans="4:4" ht="30" customHeight="1" x14ac:dyDescent="0.25">
      <c r="D96" s="197"/>
    </row>
    <row r="97" spans="4:4" ht="30" customHeight="1" x14ac:dyDescent="0.25">
      <c r="D97" s="197"/>
    </row>
    <row r="98" spans="4:4" ht="30" customHeight="1" x14ac:dyDescent="0.25">
      <c r="D98" s="197"/>
    </row>
    <row r="99" spans="4:4" ht="30" customHeight="1" x14ac:dyDescent="0.25">
      <c r="D99" s="197"/>
    </row>
    <row r="100" spans="4:4" ht="30" customHeight="1" x14ac:dyDescent="0.25">
      <c r="D100" s="197"/>
    </row>
    <row r="101" spans="4:4" x14ac:dyDescent="0.25">
      <c r="D101" s="197"/>
    </row>
    <row r="102" spans="4:4" x14ac:dyDescent="0.25">
      <c r="D102" s="197"/>
    </row>
    <row r="103" spans="4:4" x14ac:dyDescent="0.25">
      <c r="D103" s="197"/>
    </row>
    <row r="104" spans="4:4" x14ac:dyDescent="0.25">
      <c r="D104" s="197"/>
    </row>
    <row r="105" spans="4:4" x14ac:dyDescent="0.25">
      <c r="D105" s="197"/>
    </row>
    <row r="106" spans="4:4" x14ac:dyDescent="0.25">
      <c r="D106" s="197"/>
    </row>
    <row r="107" spans="4:4" x14ac:dyDescent="0.25">
      <c r="D107" s="197"/>
    </row>
    <row r="108" spans="4:4" x14ac:dyDescent="0.25">
      <c r="D108" s="197"/>
    </row>
    <row r="109" spans="4:4" x14ac:dyDescent="0.25">
      <c r="D109" s="197"/>
    </row>
    <row r="110" spans="4:4" x14ac:dyDescent="0.25">
      <c r="D110" s="197"/>
    </row>
    <row r="111" spans="4:4" x14ac:dyDescent="0.25">
      <c r="D111" s="197"/>
    </row>
    <row r="112" spans="4:4" x14ac:dyDescent="0.25">
      <c r="D112" s="197"/>
    </row>
    <row r="113" spans="4:4" x14ac:dyDescent="0.25">
      <c r="D113" s="197"/>
    </row>
    <row r="114" spans="4:4" x14ac:dyDescent="0.25">
      <c r="D114" s="197"/>
    </row>
    <row r="115" spans="4:4" x14ac:dyDescent="0.25">
      <c r="D115" s="197"/>
    </row>
    <row r="116" spans="4:4" x14ac:dyDescent="0.25">
      <c r="D116" s="197"/>
    </row>
    <row r="117" spans="4:4" x14ac:dyDescent="0.25">
      <c r="D117" s="197"/>
    </row>
    <row r="118" spans="4:4" x14ac:dyDescent="0.25">
      <c r="D118" s="197"/>
    </row>
    <row r="119" spans="4:4" x14ac:dyDescent="0.25">
      <c r="D119" s="197"/>
    </row>
    <row r="120" spans="4:4" x14ac:dyDescent="0.25">
      <c r="D120" s="197"/>
    </row>
    <row r="121" spans="4:4" x14ac:dyDescent="0.25">
      <c r="D121" s="197"/>
    </row>
    <row r="122" spans="4:4" x14ac:dyDescent="0.25">
      <c r="D122" s="197"/>
    </row>
    <row r="123" spans="4:4" x14ac:dyDescent="0.25">
      <c r="D123" s="197"/>
    </row>
    <row r="124" spans="4:4" x14ac:dyDescent="0.25">
      <c r="D124" s="197"/>
    </row>
    <row r="125" spans="4:4" x14ac:dyDescent="0.25">
      <c r="D125" s="197"/>
    </row>
    <row r="126" spans="4:4" x14ac:dyDescent="0.25">
      <c r="D126" s="197"/>
    </row>
    <row r="127" spans="4:4" x14ac:dyDescent="0.25">
      <c r="D127" s="197"/>
    </row>
    <row r="128" spans="4:4" x14ac:dyDescent="0.25">
      <c r="D128" s="197"/>
    </row>
    <row r="129" spans="4:4" x14ac:dyDescent="0.25">
      <c r="D129" s="197"/>
    </row>
    <row r="130" spans="4:4" x14ac:dyDescent="0.25">
      <c r="D130" s="197"/>
    </row>
    <row r="131" spans="4:4" x14ac:dyDescent="0.25">
      <c r="D131" s="197"/>
    </row>
    <row r="132" spans="4:4" x14ac:dyDescent="0.25">
      <c r="D132" s="197"/>
    </row>
    <row r="133" spans="4:4" x14ac:dyDescent="0.25">
      <c r="D133" s="197"/>
    </row>
    <row r="134" spans="4:4" x14ac:dyDescent="0.25">
      <c r="D134" s="197"/>
    </row>
    <row r="135" spans="4:4" x14ac:dyDescent="0.25">
      <c r="D135" s="197"/>
    </row>
    <row r="136" spans="4:4" x14ac:dyDescent="0.25">
      <c r="D136" s="197"/>
    </row>
    <row r="137" spans="4:4" x14ac:dyDescent="0.25">
      <c r="D137" s="197"/>
    </row>
    <row r="138" spans="4:4" x14ac:dyDescent="0.25">
      <c r="D138" s="197"/>
    </row>
    <row r="139" spans="4:4" x14ac:dyDescent="0.25">
      <c r="D139" s="197"/>
    </row>
    <row r="140" spans="4:4" x14ac:dyDescent="0.25">
      <c r="D140" s="197"/>
    </row>
    <row r="141" spans="4:4" x14ac:dyDescent="0.25">
      <c r="D141" s="197"/>
    </row>
    <row r="142" spans="4:4" x14ac:dyDescent="0.25">
      <c r="D142" s="197"/>
    </row>
    <row r="143" spans="4:4" x14ac:dyDescent="0.25">
      <c r="D143" s="197"/>
    </row>
    <row r="144" spans="4:4" x14ac:dyDescent="0.25">
      <c r="D144" s="197"/>
    </row>
    <row r="145" spans="4:4" x14ac:dyDescent="0.25">
      <c r="D145" s="197"/>
    </row>
    <row r="146" spans="4:4" x14ac:dyDescent="0.25">
      <c r="D146" s="197"/>
    </row>
    <row r="147" spans="4:4" x14ac:dyDescent="0.25">
      <c r="D147" s="197"/>
    </row>
    <row r="148" spans="4:4" x14ac:dyDescent="0.25">
      <c r="D148" s="197"/>
    </row>
    <row r="149" spans="4:4" x14ac:dyDescent="0.25">
      <c r="D149" s="197"/>
    </row>
    <row r="150" spans="4:4" x14ac:dyDescent="0.25">
      <c r="D150" s="197"/>
    </row>
    <row r="151" spans="4:4" x14ac:dyDescent="0.25">
      <c r="D151" s="197"/>
    </row>
    <row r="152" spans="4:4" x14ac:dyDescent="0.25">
      <c r="D152" s="197"/>
    </row>
    <row r="153" spans="4:4" x14ac:dyDescent="0.25">
      <c r="D153" s="197"/>
    </row>
    <row r="154" spans="4:4" x14ac:dyDescent="0.25">
      <c r="D154" s="197"/>
    </row>
    <row r="155" spans="4:4" x14ac:dyDescent="0.25">
      <c r="D155" s="197"/>
    </row>
    <row r="156" spans="4:4" x14ac:dyDescent="0.25">
      <c r="D156" s="197"/>
    </row>
    <row r="157" spans="4:4" x14ac:dyDescent="0.25">
      <c r="D157" s="197"/>
    </row>
    <row r="158" spans="4:4" x14ac:dyDescent="0.25">
      <c r="D158" s="197"/>
    </row>
    <row r="159" spans="4:4" x14ac:dyDescent="0.25">
      <c r="D159" s="197"/>
    </row>
    <row r="160" spans="4:4" x14ac:dyDescent="0.25">
      <c r="D160" s="197"/>
    </row>
    <row r="161" spans="4:4" x14ac:dyDescent="0.25">
      <c r="D161" s="197"/>
    </row>
    <row r="162" spans="4:4" x14ac:dyDescent="0.25">
      <c r="D162" s="197"/>
    </row>
    <row r="163" spans="4:4" x14ac:dyDescent="0.25">
      <c r="D163" s="197"/>
    </row>
    <row r="164" spans="4:4" x14ac:dyDescent="0.25">
      <c r="D164" s="197"/>
    </row>
    <row r="165" spans="4:4" x14ac:dyDescent="0.25">
      <c r="D165" s="197"/>
    </row>
    <row r="166" spans="4:4" x14ac:dyDescent="0.25">
      <c r="D166" s="197"/>
    </row>
    <row r="167" spans="4:4" x14ac:dyDescent="0.25">
      <c r="D167" s="197"/>
    </row>
    <row r="168" spans="4:4" x14ac:dyDescent="0.25">
      <c r="D168" s="197"/>
    </row>
    <row r="169" spans="4:4" x14ac:dyDescent="0.25">
      <c r="D169" s="197"/>
    </row>
    <row r="170" spans="4:4" x14ac:dyDescent="0.25">
      <c r="D170" s="197"/>
    </row>
    <row r="171" spans="4:4" x14ac:dyDescent="0.25">
      <c r="D171" s="197"/>
    </row>
    <row r="172" spans="4:4" x14ac:dyDescent="0.25">
      <c r="D172" s="197"/>
    </row>
    <row r="173" spans="4:4" x14ac:dyDescent="0.25">
      <c r="D173" s="197"/>
    </row>
    <row r="174" spans="4:4" x14ac:dyDescent="0.25">
      <c r="D174" s="197"/>
    </row>
    <row r="175" spans="4:4" x14ac:dyDescent="0.25">
      <c r="D175" s="197"/>
    </row>
    <row r="176" spans="4:4" x14ac:dyDescent="0.25">
      <c r="D176" s="197"/>
    </row>
    <row r="177" spans="4:4" x14ac:dyDescent="0.25">
      <c r="D177" s="197"/>
    </row>
    <row r="178" spans="4:4" x14ac:dyDescent="0.25">
      <c r="D178" s="197"/>
    </row>
    <row r="179" spans="4:4" x14ac:dyDescent="0.25">
      <c r="D179" s="197"/>
    </row>
    <row r="180" spans="4:4" x14ac:dyDescent="0.25">
      <c r="D180" s="197"/>
    </row>
    <row r="181" spans="4:4" x14ac:dyDescent="0.25">
      <c r="D181" s="197"/>
    </row>
    <row r="182" spans="4:4" x14ac:dyDescent="0.25">
      <c r="D182" s="197"/>
    </row>
    <row r="183" spans="4:4" x14ac:dyDescent="0.25">
      <c r="D183" s="197"/>
    </row>
    <row r="184" spans="4:4" x14ac:dyDescent="0.25">
      <c r="D184" s="197"/>
    </row>
    <row r="185" spans="4:4" x14ac:dyDescent="0.25">
      <c r="D185" s="197"/>
    </row>
    <row r="186" spans="4:4" x14ac:dyDescent="0.25">
      <c r="D186" s="197"/>
    </row>
    <row r="187" spans="4:4" x14ac:dyDescent="0.25">
      <c r="D187" s="197"/>
    </row>
    <row r="188" spans="4:4" x14ac:dyDescent="0.25">
      <c r="D188" s="197"/>
    </row>
    <row r="189" spans="4:4" x14ac:dyDescent="0.25">
      <c r="D189" s="197"/>
    </row>
    <row r="190" spans="4:4" x14ac:dyDescent="0.25">
      <c r="D190" s="197"/>
    </row>
    <row r="191" spans="4:4" x14ac:dyDescent="0.25">
      <c r="D191" s="197"/>
    </row>
    <row r="192" spans="4:4" x14ac:dyDescent="0.25">
      <c r="D192" s="197"/>
    </row>
    <row r="193" spans="4:4" x14ac:dyDescent="0.25">
      <c r="D193" s="197"/>
    </row>
    <row r="194" spans="4:4" x14ac:dyDescent="0.25">
      <c r="D194" s="197"/>
    </row>
    <row r="195" spans="4:4" x14ac:dyDescent="0.25">
      <c r="D195" s="197"/>
    </row>
    <row r="196" spans="4:4" x14ac:dyDescent="0.25">
      <c r="D196" s="197"/>
    </row>
    <row r="197" spans="4:4" x14ac:dyDescent="0.25">
      <c r="D197" s="197"/>
    </row>
    <row r="198" spans="4:4" x14ac:dyDescent="0.25">
      <c r="D198" s="197"/>
    </row>
    <row r="199" spans="4:4" x14ac:dyDescent="0.25">
      <c r="D199" s="197"/>
    </row>
    <row r="200" spans="4:4" x14ac:dyDescent="0.25">
      <c r="D200" s="197"/>
    </row>
    <row r="201" spans="4:4" x14ac:dyDescent="0.25">
      <c r="D201" s="197"/>
    </row>
    <row r="202" spans="4:4" x14ac:dyDescent="0.25">
      <c r="D202" s="197"/>
    </row>
    <row r="203" spans="4:4" x14ac:dyDescent="0.25">
      <c r="D203" s="197"/>
    </row>
    <row r="204" spans="4:4" x14ac:dyDescent="0.25">
      <c r="D204" s="197"/>
    </row>
    <row r="205" spans="4:4" x14ac:dyDescent="0.25">
      <c r="D205" s="197"/>
    </row>
    <row r="206" spans="4:4" x14ac:dyDescent="0.25">
      <c r="D206" s="197"/>
    </row>
    <row r="207" spans="4:4" x14ac:dyDescent="0.25">
      <c r="D207" s="197"/>
    </row>
    <row r="208" spans="4:4" x14ac:dyDescent="0.25">
      <c r="D208" s="197"/>
    </row>
    <row r="209" spans="4:4" x14ac:dyDescent="0.25">
      <c r="D209" s="197"/>
    </row>
    <row r="210" spans="4:4" x14ac:dyDescent="0.25">
      <c r="D210" s="197"/>
    </row>
    <row r="211" spans="4:4" x14ac:dyDescent="0.25">
      <c r="D211" s="197"/>
    </row>
    <row r="212" spans="4:4" x14ac:dyDescent="0.25">
      <c r="D212" s="197"/>
    </row>
    <row r="213" spans="4:4" x14ac:dyDescent="0.25">
      <c r="D213" s="197"/>
    </row>
    <row r="214" spans="4:4" x14ac:dyDescent="0.25">
      <c r="D214" s="197"/>
    </row>
    <row r="215" spans="4:4" x14ac:dyDescent="0.25">
      <c r="D215" s="197"/>
    </row>
    <row r="216" spans="4:4" x14ac:dyDescent="0.25">
      <c r="D216" s="197"/>
    </row>
    <row r="217" spans="4:4" x14ac:dyDescent="0.25">
      <c r="D217" s="197"/>
    </row>
    <row r="218" spans="4:4" x14ac:dyDescent="0.25">
      <c r="D218" s="197"/>
    </row>
    <row r="219" spans="4:4" x14ac:dyDescent="0.25">
      <c r="D219" s="197"/>
    </row>
    <row r="220" spans="4:4" x14ac:dyDescent="0.25">
      <c r="D220" s="197"/>
    </row>
    <row r="221" spans="4:4" x14ac:dyDescent="0.25">
      <c r="D221" s="197"/>
    </row>
    <row r="222" spans="4:4" x14ac:dyDescent="0.25">
      <c r="D222" s="197"/>
    </row>
    <row r="223" spans="4:4" x14ac:dyDescent="0.25">
      <c r="D223" s="197"/>
    </row>
    <row r="224" spans="4:4" x14ac:dyDescent="0.25">
      <c r="D224" s="197"/>
    </row>
    <row r="225" spans="4:4" x14ac:dyDescent="0.25">
      <c r="D225" s="197"/>
    </row>
    <row r="226" spans="4:4" x14ac:dyDescent="0.25">
      <c r="D226" s="197"/>
    </row>
    <row r="227" spans="4:4" x14ac:dyDescent="0.25">
      <c r="D227" s="197"/>
    </row>
    <row r="228" spans="4:4" x14ac:dyDescent="0.25">
      <c r="D228" s="197"/>
    </row>
    <row r="229" spans="4:4" x14ac:dyDescent="0.25">
      <c r="D229" s="197"/>
    </row>
    <row r="230" spans="4:4" x14ac:dyDescent="0.25">
      <c r="D230" s="197"/>
    </row>
    <row r="231" spans="4:4" x14ac:dyDescent="0.25">
      <c r="D231" s="197"/>
    </row>
    <row r="232" spans="4:4" x14ac:dyDescent="0.25">
      <c r="D232" s="197"/>
    </row>
    <row r="233" spans="4:4" x14ac:dyDescent="0.25">
      <c r="D233" s="197"/>
    </row>
    <row r="234" spans="4:4" x14ac:dyDescent="0.25">
      <c r="D234" s="197"/>
    </row>
    <row r="235" spans="4:4" x14ac:dyDescent="0.25">
      <c r="D235" s="197"/>
    </row>
    <row r="236" spans="4:4" x14ac:dyDescent="0.25">
      <c r="D236" s="197"/>
    </row>
    <row r="237" spans="4:4" x14ac:dyDescent="0.25">
      <c r="D237" s="197"/>
    </row>
    <row r="238" spans="4:4" x14ac:dyDescent="0.25">
      <c r="D238" s="197"/>
    </row>
    <row r="239" spans="4:4" x14ac:dyDescent="0.25">
      <c r="D239" s="197"/>
    </row>
    <row r="240" spans="4:4" x14ac:dyDescent="0.25">
      <c r="D240" s="197"/>
    </row>
    <row r="241" spans="4:4" x14ac:dyDescent="0.25">
      <c r="D241" s="197"/>
    </row>
    <row r="242" spans="4:4" x14ac:dyDescent="0.25">
      <c r="D242" s="197"/>
    </row>
    <row r="243" spans="4:4" x14ac:dyDescent="0.25">
      <c r="D243" s="197"/>
    </row>
    <row r="244" spans="4:4" x14ac:dyDescent="0.25">
      <c r="D244" s="197"/>
    </row>
    <row r="245" spans="4:4" x14ac:dyDescent="0.25">
      <c r="D245" s="197"/>
    </row>
    <row r="246" spans="4:4" x14ac:dyDescent="0.25">
      <c r="D246" s="197"/>
    </row>
    <row r="247" spans="4:4" x14ac:dyDescent="0.25">
      <c r="D247" s="197"/>
    </row>
    <row r="248" spans="4:4" x14ac:dyDescent="0.25">
      <c r="D248" s="197"/>
    </row>
    <row r="249" spans="4:4" x14ac:dyDescent="0.25">
      <c r="D249" s="197"/>
    </row>
    <row r="250" spans="4:4" x14ac:dyDescent="0.25">
      <c r="D250" s="197"/>
    </row>
    <row r="251" spans="4:4" x14ac:dyDescent="0.25">
      <c r="D251" s="197"/>
    </row>
    <row r="252" spans="4:4" x14ac:dyDescent="0.25">
      <c r="D252" s="197"/>
    </row>
    <row r="253" spans="4:4" x14ac:dyDescent="0.25">
      <c r="D253" s="197"/>
    </row>
    <row r="254" spans="4:4" x14ac:dyDescent="0.25">
      <c r="D254" s="197"/>
    </row>
    <row r="255" spans="4:4" x14ac:dyDescent="0.25">
      <c r="D255" s="197"/>
    </row>
    <row r="256" spans="4:4" x14ac:dyDescent="0.25">
      <c r="D256" s="197"/>
    </row>
    <row r="257" spans="4:4" x14ac:dyDescent="0.25">
      <c r="D257" s="197"/>
    </row>
    <row r="258" spans="4:4" x14ac:dyDescent="0.25">
      <c r="D258" s="197"/>
    </row>
    <row r="259" spans="4:4" x14ac:dyDescent="0.25">
      <c r="D259" s="197"/>
    </row>
    <row r="260" spans="4:4" x14ac:dyDescent="0.25">
      <c r="D260" s="197"/>
    </row>
    <row r="261" spans="4:4" x14ac:dyDescent="0.25">
      <c r="D261" s="197"/>
    </row>
    <row r="262" spans="4:4" x14ac:dyDescent="0.25">
      <c r="D262" s="197"/>
    </row>
    <row r="263" spans="4:4" x14ac:dyDescent="0.25">
      <c r="D263" s="197"/>
    </row>
    <row r="264" spans="4:4" x14ac:dyDescent="0.25">
      <c r="D264" s="197"/>
    </row>
    <row r="265" spans="4:4" x14ac:dyDescent="0.25">
      <c r="D265" s="197"/>
    </row>
    <row r="266" spans="4:4" x14ac:dyDescent="0.25">
      <c r="D266" s="197"/>
    </row>
    <row r="267" spans="4:4" x14ac:dyDescent="0.25">
      <c r="D267" s="197"/>
    </row>
    <row r="268" spans="4:4" x14ac:dyDescent="0.25">
      <c r="D268" s="197"/>
    </row>
    <row r="269" spans="4:4" x14ac:dyDescent="0.25">
      <c r="D269" s="197"/>
    </row>
    <row r="270" spans="4:4" x14ac:dyDescent="0.25">
      <c r="D270" s="197"/>
    </row>
    <row r="271" spans="4:4" x14ac:dyDescent="0.25">
      <c r="D271" s="197"/>
    </row>
    <row r="272" spans="4:4" x14ac:dyDescent="0.25">
      <c r="D272" s="197"/>
    </row>
    <row r="273" spans="4:4" x14ac:dyDescent="0.25">
      <c r="D273" s="197"/>
    </row>
    <row r="274" spans="4:4" x14ac:dyDescent="0.25">
      <c r="D274" s="197"/>
    </row>
    <row r="275" spans="4:4" x14ac:dyDescent="0.25">
      <c r="D275" s="197"/>
    </row>
    <row r="276" spans="4:4" x14ac:dyDescent="0.25">
      <c r="D276" s="197"/>
    </row>
    <row r="277" spans="4:4" x14ac:dyDescent="0.25">
      <c r="D277" s="197"/>
    </row>
    <row r="278" spans="4:4" x14ac:dyDescent="0.25">
      <c r="D278" s="197"/>
    </row>
    <row r="279" spans="4:4" x14ac:dyDescent="0.25">
      <c r="D279" s="197"/>
    </row>
    <row r="280" spans="4:4" x14ac:dyDescent="0.25">
      <c r="D280" s="197"/>
    </row>
    <row r="281" spans="4:4" x14ac:dyDescent="0.25">
      <c r="D281" s="197"/>
    </row>
    <row r="282" spans="4:4" x14ac:dyDescent="0.25">
      <c r="D282" s="197"/>
    </row>
    <row r="283" spans="4:4" x14ac:dyDescent="0.25">
      <c r="D283" s="197"/>
    </row>
    <row r="284" spans="4:4" x14ac:dyDescent="0.25">
      <c r="D284" s="197"/>
    </row>
    <row r="285" spans="4:4" x14ac:dyDescent="0.25">
      <c r="D285" s="197"/>
    </row>
    <row r="286" spans="4:4" x14ac:dyDescent="0.25">
      <c r="D286" s="197"/>
    </row>
    <row r="287" spans="4:4" x14ac:dyDescent="0.25">
      <c r="D287" s="197"/>
    </row>
    <row r="288" spans="4:4" x14ac:dyDescent="0.25">
      <c r="D288" s="197"/>
    </row>
    <row r="289" spans="4:4" x14ac:dyDescent="0.25">
      <c r="D289" s="197"/>
    </row>
    <row r="290" spans="4:4" x14ac:dyDescent="0.25">
      <c r="D290" s="197"/>
    </row>
    <row r="291" spans="4:4" x14ac:dyDescent="0.25">
      <c r="D291" s="197"/>
    </row>
    <row r="292" spans="4:4" x14ac:dyDescent="0.25">
      <c r="D292" s="197"/>
    </row>
    <row r="293" spans="4:4" x14ac:dyDescent="0.25">
      <c r="D293" s="197"/>
    </row>
    <row r="294" spans="4:4" x14ac:dyDescent="0.25">
      <c r="D294" s="197"/>
    </row>
    <row r="295" spans="4:4" x14ac:dyDescent="0.25">
      <c r="D295" s="197"/>
    </row>
    <row r="296" spans="4:4" x14ac:dyDescent="0.25">
      <c r="D296" s="197"/>
    </row>
    <row r="297" spans="4:4" x14ac:dyDescent="0.25">
      <c r="D297" s="197"/>
    </row>
    <row r="298" spans="4:4" x14ac:dyDescent="0.25">
      <c r="D298" s="197"/>
    </row>
    <row r="299" spans="4:4" x14ac:dyDescent="0.25">
      <c r="D299" s="197"/>
    </row>
    <row r="300" spans="4:4" x14ac:dyDescent="0.25">
      <c r="D300" s="197"/>
    </row>
    <row r="301" spans="4:4" x14ac:dyDescent="0.25">
      <c r="D301" s="197"/>
    </row>
    <row r="302" spans="4:4" x14ac:dyDescent="0.25">
      <c r="D302" s="197"/>
    </row>
    <row r="303" spans="4:4" x14ac:dyDescent="0.25">
      <c r="D303" s="197"/>
    </row>
    <row r="304" spans="4:4" x14ac:dyDescent="0.25">
      <c r="D304" s="197"/>
    </row>
    <row r="305" spans="4:4" x14ac:dyDescent="0.25">
      <c r="D305" s="197"/>
    </row>
    <row r="306" spans="4:4" x14ac:dyDescent="0.25">
      <c r="D306" s="197"/>
    </row>
    <row r="307" spans="4:4" x14ac:dyDescent="0.25">
      <c r="D307" s="197"/>
    </row>
    <row r="308" spans="4:4" x14ac:dyDescent="0.25">
      <c r="D308" s="197"/>
    </row>
    <row r="309" spans="4:4" x14ac:dyDescent="0.25">
      <c r="D309" s="197"/>
    </row>
    <row r="310" spans="4:4" x14ac:dyDescent="0.25">
      <c r="D310" s="197"/>
    </row>
    <row r="311" spans="4:4" x14ac:dyDescent="0.25">
      <c r="D311" s="197"/>
    </row>
    <row r="312" spans="4:4" x14ac:dyDescent="0.25">
      <c r="D312" s="197"/>
    </row>
    <row r="313" spans="4:4" x14ac:dyDescent="0.25">
      <c r="D313" s="197"/>
    </row>
    <row r="314" spans="4:4" x14ac:dyDescent="0.25">
      <c r="D314" s="197"/>
    </row>
    <row r="315" spans="4:4" x14ac:dyDescent="0.25">
      <c r="D315" s="197"/>
    </row>
    <row r="316" spans="4:4" x14ac:dyDescent="0.25">
      <c r="D316" s="197"/>
    </row>
    <row r="317" spans="4:4" x14ac:dyDescent="0.25">
      <c r="D317" s="197"/>
    </row>
    <row r="318" spans="4:4" x14ac:dyDescent="0.25">
      <c r="D318" s="197"/>
    </row>
    <row r="319" spans="4:4" x14ac:dyDescent="0.25">
      <c r="D319" s="197"/>
    </row>
    <row r="320" spans="4:4" x14ac:dyDescent="0.25">
      <c r="D320" s="197"/>
    </row>
    <row r="321" spans="4:4" x14ac:dyDescent="0.25">
      <c r="D321" s="197"/>
    </row>
    <row r="322" spans="4:4" x14ac:dyDescent="0.25">
      <c r="D322" s="197"/>
    </row>
    <row r="323" spans="4:4" x14ac:dyDescent="0.25">
      <c r="D323" s="197"/>
    </row>
  </sheetData>
  <sheetProtection algorithmName="SHA-512" hashValue="fH68L68hTlJabDeb+hmjnUWCIOY//4JoyfnnYw7kA09FEAufA5F9pyrj3jDSkfnLlXhB9HISSZj2ywvhPAhL/w==" saltValue="77TftFAxuFDbKqpbyeOevw==" spinCount="100000" sheet="1" objects="1" scenarios="1" formatCells="0" formatColumns="0" formatRows="0"/>
  <mergeCells count="561">
    <mergeCell ref="AQ27:AQ28"/>
    <mergeCell ref="AQ29:AQ30"/>
    <mergeCell ref="AQ31:AQ32"/>
    <mergeCell ref="AQ33:AQ34"/>
    <mergeCell ref="AQ35:AQ36"/>
    <mergeCell ref="AQ37:AQ38"/>
    <mergeCell ref="AQ9:AQ10"/>
    <mergeCell ref="AQ11:AQ12"/>
    <mergeCell ref="AQ13:AQ14"/>
    <mergeCell ref="AQ15:AQ16"/>
    <mergeCell ref="AQ17:AQ18"/>
    <mergeCell ref="AQ19:AQ20"/>
    <mergeCell ref="AQ21:AQ22"/>
    <mergeCell ref="AQ23:AQ24"/>
    <mergeCell ref="AQ25:AQ26"/>
    <mergeCell ref="AO27:AO28"/>
    <mergeCell ref="AO29:AO30"/>
    <mergeCell ref="AO31:AO32"/>
    <mergeCell ref="AO33:AO34"/>
    <mergeCell ref="AO35:AO36"/>
    <mergeCell ref="AO37:AO38"/>
    <mergeCell ref="AP9:AP10"/>
    <mergeCell ref="AP11:AP12"/>
    <mergeCell ref="AP13:AP14"/>
    <mergeCell ref="AP15:AP16"/>
    <mergeCell ref="AP17:AP18"/>
    <mergeCell ref="AP19:AP20"/>
    <mergeCell ref="AP21:AP22"/>
    <mergeCell ref="AP23:AP24"/>
    <mergeCell ref="AP25:AP26"/>
    <mergeCell ref="AP27:AP28"/>
    <mergeCell ref="AP29:AP30"/>
    <mergeCell ref="AP31:AP32"/>
    <mergeCell ref="AP33:AP34"/>
    <mergeCell ref="AP35:AP36"/>
    <mergeCell ref="AP37:AP38"/>
    <mergeCell ref="AO9:AO10"/>
    <mergeCell ref="AO11:AO12"/>
    <mergeCell ref="AO13:AO14"/>
    <mergeCell ref="AO15:AO16"/>
    <mergeCell ref="AO17:AO18"/>
    <mergeCell ref="AO19:AO20"/>
    <mergeCell ref="AO21:AO22"/>
    <mergeCell ref="AO23:AO24"/>
    <mergeCell ref="AO25:AO26"/>
    <mergeCell ref="A11:A12"/>
    <mergeCell ref="B11:B12"/>
    <mergeCell ref="A1:G2"/>
    <mergeCell ref="J1:AA2"/>
    <mergeCell ref="AD9:AD10"/>
    <mergeCell ref="Z9:Z10"/>
    <mergeCell ref="J9:J10"/>
    <mergeCell ref="G9:G10"/>
    <mergeCell ref="F9:F10"/>
    <mergeCell ref="AC9:AC10"/>
    <mergeCell ref="E9:E10"/>
    <mergeCell ref="A9:A10"/>
    <mergeCell ref="B9:B10"/>
    <mergeCell ref="I9:I10"/>
    <mergeCell ref="H9:H10"/>
    <mergeCell ref="W7:Z7"/>
    <mergeCell ref="AA9:AA10"/>
    <mergeCell ref="AA11:AA12"/>
    <mergeCell ref="K7:N7"/>
    <mergeCell ref="O7:R7"/>
    <mergeCell ref="S7:V7"/>
    <mergeCell ref="F11:F12"/>
    <mergeCell ref="G11:G12"/>
    <mergeCell ref="AA13:AA14"/>
    <mergeCell ref="AA15:AA16"/>
    <mergeCell ref="L11:L12"/>
    <mergeCell ref="M11:M12"/>
    <mergeCell ref="N11:N12"/>
    <mergeCell ref="X9:X10"/>
    <mergeCell ref="Y9:Y10"/>
    <mergeCell ref="V9:V10"/>
    <mergeCell ref="U9:U10"/>
    <mergeCell ref="T9:T10"/>
    <mergeCell ref="Z13:Z14"/>
    <mergeCell ref="C11:C12"/>
    <mergeCell ref="C9:C10"/>
    <mergeCell ref="P11:P12"/>
    <mergeCell ref="Q11:Q12"/>
    <mergeCell ref="R11:R12"/>
    <mergeCell ref="Q9:Q10"/>
    <mergeCell ref="P9:P10"/>
    <mergeCell ref="N9:N10"/>
    <mergeCell ref="M9:M10"/>
    <mergeCell ref="L9:L10"/>
    <mergeCell ref="R9:R10"/>
    <mergeCell ref="E11:E12"/>
    <mergeCell ref="H11:H12"/>
    <mergeCell ref="I11:I12"/>
    <mergeCell ref="AC11:AC12"/>
    <mergeCell ref="AD11:AD12"/>
    <mergeCell ref="A13:A14"/>
    <mergeCell ref="B13:B14"/>
    <mergeCell ref="E13:E14"/>
    <mergeCell ref="F13:F14"/>
    <mergeCell ref="G13:G14"/>
    <mergeCell ref="H13:H14"/>
    <mergeCell ref="I13:I14"/>
    <mergeCell ref="J13:J14"/>
    <mergeCell ref="L13:L14"/>
    <mergeCell ref="M13:M14"/>
    <mergeCell ref="N13:N14"/>
    <mergeCell ref="P13:P14"/>
    <mergeCell ref="Q13:Q14"/>
    <mergeCell ref="R13:R14"/>
    <mergeCell ref="T11:T12"/>
    <mergeCell ref="U11:U12"/>
    <mergeCell ref="V11:V12"/>
    <mergeCell ref="X11:X12"/>
    <mergeCell ref="Y11:Y12"/>
    <mergeCell ref="Z11:Z12"/>
    <mergeCell ref="J11:J12"/>
    <mergeCell ref="AC13:AC14"/>
    <mergeCell ref="AD13:AD14"/>
    <mergeCell ref="A15:A16"/>
    <mergeCell ref="B15:B16"/>
    <mergeCell ref="E15:E16"/>
    <mergeCell ref="F15:F16"/>
    <mergeCell ref="G15:G16"/>
    <mergeCell ref="H15:H16"/>
    <mergeCell ref="I15:I16"/>
    <mergeCell ref="J15:J16"/>
    <mergeCell ref="L15:L16"/>
    <mergeCell ref="M15:M16"/>
    <mergeCell ref="N15:N16"/>
    <mergeCell ref="P15:P16"/>
    <mergeCell ref="Q15:Q16"/>
    <mergeCell ref="R15:R16"/>
    <mergeCell ref="T13:T14"/>
    <mergeCell ref="U13:U14"/>
    <mergeCell ref="V13:V14"/>
    <mergeCell ref="X13:X14"/>
    <mergeCell ref="Y13:Y14"/>
    <mergeCell ref="C15:C16"/>
    <mergeCell ref="C13:C14"/>
    <mergeCell ref="L17:L18"/>
    <mergeCell ref="M17:M18"/>
    <mergeCell ref="N17:N18"/>
    <mergeCell ref="P17:P18"/>
    <mergeCell ref="Q17:Q18"/>
    <mergeCell ref="R17:R18"/>
    <mergeCell ref="T15:T16"/>
    <mergeCell ref="U15:U16"/>
    <mergeCell ref="A17:A18"/>
    <mergeCell ref="B17:B18"/>
    <mergeCell ref="C17:C18"/>
    <mergeCell ref="E17:E18"/>
    <mergeCell ref="F17:F18"/>
    <mergeCell ref="G17:G18"/>
    <mergeCell ref="H17:H18"/>
    <mergeCell ref="I17:I18"/>
    <mergeCell ref="J17:J18"/>
    <mergeCell ref="AC17:AC18"/>
    <mergeCell ref="AD17:AD18"/>
    <mergeCell ref="T17:T18"/>
    <mergeCell ref="U17:U18"/>
    <mergeCell ref="V17:V18"/>
    <mergeCell ref="X17:X18"/>
    <mergeCell ref="Y17:Y18"/>
    <mergeCell ref="Z17:Z18"/>
    <mergeCell ref="AD15:AD16"/>
    <mergeCell ref="AA17:AA18"/>
    <mergeCell ref="V15:V16"/>
    <mergeCell ref="X15:X16"/>
    <mergeCell ref="Y15:Y16"/>
    <mergeCell ref="Z15:Z16"/>
    <mergeCell ref="AC15:AC16"/>
    <mergeCell ref="J19:J20"/>
    <mergeCell ref="L19:L20"/>
    <mergeCell ref="M19:M20"/>
    <mergeCell ref="N19:N20"/>
    <mergeCell ref="P19:P20"/>
    <mergeCell ref="Q19:Q20"/>
    <mergeCell ref="R19:R20"/>
    <mergeCell ref="A19:A20"/>
    <mergeCell ref="B19:B20"/>
    <mergeCell ref="C19:C20"/>
    <mergeCell ref="E19:E20"/>
    <mergeCell ref="F19:F20"/>
    <mergeCell ref="G19:G20"/>
    <mergeCell ref="H19:H20"/>
    <mergeCell ref="I19:I20"/>
    <mergeCell ref="AA19:AA20"/>
    <mergeCell ref="AC19:AC20"/>
    <mergeCell ref="AD19:AD20"/>
    <mergeCell ref="T19:T20"/>
    <mergeCell ref="U19:U20"/>
    <mergeCell ref="V19:V20"/>
    <mergeCell ref="X19:X20"/>
    <mergeCell ref="Y19:Y20"/>
    <mergeCell ref="Z19:Z20"/>
    <mergeCell ref="A21:A22"/>
    <mergeCell ref="B21:B22"/>
    <mergeCell ref="C21:C22"/>
    <mergeCell ref="E21:E22"/>
    <mergeCell ref="F21:F22"/>
    <mergeCell ref="G21:G22"/>
    <mergeCell ref="H21:H22"/>
    <mergeCell ref="I21:I22"/>
    <mergeCell ref="J21:J22"/>
    <mergeCell ref="L23:L24"/>
    <mergeCell ref="M23:M24"/>
    <mergeCell ref="N23:N24"/>
    <mergeCell ref="P23:P24"/>
    <mergeCell ref="Q23:Q24"/>
    <mergeCell ref="R23:R24"/>
    <mergeCell ref="X21:X22"/>
    <mergeCell ref="Y21:Y22"/>
    <mergeCell ref="Z21:Z22"/>
    <mergeCell ref="L21:L22"/>
    <mergeCell ref="M21:M22"/>
    <mergeCell ref="N21:N22"/>
    <mergeCell ref="P21:P22"/>
    <mergeCell ref="Q21:Q22"/>
    <mergeCell ref="R21:R22"/>
    <mergeCell ref="T21:T22"/>
    <mergeCell ref="U21:U22"/>
    <mergeCell ref="V21:V22"/>
    <mergeCell ref="A23:A24"/>
    <mergeCell ref="B23:B24"/>
    <mergeCell ref="C23:C24"/>
    <mergeCell ref="E23:E24"/>
    <mergeCell ref="F23:F24"/>
    <mergeCell ref="G23:G24"/>
    <mergeCell ref="H23:H24"/>
    <mergeCell ref="I23:I24"/>
    <mergeCell ref="J23:J24"/>
    <mergeCell ref="AC23:AC24"/>
    <mergeCell ref="AD23:AD24"/>
    <mergeCell ref="T23:T24"/>
    <mergeCell ref="U23:U24"/>
    <mergeCell ref="V23:V24"/>
    <mergeCell ref="X23:X24"/>
    <mergeCell ref="Y23:Y24"/>
    <mergeCell ref="Z23:Z24"/>
    <mergeCell ref="AC21:AC22"/>
    <mergeCell ref="AD21:AD22"/>
    <mergeCell ref="AA23:AA24"/>
    <mergeCell ref="AA21:AA22"/>
    <mergeCell ref="J25:J26"/>
    <mergeCell ref="L25:L26"/>
    <mergeCell ref="M25:M26"/>
    <mergeCell ref="N25:N26"/>
    <mergeCell ref="P25:P26"/>
    <mergeCell ref="Q25:Q26"/>
    <mergeCell ref="R25:R26"/>
    <mergeCell ref="A25:A26"/>
    <mergeCell ref="B25:B26"/>
    <mergeCell ref="C25:C26"/>
    <mergeCell ref="E25:E26"/>
    <mergeCell ref="F25:F26"/>
    <mergeCell ref="G25:G26"/>
    <mergeCell ref="H25:H26"/>
    <mergeCell ref="I25:I26"/>
    <mergeCell ref="AA25:AA26"/>
    <mergeCell ref="AC25:AC26"/>
    <mergeCell ref="AD25:AD26"/>
    <mergeCell ref="T25:T26"/>
    <mergeCell ref="U25:U26"/>
    <mergeCell ref="V25:V26"/>
    <mergeCell ref="X25:X26"/>
    <mergeCell ref="Y25:Y26"/>
    <mergeCell ref="Z25:Z26"/>
    <mergeCell ref="A27:A28"/>
    <mergeCell ref="B27:B28"/>
    <mergeCell ref="C27:C28"/>
    <mergeCell ref="E27:E28"/>
    <mergeCell ref="F27:F28"/>
    <mergeCell ref="G27:G28"/>
    <mergeCell ref="H27:H28"/>
    <mergeCell ref="I27:I28"/>
    <mergeCell ref="J27:J28"/>
    <mergeCell ref="L29:L30"/>
    <mergeCell ref="M29:M30"/>
    <mergeCell ref="N29:N30"/>
    <mergeCell ref="P29:P30"/>
    <mergeCell ref="Q29:Q30"/>
    <mergeCell ref="R29:R30"/>
    <mergeCell ref="X27:X28"/>
    <mergeCell ref="Y27:Y28"/>
    <mergeCell ref="Z27:Z28"/>
    <mergeCell ref="L27:L28"/>
    <mergeCell ref="M27:M28"/>
    <mergeCell ref="N27:N28"/>
    <mergeCell ref="P27:P28"/>
    <mergeCell ref="Q27:Q28"/>
    <mergeCell ref="R27:R28"/>
    <mergeCell ref="T27:T28"/>
    <mergeCell ref="U27:U28"/>
    <mergeCell ref="V27:V28"/>
    <mergeCell ref="A29:A30"/>
    <mergeCell ref="B29:B30"/>
    <mergeCell ref="C29:C30"/>
    <mergeCell ref="E29:E30"/>
    <mergeCell ref="F29:F30"/>
    <mergeCell ref="G29:G30"/>
    <mergeCell ref="H29:H30"/>
    <mergeCell ref="I29:I30"/>
    <mergeCell ref="J29:J30"/>
    <mergeCell ref="AC29:AC30"/>
    <mergeCell ref="AD29:AD30"/>
    <mergeCell ref="T29:T30"/>
    <mergeCell ref="U29:U30"/>
    <mergeCell ref="V29:V30"/>
    <mergeCell ref="X29:X30"/>
    <mergeCell ref="Y29:Y30"/>
    <mergeCell ref="Z29:Z30"/>
    <mergeCell ref="AC27:AC28"/>
    <mergeCell ref="AD27:AD28"/>
    <mergeCell ref="AA29:AA30"/>
    <mergeCell ref="AA27:AA28"/>
    <mergeCell ref="J31:J32"/>
    <mergeCell ref="L31:L32"/>
    <mergeCell ref="M31:M32"/>
    <mergeCell ref="N31:N32"/>
    <mergeCell ref="P31:P32"/>
    <mergeCell ref="Q31:Q32"/>
    <mergeCell ref="R31:R32"/>
    <mergeCell ref="A31:A32"/>
    <mergeCell ref="B31:B32"/>
    <mergeCell ref="C31:C32"/>
    <mergeCell ref="E31:E32"/>
    <mergeCell ref="F31:F32"/>
    <mergeCell ref="G31:G32"/>
    <mergeCell ref="H31:H32"/>
    <mergeCell ref="I31:I32"/>
    <mergeCell ref="AA31:AA32"/>
    <mergeCell ref="AC31:AC32"/>
    <mergeCell ref="AD31:AD32"/>
    <mergeCell ref="T31:T32"/>
    <mergeCell ref="U31:U32"/>
    <mergeCell ref="V31:V32"/>
    <mergeCell ref="X31:X32"/>
    <mergeCell ref="Y31:Y32"/>
    <mergeCell ref="Z31:Z32"/>
    <mergeCell ref="A33:A34"/>
    <mergeCell ref="B33:B34"/>
    <mergeCell ref="C33:C34"/>
    <mergeCell ref="E33:E34"/>
    <mergeCell ref="F33:F34"/>
    <mergeCell ref="G33:G34"/>
    <mergeCell ref="H33:H34"/>
    <mergeCell ref="I33:I34"/>
    <mergeCell ref="J33:J34"/>
    <mergeCell ref="L35:L36"/>
    <mergeCell ref="M35:M36"/>
    <mergeCell ref="N35:N36"/>
    <mergeCell ref="P35:P36"/>
    <mergeCell ref="Q35:Q36"/>
    <mergeCell ref="R35:R36"/>
    <mergeCell ref="X33:X34"/>
    <mergeCell ref="Y33:Y34"/>
    <mergeCell ref="Z33:Z34"/>
    <mergeCell ref="L33:L34"/>
    <mergeCell ref="M33:M34"/>
    <mergeCell ref="N33:N34"/>
    <mergeCell ref="P33:P34"/>
    <mergeCell ref="Q33:Q34"/>
    <mergeCell ref="R33:R34"/>
    <mergeCell ref="T33:T34"/>
    <mergeCell ref="U33:U34"/>
    <mergeCell ref="V33:V34"/>
    <mergeCell ref="A35:A36"/>
    <mergeCell ref="B35:B36"/>
    <mergeCell ref="C35:C36"/>
    <mergeCell ref="E35:E36"/>
    <mergeCell ref="F35:F36"/>
    <mergeCell ref="G35:G36"/>
    <mergeCell ref="H35:H36"/>
    <mergeCell ref="I35:I36"/>
    <mergeCell ref="J35:J36"/>
    <mergeCell ref="AC35:AC36"/>
    <mergeCell ref="AD35:AD36"/>
    <mergeCell ref="T35:T36"/>
    <mergeCell ref="U35:U36"/>
    <mergeCell ref="V35:V36"/>
    <mergeCell ref="X35:X36"/>
    <mergeCell ref="Y35:Y36"/>
    <mergeCell ref="Z35:Z36"/>
    <mergeCell ref="AC33:AC34"/>
    <mergeCell ref="AD33:AD34"/>
    <mergeCell ref="AA35:AA36"/>
    <mergeCell ref="AA33:AA34"/>
    <mergeCell ref="J37:J38"/>
    <mergeCell ref="L37:L38"/>
    <mergeCell ref="M37:M38"/>
    <mergeCell ref="N37:N38"/>
    <mergeCell ref="P37:P38"/>
    <mergeCell ref="Q37:Q38"/>
    <mergeCell ref="R37:R38"/>
    <mergeCell ref="A37:A38"/>
    <mergeCell ref="B37:B38"/>
    <mergeCell ref="C37:C38"/>
    <mergeCell ref="E37:E38"/>
    <mergeCell ref="F37:F38"/>
    <mergeCell ref="G37:G38"/>
    <mergeCell ref="H37:H38"/>
    <mergeCell ref="I37:I38"/>
    <mergeCell ref="AA37:AA38"/>
    <mergeCell ref="AC37:AC38"/>
    <mergeCell ref="AD37:AD38"/>
    <mergeCell ref="T37:T38"/>
    <mergeCell ref="U37:U38"/>
    <mergeCell ref="V37:V38"/>
    <mergeCell ref="X37:X38"/>
    <mergeCell ref="Y37:Y38"/>
    <mergeCell ref="Z37:Z38"/>
    <mergeCell ref="BH9:BH10"/>
    <mergeCell ref="BI9:BI10"/>
    <mergeCell ref="BJ9:BJ10"/>
    <mergeCell ref="BH11:BH12"/>
    <mergeCell ref="BH13:BH14"/>
    <mergeCell ref="BH15:BH16"/>
    <mergeCell ref="BH17:BH18"/>
    <mergeCell ref="BH19:BH20"/>
    <mergeCell ref="BH21:BH22"/>
    <mergeCell ref="BJ11:BJ12"/>
    <mergeCell ref="BJ13:BJ14"/>
    <mergeCell ref="BJ15:BJ16"/>
    <mergeCell ref="BJ17:BJ18"/>
    <mergeCell ref="BJ19:BJ20"/>
    <mergeCell ref="BJ21:BJ22"/>
    <mergeCell ref="BI11:BI12"/>
    <mergeCell ref="BI13:BI14"/>
    <mergeCell ref="BI15:BI16"/>
    <mergeCell ref="BI17:BI18"/>
    <mergeCell ref="BI19:BI20"/>
    <mergeCell ref="BI21:BI22"/>
    <mergeCell ref="BJ35:BJ36"/>
    <mergeCell ref="BJ37:BJ38"/>
    <mergeCell ref="BH23:BH24"/>
    <mergeCell ref="BH25:BH26"/>
    <mergeCell ref="BH27:BH28"/>
    <mergeCell ref="BH29:BH30"/>
    <mergeCell ref="BH31:BH32"/>
    <mergeCell ref="BH33:BH34"/>
    <mergeCell ref="BH35:BH36"/>
    <mergeCell ref="BH37:BH38"/>
    <mergeCell ref="BI29:BI30"/>
    <mergeCell ref="BI31:BI32"/>
    <mergeCell ref="BI33:BI34"/>
    <mergeCell ref="BI35:BI36"/>
    <mergeCell ref="BI37:BI38"/>
    <mergeCell ref="BI23:BI24"/>
    <mergeCell ref="BI25:BI26"/>
    <mergeCell ref="BI27:BI28"/>
    <mergeCell ref="BJ23:BJ24"/>
    <mergeCell ref="BJ25:BJ26"/>
    <mergeCell ref="BJ27:BJ28"/>
    <mergeCell ref="BJ29:BJ30"/>
    <mergeCell ref="BJ31:BJ32"/>
    <mergeCell ref="BJ33:BJ34"/>
    <mergeCell ref="AW9:AW10"/>
    <mergeCell ref="AW11:AW12"/>
    <mergeCell ref="AW13:AW14"/>
    <mergeCell ref="AW15:AW16"/>
    <mergeCell ref="AW17:AW18"/>
    <mergeCell ref="AW19:AW20"/>
    <mergeCell ref="AW21:AW22"/>
    <mergeCell ref="AW23:AW24"/>
    <mergeCell ref="AW25:AW26"/>
    <mergeCell ref="AW27:AW28"/>
    <mergeCell ref="AW29:AW30"/>
    <mergeCell ref="AW31:AW32"/>
    <mergeCell ref="AW33:AW34"/>
    <mergeCell ref="AW35:AW36"/>
    <mergeCell ref="AW37:AW38"/>
    <mergeCell ref="AX9:AX10"/>
    <mergeCell ref="AY9:AY10"/>
    <mergeCell ref="AZ9:AZ10"/>
    <mergeCell ref="AX27:AX28"/>
    <mergeCell ref="AX29:AX30"/>
    <mergeCell ref="AX31:AX32"/>
    <mergeCell ref="AX33:AX34"/>
    <mergeCell ref="AX35:AX36"/>
    <mergeCell ref="AX37:AX38"/>
    <mergeCell ref="AY27:AY28"/>
    <mergeCell ref="AY29:AY30"/>
    <mergeCell ref="AY31:AY32"/>
    <mergeCell ref="AY33:AY34"/>
    <mergeCell ref="AY35:AY36"/>
    <mergeCell ref="AY37:AY38"/>
    <mergeCell ref="AZ25:AZ26"/>
    <mergeCell ref="AZ27:AZ28"/>
    <mergeCell ref="AZ29:AZ30"/>
    <mergeCell ref="BA9:BA10"/>
    <mergeCell ref="AX11:AX12"/>
    <mergeCell ref="AX13:AX14"/>
    <mergeCell ref="AX15:AX16"/>
    <mergeCell ref="AX17:AX18"/>
    <mergeCell ref="AX19:AX20"/>
    <mergeCell ref="AX21:AX22"/>
    <mergeCell ref="AX23:AX24"/>
    <mergeCell ref="AX25:AX26"/>
    <mergeCell ref="AY11:AY12"/>
    <mergeCell ref="AY13:AY14"/>
    <mergeCell ref="AY15:AY16"/>
    <mergeCell ref="AY17:AY18"/>
    <mergeCell ref="AY19:AY20"/>
    <mergeCell ref="AY21:AY22"/>
    <mergeCell ref="AY23:AY24"/>
    <mergeCell ref="AY25:AY26"/>
    <mergeCell ref="AZ11:AZ12"/>
    <mergeCell ref="AZ13:AZ14"/>
    <mergeCell ref="AZ15:AZ16"/>
    <mergeCell ref="AZ17:AZ18"/>
    <mergeCell ref="AZ19:AZ20"/>
    <mergeCell ref="AZ21:AZ22"/>
    <mergeCell ref="AZ23:AZ24"/>
    <mergeCell ref="AZ37:AZ38"/>
    <mergeCell ref="BA11:BA12"/>
    <mergeCell ref="BA13:BA14"/>
    <mergeCell ref="BA15:BA16"/>
    <mergeCell ref="BA17:BA18"/>
    <mergeCell ref="BA19:BA20"/>
    <mergeCell ref="BA21:BA22"/>
    <mergeCell ref="BA23:BA24"/>
    <mergeCell ref="BA25:BA26"/>
    <mergeCell ref="BA27:BA28"/>
    <mergeCell ref="BA29:BA30"/>
    <mergeCell ref="BA31:BA32"/>
    <mergeCell ref="BA33:BA34"/>
    <mergeCell ref="BA35:BA36"/>
    <mergeCell ref="BA37:BA38"/>
    <mergeCell ref="BB25:BB26"/>
    <mergeCell ref="AZ31:AZ32"/>
    <mergeCell ref="AZ33:AZ34"/>
    <mergeCell ref="AZ35:AZ36"/>
    <mergeCell ref="BB27:BB28"/>
    <mergeCell ref="BB29:BB30"/>
    <mergeCell ref="BB31:BB32"/>
    <mergeCell ref="BB33:BB34"/>
    <mergeCell ref="BB35:BB36"/>
    <mergeCell ref="BB37:BB38"/>
    <mergeCell ref="BC9:BC10"/>
    <mergeCell ref="BC11:BC12"/>
    <mergeCell ref="BC13:BC14"/>
    <mergeCell ref="BC15:BC16"/>
    <mergeCell ref="BC17:BC18"/>
    <mergeCell ref="BC19:BC20"/>
    <mergeCell ref="BC21:BC22"/>
    <mergeCell ref="BC23:BC24"/>
    <mergeCell ref="BC25:BC26"/>
    <mergeCell ref="BC27:BC28"/>
    <mergeCell ref="BC29:BC30"/>
    <mergeCell ref="BC31:BC32"/>
    <mergeCell ref="BC33:BC34"/>
    <mergeCell ref="BC35:BC36"/>
    <mergeCell ref="BC37:BC38"/>
    <mergeCell ref="BB9:BB10"/>
    <mergeCell ref="BB11:BB12"/>
    <mergeCell ref="BB13:BB14"/>
    <mergeCell ref="BB15:BB16"/>
    <mergeCell ref="BB17:BB18"/>
    <mergeCell ref="BB19:BB20"/>
    <mergeCell ref="BB21:BB22"/>
    <mergeCell ref="BB23:BB24"/>
  </mergeCells>
  <conditionalFormatting sqref="B9:C9 B11:C11 C13 C15 C17 C19 C21 C23 C25 C27 C29 C31 C33 C35 C37">
    <cfRule type="expression" dxfId="2121" priority="250">
      <formula>AND($B9&lt;&gt;"",$C9&lt;&gt;"")</formula>
    </cfRule>
  </conditionalFormatting>
  <conditionalFormatting sqref="K9:N38">
    <cfRule type="expression" dxfId="2120" priority="245">
      <formula>AND(OR($K9&lt;&gt;"",$K10&lt;&gt;"",$L9&lt;&gt;""),$N9="TBD")</formula>
    </cfRule>
  </conditionalFormatting>
  <conditionalFormatting sqref="K10 K12 K14 K16 K18 K20 K22 K24 K26 K28 K30 K32 K34 K36 K38">
    <cfRule type="expression" dxfId="2119" priority="244">
      <formula>AND(OR($K9&lt;&gt;"",$K10&lt;&gt;"",$L9&lt;&gt;""),$N9="TBD")</formula>
    </cfRule>
  </conditionalFormatting>
  <conditionalFormatting sqref="O9:O38 Q9:R38">
    <cfRule type="expression" dxfId="2118" priority="215">
      <formula>AND(OR($O9&lt;&gt;"",$O10&lt;&gt;"",$P9&lt;&gt;""),$R9="TBD")</formula>
    </cfRule>
  </conditionalFormatting>
  <conditionalFormatting sqref="O10 O12 O14 O16 O18 O20 O22 O24 O26 O28 O30 O32 O34 O36 O38">
    <cfRule type="expression" dxfId="2117" priority="214">
      <formula>AND(OR($O9&lt;&gt;"",$O10&lt;&gt;"",$P9&lt;&gt;""),$R9="TBD")</formula>
    </cfRule>
  </conditionalFormatting>
  <conditionalFormatting sqref="S9:S38 U9:V38">
    <cfRule type="expression" dxfId="2116" priority="185">
      <formula>AND(OR($S9&lt;&gt;"",$S10&lt;&gt;"",$T9&lt;&gt;""),$V9="TBD")</formula>
    </cfRule>
  </conditionalFormatting>
  <conditionalFormatting sqref="S10 S12 S14 S16 S18 S20 S22 S24 S26 S28 S30 S32 S34 S36 S38">
    <cfRule type="expression" dxfId="2115" priority="184">
      <formula>AND(OR($S9&lt;&gt;"",$S10&lt;&gt;"",$T9&lt;&gt;""),$V9="TBD")</formula>
    </cfRule>
  </conditionalFormatting>
  <conditionalFormatting sqref="W11:Z38 W9:W10 Y9:Z10">
    <cfRule type="expression" dxfId="2114" priority="155">
      <formula>AND(OR($W9&lt;&gt;"",$W10&lt;&gt;"",$X9&lt;&gt;""),$Z9="TBD")</formula>
    </cfRule>
  </conditionalFormatting>
  <conditionalFormatting sqref="W10 W12 W14 W16 W18 W20 W22 W24 W26 W28 W30 W32 W34 W36 W38">
    <cfRule type="expression" dxfId="2113" priority="154">
      <formula>AND(OR($W9&lt;&gt;"",$W10&lt;&gt;"",$X9&lt;&gt;""),$Z9="TBD")</formula>
    </cfRule>
  </conditionalFormatting>
  <conditionalFormatting sqref="P9:P38">
    <cfRule type="expression" dxfId="2112" priority="19">
      <formula>AND(OR($K9&lt;&gt;"",$K10&lt;&gt;"",$L9&lt;&gt;""),$N9="TBD")</formula>
    </cfRule>
  </conditionalFormatting>
  <conditionalFormatting sqref="T9:T38">
    <cfRule type="expression" dxfId="2111" priority="18">
      <formula>AND(OR($K9&lt;&gt;"",$K10&lt;&gt;"",$L9&lt;&gt;""),$N9="TBD")</formula>
    </cfRule>
  </conditionalFormatting>
  <conditionalFormatting sqref="AO9:AO38">
    <cfRule type="expression" dxfId="2110" priority="17">
      <formula>AO9&lt;&gt;"No Error"</formula>
    </cfRule>
  </conditionalFormatting>
  <conditionalFormatting sqref="B5">
    <cfRule type="expression" dxfId="2109" priority="16">
      <formula>B5&gt;0</formula>
    </cfRule>
  </conditionalFormatting>
  <conditionalFormatting sqref="A5">
    <cfRule type="expression" dxfId="2108" priority="15">
      <formula>B5&gt;0</formula>
    </cfRule>
  </conditionalFormatting>
  <conditionalFormatting sqref="B13">
    <cfRule type="expression" dxfId="2107" priority="14">
      <formula>AND($B13&lt;&gt;"",$C13&lt;&gt;"")</formula>
    </cfRule>
  </conditionalFormatting>
  <conditionalFormatting sqref="B17">
    <cfRule type="expression" dxfId="2106" priority="13">
      <formula>AND($B17&lt;&gt;"",$C17&lt;&gt;"")</formula>
    </cfRule>
  </conditionalFormatting>
  <conditionalFormatting sqref="B21">
    <cfRule type="expression" dxfId="2105" priority="12">
      <formula>AND($B21&lt;&gt;"",$C21&lt;&gt;"")</formula>
    </cfRule>
  </conditionalFormatting>
  <conditionalFormatting sqref="B25">
    <cfRule type="expression" dxfId="2104" priority="11">
      <formula>AND($B25&lt;&gt;"",$C25&lt;&gt;"")</formula>
    </cfRule>
  </conditionalFormatting>
  <conditionalFormatting sqref="B29">
    <cfRule type="expression" dxfId="2103" priority="10">
      <formula>AND($B29&lt;&gt;"",$C29&lt;&gt;"")</formula>
    </cfRule>
  </conditionalFormatting>
  <conditionalFormatting sqref="B33">
    <cfRule type="expression" dxfId="2102" priority="9">
      <formula>AND($B33&lt;&gt;"",$C33&lt;&gt;"")</formula>
    </cfRule>
  </conditionalFormatting>
  <conditionalFormatting sqref="B37">
    <cfRule type="expression" dxfId="2101" priority="8">
      <formula>AND($B37&lt;&gt;"",$C37&lt;&gt;"")</formula>
    </cfRule>
  </conditionalFormatting>
  <conditionalFormatting sqref="B15">
    <cfRule type="expression" dxfId="2100" priority="7">
      <formula>AND($B15&lt;&gt;"",$C15&lt;&gt;"")</formula>
    </cfRule>
  </conditionalFormatting>
  <conditionalFormatting sqref="B19">
    <cfRule type="expression" dxfId="2099" priority="6">
      <formula>AND($B19&lt;&gt;"",$C19&lt;&gt;"")</formula>
    </cfRule>
  </conditionalFormatting>
  <conditionalFormatting sqref="B23">
    <cfRule type="expression" dxfId="2098" priority="5">
      <formula>AND($B23&lt;&gt;"",$C23&lt;&gt;"")</formula>
    </cfRule>
  </conditionalFormatting>
  <conditionalFormatting sqref="B27">
    <cfRule type="expression" dxfId="2097" priority="4">
      <formula>AND($B27&lt;&gt;"",$C27&lt;&gt;"")</formula>
    </cfRule>
  </conditionalFormatting>
  <conditionalFormatting sqref="B31">
    <cfRule type="expression" dxfId="2096" priority="3">
      <formula>AND($B31&lt;&gt;"",$C31&lt;&gt;"")</formula>
    </cfRule>
  </conditionalFormatting>
  <conditionalFormatting sqref="B35">
    <cfRule type="expression" dxfId="2095" priority="2">
      <formula>AND($B35&lt;&gt;"",$C35&lt;&gt;"")</formula>
    </cfRule>
  </conditionalFormatting>
  <conditionalFormatting sqref="X9:X10">
    <cfRule type="expression" dxfId="2094" priority="1">
      <formula>AND(OR($K9&lt;&gt;"",$K10&lt;&gt;"",$L9&lt;&gt;""),$N9="TBD")</formula>
    </cfRule>
  </conditionalFormatting>
  <dataValidations count="11">
    <dataValidation type="decimal" operator="greaterThanOrEqual" allowBlank="1" showInputMessage="1" showErrorMessage="1" error="Enter valid number only." sqref="K32 K34 K36 D39:D323 K38 K10 K12 K14 K16 K18 K20 K22 K24 K26 K28 K30">
      <formula1>0</formula1>
    </dataValidation>
    <dataValidation type="custom" allowBlank="1" showErrorMessage="1" errorTitle="Indicator" error="Cannot enter both standard and custom indicators on the same line." sqref="C9:C38">
      <formula1>B9=""</formula1>
    </dataValidation>
    <dataValidation type="list" allowBlank="1" showErrorMessage="1" errorTitle="Indicator" error="Invalid entry. Select from dropdown list." sqref="J9:J38">
      <formula1>Country</formula1>
    </dataValidation>
    <dataValidation type="list" allowBlank="1" showErrorMessage="1" errorTitle="Indicator" error="Invalid entry. Select from dropdown list." sqref="I9:I38">
      <formula1>MergedAndDistinctPR</formula1>
    </dataValidation>
    <dataValidation type="list" allowBlank="1" showInputMessage="1" showErrorMessage="1" error="Invalid entry. Select from dropdown list." sqref="F9:F38">
      <formula1>baseline_validation</formula1>
    </dataValidation>
    <dataValidation type="date" operator="greaterThan" allowBlank="1" showInputMessage="1" showErrorMessage="1" sqref="M9:M38 Y9:Y38 U9:U38 Q9:Q38">
      <formula1>36526</formula1>
    </dataValidation>
    <dataValidation type="decimal" operator="greaterThanOrEqual" allowBlank="1" showInputMessage="1" showErrorMessage="1" errorTitle="Error" error="Enter valid number only." sqref="S38 D38 O38 D10 D12 D14 D16 D18 D20 O10 O12 O14 O16 O18 O20 D22 D24 D26 D28 D30 D32 D34 O22 O24 O26 O28 O30 O32 O34 D36 O36 W22 S36 W38 W36 W34 W32 W30 W28 W26 W24 S22 S34 S32 S30 S28 S26 S24 W12 W20 W18 W16 W14 S12 S20 S18 S16 S14 W10 S10">
      <formula1>0</formula1>
    </dataValidation>
    <dataValidation type="decimal" operator="greaterThanOrEqual" allowBlank="1" showInputMessage="1" showErrorMessage="1" error="Enter valid number only." prompt="Do not enter more than 4 decimal places" sqref="D9 D11 D13 D15 D17 D19 D21 K9 K11 K13 K15 K17 K19 K21 O9 O11 O13 O15 O17 O19 O21 D23 D25 D27 D29 D31 D33 K23 K25 K27 K29 K31 K33 K35 D35 O23 O25 O27 O29 O31 O33 O35 D37 K37 O37">
      <formula1>0</formula1>
    </dataValidation>
    <dataValidation type="decimal" operator="greaterThanOrEqual" allowBlank="1" showInputMessage="1" showErrorMessage="1" errorTitle="Error" error="Enter valid number only." prompt="Do not enter more than 4 decimal places" sqref="S9 W9 S11 S13 S15 S17 S19 W11 W13 W15 W17 W19 S21 S23 S25 S27 S29 S31 S33 W21 W23 W25 W27 W29 W31 W33 W35 W37 S37 S35">
      <formula1>0</formula1>
    </dataValidation>
    <dataValidation type="decimal" operator="greaterThanOrEqual" allowBlank="1" showInputMessage="1" showErrorMessage="1" error="Enter valid number only." prompt="Do not enter more than 2 decimal places" sqref="E9:E38 L9:L38 P9:P38 T9:T38 X9:X38">
      <formula1>0</formula1>
    </dataValidation>
    <dataValidation type="list" allowBlank="1" showErrorMessage="1" error="Invalid entry. Select from dropdown list" sqref="B9:B38">
      <formula1>ImpactIndicator</formula1>
    </dataValidation>
  </dataValidations>
  <hyperlinks>
    <hyperlink ref="B4" location="Instructions!InstructionB" display="Instructions"/>
    <hyperlink ref="C4" location="'Print - Goals &amp; Impact'!A1" display="Print View"/>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showInputMessage="1" showErrorMessage="1" error="Invalid entry. Select from dropdown list.">
          <x14:formula1>
            <xm:f>IF(OR($K9&lt;&gt;"",$K10&lt;&gt;"",$L9&lt;&gt;""),INDIRECT("FakeRange"),Setup!A$29)</xm:f>
          </x14:formula1>
          <xm:sqref>N9:N38</xm:sqref>
        </x14:dataValidation>
        <x14:dataValidation type="list" showInputMessage="1" showErrorMessage="1" error="Invalid entry. Select from dropdown list.">
          <x14:formula1>
            <xm:f>IF(OR($O9&lt;&gt;"",$O10&lt;&gt;"",$P9&lt;&gt;""),INDIRECT("FakeRange"),Setup!A$29)</xm:f>
          </x14:formula1>
          <xm:sqref>R9:R38</xm:sqref>
        </x14:dataValidation>
        <x14:dataValidation type="list" showInputMessage="1" showErrorMessage="1" error="Invalid entry. Select from dropdown list.">
          <x14:formula1>
            <xm:f>IF(OR($S9&lt;&gt;"",$S10&lt;&gt;"",$T9&lt;&gt;""),INDIRECT("FakeRange"),Setup!A$29)</xm:f>
          </x14:formula1>
          <xm:sqref>V9:V38</xm:sqref>
        </x14:dataValidation>
        <x14:dataValidation type="list" showInputMessage="1" showErrorMessage="1" error="Invalid entry. Select from dropdown list.">
          <x14:formula1>
            <xm:f>IF(OR($W9&lt;&gt;"",$W10&lt;&gt;"",$X9&lt;&gt;""),INDIRECT("FakeRange"),Setup!A$29)</xm:f>
          </x14:formula1>
          <xm:sqref>Z9:Z38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U616"/>
  <sheetViews>
    <sheetView topLeftCell="G1" workbookViewId="0">
      <selection activeCell="T2" sqref="T2"/>
    </sheetView>
  </sheetViews>
  <sheetFormatPr defaultRowHeight="15.6" x14ac:dyDescent="0.3"/>
  <cols>
    <col min="2" max="2" width="17.09765625" customWidth="1"/>
    <col min="4" max="5" width="14.09765625" customWidth="1"/>
    <col min="6" max="6" width="20.59765625" customWidth="1"/>
    <col min="7" max="7" width="13.09765625" customWidth="1"/>
    <col min="8" max="8" width="15.09765625" customWidth="1"/>
    <col min="9" max="9" width="17.5" customWidth="1"/>
    <col min="10" max="10" width="21.59765625" customWidth="1"/>
    <col min="12" max="12" width="11.59765625" customWidth="1"/>
    <col min="13" max="13" width="14.09765625" customWidth="1"/>
    <col min="14" max="14" width="12.09765625" customWidth="1"/>
  </cols>
  <sheetData>
    <row r="1" spans="1:21" ht="54" customHeight="1" x14ac:dyDescent="0.3">
      <c r="A1" s="22" t="s">
        <v>770</v>
      </c>
      <c r="B1" t="s">
        <v>771</v>
      </c>
      <c r="C1" t="s">
        <v>772</v>
      </c>
      <c r="D1" t="s">
        <v>773</v>
      </c>
      <c r="E1" t="s">
        <v>774</v>
      </c>
      <c r="F1" t="s">
        <v>775</v>
      </c>
      <c r="H1" t="s">
        <v>776</v>
      </c>
      <c r="I1" s="10" t="s">
        <v>225</v>
      </c>
      <c r="J1" s="10" t="s">
        <v>744</v>
      </c>
      <c r="K1" s="10" t="s">
        <v>777</v>
      </c>
      <c r="L1" s="11" t="s">
        <v>778</v>
      </c>
      <c r="M1" s="11" t="s">
        <v>779</v>
      </c>
      <c r="N1" s="22" t="s">
        <v>780</v>
      </c>
      <c r="P1" t="s">
        <v>318</v>
      </c>
      <c r="Q1" t="s">
        <v>318</v>
      </c>
      <c r="R1" s="22" t="s">
        <v>781</v>
      </c>
      <c r="T1" s="22" t="s">
        <v>325</v>
      </c>
    </row>
    <row r="2" spans="1:21" hidden="1" x14ac:dyDescent="0.3">
      <c r="A2">
        <f ca="1">IF(COUNTA(N:N)&gt;R2,0,(COUNTA(#REF!)-2)*5)</f>
        <v>-5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IF(ROW()&lt;$R$2,"",F2&amp;"|"&amp;CHOOSE(C2,#REF!,#REF!,#REF!,#REF!,#REF!))</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12"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IFERROR(VLOOKUP(D2,#REF!,6,0),"")</f>
        <v/>
      </c>
      <c r="M2" t="e">
        <f ca="1">INDIRECT("'Impact Indicators - Section B'!AR"&amp;E2)</f>
        <v>#REF!</v>
      </c>
      <c r="N2" t="str">
        <f ca="1">IFERROR(CHOOSE(C2,#REF!,#REF!,#REF!,#REF!,#REF!),"")</f>
        <v/>
      </c>
      <c r="P2" t="str">
        <f>L2</f>
        <v/>
      </c>
      <c r="Q2" t="e">
        <f ca="1">M2</f>
        <v>#REF!</v>
      </c>
      <c r="R2" s="13">
        <f>COUNTA(#REF!)+2</f>
        <v>3</v>
      </c>
      <c r="T2" t="b">
        <v>1</v>
      </c>
      <c r="U2" t="str">
        <f ca="1">IF(ROW()&gt;$A$2,"",IF(ISNUMBER(OFFSET(INDIRECT(ADDRESS(ROW(), COLUMN())),-1,0)),IF(OFFSET(INDIRECT(ADDRESS(ROW(), COLUMN())),-1,0)&lt;5,OFFSET(INDIRECT(ADDRESS(ROW(), COLUMN())),-1,0)+1,1),1))</f>
        <v/>
      </c>
    </row>
    <row r="3" spans="1:21" x14ac:dyDescent="0.3">
      <c r="G3" s="22"/>
      <c r="H3" s="22"/>
      <c r="I3" s="22"/>
      <c r="J3" s="12"/>
      <c r="L3" s="22"/>
      <c r="M3" s="22"/>
      <c r="N3" s="22"/>
      <c r="O3" s="22"/>
    </row>
    <row r="4" spans="1:21" x14ac:dyDescent="0.3">
      <c r="J4" s="12"/>
    </row>
    <row r="5" spans="1:21" x14ac:dyDescent="0.3">
      <c r="J5" s="12"/>
    </row>
    <row r="6" spans="1:21" x14ac:dyDescent="0.3">
      <c r="J6" s="12"/>
    </row>
    <row r="7" spans="1:21" x14ac:dyDescent="0.3">
      <c r="J7" s="12"/>
    </row>
    <row r="8" spans="1:21" x14ac:dyDescent="0.3">
      <c r="J8" s="12"/>
    </row>
    <row r="9" spans="1:21" x14ac:dyDescent="0.3">
      <c r="J9" s="12"/>
    </row>
    <row r="10" spans="1:21" x14ac:dyDescent="0.3">
      <c r="J10" s="12"/>
    </row>
    <row r="11" spans="1:21" x14ac:dyDescent="0.3">
      <c r="J11" s="12"/>
    </row>
    <row r="12" spans="1:21" x14ac:dyDescent="0.3">
      <c r="J12" s="12"/>
    </row>
    <row r="13" spans="1:21" x14ac:dyDescent="0.3">
      <c r="J13" s="12"/>
    </row>
    <row r="14" spans="1:21" x14ac:dyDescent="0.3">
      <c r="J14" s="12"/>
    </row>
    <row r="15" spans="1:21" x14ac:dyDescent="0.3">
      <c r="J15" s="12"/>
    </row>
    <row r="16" spans="1:21" x14ac:dyDescent="0.3">
      <c r="J16" s="12"/>
    </row>
    <row r="17" spans="10:10" x14ac:dyDescent="0.3">
      <c r="J17" s="12"/>
    </row>
    <row r="18" spans="10:10" x14ac:dyDescent="0.3">
      <c r="J18" s="12"/>
    </row>
    <row r="19" spans="10:10" x14ac:dyDescent="0.3">
      <c r="J19" s="12"/>
    </row>
    <row r="20" spans="10:10" x14ac:dyDescent="0.3">
      <c r="J20" s="12"/>
    </row>
    <row r="21" spans="10:10" x14ac:dyDescent="0.3">
      <c r="J21" s="12"/>
    </row>
    <row r="22" spans="10:10" x14ac:dyDescent="0.3">
      <c r="J22" s="12"/>
    </row>
    <row r="23" spans="10:10" x14ac:dyDescent="0.3">
      <c r="J23" s="12"/>
    </row>
    <row r="24" spans="10:10" x14ac:dyDescent="0.3">
      <c r="J24" s="12"/>
    </row>
    <row r="25" spans="10:10" x14ac:dyDescent="0.3">
      <c r="J25" s="12"/>
    </row>
    <row r="26" spans="10:10" x14ac:dyDescent="0.3">
      <c r="J26" s="12"/>
    </row>
    <row r="27" spans="10:10" x14ac:dyDescent="0.3">
      <c r="J27" s="12"/>
    </row>
    <row r="28" spans="10:10" x14ac:dyDescent="0.3">
      <c r="J28" s="12"/>
    </row>
    <row r="29" spans="10:10" x14ac:dyDescent="0.3">
      <c r="J29" s="12"/>
    </row>
    <row r="30" spans="10:10" x14ac:dyDescent="0.3">
      <c r="J30" s="12"/>
    </row>
    <row r="31" spans="10:10" x14ac:dyDescent="0.3">
      <c r="J31" s="12"/>
    </row>
    <row r="32" spans="10:10" x14ac:dyDescent="0.3">
      <c r="J32" s="12"/>
    </row>
    <row r="33" spans="10:10" x14ac:dyDescent="0.3">
      <c r="J33" s="12"/>
    </row>
    <row r="34" spans="10:10" x14ac:dyDescent="0.3">
      <c r="J34" s="12"/>
    </row>
    <row r="35" spans="10:10" x14ac:dyDescent="0.3">
      <c r="J35" s="12"/>
    </row>
    <row r="36" spans="10:10" x14ac:dyDescent="0.3">
      <c r="J36" s="12"/>
    </row>
    <row r="37" spans="10:10" x14ac:dyDescent="0.3">
      <c r="J37" s="12"/>
    </row>
    <row r="38" spans="10:10" x14ac:dyDescent="0.3">
      <c r="J38" s="12"/>
    </row>
    <row r="39" spans="10:10" x14ac:dyDescent="0.3">
      <c r="J39" s="12"/>
    </row>
    <row r="40" spans="10:10" x14ac:dyDescent="0.3">
      <c r="J40" s="12"/>
    </row>
    <row r="41" spans="10:10" x14ac:dyDescent="0.3">
      <c r="J41" s="12"/>
    </row>
    <row r="42" spans="10:10" x14ac:dyDescent="0.3">
      <c r="J42" s="12"/>
    </row>
    <row r="43" spans="10:10" x14ac:dyDescent="0.3">
      <c r="J43" s="12"/>
    </row>
    <row r="44" spans="10:10" x14ac:dyDescent="0.3">
      <c r="J44" s="12"/>
    </row>
    <row r="45" spans="10:10" x14ac:dyDescent="0.3">
      <c r="J45" s="12"/>
    </row>
    <row r="46" spans="10:10" x14ac:dyDescent="0.3">
      <c r="J46" s="12"/>
    </row>
    <row r="47" spans="10:10" x14ac:dyDescent="0.3">
      <c r="J47" s="12"/>
    </row>
    <row r="48" spans="10:10" x14ac:dyDescent="0.3">
      <c r="J48" s="12"/>
    </row>
    <row r="49" spans="10:10" x14ac:dyDescent="0.3">
      <c r="J49" s="12"/>
    </row>
    <row r="50" spans="10:10" x14ac:dyDescent="0.3">
      <c r="J50" s="12"/>
    </row>
    <row r="51" spans="10:10" x14ac:dyDescent="0.3">
      <c r="J51" s="12"/>
    </row>
    <row r="52" spans="10:10" x14ac:dyDescent="0.3">
      <c r="J52" s="12"/>
    </row>
    <row r="53" spans="10:10" x14ac:dyDescent="0.3">
      <c r="J53" s="12"/>
    </row>
    <row r="54" spans="10:10" x14ac:dyDescent="0.3">
      <c r="J54" s="12"/>
    </row>
    <row r="55" spans="10:10" x14ac:dyDescent="0.3">
      <c r="J55" s="12"/>
    </row>
    <row r="56" spans="10:10" x14ac:dyDescent="0.3">
      <c r="J56" s="12"/>
    </row>
    <row r="57" spans="10:10" x14ac:dyDescent="0.3">
      <c r="J57" s="12"/>
    </row>
    <row r="58" spans="10:10" x14ac:dyDescent="0.3">
      <c r="J58" s="12"/>
    </row>
    <row r="59" spans="10:10" x14ac:dyDescent="0.3">
      <c r="J59" s="12"/>
    </row>
    <row r="60" spans="10:10" x14ac:dyDescent="0.3">
      <c r="J60" s="12"/>
    </row>
    <row r="61" spans="10:10" x14ac:dyDescent="0.3">
      <c r="J61" s="12"/>
    </row>
    <row r="62" spans="10:10" x14ac:dyDescent="0.3">
      <c r="J62" s="12"/>
    </row>
    <row r="63" spans="10:10" x14ac:dyDescent="0.3">
      <c r="J63" s="12"/>
    </row>
    <row r="64" spans="10:10" x14ac:dyDescent="0.3">
      <c r="J64" s="12"/>
    </row>
    <row r="65" spans="10:10" x14ac:dyDescent="0.3">
      <c r="J65" s="12"/>
    </row>
    <row r="66" spans="10:10" x14ac:dyDescent="0.3">
      <c r="J66" s="12"/>
    </row>
    <row r="67" spans="10:10" x14ac:dyDescent="0.3">
      <c r="J67" s="12"/>
    </row>
    <row r="68" spans="10:10" x14ac:dyDescent="0.3">
      <c r="J68" s="12"/>
    </row>
    <row r="69" spans="10:10" x14ac:dyDescent="0.3">
      <c r="J69" s="12"/>
    </row>
    <row r="70" spans="10:10" x14ac:dyDescent="0.3">
      <c r="J70" s="12"/>
    </row>
    <row r="71" spans="10:10" x14ac:dyDescent="0.3">
      <c r="J71" s="12"/>
    </row>
    <row r="72" spans="10:10" x14ac:dyDescent="0.3">
      <c r="J72" s="12"/>
    </row>
    <row r="73" spans="10:10" x14ac:dyDescent="0.3">
      <c r="J73" s="12"/>
    </row>
    <row r="74" spans="10:10" x14ac:dyDescent="0.3">
      <c r="J74" s="12"/>
    </row>
    <row r="75" spans="10:10" x14ac:dyDescent="0.3">
      <c r="J75" s="12"/>
    </row>
    <row r="76" spans="10:10" x14ac:dyDescent="0.3">
      <c r="J76" s="12"/>
    </row>
    <row r="77" spans="10:10" x14ac:dyDescent="0.3">
      <c r="J77" s="12"/>
    </row>
    <row r="78" spans="10:10" x14ac:dyDescent="0.3">
      <c r="J78" s="12"/>
    </row>
    <row r="79" spans="10:10" x14ac:dyDescent="0.3">
      <c r="J79" s="12"/>
    </row>
    <row r="80" spans="10:10" x14ac:dyDescent="0.3">
      <c r="J80" s="12"/>
    </row>
    <row r="81" spans="10:10" x14ac:dyDescent="0.3">
      <c r="J81" s="12"/>
    </row>
    <row r="82" spans="10:10" x14ac:dyDescent="0.3">
      <c r="J82" s="12"/>
    </row>
    <row r="83" spans="10:10" x14ac:dyDescent="0.3">
      <c r="J83" s="12"/>
    </row>
    <row r="84" spans="10:10" x14ac:dyDescent="0.3">
      <c r="J84" s="12"/>
    </row>
    <row r="85" spans="10:10" x14ac:dyDescent="0.3">
      <c r="J85" s="12"/>
    </row>
    <row r="86" spans="10:10" x14ac:dyDescent="0.3">
      <c r="J86" s="12"/>
    </row>
    <row r="87" spans="10:10" x14ac:dyDescent="0.3">
      <c r="J87" s="12"/>
    </row>
    <row r="88" spans="10:10" x14ac:dyDescent="0.3">
      <c r="J88" s="12"/>
    </row>
    <row r="89" spans="10:10" x14ac:dyDescent="0.3">
      <c r="J89" s="12"/>
    </row>
    <row r="90" spans="10:10" x14ac:dyDescent="0.3">
      <c r="J90" s="12"/>
    </row>
    <row r="91" spans="10:10" x14ac:dyDescent="0.3">
      <c r="J91" s="12"/>
    </row>
    <row r="92" spans="10:10" x14ac:dyDescent="0.3">
      <c r="J92" s="12"/>
    </row>
    <row r="93" spans="10:10" x14ac:dyDescent="0.3">
      <c r="J93" s="12"/>
    </row>
    <row r="94" spans="10:10" x14ac:dyDescent="0.3">
      <c r="J94" s="12"/>
    </row>
    <row r="95" spans="10:10" x14ac:dyDescent="0.3">
      <c r="J95" s="12"/>
    </row>
    <row r="96" spans="10:10" x14ac:dyDescent="0.3">
      <c r="J96" s="12"/>
    </row>
    <row r="97" spans="10:10" x14ac:dyDescent="0.3">
      <c r="J97" s="12"/>
    </row>
    <row r="98" spans="10:10" x14ac:dyDescent="0.3">
      <c r="J98" s="12"/>
    </row>
    <row r="99" spans="10:10" x14ac:dyDescent="0.3">
      <c r="J99" s="12"/>
    </row>
    <row r="100" spans="10:10" x14ac:dyDescent="0.3">
      <c r="J100" s="12"/>
    </row>
    <row r="101" spans="10:10" x14ac:dyDescent="0.3">
      <c r="J101" s="12"/>
    </row>
    <row r="102" spans="10:10" x14ac:dyDescent="0.3">
      <c r="J102" s="12"/>
    </row>
    <row r="103" spans="10:10" x14ac:dyDescent="0.3">
      <c r="J103" s="12"/>
    </row>
    <row r="104" spans="10:10" x14ac:dyDescent="0.3">
      <c r="J104" s="12"/>
    </row>
    <row r="105" spans="10:10" x14ac:dyDescent="0.3">
      <c r="J105" s="12"/>
    </row>
    <row r="106" spans="10:10" x14ac:dyDescent="0.3">
      <c r="J106" s="12"/>
    </row>
    <row r="107" spans="10:10" x14ac:dyDescent="0.3">
      <c r="J107" s="12"/>
    </row>
    <row r="108" spans="10:10" x14ac:dyDescent="0.3">
      <c r="J108" s="12"/>
    </row>
    <row r="109" spans="10:10" x14ac:dyDescent="0.3">
      <c r="J109" s="12"/>
    </row>
    <row r="110" spans="10:10" x14ac:dyDescent="0.3">
      <c r="J110" s="12"/>
    </row>
    <row r="111" spans="10:10" x14ac:dyDescent="0.3">
      <c r="J111" s="12"/>
    </row>
    <row r="112" spans="10:10" x14ac:dyDescent="0.3">
      <c r="J112" s="12"/>
    </row>
    <row r="113" spans="10:10" x14ac:dyDescent="0.3">
      <c r="J113" s="12"/>
    </row>
    <row r="114" spans="10:10" x14ac:dyDescent="0.3">
      <c r="J114" s="12"/>
    </row>
    <row r="115" spans="10:10" x14ac:dyDescent="0.3">
      <c r="J115" s="12"/>
    </row>
    <row r="116" spans="10:10" x14ac:dyDescent="0.3">
      <c r="J116" s="12"/>
    </row>
    <row r="117" spans="10:10" x14ac:dyDescent="0.3">
      <c r="J117" s="12"/>
    </row>
    <row r="118" spans="10:10" x14ac:dyDescent="0.3">
      <c r="J118" s="12"/>
    </row>
    <row r="119" spans="10:10" x14ac:dyDescent="0.3">
      <c r="J119" s="12"/>
    </row>
    <row r="120" spans="10:10" x14ac:dyDescent="0.3">
      <c r="J120" s="12"/>
    </row>
    <row r="121" spans="10:10" x14ac:dyDescent="0.3">
      <c r="J121" s="12"/>
    </row>
    <row r="122" spans="10:10" x14ac:dyDescent="0.3">
      <c r="J122" s="12"/>
    </row>
    <row r="123" spans="10:10" x14ac:dyDescent="0.3">
      <c r="J123" s="12"/>
    </row>
    <row r="124" spans="10:10" x14ac:dyDescent="0.3">
      <c r="J124" s="12"/>
    </row>
    <row r="125" spans="10:10" x14ac:dyDescent="0.3">
      <c r="J125" s="12"/>
    </row>
    <row r="126" spans="10:10" x14ac:dyDescent="0.3">
      <c r="J126" s="12"/>
    </row>
    <row r="127" spans="10:10" x14ac:dyDescent="0.3">
      <c r="J127" s="12"/>
    </row>
    <row r="128" spans="10:10" x14ac:dyDescent="0.3">
      <c r="J128" s="12"/>
    </row>
    <row r="129" spans="10:10" x14ac:dyDescent="0.3">
      <c r="J129" s="12"/>
    </row>
    <row r="130" spans="10:10" x14ac:dyDescent="0.3">
      <c r="J130" s="12"/>
    </row>
    <row r="131" spans="10:10" x14ac:dyDescent="0.3">
      <c r="J131" s="12"/>
    </row>
    <row r="132" spans="10:10" x14ac:dyDescent="0.3">
      <c r="J132" s="12"/>
    </row>
    <row r="133" spans="10:10" x14ac:dyDescent="0.3">
      <c r="J133" s="12"/>
    </row>
    <row r="134" spans="10:10" x14ac:dyDescent="0.3">
      <c r="J134" s="12"/>
    </row>
    <row r="135" spans="10:10" x14ac:dyDescent="0.3">
      <c r="J135" s="12"/>
    </row>
    <row r="136" spans="10:10" x14ac:dyDescent="0.3">
      <c r="J136" s="12"/>
    </row>
    <row r="137" spans="10:10" x14ac:dyDescent="0.3">
      <c r="J137" s="12"/>
    </row>
    <row r="138" spans="10:10" x14ac:dyDescent="0.3">
      <c r="J138" s="12"/>
    </row>
    <row r="139" spans="10:10" x14ac:dyDescent="0.3">
      <c r="J139" s="12"/>
    </row>
    <row r="140" spans="10:10" x14ac:dyDescent="0.3">
      <c r="J140" s="12"/>
    </row>
    <row r="141" spans="10:10" x14ac:dyDescent="0.3">
      <c r="J141" s="12"/>
    </row>
    <row r="142" spans="10:10" x14ac:dyDescent="0.3">
      <c r="J142" s="12"/>
    </row>
    <row r="143" spans="10:10" x14ac:dyDescent="0.3">
      <c r="J143" s="12"/>
    </row>
    <row r="144" spans="10:10" x14ac:dyDescent="0.3">
      <c r="J144" s="12"/>
    </row>
    <row r="145" spans="10:10" x14ac:dyDescent="0.3">
      <c r="J145" s="12"/>
    </row>
    <row r="146" spans="10:10" x14ac:dyDescent="0.3">
      <c r="J146" s="12"/>
    </row>
    <row r="147" spans="10:10" x14ac:dyDescent="0.3">
      <c r="J147" s="12"/>
    </row>
    <row r="148" spans="10:10" x14ac:dyDescent="0.3">
      <c r="J148" s="12"/>
    </row>
    <row r="149" spans="10:10" x14ac:dyDescent="0.3">
      <c r="J149" s="12"/>
    </row>
    <row r="150" spans="10:10" x14ac:dyDescent="0.3">
      <c r="J150" s="12"/>
    </row>
    <row r="151" spans="10:10" x14ac:dyDescent="0.3">
      <c r="J151" s="12"/>
    </row>
    <row r="152" spans="10:10" x14ac:dyDescent="0.3">
      <c r="J152" s="12"/>
    </row>
    <row r="153" spans="10:10" x14ac:dyDescent="0.3">
      <c r="J153" s="12"/>
    </row>
    <row r="154" spans="10:10" x14ac:dyDescent="0.3">
      <c r="J154" s="12"/>
    </row>
    <row r="155" spans="10:10" x14ac:dyDescent="0.3">
      <c r="J155" s="12"/>
    </row>
    <row r="156" spans="10:10" x14ac:dyDescent="0.3">
      <c r="J156" s="12"/>
    </row>
    <row r="157" spans="10:10" x14ac:dyDescent="0.3">
      <c r="J157" s="12"/>
    </row>
    <row r="158" spans="10:10" x14ac:dyDescent="0.3">
      <c r="J158" s="12"/>
    </row>
    <row r="159" spans="10:10" x14ac:dyDescent="0.3">
      <c r="J159" s="12"/>
    </row>
    <row r="160" spans="10:10" x14ac:dyDescent="0.3">
      <c r="J160" s="12"/>
    </row>
    <row r="161" spans="10:10" x14ac:dyDescent="0.3">
      <c r="J161" s="12"/>
    </row>
    <row r="162" spans="10:10" x14ac:dyDescent="0.3">
      <c r="J162" s="12"/>
    </row>
    <row r="163" spans="10:10" x14ac:dyDescent="0.3">
      <c r="J163" s="12"/>
    </row>
    <row r="164" spans="10:10" x14ac:dyDescent="0.3">
      <c r="J164" s="12"/>
    </row>
    <row r="165" spans="10:10" x14ac:dyDescent="0.3">
      <c r="J165" s="12"/>
    </row>
    <row r="166" spans="10:10" x14ac:dyDescent="0.3">
      <c r="J166" s="12"/>
    </row>
    <row r="167" spans="10:10" x14ac:dyDescent="0.3">
      <c r="J167" s="12"/>
    </row>
    <row r="168" spans="10:10" x14ac:dyDescent="0.3">
      <c r="J168" s="12"/>
    </row>
    <row r="169" spans="10:10" x14ac:dyDescent="0.3">
      <c r="J169" s="12"/>
    </row>
    <row r="170" spans="10:10" x14ac:dyDescent="0.3">
      <c r="J170" s="12"/>
    </row>
    <row r="171" spans="10:10" x14ac:dyDescent="0.3">
      <c r="J171" s="12"/>
    </row>
    <row r="172" spans="10:10" x14ac:dyDescent="0.3">
      <c r="J172" s="12"/>
    </row>
    <row r="173" spans="10:10" x14ac:dyDescent="0.3">
      <c r="J173" s="12"/>
    </row>
    <row r="174" spans="10:10" x14ac:dyDescent="0.3">
      <c r="J174" s="12"/>
    </row>
    <row r="175" spans="10:10" x14ac:dyDescent="0.3">
      <c r="J175" s="12"/>
    </row>
    <row r="176" spans="10:10" x14ac:dyDescent="0.3">
      <c r="J176" s="12"/>
    </row>
    <row r="177" spans="10:10" x14ac:dyDescent="0.3">
      <c r="J177" s="12"/>
    </row>
    <row r="178" spans="10:10" x14ac:dyDescent="0.3">
      <c r="J178" s="12"/>
    </row>
    <row r="179" spans="10:10" x14ac:dyDescent="0.3">
      <c r="J179" s="12"/>
    </row>
    <row r="180" spans="10:10" x14ac:dyDescent="0.3">
      <c r="J180" s="12"/>
    </row>
    <row r="181" spans="10:10" x14ac:dyDescent="0.3">
      <c r="J181" s="12"/>
    </row>
    <row r="182" spans="10:10" x14ac:dyDescent="0.3">
      <c r="J182" s="12"/>
    </row>
    <row r="183" spans="10:10" x14ac:dyDescent="0.3">
      <c r="J183" s="12"/>
    </row>
    <row r="184" spans="10:10" x14ac:dyDescent="0.3">
      <c r="J184" s="12"/>
    </row>
    <row r="185" spans="10:10" x14ac:dyDescent="0.3">
      <c r="J185" s="12"/>
    </row>
    <row r="186" spans="10:10" x14ac:dyDescent="0.3">
      <c r="J186" s="12"/>
    </row>
    <row r="187" spans="10:10" x14ac:dyDescent="0.3">
      <c r="J187" s="12"/>
    </row>
    <row r="188" spans="10:10" x14ac:dyDescent="0.3">
      <c r="J188" s="12"/>
    </row>
    <row r="189" spans="10:10" x14ac:dyDescent="0.3">
      <c r="J189" s="12"/>
    </row>
    <row r="190" spans="10:10" x14ac:dyDescent="0.3">
      <c r="J190" s="12"/>
    </row>
    <row r="191" spans="10:10" x14ac:dyDescent="0.3">
      <c r="J191" s="12"/>
    </row>
    <row r="192" spans="10:10" x14ac:dyDescent="0.3">
      <c r="J192" s="12"/>
    </row>
    <row r="193" spans="10:10" x14ac:dyDescent="0.3">
      <c r="J193" s="12"/>
    </row>
    <row r="194" spans="10:10" x14ac:dyDescent="0.3">
      <c r="J194" s="12"/>
    </row>
    <row r="195" spans="10:10" x14ac:dyDescent="0.3">
      <c r="J195" s="12"/>
    </row>
    <row r="196" spans="10:10" x14ac:dyDescent="0.3">
      <c r="J196" s="12"/>
    </row>
    <row r="197" spans="10:10" x14ac:dyDescent="0.3">
      <c r="J197" s="12"/>
    </row>
    <row r="198" spans="10:10" x14ac:dyDescent="0.3">
      <c r="J198" s="12"/>
    </row>
    <row r="199" spans="10:10" x14ac:dyDescent="0.3">
      <c r="J199" s="12"/>
    </row>
    <row r="200" spans="10:10" x14ac:dyDescent="0.3">
      <c r="J200" s="12"/>
    </row>
    <row r="201" spans="10:10" x14ac:dyDescent="0.3">
      <c r="J201" s="12"/>
    </row>
    <row r="202" spans="10:10" x14ac:dyDescent="0.3">
      <c r="J202" s="12"/>
    </row>
    <row r="203" spans="10:10" x14ac:dyDescent="0.3">
      <c r="J203" s="12"/>
    </row>
    <row r="204" spans="10:10" x14ac:dyDescent="0.3">
      <c r="J204" s="12"/>
    </row>
    <row r="205" spans="10:10" x14ac:dyDescent="0.3">
      <c r="J205" s="12"/>
    </row>
    <row r="206" spans="10:10" x14ac:dyDescent="0.3">
      <c r="J206" s="12"/>
    </row>
    <row r="207" spans="10:10" x14ac:dyDescent="0.3">
      <c r="J207" s="12"/>
    </row>
    <row r="208" spans="10:10" x14ac:dyDescent="0.3">
      <c r="J208" s="12"/>
    </row>
    <row r="209" spans="10:10" x14ac:dyDescent="0.3">
      <c r="J209" s="12"/>
    </row>
    <row r="210" spans="10:10" x14ac:dyDescent="0.3">
      <c r="J210" s="12"/>
    </row>
    <row r="211" spans="10:10" x14ac:dyDescent="0.3">
      <c r="J211" s="12"/>
    </row>
    <row r="212" spans="10:10" x14ac:dyDescent="0.3">
      <c r="J212" s="12"/>
    </row>
    <row r="213" spans="10:10" x14ac:dyDescent="0.3">
      <c r="J213" s="12"/>
    </row>
    <row r="214" spans="10:10" x14ac:dyDescent="0.3">
      <c r="J214" s="12"/>
    </row>
    <row r="215" spans="10:10" x14ac:dyDescent="0.3">
      <c r="J215" s="12"/>
    </row>
    <row r="216" spans="10:10" x14ac:dyDescent="0.3">
      <c r="J216" s="12"/>
    </row>
    <row r="217" spans="10:10" x14ac:dyDescent="0.3">
      <c r="J217" s="12"/>
    </row>
    <row r="218" spans="10:10" x14ac:dyDescent="0.3">
      <c r="J218" s="12"/>
    </row>
    <row r="219" spans="10:10" x14ac:dyDescent="0.3">
      <c r="J219" s="12"/>
    </row>
    <row r="220" spans="10:10" x14ac:dyDescent="0.3">
      <c r="J220" s="12"/>
    </row>
    <row r="221" spans="10:10" x14ac:dyDescent="0.3">
      <c r="J221" s="12"/>
    </row>
    <row r="222" spans="10:10" x14ac:dyDescent="0.3">
      <c r="J222" s="12"/>
    </row>
    <row r="223" spans="10:10" x14ac:dyDescent="0.3">
      <c r="J223" s="12"/>
    </row>
    <row r="224" spans="10:10" x14ac:dyDescent="0.3">
      <c r="J224" s="12"/>
    </row>
    <row r="225" spans="10:10" x14ac:dyDescent="0.3">
      <c r="J225" s="12"/>
    </row>
    <row r="226" spans="10:10" x14ac:dyDescent="0.3">
      <c r="J226" s="12"/>
    </row>
    <row r="227" spans="10:10" x14ac:dyDescent="0.3">
      <c r="J227" s="12"/>
    </row>
    <row r="228" spans="10:10" x14ac:dyDescent="0.3">
      <c r="J228" s="12"/>
    </row>
    <row r="229" spans="10:10" x14ac:dyDescent="0.3">
      <c r="J229" s="12"/>
    </row>
    <row r="230" spans="10:10" x14ac:dyDescent="0.3">
      <c r="J230" s="12"/>
    </row>
    <row r="231" spans="10:10" x14ac:dyDescent="0.3">
      <c r="J231" s="12"/>
    </row>
    <row r="232" spans="10:10" x14ac:dyDescent="0.3">
      <c r="J232" s="12"/>
    </row>
    <row r="233" spans="10:10" x14ac:dyDescent="0.3">
      <c r="J233" s="12"/>
    </row>
    <row r="234" spans="10:10" x14ac:dyDescent="0.3">
      <c r="J234" s="12"/>
    </row>
    <row r="235" spans="10:10" x14ac:dyDescent="0.3">
      <c r="J235" s="12"/>
    </row>
    <row r="236" spans="10:10" x14ac:dyDescent="0.3">
      <c r="J236" s="12"/>
    </row>
    <row r="237" spans="10:10" x14ac:dyDescent="0.3">
      <c r="J237" s="12"/>
    </row>
    <row r="238" spans="10:10" x14ac:dyDescent="0.3">
      <c r="J238" s="12"/>
    </row>
    <row r="239" spans="10:10" x14ac:dyDescent="0.3">
      <c r="J239" s="12"/>
    </row>
    <row r="240" spans="10:10" x14ac:dyDescent="0.3">
      <c r="J240" s="12"/>
    </row>
    <row r="241" spans="10:10" x14ac:dyDescent="0.3">
      <c r="J241" s="12"/>
    </row>
    <row r="242" spans="10:10" x14ac:dyDescent="0.3">
      <c r="J242" s="12"/>
    </row>
    <row r="243" spans="10:10" x14ac:dyDescent="0.3">
      <c r="J243" s="12"/>
    </row>
    <row r="244" spans="10:10" x14ac:dyDescent="0.3">
      <c r="J244" s="12"/>
    </row>
    <row r="245" spans="10:10" x14ac:dyDescent="0.3">
      <c r="J245" s="12"/>
    </row>
    <row r="246" spans="10:10" x14ac:dyDescent="0.3">
      <c r="J246" s="12"/>
    </row>
    <row r="247" spans="10:10" x14ac:dyDescent="0.3">
      <c r="J247" s="12"/>
    </row>
    <row r="248" spans="10:10" x14ac:dyDescent="0.3">
      <c r="J248" s="12"/>
    </row>
    <row r="249" spans="10:10" x14ac:dyDescent="0.3">
      <c r="J249" s="12"/>
    </row>
    <row r="250" spans="10:10" x14ac:dyDescent="0.3">
      <c r="J250" s="12"/>
    </row>
    <row r="251" spans="10:10" x14ac:dyDescent="0.3">
      <c r="J251" s="12"/>
    </row>
    <row r="252" spans="10:10" x14ac:dyDescent="0.3">
      <c r="J252" s="12"/>
    </row>
    <row r="253" spans="10:10" x14ac:dyDescent="0.3">
      <c r="J253" s="12"/>
    </row>
    <row r="254" spans="10:10" x14ac:dyDescent="0.3">
      <c r="J254" s="12"/>
    </row>
    <row r="255" spans="10:10" x14ac:dyDescent="0.3">
      <c r="J255" s="12"/>
    </row>
    <row r="256" spans="10:10" x14ac:dyDescent="0.3">
      <c r="J256" s="12"/>
    </row>
    <row r="257" spans="10:10" x14ac:dyDescent="0.3">
      <c r="J257" s="12"/>
    </row>
    <row r="258" spans="10:10" x14ac:dyDescent="0.3">
      <c r="J258" s="12"/>
    </row>
    <row r="259" spans="10:10" x14ac:dyDescent="0.3">
      <c r="J259" s="12"/>
    </row>
    <row r="260" spans="10:10" x14ac:dyDescent="0.3">
      <c r="J260" s="12"/>
    </row>
    <row r="261" spans="10:10" x14ac:dyDescent="0.3">
      <c r="J261" s="12"/>
    </row>
    <row r="262" spans="10:10" x14ac:dyDescent="0.3">
      <c r="J262" s="12"/>
    </row>
    <row r="263" spans="10:10" x14ac:dyDescent="0.3">
      <c r="J263" s="12"/>
    </row>
    <row r="264" spans="10:10" x14ac:dyDescent="0.3">
      <c r="J264" s="12"/>
    </row>
    <row r="265" spans="10:10" x14ac:dyDescent="0.3">
      <c r="J265" s="12"/>
    </row>
    <row r="266" spans="10:10" x14ac:dyDescent="0.3">
      <c r="J266" s="12"/>
    </row>
    <row r="267" spans="10:10" x14ac:dyDescent="0.3">
      <c r="J267" s="12"/>
    </row>
    <row r="268" spans="10:10" x14ac:dyDescent="0.3">
      <c r="J268" s="12"/>
    </row>
    <row r="269" spans="10:10" x14ac:dyDescent="0.3">
      <c r="J269" s="12"/>
    </row>
    <row r="270" spans="10:10" x14ac:dyDescent="0.3">
      <c r="J270" s="12"/>
    </row>
    <row r="271" spans="10:10" x14ac:dyDescent="0.3">
      <c r="J271" s="12"/>
    </row>
    <row r="272" spans="10:10" x14ac:dyDescent="0.3">
      <c r="J272" s="12"/>
    </row>
    <row r="273" spans="10:10" x14ac:dyDescent="0.3">
      <c r="J273" s="12"/>
    </row>
    <row r="274" spans="10:10" x14ac:dyDescent="0.3">
      <c r="J274" s="12"/>
    </row>
    <row r="275" spans="10:10" x14ac:dyDescent="0.3">
      <c r="J275" s="12"/>
    </row>
    <row r="276" spans="10:10" x14ac:dyDescent="0.3">
      <c r="J276" s="12"/>
    </row>
    <row r="277" spans="10:10" x14ac:dyDescent="0.3">
      <c r="J277" s="12"/>
    </row>
    <row r="278" spans="10:10" x14ac:dyDescent="0.3">
      <c r="J278" s="12"/>
    </row>
    <row r="279" spans="10:10" x14ac:dyDescent="0.3">
      <c r="J279" s="12"/>
    </row>
    <row r="280" spans="10:10" x14ac:dyDescent="0.3">
      <c r="J280" s="12"/>
    </row>
    <row r="281" spans="10:10" x14ac:dyDescent="0.3">
      <c r="J281" s="12"/>
    </row>
    <row r="282" spans="10:10" x14ac:dyDescent="0.3">
      <c r="J282" s="12"/>
    </row>
    <row r="283" spans="10:10" x14ac:dyDescent="0.3">
      <c r="J283" s="12"/>
    </row>
    <row r="284" spans="10:10" x14ac:dyDescent="0.3">
      <c r="J284" s="12"/>
    </row>
    <row r="285" spans="10:10" x14ac:dyDescent="0.3">
      <c r="J285" s="12"/>
    </row>
    <row r="286" spans="10:10" x14ac:dyDescent="0.3">
      <c r="J286" s="12"/>
    </row>
    <row r="287" spans="10:10" x14ac:dyDescent="0.3">
      <c r="J287" s="12"/>
    </row>
    <row r="288" spans="10:10" x14ac:dyDescent="0.3">
      <c r="J288" s="12"/>
    </row>
    <row r="289" spans="10:10" x14ac:dyDescent="0.3">
      <c r="J289" s="12"/>
    </row>
    <row r="290" spans="10:10" x14ac:dyDescent="0.3">
      <c r="J290" s="12"/>
    </row>
    <row r="291" spans="10:10" x14ac:dyDescent="0.3">
      <c r="J291" s="12"/>
    </row>
    <row r="292" spans="10:10" x14ac:dyDescent="0.3">
      <c r="J292" s="12"/>
    </row>
    <row r="293" spans="10:10" x14ac:dyDescent="0.3">
      <c r="J293" s="12"/>
    </row>
    <row r="294" spans="10:10" x14ac:dyDescent="0.3">
      <c r="J294" s="12"/>
    </row>
    <row r="295" spans="10:10" x14ac:dyDescent="0.3">
      <c r="J295" s="12"/>
    </row>
    <row r="296" spans="10:10" x14ac:dyDescent="0.3">
      <c r="J296" s="12"/>
    </row>
    <row r="297" spans="10:10" x14ac:dyDescent="0.3">
      <c r="J297" s="12"/>
    </row>
    <row r="298" spans="10:10" x14ac:dyDescent="0.3">
      <c r="J298" s="12"/>
    </row>
    <row r="299" spans="10:10" x14ac:dyDescent="0.3">
      <c r="J299" s="12"/>
    </row>
    <row r="300" spans="10:10" x14ac:dyDescent="0.3">
      <c r="J300" s="12"/>
    </row>
    <row r="301" spans="10:10" x14ac:dyDescent="0.3">
      <c r="J301" s="12"/>
    </row>
    <row r="302" spans="10:10" x14ac:dyDescent="0.3">
      <c r="J302" s="12"/>
    </row>
    <row r="303" spans="10:10" x14ac:dyDescent="0.3">
      <c r="J303" s="12"/>
    </row>
    <row r="304" spans="10:10" x14ac:dyDescent="0.3">
      <c r="J304" s="12"/>
    </row>
    <row r="305" spans="10:10" x14ac:dyDescent="0.3">
      <c r="J305" s="12"/>
    </row>
    <row r="306" spans="10:10" x14ac:dyDescent="0.3">
      <c r="J306" s="12"/>
    </row>
    <row r="307" spans="10:10" x14ac:dyDescent="0.3">
      <c r="J307" s="12"/>
    </row>
    <row r="308" spans="10:10" x14ac:dyDescent="0.3">
      <c r="J308" s="12"/>
    </row>
    <row r="309" spans="10:10" x14ac:dyDescent="0.3">
      <c r="J309" s="12"/>
    </row>
    <row r="310" spans="10:10" x14ac:dyDescent="0.3">
      <c r="J310" s="12"/>
    </row>
    <row r="311" spans="10:10" x14ac:dyDescent="0.3">
      <c r="J311" s="12"/>
    </row>
    <row r="312" spans="10:10" x14ac:dyDescent="0.3">
      <c r="J312" s="12"/>
    </row>
    <row r="313" spans="10:10" x14ac:dyDescent="0.3">
      <c r="J313" s="12"/>
    </row>
    <row r="314" spans="10:10" x14ac:dyDescent="0.3">
      <c r="J314" s="12"/>
    </row>
    <row r="315" spans="10:10" x14ac:dyDescent="0.3">
      <c r="J315" s="12"/>
    </row>
    <row r="316" spans="10:10" x14ac:dyDescent="0.3">
      <c r="J316" s="12"/>
    </row>
    <row r="317" spans="10:10" x14ac:dyDescent="0.3">
      <c r="J317" s="12"/>
    </row>
    <row r="318" spans="10:10" x14ac:dyDescent="0.3">
      <c r="J318" s="12"/>
    </row>
    <row r="319" spans="10:10" x14ac:dyDescent="0.3">
      <c r="J319" s="12"/>
    </row>
    <row r="320" spans="10:10" x14ac:dyDescent="0.3">
      <c r="J320" s="12"/>
    </row>
    <row r="321" spans="10:10" x14ac:dyDescent="0.3">
      <c r="J321" s="12"/>
    </row>
    <row r="322" spans="10:10" x14ac:dyDescent="0.3">
      <c r="J322" s="12"/>
    </row>
    <row r="323" spans="10:10" x14ac:dyDescent="0.3">
      <c r="J323" s="12"/>
    </row>
    <row r="324" spans="10:10" x14ac:dyDescent="0.3">
      <c r="J324" s="12"/>
    </row>
    <row r="325" spans="10:10" x14ac:dyDescent="0.3">
      <c r="J325" s="12"/>
    </row>
    <row r="326" spans="10:10" x14ac:dyDescent="0.3">
      <c r="J326" s="12"/>
    </row>
    <row r="327" spans="10:10" x14ac:dyDescent="0.3">
      <c r="J327" s="12"/>
    </row>
    <row r="328" spans="10:10" x14ac:dyDescent="0.3">
      <c r="J328" s="12"/>
    </row>
    <row r="329" spans="10:10" x14ac:dyDescent="0.3">
      <c r="J329" s="12"/>
    </row>
    <row r="330" spans="10:10" x14ac:dyDescent="0.3">
      <c r="J330" s="12"/>
    </row>
    <row r="331" spans="10:10" x14ac:dyDescent="0.3">
      <c r="J331" s="12"/>
    </row>
    <row r="332" spans="10:10" x14ac:dyDescent="0.3">
      <c r="J332" s="12"/>
    </row>
    <row r="333" spans="10:10" x14ac:dyDescent="0.3">
      <c r="J333" s="12"/>
    </row>
    <row r="334" spans="10:10" x14ac:dyDescent="0.3">
      <c r="J334" s="12"/>
    </row>
    <row r="335" spans="10:10" x14ac:dyDescent="0.3">
      <c r="J335" s="12"/>
    </row>
    <row r="336" spans="10:10" x14ac:dyDescent="0.3">
      <c r="J336" s="12"/>
    </row>
    <row r="337" spans="10:10" x14ac:dyDescent="0.3">
      <c r="J337" s="12"/>
    </row>
    <row r="338" spans="10:10" x14ac:dyDescent="0.3">
      <c r="J338" s="12"/>
    </row>
    <row r="339" spans="10:10" x14ac:dyDescent="0.3">
      <c r="J339" s="12"/>
    </row>
    <row r="340" spans="10:10" x14ac:dyDescent="0.3">
      <c r="J340" s="12"/>
    </row>
    <row r="341" spans="10:10" x14ac:dyDescent="0.3">
      <c r="J341" s="12"/>
    </row>
    <row r="342" spans="10:10" x14ac:dyDescent="0.3">
      <c r="J342" s="12"/>
    </row>
    <row r="343" spans="10:10" x14ac:dyDescent="0.3">
      <c r="J343" s="12"/>
    </row>
    <row r="344" spans="10:10" x14ac:dyDescent="0.3">
      <c r="J344" s="12"/>
    </row>
    <row r="345" spans="10:10" x14ac:dyDescent="0.3">
      <c r="J345" s="12"/>
    </row>
    <row r="346" spans="10:10" x14ac:dyDescent="0.3">
      <c r="J346" s="12"/>
    </row>
    <row r="347" spans="10:10" x14ac:dyDescent="0.3">
      <c r="J347" s="12"/>
    </row>
    <row r="348" spans="10:10" x14ac:dyDescent="0.3">
      <c r="J348" s="12"/>
    </row>
    <row r="349" spans="10:10" x14ac:dyDescent="0.3">
      <c r="J349" s="12"/>
    </row>
    <row r="350" spans="10:10" x14ac:dyDescent="0.3">
      <c r="J350" s="12"/>
    </row>
    <row r="351" spans="10:10" x14ac:dyDescent="0.3">
      <c r="J351" s="12"/>
    </row>
    <row r="352" spans="10:10" x14ac:dyDescent="0.3">
      <c r="J352" s="12"/>
    </row>
    <row r="353" spans="10:10" x14ac:dyDescent="0.3">
      <c r="J353" s="12"/>
    </row>
    <row r="354" spans="10:10" x14ac:dyDescent="0.3">
      <c r="J354" s="12"/>
    </row>
    <row r="355" spans="10:10" x14ac:dyDescent="0.3">
      <c r="J355" s="12"/>
    </row>
    <row r="356" spans="10:10" x14ac:dyDescent="0.3">
      <c r="J356" s="12"/>
    </row>
    <row r="357" spans="10:10" x14ac:dyDescent="0.3">
      <c r="J357" s="12"/>
    </row>
    <row r="358" spans="10:10" x14ac:dyDescent="0.3">
      <c r="J358" s="12"/>
    </row>
    <row r="359" spans="10:10" x14ac:dyDescent="0.3">
      <c r="J359" s="12"/>
    </row>
    <row r="360" spans="10:10" x14ac:dyDescent="0.3">
      <c r="J360" s="12"/>
    </row>
    <row r="361" spans="10:10" x14ac:dyDescent="0.3">
      <c r="J361" s="12"/>
    </row>
    <row r="362" spans="10:10" x14ac:dyDescent="0.3">
      <c r="J362" s="12"/>
    </row>
    <row r="363" spans="10:10" x14ac:dyDescent="0.3">
      <c r="J363" s="12"/>
    </row>
    <row r="364" spans="10:10" x14ac:dyDescent="0.3">
      <c r="J364" s="12"/>
    </row>
    <row r="365" spans="10:10" x14ac:dyDescent="0.3">
      <c r="J365" s="12"/>
    </row>
    <row r="366" spans="10:10" x14ac:dyDescent="0.3">
      <c r="J366" s="12"/>
    </row>
    <row r="367" spans="10:10" x14ac:dyDescent="0.3">
      <c r="J367" s="12"/>
    </row>
    <row r="368" spans="10:10" x14ac:dyDescent="0.3">
      <c r="J368" s="12"/>
    </row>
    <row r="369" spans="10:10" x14ac:dyDescent="0.3">
      <c r="J369" s="12"/>
    </row>
    <row r="370" spans="10:10" x14ac:dyDescent="0.3">
      <c r="J370" s="12"/>
    </row>
    <row r="371" spans="10:10" x14ac:dyDescent="0.3">
      <c r="J371" s="12"/>
    </row>
    <row r="372" spans="10:10" x14ac:dyDescent="0.3">
      <c r="J372" s="12"/>
    </row>
    <row r="373" spans="10:10" x14ac:dyDescent="0.3">
      <c r="J373" s="12"/>
    </row>
    <row r="374" spans="10:10" x14ac:dyDescent="0.3">
      <c r="J374" s="12"/>
    </row>
    <row r="375" spans="10:10" x14ac:dyDescent="0.3">
      <c r="J375" s="12"/>
    </row>
    <row r="376" spans="10:10" x14ac:dyDescent="0.3">
      <c r="J376" s="12"/>
    </row>
    <row r="377" spans="10:10" x14ac:dyDescent="0.3">
      <c r="J377" s="12"/>
    </row>
    <row r="378" spans="10:10" x14ac:dyDescent="0.3">
      <c r="J378" s="12"/>
    </row>
    <row r="379" spans="10:10" x14ac:dyDescent="0.3">
      <c r="J379" s="12"/>
    </row>
    <row r="380" spans="10:10" x14ac:dyDescent="0.3">
      <c r="J380" s="12"/>
    </row>
    <row r="381" spans="10:10" x14ac:dyDescent="0.3">
      <c r="J381" s="12"/>
    </row>
    <row r="382" spans="10:10" x14ac:dyDescent="0.3">
      <c r="J382" s="12"/>
    </row>
    <row r="383" spans="10:10" x14ac:dyDescent="0.3">
      <c r="J383" s="12"/>
    </row>
    <row r="384" spans="10:10" x14ac:dyDescent="0.3">
      <c r="J384" s="12"/>
    </row>
    <row r="385" spans="10:10" x14ac:dyDescent="0.3">
      <c r="J385" s="12"/>
    </row>
    <row r="386" spans="10:10" x14ac:dyDescent="0.3">
      <c r="J386" s="12"/>
    </row>
    <row r="387" spans="10:10" x14ac:dyDescent="0.3">
      <c r="J387" s="12"/>
    </row>
    <row r="388" spans="10:10" x14ac:dyDescent="0.3">
      <c r="J388" s="12"/>
    </row>
    <row r="389" spans="10:10" x14ac:dyDescent="0.3">
      <c r="J389" s="12"/>
    </row>
    <row r="390" spans="10:10" x14ac:dyDescent="0.3">
      <c r="J390" s="12"/>
    </row>
    <row r="391" spans="10:10" x14ac:dyDescent="0.3">
      <c r="J391" s="12"/>
    </row>
    <row r="392" spans="10:10" x14ac:dyDescent="0.3">
      <c r="J392" s="12"/>
    </row>
    <row r="393" spans="10:10" x14ac:dyDescent="0.3">
      <c r="J393" s="12"/>
    </row>
    <row r="394" spans="10:10" x14ac:dyDescent="0.3">
      <c r="J394" s="12"/>
    </row>
    <row r="395" spans="10:10" x14ac:dyDescent="0.3">
      <c r="J395" s="12"/>
    </row>
    <row r="396" spans="10:10" x14ac:dyDescent="0.3">
      <c r="J396" s="12"/>
    </row>
    <row r="397" spans="10:10" x14ac:dyDescent="0.3">
      <c r="J397" s="12"/>
    </row>
    <row r="398" spans="10:10" x14ac:dyDescent="0.3">
      <c r="J398" s="12"/>
    </row>
    <row r="399" spans="10:10" x14ac:dyDescent="0.3">
      <c r="J399" s="12"/>
    </row>
    <row r="400" spans="10:10" x14ac:dyDescent="0.3">
      <c r="J400" s="12"/>
    </row>
    <row r="401" spans="10:10" x14ac:dyDescent="0.3">
      <c r="J401" s="12"/>
    </row>
    <row r="402" spans="10:10" x14ac:dyDescent="0.3">
      <c r="J402" s="12"/>
    </row>
    <row r="403" spans="10:10" x14ac:dyDescent="0.3">
      <c r="J403" s="12"/>
    </row>
    <row r="404" spans="10:10" x14ac:dyDescent="0.3">
      <c r="J404" s="12"/>
    </row>
    <row r="405" spans="10:10" x14ac:dyDescent="0.3">
      <c r="J405" s="12"/>
    </row>
    <row r="406" spans="10:10" x14ac:dyDescent="0.3">
      <c r="J406" s="12"/>
    </row>
    <row r="407" spans="10:10" x14ac:dyDescent="0.3">
      <c r="J407" s="12"/>
    </row>
    <row r="408" spans="10:10" x14ac:dyDescent="0.3">
      <c r="J408" s="12"/>
    </row>
    <row r="409" spans="10:10" x14ac:dyDescent="0.3">
      <c r="J409" s="12"/>
    </row>
    <row r="410" spans="10:10" x14ac:dyDescent="0.3">
      <c r="J410" s="12"/>
    </row>
    <row r="411" spans="10:10" x14ac:dyDescent="0.3">
      <c r="J411" s="12"/>
    </row>
    <row r="412" spans="10:10" x14ac:dyDescent="0.3">
      <c r="J412" s="12"/>
    </row>
    <row r="413" spans="10:10" x14ac:dyDescent="0.3">
      <c r="J413" s="12"/>
    </row>
    <row r="414" spans="10:10" x14ac:dyDescent="0.3">
      <c r="J414" s="12"/>
    </row>
    <row r="415" spans="10:10" x14ac:dyDescent="0.3">
      <c r="J415" s="12"/>
    </row>
    <row r="416" spans="10:10" x14ac:dyDescent="0.3">
      <c r="J416" s="12"/>
    </row>
    <row r="417" spans="10:10" x14ac:dyDescent="0.3">
      <c r="J417" s="12"/>
    </row>
    <row r="418" spans="10:10" x14ac:dyDescent="0.3">
      <c r="J418" s="12"/>
    </row>
    <row r="419" spans="10:10" x14ac:dyDescent="0.3">
      <c r="J419" s="12"/>
    </row>
    <row r="420" spans="10:10" x14ac:dyDescent="0.3">
      <c r="J420" s="12"/>
    </row>
    <row r="421" spans="10:10" x14ac:dyDescent="0.3">
      <c r="J421" s="12"/>
    </row>
    <row r="422" spans="10:10" x14ac:dyDescent="0.3">
      <c r="J422" s="12"/>
    </row>
    <row r="423" spans="10:10" x14ac:dyDescent="0.3">
      <c r="J423" s="12"/>
    </row>
    <row r="424" spans="10:10" x14ac:dyDescent="0.3">
      <c r="J424" s="12"/>
    </row>
    <row r="425" spans="10:10" x14ac:dyDescent="0.3">
      <c r="J425" s="12"/>
    </row>
    <row r="426" spans="10:10" x14ac:dyDescent="0.3">
      <c r="J426" s="12"/>
    </row>
    <row r="427" spans="10:10" x14ac:dyDescent="0.3">
      <c r="J427" s="12"/>
    </row>
    <row r="428" spans="10:10" x14ac:dyDescent="0.3">
      <c r="J428" s="12"/>
    </row>
    <row r="429" spans="10:10" x14ac:dyDescent="0.3">
      <c r="J429" s="12"/>
    </row>
    <row r="430" spans="10:10" x14ac:dyDescent="0.3">
      <c r="J430" s="12"/>
    </row>
    <row r="431" spans="10:10" x14ac:dyDescent="0.3">
      <c r="J431" s="12"/>
    </row>
    <row r="432" spans="10:10" x14ac:dyDescent="0.3">
      <c r="J432" s="12"/>
    </row>
    <row r="433" spans="10:10" x14ac:dyDescent="0.3">
      <c r="J433" s="12"/>
    </row>
    <row r="434" spans="10:10" x14ac:dyDescent="0.3">
      <c r="J434" s="12"/>
    </row>
    <row r="435" spans="10:10" x14ac:dyDescent="0.3">
      <c r="J435" s="12"/>
    </row>
    <row r="436" spans="10:10" x14ac:dyDescent="0.3">
      <c r="J436" s="12"/>
    </row>
    <row r="437" spans="10:10" x14ac:dyDescent="0.3">
      <c r="J437" s="12"/>
    </row>
    <row r="438" spans="10:10" x14ac:dyDescent="0.3">
      <c r="J438" s="12"/>
    </row>
    <row r="439" spans="10:10" x14ac:dyDescent="0.3">
      <c r="J439" s="12"/>
    </row>
    <row r="440" spans="10:10" x14ac:dyDescent="0.3">
      <c r="J440" s="12"/>
    </row>
    <row r="441" spans="10:10" x14ac:dyDescent="0.3">
      <c r="J441" s="12"/>
    </row>
    <row r="442" spans="10:10" x14ac:dyDescent="0.3">
      <c r="J442" s="12"/>
    </row>
    <row r="443" spans="10:10" x14ac:dyDescent="0.3">
      <c r="J443" s="12"/>
    </row>
    <row r="444" spans="10:10" x14ac:dyDescent="0.3">
      <c r="J444" s="12"/>
    </row>
    <row r="445" spans="10:10" x14ac:dyDescent="0.3">
      <c r="J445" s="12"/>
    </row>
    <row r="446" spans="10:10" x14ac:dyDescent="0.3">
      <c r="J446" s="12"/>
    </row>
    <row r="447" spans="10:10" x14ac:dyDescent="0.3">
      <c r="J447" s="12"/>
    </row>
    <row r="448" spans="10:10" x14ac:dyDescent="0.3">
      <c r="J448" s="12"/>
    </row>
    <row r="449" spans="10:10" x14ac:dyDescent="0.3">
      <c r="J449" s="12"/>
    </row>
    <row r="450" spans="10:10" x14ac:dyDescent="0.3">
      <c r="J450" s="12"/>
    </row>
    <row r="451" spans="10:10" x14ac:dyDescent="0.3">
      <c r="J451" s="12"/>
    </row>
    <row r="452" spans="10:10" x14ac:dyDescent="0.3">
      <c r="J452" s="12"/>
    </row>
    <row r="453" spans="10:10" x14ac:dyDescent="0.3">
      <c r="J453" s="12"/>
    </row>
    <row r="454" spans="10:10" x14ac:dyDescent="0.3">
      <c r="J454" s="12"/>
    </row>
    <row r="455" spans="10:10" x14ac:dyDescent="0.3">
      <c r="J455" s="12"/>
    </row>
    <row r="456" spans="10:10" x14ac:dyDescent="0.3">
      <c r="J456" s="12"/>
    </row>
    <row r="457" spans="10:10" x14ac:dyDescent="0.3">
      <c r="J457" s="12"/>
    </row>
    <row r="458" spans="10:10" x14ac:dyDescent="0.3">
      <c r="J458" s="12"/>
    </row>
    <row r="459" spans="10:10" x14ac:dyDescent="0.3">
      <c r="J459" s="12"/>
    </row>
    <row r="460" spans="10:10" x14ac:dyDescent="0.3">
      <c r="J460" s="12"/>
    </row>
    <row r="461" spans="10:10" x14ac:dyDescent="0.3">
      <c r="J461" s="12"/>
    </row>
    <row r="462" spans="10:10" x14ac:dyDescent="0.3">
      <c r="J462" s="12"/>
    </row>
    <row r="463" spans="10:10" x14ac:dyDescent="0.3">
      <c r="J463" s="12"/>
    </row>
    <row r="464" spans="10:10" x14ac:dyDescent="0.3">
      <c r="J464" s="12"/>
    </row>
    <row r="465" spans="10:10" x14ac:dyDescent="0.3">
      <c r="J465" s="12"/>
    </row>
    <row r="466" spans="10:10" x14ac:dyDescent="0.3">
      <c r="J466" s="12"/>
    </row>
    <row r="467" spans="10:10" x14ac:dyDescent="0.3">
      <c r="J467" s="12"/>
    </row>
    <row r="468" spans="10:10" x14ac:dyDescent="0.3">
      <c r="J468" s="12"/>
    </row>
    <row r="469" spans="10:10" x14ac:dyDescent="0.3">
      <c r="J469" s="12"/>
    </row>
    <row r="470" spans="10:10" x14ac:dyDescent="0.3">
      <c r="J470" s="12"/>
    </row>
    <row r="471" spans="10:10" x14ac:dyDescent="0.3">
      <c r="J471" s="12"/>
    </row>
    <row r="472" spans="10:10" x14ac:dyDescent="0.3">
      <c r="J472" s="12"/>
    </row>
    <row r="473" spans="10:10" x14ac:dyDescent="0.3">
      <c r="J473" s="12"/>
    </row>
    <row r="474" spans="10:10" x14ac:dyDescent="0.3">
      <c r="J474" s="12"/>
    </row>
    <row r="475" spans="10:10" x14ac:dyDescent="0.3">
      <c r="J475" s="12"/>
    </row>
    <row r="476" spans="10:10" x14ac:dyDescent="0.3">
      <c r="J476" s="12"/>
    </row>
    <row r="477" spans="10:10" x14ac:dyDescent="0.3">
      <c r="J477" s="12"/>
    </row>
    <row r="478" spans="10:10" x14ac:dyDescent="0.3">
      <c r="J478" s="12"/>
    </row>
    <row r="479" spans="10:10" x14ac:dyDescent="0.3">
      <c r="J479" s="12"/>
    </row>
    <row r="480" spans="10:10" x14ac:dyDescent="0.3">
      <c r="J480" s="12"/>
    </row>
    <row r="481" spans="10:10" x14ac:dyDescent="0.3">
      <c r="J481" s="12"/>
    </row>
    <row r="482" spans="10:10" x14ac:dyDescent="0.3">
      <c r="J482" s="12"/>
    </row>
    <row r="483" spans="10:10" x14ac:dyDescent="0.3">
      <c r="J483" s="12"/>
    </row>
    <row r="484" spans="10:10" x14ac:dyDescent="0.3">
      <c r="J484" s="12"/>
    </row>
    <row r="485" spans="10:10" x14ac:dyDescent="0.3">
      <c r="J485" s="12"/>
    </row>
    <row r="486" spans="10:10" x14ac:dyDescent="0.3">
      <c r="J486" s="12"/>
    </row>
    <row r="487" spans="10:10" x14ac:dyDescent="0.3">
      <c r="J487" s="12"/>
    </row>
    <row r="488" spans="10:10" x14ac:dyDescent="0.3">
      <c r="J488" s="12"/>
    </row>
    <row r="489" spans="10:10" x14ac:dyDescent="0.3">
      <c r="J489" s="12"/>
    </row>
    <row r="490" spans="10:10" x14ac:dyDescent="0.3">
      <c r="J490" s="12"/>
    </row>
    <row r="491" spans="10:10" x14ac:dyDescent="0.3">
      <c r="J491" s="12"/>
    </row>
    <row r="492" spans="10:10" x14ac:dyDescent="0.3">
      <c r="J492" s="12"/>
    </row>
    <row r="493" spans="10:10" x14ac:dyDescent="0.3">
      <c r="J493" s="12"/>
    </row>
    <row r="494" spans="10:10" x14ac:dyDescent="0.3">
      <c r="J494" s="12"/>
    </row>
    <row r="495" spans="10:10" x14ac:dyDescent="0.3">
      <c r="J495" s="12"/>
    </row>
    <row r="496" spans="10:10" x14ac:dyDescent="0.3">
      <c r="J496" s="12"/>
    </row>
    <row r="497" spans="10:10" x14ac:dyDescent="0.3">
      <c r="J497" s="12"/>
    </row>
    <row r="498" spans="10:10" x14ac:dyDescent="0.3">
      <c r="J498" s="12"/>
    </row>
    <row r="499" spans="10:10" x14ac:dyDescent="0.3">
      <c r="J499" s="12"/>
    </row>
    <row r="500" spans="10:10" x14ac:dyDescent="0.3">
      <c r="J500" s="12"/>
    </row>
    <row r="501" spans="10:10" x14ac:dyDescent="0.3">
      <c r="J501" s="12"/>
    </row>
    <row r="502" spans="10:10" x14ac:dyDescent="0.3">
      <c r="J502" s="12"/>
    </row>
    <row r="503" spans="10:10" x14ac:dyDescent="0.3">
      <c r="J503" s="12"/>
    </row>
    <row r="504" spans="10:10" x14ac:dyDescent="0.3">
      <c r="J504" s="12"/>
    </row>
    <row r="505" spans="10:10" x14ac:dyDescent="0.3">
      <c r="J505" s="12"/>
    </row>
    <row r="506" spans="10:10" x14ac:dyDescent="0.3">
      <c r="J506" s="12"/>
    </row>
    <row r="507" spans="10:10" x14ac:dyDescent="0.3">
      <c r="J507" s="12"/>
    </row>
    <row r="508" spans="10:10" x14ac:dyDescent="0.3">
      <c r="J508" s="12"/>
    </row>
    <row r="509" spans="10:10" x14ac:dyDescent="0.3">
      <c r="J509" s="12"/>
    </row>
    <row r="510" spans="10:10" x14ac:dyDescent="0.3">
      <c r="J510" s="12"/>
    </row>
    <row r="511" spans="10:10" x14ac:dyDescent="0.3">
      <c r="J511" s="12"/>
    </row>
    <row r="512" spans="10:10" x14ac:dyDescent="0.3">
      <c r="J512" s="12"/>
    </row>
    <row r="513" spans="10:10" x14ac:dyDescent="0.3">
      <c r="J513" s="12"/>
    </row>
    <row r="514" spans="10:10" x14ac:dyDescent="0.3">
      <c r="J514" s="12"/>
    </row>
    <row r="515" spans="10:10" x14ac:dyDescent="0.3">
      <c r="J515" s="12"/>
    </row>
    <row r="516" spans="10:10" x14ac:dyDescent="0.3">
      <c r="J516" s="12"/>
    </row>
    <row r="517" spans="10:10" x14ac:dyDescent="0.3">
      <c r="J517" s="12"/>
    </row>
    <row r="518" spans="10:10" x14ac:dyDescent="0.3">
      <c r="J518" s="12"/>
    </row>
    <row r="519" spans="10:10" x14ac:dyDescent="0.3">
      <c r="J519" s="12"/>
    </row>
    <row r="520" spans="10:10" x14ac:dyDescent="0.3">
      <c r="J520" s="12"/>
    </row>
    <row r="521" spans="10:10" x14ac:dyDescent="0.3">
      <c r="J521" s="12"/>
    </row>
    <row r="522" spans="10:10" x14ac:dyDescent="0.3">
      <c r="J522" s="12"/>
    </row>
    <row r="523" spans="10:10" x14ac:dyDescent="0.3">
      <c r="J523" s="12"/>
    </row>
    <row r="524" spans="10:10" x14ac:dyDescent="0.3">
      <c r="J524" s="12"/>
    </row>
    <row r="525" spans="10:10" x14ac:dyDescent="0.3">
      <c r="J525" s="12"/>
    </row>
    <row r="526" spans="10:10" x14ac:dyDescent="0.3">
      <c r="J526" s="12"/>
    </row>
    <row r="527" spans="10:10" x14ac:dyDescent="0.3">
      <c r="J527" s="12"/>
    </row>
    <row r="528" spans="10:10" x14ac:dyDescent="0.3">
      <c r="J528" s="12"/>
    </row>
    <row r="529" spans="10:10" x14ac:dyDescent="0.3">
      <c r="J529" s="12"/>
    </row>
    <row r="530" spans="10:10" x14ac:dyDescent="0.3">
      <c r="J530" s="12"/>
    </row>
    <row r="531" spans="10:10" x14ac:dyDescent="0.3">
      <c r="J531" s="12"/>
    </row>
    <row r="532" spans="10:10" x14ac:dyDescent="0.3">
      <c r="J532" s="12"/>
    </row>
    <row r="533" spans="10:10" x14ac:dyDescent="0.3">
      <c r="J533" s="12"/>
    </row>
    <row r="534" spans="10:10" x14ac:dyDescent="0.3">
      <c r="J534" s="12"/>
    </row>
    <row r="535" spans="10:10" x14ac:dyDescent="0.3">
      <c r="J535" s="12"/>
    </row>
    <row r="536" spans="10:10" x14ac:dyDescent="0.3">
      <c r="J536" s="12"/>
    </row>
    <row r="537" spans="10:10" x14ac:dyDescent="0.3">
      <c r="J537" s="12"/>
    </row>
    <row r="538" spans="10:10" x14ac:dyDescent="0.3">
      <c r="J538" s="12"/>
    </row>
    <row r="539" spans="10:10" x14ac:dyDescent="0.3">
      <c r="J539" s="12"/>
    </row>
    <row r="540" spans="10:10" x14ac:dyDescent="0.3">
      <c r="J540" s="12"/>
    </row>
    <row r="541" spans="10:10" x14ac:dyDescent="0.3">
      <c r="J541" s="12"/>
    </row>
    <row r="542" spans="10:10" x14ac:dyDescent="0.3">
      <c r="J542" s="12"/>
    </row>
    <row r="543" spans="10:10" x14ac:dyDescent="0.3">
      <c r="J543" s="12"/>
    </row>
    <row r="544" spans="10:10" x14ac:dyDescent="0.3">
      <c r="J544" s="12"/>
    </row>
    <row r="545" spans="10:10" x14ac:dyDescent="0.3">
      <c r="J545" s="12"/>
    </row>
    <row r="546" spans="10:10" x14ac:dyDescent="0.3">
      <c r="J546" s="12"/>
    </row>
    <row r="547" spans="10:10" x14ac:dyDescent="0.3">
      <c r="J547" s="12"/>
    </row>
    <row r="548" spans="10:10" x14ac:dyDescent="0.3">
      <c r="J548" s="12"/>
    </row>
    <row r="549" spans="10:10" x14ac:dyDescent="0.3">
      <c r="J549" s="12"/>
    </row>
    <row r="550" spans="10:10" x14ac:dyDescent="0.3">
      <c r="J550" s="12"/>
    </row>
    <row r="551" spans="10:10" x14ac:dyDescent="0.3">
      <c r="J551" s="12"/>
    </row>
    <row r="552" spans="10:10" x14ac:dyDescent="0.3">
      <c r="J552" s="12"/>
    </row>
    <row r="553" spans="10:10" x14ac:dyDescent="0.3">
      <c r="J553" s="12"/>
    </row>
    <row r="554" spans="10:10" x14ac:dyDescent="0.3">
      <c r="J554" s="12"/>
    </row>
    <row r="555" spans="10:10" x14ac:dyDescent="0.3">
      <c r="J555" s="12"/>
    </row>
    <row r="556" spans="10:10" x14ac:dyDescent="0.3">
      <c r="J556" s="12"/>
    </row>
    <row r="557" spans="10:10" x14ac:dyDescent="0.3">
      <c r="J557" s="12"/>
    </row>
    <row r="558" spans="10:10" x14ac:dyDescent="0.3">
      <c r="J558" s="12"/>
    </row>
    <row r="559" spans="10:10" x14ac:dyDescent="0.3">
      <c r="J559" s="12"/>
    </row>
    <row r="560" spans="10:10" x14ac:dyDescent="0.3">
      <c r="J560" s="12"/>
    </row>
    <row r="561" spans="10:10" x14ac:dyDescent="0.3">
      <c r="J561" s="12"/>
    </row>
    <row r="562" spans="10:10" x14ac:dyDescent="0.3">
      <c r="J562" s="12"/>
    </row>
    <row r="563" spans="10:10" x14ac:dyDescent="0.3">
      <c r="J563" s="12"/>
    </row>
    <row r="564" spans="10:10" x14ac:dyDescent="0.3">
      <c r="J564" s="12"/>
    </row>
    <row r="565" spans="10:10" x14ac:dyDescent="0.3">
      <c r="J565" s="12"/>
    </row>
    <row r="566" spans="10:10" x14ac:dyDescent="0.3">
      <c r="J566" s="12"/>
    </row>
    <row r="567" spans="10:10" x14ac:dyDescent="0.3">
      <c r="J567" s="12"/>
    </row>
    <row r="568" spans="10:10" x14ac:dyDescent="0.3">
      <c r="J568" s="12"/>
    </row>
    <row r="569" spans="10:10" x14ac:dyDescent="0.3">
      <c r="J569" s="12"/>
    </row>
    <row r="570" spans="10:10" x14ac:dyDescent="0.3">
      <c r="J570" s="12"/>
    </row>
    <row r="571" spans="10:10" x14ac:dyDescent="0.3">
      <c r="J571" s="12"/>
    </row>
    <row r="572" spans="10:10" x14ac:dyDescent="0.3">
      <c r="J572" s="12"/>
    </row>
    <row r="573" spans="10:10" x14ac:dyDescent="0.3">
      <c r="J573" s="12"/>
    </row>
    <row r="574" spans="10:10" x14ac:dyDescent="0.3">
      <c r="J574" s="12"/>
    </row>
    <row r="575" spans="10:10" x14ac:dyDescent="0.3">
      <c r="J575" s="12"/>
    </row>
    <row r="576" spans="10:10" x14ac:dyDescent="0.3">
      <c r="J576" s="12"/>
    </row>
    <row r="577" spans="10:10" x14ac:dyDescent="0.3">
      <c r="J577" s="12"/>
    </row>
    <row r="578" spans="10:10" x14ac:dyDescent="0.3">
      <c r="J578" s="12"/>
    </row>
    <row r="579" spans="10:10" x14ac:dyDescent="0.3">
      <c r="J579" s="12"/>
    </row>
    <row r="580" spans="10:10" x14ac:dyDescent="0.3">
      <c r="J580" s="12"/>
    </row>
    <row r="581" spans="10:10" x14ac:dyDescent="0.3">
      <c r="J581" s="12"/>
    </row>
    <row r="582" spans="10:10" x14ac:dyDescent="0.3">
      <c r="J582" s="12"/>
    </row>
    <row r="583" spans="10:10" x14ac:dyDescent="0.3">
      <c r="J583" s="12"/>
    </row>
    <row r="584" spans="10:10" x14ac:dyDescent="0.3">
      <c r="J584" s="12"/>
    </row>
    <row r="585" spans="10:10" x14ac:dyDescent="0.3">
      <c r="J585" s="12"/>
    </row>
    <row r="586" spans="10:10" x14ac:dyDescent="0.3">
      <c r="J586" s="12"/>
    </row>
    <row r="587" spans="10:10" x14ac:dyDescent="0.3">
      <c r="J587" s="12"/>
    </row>
    <row r="588" spans="10:10" x14ac:dyDescent="0.3">
      <c r="J588" s="12"/>
    </row>
    <row r="589" spans="10:10" x14ac:dyDescent="0.3">
      <c r="J589" s="12"/>
    </row>
    <row r="590" spans="10:10" x14ac:dyDescent="0.3">
      <c r="J590" s="12"/>
    </row>
    <row r="591" spans="10:10" x14ac:dyDescent="0.3">
      <c r="J591" s="12"/>
    </row>
    <row r="592" spans="10:10" x14ac:dyDescent="0.3">
      <c r="J592" s="12"/>
    </row>
    <row r="593" spans="10:10" x14ac:dyDescent="0.3">
      <c r="J593" s="12"/>
    </row>
    <row r="594" spans="10:10" x14ac:dyDescent="0.3">
      <c r="J594" s="12"/>
    </row>
    <row r="595" spans="10:10" x14ac:dyDescent="0.3">
      <c r="J595" s="12"/>
    </row>
    <row r="596" spans="10:10" x14ac:dyDescent="0.3">
      <c r="J596" s="12"/>
    </row>
    <row r="597" spans="10:10" x14ac:dyDescent="0.3">
      <c r="J597" s="12"/>
    </row>
    <row r="598" spans="10:10" x14ac:dyDescent="0.3">
      <c r="J598" s="12"/>
    </row>
    <row r="599" spans="10:10" x14ac:dyDescent="0.3">
      <c r="J599" s="12"/>
    </row>
    <row r="600" spans="10:10" x14ac:dyDescent="0.3">
      <c r="J600" s="12"/>
    </row>
    <row r="601" spans="10:10" x14ac:dyDescent="0.3">
      <c r="J601" s="12"/>
    </row>
    <row r="602" spans="10:10" x14ac:dyDescent="0.3">
      <c r="J602" s="12"/>
    </row>
    <row r="603" spans="10:10" x14ac:dyDescent="0.3">
      <c r="J603" s="12"/>
    </row>
    <row r="604" spans="10:10" x14ac:dyDescent="0.3">
      <c r="J604" s="12"/>
    </row>
    <row r="605" spans="10:10" x14ac:dyDescent="0.3">
      <c r="J605" s="12"/>
    </row>
    <row r="606" spans="10:10" x14ac:dyDescent="0.3">
      <c r="J606" s="12"/>
    </row>
    <row r="607" spans="10:10" x14ac:dyDescent="0.3">
      <c r="J607" s="12"/>
    </row>
    <row r="608" spans="10:10" x14ac:dyDescent="0.3">
      <c r="J608" s="12"/>
    </row>
    <row r="609" spans="10:10" x14ac:dyDescent="0.3">
      <c r="J609" s="12"/>
    </row>
    <row r="610" spans="10:10" x14ac:dyDescent="0.3">
      <c r="J610" s="12"/>
    </row>
    <row r="611" spans="10:10" x14ac:dyDescent="0.3">
      <c r="J611" s="12"/>
    </row>
    <row r="612" spans="10:10" x14ac:dyDescent="0.3">
      <c r="J612" s="12"/>
    </row>
    <row r="613" spans="10:10" x14ac:dyDescent="0.3">
      <c r="J613" s="12"/>
    </row>
    <row r="614" spans="10:10" x14ac:dyDescent="0.3">
      <c r="J614" s="12"/>
    </row>
    <row r="615" spans="10:10" x14ac:dyDescent="0.3">
      <c r="J615" s="12"/>
    </row>
    <row r="616" spans="10:10" x14ac:dyDescent="0.3">
      <c r="J616" s="12"/>
    </row>
  </sheetData>
  <pageMargins left="0.7" right="0.7" top="0.75" bottom="0.75" header="0.3" footer="0.3"/>
  <pageSetup paperSize="9" orientation="portrait" r:id="rId1"/>
  <ignoredErrors>
    <ignoredError sqref="M2 Q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P513"/>
  <sheetViews>
    <sheetView zoomScale="80" zoomScaleNormal="80" workbookViewId="0"/>
  </sheetViews>
  <sheetFormatPr defaultColWidth="8.59765625" defaultRowHeight="13.2" x14ac:dyDescent="0.25"/>
  <cols>
    <col min="1" max="1" width="25.59765625" style="1" customWidth="1"/>
    <col min="2" max="2" width="30.59765625" style="1" customWidth="1"/>
    <col min="3" max="3" width="52.09765625" style="1" customWidth="1"/>
    <col min="4" max="4" width="47.59765625" style="1" customWidth="1"/>
    <col min="5" max="5" width="19.59765625" style="1" customWidth="1"/>
    <col min="6" max="6" width="31.59765625" style="1" customWidth="1"/>
    <col min="7" max="7" width="31.09765625" style="1" customWidth="1"/>
    <col min="8" max="8" width="21.796875" style="1" customWidth="1"/>
    <col min="9" max="9" width="22.09765625" style="1" customWidth="1"/>
    <col min="10" max="10" width="26.09765625" style="1" customWidth="1"/>
    <col min="11" max="11" width="30.59765625" style="1" customWidth="1"/>
    <col min="12" max="12" width="29" style="1" bestFit="1" customWidth="1"/>
    <col min="13" max="13" width="28.09765625" style="1" bestFit="1" customWidth="1"/>
    <col min="14" max="14" width="20.09765625" style="1" bestFit="1" customWidth="1"/>
    <col min="15" max="15" width="15.09765625" style="1" customWidth="1"/>
    <col min="16" max="16" width="14.5" style="1" bestFit="1" customWidth="1"/>
    <col min="17" max="16384" width="8.59765625" style="1"/>
  </cols>
  <sheetData>
    <row r="2" spans="2:16" x14ac:dyDescent="0.25">
      <c r="B2" s="2" t="s">
        <v>782</v>
      </c>
    </row>
    <row r="3" spans="2:16" x14ac:dyDescent="0.25">
      <c r="B3" s="14" t="s">
        <v>783</v>
      </c>
      <c r="C3" s="14" t="s">
        <v>784</v>
      </c>
      <c r="D3" s="14" t="s">
        <v>785</v>
      </c>
      <c r="E3" s="14" t="s">
        <v>310</v>
      </c>
      <c r="F3" s="14" t="s">
        <v>786</v>
      </c>
      <c r="G3" s="14" t="s">
        <v>318</v>
      </c>
      <c r="H3" s="14" t="s">
        <v>787</v>
      </c>
      <c r="I3" s="14" t="s">
        <v>788</v>
      </c>
      <c r="J3" s="14"/>
      <c r="K3" s="14" t="s">
        <v>789</v>
      </c>
      <c r="L3" s="14"/>
      <c r="M3" s="14" t="s">
        <v>790</v>
      </c>
      <c r="N3" s="14" t="s">
        <v>791</v>
      </c>
      <c r="O3" s="14" t="s">
        <v>792</v>
      </c>
      <c r="P3" s="14" t="s">
        <v>793</v>
      </c>
    </row>
    <row r="4" spans="2:16" hidden="1" x14ac:dyDescent="0.25">
      <c r="B4" s="14" t="s">
        <v>794</v>
      </c>
      <c r="C4" s="16" t="s">
        <v>795</v>
      </c>
      <c r="D4" s="15" t="s">
        <v>796</v>
      </c>
      <c r="E4" s="14" t="s">
        <v>312</v>
      </c>
      <c r="F4" s="14" t="str">
        <f t="array" ref="F4">IFERROR(INDEX($C$4:$C$24, MATCH(0, COUNTIF($F$3:F3, $C$4:$C$24&amp;"") + IF($C$4:$C$24="",1,0), 0)), "")</f>
        <v>--Select--</v>
      </c>
      <c r="G4" s="14" t="s">
        <v>321</v>
      </c>
      <c r="H4" s="14" t="str">
        <f t="array" ref="H4">IFERROR(INDEX($B$4:$B$24, MATCH(0, COUNTIF($H$3:H3, $B$4:$B$24&amp;"") + IF($B$4:$B$24="",1,0), 0)), "")</f>
        <v>[Impact Outcome Reference (Name)]</v>
      </c>
      <c r="I4" s="14" t="str">
        <f t="array" ref="I4">IFERROR(IF(INDEX($C$4:$C$24,MATCH(LEFT(H4,255),LEFT($B$4:$B$24,255),0))=0,"",INDEX($C$4:$C$24,MATCH(LEFT(H4,255),LEFT($B$4:$B$24,255),0))),"")</f>
        <v>--Select--</v>
      </c>
      <c r="J4" s="14"/>
      <c r="K4" s="15" t="s">
        <v>797</v>
      </c>
      <c r="L4" s="14"/>
      <c r="M4" s="14" t="s">
        <v>798</v>
      </c>
      <c r="N4" s="14" t="s">
        <v>799</v>
      </c>
      <c r="O4" s="14" t="s">
        <v>800</v>
      </c>
      <c r="P4" s="20" t="s">
        <v>801</v>
      </c>
    </row>
    <row r="5" spans="2:16" x14ac:dyDescent="0.25">
      <c r="B5" s="14" t="s">
        <v>802</v>
      </c>
      <c r="C5" s="16" t="s">
        <v>803</v>
      </c>
      <c r="D5" s="15" t="s">
        <v>804</v>
      </c>
      <c r="E5" s="14" t="s">
        <v>313</v>
      </c>
      <c r="F5" s="14" t="str">
        <f t="array" ref="F5">IFERROR(INDEX($C$4:$C$24, MATCH(0, COUNTIF($F$3:F4, $C$4:$C$24&amp;"") + IF($C$4:$C$24="",1,0), 0)), "")</f>
        <v>HIV I-13 Percentage of people living with HIV</v>
      </c>
      <c r="G5" s="14" t="s">
        <v>805</v>
      </c>
      <c r="H5" s="14" t="str">
        <f t="array" ref="H5">IFERROR(INDEX($B$4:$B$24, MATCH(0, COUNTIF($H$3:H4, $B$4:$B$24&amp;"") + IF($B$4:$B$24="",1,0), 0)), "")</f>
        <v>IOR-00143</v>
      </c>
      <c r="I5" s="14" t="str">
        <f t="array" ref="I5">IFERROR(IF(INDEX($C$4:$C$24,MATCH(LEFT(H5,255),LEFT($B$4:$B$24,255),0))=0,"",INDEX($C$4:$C$24,MATCH(LEFT(H5,255),LEFT($B$4:$B$24,255),0))),"")</f>
        <v>HIV I-13 Percentage of people living with HIV</v>
      </c>
      <c r="J5" s="14"/>
      <c r="K5" s="15" t="s">
        <v>806</v>
      </c>
      <c r="L5" s="14"/>
      <c r="M5" s="14" t="s">
        <v>807</v>
      </c>
      <c r="N5" s="14" t="s">
        <v>643</v>
      </c>
      <c r="O5" s="14" t="b">
        <v>0</v>
      </c>
      <c r="P5" s="20">
        <v>10010</v>
      </c>
    </row>
    <row r="6" spans="2:16" x14ac:dyDescent="0.25">
      <c r="B6" s="14" t="s">
        <v>808</v>
      </c>
      <c r="C6" s="16" t="s">
        <v>809</v>
      </c>
      <c r="D6" s="15" t="s">
        <v>804</v>
      </c>
      <c r="E6" s="14" t="s">
        <v>313</v>
      </c>
      <c r="F6" s="14" t="str">
        <f t="array" ref="F6">IFERROR(INDEX($C$4:$C$24, MATCH(0, COUNTIF($F$3:F5, $C$4:$C$24&amp;"") + IF($C$4:$C$24="",1,0), 0)), "")</f>
        <v>HIV I-14 Number of new HIV infections per 1000 uninfected population</v>
      </c>
      <c r="G6" s="14" t="s">
        <v>810</v>
      </c>
      <c r="H6" s="14" t="str">
        <f t="array" ref="H6">IFERROR(INDEX($B$4:$B$24, MATCH(0, COUNTIF($H$3:H5, $B$4:$B$24&amp;"") + IF($B$4:$B$24="",1,0), 0)), "")</f>
        <v>IOR-00144</v>
      </c>
      <c r="I6" s="14" t="str">
        <f t="array" ref="I6">IFERROR(IF(INDEX($C$4:$C$24,MATCH(LEFT(H6,255),LEFT($B$4:$B$24,255),0))=0,"",INDEX($C$4:$C$24,MATCH(LEFT(H6,255),LEFT($B$4:$B$24,255),0))),"")</f>
        <v>HIV I-14 Number of new HIV infections per 1000 uninfected population</v>
      </c>
      <c r="J6" s="14"/>
      <c r="K6" s="15" t="s">
        <v>811</v>
      </c>
      <c r="L6" s="14"/>
      <c r="M6" s="14" t="s">
        <v>807</v>
      </c>
      <c r="N6" s="14" t="s">
        <v>643</v>
      </c>
      <c r="O6" s="14" t="b">
        <v>1</v>
      </c>
      <c r="P6" s="20">
        <v>10020</v>
      </c>
    </row>
    <row r="7" spans="2:16" x14ac:dyDescent="0.25">
      <c r="B7" s="14" t="s">
        <v>812</v>
      </c>
      <c r="C7" s="16" t="s">
        <v>750</v>
      </c>
      <c r="D7" s="15" t="s">
        <v>813</v>
      </c>
      <c r="E7" s="14" t="s">
        <v>313</v>
      </c>
      <c r="F7" s="14" t="str">
        <f t="array" ref="F7">IFERROR(INDEX($C$4:$C$24, MATCH(0, COUNTIF($F$3:F6, $C$4:$C$24&amp;"") + IF($C$4:$C$24="",1,0), 0)), "")</f>
        <v>HIV I-4 Number of AIDS-related deaths per 100,000 population</v>
      </c>
      <c r="G7" s="14" t="s">
        <v>814</v>
      </c>
      <c r="H7" s="14" t="str">
        <f t="array" ref="H7">IFERROR(INDEX($B$4:$B$24, MATCH(0, COUNTIF($H$3:H6, $B$4:$B$24&amp;"") + IF($B$4:$B$24="",1,0), 0)), "")</f>
        <v>IOR-00145</v>
      </c>
      <c r="I7" s="14" t="str">
        <f t="array" ref="I7">IFERROR(IF(INDEX($C$4:$C$24,MATCH(LEFT(H7,255),LEFT($B$4:$B$24,255),0))=0,"",INDEX($C$4:$C$24,MATCH(LEFT(H7,255),LEFT($B$4:$B$24,255),0))),"")</f>
        <v>HIV I-4 Number of AIDS-related deaths per 100,000 population</v>
      </c>
      <c r="J7" s="14"/>
      <c r="K7" s="15" t="s">
        <v>815</v>
      </c>
      <c r="L7" s="14"/>
      <c r="M7" s="14" t="s">
        <v>807</v>
      </c>
      <c r="N7" s="14" t="s">
        <v>643</v>
      </c>
      <c r="O7" s="14" t="b">
        <v>1</v>
      </c>
      <c r="P7" s="20">
        <v>10030</v>
      </c>
    </row>
    <row r="8" spans="2:16" x14ac:dyDescent="0.25">
      <c r="B8" s="14" t="s">
        <v>816</v>
      </c>
      <c r="C8" s="16" t="s">
        <v>817</v>
      </c>
      <c r="D8" s="15"/>
      <c r="E8" s="14" t="s">
        <v>313</v>
      </c>
      <c r="F8" s="14" t="str">
        <f t="array" ref="F8">IFERROR(INDEX($C$4:$C$24, MATCH(0, COUNTIF($F$3:F7, $C$4:$C$24&amp;"") + IF($C$4:$C$24="",1,0), 0)), "")</f>
        <v>HIV I-6 Estimated percentage of children newly infected with HIV from mother-to-child transmission among women living with HIV delivering in the past 12 months</v>
      </c>
      <c r="G8" s="14" t="s">
        <v>818</v>
      </c>
      <c r="H8" s="14" t="str">
        <f t="array" ref="H8">IFERROR(INDEX($B$4:$B$24, MATCH(0, COUNTIF($H$3:H7, $B$4:$B$24&amp;"") + IF($B$4:$B$24="",1,0), 0)), "")</f>
        <v>IOR-00146</v>
      </c>
      <c r="I8" s="14" t="str">
        <f t="array" ref="I8">IFERROR(IF(INDEX($C$4:$C$24,MATCH(LEFT(H8,255),LEFT($B$4:$B$24,255),0))=0,"",INDEX($C$4:$C$24,MATCH(LEFT(H8,255),LEFT($B$4:$B$24,255),0))),"")</f>
        <v>HIV I-6 Estimated percentage of children newly infected with HIV from mother-to-child transmission among women living with HIV delivering in the past 12 months</v>
      </c>
      <c r="J8" s="14"/>
      <c r="K8" s="15" t="s">
        <v>819</v>
      </c>
      <c r="L8" s="14"/>
      <c r="M8" s="14" t="s">
        <v>807</v>
      </c>
      <c r="N8" s="14" t="s">
        <v>643</v>
      </c>
      <c r="O8" s="14" t="b">
        <v>0</v>
      </c>
      <c r="P8" s="20">
        <v>10040</v>
      </c>
    </row>
    <row r="9" spans="2:16" x14ac:dyDescent="0.25">
      <c r="B9" s="14" t="s">
        <v>820</v>
      </c>
      <c r="C9" s="16" t="s">
        <v>755</v>
      </c>
      <c r="D9" s="15" t="s">
        <v>821</v>
      </c>
      <c r="E9" s="14" t="s">
        <v>313</v>
      </c>
      <c r="F9" s="14" t="str">
        <f t="array" ref="F9">IFERROR(INDEX($C$4:$C$24, MATCH(0, COUNTIF($F$3:F8, $C$4:$C$24&amp;"") + IF($C$4:$C$24="",1,0), 0)), "")</f>
        <v>HIV I-9a⁽ᴹ⁾ Percentage of men who have sex with men who are living with HIV</v>
      </c>
      <c r="G9" s="14" t="s">
        <v>822</v>
      </c>
      <c r="H9" s="14" t="str">
        <f t="array" ref="H9">IFERROR(INDEX($B$4:$B$24, MATCH(0, COUNTIF($H$3:H8, $B$4:$B$24&amp;"") + IF($B$4:$B$24="",1,0), 0)), "")</f>
        <v>IOR-00147</v>
      </c>
      <c r="I9" s="14" t="str">
        <f t="array" ref="I9">IFERROR(IF(INDEX($C$4:$C$24,MATCH(LEFT(H9,255),LEFT($B$4:$B$24,255),0))=0,"",INDEX($C$4:$C$24,MATCH(LEFT(H9,255),LEFT($B$4:$B$24,255),0))),"")</f>
        <v>HIV I-9a⁽ᴹ⁾ Percentage of men who have sex with men who are living with HIV</v>
      </c>
      <c r="J9" s="14"/>
      <c r="K9" s="15" t="s">
        <v>823</v>
      </c>
      <c r="L9" s="14"/>
      <c r="M9" s="14" t="s">
        <v>807</v>
      </c>
      <c r="N9" s="14" t="s">
        <v>643</v>
      </c>
      <c r="O9" s="14" t="b">
        <v>0</v>
      </c>
      <c r="P9" s="20">
        <v>10050</v>
      </c>
    </row>
    <row r="10" spans="2:16" x14ac:dyDescent="0.25">
      <c r="B10" s="14" t="s">
        <v>824</v>
      </c>
      <c r="C10" s="16" t="s">
        <v>761</v>
      </c>
      <c r="D10" s="15" t="s">
        <v>821</v>
      </c>
      <c r="E10" s="14" t="s">
        <v>313</v>
      </c>
      <c r="F10" s="14" t="str">
        <f t="array" ref="F10">IFERROR(INDEX($C$4:$C$24, MATCH(0, COUNTIF($F$3:F9, $C$4:$C$24&amp;"") + IF($C$4:$C$24="",1,0), 0)), "")</f>
        <v>HIV I-9b⁽ᴹ⁾ Percentage of transgender people who are living with HIV</v>
      </c>
      <c r="G10" s="14" t="s">
        <v>825</v>
      </c>
      <c r="H10" s="14" t="str">
        <f t="array" ref="H10">IFERROR(INDEX($B$4:$B$24, MATCH(0, COUNTIF($H$3:H9, $B$4:$B$24&amp;"") + IF($B$4:$B$24="",1,0), 0)), "")</f>
        <v>IOR-00148</v>
      </c>
      <c r="I10" s="14" t="str">
        <f t="array" ref="I10">IFERROR(IF(INDEX($C$4:$C$24,MATCH(LEFT(H10,255),LEFT($B$4:$B$24,255),0))=0,"",INDEX($C$4:$C$24,MATCH(LEFT(H10,255),LEFT($B$4:$B$24,255),0))),"")</f>
        <v>HIV I-9b⁽ᴹ⁾ Percentage of transgender people who are living with HIV</v>
      </c>
      <c r="J10" s="14"/>
      <c r="K10" s="15" t="s">
        <v>826</v>
      </c>
      <c r="L10" s="14"/>
      <c r="M10" s="14" t="s">
        <v>807</v>
      </c>
      <c r="N10" s="14" t="s">
        <v>643</v>
      </c>
      <c r="O10" s="14" t="b">
        <v>0</v>
      </c>
      <c r="P10" s="20">
        <v>10060</v>
      </c>
    </row>
    <row r="11" spans="2:16" x14ac:dyDescent="0.25">
      <c r="B11" s="14" t="s">
        <v>827</v>
      </c>
      <c r="C11" s="16" t="s">
        <v>758</v>
      </c>
      <c r="D11" s="15" t="s">
        <v>828</v>
      </c>
      <c r="E11" s="14" t="s">
        <v>313</v>
      </c>
      <c r="F11" s="14" t="str">
        <f t="array" ref="F11">IFERROR(INDEX($C$4:$C$24, MATCH(0, COUNTIF($F$3:F10, $C$4:$C$24&amp;"") + IF($C$4:$C$24="",1,0), 0)), "")</f>
        <v>HIV I-10⁽ᴹ⁾ Percentage of sex workers who are living with HIV</v>
      </c>
      <c r="G11" s="14" t="s">
        <v>829</v>
      </c>
      <c r="H11" s="14" t="str">
        <f t="array" ref="H11">IFERROR(INDEX($B$4:$B$24, MATCH(0, COUNTIF($H$3:H10, $B$4:$B$24&amp;"") + IF($B$4:$B$24="",1,0), 0)), "")</f>
        <v>IOR-00149</v>
      </c>
      <c r="I11" s="14" t="str">
        <f t="array" ref="I11">IFERROR(IF(INDEX($C$4:$C$24,MATCH(LEFT(H11,255),LEFT($B$4:$B$24,255),0))=0,"",INDEX($C$4:$C$24,MATCH(LEFT(H11,255),LEFT($B$4:$B$24,255),0))),"")</f>
        <v>HIV I-10⁽ᴹ⁾ Percentage of sex workers who are living with HIV</v>
      </c>
      <c r="J11" s="14"/>
      <c r="K11" s="15" t="s">
        <v>830</v>
      </c>
      <c r="L11" s="14"/>
      <c r="M11" s="14" t="s">
        <v>807</v>
      </c>
      <c r="N11" s="14" t="s">
        <v>643</v>
      </c>
      <c r="O11" s="14" t="b">
        <v>0</v>
      </c>
      <c r="P11" s="20">
        <v>10070</v>
      </c>
    </row>
    <row r="12" spans="2:16" x14ac:dyDescent="0.25">
      <c r="B12" s="14" t="s">
        <v>831</v>
      </c>
      <c r="C12" s="16" t="s">
        <v>763</v>
      </c>
      <c r="D12" s="15" t="s">
        <v>828</v>
      </c>
      <c r="E12" s="14" t="s">
        <v>313</v>
      </c>
      <c r="F12" s="14" t="str">
        <f t="array" ref="F12">IFERROR(INDEX($C$4:$C$24, MATCH(0, COUNTIF($F$3:F11, $C$4:$C$24&amp;"") + IF($C$4:$C$24="",1,0), 0)), "")</f>
        <v>HIV I-11⁽ᴹ⁾ Percentage of people who inject drugs who are living with HIV</v>
      </c>
      <c r="G12" s="14" t="s">
        <v>832</v>
      </c>
      <c r="H12" s="14" t="str">
        <f t="array" ref="H12">IFERROR(INDEX($B$4:$B$24, MATCH(0, COUNTIF($H$3:H11, $B$4:$B$24&amp;"") + IF($B$4:$B$24="",1,0), 0)), "")</f>
        <v>IOR-00150</v>
      </c>
      <c r="I12" s="14" t="str">
        <f t="array" ref="I12">IFERROR(IF(INDEX($C$4:$C$24,MATCH(LEFT(H12,255),LEFT($B$4:$B$24,255),0))=0,"",INDEX($C$4:$C$24,MATCH(LEFT(H12,255),LEFT($B$4:$B$24,255),0))),"")</f>
        <v>HIV I-11⁽ᴹ⁾ Percentage of people who inject drugs who are living with HIV</v>
      </c>
      <c r="J12" s="14"/>
      <c r="K12" s="15" t="s">
        <v>833</v>
      </c>
      <c r="L12" s="14"/>
      <c r="M12" s="14" t="s">
        <v>807</v>
      </c>
      <c r="N12" s="14" t="s">
        <v>643</v>
      </c>
      <c r="O12" s="14" t="b">
        <v>0</v>
      </c>
      <c r="P12" s="20">
        <v>10080</v>
      </c>
    </row>
    <row r="13" spans="2:16" x14ac:dyDescent="0.25">
      <c r="B13" s="14" t="s">
        <v>834</v>
      </c>
      <c r="C13" s="16" t="s">
        <v>835</v>
      </c>
      <c r="D13" s="15"/>
      <c r="E13" s="14" t="s">
        <v>313</v>
      </c>
      <c r="F13" s="14" t="str">
        <f t="array" ref="F13">IFERROR(INDEX($C$4:$C$24, MATCH(0, COUNTIF($F$3:F12, $C$4:$C$24&amp;"") + IF($C$4:$C$24="",1,0), 0)), "")</f>
        <v>HIV I-12 Percentage of other vulnerable populations (specify) who are living with HIV</v>
      </c>
      <c r="G13" s="14" t="s">
        <v>836</v>
      </c>
      <c r="H13" s="14" t="str">
        <f t="array" ref="H13">IFERROR(INDEX($B$4:$B$24, MATCH(0, COUNTIF($H$3:H12, $B$4:$B$24&amp;"") + IF($B$4:$B$24="",1,0), 0)), "")</f>
        <v>IOR-00151</v>
      </c>
      <c r="I13" s="14" t="str">
        <f t="array" ref="I13">IFERROR(IF(INDEX($C$4:$C$24,MATCH(LEFT(H13,255),LEFT($B$4:$B$24,255),0))=0,"",INDEX($C$4:$C$24,MATCH(LEFT(H13,255),LEFT($B$4:$B$24,255),0))),"")</f>
        <v>HIV I-12 Percentage of other vulnerable populations (specify) who are living with HIV</v>
      </c>
      <c r="J13" s="14"/>
      <c r="K13" s="15" t="s">
        <v>837</v>
      </c>
      <c r="L13" s="14"/>
      <c r="M13" s="14" t="s">
        <v>807</v>
      </c>
      <c r="N13" s="14" t="s">
        <v>643</v>
      </c>
      <c r="O13" s="14" t="b">
        <v>0</v>
      </c>
      <c r="P13" s="20">
        <v>10090</v>
      </c>
    </row>
    <row r="14" spans="2:16" x14ac:dyDescent="0.25">
      <c r="B14" s="14" t="s">
        <v>838</v>
      </c>
      <c r="C14" s="16" t="s">
        <v>839</v>
      </c>
      <c r="D14" s="15"/>
      <c r="E14" s="14" t="s">
        <v>313</v>
      </c>
      <c r="F14" s="14" t="str">
        <f t="array" ref="F14">IFERROR(INDEX($C$4:$C$24, MATCH(0, COUNTIF($F$3:F13, $C$4:$C$24&amp;"") + IF($C$4:$C$24="",1,0), 0)), "")</f>
        <v>HIV I-15 Percentage of prisoners who are living with HIV</v>
      </c>
      <c r="G14" s="14" t="s">
        <v>840</v>
      </c>
      <c r="H14" s="14" t="str">
        <f t="array" ref="H14">IFERROR(INDEX($B$4:$B$24, MATCH(0, COUNTIF($H$3:H13, $B$4:$B$24&amp;"") + IF($B$4:$B$24="",1,0), 0)), "")</f>
        <v>IOR-00152</v>
      </c>
      <c r="I14" s="14" t="str">
        <f t="array" ref="I14">IFERROR(IF(INDEX($C$4:$C$24,MATCH(LEFT(H14,255),LEFT($B$4:$B$24,255),0))=0,"",INDEX($C$4:$C$24,MATCH(LEFT(H14,255),LEFT($B$4:$B$24,255),0))),"")</f>
        <v>HIV I-15 Percentage of prisoners who are living with HIV</v>
      </c>
      <c r="J14" s="14"/>
      <c r="K14" s="15" t="s">
        <v>841</v>
      </c>
      <c r="L14" s="14"/>
      <c r="M14" s="14" t="s">
        <v>807</v>
      </c>
      <c r="N14" s="14" t="s">
        <v>643</v>
      </c>
      <c r="O14" s="14" t="b">
        <v>0</v>
      </c>
      <c r="P14" s="20">
        <v>10100</v>
      </c>
    </row>
    <row r="15" spans="2:16" x14ac:dyDescent="0.25">
      <c r="B15" s="14" t="s">
        <v>842</v>
      </c>
      <c r="C15" s="16" t="s">
        <v>843</v>
      </c>
      <c r="D15" s="15"/>
      <c r="E15" s="14" t="s">
        <v>313</v>
      </c>
      <c r="F15" s="14" t="str">
        <f t="array" ref="F15">IFERROR(INDEX($C$4:$C$24, MATCH(0, COUNTIF($F$3:F14, $C$4:$C$24&amp;"") + IF($C$4:$C$24="",1,0), 0)), "")</f>
        <v>HIV I-16 Prevalence of syphilis in specific key and vulnerable populations</v>
      </c>
      <c r="G15" s="14" t="s">
        <v>844</v>
      </c>
      <c r="H15" s="14" t="str">
        <f t="array" ref="H15">IFERROR(INDEX($B$4:$B$24, MATCH(0, COUNTIF($H$3:H14, $B$4:$B$24&amp;"") + IF($B$4:$B$24="",1,0), 0)), "")</f>
        <v>IOR-00153</v>
      </c>
      <c r="I15" s="14" t="str">
        <f t="array" ref="I15">IFERROR(IF(INDEX($C$4:$C$24,MATCH(LEFT(H15,255),LEFT($B$4:$B$24,255),0))=0,"",INDEX($C$4:$C$24,MATCH(LEFT(H15,255),LEFT($B$4:$B$24,255),0))),"")</f>
        <v>HIV I-16 Prevalence of syphilis in specific key and vulnerable populations</v>
      </c>
      <c r="J15" s="14"/>
      <c r="K15" s="15" t="s">
        <v>845</v>
      </c>
      <c r="L15" s="14"/>
      <c r="M15" s="14" t="s">
        <v>807</v>
      </c>
      <c r="N15" s="14" t="s">
        <v>643</v>
      </c>
      <c r="O15" s="14" t="b">
        <v>0</v>
      </c>
      <c r="P15" s="20">
        <v>10110</v>
      </c>
    </row>
    <row r="16" spans="2:16" x14ac:dyDescent="0.25">
      <c r="B16" s="14" t="s">
        <v>846</v>
      </c>
      <c r="C16" s="16" t="s">
        <v>847</v>
      </c>
      <c r="D16" s="15"/>
      <c r="E16" s="14" t="s">
        <v>313</v>
      </c>
      <c r="F16" s="14" t="str">
        <f t="array" ref="F16">IFERROR(INDEX($C$4:$C$24, MATCH(0, COUNTIF($F$3:F15, $C$4:$C$24&amp;"") + IF($C$4:$C$24="",1,0), 0)), "")</f>
        <v>TB/HIV I-1 TB/HIV mortality rate per 100,000 population</v>
      </c>
      <c r="G16" s="14" t="s">
        <v>848</v>
      </c>
      <c r="H16" s="14" t="str">
        <f t="array" ref="H16">IFERROR(INDEX($B$4:$B$24, MATCH(0, COUNTIF($H$3:H15, $B$4:$B$24&amp;"") + IF($B$4:$B$24="",1,0), 0)), "")</f>
        <v>IOR-00157</v>
      </c>
      <c r="I16" s="14" t="str">
        <f t="array" ref="I16">IFERROR(IF(INDEX($C$4:$C$24,MATCH(LEFT(H16,255),LEFT($B$4:$B$24,255),0))=0,"",INDEX($C$4:$C$24,MATCH(LEFT(H16,255),LEFT($B$4:$B$24,255),0))),"")</f>
        <v>TB/HIV I-1 TB/HIV mortality rate per 100,000 population</v>
      </c>
      <c r="J16" s="14"/>
      <c r="K16" s="15" t="s">
        <v>849</v>
      </c>
      <c r="L16" s="14"/>
      <c r="M16" s="14" t="s">
        <v>807</v>
      </c>
      <c r="N16" s="14" t="s">
        <v>643</v>
      </c>
      <c r="O16" s="14" t="b">
        <v>1</v>
      </c>
      <c r="P16" s="20">
        <v>20040</v>
      </c>
    </row>
    <row r="17" spans="2:16" x14ac:dyDescent="0.25">
      <c r="B17" s="14" t="s">
        <v>850</v>
      </c>
      <c r="C17" s="16" t="s">
        <v>851</v>
      </c>
      <c r="D17" s="15"/>
      <c r="E17" s="14" t="s">
        <v>314</v>
      </c>
      <c r="F17" s="14" t="str">
        <f t="array" ref="F17">IFERROR(INDEX($C$4:$C$24, MATCH(0, COUNTIF($F$3:F16, $C$4:$C$24&amp;"") + IF($C$4:$C$24="",1,0), 0)), "")</f>
        <v>TB I-2 TB incidence rate per 100,000 population</v>
      </c>
      <c r="G17" s="14" t="s">
        <v>852</v>
      </c>
      <c r="H17" s="14" t="str">
        <f t="array" ref="H17">IFERROR(INDEX($B$4:$B$24, MATCH(0, COUNTIF($H$3:H16, $B$4:$B$24&amp;"") + IF($B$4:$B$24="",1,0), 0)), "")</f>
        <v>IOR-00154</v>
      </c>
      <c r="I17" s="14" t="str">
        <f t="array" ref="I17">IFERROR(IF(INDEX($C$4:$C$24,MATCH(LEFT(H17,255),LEFT($B$4:$B$24,255),0))=0,"",INDEX($C$4:$C$24,MATCH(LEFT(H17,255),LEFT($B$4:$B$24,255),0))),"")</f>
        <v>TB I-2 TB incidence rate per 100,000 population</v>
      </c>
      <c r="J17" s="14"/>
      <c r="K17" s="15" t="s">
        <v>853</v>
      </c>
      <c r="L17" s="14"/>
      <c r="M17" s="14" t="s">
        <v>807</v>
      </c>
      <c r="N17" s="14" t="s">
        <v>643</v>
      </c>
      <c r="O17" s="14" t="b">
        <v>1</v>
      </c>
      <c r="P17" s="20">
        <v>20010</v>
      </c>
    </row>
    <row r="18" spans="2:16" x14ac:dyDescent="0.25">
      <c r="B18" s="14" t="s">
        <v>854</v>
      </c>
      <c r="C18" s="16" t="s">
        <v>765</v>
      </c>
      <c r="D18" s="15"/>
      <c r="E18" s="14" t="s">
        <v>314</v>
      </c>
      <c r="F18" s="14" t="str">
        <f t="array" ref="F18">IFERROR(INDEX($C$4:$C$24, MATCH(0, COUNTIF($F$3:F17, $C$4:$C$24&amp;"") + IF($C$4:$C$24="",1,0), 0)), "")</f>
        <v>TB I-3⁽ᴹ⁾ TB mortality rate per 100,000 population</v>
      </c>
      <c r="G18" s="14" t="s">
        <v>855</v>
      </c>
      <c r="H18" s="14" t="str">
        <f t="array" ref="H18">IFERROR(INDEX($B$4:$B$24, MATCH(0, COUNTIF($H$3:H17, $B$4:$B$24&amp;"") + IF($B$4:$B$24="",1,0), 0)), "")</f>
        <v>IOR-00155</v>
      </c>
      <c r="I18" s="14" t="str">
        <f t="array" ref="I18">IFERROR(IF(INDEX($C$4:$C$24,MATCH(LEFT(H18,255),LEFT($B$4:$B$24,255),0))=0,"",INDEX($C$4:$C$24,MATCH(LEFT(H18,255),LEFT($B$4:$B$24,255),0))),"")</f>
        <v>TB I-3⁽ᴹ⁾ TB mortality rate per 100,000 population</v>
      </c>
      <c r="J18" s="14"/>
      <c r="K18" s="15" t="s">
        <v>856</v>
      </c>
      <c r="L18" s="14"/>
      <c r="M18" s="14" t="s">
        <v>807</v>
      </c>
      <c r="N18" s="14" t="s">
        <v>643</v>
      </c>
      <c r="O18" s="14" t="b">
        <v>1</v>
      </c>
      <c r="P18" s="20">
        <v>20020</v>
      </c>
    </row>
    <row r="19" spans="2:16" x14ac:dyDescent="0.25">
      <c r="B19" s="14" t="s">
        <v>857</v>
      </c>
      <c r="C19" s="16" t="s">
        <v>768</v>
      </c>
      <c r="D19" s="15"/>
      <c r="E19" s="14" t="s">
        <v>314</v>
      </c>
      <c r="F19" s="14" t="str">
        <f t="array" ref="F19">IFERROR(INDEX($C$4:$C$24, MATCH(0, COUNTIF($F$3:F18, $C$4:$C$24&amp;"") + IF($C$4:$C$24="",1,0), 0)), "")</f>
        <v>TB I-4⁽ᴹ⁾ RR-TB and/or MDR-TB prevalence among new TB patients: Proportion of new TB patients with RR-TB and/or MDR-TB</v>
      </c>
      <c r="G19" s="14" t="s">
        <v>858</v>
      </c>
      <c r="H19" s="14" t="str">
        <f t="array" ref="H19">IFERROR(INDEX($B$4:$B$24, MATCH(0, COUNTIF($H$3:H18, $B$4:$B$24&amp;"") + IF($B$4:$B$24="",1,0), 0)), "")</f>
        <v>IOR-00156</v>
      </c>
      <c r="I19" s="14" t="str">
        <f t="array" ref="I19">IFERROR(IF(INDEX($C$4:$C$24,MATCH(LEFT(H19,255),LEFT($B$4:$B$24,255),0))=0,"",INDEX($C$4:$C$24,MATCH(LEFT(H19,255),LEFT($B$4:$B$24,255),0))),"")</f>
        <v>TB I-4⁽ᴹ⁾ RR-TB and/or MDR-TB prevalence among new TB patients: Proportion of new TB patients with RR-TB and/or MDR-TB</v>
      </c>
      <c r="J19" s="14"/>
      <c r="K19" s="15" t="s">
        <v>859</v>
      </c>
      <c r="L19" s="14"/>
      <c r="M19" s="14" t="s">
        <v>807</v>
      </c>
      <c r="N19" s="14" t="s">
        <v>643</v>
      </c>
      <c r="O19" s="14" t="b">
        <v>0</v>
      </c>
      <c r="P19" s="20">
        <v>20030</v>
      </c>
    </row>
    <row r="20" spans="2:16" x14ac:dyDescent="0.25">
      <c r="B20" s="14" t="s">
        <v>846</v>
      </c>
      <c r="C20" s="16" t="s">
        <v>847</v>
      </c>
      <c r="D20" s="15"/>
      <c r="E20" s="14" t="s">
        <v>314</v>
      </c>
      <c r="F20" s="14" t="str">
        <f t="array" ref="F20">IFERROR(INDEX($C$4:$C$24, MATCH(0, COUNTIF($F$3:F19, $C$4:$C$24&amp;"") + IF($C$4:$C$24="",1,0), 0)), "")</f>
        <v/>
      </c>
      <c r="G20" s="14" t="s">
        <v>848</v>
      </c>
      <c r="H20" s="14" t="str">
        <f t="array" ref="H20">IFERROR(INDEX($B$4:$B$24, MATCH(0, COUNTIF($H$3:H19, $B$4:$B$24&amp;"") + IF($B$4:$B$24="",1,0), 0)), "")</f>
        <v/>
      </c>
      <c r="I20" s="14" t="str">
        <f t="array" ref="I20">IFERROR(IF(INDEX($C$4:$C$24,MATCH(LEFT(H20,255),LEFT($B$4:$B$24,255),0))=0,"",INDEX($C$4:$C$24,MATCH(LEFT(H20,255),LEFT($B$4:$B$24,255),0))),"")</f>
        <v/>
      </c>
      <c r="J20" s="14"/>
      <c r="K20" s="15" t="s">
        <v>860</v>
      </c>
      <c r="L20" s="14"/>
      <c r="M20" s="14" t="s">
        <v>807</v>
      </c>
      <c r="N20" s="14" t="s">
        <v>643</v>
      </c>
      <c r="O20" s="14" t="b">
        <v>1</v>
      </c>
      <c r="P20" s="20">
        <v>20040</v>
      </c>
    </row>
    <row r="21" spans="2:16" x14ac:dyDescent="0.25">
      <c r="B21" s="14"/>
      <c r="C21" s="16"/>
      <c r="D21" s="15"/>
      <c r="E21" s="14"/>
      <c r="F21" s="14"/>
      <c r="G21" s="14"/>
      <c r="H21" s="14"/>
      <c r="I21" s="14"/>
      <c r="J21" s="14"/>
      <c r="K21" s="15"/>
    </row>
    <row r="22" spans="2:16" x14ac:dyDescent="0.25">
      <c r="B22" s="14"/>
      <c r="C22" s="16"/>
      <c r="D22" s="15"/>
      <c r="E22" s="14"/>
      <c r="F22" s="14"/>
      <c r="G22" s="14"/>
      <c r="H22" s="14"/>
      <c r="I22" s="14"/>
      <c r="J22" s="14"/>
      <c r="K22" s="15"/>
    </row>
    <row r="23" spans="2:16" x14ac:dyDescent="0.25">
      <c r="B23" s="14"/>
      <c r="C23" s="16"/>
      <c r="D23" s="15"/>
      <c r="E23" s="14"/>
      <c r="F23" s="14"/>
      <c r="G23" s="14"/>
      <c r="H23" s="14"/>
      <c r="I23" s="14"/>
      <c r="J23" s="14"/>
      <c r="K23" s="15"/>
    </row>
    <row r="25" spans="2:16" x14ac:dyDescent="0.25">
      <c r="B25" s="2" t="s">
        <v>861</v>
      </c>
    </row>
    <row r="26" spans="2:16" x14ac:dyDescent="0.25">
      <c r="B26" s="14" t="s">
        <v>783</v>
      </c>
      <c r="C26" s="14" t="s">
        <v>784</v>
      </c>
      <c r="D26" s="14" t="s">
        <v>785</v>
      </c>
      <c r="E26" s="14" t="s">
        <v>310</v>
      </c>
      <c r="F26" s="14" t="s">
        <v>786</v>
      </c>
      <c r="G26" s="14" t="s">
        <v>318</v>
      </c>
      <c r="H26" s="14" t="s">
        <v>787</v>
      </c>
      <c r="I26" s="14" t="s">
        <v>788</v>
      </c>
      <c r="J26" s="14"/>
      <c r="K26" s="14" t="s">
        <v>789</v>
      </c>
      <c r="L26" s="14" t="str">
        <f>B26</f>
        <v>Impact Outcome Reference (Name)</v>
      </c>
      <c r="M26" s="14" t="s">
        <v>790</v>
      </c>
      <c r="N26" s="14" t="s">
        <v>791</v>
      </c>
      <c r="O26" s="14" t="s">
        <v>792</v>
      </c>
      <c r="P26" s="14" t="s">
        <v>793</v>
      </c>
    </row>
    <row r="27" spans="2:16" hidden="1" x14ac:dyDescent="0.25">
      <c r="B27" s="14" t="s">
        <v>794</v>
      </c>
      <c r="C27" s="16" t="s">
        <v>795</v>
      </c>
      <c r="D27" s="15" t="s">
        <v>796</v>
      </c>
      <c r="E27" s="14" t="s">
        <v>312</v>
      </c>
      <c r="F27" s="14" t="str">
        <f t="array" ref="F27">IFERROR(INDEX($C$27:$C$84, MATCH(0, COUNTIF($F$26:F26, $C$27:$C$84&amp;"") + IF($C$27:$C$84="",1,0), 0)), "")</f>
        <v>--Select--</v>
      </c>
      <c r="G27" s="14" t="s">
        <v>321</v>
      </c>
      <c r="H27" s="14" t="str">
        <f t="array" ref="H27">IFERROR(INDEX($B$27:$B$84, MATCH(0, COUNTIF($H$26:H26, $B$27:$B$84&amp;"") + IF($B$27:$B$84="",1,0), 0)), "")</f>
        <v>[Impact Outcome Reference (Name)]</v>
      </c>
      <c r="I27" s="14" t="str">
        <f t="array" ref="I27">IFERROR(IF(INDEX($C$27:$C$84,MATCH(LEFT(H27,255),LEFT($B$27:$B$84,255),0))=0,"",INDEX($C$27:$C$84,MATCH(LEFT(H27,255),LEFT($B$27:$B$84,255),0))),"")</f>
        <v>--Select--</v>
      </c>
      <c r="J27" s="14"/>
      <c r="K27" s="15" t="s">
        <v>797</v>
      </c>
      <c r="L27" s="14" t="str">
        <f>B27</f>
        <v>[Impact Outcome Reference (Name)]</v>
      </c>
      <c r="M27" s="14" t="s">
        <v>798</v>
      </c>
      <c r="N27" s="14" t="s">
        <v>799</v>
      </c>
      <c r="O27" s="14" t="s">
        <v>800</v>
      </c>
      <c r="P27" s="20" t="s">
        <v>801</v>
      </c>
    </row>
    <row r="28" spans="2:16" x14ac:dyDescent="0.25">
      <c r="B28" s="14" t="s">
        <v>862</v>
      </c>
      <c r="C28" s="16" t="s">
        <v>863</v>
      </c>
      <c r="D28" s="15" t="s">
        <v>821</v>
      </c>
      <c r="E28" s="14" t="s">
        <v>313</v>
      </c>
      <c r="F28" s="14" t="str">
        <f t="array" ref="F28">IFERROR(INDEX($C$27:$C$84, MATCH(0, COUNTIF($F$26:F27, $C$27:$C$84&amp;"") + IF($C$27:$C$84="",1,0), 0)), "")</f>
        <v>HIV O-10 Percentage of high risk AGYW (15-24) who say they used a condom the last time they had sex with a non-regular partner, of those who have had sex with such a partner in the last 12 months</v>
      </c>
      <c r="G28" s="14" t="s">
        <v>864</v>
      </c>
      <c r="H28" s="14" t="str">
        <f t="array" ref="H28">IFERROR(INDEX($B$27:$B$84, MATCH(0, COUNTIF($H$26:H27, $B$27:$B$84&amp;"") + IF($B$27:$B$84="",1,0), 0)), "")</f>
        <v>IOR-00170</v>
      </c>
      <c r="I28" s="14" t="str">
        <f t="array" ref="I28">IFERROR(IF(INDEX($C$27:$C$84,MATCH(LEFT(H28,255),LEFT($B$27:$B$84,255),0))=0,"",INDEX($C$27:$C$84,MATCH(LEFT(H28,255),LEFT($B$27:$B$84,255),0))),"")</f>
        <v>HIV O-10 Percentage of high risk AGYW (15-24) who say they used a condom the last time they had sex with a non-regular partner, of those who have had sex with such a partner in the last 12 months</v>
      </c>
      <c r="J28" s="14"/>
      <c r="K28" s="15" t="s">
        <v>865</v>
      </c>
      <c r="L28" s="14" t="str">
        <f t="shared" ref="L28:L80" si="0">B28</f>
        <v>IOR-00170</v>
      </c>
      <c r="M28" s="14" t="s">
        <v>866</v>
      </c>
      <c r="N28" s="14" t="s">
        <v>643</v>
      </c>
      <c r="O28" s="14" t="b">
        <v>0</v>
      </c>
      <c r="P28" s="20">
        <v>11010</v>
      </c>
    </row>
    <row r="29" spans="2:16" x14ac:dyDescent="0.25">
      <c r="B29" s="14" t="s">
        <v>867</v>
      </c>
      <c r="C29" s="16" t="s">
        <v>868</v>
      </c>
      <c r="D29" s="15"/>
      <c r="E29" s="14" t="s">
        <v>313</v>
      </c>
      <c r="F29" s="14" t="str">
        <f t="array" ref="F29">IFERROR(INDEX($C$27:$C$84, MATCH(0, COUNTIF($F$26:F28, $C$27:$C$84&amp;"") + IF($C$27:$C$84="",1,0), 0)), "")</f>
        <v>HIV O-4a⁽ᴹ⁾ Percentage of men reporting using a condom the last time they had anal sex with a male partner</v>
      </c>
      <c r="G29" s="14" t="s">
        <v>869</v>
      </c>
      <c r="H29" s="14" t="str">
        <f t="array" ref="H29">IFERROR(INDEX($B$27:$B$84, MATCH(0, COUNTIF($H$26:H28, $B$27:$B$84&amp;"") + IF($B$27:$B$84="",1,0), 0)), "")</f>
        <v>IOR-00171</v>
      </c>
      <c r="I29" s="14" t="str">
        <f t="array" ref="I29">IFERROR(IF(INDEX($C$27:$C$84,MATCH(LEFT(H29,255),LEFT($B$27:$B$84,255),0))=0,"",INDEX($C$27:$C$84,MATCH(LEFT(H29,255),LEFT($B$27:$B$84,255),0))),"")</f>
        <v>HIV O-4a⁽ᴹ⁾ Percentage of men reporting using a condom the last time they had anal sex with a male partner</v>
      </c>
      <c r="J29" s="14"/>
      <c r="K29" s="15" t="s">
        <v>870</v>
      </c>
      <c r="L29" s="14" t="str">
        <f t="shared" si="0"/>
        <v>IOR-00171</v>
      </c>
      <c r="M29" s="14" t="s">
        <v>866</v>
      </c>
      <c r="N29" s="14" t="s">
        <v>643</v>
      </c>
      <c r="O29" s="14" t="b">
        <v>0</v>
      </c>
      <c r="P29" s="20">
        <v>11020</v>
      </c>
    </row>
    <row r="30" spans="2:16" x14ac:dyDescent="0.25">
      <c r="B30" s="14" t="s">
        <v>871</v>
      </c>
      <c r="C30" s="16" t="s">
        <v>872</v>
      </c>
      <c r="D30" s="15"/>
      <c r="E30" s="14" t="s">
        <v>313</v>
      </c>
      <c r="F30" s="14" t="str">
        <f t="array" ref="F30">IFERROR(INDEX($C$27:$C$84, MATCH(0, COUNTIF($F$26:F29, $C$27:$C$84&amp;"") + IF($C$27:$C$84="",1,0), 0)), "")</f>
        <v>HIV O-4.1b⁽ᴹ⁾ Percentage of transgender people reporting using a condom during their most recent sexual intercourse or anal sex</v>
      </c>
      <c r="G30" s="14" t="s">
        <v>873</v>
      </c>
      <c r="H30" s="14" t="str">
        <f t="array" ref="H30">IFERROR(INDEX($B$27:$B$84, MATCH(0, COUNTIF($H$26:H29, $B$27:$B$84&amp;"") + IF($B$27:$B$84="",1,0), 0)), "")</f>
        <v>IOR-00172</v>
      </c>
      <c r="I30" s="14" t="str">
        <f t="array" ref="I30">IFERROR(IF(INDEX($C$27:$C$84,MATCH(LEFT(H30,255),LEFT($B$27:$B$84,255),0))=0,"",INDEX($C$27:$C$84,MATCH(LEFT(H30,255),LEFT($B$27:$B$84,255),0))),"")</f>
        <v>HIV O-4.1b⁽ᴹ⁾ Percentage of transgender people reporting using a condom during their most recent sexual intercourse or anal sex</v>
      </c>
      <c r="J30" s="14"/>
      <c r="K30" s="15" t="s">
        <v>874</v>
      </c>
      <c r="L30" s="14" t="str">
        <f t="shared" si="0"/>
        <v>IOR-00172</v>
      </c>
      <c r="M30" s="14" t="s">
        <v>866</v>
      </c>
      <c r="N30" s="14" t="s">
        <v>643</v>
      </c>
      <c r="O30" s="14" t="b">
        <v>0</v>
      </c>
      <c r="P30" s="20">
        <v>11030</v>
      </c>
    </row>
    <row r="31" spans="2:16" x14ac:dyDescent="0.25">
      <c r="B31" s="14" t="s">
        <v>875</v>
      </c>
      <c r="C31" s="16" t="s">
        <v>876</v>
      </c>
      <c r="D31" s="15"/>
      <c r="E31" s="14" t="s">
        <v>313</v>
      </c>
      <c r="F31" s="14" t="str">
        <f t="array" ref="F31">IFERROR(INDEX($C$27:$C$84, MATCH(0, COUNTIF($F$26:F30, $C$27:$C$84&amp;"") + IF($C$27:$C$84="",1,0), 0)), "")</f>
        <v>HIV O-5⁽ᴹ⁾ Percentage of sex workers reporting using a condom with their most recent client</v>
      </c>
      <c r="G31" s="14" t="s">
        <v>877</v>
      </c>
      <c r="H31" s="14" t="str">
        <f t="array" ref="H31">IFERROR(INDEX($B$27:$B$84, MATCH(0, COUNTIF($H$26:H30, $B$27:$B$84&amp;"") + IF($B$27:$B$84="",1,0), 0)), "")</f>
        <v>IOR-00173</v>
      </c>
      <c r="I31" s="14" t="str">
        <f t="array" ref="I31">IFERROR(IF(INDEX($C$27:$C$84,MATCH(LEFT(H31,255),LEFT($B$27:$B$84,255),0))=0,"",INDEX($C$27:$C$84,MATCH(LEFT(H31,255),LEFT($B$27:$B$84,255),0))),"")</f>
        <v>HIV O-5⁽ᴹ⁾ Percentage of sex workers reporting using a condom with their most recent client</v>
      </c>
      <c r="J31" s="14"/>
      <c r="K31" s="15" t="s">
        <v>878</v>
      </c>
      <c r="L31" s="14" t="str">
        <f t="shared" si="0"/>
        <v>IOR-00173</v>
      </c>
      <c r="M31" s="14" t="s">
        <v>866</v>
      </c>
      <c r="N31" s="14" t="s">
        <v>643</v>
      </c>
      <c r="O31" s="14" t="b">
        <v>0</v>
      </c>
      <c r="P31" s="20">
        <v>11040</v>
      </c>
    </row>
    <row r="32" spans="2:16" x14ac:dyDescent="0.25">
      <c r="B32" s="14" t="s">
        <v>879</v>
      </c>
      <c r="C32" s="16" t="s">
        <v>880</v>
      </c>
      <c r="D32" s="15"/>
      <c r="E32" s="14" t="s">
        <v>313</v>
      </c>
      <c r="F32" s="14" t="str">
        <f t="array" ref="F32">IFERROR(INDEX($C$27:$C$84, MATCH(0, COUNTIF($F$26:F31, $C$27:$C$84&amp;"") + IF($C$27:$C$84="",1,0), 0)), "")</f>
        <v>HIV O-6⁽ᴹ⁾ Percentage of people who inject drugs reporting using sterile injecting equipment the last time they injected</v>
      </c>
      <c r="G32" s="14" t="s">
        <v>881</v>
      </c>
      <c r="H32" s="14" t="str">
        <f t="array" ref="H32">IFERROR(INDEX($B$27:$B$84, MATCH(0, COUNTIF($H$26:H31, $B$27:$B$84&amp;"") + IF($B$27:$B$84="",1,0), 0)), "")</f>
        <v>IOR-00174</v>
      </c>
      <c r="I32" s="14" t="str">
        <f t="array" ref="I32">IFERROR(IF(INDEX($C$27:$C$84,MATCH(LEFT(H32,255),LEFT($B$27:$B$84,255),0))=0,"",INDEX($C$27:$C$84,MATCH(LEFT(H32,255),LEFT($B$27:$B$84,255),0))),"")</f>
        <v>HIV O-6⁽ᴹ⁾ Percentage of people who inject drugs reporting using sterile injecting equipment the last time they injected</v>
      </c>
      <c r="J32" s="14"/>
      <c r="K32" s="15" t="s">
        <v>882</v>
      </c>
      <c r="L32" s="14" t="str">
        <f t="shared" si="0"/>
        <v>IOR-00174</v>
      </c>
      <c r="M32" s="14" t="s">
        <v>866</v>
      </c>
      <c r="N32" s="14" t="s">
        <v>643</v>
      </c>
      <c r="O32" s="14" t="b">
        <v>0</v>
      </c>
      <c r="P32" s="20">
        <v>11050</v>
      </c>
    </row>
    <row r="33" spans="2:16" x14ac:dyDescent="0.25">
      <c r="B33" s="14" t="s">
        <v>883</v>
      </c>
      <c r="C33" s="16" t="s">
        <v>884</v>
      </c>
      <c r="D33" s="15"/>
      <c r="E33" s="14" t="s">
        <v>313</v>
      </c>
      <c r="F33" s="14" t="str">
        <f t="array" ref="F33">IFERROR(INDEX($C$27:$C$84, MATCH(0, COUNTIF($F$26:F32, $C$27:$C$84&amp;"") + IF($C$27:$C$84="",1,0), 0)), "")</f>
        <v>HIV O-9 Percentage of people who inject drugs reporting using a condom the last time they had sexual intercourse</v>
      </c>
      <c r="G33" s="14" t="s">
        <v>885</v>
      </c>
      <c r="H33" s="14" t="str">
        <f t="array" ref="H33">IFERROR(INDEX($B$27:$B$84, MATCH(0, COUNTIF($H$26:H32, $B$27:$B$84&amp;"") + IF($B$27:$B$84="",1,0), 0)), "")</f>
        <v>IOR-00175</v>
      </c>
      <c r="I33" s="14" t="str">
        <f t="array" ref="I33">IFERROR(IF(INDEX($C$27:$C$84,MATCH(LEFT(H33,255),LEFT($B$27:$B$84,255),0))=0,"",INDEX($C$27:$C$84,MATCH(LEFT(H33,255),LEFT($B$27:$B$84,255),0))),"")</f>
        <v>HIV O-9 Percentage of people who inject drugs reporting using a condom the last time they had sexual intercourse</v>
      </c>
      <c r="J33" s="14"/>
      <c r="K33" s="15" t="s">
        <v>886</v>
      </c>
      <c r="L33" s="14" t="str">
        <f t="shared" si="0"/>
        <v>IOR-00175</v>
      </c>
      <c r="M33" s="14" t="s">
        <v>866</v>
      </c>
      <c r="N33" s="14" t="s">
        <v>643</v>
      </c>
      <c r="O33" s="14" t="b">
        <v>0</v>
      </c>
      <c r="P33" s="20">
        <v>11060</v>
      </c>
    </row>
    <row r="34" spans="2:16" x14ac:dyDescent="0.25">
      <c r="B34" s="14" t="s">
        <v>887</v>
      </c>
      <c r="C34" s="16" t="s">
        <v>888</v>
      </c>
      <c r="D34" s="15"/>
      <c r="E34" s="14" t="s">
        <v>313</v>
      </c>
      <c r="F34" s="14" t="str">
        <f t="array" ref="F34">IFERROR(INDEX($C$27:$C$84, MATCH(0, COUNTIF($F$26:F33, $C$27:$C$84&amp;"") + IF($C$27:$C$84="",1,0), 0)), "")</f>
        <v>HIV O-7 Percentage of other vulnerable populations who report the use of a condom at last sexual intercourse</v>
      </c>
      <c r="G34" s="14" t="s">
        <v>889</v>
      </c>
      <c r="H34" s="14" t="str">
        <f t="array" ref="H34">IFERROR(INDEX($B$27:$B$84, MATCH(0, COUNTIF($H$26:H33, $B$27:$B$84&amp;"") + IF($B$27:$B$84="",1,0), 0)), "")</f>
        <v>IOR-00176</v>
      </c>
      <c r="I34" s="14" t="str">
        <f t="array" ref="I34">IFERROR(IF(INDEX($C$27:$C$84,MATCH(LEFT(H34,255),LEFT($B$27:$B$84,255),0))=0,"",INDEX($C$27:$C$84,MATCH(LEFT(H34,255),LEFT($B$27:$B$84,255),0))),"")</f>
        <v>HIV O-7 Percentage of other vulnerable populations who report the use of a condom at last sexual intercourse</v>
      </c>
      <c r="J34" s="14"/>
      <c r="K34" s="15" t="s">
        <v>890</v>
      </c>
      <c r="L34" s="14" t="str">
        <f t="shared" si="0"/>
        <v>IOR-00176</v>
      </c>
      <c r="M34" s="14" t="s">
        <v>866</v>
      </c>
      <c r="N34" s="14" t="s">
        <v>643</v>
      </c>
      <c r="O34" s="14" t="b">
        <v>0</v>
      </c>
      <c r="P34" s="20">
        <v>11070</v>
      </c>
    </row>
    <row r="35" spans="2:16" x14ac:dyDescent="0.25">
      <c r="B35" s="14" t="s">
        <v>891</v>
      </c>
      <c r="C35" s="16" t="s">
        <v>892</v>
      </c>
      <c r="D35" s="15" t="s">
        <v>893</v>
      </c>
      <c r="E35" s="14" t="s">
        <v>313</v>
      </c>
      <c r="F35" s="14" t="str">
        <f t="array" ref="F35">IFERROR(INDEX($C$27:$C$84, MATCH(0, COUNTIF($F$26:F34, $C$27:$C$84&amp;"") + IF($C$27:$C$84="",1,0), 0)), "")</f>
        <v>HIV O-11⁽ᴹ⁾ Percentage of people living with HIV who know their HIV status at the end of the reporting period</v>
      </c>
      <c r="G35" s="14" t="s">
        <v>894</v>
      </c>
      <c r="H35" s="14" t="str">
        <f t="array" ref="H35">IFERROR(INDEX($B$27:$B$84, MATCH(0, COUNTIF($H$26:H34, $B$27:$B$84&amp;"") + IF($B$27:$B$84="",1,0), 0)), "")</f>
        <v>IOR-00177</v>
      </c>
      <c r="I35" s="14" t="str">
        <f t="array" ref="I35">IFERROR(IF(INDEX($C$27:$C$84,MATCH(LEFT(H35,255),LEFT($B$27:$B$84,255),0))=0,"",INDEX($C$27:$C$84,MATCH(LEFT(H35,255),LEFT($B$27:$B$84,255),0))),"")</f>
        <v>HIV O-11⁽ᴹ⁾ Percentage of people living with HIV who know their HIV status at the end of the reporting period</v>
      </c>
      <c r="J35" s="14"/>
      <c r="K35" s="15" t="s">
        <v>895</v>
      </c>
      <c r="L35" s="14" t="str">
        <f t="shared" si="0"/>
        <v>IOR-00177</v>
      </c>
      <c r="M35" s="14" t="s">
        <v>866</v>
      </c>
      <c r="N35" s="14" t="s">
        <v>643</v>
      </c>
      <c r="O35" s="14" t="b">
        <v>0</v>
      </c>
      <c r="P35" s="20">
        <v>11080</v>
      </c>
    </row>
    <row r="36" spans="2:16" x14ac:dyDescent="0.25">
      <c r="B36" s="14" t="s">
        <v>896</v>
      </c>
      <c r="C36" s="16" t="s">
        <v>897</v>
      </c>
      <c r="D36" s="15" t="s">
        <v>893</v>
      </c>
      <c r="E36" s="14" t="s">
        <v>313</v>
      </c>
      <c r="F36" s="14" t="str">
        <f t="array" ref="F36">IFERROR(INDEX($C$27:$C$84, MATCH(0, COUNTIF($F$26:F35, $C$27:$C$84&amp;"") + IF($C$27:$C$84="",1,0), 0)), "")</f>
        <v>HIV O-21 Percentage of people living with HIV reported on ART at the end of the last reporting period and newly initiating ART during the current reporting period who were not on ART at the end of current reporting period</v>
      </c>
      <c r="G36" s="14" t="s">
        <v>898</v>
      </c>
      <c r="H36" s="14" t="str">
        <f t="array" ref="H36">IFERROR(INDEX($B$27:$B$84, MATCH(0, COUNTIF($H$26:H35, $B$27:$B$84&amp;"") + IF($B$27:$B$84="",1,0), 0)), "")</f>
        <v>IOR-00178</v>
      </c>
      <c r="I36" s="14" t="str">
        <f t="array" ref="I36">IFERROR(IF(INDEX($C$27:$C$84,MATCH(LEFT(H36,255),LEFT($B$27:$B$84,255),0))=0,"",INDEX($C$27:$C$84,MATCH(LEFT(H36,255),LEFT($B$27:$B$84,255),0))),"")</f>
        <v>HIV O-21 Percentage of people living with HIV reported on ART at the end of the last reporting period and newly initiating ART during the current reporting period who were not on ART at the end of current reporting period</v>
      </c>
      <c r="J36" s="14"/>
      <c r="K36" s="15" t="s">
        <v>899</v>
      </c>
      <c r="L36" s="14" t="str">
        <f t="shared" si="0"/>
        <v>IOR-00178</v>
      </c>
      <c r="M36" s="14" t="s">
        <v>866</v>
      </c>
      <c r="N36" s="14" t="s">
        <v>643</v>
      </c>
      <c r="O36" s="14" t="b">
        <v>0</v>
      </c>
      <c r="P36" s="20">
        <v>11090</v>
      </c>
    </row>
    <row r="37" spans="2:16" x14ac:dyDescent="0.25">
      <c r="B37" s="14" t="s">
        <v>900</v>
      </c>
      <c r="C37" s="16" t="s">
        <v>901</v>
      </c>
      <c r="D37" s="15" t="s">
        <v>893</v>
      </c>
      <c r="E37" s="14" t="s">
        <v>313</v>
      </c>
      <c r="F37" s="14" t="str">
        <f t="array" ref="F37">IFERROR(INDEX($C$27:$C$84, MATCH(0, COUNTIF($F$26:F36, $C$27:$C$84&amp;"") + IF($C$27:$C$84="",1,0), 0)), "")</f>
        <v>HIV O-12 Percentage of people living with HIV and on ART who are virologically suppressed</v>
      </c>
      <c r="G37" s="14" t="s">
        <v>902</v>
      </c>
      <c r="H37" s="14" t="str">
        <f t="array" ref="H37">IFERROR(INDEX($B$27:$B$84, MATCH(0, COUNTIF($H$26:H36, $B$27:$B$84&amp;"") + IF($B$27:$B$84="",1,0), 0)), "")</f>
        <v>IOR-00179</v>
      </c>
      <c r="I37" s="14" t="str">
        <f t="array" ref="I37">IFERROR(IF(INDEX($C$27:$C$84,MATCH(LEFT(H37,255),LEFT($B$27:$B$84,255),0))=0,"",INDEX($C$27:$C$84,MATCH(LEFT(H37,255),LEFT($B$27:$B$84,255),0))),"")</f>
        <v>HIV O-12 Percentage of people living with HIV and on ART who are virologically suppressed</v>
      </c>
      <c r="J37" s="14"/>
      <c r="K37" s="15" t="s">
        <v>903</v>
      </c>
      <c r="L37" s="14" t="str">
        <f t="shared" si="0"/>
        <v>IOR-00179</v>
      </c>
      <c r="M37" s="14" t="s">
        <v>866</v>
      </c>
      <c r="N37" s="14" t="s">
        <v>643</v>
      </c>
      <c r="O37" s="14" t="b">
        <v>0</v>
      </c>
      <c r="P37" s="20">
        <v>11100</v>
      </c>
    </row>
    <row r="38" spans="2:16" x14ac:dyDescent="0.25">
      <c r="B38" s="14" t="s">
        <v>904</v>
      </c>
      <c r="C38" s="16" t="s">
        <v>905</v>
      </c>
      <c r="D38" s="15" t="s">
        <v>821</v>
      </c>
      <c r="E38" s="14" t="s">
        <v>313</v>
      </c>
      <c r="F38" s="14" t="str">
        <f t="array" ref="F38">IFERROR(INDEX($C$27:$C$84, MATCH(0, COUNTIF($F$26:F37, $C$27:$C$84&amp;"") + IF($C$27:$C$84="",1,0), 0)), "")</f>
        <v>HIV O-13 Percentage of ever-married or partnered women aged 15-49 who experienced physical or sexual violence from a male intimate partner in the past 12 months</v>
      </c>
      <c r="G38" s="14" t="s">
        <v>906</v>
      </c>
      <c r="H38" s="14" t="str">
        <f t="array" ref="H38">IFERROR(INDEX($B$27:$B$84, MATCH(0, COUNTIF($H$26:H37, $B$27:$B$84&amp;"") + IF($B$27:$B$84="",1,0), 0)), "")</f>
        <v>IOR-00180</v>
      </c>
      <c r="I38" s="14" t="str">
        <f t="array" ref="I38">IFERROR(IF(INDEX($C$27:$C$84,MATCH(LEFT(H38,255),LEFT($B$27:$B$84,255),0))=0,"",INDEX($C$27:$C$84,MATCH(LEFT(H38,255),LEFT($B$27:$B$84,255),0))),"")</f>
        <v>HIV O-13 Percentage of ever-married or partnered women aged 15-49 who experienced physical or sexual violence from a male intimate partner in the past 12 months</v>
      </c>
      <c r="J38" s="14"/>
      <c r="K38" s="15" t="s">
        <v>907</v>
      </c>
      <c r="L38" s="14" t="str">
        <f t="shared" si="0"/>
        <v>IOR-00180</v>
      </c>
      <c r="M38" s="14" t="s">
        <v>866</v>
      </c>
      <c r="N38" s="14" t="s">
        <v>643</v>
      </c>
      <c r="O38" s="14" t="b">
        <v>0</v>
      </c>
      <c r="P38" s="20">
        <v>11110</v>
      </c>
    </row>
    <row r="39" spans="2:16" x14ac:dyDescent="0.25">
      <c r="B39" s="14" t="s">
        <v>908</v>
      </c>
      <c r="C39" s="16" t="s">
        <v>909</v>
      </c>
      <c r="D39" s="15" t="s">
        <v>910</v>
      </c>
      <c r="E39" s="14" t="s">
        <v>313</v>
      </c>
      <c r="F39" s="14" t="str">
        <f t="array" ref="F39">IFERROR(INDEX($C$27:$C$84, MATCH(0, COUNTIF($F$26:F38, $C$27:$C$84&amp;"") + IF($C$27:$C$84="",1,0), 0)), "")</f>
        <v>HIV O-17 Percentage of people living with HIV who have experienced rights abuses in the last 12 months and have sought redress</v>
      </c>
      <c r="G39" s="14" t="s">
        <v>911</v>
      </c>
      <c r="H39" s="14" t="str">
        <f t="array" ref="H39">IFERROR(INDEX($B$27:$B$84, MATCH(0, COUNTIF($H$26:H38, $B$27:$B$84&amp;"") + IF($B$27:$B$84="",1,0), 0)), "")</f>
        <v>IOR-00181</v>
      </c>
      <c r="I39" s="14" t="str">
        <f t="array" ref="I39">IFERROR(IF(INDEX($C$27:$C$84,MATCH(LEFT(H39,255),LEFT($B$27:$B$84,255),0))=0,"",INDEX($C$27:$C$84,MATCH(LEFT(H39,255),LEFT($B$27:$B$84,255),0))),"")</f>
        <v>HIV O-17 Percentage of people living with HIV who have experienced rights abuses in the last 12 months and have sought redress</v>
      </c>
      <c r="J39" s="14"/>
      <c r="K39" s="15" t="s">
        <v>912</v>
      </c>
      <c r="L39" s="14" t="str">
        <f t="shared" si="0"/>
        <v>IOR-00181</v>
      </c>
      <c r="M39" s="14" t="s">
        <v>866</v>
      </c>
      <c r="N39" s="14" t="s">
        <v>643</v>
      </c>
      <c r="O39" s="14" t="b">
        <v>0</v>
      </c>
      <c r="P39" s="20">
        <v>11120</v>
      </c>
    </row>
    <row r="40" spans="2:16" x14ac:dyDescent="0.25">
      <c r="B40" s="14" t="s">
        <v>913</v>
      </c>
      <c r="C40" s="16" t="s">
        <v>914</v>
      </c>
      <c r="D40" s="15"/>
      <c r="E40" s="14" t="s">
        <v>313</v>
      </c>
      <c r="F40" s="14" t="str">
        <f t="array" ref="F40">IFERROR(INDEX($C$27:$C$84, MATCH(0, COUNTIF($F$26:F39, $C$27:$C$84&amp;"") + IF($C$27:$C$84="",1,0), 0)), "")</f>
        <v>HIV O-14 Percentage of women and men aged 15-49 who report discriminatory attitudes towards people living with HIV</v>
      </c>
      <c r="G40" s="14" t="s">
        <v>915</v>
      </c>
      <c r="H40" s="14" t="str">
        <f t="array" ref="H40">IFERROR(INDEX($B$27:$B$84, MATCH(0, COUNTIF($H$26:H39, $B$27:$B$84&amp;"") + IF($B$27:$B$84="",1,0), 0)), "")</f>
        <v>IOR-00182</v>
      </c>
      <c r="I40" s="14" t="str">
        <f t="array" ref="I40">IFERROR(IF(INDEX($C$27:$C$84,MATCH(LEFT(H40,255),LEFT($B$27:$B$84,255),0))=0,"",INDEX($C$27:$C$84,MATCH(LEFT(H40,255),LEFT($B$27:$B$84,255),0))),"")</f>
        <v>HIV O-14 Percentage of women and men aged 15-49 who report discriminatory attitudes towards people living with HIV</v>
      </c>
      <c r="J40" s="14"/>
      <c r="K40" s="15" t="s">
        <v>916</v>
      </c>
      <c r="L40" s="14" t="str">
        <f t="shared" si="0"/>
        <v>IOR-00182</v>
      </c>
      <c r="M40" s="14" t="s">
        <v>866</v>
      </c>
      <c r="N40" s="14" t="s">
        <v>643</v>
      </c>
      <c r="O40" s="14" t="b">
        <v>0</v>
      </c>
      <c r="P40" s="20">
        <v>11130</v>
      </c>
    </row>
    <row r="41" spans="2:16" x14ac:dyDescent="0.25">
      <c r="B41" s="14" t="s">
        <v>917</v>
      </c>
      <c r="C41" s="16" t="s">
        <v>918</v>
      </c>
      <c r="D41" s="15"/>
      <c r="E41" s="14" t="s">
        <v>313</v>
      </c>
      <c r="F41" s="14" t="str">
        <f t="array" ref="F41">IFERROR(INDEX($C$27:$C$84, MATCH(0, COUNTIF($F$26:F40, $C$27:$C$84&amp;"") + IF($C$27:$C$84="",1,0), 0)), "")</f>
        <v>HIV O-15 Percentage of people living with HIV who report experiences of HIV-related discrimination in health-care settings</v>
      </c>
      <c r="G41" s="14" t="s">
        <v>919</v>
      </c>
      <c r="H41" s="14" t="str">
        <f t="array" ref="H41">IFERROR(INDEX($B$27:$B$84, MATCH(0, COUNTIF($H$26:H40, $B$27:$B$84&amp;"") + IF($B$27:$B$84="",1,0), 0)), "")</f>
        <v>IOR-00183</v>
      </c>
      <c r="I41" s="14" t="str">
        <f t="array" ref="I41">IFERROR(IF(INDEX($C$27:$C$84,MATCH(LEFT(H41,255),LEFT($B$27:$B$84,255),0))=0,"",INDEX($C$27:$C$84,MATCH(LEFT(H41,255),LEFT($B$27:$B$84,255),0))),"")</f>
        <v>HIV O-15 Percentage of people living with HIV who report experiences of HIV-related discrimination in health-care settings</v>
      </c>
      <c r="J41" s="14"/>
      <c r="K41" s="15" t="s">
        <v>920</v>
      </c>
      <c r="L41" s="14" t="str">
        <f t="shared" si="0"/>
        <v>IOR-00183</v>
      </c>
      <c r="M41" s="14" t="s">
        <v>866</v>
      </c>
      <c r="N41" s="14" t="s">
        <v>643</v>
      </c>
      <c r="O41" s="14" t="b">
        <v>0</v>
      </c>
      <c r="P41" s="20">
        <v>11140</v>
      </c>
    </row>
    <row r="42" spans="2:16" x14ac:dyDescent="0.25">
      <c r="B42" s="14" t="s">
        <v>921</v>
      </c>
      <c r="C42" s="16" t="s">
        <v>922</v>
      </c>
      <c r="D42" s="15" t="s">
        <v>821</v>
      </c>
      <c r="E42" s="14" t="s">
        <v>313</v>
      </c>
      <c r="F42" s="14" t="str">
        <f t="array" ref="F42">IFERROR(INDEX($C$27:$C$84, MATCH(0, COUNTIF($F$26:F41, $C$27:$C$84&amp;"") + IF($C$27:$C$84="",1,0), 0)), "")</f>
        <v>HIV O-16a Percentage of men who have sex with men who avoid health care because of stigma and discrimination</v>
      </c>
      <c r="G42" s="14" t="s">
        <v>923</v>
      </c>
      <c r="H42" s="14" t="str">
        <f t="array" ref="H42">IFERROR(INDEX($B$27:$B$84, MATCH(0, COUNTIF($H$26:H41, $B$27:$B$84&amp;"") + IF($B$27:$B$84="",1,0), 0)), "")</f>
        <v>IOR-00184</v>
      </c>
      <c r="I42" s="14" t="str">
        <f t="array" ref="I42">IFERROR(IF(INDEX($C$27:$C$84,MATCH(LEFT(H42,255),LEFT($B$27:$B$84,255),0))=0,"",INDEX($C$27:$C$84,MATCH(LEFT(H42,255),LEFT($B$27:$B$84,255),0))),"")</f>
        <v>HIV O-16a Percentage of men who have sex with men who avoid health care because of stigma and discrimination</v>
      </c>
      <c r="J42" s="14"/>
      <c r="K42" s="15" t="s">
        <v>924</v>
      </c>
      <c r="L42" s="14" t="str">
        <f t="shared" si="0"/>
        <v>IOR-00184</v>
      </c>
      <c r="M42" s="14" t="s">
        <v>866</v>
      </c>
      <c r="N42" s="14" t="s">
        <v>643</v>
      </c>
      <c r="O42" s="14" t="b">
        <v>0</v>
      </c>
      <c r="P42" s="20">
        <v>11150</v>
      </c>
    </row>
    <row r="43" spans="2:16" x14ac:dyDescent="0.25">
      <c r="B43" s="14" t="s">
        <v>925</v>
      </c>
      <c r="C43" s="16" t="s">
        <v>926</v>
      </c>
      <c r="D43" s="15" t="s">
        <v>821</v>
      </c>
      <c r="E43" s="14" t="s">
        <v>313</v>
      </c>
      <c r="F43" s="14" t="str">
        <f t="array" ref="F43">IFERROR(INDEX($C$27:$C$84, MATCH(0, COUNTIF($F$26:F42, $C$27:$C$84&amp;"") + IF($C$27:$C$84="",1,0), 0)), "")</f>
        <v>HIV O-16b Percentage of transgender people who avoid health care because of stigma and discrimination</v>
      </c>
      <c r="G43" s="14" t="s">
        <v>927</v>
      </c>
      <c r="H43" s="14" t="str">
        <f t="array" ref="H43">IFERROR(INDEX($B$27:$B$84, MATCH(0, COUNTIF($H$26:H42, $B$27:$B$84&amp;"") + IF($B$27:$B$84="",1,0), 0)), "")</f>
        <v>IOR-00185</v>
      </c>
      <c r="I43" s="14" t="str">
        <f t="array" ref="I43">IFERROR(IF(INDEX($C$27:$C$84,MATCH(LEFT(H43,255),LEFT($B$27:$B$84,255),0))=0,"",INDEX($C$27:$C$84,MATCH(LEFT(H43,255),LEFT($B$27:$B$84,255),0))),"")</f>
        <v>HIV O-16b Percentage of transgender people who avoid health care because of stigma and discrimination</v>
      </c>
      <c r="J43" s="14"/>
      <c r="K43" s="15" t="s">
        <v>928</v>
      </c>
      <c r="L43" s="14" t="str">
        <f t="shared" si="0"/>
        <v>IOR-00185</v>
      </c>
      <c r="M43" s="14" t="s">
        <v>866</v>
      </c>
      <c r="N43" s="14" t="s">
        <v>643</v>
      </c>
      <c r="O43" s="14" t="b">
        <v>0</v>
      </c>
      <c r="P43" s="20">
        <v>11160</v>
      </c>
    </row>
    <row r="44" spans="2:16" x14ac:dyDescent="0.25">
      <c r="B44" s="14" t="s">
        <v>929</v>
      </c>
      <c r="C44" s="16" t="s">
        <v>930</v>
      </c>
      <c r="D44" s="15" t="s">
        <v>828</v>
      </c>
      <c r="E44" s="14" t="s">
        <v>313</v>
      </c>
      <c r="F44" s="14" t="str">
        <f t="array" ref="F44">IFERROR(INDEX($C$27:$C$84, MATCH(0, COUNTIF($F$26:F43, $C$27:$C$84&amp;"") + IF($C$27:$C$84="",1,0), 0)), "")</f>
        <v>HIV O-16c Percentage of sex workers who avoid health care because of stigma and discrimination</v>
      </c>
      <c r="G44" s="14" t="s">
        <v>931</v>
      </c>
      <c r="H44" s="14" t="str">
        <f t="array" ref="H44">IFERROR(INDEX($B$27:$B$84, MATCH(0, COUNTIF($H$26:H43, $B$27:$B$84&amp;"") + IF($B$27:$B$84="",1,0), 0)), "")</f>
        <v>IOR-00186</v>
      </c>
      <c r="I44" s="14" t="str">
        <f t="array" ref="I44">IFERROR(IF(INDEX($C$27:$C$84,MATCH(LEFT(H44,255),LEFT($B$27:$B$84,255),0))=0,"",INDEX($C$27:$C$84,MATCH(LEFT(H44,255),LEFT($B$27:$B$84,255),0))),"")</f>
        <v>HIV O-16c Percentage of sex workers who avoid health care because of stigma and discrimination</v>
      </c>
      <c r="J44" s="14"/>
      <c r="K44" s="15" t="s">
        <v>932</v>
      </c>
      <c r="L44" s="14" t="str">
        <f t="shared" si="0"/>
        <v>IOR-00186</v>
      </c>
      <c r="M44" s="14" t="s">
        <v>866</v>
      </c>
      <c r="N44" s="14" t="s">
        <v>643</v>
      </c>
      <c r="O44" s="14" t="b">
        <v>0</v>
      </c>
      <c r="P44" s="20">
        <v>11170</v>
      </c>
    </row>
    <row r="45" spans="2:16" x14ac:dyDescent="0.25">
      <c r="B45" s="14" t="s">
        <v>933</v>
      </c>
      <c r="C45" s="16" t="s">
        <v>934</v>
      </c>
      <c r="D45" s="15" t="s">
        <v>828</v>
      </c>
      <c r="E45" s="14" t="s">
        <v>313</v>
      </c>
      <c r="F45" s="14" t="str">
        <f t="array" ref="F45">IFERROR(INDEX($C$27:$C$84, MATCH(0, COUNTIF($F$26:F44, $C$27:$C$84&amp;"") + IF($C$27:$C$84="",1,0), 0)), "")</f>
        <v>HIV O-16d Percentage of people who inject drugs who avoid health care because of stigma and discrimination</v>
      </c>
      <c r="G45" s="14" t="s">
        <v>935</v>
      </c>
      <c r="H45" s="14" t="str">
        <f t="array" ref="H45">IFERROR(INDEX($B$27:$B$84, MATCH(0, COUNTIF($H$26:H44, $B$27:$B$84&amp;"") + IF($B$27:$B$84="",1,0), 0)), "")</f>
        <v>IOR-00187</v>
      </c>
      <c r="I45" s="14" t="str">
        <f t="array" ref="I45">IFERROR(IF(INDEX($C$27:$C$84,MATCH(LEFT(H45,255),LEFT($B$27:$B$84,255),0))=0,"",INDEX($C$27:$C$84,MATCH(LEFT(H45,255),LEFT($B$27:$B$84,255),0))),"")</f>
        <v>HIV O-16d Percentage of people who inject drugs who avoid health care because of stigma and discrimination</v>
      </c>
      <c r="J45" s="14"/>
      <c r="K45" s="15" t="s">
        <v>936</v>
      </c>
      <c r="L45" s="14" t="str">
        <f t="shared" si="0"/>
        <v>IOR-00187</v>
      </c>
      <c r="M45" s="14" t="s">
        <v>866</v>
      </c>
      <c r="N45" s="14" t="s">
        <v>643</v>
      </c>
      <c r="O45" s="14" t="b">
        <v>0</v>
      </c>
      <c r="P45" s="20">
        <v>11180</v>
      </c>
    </row>
    <row r="46" spans="2:16" x14ac:dyDescent="0.25">
      <c r="B46" s="14" t="s">
        <v>937</v>
      </c>
      <c r="C46" s="16" t="s">
        <v>938</v>
      </c>
      <c r="D46" s="15"/>
      <c r="E46" s="14" t="s">
        <v>313</v>
      </c>
      <c r="F46" s="14" t="str">
        <f t="array" ref="F46">IFERROR(INDEX($C$27:$C$84, MATCH(0, COUNTIF($F$26:F45, $C$27:$C$84&amp;"") + IF($C$27:$C$84="",1,0), 0)), "")</f>
        <v>HIV O-22 Percentage of adolescents avoiding HIV and SRH services due to stigma and discrimination</v>
      </c>
      <c r="G46" s="14" t="s">
        <v>939</v>
      </c>
      <c r="H46" s="14" t="str">
        <f t="array" ref="H46">IFERROR(INDEX($B$27:$B$84, MATCH(0, COUNTIF($H$26:H45, $B$27:$B$84&amp;"") + IF($B$27:$B$84="",1,0), 0)), "")</f>
        <v>IOR-00188</v>
      </c>
      <c r="I46" s="14" t="str">
        <f t="array" ref="I46">IFERROR(IF(INDEX($C$27:$C$84,MATCH(LEFT(H46,255),LEFT($B$27:$B$84,255),0))=0,"",INDEX($C$27:$C$84,MATCH(LEFT(H46,255),LEFT($B$27:$B$84,255),0))),"")</f>
        <v>HIV O-22 Percentage of adolescents avoiding HIV and SRH services due to stigma and discrimination</v>
      </c>
      <c r="J46" s="14"/>
      <c r="K46" s="15" t="s">
        <v>940</v>
      </c>
      <c r="L46" s="14" t="str">
        <f t="shared" si="0"/>
        <v>IOR-00188</v>
      </c>
      <c r="M46" s="14" t="s">
        <v>866</v>
      </c>
      <c r="N46" s="14" t="s">
        <v>643</v>
      </c>
      <c r="O46" s="14" t="b">
        <v>0</v>
      </c>
      <c r="P46" s="20">
        <v>11190</v>
      </c>
    </row>
    <row r="47" spans="2:16" x14ac:dyDescent="0.25">
      <c r="B47" s="14" t="s">
        <v>941</v>
      </c>
      <c r="C47" s="16" t="s">
        <v>942</v>
      </c>
      <c r="D47" s="15"/>
      <c r="E47" s="14" t="s">
        <v>313</v>
      </c>
      <c r="F47" s="14" t="str">
        <f t="array" ref="F47">IFERROR(INDEX($C$27:$C$84, MATCH(0, COUNTIF($F$26:F46, $C$27:$C$84&amp;"") + IF($C$27:$C$84="",1,0), 0)), "")</f>
        <v>HIV O-26 Percentage of people living with HIV who report having experienced stigma and discrimination in the general community in the last 12 months</v>
      </c>
      <c r="G47" s="14" t="s">
        <v>943</v>
      </c>
      <c r="H47" s="14" t="str">
        <f t="array" ref="H47">IFERROR(INDEX($B$27:$B$84, MATCH(0, COUNTIF($H$26:H46, $B$27:$B$84&amp;"") + IF($B$27:$B$84="",1,0), 0)), "")</f>
        <v>IOR-00189</v>
      </c>
      <c r="I47" s="14" t="str">
        <f t="array" ref="I47">IFERROR(IF(INDEX($C$27:$C$84,MATCH(LEFT(H47,255),LEFT($B$27:$B$84,255),0))=0,"",INDEX($C$27:$C$84,MATCH(LEFT(H47,255),LEFT($B$27:$B$84,255),0))),"")</f>
        <v>HIV O-26 Percentage of people living with HIV who report having experienced stigma and discrimination in the general community in the last 12 months</v>
      </c>
      <c r="J47" s="14"/>
      <c r="K47" s="15" t="s">
        <v>944</v>
      </c>
      <c r="L47" s="14" t="str">
        <f t="shared" si="0"/>
        <v>IOR-00189</v>
      </c>
      <c r="M47" s="14" t="s">
        <v>866</v>
      </c>
      <c r="N47" s="14" t="s">
        <v>643</v>
      </c>
      <c r="O47" s="14" t="b">
        <v>0</v>
      </c>
      <c r="P47" s="20">
        <v>11200</v>
      </c>
    </row>
    <row r="48" spans="2:16" x14ac:dyDescent="0.25">
      <c r="B48" s="14" t="s">
        <v>945</v>
      </c>
      <c r="C48" s="16" t="s">
        <v>946</v>
      </c>
      <c r="D48" s="15"/>
      <c r="E48" s="14" t="s">
        <v>313</v>
      </c>
      <c r="F48" s="14" t="str">
        <f t="array" ref="F48">IFERROR(INDEX($C$27:$C$84, MATCH(0, COUNTIF($F$26:F47, $C$27:$C$84&amp;"") + IF($C$27:$C$84="",1,0), 0)), "")</f>
        <v>HIV O-27 Percentage of people living with HIV who report internalized stigma</v>
      </c>
      <c r="G48" s="14" t="s">
        <v>947</v>
      </c>
      <c r="H48" s="14" t="str">
        <f t="array" ref="H48">IFERROR(INDEX($B$27:$B$84, MATCH(0, COUNTIF($H$26:H47, $B$27:$B$84&amp;"") + IF($B$27:$B$84="",1,0), 0)), "")</f>
        <v>IOR-00190</v>
      </c>
      <c r="I48" s="14" t="str">
        <f t="array" ref="I48">IFERROR(IF(INDEX($C$27:$C$84,MATCH(LEFT(H48,255),LEFT($B$27:$B$84,255),0))=0,"",INDEX($C$27:$C$84,MATCH(LEFT(H48,255),LEFT($B$27:$B$84,255),0))),"")</f>
        <v>HIV O-27 Percentage of people living with HIV who report internalized stigma</v>
      </c>
      <c r="J48" s="14"/>
      <c r="K48" s="15" t="s">
        <v>948</v>
      </c>
      <c r="L48" s="14" t="str">
        <f t="shared" si="0"/>
        <v>IOR-00190</v>
      </c>
      <c r="M48" s="14" t="s">
        <v>866</v>
      </c>
      <c r="N48" s="14" t="s">
        <v>643</v>
      </c>
      <c r="O48" s="14" t="b">
        <v>0</v>
      </c>
      <c r="P48" s="20">
        <v>11210</v>
      </c>
    </row>
    <row r="49" spans="2:16" x14ac:dyDescent="0.25">
      <c r="B49" s="14" t="s">
        <v>949</v>
      </c>
      <c r="C49" s="16" t="s">
        <v>950</v>
      </c>
      <c r="D49" s="15"/>
      <c r="E49" s="14" t="s">
        <v>313</v>
      </c>
      <c r="F49" s="14" t="str">
        <f t="array" ref="F49">IFERROR(INDEX($C$27:$C$84, MATCH(0, COUNTIF($F$26:F48, $C$27:$C$84&amp;"") + IF($C$27:$C$84="",1,0), 0)), "")</f>
        <v>HIV O-28a Percentage of MSM who report having experienced stigma and discrimination in the last 6 months</v>
      </c>
      <c r="G49" s="14" t="s">
        <v>951</v>
      </c>
      <c r="H49" s="14" t="str">
        <f t="array" ref="H49">IFERROR(INDEX($B$27:$B$84, MATCH(0, COUNTIF($H$26:H48, $B$27:$B$84&amp;"") + IF($B$27:$B$84="",1,0), 0)), "")</f>
        <v>IOR-00191</v>
      </c>
      <c r="I49" s="14" t="str">
        <f t="array" ref="I49">IFERROR(IF(INDEX($C$27:$C$84,MATCH(LEFT(H49,255),LEFT($B$27:$B$84,255),0))=0,"",INDEX($C$27:$C$84,MATCH(LEFT(H49,255),LEFT($B$27:$B$84,255),0))),"")</f>
        <v>HIV O-28a Percentage of MSM who report having experienced stigma and discrimination in the last 6 months</v>
      </c>
      <c r="J49" s="14"/>
      <c r="K49" s="15" t="s">
        <v>952</v>
      </c>
      <c r="L49" s="14" t="str">
        <f t="shared" si="0"/>
        <v>IOR-00191</v>
      </c>
      <c r="M49" s="14" t="s">
        <v>866</v>
      </c>
      <c r="N49" s="14" t="s">
        <v>643</v>
      </c>
      <c r="O49" s="14" t="b">
        <v>0</v>
      </c>
      <c r="P49" s="20">
        <v>11220</v>
      </c>
    </row>
    <row r="50" spans="2:16" x14ac:dyDescent="0.25">
      <c r="B50" s="14" t="s">
        <v>953</v>
      </c>
      <c r="C50" s="16" t="s">
        <v>954</v>
      </c>
      <c r="D50" s="15"/>
      <c r="E50" s="14" t="s">
        <v>313</v>
      </c>
      <c r="F50" s="14" t="str">
        <f t="array" ref="F50">IFERROR(INDEX($C$27:$C$84, MATCH(0, COUNTIF($F$26:F49, $C$27:$C$84&amp;"") + IF($C$27:$C$84="",1,0), 0)), "")</f>
        <v>HIV O-28b Percentage of transgender people who report having experienced stigma and discrimination in the last 6 months</v>
      </c>
      <c r="G50" s="14" t="s">
        <v>955</v>
      </c>
      <c r="H50" s="14" t="str">
        <f t="array" ref="H50">IFERROR(INDEX($B$27:$B$84, MATCH(0, COUNTIF($H$26:H49, $B$27:$B$84&amp;"") + IF($B$27:$B$84="",1,0), 0)), "")</f>
        <v>IOR-00192</v>
      </c>
      <c r="I50" s="14" t="str">
        <f t="array" ref="I50">IFERROR(IF(INDEX($C$27:$C$84,MATCH(LEFT(H50,255),LEFT($B$27:$B$84,255),0))=0,"",INDEX($C$27:$C$84,MATCH(LEFT(H50,255),LEFT($B$27:$B$84,255),0))),"")</f>
        <v>HIV O-28b Percentage of transgender people who report having experienced stigma and discrimination in the last 6 months</v>
      </c>
      <c r="J50" s="14"/>
      <c r="K50" s="15" t="s">
        <v>956</v>
      </c>
      <c r="L50" s="14" t="str">
        <f t="shared" si="0"/>
        <v>IOR-00192</v>
      </c>
      <c r="M50" s="14" t="s">
        <v>866</v>
      </c>
      <c r="N50" s="14" t="s">
        <v>643</v>
      </c>
      <c r="O50" s="14" t="b">
        <v>0</v>
      </c>
      <c r="P50" s="20">
        <v>11230</v>
      </c>
    </row>
    <row r="51" spans="2:16" x14ac:dyDescent="0.25">
      <c r="B51" s="14" t="s">
        <v>957</v>
      </c>
      <c r="C51" s="16" t="s">
        <v>958</v>
      </c>
      <c r="D51" s="15"/>
      <c r="E51" s="14" t="s">
        <v>313</v>
      </c>
      <c r="F51" s="14" t="str">
        <f t="array" ref="F51">IFERROR(INDEX($C$27:$C$84, MATCH(0, COUNTIF($F$26:F50, $C$27:$C$84&amp;"") + IF($C$27:$C$84="",1,0), 0)), "")</f>
        <v>HIV O-28c Percentage of sex workers who report having experienced stigma and discrimination in the last 6 months</v>
      </c>
      <c r="G51" s="14" t="s">
        <v>959</v>
      </c>
      <c r="H51" s="14" t="str">
        <f t="array" ref="H51">IFERROR(INDEX($B$27:$B$84, MATCH(0, COUNTIF($H$26:H50, $B$27:$B$84&amp;"") + IF($B$27:$B$84="",1,0), 0)), "")</f>
        <v>IOR-00193</v>
      </c>
      <c r="I51" s="14" t="str">
        <f t="array" ref="I51">IFERROR(IF(INDEX($C$27:$C$84,MATCH(LEFT(H51,255),LEFT($B$27:$B$84,255),0))=0,"",INDEX($C$27:$C$84,MATCH(LEFT(H51,255),LEFT($B$27:$B$84,255),0))),"")</f>
        <v>HIV O-28c Percentage of sex workers who report having experienced stigma and discrimination in the last 6 months</v>
      </c>
      <c r="J51" s="14"/>
      <c r="K51" s="15" t="s">
        <v>960</v>
      </c>
      <c r="L51" s="14" t="str">
        <f t="shared" si="0"/>
        <v>IOR-00193</v>
      </c>
      <c r="M51" s="14" t="s">
        <v>866</v>
      </c>
      <c r="N51" s="14" t="s">
        <v>643</v>
      </c>
      <c r="O51" s="14" t="b">
        <v>0</v>
      </c>
      <c r="P51" s="20">
        <v>11240</v>
      </c>
    </row>
    <row r="52" spans="2:16" x14ac:dyDescent="0.25">
      <c r="B52" s="14" t="s">
        <v>961</v>
      </c>
      <c r="C52" s="16" t="s">
        <v>962</v>
      </c>
      <c r="D52" s="15"/>
      <c r="E52" s="14" t="s">
        <v>313</v>
      </c>
      <c r="F52" s="14" t="str">
        <f t="array" ref="F52">IFERROR(INDEX($C$27:$C$84, MATCH(0, COUNTIF($F$26:F51, $C$27:$C$84&amp;"") + IF($C$27:$C$84="",1,0), 0)), "")</f>
        <v>HIV O-28d Percentage of people who inject drugs who report having experienced stigma and discrimination in the last 6 months</v>
      </c>
      <c r="G52" s="14" t="s">
        <v>963</v>
      </c>
      <c r="H52" s="14" t="str">
        <f t="array" ref="H52">IFERROR(INDEX($B$27:$B$84, MATCH(0, COUNTIF($H$26:H51, $B$27:$B$84&amp;"") + IF($B$27:$B$84="",1,0), 0)), "")</f>
        <v>IOR-00194</v>
      </c>
      <c r="I52" s="14" t="str">
        <f t="array" ref="I52">IFERROR(IF(INDEX($C$27:$C$84,MATCH(LEFT(H52,255),LEFT($B$27:$B$84,255),0))=0,"",INDEX($C$27:$C$84,MATCH(LEFT(H52,255),LEFT($B$27:$B$84,255),0))),"")</f>
        <v>HIV O-28d Percentage of people who inject drugs who report having experienced stigma and discrimination in the last 6 months</v>
      </c>
      <c r="J52" s="14"/>
      <c r="K52" s="15" t="s">
        <v>964</v>
      </c>
      <c r="L52" s="14" t="str">
        <f t="shared" si="0"/>
        <v>IOR-00194</v>
      </c>
      <c r="M52" s="14" t="s">
        <v>866</v>
      </c>
      <c r="N52" s="14" t="s">
        <v>643</v>
      </c>
      <c r="O52" s="14" t="b">
        <v>0</v>
      </c>
      <c r="P52" s="20">
        <v>11250</v>
      </c>
    </row>
    <row r="53" spans="2:16" x14ac:dyDescent="0.25">
      <c r="B53" s="14" t="s">
        <v>965</v>
      </c>
      <c r="C53" s="16" t="s">
        <v>966</v>
      </c>
      <c r="D53" s="15"/>
      <c r="E53" s="14" t="s">
        <v>313</v>
      </c>
      <c r="F53" s="14" t="str">
        <f t="array" ref="F53">IFERROR(INDEX($C$27:$C$84, MATCH(0, COUNTIF($F$26:F52, $C$27:$C$84&amp;"") + IF($C$27:$C$84="",1,0), 0)), "")</f>
        <v>HIV O-23 Percentage of health workers who report negative attitudes towards key populations</v>
      </c>
      <c r="G53" s="14" t="s">
        <v>967</v>
      </c>
      <c r="H53" s="14" t="str">
        <f t="array" ref="H53">IFERROR(INDEX($B$27:$B$84, MATCH(0, COUNTIF($H$26:H52, $B$27:$B$84&amp;"") + IF($B$27:$B$84="",1,0), 0)), "")</f>
        <v>IOR-00195</v>
      </c>
      <c r="I53" s="14" t="str">
        <f t="array" ref="I53">IFERROR(IF(INDEX($C$27:$C$84,MATCH(LEFT(H53,255),LEFT($B$27:$B$84,255),0))=0,"",INDEX($C$27:$C$84,MATCH(LEFT(H53,255),LEFT($B$27:$B$84,255),0))),"")</f>
        <v>HIV O-23 Percentage of health workers who report negative attitudes towards key populations</v>
      </c>
      <c r="J53" s="14"/>
      <c r="K53" s="15" t="s">
        <v>968</v>
      </c>
      <c r="L53" s="14" t="str">
        <f t="shared" si="0"/>
        <v>IOR-00195</v>
      </c>
      <c r="M53" s="14" t="s">
        <v>866</v>
      </c>
      <c r="N53" s="14" t="s">
        <v>643</v>
      </c>
      <c r="O53" s="14" t="b">
        <v>0</v>
      </c>
      <c r="P53" s="20">
        <v>11260</v>
      </c>
    </row>
    <row r="54" spans="2:16" x14ac:dyDescent="0.25">
      <c r="B54" s="14" t="s">
        <v>969</v>
      </c>
      <c r="C54" s="16" t="s">
        <v>970</v>
      </c>
      <c r="D54" s="15"/>
      <c r="E54" s="14" t="s">
        <v>313</v>
      </c>
      <c r="F54" s="14" t="str">
        <f t="array" ref="F54">IFERROR(INDEX($C$27:$C$84, MATCH(0, COUNTIF($F$26:F53, $C$27:$C$84&amp;"") + IF($C$27:$C$84="",1,0), 0)), "")</f>
        <v>HIV O-24 Percentage of health workers who report negative attitudes towards people living with HIV</v>
      </c>
      <c r="G54" s="14" t="s">
        <v>971</v>
      </c>
      <c r="H54" s="14" t="str">
        <f t="array" ref="H54">IFERROR(INDEX($B$27:$B$84, MATCH(0, COUNTIF($H$26:H53, $B$27:$B$84&amp;"") + IF($B$27:$B$84="",1,0), 0)), "")</f>
        <v>IOR-00196</v>
      </c>
      <c r="I54" s="14" t="str">
        <f t="array" ref="I54">IFERROR(IF(INDEX($C$27:$C$84,MATCH(LEFT(H54,255),LEFT($B$27:$B$84,255),0))=0,"",INDEX($C$27:$C$84,MATCH(LEFT(H54,255),LEFT($B$27:$B$84,255),0))),"")</f>
        <v>HIV O-24 Percentage of health workers who report negative attitudes towards people living with HIV</v>
      </c>
      <c r="J54" s="14"/>
      <c r="K54" s="15" t="s">
        <v>972</v>
      </c>
      <c r="L54" s="14" t="str">
        <f t="shared" si="0"/>
        <v>IOR-00196</v>
      </c>
      <c r="M54" s="14" t="s">
        <v>866</v>
      </c>
      <c r="N54" s="14" t="s">
        <v>643</v>
      </c>
      <c r="O54" s="14" t="b">
        <v>0</v>
      </c>
      <c r="P54" s="20">
        <v>11270</v>
      </c>
    </row>
    <row r="55" spans="2:16" x14ac:dyDescent="0.25">
      <c r="B55" s="14" t="s">
        <v>973</v>
      </c>
      <c r="C55" s="16" t="s">
        <v>974</v>
      </c>
      <c r="D55" s="15"/>
      <c r="E55" s="14" t="s">
        <v>313</v>
      </c>
      <c r="F55" s="14" t="str">
        <f t="array" ref="F55">IFERROR(INDEX($C$27:$C$84, MATCH(0, COUNTIF($F$26:F54, $C$27:$C$84&amp;"") + IF($C$27:$C$84="",1,0), 0)), "")</f>
        <v>HIV O-25 Percentage of law enforcement officers who report negative attitudes towards key populations</v>
      </c>
      <c r="G55" s="14" t="s">
        <v>975</v>
      </c>
      <c r="H55" s="14" t="str">
        <f t="array" ref="H55">IFERROR(INDEX($B$27:$B$84, MATCH(0, COUNTIF($H$26:H54, $B$27:$B$84&amp;"") + IF($B$27:$B$84="",1,0), 0)), "")</f>
        <v>IOR-00197</v>
      </c>
      <c r="I55" s="14" t="str">
        <f t="array" ref="I55">IFERROR(IF(INDEX($C$27:$C$84,MATCH(LEFT(H55,255),LEFT($B$27:$B$84,255),0))=0,"",INDEX($C$27:$C$84,MATCH(LEFT(H55,255),LEFT($B$27:$B$84,255),0))),"")</f>
        <v>HIV O-25 Percentage of law enforcement officers who report negative attitudes towards key populations</v>
      </c>
      <c r="J55" s="14"/>
      <c r="K55" s="15" t="s">
        <v>976</v>
      </c>
      <c r="L55" s="14" t="str">
        <f t="shared" si="0"/>
        <v>IOR-00197</v>
      </c>
      <c r="M55" s="14" t="s">
        <v>866</v>
      </c>
      <c r="N55" s="14" t="s">
        <v>643</v>
      </c>
      <c r="O55" s="14" t="b">
        <v>0</v>
      </c>
      <c r="P55" s="20">
        <v>11280</v>
      </c>
    </row>
    <row r="56" spans="2:16" x14ac:dyDescent="0.25">
      <c r="B56" s="14" t="s">
        <v>977</v>
      </c>
      <c r="C56" s="16" t="s">
        <v>978</v>
      </c>
      <c r="D56" s="15"/>
      <c r="E56" s="14" t="s">
        <v>313</v>
      </c>
      <c r="F56" s="14" t="str">
        <f t="array" ref="F56">IFERROR(INDEX($C$27:$C$84, MATCH(0, COUNTIF($F$26:F55, $C$27:$C$84&amp;"") + IF($C$27:$C$84="",1,0), 0)), "")</f>
        <v>RSSH/PP O-1 Systems readiness index for CHWs</v>
      </c>
      <c r="G56" s="14" t="s">
        <v>979</v>
      </c>
      <c r="H56" s="14" t="str">
        <f t="array" ref="H56">IFERROR(INDEX($B$27:$B$84, MATCH(0, COUNTIF($H$26:H55, $B$27:$B$84&amp;"") + IF($B$27:$B$84="",1,0), 0)), "")</f>
        <v>IOR-00217</v>
      </c>
      <c r="I56" s="14" t="str">
        <f t="array" ref="I56">IFERROR(IF(INDEX($C$27:$C$84,MATCH(LEFT(H56,255),LEFT($B$27:$B$84,255),0))=0,"",INDEX($C$27:$C$84,MATCH(LEFT(H56,255),LEFT($B$27:$B$84,255),0))),"")</f>
        <v>RSSH/PP O-1 Systems readiness index for CHWs</v>
      </c>
      <c r="J56" s="14"/>
      <c r="K56" s="15" t="s">
        <v>980</v>
      </c>
      <c r="L56" s="14" t="str">
        <f t="shared" si="0"/>
        <v>IOR-00217</v>
      </c>
      <c r="M56" s="14" t="s">
        <v>866</v>
      </c>
      <c r="N56" s="14" t="s">
        <v>643</v>
      </c>
      <c r="O56" s="14" t="b">
        <v>0</v>
      </c>
      <c r="P56" s="20">
        <v>60010</v>
      </c>
    </row>
    <row r="57" spans="2:16" x14ac:dyDescent="0.25">
      <c r="B57" s="14" t="s">
        <v>981</v>
      </c>
      <c r="C57" s="16" t="s">
        <v>982</v>
      </c>
      <c r="D57" s="15"/>
      <c r="E57" s="14" t="s">
        <v>313</v>
      </c>
      <c r="F57" s="14" t="str">
        <f t="array" ref="F57">IFERROR(INDEX($C$27:$C$84, MATCH(0, COUNTIF($F$26:F56, $C$27:$C$84&amp;"") + IF($C$27:$C$84="",1,0), 0)), "")</f>
        <v>RSSH/PP O-2 Digital HMIS maturity profile score</v>
      </c>
      <c r="G57" s="14" t="s">
        <v>983</v>
      </c>
      <c r="H57" s="14" t="str">
        <f t="array" ref="H57">IFERROR(INDEX($B$27:$B$84, MATCH(0, COUNTIF($H$26:H56, $B$27:$B$84&amp;"") + IF($B$27:$B$84="",1,0), 0)), "")</f>
        <v>IOR-00218</v>
      </c>
      <c r="I57" s="14" t="str">
        <f t="array" ref="I57">IFERROR(IF(INDEX($C$27:$C$84,MATCH(LEFT(H57,255),LEFT($B$27:$B$84,255),0))=0,"",INDEX($C$27:$C$84,MATCH(LEFT(H57,255),LEFT($B$27:$B$84,255),0))),"")</f>
        <v>RSSH/PP O-2 Digital HMIS maturity profile score</v>
      </c>
      <c r="J57" s="14"/>
      <c r="K57" s="15" t="s">
        <v>984</v>
      </c>
      <c r="L57" s="14" t="str">
        <f t="shared" si="0"/>
        <v>IOR-00218</v>
      </c>
      <c r="M57" s="14" t="s">
        <v>866</v>
      </c>
      <c r="N57" s="14" t="s">
        <v>643</v>
      </c>
      <c r="O57" s="14" t="b">
        <v>0</v>
      </c>
      <c r="P57" s="20">
        <v>60020</v>
      </c>
    </row>
    <row r="58" spans="2:16" x14ac:dyDescent="0.25">
      <c r="B58" s="14" t="s">
        <v>985</v>
      </c>
      <c r="C58" s="16" t="s">
        <v>986</v>
      </c>
      <c r="D58" s="15" t="s">
        <v>987</v>
      </c>
      <c r="E58" s="14" t="s">
        <v>313</v>
      </c>
      <c r="F58" s="14" t="str">
        <f t="array" ref="F58">IFERROR(INDEX($C$27:$C$84, MATCH(0, COUNTIF($F$26:F57, $C$27:$C$84&amp;"") + IF($C$27:$C$84="",1,0), 0)), "")</f>
        <v>RSSH O-1 Percentage of facilities providing HIV, TB and malaria integrated services to pregnant women</v>
      </c>
      <c r="G58" s="14" t="s">
        <v>988</v>
      </c>
      <c r="H58" s="14" t="str">
        <f t="array" ref="H58">IFERROR(INDEX($B$27:$B$84, MATCH(0, COUNTIF($H$26:H57, $B$27:$B$84&amp;"") + IF($B$27:$B$84="",1,0), 0)), "")</f>
        <v>IOR-00219</v>
      </c>
      <c r="I58" s="14" t="str">
        <f t="array" ref="I58">IFERROR(IF(INDEX($C$27:$C$84,MATCH(LEFT(H58,255),LEFT($B$27:$B$84,255),0))=0,"",INDEX($C$27:$C$84,MATCH(LEFT(H58,255),LEFT($B$27:$B$84,255),0))),"")</f>
        <v>RSSH O-1 Percentage of facilities providing HIV, TB and malaria integrated services to pregnant women</v>
      </c>
      <c r="J58" s="14"/>
      <c r="K58" s="15" t="s">
        <v>989</v>
      </c>
      <c r="L58" s="14" t="str">
        <f t="shared" si="0"/>
        <v>IOR-00219</v>
      </c>
      <c r="M58" s="14" t="s">
        <v>866</v>
      </c>
      <c r="N58" s="14" t="s">
        <v>643</v>
      </c>
      <c r="O58" s="14" t="b">
        <v>0</v>
      </c>
      <c r="P58" s="20">
        <v>60030</v>
      </c>
    </row>
    <row r="59" spans="2:16" x14ac:dyDescent="0.25">
      <c r="B59" s="14" t="s">
        <v>990</v>
      </c>
      <c r="C59" s="16" t="s">
        <v>991</v>
      </c>
      <c r="D59" s="15" t="s">
        <v>992</v>
      </c>
      <c r="E59" s="14" t="s">
        <v>313</v>
      </c>
      <c r="F59" s="14" t="str">
        <f t="array" ref="F59">IFERROR(INDEX($C$27:$C$84, MATCH(0, COUNTIF($F$26:F58, $C$27:$C$84&amp;"") + IF($C$27:$C$84="",1,0), 0)), "")</f>
        <v>RSSH O-2 Percentage of population with large household expenditure on health as a share of total household expenditure or income (catastrophic spending on health)</v>
      </c>
      <c r="G59" s="14" t="s">
        <v>993</v>
      </c>
      <c r="H59" s="14" t="str">
        <f t="array" ref="H59">IFERROR(INDEX($B$27:$B$84, MATCH(0, COUNTIF($H$26:H58, $B$27:$B$84&amp;"") + IF($B$27:$B$84="",1,0), 0)), "")</f>
        <v>IOR-00220</v>
      </c>
      <c r="I59" s="14" t="str">
        <f t="array" ref="I59">IFERROR(IF(INDEX($C$27:$C$84,MATCH(LEFT(H59,255),LEFT($B$27:$B$84,255),0))=0,"",INDEX($C$27:$C$84,MATCH(LEFT(H59,255),LEFT($B$27:$B$84,255),0))),"")</f>
        <v>RSSH O-2 Percentage of population with large household expenditure on health as a share of total household expenditure or income (catastrophic spending on health)</v>
      </c>
      <c r="J59" s="14"/>
      <c r="K59" s="15" t="s">
        <v>994</v>
      </c>
      <c r="L59" s="14" t="str">
        <f t="shared" si="0"/>
        <v>IOR-00220</v>
      </c>
      <c r="M59" s="14" t="s">
        <v>866</v>
      </c>
      <c r="N59" s="14" t="s">
        <v>643</v>
      </c>
      <c r="O59" s="14" t="b">
        <v>0</v>
      </c>
      <c r="P59" s="20">
        <v>60040</v>
      </c>
    </row>
    <row r="60" spans="2:16" x14ac:dyDescent="0.25">
      <c r="B60" s="14" t="s">
        <v>995</v>
      </c>
      <c r="C60" s="16" t="s">
        <v>996</v>
      </c>
      <c r="D60" s="15" t="s">
        <v>997</v>
      </c>
      <c r="E60" s="14" t="s">
        <v>313</v>
      </c>
      <c r="F60" s="14" t="str">
        <f t="array" ref="F60">IFERROR(INDEX($C$27:$C$84, MATCH(0, COUNTIF($F$26:F59, $C$27:$C$84&amp;"") + IF($C$27:$C$84="",1,0), 0)), "")</f>
        <v>RSSH O-3 On-shelf availability: Percentage of facilities with tracer health products for the three diseases - HIV, TB, malaria (as applicable) available on the day of the visit or day of reporting</v>
      </c>
      <c r="G60" s="14" t="s">
        <v>998</v>
      </c>
      <c r="H60" s="14" t="str">
        <f t="array" ref="H60">IFERROR(INDEX($B$27:$B$84, MATCH(0, COUNTIF($H$26:H59, $B$27:$B$84&amp;"") + IF($B$27:$B$84="",1,0), 0)), "")</f>
        <v>IOR-00221</v>
      </c>
      <c r="I60" s="14" t="str">
        <f t="array" ref="I60">IFERROR(IF(INDEX($C$27:$C$84,MATCH(LEFT(H60,255),LEFT($B$27:$B$84,255),0))=0,"",INDEX($C$27:$C$84,MATCH(LEFT(H60,255),LEFT($B$27:$B$84,255),0))),"")</f>
        <v>RSSH O-3 On-shelf availability: Percentage of facilities with tracer health products for the three diseases - HIV, TB, malaria (as applicable) available on the day of the visit or day of reporting</v>
      </c>
      <c r="J60" s="14"/>
      <c r="K60" s="15" t="s">
        <v>999</v>
      </c>
      <c r="L60" s="14" t="str">
        <f t="shared" si="0"/>
        <v>IOR-00221</v>
      </c>
      <c r="M60" s="14" t="s">
        <v>866</v>
      </c>
      <c r="N60" s="14" t="s">
        <v>643</v>
      </c>
      <c r="O60" s="14" t="b">
        <v>0</v>
      </c>
      <c r="P60" s="20">
        <v>60050</v>
      </c>
    </row>
    <row r="61" spans="2:16" x14ac:dyDescent="0.25">
      <c r="B61" s="14" t="s">
        <v>1000</v>
      </c>
      <c r="C61" s="16" t="s">
        <v>1001</v>
      </c>
      <c r="D61" s="15" t="s">
        <v>1002</v>
      </c>
      <c r="E61" s="14" t="s">
        <v>313</v>
      </c>
      <c r="F61" s="14" t="str">
        <f t="array" ref="F61">IFERROR(INDEX($C$27:$C$84, MATCH(0, COUNTIF($F$26:F60, $C$27:$C$84&amp;"") + IF($C$27:$C$84="",1,0), 0)), "")</f>
        <v>RSSH O-4 Maturity level of the national medical products regulatory system</v>
      </c>
      <c r="G61" s="14" t="s">
        <v>1003</v>
      </c>
      <c r="H61" s="14" t="str">
        <f t="array" ref="H61">IFERROR(INDEX($B$27:$B$84, MATCH(0, COUNTIF($H$26:H60, $B$27:$B$84&amp;"") + IF($B$27:$B$84="",1,0), 0)), "")</f>
        <v>IOR-00222</v>
      </c>
      <c r="I61" s="14" t="str">
        <f t="array" ref="I61">IFERROR(IF(INDEX($C$27:$C$84,MATCH(LEFT(H61,255),LEFT($B$27:$B$84,255),0))=0,"",INDEX($C$27:$C$84,MATCH(LEFT(H61,255),LEFT($B$27:$B$84,255),0))),"")</f>
        <v>RSSH O-4 Maturity level of the national medical products regulatory system</v>
      </c>
      <c r="J61" s="14"/>
      <c r="K61" s="15" t="s">
        <v>1004</v>
      </c>
      <c r="L61" s="14" t="str">
        <f t="shared" si="0"/>
        <v>IOR-00222</v>
      </c>
      <c r="M61" s="14" t="s">
        <v>866</v>
      </c>
      <c r="N61" s="14" t="s">
        <v>643</v>
      </c>
      <c r="O61" s="14" t="b">
        <v>0</v>
      </c>
      <c r="P61" s="20">
        <v>60060</v>
      </c>
    </row>
    <row r="62" spans="2:16" x14ac:dyDescent="0.25">
      <c r="B62" s="14" t="s">
        <v>977</v>
      </c>
      <c r="C62" s="16" t="s">
        <v>978</v>
      </c>
      <c r="D62" s="15"/>
      <c r="E62" s="14" t="s">
        <v>315</v>
      </c>
      <c r="F62" s="14" t="str">
        <f t="array" ref="F62">IFERROR(INDEX($C$27:$C$84, MATCH(0, COUNTIF($F$26:F61, $C$27:$C$84&amp;"") + IF($C$27:$C$84="",1,0), 0)), "")</f>
        <v>TB O-5⁽ᴹ⁾ TB treatment coverage: Percentage of patients with new and relapse TB that were notified and treated among the estimated number of incident TB in the same year (all forms of TB - bacteriologically confirmed plus clinically diagnosed</v>
      </c>
      <c r="G62" s="14" t="s">
        <v>979</v>
      </c>
      <c r="H62" s="14" t="str">
        <f t="array" ref="H62">IFERROR(INDEX($B$27:$B$84, MATCH(0, COUNTIF($H$26:H61, $B$27:$B$84&amp;"") + IF($B$27:$B$84="",1,0), 0)), "")</f>
        <v>IOR-00198</v>
      </c>
      <c r="I62" s="14" t="str">
        <f t="array" ref="I62">IFERROR(IF(INDEX($C$27:$C$84,MATCH(LEFT(H62,255),LEFT($B$27:$B$84,255),0))=0,"",INDEX($C$27:$C$84,MATCH(LEFT(H62,255),LEFT($B$27:$B$84,255),0))),"")</f>
        <v>TB O-5⁽ᴹ⁾ TB treatment coverage: Percentage of patients with new and relapse TB that were notified and treated among the estimated number of incident TB in the same year (all forms of TB - bacteriologically confirmed plus clinically diagnosed</v>
      </c>
      <c r="J62" s="14"/>
      <c r="K62" s="15" t="s">
        <v>1005</v>
      </c>
      <c r="L62" s="14" t="str">
        <f t="shared" si="0"/>
        <v>IOR-00217</v>
      </c>
      <c r="M62" s="14" t="s">
        <v>866</v>
      </c>
      <c r="N62" s="14" t="s">
        <v>643</v>
      </c>
      <c r="O62" s="14" t="b">
        <v>0</v>
      </c>
      <c r="P62" s="20">
        <v>60010</v>
      </c>
    </row>
    <row r="63" spans="2:16" x14ac:dyDescent="0.25">
      <c r="B63" s="14" t="s">
        <v>981</v>
      </c>
      <c r="C63" s="16" t="s">
        <v>982</v>
      </c>
      <c r="D63" s="15"/>
      <c r="E63" s="14" t="s">
        <v>315</v>
      </c>
      <c r="F63" s="14" t="str">
        <f t="array" ref="F63">IFERROR(INDEX($C$27:$C$84, MATCH(0, COUNTIF($F$26:F62, $C$27:$C$84&amp;"") + IF($C$27:$C$84="",1,0), 0)), "")</f>
        <v>TB O-2a Treatment success rate of all forms of TB - bacteriologically confirmed plus clinically diagnosed, new and relapse</v>
      </c>
      <c r="G63" s="14" t="s">
        <v>983</v>
      </c>
      <c r="H63" s="14" t="str">
        <f t="array" ref="H63">IFERROR(INDEX($B$27:$B$84, MATCH(0, COUNTIF($H$26:H62, $B$27:$B$84&amp;"") + IF($B$27:$B$84="",1,0), 0)), "")</f>
        <v>IOR-00199</v>
      </c>
      <c r="I63" s="14" t="str">
        <f t="array" ref="I63">IFERROR(IF(INDEX($C$27:$C$84,MATCH(LEFT(H63,255),LEFT($B$27:$B$84,255),0))=0,"",INDEX($C$27:$C$84,MATCH(LEFT(H63,255),LEFT($B$27:$B$84,255),0))),"")</f>
        <v>TB O-2a Treatment success rate of all forms of TB - bacteriologically confirmed plus clinically diagnosed, new and relapse</v>
      </c>
      <c r="J63" s="14"/>
      <c r="K63" s="15" t="s">
        <v>1006</v>
      </c>
      <c r="L63" s="14" t="str">
        <f t="shared" si="0"/>
        <v>IOR-00218</v>
      </c>
      <c r="M63" s="14" t="s">
        <v>866</v>
      </c>
      <c r="N63" s="14" t="s">
        <v>643</v>
      </c>
      <c r="O63" s="14" t="b">
        <v>0</v>
      </c>
      <c r="P63" s="20">
        <v>60020</v>
      </c>
    </row>
    <row r="64" spans="2:16" x14ac:dyDescent="0.25">
      <c r="B64" s="14" t="s">
        <v>985</v>
      </c>
      <c r="C64" s="16" t="s">
        <v>986</v>
      </c>
      <c r="D64" s="15" t="s">
        <v>987</v>
      </c>
      <c r="E64" s="14" t="s">
        <v>315</v>
      </c>
      <c r="F64" s="14" t="str">
        <f t="array" ref="F64">IFERROR(INDEX($C$27:$C$84, MATCH(0, COUNTIF($F$26:F63, $C$27:$C$84&amp;"") + IF($C$27:$C$84="",1,0), 0)), "")</f>
        <v>TB O-6 Treatment coverage of RR-TB and/or MDR-TB: Percentage of notified people with bacteriologically confirmed, drug resistant RR-TB and/or MDR-TB as a proportion of all estimated people with RR-TB and/or MDR-TB</v>
      </c>
      <c r="G64" s="14" t="s">
        <v>988</v>
      </c>
      <c r="H64" s="14" t="str">
        <f t="array" ref="H64">IFERROR(INDEX($B$27:$B$84, MATCH(0, COUNTIF($H$26:H63, $B$27:$B$84&amp;"") + IF($B$27:$B$84="",1,0), 0)), "")</f>
        <v>IOR-00200</v>
      </c>
      <c r="I64" s="14" t="str">
        <f t="array" ref="I64">IFERROR(IF(INDEX($C$27:$C$84,MATCH(LEFT(H64,255),LEFT($B$27:$B$84,255),0))=0,"",INDEX($C$27:$C$84,MATCH(LEFT(H64,255),LEFT($B$27:$B$84,255),0))),"")</f>
        <v>TB O-6 Treatment coverage of RR-TB and/or MDR-TB: Percentage of notified people with bacteriologically confirmed, drug resistant RR-TB and/or MDR-TB as a proportion of all estimated people with RR-TB and/or MDR-TB</v>
      </c>
      <c r="J64" s="14"/>
      <c r="K64" s="15" t="s">
        <v>1007</v>
      </c>
      <c r="L64" s="14" t="str">
        <f t="shared" si="0"/>
        <v>IOR-00219</v>
      </c>
      <c r="M64" s="14" t="s">
        <v>866</v>
      </c>
      <c r="N64" s="14" t="s">
        <v>643</v>
      </c>
      <c r="O64" s="14" t="b">
        <v>0</v>
      </c>
      <c r="P64" s="20">
        <v>60030</v>
      </c>
    </row>
    <row r="65" spans="2:16" x14ac:dyDescent="0.25">
      <c r="B65" s="14" t="s">
        <v>990</v>
      </c>
      <c r="C65" s="16" t="s">
        <v>991</v>
      </c>
      <c r="D65" s="15" t="s">
        <v>992</v>
      </c>
      <c r="E65" s="14" t="s">
        <v>315</v>
      </c>
      <c r="F65" s="14" t="str">
        <f t="array" ref="F65">IFERROR(INDEX($C$27:$C$84, MATCH(0, COUNTIF($F$26:F64, $C$27:$C$84&amp;"") + IF($C$27:$C$84="",1,0), 0)), "")</f>
        <v>TB O-4⁽ᴹ⁾ Treatment success rate of RR-TB and/or MDR-TB: Percentage of patients with RR and/or MDR-TB successfully treated</v>
      </c>
      <c r="G65" s="14" t="s">
        <v>993</v>
      </c>
      <c r="H65" s="14" t="str">
        <f t="array" ref="H65">IFERROR(INDEX($B$27:$B$84, MATCH(0, COUNTIF($H$26:H64, $B$27:$B$84&amp;"") + IF($B$27:$B$84="",1,0), 0)), "")</f>
        <v>IOR-00201</v>
      </c>
      <c r="I65" s="14" t="str">
        <f t="array" ref="I65">IFERROR(IF(INDEX($C$27:$C$84,MATCH(LEFT(H65,255),LEFT($B$27:$B$84,255),0))=0,"",INDEX($C$27:$C$84,MATCH(LEFT(H65,255),LEFT($B$27:$B$84,255),0))),"")</f>
        <v>TB O-4⁽ᴹ⁾ Treatment success rate of RR-TB and/or MDR-TB: Percentage of patients with RR and/or MDR-TB successfully treated</v>
      </c>
      <c r="J65" s="14"/>
      <c r="K65" s="15" t="s">
        <v>1008</v>
      </c>
      <c r="L65" s="14" t="str">
        <f t="shared" si="0"/>
        <v>IOR-00220</v>
      </c>
      <c r="M65" s="14" t="s">
        <v>866</v>
      </c>
      <c r="N65" s="14" t="s">
        <v>643</v>
      </c>
      <c r="O65" s="14" t="b">
        <v>0</v>
      </c>
      <c r="P65" s="20">
        <v>60040</v>
      </c>
    </row>
    <row r="66" spans="2:16" x14ac:dyDescent="0.25">
      <c r="B66" s="14" t="s">
        <v>995</v>
      </c>
      <c r="C66" s="16" t="s">
        <v>996</v>
      </c>
      <c r="D66" s="15" t="s">
        <v>997</v>
      </c>
      <c r="E66" s="14" t="s">
        <v>315</v>
      </c>
      <c r="F66" s="14" t="str">
        <f t="array" ref="F66">IFERROR(INDEX($C$27:$C$84, MATCH(0, COUNTIF($F$26:F65, $C$27:$C$84&amp;"") + IF($C$27:$C$84="",1,0), 0)), "")</f>
        <v>TB O-7 Percentage of people diagnosed with TB who experienced self-stigma that inhibited them from seeking and accessing TB services</v>
      </c>
      <c r="G66" s="14" t="s">
        <v>998</v>
      </c>
      <c r="H66" s="14" t="str">
        <f t="array" ref="H66">IFERROR(INDEX($B$27:$B$84, MATCH(0, COUNTIF($H$26:H65, $B$27:$B$84&amp;"") + IF($B$27:$B$84="",1,0), 0)), "")</f>
        <v>IOR-00202</v>
      </c>
      <c r="I66" s="14" t="str">
        <f t="array" ref="I66">IFERROR(IF(INDEX($C$27:$C$84,MATCH(LEFT(H66,255),LEFT($B$27:$B$84,255),0))=0,"",INDEX($C$27:$C$84,MATCH(LEFT(H66,255),LEFT($B$27:$B$84,255),0))),"")</f>
        <v>TB O-7 Percentage of people diagnosed with TB who experienced self-stigma that inhibited them from seeking and accessing TB services</v>
      </c>
      <c r="J66" s="14"/>
      <c r="K66" s="15" t="s">
        <v>1009</v>
      </c>
      <c r="L66" s="14" t="str">
        <f t="shared" si="0"/>
        <v>IOR-00221</v>
      </c>
      <c r="M66" s="14" t="s">
        <v>866</v>
      </c>
      <c r="N66" s="14" t="s">
        <v>643</v>
      </c>
      <c r="O66" s="14" t="b">
        <v>0</v>
      </c>
      <c r="P66" s="20">
        <v>60050</v>
      </c>
    </row>
    <row r="67" spans="2:16" x14ac:dyDescent="0.25">
      <c r="B67" s="14" t="s">
        <v>1000</v>
      </c>
      <c r="C67" s="16" t="s">
        <v>1001</v>
      </c>
      <c r="D67" s="15" t="s">
        <v>1002</v>
      </c>
      <c r="E67" s="14" t="s">
        <v>315</v>
      </c>
      <c r="F67" s="14" t="str">
        <f t="array" ref="F67">IFERROR(INDEX($C$27:$C$84, MATCH(0, COUNTIF($F$26:F66, $C$27:$C$84&amp;"") + IF($C$27:$C$84="",1,0), 0)), "")</f>
        <v>TB O-8 Percentage of people diagnosed with TB who report stigma in health care settings that inhibited them from seeking and accessing TB services</v>
      </c>
      <c r="G67" s="14" t="s">
        <v>1003</v>
      </c>
      <c r="H67" s="14" t="str">
        <f t="array" ref="H67">IFERROR(INDEX($B$27:$B$84, MATCH(0, COUNTIF($H$26:H66, $B$27:$B$84&amp;"") + IF($B$27:$B$84="",1,0), 0)), "")</f>
        <v>IOR-00203</v>
      </c>
      <c r="I67" s="14" t="str">
        <f t="array" ref="I67">IFERROR(IF(INDEX($C$27:$C$84,MATCH(LEFT(H67,255),LEFT($B$27:$B$84,255),0))=0,"",INDEX($C$27:$C$84,MATCH(LEFT(H67,255),LEFT($B$27:$B$84,255),0))),"")</f>
        <v>TB O-8 Percentage of people diagnosed with TB who report stigma in health care settings that inhibited them from seeking and accessing TB services</v>
      </c>
      <c r="J67" s="14"/>
      <c r="K67" s="15" t="s">
        <v>1010</v>
      </c>
      <c r="L67" s="14" t="str">
        <f t="shared" si="0"/>
        <v>IOR-00222</v>
      </c>
      <c r="M67" s="14" t="s">
        <v>866</v>
      </c>
      <c r="N67" s="14" t="s">
        <v>643</v>
      </c>
      <c r="O67" s="14" t="b">
        <v>0</v>
      </c>
      <c r="P67" s="20">
        <v>60060</v>
      </c>
    </row>
    <row r="68" spans="2:16" x14ac:dyDescent="0.25">
      <c r="B68" s="14" t="s">
        <v>1011</v>
      </c>
      <c r="C68" s="16" t="s">
        <v>1012</v>
      </c>
      <c r="D68" s="15" t="s">
        <v>828</v>
      </c>
      <c r="E68" s="14" t="s">
        <v>314</v>
      </c>
      <c r="F68" s="14" t="str">
        <f t="array" ref="F68">IFERROR(INDEX($C$27:$C$84, MATCH(0, COUNTIF($F$26:F67, $C$27:$C$84&amp;"") + IF($C$27:$C$84="",1,0), 0)), "")</f>
        <v>TB O-9 Percentage of people diagnosed with TB who report stigma in community settings that inhibited them from seeking and accessing TB services</v>
      </c>
      <c r="G68" s="14" t="s">
        <v>1013</v>
      </c>
      <c r="H68" s="14" t="str">
        <f t="array" ref="H68">IFERROR(INDEX($B$27:$B$84, MATCH(0, COUNTIF($H$26:H67, $B$27:$B$84&amp;"") + IF($B$27:$B$84="",1,0), 0)), "")</f>
        <v>IOR-00204</v>
      </c>
      <c r="I68" s="14" t="str">
        <f t="array" ref="I68">IFERROR(IF(INDEX($C$27:$C$84,MATCH(LEFT(H68,255),LEFT($B$27:$B$84,255),0))=0,"",INDEX($C$27:$C$84,MATCH(LEFT(H68,255),LEFT($B$27:$B$84,255),0))),"")</f>
        <v>TB O-9 Percentage of people diagnosed with TB who report stigma in community settings that inhibited them from seeking and accessing TB services</v>
      </c>
      <c r="J68" s="14"/>
      <c r="K68" s="15" t="s">
        <v>1014</v>
      </c>
      <c r="L68" s="14" t="str">
        <f t="shared" si="0"/>
        <v>IOR-00198</v>
      </c>
      <c r="M68" s="14" t="s">
        <v>866</v>
      </c>
      <c r="N68" s="14" t="s">
        <v>643</v>
      </c>
      <c r="O68" s="14" t="b">
        <v>0</v>
      </c>
      <c r="P68" s="20">
        <v>21010</v>
      </c>
    </row>
    <row r="69" spans="2:16" x14ac:dyDescent="0.25">
      <c r="B69" s="14" t="s">
        <v>1015</v>
      </c>
      <c r="C69" s="16" t="s">
        <v>1016</v>
      </c>
      <c r="D69" s="15"/>
      <c r="E69" s="14" t="s">
        <v>314</v>
      </c>
      <c r="F69" s="14" t="str">
        <f t="array" ref="F69">IFERROR(INDEX($C$27:$C$84, MATCH(0, COUNTIF($F$26:F68, $C$27:$C$84&amp;"") + IF($C$27:$C$84="",1,0), 0)), "")</f>
        <v/>
      </c>
      <c r="G69" s="14" t="s">
        <v>1017</v>
      </c>
      <c r="H69" s="14" t="str">
        <f t="array" ref="H69">IFERROR(INDEX($B$27:$B$84, MATCH(0, COUNTIF($H$26:H68, $B$27:$B$84&amp;"") + IF($B$27:$B$84="",1,0), 0)), "")</f>
        <v/>
      </c>
      <c r="I69" s="14" t="str">
        <f t="array" ref="I69">IFERROR(IF(INDEX($C$27:$C$84,MATCH(LEFT(H69,255),LEFT($B$27:$B$84,255),0))=0,"",INDEX($C$27:$C$84,MATCH(LEFT(H69,255),LEFT($B$27:$B$84,255),0))),"")</f>
        <v/>
      </c>
      <c r="J69" s="14"/>
      <c r="K69" s="15" t="s">
        <v>1018</v>
      </c>
      <c r="L69" s="14" t="str">
        <f t="shared" si="0"/>
        <v>IOR-00199</v>
      </c>
      <c r="M69" s="14" t="s">
        <v>866</v>
      </c>
      <c r="N69" s="14" t="s">
        <v>643</v>
      </c>
      <c r="O69" s="14" t="b">
        <v>0</v>
      </c>
      <c r="P69" s="20">
        <v>21020</v>
      </c>
    </row>
    <row r="70" spans="2:16" x14ac:dyDescent="0.25">
      <c r="B70" s="14" t="s">
        <v>1019</v>
      </c>
      <c r="C70" s="16" t="s">
        <v>1020</v>
      </c>
      <c r="D70" s="15"/>
      <c r="E70" s="14" t="s">
        <v>314</v>
      </c>
      <c r="F70" s="14" t="str">
        <f t="array" ref="F70">IFERROR(INDEX($C$27:$C$84, MATCH(0, COUNTIF($F$26:F69, $C$27:$C$84&amp;"") + IF($C$27:$C$84="",1,0), 0)), "")</f>
        <v/>
      </c>
      <c r="G70" s="14" t="s">
        <v>1021</v>
      </c>
      <c r="H70" s="14" t="str">
        <f t="array" ref="H70">IFERROR(INDEX($B$27:$B$84, MATCH(0, COUNTIF($H$26:H69, $B$27:$B$84&amp;"") + IF($B$27:$B$84="",1,0), 0)), "")</f>
        <v/>
      </c>
      <c r="I70" s="14" t="str">
        <f t="array" ref="I70">IFERROR(IF(INDEX($C$27:$C$84,MATCH(LEFT(H70,255),LEFT($B$27:$B$84,255),0))=0,"",INDEX($C$27:$C$84,MATCH(LEFT(H70,255),LEFT($B$27:$B$84,255),0))),"")</f>
        <v/>
      </c>
      <c r="J70" s="14"/>
      <c r="K70" s="15" t="s">
        <v>1022</v>
      </c>
      <c r="L70" s="14" t="str">
        <f t="shared" si="0"/>
        <v>IOR-00200</v>
      </c>
      <c r="M70" s="14" t="s">
        <v>866</v>
      </c>
      <c r="N70" s="14" t="s">
        <v>643</v>
      </c>
      <c r="O70" s="14" t="b">
        <v>0</v>
      </c>
      <c r="P70" s="20">
        <v>21030</v>
      </c>
    </row>
    <row r="71" spans="2:16" x14ac:dyDescent="0.25">
      <c r="B71" s="14" t="s">
        <v>1023</v>
      </c>
      <c r="C71" s="16" t="s">
        <v>1024</v>
      </c>
      <c r="D71" s="15"/>
      <c r="E71" s="14" t="s">
        <v>314</v>
      </c>
      <c r="F71" s="14" t="str">
        <f t="array" ref="F71">IFERROR(INDEX($C$27:$C$84, MATCH(0, COUNTIF($F$26:F70, $C$27:$C$84&amp;"") + IF($C$27:$C$84="",1,0), 0)), "")</f>
        <v/>
      </c>
      <c r="G71" s="14" t="s">
        <v>1025</v>
      </c>
      <c r="H71" s="14" t="str">
        <f t="array" ref="H71">IFERROR(INDEX($B$27:$B$84, MATCH(0, COUNTIF($H$26:H70, $B$27:$B$84&amp;"") + IF($B$27:$B$84="",1,0), 0)), "")</f>
        <v/>
      </c>
      <c r="I71" s="14" t="str">
        <f t="array" ref="I71">IFERROR(IF(INDEX($C$27:$C$84,MATCH(LEFT(H71,255),LEFT($B$27:$B$84,255),0))=0,"",INDEX($C$27:$C$84,MATCH(LEFT(H71,255),LEFT($B$27:$B$84,255),0))),"")</f>
        <v/>
      </c>
      <c r="J71" s="14"/>
      <c r="K71" s="15" t="s">
        <v>1026</v>
      </c>
      <c r="L71" s="14" t="str">
        <f t="shared" si="0"/>
        <v>IOR-00201</v>
      </c>
      <c r="M71" s="14" t="s">
        <v>866</v>
      </c>
      <c r="N71" s="14" t="s">
        <v>643</v>
      </c>
      <c r="O71" s="14" t="b">
        <v>0</v>
      </c>
      <c r="P71" s="20">
        <v>21040</v>
      </c>
    </row>
    <row r="72" spans="2:16" x14ac:dyDescent="0.25">
      <c r="B72" s="14" t="s">
        <v>1027</v>
      </c>
      <c r="C72" s="16" t="s">
        <v>1028</v>
      </c>
      <c r="D72" s="15"/>
      <c r="E72" s="14" t="s">
        <v>314</v>
      </c>
      <c r="F72" s="14" t="str">
        <f t="array" ref="F72">IFERROR(INDEX($C$27:$C$84, MATCH(0, COUNTIF($F$26:F71, $C$27:$C$84&amp;"") + IF($C$27:$C$84="",1,0), 0)), "")</f>
        <v/>
      </c>
      <c r="G72" s="14" t="s">
        <v>1029</v>
      </c>
      <c r="H72" s="14" t="str">
        <f t="array" ref="H72">IFERROR(INDEX($B$27:$B$84, MATCH(0, COUNTIF($H$26:H71, $B$27:$B$84&amp;"") + IF($B$27:$B$84="",1,0), 0)), "")</f>
        <v/>
      </c>
      <c r="I72" s="14" t="str">
        <f t="array" ref="I72">IFERROR(IF(INDEX($C$27:$C$84,MATCH(LEFT(H72,255),LEFT($B$27:$B$84,255),0))=0,"",INDEX($C$27:$C$84,MATCH(LEFT(H72,255),LEFT($B$27:$B$84,255),0))),"")</f>
        <v/>
      </c>
      <c r="J72" s="14"/>
      <c r="K72" s="15" t="s">
        <v>1030</v>
      </c>
      <c r="L72" s="14" t="str">
        <f t="shared" si="0"/>
        <v>IOR-00202</v>
      </c>
      <c r="M72" s="14" t="s">
        <v>866</v>
      </c>
      <c r="N72" s="14" t="s">
        <v>643</v>
      </c>
      <c r="O72" s="14" t="b">
        <v>0</v>
      </c>
      <c r="P72" s="20">
        <v>21050</v>
      </c>
    </row>
    <row r="73" spans="2:16" x14ac:dyDescent="0.25">
      <c r="B73" s="14" t="s">
        <v>1031</v>
      </c>
      <c r="C73" s="16" t="s">
        <v>1032</v>
      </c>
      <c r="D73" s="15"/>
      <c r="E73" s="14" t="s">
        <v>314</v>
      </c>
      <c r="F73" s="14" t="str">
        <f t="array" ref="F73">IFERROR(INDEX($C$27:$C$84, MATCH(0, COUNTIF($F$26:F72, $C$27:$C$84&amp;"") + IF($C$27:$C$84="",1,0), 0)), "")</f>
        <v/>
      </c>
      <c r="G73" s="14" t="s">
        <v>1033</v>
      </c>
      <c r="H73" s="14" t="str">
        <f t="array" ref="H73">IFERROR(INDEX($B$27:$B$84, MATCH(0, COUNTIF($H$26:H72, $B$27:$B$84&amp;"") + IF($B$27:$B$84="",1,0), 0)), "")</f>
        <v/>
      </c>
      <c r="I73" s="14" t="str">
        <f t="array" ref="I73">IFERROR(IF(INDEX($C$27:$C$84,MATCH(LEFT(H73,255),LEFT($B$27:$B$84,255),0))=0,"",INDEX($C$27:$C$84,MATCH(LEFT(H73,255),LEFT($B$27:$B$84,255),0))),"")</f>
        <v/>
      </c>
      <c r="J73" s="14"/>
      <c r="K73" s="15" t="s">
        <v>1034</v>
      </c>
      <c r="L73" s="14" t="str">
        <f t="shared" si="0"/>
        <v>IOR-00203</v>
      </c>
      <c r="M73" s="14" t="s">
        <v>866</v>
      </c>
      <c r="N73" s="14" t="s">
        <v>643</v>
      </c>
      <c r="O73" s="14" t="b">
        <v>0</v>
      </c>
      <c r="P73" s="20">
        <v>21060</v>
      </c>
    </row>
    <row r="74" spans="2:16" x14ac:dyDescent="0.25">
      <c r="B74" s="14" t="s">
        <v>1035</v>
      </c>
      <c r="C74" s="16" t="s">
        <v>1036</v>
      </c>
      <c r="D74" s="15"/>
      <c r="E74" s="14" t="s">
        <v>314</v>
      </c>
      <c r="F74" s="14" t="str">
        <f t="array" ref="F74">IFERROR(INDEX($C$27:$C$84, MATCH(0, COUNTIF($F$26:F73, $C$27:$C$84&amp;"") + IF($C$27:$C$84="",1,0), 0)), "")</f>
        <v/>
      </c>
      <c r="G74" s="14" t="s">
        <v>1037</v>
      </c>
      <c r="H74" s="14" t="str">
        <f t="array" ref="H74">IFERROR(INDEX($B$27:$B$84, MATCH(0, COUNTIF($H$26:H73, $B$27:$B$84&amp;"") + IF($B$27:$B$84="",1,0), 0)), "")</f>
        <v/>
      </c>
      <c r="I74" s="14" t="str">
        <f t="array" ref="I74">IFERROR(IF(INDEX($C$27:$C$84,MATCH(LEFT(H74,255),LEFT($B$27:$B$84,255),0))=0,"",INDEX($C$27:$C$84,MATCH(LEFT(H74,255),LEFT($B$27:$B$84,255),0))),"")</f>
        <v/>
      </c>
      <c r="J74" s="14"/>
      <c r="K74" s="15" t="s">
        <v>1038</v>
      </c>
      <c r="L74" s="14" t="str">
        <f t="shared" si="0"/>
        <v>IOR-00204</v>
      </c>
      <c r="M74" s="14" t="s">
        <v>866</v>
      </c>
      <c r="N74" s="14" t="s">
        <v>643</v>
      </c>
      <c r="O74" s="14" t="b">
        <v>0</v>
      </c>
      <c r="P74" s="20">
        <v>21070</v>
      </c>
    </row>
    <row r="75" spans="2:16" x14ac:dyDescent="0.25">
      <c r="B75" s="14" t="s">
        <v>977</v>
      </c>
      <c r="C75" s="16" t="s">
        <v>978</v>
      </c>
      <c r="D75" s="15"/>
      <c r="E75" s="14" t="s">
        <v>314</v>
      </c>
      <c r="F75" s="14" t="str">
        <f t="array" ref="F75">IFERROR(INDEX($C$27:$C$84, MATCH(0, COUNTIF($F$26:F74, $C$27:$C$84&amp;"") + IF($C$27:$C$84="",1,0), 0)), "")</f>
        <v/>
      </c>
      <c r="G75" s="14" t="s">
        <v>979</v>
      </c>
      <c r="H75" s="14" t="str">
        <f t="array" ref="H75">IFERROR(INDEX($B$27:$B$84, MATCH(0, COUNTIF($H$26:H74, $B$27:$B$84&amp;"") + IF($B$27:$B$84="",1,0), 0)), "")</f>
        <v/>
      </c>
      <c r="I75" s="14" t="str">
        <f t="array" ref="I75">IFERROR(IF(INDEX($C$27:$C$84,MATCH(LEFT(H75,255),LEFT($B$27:$B$84,255),0))=0,"",INDEX($C$27:$C$84,MATCH(LEFT(H75,255),LEFT($B$27:$B$84,255),0))),"")</f>
        <v/>
      </c>
      <c r="J75" s="14"/>
      <c r="K75" s="15" t="s">
        <v>1039</v>
      </c>
      <c r="L75" s="14" t="str">
        <f t="shared" si="0"/>
        <v>IOR-00217</v>
      </c>
      <c r="M75" s="14" t="s">
        <v>866</v>
      </c>
      <c r="N75" s="14" t="s">
        <v>643</v>
      </c>
      <c r="O75" s="14" t="b">
        <v>0</v>
      </c>
      <c r="P75" s="20">
        <v>60010</v>
      </c>
    </row>
    <row r="76" spans="2:16" x14ac:dyDescent="0.25">
      <c r="B76" s="14" t="s">
        <v>981</v>
      </c>
      <c r="C76" s="16" t="s">
        <v>982</v>
      </c>
      <c r="D76" s="15"/>
      <c r="E76" s="14" t="s">
        <v>314</v>
      </c>
      <c r="F76" s="14" t="str">
        <f t="array" ref="F76">IFERROR(INDEX($C$27:$C$84, MATCH(0, COUNTIF($F$26:F75, $C$27:$C$84&amp;"") + IF($C$27:$C$84="",1,0), 0)), "")</f>
        <v/>
      </c>
      <c r="G76" s="14" t="s">
        <v>983</v>
      </c>
      <c r="H76" s="14" t="str">
        <f t="array" ref="H76">IFERROR(INDEX($B$27:$B$84, MATCH(0, COUNTIF($H$26:H75, $B$27:$B$84&amp;"") + IF($B$27:$B$84="",1,0), 0)), "")</f>
        <v/>
      </c>
      <c r="I76" s="14" t="str">
        <f t="array" ref="I76">IFERROR(IF(INDEX($C$27:$C$84,MATCH(LEFT(H76,255),LEFT($B$27:$B$84,255),0))=0,"",INDEX($C$27:$C$84,MATCH(LEFT(H76,255),LEFT($B$27:$B$84,255),0))),"")</f>
        <v/>
      </c>
      <c r="J76" s="14"/>
      <c r="K76" s="15" t="s">
        <v>1040</v>
      </c>
      <c r="L76" s="14" t="str">
        <f t="shared" si="0"/>
        <v>IOR-00218</v>
      </c>
      <c r="M76" s="14" t="s">
        <v>866</v>
      </c>
      <c r="N76" s="14" t="s">
        <v>643</v>
      </c>
      <c r="O76" s="14" t="b">
        <v>0</v>
      </c>
      <c r="P76" s="20">
        <v>60020</v>
      </c>
    </row>
    <row r="77" spans="2:16" x14ac:dyDescent="0.25">
      <c r="B77" s="14" t="s">
        <v>985</v>
      </c>
      <c r="C77" s="16" t="s">
        <v>986</v>
      </c>
      <c r="D77" s="15" t="s">
        <v>987</v>
      </c>
      <c r="E77" s="14" t="s">
        <v>314</v>
      </c>
      <c r="F77" s="14" t="str">
        <f t="array" ref="F77">IFERROR(INDEX($C$27:$C$84, MATCH(0, COUNTIF($F$26:F76, $C$27:$C$84&amp;"") + IF($C$27:$C$84="",1,0), 0)), "")</f>
        <v/>
      </c>
      <c r="G77" s="14" t="s">
        <v>988</v>
      </c>
      <c r="H77" s="14" t="str">
        <f t="array" ref="H77">IFERROR(INDEX($B$27:$B$84, MATCH(0, COUNTIF($H$26:H76, $B$27:$B$84&amp;"") + IF($B$27:$B$84="",1,0), 0)), "")</f>
        <v/>
      </c>
      <c r="I77" s="14" t="str">
        <f t="array" ref="I77">IFERROR(IF(INDEX($C$27:$C$84,MATCH(LEFT(H77,255),LEFT($B$27:$B$84,255),0))=0,"",INDEX($C$27:$C$84,MATCH(LEFT(H77,255),LEFT($B$27:$B$84,255),0))),"")</f>
        <v/>
      </c>
      <c r="J77" s="14"/>
      <c r="K77" s="15" t="s">
        <v>1041</v>
      </c>
      <c r="L77" s="14" t="str">
        <f t="shared" si="0"/>
        <v>IOR-00219</v>
      </c>
      <c r="M77" s="14" t="s">
        <v>866</v>
      </c>
      <c r="N77" s="14" t="s">
        <v>643</v>
      </c>
      <c r="O77" s="14" t="b">
        <v>0</v>
      </c>
      <c r="P77" s="20">
        <v>60030</v>
      </c>
    </row>
    <row r="78" spans="2:16" x14ac:dyDescent="0.25">
      <c r="B78" s="14" t="s">
        <v>990</v>
      </c>
      <c r="C78" s="16" t="s">
        <v>991</v>
      </c>
      <c r="D78" s="15" t="s">
        <v>992</v>
      </c>
      <c r="E78" s="14" t="s">
        <v>314</v>
      </c>
      <c r="F78" s="14" t="str">
        <f t="array" ref="F78">IFERROR(INDEX($C$27:$C$84, MATCH(0, COUNTIF($F$26:F77, $C$27:$C$84&amp;"") + IF($C$27:$C$84="",1,0), 0)), "")</f>
        <v/>
      </c>
      <c r="G78" s="14" t="s">
        <v>993</v>
      </c>
      <c r="H78" s="14" t="str">
        <f t="array" ref="H78">IFERROR(INDEX($B$27:$B$84, MATCH(0, COUNTIF($H$26:H77, $B$27:$B$84&amp;"") + IF($B$27:$B$84="",1,0), 0)), "")</f>
        <v/>
      </c>
      <c r="I78" s="14" t="str">
        <f t="array" ref="I78">IFERROR(IF(INDEX($C$27:$C$84,MATCH(LEFT(H78,255),LEFT($B$27:$B$84,255),0))=0,"",INDEX($C$27:$C$84,MATCH(LEFT(H78,255),LEFT($B$27:$B$84,255),0))),"")</f>
        <v/>
      </c>
      <c r="J78" s="14"/>
      <c r="K78" s="15" t="s">
        <v>1042</v>
      </c>
      <c r="L78" s="14" t="str">
        <f t="shared" si="0"/>
        <v>IOR-00220</v>
      </c>
      <c r="M78" s="14" t="s">
        <v>866</v>
      </c>
      <c r="N78" s="14" t="s">
        <v>643</v>
      </c>
      <c r="O78" s="14" t="b">
        <v>0</v>
      </c>
      <c r="P78" s="20">
        <v>60040</v>
      </c>
    </row>
    <row r="79" spans="2:16" x14ac:dyDescent="0.25">
      <c r="B79" s="14" t="s">
        <v>995</v>
      </c>
      <c r="C79" s="16" t="s">
        <v>996</v>
      </c>
      <c r="D79" s="15" t="s">
        <v>997</v>
      </c>
      <c r="E79" s="14" t="s">
        <v>314</v>
      </c>
      <c r="F79" s="14" t="str">
        <f t="array" ref="F79">IFERROR(INDEX($C$27:$C$84, MATCH(0, COUNTIF($F$26:F78, $C$27:$C$84&amp;"") + IF($C$27:$C$84="",1,0), 0)), "")</f>
        <v/>
      </c>
      <c r="G79" s="14" t="s">
        <v>998</v>
      </c>
      <c r="H79" s="14" t="str">
        <f t="array" ref="H79">IFERROR(INDEX($B$27:$B$84, MATCH(0, COUNTIF($H$26:H78, $B$27:$B$84&amp;"") + IF($B$27:$B$84="",1,0), 0)), "")</f>
        <v/>
      </c>
      <c r="I79" s="14" t="str">
        <f t="array" ref="I79">IFERROR(IF(INDEX($C$27:$C$84,MATCH(LEFT(H79,255),LEFT($B$27:$B$84,255),0))=0,"",INDEX($C$27:$C$84,MATCH(LEFT(H79,255),LEFT($B$27:$B$84,255),0))),"")</f>
        <v/>
      </c>
      <c r="J79" s="14"/>
      <c r="K79" s="15" t="s">
        <v>1043</v>
      </c>
      <c r="L79" s="14" t="str">
        <f t="shared" si="0"/>
        <v>IOR-00221</v>
      </c>
      <c r="M79" s="14" t="s">
        <v>866</v>
      </c>
      <c r="N79" s="14" t="s">
        <v>643</v>
      </c>
      <c r="O79" s="14" t="b">
        <v>0</v>
      </c>
      <c r="P79" s="20">
        <v>60050</v>
      </c>
    </row>
    <row r="80" spans="2:16" x14ac:dyDescent="0.25">
      <c r="B80" s="14" t="s">
        <v>1000</v>
      </c>
      <c r="C80" s="16" t="s">
        <v>1001</v>
      </c>
      <c r="D80" s="15" t="s">
        <v>1002</v>
      </c>
      <c r="E80" s="14" t="s">
        <v>314</v>
      </c>
      <c r="F80" s="14" t="str">
        <f t="array" ref="F80">IFERROR(INDEX($C$27:$C$84, MATCH(0, COUNTIF($F$26:F79, $C$27:$C$84&amp;"") + IF($C$27:$C$84="",1,0), 0)), "")</f>
        <v/>
      </c>
      <c r="G80" s="14" t="s">
        <v>1003</v>
      </c>
      <c r="H80" s="14" t="str">
        <f t="array" ref="H80">IFERROR(INDEX($B$27:$B$84, MATCH(0, COUNTIF($H$26:H79, $B$27:$B$84&amp;"") + IF($B$27:$B$84="",1,0), 0)), "")</f>
        <v/>
      </c>
      <c r="I80" s="14" t="str">
        <f t="array" ref="I80">IFERROR(IF(INDEX($C$27:$C$84,MATCH(LEFT(H80,255),LEFT($B$27:$B$84,255),0))=0,"",INDEX($C$27:$C$84,MATCH(LEFT(H80,255),LEFT($B$27:$B$84,255),0))),"")</f>
        <v/>
      </c>
      <c r="J80" s="14"/>
      <c r="K80" s="15" t="s">
        <v>1044</v>
      </c>
      <c r="L80" s="14" t="str">
        <f t="shared" si="0"/>
        <v>IOR-00222</v>
      </c>
      <c r="M80" s="14" t="s">
        <v>866</v>
      </c>
      <c r="N80" s="14" t="s">
        <v>643</v>
      </c>
      <c r="O80" s="14" t="b">
        <v>0</v>
      </c>
      <c r="P80" s="20">
        <v>60060</v>
      </c>
    </row>
    <row r="81" spans="1:13" x14ac:dyDescent="0.25">
      <c r="B81" s="14"/>
      <c r="C81" s="16"/>
      <c r="D81" s="15"/>
      <c r="E81" s="14"/>
      <c r="F81" s="14"/>
      <c r="G81" s="14"/>
      <c r="H81" s="14"/>
      <c r="I81" s="14"/>
      <c r="J81" s="14"/>
      <c r="K81" s="15"/>
    </row>
    <row r="82" spans="1:13" x14ac:dyDescent="0.25">
      <c r="B82" s="14"/>
      <c r="C82" s="16"/>
      <c r="D82" s="15"/>
      <c r="E82" s="14"/>
      <c r="F82" s="14"/>
      <c r="G82" s="14"/>
      <c r="H82" s="14"/>
      <c r="I82" s="14"/>
      <c r="J82" s="14"/>
      <c r="K82" s="15"/>
    </row>
    <row r="83" spans="1:13" x14ac:dyDescent="0.25">
      <c r="B83" s="14"/>
      <c r="C83" s="16"/>
      <c r="D83" s="15"/>
      <c r="E83" s="14"/>
      <c r="F83" s="14"/>
      <c r="G83" s="14"/>
      <c r="H83" s="14"/>
      <c r="I83" s="14"/>
      <c r="J83" s="14"/>
      <c r="K83" s="15"/>
    </row>
    <row r="85" spans="1:13" x14ac:dyDescent="0.25">
      <c r="B85" s="2" t="s">
        <v>1045</v>
      </c>
    </row>
    <row r="86" spans="1:13" x14ac:dyDescent="0.25">
      <c r="A86" s="369" t="s">
        <v>1046</v>
      </c>
      <c r="B86" s="367" t="s">
        <v>1047</v>
      </c>
      <c r="C86" s="367" t="s">
        <v>784</v>
      </c>
      <c r="D86" s="367" t="s">
        <v>785</v>
      </c>
      <c r="E86" s="367" t="s">
        <v>1048</v>
      </c>
      <c r="F86" s="367" t="s">
        <v>1049</v>
      </c>
      <c r="G86" s="367" t="s">
        <v>318</v>
      </c>
      <c r="H86" s="367" t="s">
        <v>1050</v>
      </c>
      <c r="I86" s="367" t="s">
        <v>791</v>
      </c>
      <c r="J86" s="367" t="s">
        <v>1051</v>
      </c>
      <c r="K86" s="367" t="s">
        <v>1052</v>
      </c>
      <c r="L86" s="14" t="s">
        <v>1053</v>
      </c>
      <c r="M86" s="14" t="s">
        <v>793</v>
      </c>
    </row>
    <row r="87" spans="1:13" hidden="1" x14ac:dyDescent="0.25">
      <c r="A87" s="370" t="s">
        <v>1054</v>
      </c>
      <c r="B87" s="371" t="s">
        <v>1055</v>
      </c>
      <c r="C87" s="371" t="s">
        <v>795</v>
      </c>
      <c r="D87" s="371" t="s">
        <v>796</v>
      </c>
      <c r="E87" s="370"/>
      <c r="F87" s="371" t="str">
        <f t="shared" ref="F87:F150" si="1">B87</f>
        <v>[Name ID]</v>
      </c>
      <c r="G87" s="370" t="s">
        <v>321</v>
      </c>
      <c r="H87" s="371"/>
      <c r="I87" s="371" t="s">
        <v>799</v>
      </c>
      <c r="J87" s="371" t="s">
        <v>1056</v>
      </c>
      <c r="K87" s="371" t="s">
        <v>1057</v>
      </c>
      <c r="L87" s="14" t="s">
        <v>1058</v>
      </c>
      <c r="M87" s="20" t="s">
        <v>801</v>
      </c>
    </row>
    <row r="88" spans="1:13" x14ac:dyDescent="0.25">
      <c r="A88" s="370" t="s">
        <v>1059</v>
      </c>
      <c r="B88" s="371" t="s">
        <v>1060</v>
      </c>
      <c r="C88" s="371" t="s">
        <v>1061</v>
      </c>
      <c r="D88" s="371" t="s">
        <v>821</v>
      </c>
      <c r="E88" s="370"/>
      <c r="F88" s="371" t="str">
        <f t="shared" si="1"/>
        <v>MCI-01623</v>
      </c>
      <c r="G88" s="370" t="s">
        <v>1062</v>
      </c>
      <c r="H88" s="371"/>
      <c r="I88" s="371" t="s">
        <v>643</v>
      </c>
      <c r="J88" s="371" t="s">
        <v>1063</v>
      </c>
      <c r="K88" s="371" t="s">
        <v>1064</v>
      </c>
      <c r="L88" s="14" t="b">
        <v>0</v>
      </c>
      <c r="M88" s="20">
        <v>12010</v>
      </c>
    </row>
    <row r="89" spans="1:13" x14ac:dyDescent="0.25">
      <c r="A89" s="370" t="s">
        <v>1059</v>
      </c>
      <c r="B89" s="371" t="s">
        <v>1065</v>
      </c>
      <c r="C89" s="371" t="s">
        <v>1066</v>
      </c>
      <c r="D89" s="371" t="s">
        <v>1067</v>
      </c>
      <c r="E89" s="370"/>
      <c r="F89" s="371" t="str">
        <f t="shared" si="1"/>
        <v>MCI-01624</v>
      </c>
      <c r="G89" s="370" t="s">
        <v>1068</v>
      </c>
      <c r="H89" s="371"/>
      <c r="I89" s="371" t="s">
        <v>643</v>
      </c>
      <c r="J89" s="371" t="s">
        <v>1063</v>
      </c>
      <c r="K89" s="371" t="s">
        <v>624</v>
      </c>
      <c r="L89" s="14" t="b">
        <v>0</v>
      </c>
      <c r="M89" s="20">
        <v>12020</v>
      </c>
    </row>
    <row r="90" spans="1:13" x14ac:dyDescent="0.25">
      <c r="A90" s="370" t="s">
        <v>1059</v>
      </c>
      <c r="B90" s="371" t="s">
        <v>1069</v>
      </c>
      <c r="C90" s="371" t="s">
        <v>1070</v>
      </c>
      <c r="D90" s="371" t="s">
        <v>1071</v>
      </c>
      <c r="E90" s="370"/>
      <c r="F90" s="371" t="str">
        <f t="shared" si="1"/>
        <v>MCI-01625</v>
      </c>
      <c r="G90" s="370" t="s">
        <v>1072</v>
      </c>
      <c r="H90" s="371"/>
      <c r="I90" s="371" t="s">
        <v>643</v>
      </c>
      <c r="J90" s="371" t="s">
        <v>1063</v>
      </c>
      <c r="K90" s="371" t="s">
        <v>624</v>
      </c>
      <c r="L90" s="14" t="b">
        <v>0</v>
      </c>
      <c r="M90" s="20">
        <v>12030</v>
      </c>
    </row>
    <row r="91" spans="1:13" x14ac:dyDescent="0.25">
      <c r="A91" s="370" t="s">
        <v>1073</v>
      </c>
      <c r="B91" s="371" t="s">
        <v>1074</v>
      </c>
      <c r="C91" s="371" t="s">
        <v>1075</v>
      </c>
      <c r="D91" s="371" t="s">
        <v>1076</v>
      </c>
      <c r="E91" s="370"/>
      <c r="F91" s="371" t="str">
        <f t="shared" si="1"/>
        <v>MCI-01521</v>
      </c>
      <c r="G91" s="370" t="s">
        <v>1077</v>
      </c>
      <c r="H91" s="371"/>
      <c r="I91" s="371" t="s">
        <v>643</v>
      </c>
      <c r="J91" s="371" t="s">
        <v>1063</v>
      </c>
      <c r="K91" s="371" t="s">
        <v>1064</v>
      </c>
      <c r="L91" s="14" t="b">
        <v>0</v>
      </c>
      <c r="M91" s="20">
        <v>12070</v>
      </c>
    </row>
    <row r="92" spans="1:13" x14ac:dyDescent="0.25">
      <c r="A92" s="370" t="s">
        <v>1073</v>
      </c>
      <c r="B92" s="371" t="s">
        <v>1078</v>
      </c>
      <c r="C92" s="371" t="s">
        <v>1079</v>
      </c>
      <c r="D92" s="371" t="s">
        <v>1080</v>
      </c>
      <c r="E92" s="370"/>
      <c r="F92" s="371" t="str">
        <f t="shared" si="1"/>
        <v>MCI-01522</v>
      </c>
      <c r="G92" s="370" t="s">
        <v>1081</v>
      </c>
      <c r="H92" s="371"/>
      <c r="I92" s="371" t="s">
        <v>643</v>
      </c>
      <c r="J92" s="371" t="s">
        <v>1063</v>
      </c>
      <c r="K92" s="371" t="s">
        <v>624</v>
      </c>
      <c r="L92" s="14" t="b">
        <v>0</v>
      </c>
      <c r="M92" s="20">
        <v>12080</v>
      </c>
    </row>
    <row r="93" spans="1:13" x14ac:dyDescent="0.25">
      <c r="A93" s="370" t="s">
        <v>1073</v>
      </c>
      <c r="B93" s="371" t="s">
        <v>1082</v>
      </c>
      <c r="C93" s="371" t="s">
        <v>1083</v>
      </c>
      <c r="D93" s="371" t="s">
        <v>1084</v>
      </c>
      <c r="E93" s="370"/>
      <c r="F93" s="371" t="str">
        <f t="shared" si="1"/>
        <v>MCI-01523</v>
      </c>
      <c r="G93" s="370" t="s">
        <v>1085</v>
      </c>
      <c r="H93" s="371"/>
      <c r="I93" s="371" t="s">
        <v>643</v>
      </c>
      <c r="J93" s="371" t="s">
        <v>1063</v>
      </c>
      <c r="K93" s="371" t="s">
        <v>624</v>
      </c>
      <c r="L93" s="14" t="b">
        <v>0</v>
      </c>
      <c r="M93" s="20">
        <v>12090</v>
      </c>
    </row>
    <row r="94" spans="1:13" x14ac:dyDescent="0.25">
      <c r="A94" s="370" t="s">
        <v>1086</v>
      </c>
      <c r="B94" s="371" t="s">
        <v>1087</v>
      </c>
      <c r="C94" s="371" t="s">
        <v>1088</v>
      </c>
      <c r="D94" s="371" t="s">
        <v>1076</v>
      </c>
      <c r="E94" s="370"/>
      <c r="F94" s="371" t="str">
        <f t="shared" si="1"/>
        <v>MCI-01609</v>
      </c>
      <c r="G94" s="370" t="s">
        <v>1089</v>
      </c>
      <c r="H94" s="371"/>
      <c r="I94" s="371" t="s">
        <v>643</v>
      </c>
      <c r="J94" s="371" t="s">
        <v>1063</v>
      </c>
      <c r="K94" s="371" t="s">
        <v>1064</v>
      </c>
      <c r="L94" s="14" t="b">
        <v>0</v>
      </c>
      <c r="M94" s="20">
        <v>12040</v>
      </c>
    </row>
    <row r="95" spans="1:13" x14ac:dyDescent="0.25">
      <c r="A95" s="370" t="s">
        <v>1086</v>
      </c>
      <c r="B95" s="371" t="s">
        <v>1090</v>
      </c>
      <c r="C95" s="371" t="s">
        <v>1091</v>
      </c>
      <c r="D95" s="371" t="s">
        <v>1092</v>
      </c>
      <c r="E95" s="370"/>
      <c r="F95" s="371" t="str">
        <f t="shared" si="1"/>
        <v>MCI-01610</v>
      </c>
      <c r="G95" s="370" t="s">
        <v>1093</v>
      </c>
      <c r="H95" s="371"/>
      <c r="I95" s="371" t="s">
        <v>643</v>
      </c>
      <c r="J95" s="371" t="s">
        <v>1063</v>
      </c>
      <c r="K95" s="371" t="s">
        <v>624</v>
      </c>
      <c r="L95" s="14" t="b">
        <v>0</v>
      </c>
      <c r="M95" s="20">
        <v>12050</v>
      </c>
    </row>
    <row r="96" spans="1:13" x14ac:dyDescent="0.25">
      <c r="A96" s="370" t="s">
        <v>1086</v>
      </c>
      <c r="B96" s="371" t="s">
        <v>1094</v>
      </c>
      <c r="C96" s="371" t="s">
        <v>1095</v>
      </c>
      <c r="D96" s="371" t="s">
        <v>1096</v>
      </c>
      <c r="E96" s="370"/>
      <c r="F96" s="371" t="str">
        <f t="shared" si="1"/>
        <v>MCI-01611</v>
      </c>
      <c r="G96" s="370" t="s">
        <v>1097</v>
      </c>
      <c r="H96" s="371"/>
      <c r="I96" s="371" t="s">
        <v>643</v>
      </c>
      <c r="J96" s="371" t="s">
        <v>1063</v>
      </c>
      <c r="K96" s="371" t="s">
        <v>624</v>
      </c>
      <c r="L96" s="14" t="b">
        <v>0</v>
      </c>
      <c r="M96" s="20">
        <v>12060</v>
      </c>
    </row>
    <row r="97" spans="1:13" x14ac:dyDescent="0.25">
      <c r="A97" s="370" t="s">
        <v>1098</v>
      </c>
      <c r="B97" s="371" t="s">
        <v>1099</v>
      </c>
      <c r="C97" s="371" t="s">
        <v>1100</v>
      </c>
      <c r="D97" s="371" t="s">
        <v>828</v>
      </c>
      <c r="E97" s="370"/>
      <c r="F97" s="371" t="str">
        <f t="shared" si="1"/>
        <v>MCI-01524</v>
      </c>
      <c r="G97" s="370" t="s">
        <v>1101</v>
      </c>
      <c r="H97" s="371"/>
      <c r="I97" s="371" t="s">
        <v>643</v>
      </c>
      <c r="J97" s="371" t="s">
        <v>1063</v>
      </c>
      <c r="K97" s="371" t="s">
        <v>1064</v>
      </c>
      <c r="L97" s="14" t="b">
        <v>0</v>
      </c>
      <c r="M97" s="20">
        <v>12100</v>
      </c>
    </row>
    <row r="98" spans="1:13" x14ac:dyDescent="0.25">
      <c r="A98" s="370" t="s">
        <v>1098</v>
      </c>
      <c r="B98" s="371" t="s">
        <v>1102</v>
      </c>
      <c r="C98" s="371" t="s">
        <v>1103</v>
      </c>
      <c r="D98" s="371"/>
      <c r="E98" s="370"/>
      <c r="F98" s="371" t="str">
        <f t="shared" si="1"/>
        <v>MCI-01525</v>
      </c>
      <c r="G98" s="370" t="s">
        <v>1104</v>
      </c>
      <c r="H98" s="371"/>
      <c r="I98" s="371" t="s">
        <v>643</v>
      </c>
      <c r="J98" s="371" t="s">
        <v>1063</v>
      </c>
      <c r="K98" s="371" t="s">
        <v>624</v>
      </c>
      <c r="L98" s="14" t="b">
        <v>0</v>
      </c>
      <c r="M98" s="20">
        <v>12110</v>
      </c>
    </row>
    <row r="99" spans="1:13" x14ac:dyDescent="0.25">
      <c r="A99" s="370" t="s">
        <v>1098</v>
      </c>
      <c r="B99" s="371" t="s">
        <v>1105</v>
      </c>
      <c r="C99" s="371" t="s">
        <v>1106</v>
      </c>
      <c r="D99" s="371" t="s">
        <v>828</v>
      </c>
      <c r="E99" s="370"/>
      <c r="F99" s="371" t="str">
        <f t="shared" si="1"/>
        <v>MCI-01526</v>
      </c>
      <c r="G99" s="370" t="s">
        <v>1107</v>
      </c>
      <c r="H99" s="371"/>
      <c r="I99" s="371" t="s">
        <v>643</v>
      </c>
      <c r="J99" s="371" t="s">
        <v>1063</v>
      </c>
      <c r="K99" s="371" t="s">
        <v>624</v>
      </c>
      <c r="L99" s="14" t="b">
        <v>0</v>
      </c>
      <c r="M99" s="20">
        <v>12120</v>
      </c>
    </row>
    <row r="100" spans="1:13" x14ac:dyDescent="0.25">
      <c r="A100" s="370" t="s">
        <v>1098</v>
      </c>
      <c r="B100" s="371" t="s">
        <v>1108</v>
      </c>
      <c r="C100" s="371" t="s">
        <v>1109</v>
      </c>
      <c r="D100" s="371" t="s">
        <v>1110</v>
      </c>
      <c r="E100" s="370"/>
      <c r="F100" s="371" t="str">
        <f t="shared" si="1"/>
        <v>MCI-01527</v>
      </c>
      <c r="G100" s="370" t="s">
        <v>1111</v>
      </c>
      <c r="H100" s="371"/>
      <c r="I100" s="371" t="s">
        <v>643</v>
      </c>
      <c r="J100" s="371" t="s">
        <v>1063</v>
      </c>
      <c r="K100" s="371" t="s">
        <v>624</v>
      </c>
      <c r="L100" s="14" t="b">
        <v>0</v>
      </c>
      <c r="M100" s="20">
        <v>12130</v>
      </c>
    </row>
    <row r="101" spans="1:13" x14ac:dyDescent="0.25">
      <c r="A101" s="370" t="s">
        <v>1098</v>
      </c>
      <c r="B101" s="371" t="s">
        <v>1112</v>
      </c>
      <c r="C101" s="371" t="s">
        <v>1113</v>
      </c>
      <c r="D101" s="371" t="s">
        <v>828</v>
      </c>
      <c r="E101" s="370"/>
      <c r="F101" s="371" t="str">
        <f t="shared" si="1"/>
        <v>MCI-01528</v>
      </c>
      <c r="G101" s="370" t="s">
        <v>1114</v>
      </c>
      <c r="H101" s="371"/>
      <c r="I101" s="371" t="s">
        <v>643</v>
      </c>
      <c r="J101" s="371" t="s">
        <v>1063</v>
      </c>
      <c r="K101" s="371" t="s">
        <v>624</v>
      </c>
      <c r="L101" s="14" t="b">
        <v>0</v>
      </c>
      <c r="M101" s="20">
        <v>12140</v>
      </c>
    </row>
    <row r="102" spans="1:13" x14ac:dyDescent="0.25">
      <c r="A102" s="370" t="s">
        <v>1115</v>
      </c>
      <c r="B102" s="371" t="s">
        <v>1116</v>
      </c>
      <c r="C102" s="371" t="s">
        <v>1117</v>
      </c>
      <c r="D102" s="371"/>
      <c r="E102" s="370"/>
      <c r="F102" s="371" t="str">
        <f t="shared" si="1"/>
        <v>MCI-01612</v>
      </c>
      <c r="G102" s="370" t="s">
        <v>1118</v>
      </c>
      <c r="H102" s="371"/>
      <c r="I102" s="371" t="s">
        <v>643</v>
      </c>
      <c r="J102" s="371" t="s">
        <v>1063</v>
      </c>
      <c r="K102" s="371" t="s">
        <v>624</v>
      </c>
      <c r="L102" s="14" t="b">
        <v>0</v>
      </c>
      <c r="M102" s="20">
        <v>12150</v>
      </c>
    </row>
    <row r="103" spans="1:13" x14ac:dyDescent="0.25">
      <c r="A103" s="370" t="s">
        <v>1119</v>
      </c>
      <c r="B103" s="371" t="s">
        <v>1120</v>
      </c>
      <c r="C103" s="371" t="s">
        <v>1121</v>
      </c>
      <c r="D103" s="371" t="s">
        <v>821</v>
      </c>
      <c r="E103" s="370"/>
      <c r="F103" s="371" t="str">
        <f t="shared" si="1"/>
        <v>MCI-01529</v>
      </c>
      <c r="G103" s="370" t="s">
        <v>1122</v>
      </c>
      <c r="H103" s="371"/>
      <c r="I103" s="371" t="s">
        <v>643</v>
      </c>
      <c r="J103" s="371" t="s">
        <v>1063</v>
      </c>
      <c r="K103" s="371" t="s">
        <v>1064</v>
      </c>
      <c r="L103" s="14" t="b">
        <v>0</v>
      </c>
      <c r="M103" s="20">
        <v>12160</v>
      </c>
    </row>
    <row r="104" spans="1:13" x14ac:dyDescent="0.25">
      <c r="A104" s="370" t="s">
        <v>1123</v>
      </c>
      <c r="B104" s="371" t="s">
        <v>1124</v>
      </c>
      <c r="C104" s="371" t="s">
        <v>1125</v>
      </c>
      <c r="D104" s="371" t="s">
        <v>821</v>
      </c>
      <c r="E104" s="370"/>
      <c r="F104" s="371" t="str">
        <f t="shared" si="1"/>
        <v>MCI-01639</v>
      </c>
      <c r="G104" s="370" t="s">
        <v>1126</v>
      </c>
      <c r="H104" s="371"/>
      <c r="I104" s="371" t="s">
        <v>643</v>
      </c>
      <c r="J104" s="371" t="s">
        <v>1063</v>
      </c>
      <c r="K104" s="371" t="s">
        <v>1064</v>
      </c>
      <c r="L104" s="14" t="b">
        <v>0</v>
      </c>
      <c r="M104" s="20">
        <v>12170</v>
      </c>
    </row>
    <row r="105" spans="1:13" x14ac:dyDescent="0.25">
      <c r="A105" s="370" t="s">
        <v>1123</v>
      </c>
      <c r="B105" s="371" t="s">
        <v>1127</v>
      </c>
      <c r="C105" s="371" t="s">
        <v>1128</v>
      </c>
      <c r="D105" s="371" t="s">
        <v>1067</v>
      </c>
      <c r="E105" s="370"/>
      <c r="F105" s="371" t="str">
        <f t="shared" si="1"/>
        <v>MCI-01640</v>
      </c>
      <c r="G105" s="370" t="s">
        <v>1129</v>
      </c>
      <c r="H105" s="371"/>
      <c r="I105" s="371" t="s">
        <v>643</v>
      </c>
      <c r="J105" s="371" t="s">
        <v>1063</v>
      </c>
      <c r="K105" s="371" t="s">
        <v>624</v>
      </c>
      <c r="L105" s="14" t="b">
        <v>0</v>
      </c>
      <c r="M105" s="20">
        <v>12180</v>
      </c>
    </row>
    <row r="106" spans="1:13" x14ac:dyDescent="0.25">
      <c r="A106" s="370" t="s">
        <v>1123</v>
      </c>
      <c r="B106" s="371" t="s">
        <v>1130</v>
      </c>
      <c r="C106" s="371" t="s">
        <v>1131</v>
      </c>
      <c r="D106" s="371" t="s">
        <v>1071</v>
      </c>
      <c r="E106" s="370"/>
      <c r="F106" s="371" t="str">
        <f t="shared" si="1"/>
        <v>MCI-01641</v>
      </c>
      <c r="G106" s="370" t="s">
        <v>1132</v>
      </c>
      <c r="H106" s="371"/>
      <c r="I106" s="371" t="s">
        <v>643</v>
      </c>
      <c r="J106" s="371" t="s">
        <v>1063</v>
      </c>
      <c r="K106" s="371" t="s">
        <v>624</v>
      </c>
      <c r="L106" s="14" t="b">
        <v>0</v>
      </c>
      <c r="M106" s="20">
        <v>12190</v>
      </c>
    </row>
    <row r="107" spans="1:13" x14ac:dyDescent="0.25">
      <c r="A107" s="370" t="s">
        <v>1123</v>
      </c>
      <c r="B107" s="371" t="s">
        <v>1133</v>
      </c>
      <c r="C107" s="371" t="s">
        <v>1134</v>
      </c>
      <c r="D107" s="371" t="s">
        <v>821</v>
      </c>
      <c r="E107" s="370"/>
      <c r="F107" s="371" t="str">
        <f t="shared" si="1"/>
        <v>MCI-01642</v>
      </c>
      <c r="G107" s="370" t="s">
        <v>1135</v>
      </c>
      <c r="H107" s="371"/>
      <c r="I107" s="371" t="s">
        <v>643</v>
      </c>
      <c r="J107" s="371" t="s">
        <v>1063</v>
      </c>
      <c r="K107" s="371" t="s">
        <v>624</v>
      </c>
      <c r="L107" s="14" t="b">
        <v>0</v>
      </c>
      <c r="M107" s="20">
        <v>12200</v>
      </c>
    </row>
    <row r="108" spans="1:13" x14ac:dyDescent="0.25">
      <c r="A108" s="370" t="s">
        <v>1136</v>
      </c>
      <c r="B108" s="371" t="s">
        <v>1137</v>
      </c>
      <c r="C108" s="371" t="s">
        <v>1138</v>
      </c>
      <c r="D108" s="371" t="s">
        <v>1139</v>
      </c>
      <c r="E108" s="370"/>
      <c r="F108" s="371" t="str">
        <f t="shared" si="1"/>
        <v>MCI-01530</v>
      </c>
      <c r="G108" s="370" t="s">
        <v>1140</v>
      </c>
      <c r="H108" s="371"/>
      <c r="I108" s="371" t="s">
        <v>643</v>
      </c>
      <c r="J108" s="371" t="s">
        <v>1063</v>
      </c>
      <c r="K108" s="371" t="s">
        <v>628</v>
      </c>
      <c r="L108" s="14" t="b">
        <v>0</v>
      </c>
      <c r="M108" s="20">
        <v>12210</v>
      </c>
    </row>
    <row r="109" spans="1:13" x14ac:dyDescent="0.25">
      <c r="A109" s="370" t="s">
        <v>1136</v>
      </c>
      <c r="B109" s="371" t="s">
        <v>1141</v>
      </c>
      <c r="C109" s="371" t="s">
        <v>1142</v>
      </c>
      <c r="D109" s="371" t="s">
        <v>1139</v>
      </c>
      <c r="E109" s="370"/>
      <c r="F109" s="371" t="str">
        <f t="shared" si="1"/>
        <v>MCI-01531</v>
      </c>
      <c r="G109" s="370" t="s">
        <v>1143</v>
      </c>
      <c r="H109" s="371"/>
      <c r="I109" s="371" t="s">
        <v>643</v>
      </c>
      <c r="J109" s="371" t="s">
        <v>1063</v>
      </c>
      <c r="K109" s="371" t="s">
        <v>628</v>
      </c>
      <c r="L109" s="14" t="b">
        <v>0</v>
      </c>
      <c r="M109" s="20">
        <v>12220</v>
      </c>
    </row>
    <row r="110" spans="1:13" x14ac:dyDescent="0.25">
      <c r="A110" s="370" t="s">
        <v>1136</v>
      </c>
      <c r="B110" s="371" t="s">
        <v>1144</v>
      </c>
      <c r="C110" s="371" t="s">
        <v>1145</v>
      </c>
      <c r="D110" s="371"/>
      <c r="E110" s="370"/>
      <c r="F110" s="371" t="str">
        <f t="shared" si="1"/>
        <v>MCI-01532</v>
      </c>
      <c r="G110" s="370" t="s">
        <v>1146</v>
      </c>
      <c r="H110" s="371"/>
      <c r="I110" s="371" t="s">
        <v>643</v>
      </c>
      <c r="J110" s="371" t="s">
        <v>1063</v>
      </c>
      <c r="K110" s="371" t="s">
        <v>624</v>
      </c>
      <c r="L110" s="14" t="b">
        <v>0</v>
      </c>
      <c r="M110" s="20">
        <v>12230</v>
      </c>
    </row>
    <row r="111" spans="1:13" x14ac:dyDescent="0.25">
      <c r="A111" s="370" t="s">
        <v>1147</v>
      </c>
      <c r="B111" s="371" t="s">
        <v>1148</v>
      </c>
      <c r="C111" s="371" t="s">
        <v>1149</v>
      </c>
      <c r="D111" s="371" t="s">
        <v>821</v>
      </c>
      <c r="E111" s="370"/>
      <c r="F111" s="371" t="str">
        <f t="shared" si="1"/>
        <v>MCI-01613</v>
      </c>
      <c r="G111" s="370" t="s">
        <v>1150</v>
      </c>
      <c r="H111" s="371"/>
      <c r="I111" s="371" t="s">
        <v>643</v>
      </c>
      <c r="J111" s="371" t="s">
        <v>1063</v>
      </c>
      <c r="K111" s="371" t="s">
        <v>1064</v>
      </c>
      <c r="L111" s="14" t="b">
        <v>0</v>
      </c>
      <c r="M111" s="20">
        <v>12240</v>
      </c>
    </row>
    <row r="112" spans="1:13" x14ac:dyDescent="0.25">
      <c r="A112" s="370" t="s">
        <v>1147</v>
      </c>
      <c r="B112" s="371" t="s">
        <v>1151</v>
      </c>
      <c r="C112" s="371" t="s">
        <v>1152</v>
      </c>
      <c r="D112" s="371" t="s">
        <v>821</v>
      </c>
      <c r="E112" s="370"/>
      <c r="F112" s="371" t="str">
        <f t="shared" si="1"/>
        <v>MCI-01614</v>
      </c>
      <c r="G112" s="370" t="s">
        <v>1153</v>
      </c>
      <c r="H112" s="371"/>
      <c r="I112" s="371" t="s">
        <v>643</v>
      </c>
      <c r="J112" s="371" t="s">
        <v>1063</v>
      </c>
      <c r="K112" s="371" t="s">
        <v>1064</v>
      </c>
      <c r="L112" s="14" t="b">
        <v>0</v>
      </c>
      <c r="M112" s="20">
        <v>12250</v>
      </c>
    </row>
    <row r="113" spans="1:13" x14ac:dyDescent="0.25">
      <c r="A113" s="370" t="s">
        <v>1147</v>
      </c>
      <c r="B113" s="371" t="s">
        <v>1154</v>
      </c>
      <c r="C113" s="371" t="s">
        <v>1155</v>
      </c>
      <c r="D113" s="371" t="s">
        <v>1076</v>
      </c>
      <c r="E113" s="370"/>
      <c r="F113" s="371" t="str">
        <f t="shared" si="1"/>
        <v>MCI-01615</v>
      </c>
      <c r="G113" s="370" t="s">
        <v>1156</v>
      </c>
      <c r="H113" s="371"/>
      <c r="I113" s="371" t="s">
        <v>643</v>
      </c>
      <c r="J113" s="371" t="s">
        <v>1063</v>
      </c>
      <c r="K113" s="371" t="s">
        <v>1064</v>
      </c>
      <c r="L113" s="14" t="b">
        <v>0</v>
      </c>
      <c r="M113" s="20">
        <v>12260</v>
      </c>
    </row>
    <row r="114" spans="1:13" x14ac:dyDescent="0.25">
      <c r="A114" s="370" t="s">
        <v>1147</v>
      </c>
      <c r="B114" s="371" t="s">
        <v>1157</v>
      </c>
      <c r="C114" s="371" t="s">
        <v>1158</v>
      </c>
      <c r="D114" s="371" t="s">
        <v>828</v>
      </c>
      <c r="E114" s="370"/>
      <c r="F114" s="371" t="str">
        <f t="shared" si="1"/>
        <v>MCI-01616</v>
      </c>
      <c r="G114" s="370" t="s">
        <v>1159</v>
      </c>
      <c r="H114" s="371"/>
      <c r="I114" s="371" t="s">
        <v>643</v>
      </c>
      <c r="J114" s="371" t="s">
        <v>1063</v>
      </c>
      <c r="K114" s="371" t="s">
        <v>1064</v>
      </c>
      <c r="L114" s="14" t="b">
        <v>0</v>
      </c>
      <c r="M114" s="20">
        <v>12270</v>
      </c>
    </row>
    <row r="115" spans="1:13" x14ac:dyDescent="0.25">
      <c r="A115" s="370" t="s">
        <v>1147</v>
      </c>
      <c r="B115" s="371" t="s">
        <v>1160</v>
      </c>
      <c r="C115" s="371" t="s">
        <v>1161</v>
      </c>
      <c r="D115" s="371" t="s">
        <v>828</v>
      </c>
      <c r="E115" s="370"/>
      <c r="F115" s="371" t="str">
        <f t="shared" si="1"/>
        <v>MCI-01617</v>
      </c>
      <c r="G115" s="370" t="s">
        <v>1162</v>
      </c>
      <c r="H115" s="371"/>
      <c r="I115" s="371" t="s">
        <v>643</v>
      </c>
      <c r="J115" s="371" t="s">
        <v>1063</v>
      </c>
      <c r="K115" s="371" t="s">
        <v>1064</v>
      </c>
      <c r="L115" s="14" t="b">
        <v>0</v>
      </c>
      <c r="M115" s="20">
        <v>12280</v>
      </c>
    </row>
    <row r="116" spans="1:13" x14ac:dyDescent="0.25">
      <c r="A116" s="370" t="s">
        <v>1147</v>
      </c>
      <c r="B116" s="371" t="s">
        <v>1163</v>
      </c>
      <c r="C116" s="371" t="s">
        <v>1164</v>
      </c>
      <c r="D116" s="371"/>
      <c r="E116" s="370"/>
      <c r="F116" s="371" t="str">
        <f t="shared" si="1"/>
        <v>MCI-01618</v>
      </c>
      <c r="G116" s="370" t="s">
        <v>1165</v>
      </c>
      <c r="H116" s="371"/>
      <c r="I116" s="371" t="s">
        <v>643</v>
      </c>
      <c r="J116" s="371" t="s">
        <v>1063</v>
      </c>
      <c r="K116" s="371" t="s">
        <v>1064</v>
      </c>
      <c r="L116" s="14" t="b">
        <v>0</v>
      </c>
      <c r="M116" s="20">
        <v>12290</v>
      </c>
    </row>
    <row r="117" spans="1:13" x14ac:dyDescent="0.25">
      <c r="A117" s="370" t="s">
        <v>1147</v>
      </c>
      <c r="B117" s="371" t="s">
        <v>1166</v>
      </c>
      <c r="C117" s="371" t="s">
        <v>1167</v>
      </c>
      <c r="D117" s="371" t="s">
        <v>1168</v>
      </c>
      <c r="E117" s="370"/>
      <c r="F117" s="371" t="str">
        <f t="shared" si="1"/>
        <v>MCI-01619</v>
      </c>
      <c r="G117" s="370" t="s">
        <v>1169</v>
      </c>
      <c r="H117" s="371"/>
      <c r="I117" s="371" t="s">
        <v>643</v>
      </c>
      <c r="J117" s="371" t="s">
        <v>1063</v>
      </c>
      <c r="K117" s="371" t="s">
        <v>624</v>
      </c>
      <c r="L117" s="14" t="b">
        <v>0</v>
      </c>
      <c r="M117" s="20">
        <v>12300</v>
      </c>
    </row>
    <row r="118" spans="1:13" x14ac:dyDescent="0.25">
      <c r="A118" s="370" t="s">
        <v>1147</v>
      </c>
      <c r="B118" s="371" t="s">
        <v>1170</v>
      </c>
      <c r="C118" s="371" t="s">
        <v>1171</v>
      </c>
      <c r="D118" s="371" t="s">
        <v>1172</v>
      </c>
      <c r="E118" s="370"/>
      <c r="F118" s="371" t="str">
        <f t="shared" si="1"/>
        <v>MCI-01620</v>
      </c>
      <c r="G118" s="370" t="s">
        <v>1173</v>
      </c>
      <c r="H118" s="371"/>
      <c r="I118" s="371" t="s">
        <v>643</v>
      </c>
      <c r="J118" s="371" t="s">
        <v>1063</v>
      </c>
      <c r="K118" s="371" t="s">
        <v>624</v>
      </c>
      <c r="L118" s="14" t="b">
        <v>0</v>
      </c>
      <c r="M118" s="20">
        <v>12310</v>
      </c>
    </row>
    <row r="119" spans="1:13" x14ac:dyDescent="0.25">
      <c r="A119" s="370" t="s">
        <v>1147</v>
      </c>
      <c r="B119" s="371" t="s">
        <v>1174</v>
      </c>
      <c r="C119" s="371" t="s">
        <v>1175</v>
      </c>
      <c r="D119" s="371" t="s">
        <v>893</v>
      </c>
      <c r="E119" s="370"/>
      <c r="F119" s="371" t="str">
        <f t="shared" si="1"/>
        <v>MCI-01621</v>
      </c>
      <c r="G119" s="370" t="s">
        <v>1176</v>
      </c>
      <c r="H119" s="371"/>
      <c r="I119" s="371" t="s">
        <v>643</v>
      </c>
      <c r="J119" s="371" t="s">
        <v>1063</v>
      </c>
      <c r="K119" s="371" t="s">
        <v>624</v>
      </c>
      <c r="L119" s="14" t="b">
        <v>0</v>
      </c>
      <c r="M119" s="20">
        <v>12320</v>
      </c>
    </row>
    <row r="120" spans="1:13" x14ac:dyDescent="0.25">
      <c r="A120" s="370" t="s">
        <v>1147</v>
      </c>
      <c r="B120" s="371" t="s">
        <v>1177</v>
      </c>
      <c r="C120" s="371" t="s">
        <v>1178</v>
      </c>
      <c r="D120" s="371"/>
      <c r="E120" s="370"/>
      <c r="F120" s="371" t="str">
        <f t="shared" si="1"/>
        <v>MCI-01622</v>
      </c>
      <c r="G120" s="370" t="s">
        <v>1179</v>
      </c>
      <c r="H120" s="371"/>
      <c r="I120" s="371" t="s">
        <v>643</v>
      </c>
      <c r="J120" s="371" t="s">
        <v>1063</v>
      </c>
      <c r="K120" s="371" t="s">
        <v>624</v>
      </c>
      <c r="L120" s="14" t="b">
        <v>0</v>
      </c>
      <c r="M120" s="20">
        <v>12330</v>
      </c>
    </row>
    <row r="121" spans="1:13" x14ac:dyDescent="0.25">
      <c r="A121" s="370" t="s">
        <v>1180</v>
      </c>
      <c r="B121" s="371" t="s">
        <v>1181</v>
      </c>
      <c r="C121" s="371" t="s">
        <v>1182</v>
      </c>
      <c r="D121" s="371" t="s">
        <v>1168</v>
      </c>
      <c r="E121" s="370"/>
      <c r="F121" s="371" t="str">
        <f t="shared" si="1"/>
        <v>MCI-01533</v>
      </c>
      <c r="G121" s="370" t="s">
        <v>1183</v>
      </c>
      <c r="H121" s="371"/>
      <c r="I121" s="371" t="s">
        <v>643</v>
      </c>
      <c r="J121" s="371" t="s">
        <v>1063</v>
      </c>
      <c r="K121" s="371" t="s">
        <v>626</v>
      </c>
      <c r="L121" s="14" t="b">
        <v>0</v>
      </c>
      <c r="M121" s="20">
        <v>12340</v>
      </c>
    </row>
    <row r="122" spans="1:13" x14ac:dyDescent="0.25">
      <c r="A122" s="370" t="s">
        <v>1180</v>
      </c>
      <c r="B122" s="371" t="s">
        <v>1184</v>
      </c>
      <c r="C122" s="371" t="s">
        <v>1185</v>
      </c>
      <c r="D122" s="371" t="s">
        <v>1168</v>
      </c>
      <c r="E122" s="370"/>
      <c r="F122" s="371" t="str">
        <f t="shared" si="1"/>
        <v>MCI-01534</v>
      </c>
      <c r="G122" s="370" t="s">
        <v>1186</v>
      </c>
      <c r="H122" s="371"/>
      <c r="I122" s="371" t="s">
        <v>643</v>
      </c>
      <c r="J122" s="371" t="s">
        <v>1063</v>
      </c>
      <c r="K122" s="371" t="s">
        <v>626</v>
      </c>
      <c r="L122" s="14" t="b">
        <v>0</v>
      </c>
      <c r="M122" s="20">
        <v>12350</v>
      </c>
    </row>
    <row r="123" spans="1:13" x14ac:dyDescent="0.25">
      <c r="A123" s="370" t="s">
        <v>1180</v>
      </c>
      <c r="B123" s="371" t="s">
        <v>1187</v>
      </c>
      <c r="C123" s="371" t="s">
        <v>1188</v>
      </c>
      <c r="D123" s="371" t="s">
        <v>1168</v>
      </c>
      <c r="E123" s="370"/>
      <c r="F123" s="371" t="str">
        <f t="shared" si="1"/>
        <v>MCI-01535</v>
      </c>
      <c r="G123" s="370" t="s">
        <v>1189</v>
      </c>
      <c r="H123" s="371"/>
      <c r="I123" s="371" t="s">
        <v>643</v>
      </c>
      <c r="J123" s="371" t="s">
        <v>1063</v>
      </c>
      <c r="K123" s="371" t="s">
        <v>626</v>
      </c>
      <c r="L123" s="14" t="b">
        <v>0</v>
      </c>
      <c r="M123" s="20">
        <v>12360</v>
      </c>
    </row>
    <row r="124" spans="1:13" x14ac:dyDescent="0.25">
      <c r="A124" s="370" t="s">
        <v>1180</v>
      </c>
      <c r="B124" s="371" t="s">
        <v>1190</v>
      </c>
      <c r="C124" s="371" t="s">
        <v>1191</v>
      </c>
      <c r="D124" s="371" t="s">
        <v>893</v>
      </c>
      <c r="E124" s="370"/>
      <c r="F124" s="371" t="str">
        <f t="shared" si="1"/>
        <v>MCI-01536</v>
      </c>
      <c r="G124" s="370" t="s">
        <v>1192</v>
      </c>
      <c r="H124" s="371"/>
      <c r="I124" s="371" t="s">
        <v>643</v>
      </c>
      <c r="J124" s="371" t="s">
        <v>1063</v>
      </c>
      <c r="K124" s="371" t="s">
        <v>626</v>
      </c>
      <c r="L124" s="14" t="b">
        <v>0</v>
      </c>
      <c r="M124" s="20">
        <v>12370</v>
      </c>
    </row>
    <row r="125" spans="1:13" x14ac:dyDescent="0.25">
      <c r="A125" s="370" t="s">
        <v>1180</v>
      </c>
      <c r="B125" s="371" t="s">
        <v>1193</v>
      </c>
      <c r="C125" s="371" t="s">
        <v>1194</v>
      </c>
      <c r="D125" s="371" t="s">
        <v>893</v>
      </c>
      <c r="E125" s="370"/>
      <c r="F125" s="371" t="str">
        <f t="shared" si="1"/>
        <v>MCI-01537</v>
      </c>
      <c r="G125" s="370" t="s">
        <v>1195</v>
      </c>
      <c r="H125" s="371"/>
      <c r="I125" s="371" t="s">
        <v>643</v>
      </c>
      <c r="J125" s="371" t="s">
        <v>1063</v>
      </c>
      <c r="K125" s="371" t="s">
        <v>626</v>
      </c>
      <c r="L125" s="14" t="b">
        <v>0</v>
      </c>
      <c r="M125" s="20">
        <v>12380</v>
      </c>
    </row>
    <row r="126" spans="1:13" x14ac:dyDescent="0.25">
      <c r="A126" s="370" t="s">
        <v>1180</v>
      </c>
      <c r="B126" s="371" t="s">
        <v>1196</v>
      </c>
      <c r="C126" s="371" t="s">
        <v>1197</v>
      </c>
      <c r="D126" s="371"/>
      <c r="E126" s="370"/>
      <c r="F126" s="371" t="str">
        <f t="shared" si="1"/>
        <v>MCI-01538</v>
      </c>
      <c r="G126" s="370" t="s">
        <v>1198</v>
      </c>
      <c r="H126" s="371"/>
      <c r="I126" s="371" t="s">
        <v>643</v>
      </c>
      <c r="J126" s="371" t="s">
        <v>1063</v>
      </c>
      <c r="K126" s="371" t="s">
        <v>628</v>
      </c>
      <c r="L126" s="14" t="b">
        <v>0</v>
      </c>
      <c r="M126" s="20">
        <v>12390</v>
      </c>
    </row>
    <row r="127" spans="1:13" x14ac:dyDescent="0.25">
      <c r="A127" s="370" t="s">
        <v>1199</v>
      </c>
      <c r="B127" s="371" t="s">
        <v>1200</v>
      </c>
      <c r="C127" s="371" t="s">
        <v>1201</v>
      </c>
      <c r="D127" s="371" t="s">
        <v>1202</v>
      </c>
      <c r="E127" s="370"/>
      <c r="F127" s="371" t="str">
        <f t="shared" si="1"/>
        <v>MCI-01539</v>
      </c>
      <c r="G127" s="370" t="s">
        <v>1203</v>
      </c>
      <c r="H127" s="371"/>
      <c r="I127" s="371" t="s">
        <v>643</v>
      </c>
      <c r="J127" s="371" t="s">
        <v>1063</v>
      </c>
      <c r="K127" s="371" t="s">
        <v>624</v>
      </c>
      <c r="L127" s="14" t="b">
        <v>0</v>
      </c>
      <c r="M127" s="20">
        <v>22010</v>
      </c>
    </row>
    <row r="128" spans="1:13" x14ac:dyDescent="0.25">
      <c r="A128" s="370" t="s">
        <v>1199</v>
      </c>
      <c r="B128" s="371" t="s">
        <v>1204</v>
      </c>
      <c r="C128" s="371" t="s">
        <v>1205</v>
      </c>
      <c r="D128" s="371" t="s">
        <v>1206</v>
      </c>
      <c r="E128" s="370"/>
      <c r="F128" s="371" t="str">
        <f t="shared" si="1"/>
        <v>MCI-01540</v>
      </c>
      <c r="G128" s="370" t="s">
        <v>1207</v>
      </c>
      <c r="H128" s="371"/>
      <c r="I128" s="371" t="s">
        <v>643</v>
      </c>
      <c r="J128" s="371" t="s">
        <v>1063</v>
      </c>
      <c r="K128" s="371" t="s">
        <v>624</v>
      </c>
      <c r="L128" s="14" t="b">
        <v>0</v>
      </c>
      <c r="M128" s="20">
        <v>22020</v>
      </c>
    </row>
    <row r="129" spans="1:13" x14ac:dyDescent="0.25">
      <c r="A129" s="370" t="s">
        <v>1199</v>
      </c>
      <c r="B129" s="371" t="s">
        <v>1208</v>
      </c>
      <c r="C129" s="371" t="s">
        <v>1209</v>
      </c>
      <c r="D129" s="371"/>
      <c r="E129" s="370"/>
      <c r="F129" s="371" t="str">
        <f t="shared" si="1"/>
        <v>MCI-01541</v>
      </c>
      <c r="G129" s="370" t="s">
        <v>1210</v>
      </c>
      <c r="H129" s="371"/>
      <c r="I129" s="371" t="s">
        <v>643</v>
      </c>
      <c r="J129" s="371" t="s">
        <v>1063</v>
      </c>
      <c r="K129" s="371" t="s">
        <v>624</v>
      </c>
      <c r="L129" s="14" t="b">
        <v>0</v>
      </c>
      <c r="M129" s="20">
        <v>22030</v>
      </c>
    </row>
    <row r="130" spans="1:13" x14ac:dyDescent="0.25">
      <c r="A130" s="370" t="s">
        <v>1199</v>
      </c>
      <c r="B130" s="371" t="s">
        <v>1211</v>
      </c>
      <c r="C130" s="371" t="s">
        <v>1212</v>
      </c>
      <c r="D130" s="371"/>
      <c r="E130" s="370"/>
      <c r="F130" s="371" t="str">
        <f t="shared" si="1"/>
        <v>MCI-01542</v>
      </c>
      <c r="G130" s="370" t="s">
        <v>1213</v>
      </c>
      <c r="H130" s="371"/>
      <c r="I130" s="371" t="s">
        <v>643</v>
      </c>
      <c r="J130" s="371" t="s">
        <v>1063</v>
      </c>
      <c r="K130" s="371" t="s">
        <v>624</v>
      </c>
      <c r="L130" s="14" t="b">
        <v>0</v>
      </c>
      <c r="M130" s="20">
        <v>22040</v>
      </c>
    </row>
    <row r="131" spans="1:13" x14ac:dyDescent="0.25">
      <c r="A131" s="370" t="s">
        <v>1199</v>
      </c>
      <c r="B131" s="371" t="s">
        <v>1214</v>
      </c>
      <c r="C131" s="371" t="s">
        <v>1215</v>
      </c>
      <c r="D131" s="371" t="s">
        <v>997</v>
      </c>
      <c r="E131" s="370"/>
      <c r="F131" s="371" t="str">
        <f t="shared" si="1"/>
        <v>MCI-01543</v>
      </c>
      <c r="G131" s="370" t="s">
        <v>1216</v>
      </c>
      <c r="H131" s="371"/>
      <c r="I131" s="371" t="s">
        <v>643</v>
      </c>
      <c r="J131" s="371" t="s">
        <v>1063</v>
      </c>
      <c r="K131" s="371" t="s">
        <v>624</v>
      </c>
      <c r="L131" s="14" t="b">
        <v>0</v>
      </c>
      <c r="M131" s="20">
        <v>22050</v>
      </c>
    </row>
    <row r="132" spans="1:13" x14ac:dyDescent="0.25">
      <c r="A132" s="370" t="s">
        <v>1199</v>
      </c>
      <c r="B132" s="371" t="s">
        <v>1217</v>
      </c>
      <c r="C132" s="371" t="s">
        <v>1218</v>
      </c>
      <c r="D132" s="371" t="s">
        <v>1219</v>
      </c>
      <c r="E132" s="370"/>
      <c r="F132" s="371" t="str">
        <f t="shared" si="1"/>
        <v>MCI-01544</v>
      </c>
      <c r="G132" s="370" t="s">
        <v>1220</v>
      </c>
      <c r="H132" s="371"/>
      <c r="I132" s="371" t="s">
        <v>643</v>
      </c>
      <c r="J132" s="371" t="s">
        <v>1063</v>
      </c>
      <c r="K132" s="371" t="s">
        <v>624</v>
      </c>
      <c r="L132" s="14" t="b">
        <v>0</v>
      </c>
      <c r="M132" s="20">
        <v>22060</v>
      </c>
    </row>
    <row r="133" spans="1:13" x14ac:dyDescent="0.25">
      <c r="A133" s="370" t="s">
        <v>1221</v>
      </c>
      <c r="B133" s="371" t="s">
        <v>1222</v>
      </c>
      <c r="C133" s="371" t="s">
        <v>1223</v>
      </c>
      <c r="D133" s="371" t="s">
        <v>1219</v>
      </c>
      <c r="E133" s="370"/>
      <c r="F133" s="371" t="str">
        <f t="shared" si="1"/>
        <v>MCI-01550</v>
      </c>
      <c r="G133" s="370" t="s">
        <v>1224</v>
      </c>
      <c r="H133" s="371"/>
      <c r="I133" s="371" t="s">
        <v>643</v>
      </c>
      <c r="J133" s="371" t="s">
        <v>1063</v>
      </c>
      <c r="K133" s="371" t="s">
        <v>624</v>
      </c>
      <c r="L133" s="14" t="b">
        <v>0</v>
      </c>
      <c r="M133" s="20">
        <v>22150</v>
      </c>
    </row>
    <row r="134" spans="1:13" x14ac:dyDescent="0.25">
      <c r="A134" s="370" t="s">
        <v>1221</v>
      </c>
      <c r="B134" s="371" t="s">
        <v>1225</v>
      </c>
      <c r="C134" s="371" t="s">
        <v>1226</v>
      </c>
      <c r="D134" s="371" t="s">
        <v>1227</v>
      </c>
      <c r="E134" s="370"/>
      <c r="F134" s="371" t="str">
        <f t="shared" si="1"/>
        <v>MCI-01551</v>
      </c>
      <c r="G134" s="370" t="s">
        <v>1228</v>
      </c>
      <c r="H134" s="371"/>
      <c r="I134" s="371" t="s">
        <v>643</v>
      </c>
      <c r="J134" s="371" t="s">
        <v>1063</v>
      </c>
      <c r="K134" s="371" t="s">
        <v>624</v>
      </c>
      <c r="L134" s="14" t="b">
        <v>0</v>
      </c>
      <c r="M134" s="20">
        <v>22160</v>
      </c>
    </row>
    <row r="135" spans="1:13" x14ac:dyDescent="0.25">
      <c r="A135" s="370" t="s">
        <v>1221</v>
      </c>
      <c r="B135" s="371" t="s">
        <v>1229</v>
      </c>
      <c r="C135" s="371" t="s">
        <v>1230</v>
      </c>
      <c r="D135" s="371"/>
      <c r="E135" s="370"/>
      <c r="F135" s="371" t="str">
        <f t="shared" si="1"/>
        <v>MCI-01552</v>
      </c>
      <c r="G135" s="370" t="s">
        <v>1231</v>
      </c>
      <c r="H135" s="371"/>
      <c r="I135" s="371" t="s">
        <v>643</v>
      </c>
      <c r="J135" s="371" t="s">
        <v>1063</v>
      </c>
      <c r="K135" s="371" t="s">
        <v>624</v>
      </c>
      <c r="L135" s="14" t="b">
        <v>1</v>
      </c>
      <c r="M135" s="20">
        <v>22170</v>
      </c>
    </row>
    <row r="136" spans="1:13" x14ac:dyDescent="0.25">
      <c r="A136" s="370" t="s">
        <v>1221</v>
      </c>
      <c r="B136" s="371" t="s">
        <v>1232</v>
      </c>
      <c r="C136" s="371" t="s">
        <v>1233</v>
      </c>
      <c r="D136" s="371"/>
      <c r="E136" s="370"/>
      <c r="F136" s="371" t="str">
        <f t="shared" si="1"/>
        <v>MCI-01553</v>
      </c>
      <c r="G136" s="370" t="s">
        <v>1234</v>
      </c>
      <c r="H136" s="371"/>
      <c r="I136" s="371" t="s">
        <v>643</v>
      </c>
      <c r="J136" s="371" t="s">
        <v>1063</v>
      </c>
      <c r="K136" s="371" t="s">
        <v>624</v>
      </c>
      <c r="L136" s="14" t="b">
        <v>0</v>
      </c>
      <c r="M136" s="20">
        <v>22180</v>
      </c>
    </row>
    <row r="137" spans="1:13" x14ac:dyDescent="0.25">
      <c r="A137" s="370" t="s">
        <v>1221</v>
      </c>
      <c r="B137" s="371" t="s">
        <v>1235</v>
      </c>
      <c r="C137" s="371" t="s">
        <v>1236</v>
      </c>
      <c r="D137" s="371"/>
      <c r="E137" s="370"/>
      <c r="F137" s="371" t="str">
        <f t="shared" si="1"/>
        <v>MCI-01554</v>
      </c>
      <c r="G137" s="370" t="s">
        <v>1237</v>
      </c>
      <c r="H137" s="371"/>
      <c r="I137" s="371" t="s">
        <v>643</v>
      </c>
      <c r="J137" s="371" t="s">
        <v>1063</v>
      </c>
      <c r="K137" s="371" t="s">
        <v>624</v>
      </c>
      <c r="L137" s="14" t="b">
        <v>0</v>
      </c>
      <c r="M137" s="20">
        <v>22190</v>
      </c>
    </row>
    <row r="138" spans="1:13" x14ac:dyDescent="0.25">
      <c r="A138" s="370" t="s">
        <v>1221</v>
      </c>
      <c r="B138" s="371" t="s">
        <v>1238</v>
      </c>
      <c r="C138" s="371" t="s">
        <v>1239</v>
      </c>
      <c r="D138" s="371"/>
      <c r="E138" s="370"/>
      <c r="F138" s="371" t="str">
        <f t="shared" si="1"/>
        <v>MCI-01555</v>
      </c>
      <c r="G138" s="370" t="s">
        <v>1240</v>
      </c>
      <c r="H138" s="371"/>
      <c r="I138" s="371" t="s">
        <v>643</v>
      </c>
      <c r="J138" s="371" t="s">
        <v>1063</v>
      </c>
      <c r="K138" s="371" t="s">
        <v>624</v>
      </c>
      <c r="L138" s="14" t="b">
        <v>0</v>
      </c>
      <c r="M138" s="20">
        <v>22200</v>
      </c>
    </row>
    <row r="139" spans="1:13" x14ac:dyDescent="0.25">
      <c r="A139" s="370" t="s">
        <v>1221</v>
      </c>
      <c r="B139" s="371" t="s">
        <v>1241</v>
      </c>
      <c r="C139" s="371" t="s">
        <v>1242</v>
      </c>
      <c r="D139" s="371"/>
      <c r="E139" s="370"/>
      <c r="F139" s="371" t="str">
        <f t="shared" si="1"/>
        <v>MCI-01556</v>
      </c>
      <c r="G139" s="370" t="s">
        <v>1243</v>
      </c>
      <c r="H139" s="371"/>
      <c r="I139" s="371" t="s">
        <v>643</v>
      </c>
      <c r="J139" s="371" t="s">
        <v>1063</v>
      </c>
      <c r="K139" s="371" t="s">
        <v>624</v>
      </c>
      <c r="L139" s="14" t="b">
        <v>0</v>
      </c>
      <c r="M139" s="20">
        <v>22210</v>
      </c>
    </row>
    <row r="140" spans="1:13" x14ac:dyDescent="0.25">
      <c r="A140" s="370" t="s">
        <v>1221</v>
      </c>
      <c r="B140" s="371" t="s">
        <v>1244</v>
      </c>
      <c r="C140" s="371" t="s">
        <v>1245</v>
      </c>
      <c r="D140" s="371"/>
      <c r="E140" s="370"/>
      <c r="F140" s="371" t="str">
        <f t="shared" si="1"/>
        <v>MCI-01557</v>
      </c>
      <c r="G140" s="370" t="s">
        <v>1246</v>
      </c>
      <c r="H140" s="371"/>
      <c r="I140" s="371" t="s">
        <v>643</v>
      </c>
      <c r="J140" s="371" t="s">
        <v>1063</v>
      </c>
      <c r="K140" s="371" t="s">
        <v>624</v>
      </c>
      <c r="L140" s="14" t="b">
        <v>0</v>
      </c>
      <c r="M140" s="20">
        <v>22220</v>
      </c>
    </row>
    <row r="141" spans="1:13" x14ac:dyDescent="0.25">
      <c r="A141" s="370" t="s">
        <v>1221</v>
      </c>
      <c r="B141" s="371" t="s">
        <v>1247</v>
      </c>
      <c r="C141" s="371" t="s">
        <v>1248</v>
      </c>
      <c r="D141" s="371"/>
      <c r="E141" s="370"/>
      <c r="F141" s="371" t="str">
        <f t="shared" si="1"/>
        <v>MCI-01558</v>
      </c>
      <c r="G141" s="370" t="s">
        <v>1249</v>
      </c>
      <c r="H141" s="371"/>
      <c r="I141" s="371" t="s">
        <v>643</v>
      </c>
      <c r="J141" s="371" t="s">
        <v>1063</v>
      </c>
      <c r="K141" s="371" t="s">
        <v>1250</v>
      </c>
      <c r="L141" s="14" t="b">
        <v>0</v>
      </c>
      <c r="M141" s="20">
        <v>22230</v>
      </c>
    </row>
    <row r="142" spans="1:13" x14ac:dyDescent="0.25">
      <c r="A142" s="370" t="s">
        <v>1221</v>
      </c>
      <c r="B142" s="371" t="s">
        <v>1251</v>
      </c>
      <c r="C142" s="371" t="s">
        <v>1252</v>
      </c>
      <c r="D142" s="371" t="s">
        <v>1253</v>
      </c>
      <c r="E142" s="370"/>
      <c r="F142" s="371" t="str">
        <f t="shared" si="1"/>
        <v>MCI-01559</v>
      </c>
      <c r="G142" s="370" t="s">
        <v>1254</v>
      </c>
      <c r="H142" s="371"/>
      <c r="I142" s="371" t="s">
        <v>643</v>
      </c>
      <c r="J142" s="371" t="s">
        <v>1063</v>
      </c>
      <c r="K142" s="371" t="s">
        <v>624</v>
      </c>
      <c r="L142" s="14" t="b">
        <v>0</v>
      </c>
      <c r="M142" s="20">
        <v>22240</v>
      </c>
    </row>
    <row r="143" spans="1:13" x14ac:dyDescent="0.25">
      <c r="A143" s="370" t="s">
        <v>1221</v>
      </c>
      <c r="B143" s="371" t="s">
        <v>1255</v>
      </c>
      <c r="C143" s="371" t="s">
        <v>1256</v>
      </c>
      <c r="D143" s="371" t="s">
        <v>1219</v>
      </c>
      <c r="E143" s="370"/>
      <c r="F143" s="371" t="str">
        <f t="shared" si="1"/>
        <v>MCI-01560</v>
      </c>
      <c r="G143" s="370" t="s">
        <v>1257</v>
      </c>
      <c r="H143" s="371"/>
      <c r="I143" s="371" t="s">
        <v>643</v>
      </c>
      <c r="J143" s="371" t="s">
        <v>1063</v>
      </c>
      <c r="K143" s="371" t="s">
        <v>624</v>
      </c>
      <c r="L143" s="14" t="b">
        <v>0</v>
      </c>
      <c r="M143" s="20">
        <v>22250</v>
      </c>
    </row>
    <row r="144" spans="1:13" x14ac:dyDescent="0.25">
      <c r="A144" s="370" t="s">
        <v>1258</v>
      </c>
      <c r="B144" s="371" t="s">
        <v>1259</v>
      </c>
      <c r="C144" s="371" t="s">
        <v>1260</v>
      </c>
      <c r="D144" s="371" t="s">
        <v>1261</v>
      </c>
      <c r="E144" s="370"/>
      <c r="F144" s="371" t="str">
        <f t="shared" si="1"/>
        <v>MCI-01636</v>
      </c>
      <c r="G144" s="370" t="s">
        <v>1262</v>
      </c>
      <c r="H144" s="371"/>
      <c r="I144" s="371" t="s">
        <v>643</v>
      </c>
      <c r="J144" s="371" t="s">
        <v>1063</v>
      </c>
      <c r="K144" s="371" t="s">
        <v>624</v>
      </c>
      <c r="L144" s="14" t="b">
        <v>0</v>
      </c>
      <c r="M144" s="20">
        <v>22070</v>
      </c>
    </row>
    <row r="145" spans="1:13" x14ac:dyDescent="0.25">
      <c r="A145" s="370" t="s">
        <v>1258</v>
      </c>
      <c r="B145" s="371" t="s">
        <v>1263</v>
      </c>
      <c r="C145" s="371" t="s">
        <v>1264</v>
      </c>
      <c r="D145" s="371"/>
      <c r="E145" s="370"/>
      <c r="F145" s="371" t="str">
        <f t="shared" si="1"/>
        <v>MCI-01637</v>
      </c>
      <c r="G145" s="370" t="s">
        <v>1265</v>
      </c>
      <c r="H145" s="371"/>
      <c r="I145" s="371" t="s">
        <v>643</v>
      </c>
      <c r="J145" s="371" t="s">
        <v>1063</v>
      </c>
      <c r="K145" s="371" t="s">
        <v>624</v>
      </c>
      <c r="L145" s="14" t="b">
        <v>0</v>
      </c>
      <c r="M145" s="20">
        <v>22080</v>
      </c>
    </row>
    <row r="146" spans="1:13" x14ac:dyDescent="0.25">
      <c r="A146" s="370" t="s">
        <v>1258</v>
      </c>
      <c r="B146" s="371" t="s">
        <v>1266</v>
      </c>
      <c r="C146" s="371" t="s">
        <v>1267</v>
      </c>
      <c r="D146" s="371"/>
      <c r="E146" s="370"/>
      <c r="F146" s="371" t="str">
        <f t="shared" si="1"/>
        <v>MCI-01638</v>
      </c>
      <c r="G146" s="370" t="s">
        <v>1268</v>
      </c>
      <c r="H146" s="371"/>
      <c r="I146" s="371" t="s">
        <v>643</v>
      </c>
      <c r="J146" s="371" t="s">
        <v>1063</v>
      </c>
      <c r="K146" s="371" t="s">
        <v>624</v>
      </c>
      <c r="L146" s="14" t="b">
        <v>0</v>
      </c>
      <c r="M146" s="20">
        <v>22090</v>
      </c>
    </row>
    <row r="147" spans="1:13" x14ac:dyDescent="0.25">
      <c r="A147" s="370" t="s">
        <v>1269</v>
      </c>
      <c r="B147" s="371" t="s">
        <v>1270</v>
      </c>
      <c r="C147" s="371" t="s">
        <v>1271</v>
      </c>
      <c r="D147" s="371"/>
      <c r="E147" s="370"/>
      <c r="F147" s="371" t="str">
        <f t="shared" si="1"/>
        <v>MCI-01633</v>
      </c>
      <c r="G147" s="370" t="s">
        <v>1272</v>
      </c>
      <c r="H147" s="371"/>
      <c r="I147" s="371" t="s">
        <v>643</v>
      </c>
      <c r="J147" s="371" t="s">
        <v>1063</v>
      </c>
      <c r="K147" s="371" t="s">
        <v>624</v>
      </c>
      <c r="L147" s="14" t="b">
        <v>0</v>
      </c>
      <c r="M147" s="20">
        <v>22280</v>
      </c>
    </row>
    <row r="148" spans="1:13" x14ac:dyDescent="0.25">
      <c r="A148" s="370" t="s">
        <v>1273</v>
      </c>
      <c r="B148" s="371" t="s">
        <v>1274</v>
      </c>
      <c r="C148" s="371" t="s">
        <v>1275</v>
      </c>
      <c r="D148" s="371"/>
      <c r="E148" s="370"/>
      <c r="F148" s="371" t="str">
        <f t="shared" si="1"/>
        <v>MCI-01634</v>
      </c>
      <c r="G148" s="370" t="s">
        <v>1276</v>
      </c>
      <c r="H148" s="371"/>
      <c r="I148" s="371" t="s">
        <v>643</v>
      </c>
      <c r="J148" s="371" t="s">
        <v>1063</v>
      </c>
      <c r="K148" s="371" t="s">
        <v>624</v>
      </c>
      <c r="L148" s="14" t="b">
        <v>0</v>
      </c>
      <c r="M148" s="20">
        <v>22260</v>
      </c>
    </row>
    <row r="149" spans="1:13" x14ac:dyDescent="0.25">
      <c r="A149" s="370" t="s">
        <v>1273</v>
      </c>
      <c r="B149" s="371" t="s">
        <v>1277</v>
      </c>
      <c r="C149" s="371" t="s">
        <v>1278</v>
      </c>
      <c r="D149" s="371"/>
      <c r="E149" s="370"/>
      <c r="F149" s="371" t="str">
        <f t="shared" si="1"/>
        <v>MCI-01635</v>
      </c>
      <c r="G149" s="370" t="s">
        <v>1279</v>
      </c>
      <c r="H149" s="371"/>
      <c r="I149" s="371" t="s">
        <v>643</v>
      </c>
      <c r="J149" s="371" t="s">
        <v>1063</v>
      </c>
      <c r="K149" s="371" t="s">
        <v>624</v>
      </c>
      <c r="L149" s="14" t="b">
        <v>0</v>
      </c>
      <c r="M149" s="20">
        <v>22270</v>
      </c>
    </row>
    <row r="150" spans="1:13" x14ac:dyDescent="0.25">
      <c r="A150" s="370" t="s">
        <v>1280</v>
      </c>
      <c r="B150" s="371" t="s">
        <v>1281</v>
      </c>
      <c r="C150" s="371" t="s">
        <v>1282</v>
      </c>
      <c r="D150" s="371" t="s">
        <v>828</v>
      </c>
      <c r="E150" s="370"/>
      <c r="F150" s="371" t="str">
        <f t="shared" si="1"/>
        <v>MCI-01545</v>
      </c>
      <c r="G150" s="370" t="s">
        <v>1283</v>
      </c>
      <c r="H150" s="371"/>
      <c r="I150" s="371" t="s">
        <v>643</v>
      </c>
      <c r="J150" s="371" t="s">
        <v>1063</v>
      </c>
      <c r="K150" s="371" t="s">
        <v>624</v>
      </c>
      <c r="L150" s="14" t="b">
        <v>0</v>
      </c>
      <c r="M150" s="20">
        <v>22100</v>
      </c>
    </row>
    <row r="151" spans="1:13" x14ac:dyDescent="0.25">
      <c r="A151" s="370" t="s">
        <v>1280</v>
      </c>
      <c r="B151" s="371" t="s">
        <v>1284</v>
      </c>
      <c r="C151" s="371" t="s">
        <v>1285</v>
      </c>
      <c r="D151" s="371" t="s">
        <v>1286</v>
      </c>
      <c r="E151" s="370"/>
      <c r="F151" s="371" t="str">
        <f t="shared" ref="F151:F188" si="2">B151</f>
        <v>MCI-01546</v>
      </c>
      <c r="G151" s="370" t="s">
        <v>1287</v>
      </c>
      <c r="H151" s="371"/>
      <c r="I151" s="371" t="s">
        <v>643</v>
      </c>
      <c r="J151" s="371" t="s">
        <v>1063</v>
      </c>
      <c r="K151" s="371" t="s">
        <v>624</v>
      </c>
      <c r="L151" s="14" t="b">
        <v>0</v>
      </c>
      <c r="M151" s="20">
        <v>22110</v>
      </c>
    </row>
    <row r="152" spans="1:13" x14ac:dyDescent="0.25">
      <c r="A152" s="370" t="s">
        <v>1280</v>
      </c>
      <c r="B152" s="371" t="s">
        <v>1288</v>
      </c>
      <c r="C152" s="371" t="s">
        <v>1289</v>
      </c>
      <c r="D152" s="371" t="s">
        <v>828</v>
      </c>
      <c r="E152" s="370"/>
      <c r="F152" s="371" t="str">
        <f t="shared" si="2"/>
        <v>MCI-01547</v>
      </c>
      <c r="G152" s="370" t="s">
        <v>1290</v>
      </c>
      <c r="H152" s="371"/>
      <c r="I152" s="371" t="s">
        <v>643</v>
      </c>
      <c r="J152" s="371" t="s">
        <v>1063</v>
      </c>
      <c r="K152" s="371" t="s">
        <v>624</v>
      </c>
      <c r="L152" s="14" t="b">
        <v>0</v>
      </c>
      <c r="M152" s="20">
        <v>22120</v>
      </c>
    </row>
    <row r="153" spans="1:13" x14ac:dyDescent="0.25">
      <c r="A153" s="370" t="s">
        <v>1280</v>
      </c>
      <c r="B153" s="371" t="s">
        <v>1291</v>
      </c>
      <c r="C153" s="371" t="s">
        <v>1292</v>
      </c>
      <c r="D153" s="371" t="s">
        <v>1293</v>
      </c>
      <c r="E153" s="370"/>
      <c r="F153" s="371" t="str">
        <f t="shared" si="2"/>
        <v>MCI-01548</v>
      </c>
      <c r="G153" s="370" t="s">
        <v>1294</v>
      </c>
      <c r="H153" s="371"/>
      <c r="I153" s="371" t="s">
        <v>643</v>
      </c>
      <c r="J153" s="371" t="s">
        <v>1063</v>
      </c>
      <c r="K153" s="371" t="s">
        <v>624</v>
      </c>
      <c r="L153" s="14" t="b">
        <v>0</v>
      </c>
      <c r="M153" s="20">
        <v>22130</v>
      </c>
    </row>
    <row r="154" spans="1:13" x14ac:dyDescent="0.25">
      <c r="A154" s="370" t="s">
        <v>1280</v>
      </c>
      <c r="B154" s="371" t="s">
        <v>1295</v>
      </c>
      <c r="C154" s="371" t="s">
        <v>1296</v>
      </c>
      <c r="D154" s="371"/>
      <c r="E154" s="370"/>
      <c r="F154" s="371" t="str">
        <f t="shared" si="2"/>
        <v>MCI-01549</v>
      </c>
      <c r="G154" s="370" t="s">
        <v>1297</v>
      </c>
      <c r="H154" s="371"/>
      <c r="I154" s="371" t="s">
        <v>643</v>
      </c>
      <c r="J154" s="371" t="s">
        <v>1063</v>
      </c>
      <c r="K154" s="371" t="s">
        <v>624</v>
      </c>
      <c r="L154" s="14" t="b">
        <v>0</v>
      </c>
      <c r="M154" s="20">
        <v>22140</v>
      </c>
    </row>
    <row r="155" spans="1:13" x14ac:dyDescent="0.25">
      <c r="A155" s="370" t="s">
        <v>1298</v>
      </c>
      <c r="B155" s="371" t="s">
        <v>1299</v>
      </c>
      <c r="C155" s="371" t="s">
        <v>1300</v>
      </c>
      <c r="D155" s="371"/>
      <c r="E155" s="370"/>
      <c r="F155" s="371" t="str">
        <f t="shared" si="2"/>
        <v>MCI-01626</v>
      </c>
      <c r="G155" s="370" t="s">
        <v>1301</v>
      </c>
      <c r="H155" s="371"/>
      <c r="I155" s="371" t="s">
        <v>643</v>
      </c>
      <c r="J155" s="371" t="s">
        <v>1063</v>
      </c>
      <c r="K155" s="371" t="s">
        <v>626</v>
      </c>
      <c r="L155" s="14" t="b">
        <v>0</v>
      </c>
      <c r="M155" s="20">
        <v>61010</v>
      </c>
    </row>
    <row r="156" spans="1:13" x14ac:dyDescent="0.25">
      <c r="A156" s="370" t="s">
        <v>1302</v>
      </c>
      <c r="B156" s="371" t="s">
        <v>1303</v>
      </c>
      <c r="C156" s="371" t="s">
        <v>1304</v>
      </c>
      <c r="D156" s="371" t="s">
        <v>1305</v>
      </c>
      <c r="E156" s="370"/>
      <c r="F156" s="371" t="str">
        <f t="shared" si="2"/>
        <v>MCI-01598</v>
      </c>
      <c r="G156" s="370" t="s">
        <v>1306</v>
      </c>
      <c r="H156" s="371"/>
      <c r="I156" s="371" t="s">
        <v>643</v>
      </c>
      <c r="J156" s="371" t="s">
        <v>1063</v>
      </c>
      <c r="K156" s="371" t="s">
        <v>624</v>
      </c>
      <c r="L156" s="14" t="b">
        <v>0</v>
      </c>
      <c r="M156" s="20">
        <v>61020</v>
      </c>
    </row>
    <row r="157" spans="1:13" x14ac:dyDescent="0.25">
      <c r="A157" s="370" t="s">
        <v>1302</v>
      </c>
      <c r="B157" s="371" t="s">
        <v>1307</v>
      </c>
      <c r="C157" s="371" t="s">
        <v>1308</v>
      </c>
      <c r="D157" s="371" t="s">
        <v>1309</v>
      </c>
      <c r="E157" s="370"/>
      <c r="F157" s="371" t="str">
        <f t="shared" si="2"/>
        <v>MCI-01599</v>
      </c>
      <c r="G157" s="370" t="s">
        <v>1310</v>
      </c>
      <c r="H157" s="371"/>
      <c r="I157" s="371" t="s">
        <v>643</v>
      </c>
      <c r="J157" s="371" t="s">
        <v>1063</v>
      </c>
      <c r="K157" s="371" t="s">
        <v>626</v>
      </c>
      <c r="L157" s="14" t="b">
        <v>0</v>
      </c>
      <c r="M157" s="20">
        <v>61030</v>
      </c>
    </row>
    <row r="158" spans="1:13" x14ac:dyDescent="0.25">
      <c r="A158" s="370" t="s">
        <v>1311</v>
      </c>
      <c r="B158" s="371" t="s">
        <v>1312</v>
      </c>
      <c r="C158" s="371" t="s">
        <v>1313</v>
      </c>
      <c r="D158" s="371"/>
      <c r="E158" s="370"/>
      <c r="F158" s="371" t="str">
        <f t="shared" si="2"/>
        <v>MCI-01592</v>
      </c>
      <c r="G158" s="370" t="s">
        <v>1314</v>
      </c>
      <c r="H158" s="371"/>
      <c r="I158" s="371" t="s">
        <v>643</v>
      </c>
      <c r="J158" s="371" t="s">
        <v>1063</v>
      </c>
      <c r="K158" s="371" t="s">
        <v>626</v>
      </c>
      <c r="L158" s="14" t="b">
        <v>0</v>
      </c>
      <c r="M158" s="20">
        <v>61040</v>
      </c>
    </row>
    <row r="159" spans="1:13" x14ac:dyDescent="0.25">
      <c r="A159" s="370" t="s">
        <v>1311</v>
      </c>
      <c r="B159" s="371" t="s">
        <v>1315</v>
      </c>
      <c r="C159" s="371" t="s">
        <v>1316</v>
      </c>
      <c r="D159" s="371" t="s">
        <v>1317</v>
      </c>
      <c r="E159" s="370"/>
      <c r="F159" s="371" t="str">
        <f t="shared" si="2"/>
        <v>MCI-01593</v>
      </c>
      <c r="G159" s="370" t="s">
        <v>1318</v>
      </c>
      <c r="H159" s="371"/>
      <c r="I159" s="371" t="s">
        <v>643</v>
      </c>
      <c r="J159" s="371" t="s">
        <v>1063</v>
      </c>
      <c r="K159" s="371" t="s">
        <v>626</v>
      </c>
      <c r="L159" s="14" t="b">
        <v>0</v>
      </c>
      <c r="M159" s="20">
        <v>61050</v>
      </c>
    </row>
    <row r="160" spans="1:13" x14ac:dyDescent="0.25">
      <c r="A160" s="370" t="s">
        <v>1311</v>
      </c>
      <c r="B160" s="371" t="s">
        <v>1319</v>
      </c>
      <c r="C160" s="371" t="s">
        <v>1320</v>
      </c>
      <c r="D160" s="371" t="s">
        <v>1317</v>
      </c>
      <c r="E160" s="370"/>
      <c r="F160" s="371" t="str">
        <f t="shared" si="2"/>
        <v>MCI-01594</v>
      </c>
      <c r="G160" s="370" t="s">
        <v>1321</v>
      </c>
      <c r="H160" s="371"/>
      <c r="I160" s="371" t="s">
        <v>643</v>
      </c>
      <c r="J160" s="371" t="s">
        <v>1063</v>
      </c>
      <c r="K160" s="371" t="s">
        <v>626</v>
      </c>
      <c r="L160" s="14" t="b">
        <v>0</v>
      </c>
      <c r="M160" s="20">
        <v>61060</v>
      </c>
    </row>
    <row r="161" spans="1:13" x14ac:dyDescent="0.25">
      <c r="A161" s="370" t="s">
        <v>1311</v>
      </c>
      <c r="B161" s="371" t="s">
        <v>1322</v>
      </c>
      <c r="C161" s="371" t="s">
        <v>1323</v>
      </c>
      <c r="D161" s="371" t="s">
        <v>1324</v>
      </c>
      <c r="E161" s="370"/>
      <c r="F161" s="371" t="str">
        <f t="shared" si="2"/>
        <v>MCI-01595</v>
      </c>
      <c r="G161" s="370" t="s">
        <v>1325</v>
      </c>
      <c r="H161" s="371"/>
      <c r="I161" s="371" t="s">
        <v>643</v>
      </c>
      <c r="J161" s="371" t="s">
        <v>1063</v>
      </c>
      <c r="K161" s="371" t="s">
        <v>626</v>
      </c>
      <c r="L161" s="14" t="b">
        <v>0</v>
      </c>
      <c r="M161" s="20">
        <v>61070</v>
      </c>
    </row>
    <row r="162" spans="1:13" x14ac:dyDescent="0.25">
      <c r="A162" s="370" t="s">
        <v>1311</v>
      </c>
      <c r="B162" s="371" t="s">
        <v>1326</v>
      </c>
      <c r="C162" s="371" t="s">
        <v>1327</v>
      </c>
      <c r="D162" s="371" t="s">
        <v>1328</v>
      </c>
      <c r="E162" s="370"/>
      <c r="F162" s="371" t="str">
        <f t="shared" si="2"/>
        <v>MCI-01596</v>
      </c>
      <c r="G162" s="370" t="s">
        <v>1329</v>
      </c>
      <c r="H162" s="371"/>
      <c r="I162" s="371" t="s">
        <v>643</v>
      </c>
      <c r="J162" s="371" t="s">
        <v>1063</v>
      </c>
      <c r="K162" s="371" t="s">
        <v>626</v>
      </c>
      <c r="L162" s="14" t="b">
        <v>0</v>
      </c>
      <c r="M162" s="20">
        <v>61080</v>
      </c>
    </row>
    <row r="163" spans="1:13" x14ac:dyDescent="0.25">
      <c r="A163" s="370" t="s">
        <v>1311</v>
      </c>
      <c r="B163" s="371" t="s">
        <v>1330</v>
      </c>
      <c r="C163" s="371" t="s">
        <v>1331</v>
      </c>
      <c r="D163" s="371" t="s">
        <v>1332</v>
      </c>
      <c r="E163" s="370"/>
      <c r="F163" s="371" t="str">
        <f t="shared" si="2"/>
        <v>MCI-01597</v>
      </c>
      <c r="G163" s="370" t="s">
        <v>1333</v>
      </c>
      <c r="H163" s="371"/>
      <c r="I163" s="371" t="s">
        <v>643</v>
      </c>
      <c r="J163" s="371" t="s">
        <v>1063</v>
      </c>
      <c r="K163" s="371" t="s">
        <v>626</v>
      </c>
      <c r="L163" s="14" t="b">
        <v>0</v>
      </c>
      <c r="M163" s="20">
        <v>61090</v>
      </c>
    </row>
    <row r="164" spans="1:13" x14ac:dyDescent="0.25">
      <c r="A164" s="370" t="s">
        <v>1334</v>
      </c>
      <c r="B164" s="371" t="s">
        <v>1335</v>
      </c>
      <c r="C164" s="371" t="s">
        <v>1336</v>
      </c>
      <c r="D164" s="371"/>
      <c r="E164" s="370"/>
      <c r="F164" s="371" t="str">
        <f t="shared" si="2"/>
        <v>MCI-01589</v>
      </c>
      <c r="G164" s="370" t="s">
        <v>1337</v>
      </c>
      <c r="H164" s="371"/>
      <c r="I164" s="371" t="s">
        <v>643</v>
      </c>
      <c r="J164" s="371" t="s">
        <v>1063</v>
      </c>
      <c r="K164" s="371" t="s">
        <v>626</v>
      </c>
      <c r="L164" s="14" t="b">
        <v>0</v>
      </c>
      <c r="M164" s="20">
        <v>61100</v>
      </c>
    </row>
    <row r="165" spans="1:13" x14ac:dyDescent="0.25">
      <c r="A165" s="370" t="s">
        <v>1334</v>
      </c>
      <c r="B165" s="371" t="s">
        <v>1338</v>
      </c>
      <c r="C165" s="371" t="s">
        <v>1339</v>
      </c>
      <c r="D165" s="371"/>
      <c r="E165" s="370"/>
      <c r="F165" s="371" t="str">
        <f t="shared" si="2"/>
        <v>MCI-01590</v>
      </c>
      <c r="G165" s="370" t="s">
        <v>1340</v>
      </c>
      <c r="H165" s="371"/>
      <c r="I165" s="371" t="s">
        <v>643</v>
      </c>
      <c r="J165" s="371" t="s">
        <v>1063</v>
      </c>
      <c r="K165" s="371" t="s">
        <v>624</v>
      </c>
      <c r="L165" s="14" t="b">
        <v>0</v>
      </c>
      <c r="M165" s="20">
        <v>61110</v>
      </c>
    </row>
    <row r="166" spans="1:13" x14ac:dyDescent="0.25">
      <c r="A166" s="370" t="s">
        <v>1334</v>
      </c>
      <c r="B166" s="371" t="s">
        <v>1341</v>
      </c>
      <c r="C166" s="371" t="s">
        <v>1342</v>
      </c>
      <c r="D166" s="371"/>
      <c r="E166" s="370"/>
      <c r="F166" s="371" t="str">
        <f t="shared" si="2"/>
        <v>MCI-01591</v>
      </c>
      <c r="G166" s="370" t="s">
        <v>1343</v>
      </c>
      <c r="H166" s="371"/>
      <c r="I166" s="371" t="s">
        <v>643</v>
      </c>
      <c r="J166" s="371" t="s">
        <v>1063</v>
      </c>
      <c r="K166" s="371" t="s">
        <v>624</v>
      </c>
      <c r="L166" s="14" t="b">
        <v>0</v>
      </c>
      <c r="M166" s="20">
        <v>61120</v>
      </c>
    </row>
    <row r="167" spans="1:13" x14ac:dyDescent="0.25">
      <c r="A167" s="370" t="s">
        <v>1344</v>
      </c>
      <c r="B167" s="371" t="s">
        <v>1345</v>
      </c>
      <c r="C167" s="371" t="s">
        <v>1346</v>
      </c>
      <c r="D167" s="371" t="s">
        <v>1347</v>
      </c>
      <c r="E167" s="370"/>
      <c r="F167" s="371" t="str">
        <f t="shared" si="2"/>
        <v>MCI-01582</v>
      </c>
      <c r="G167" s="370" t="s">
        <v>1348</v>
      </c>
      <c r="H167" s="371"/>
      <c r="I167" s="371" t="s">
        <v>643</v>
      </c>
      <c r="J167" s="371" t="s">
        <v>1063</v>
      </c>
      <c r="K167" s="371" t="s">
        <v>626</v>
      </c>
      <c r="L167" s="14" t="b">
        <v>0</v>
      </c>
      <c r="M167" s="20">
        <v>61130</v>
      </c>
    </row>
    <row r="168" spans="1:13" x14ac:dyDescent="0.25">
      <c r="A168" s="370" t="s">
        <v>1344</v>
      </c>
      <c r="B168" s="371" t="s">
        <v>1349</v>
      </c>
      <c r="C168" s="371" t="s">
        <v>1350</v>
      </c>
      <c r="D168" s="371" t="s">
        <v>1347</v>
      </c>
      <c r="E168" s="370"/>
      <c r="F168" s="371" t="str">
        <f t="shared" si="2"/>
        <v>MCI-01583</v>
      </c>
      <c r="G168" s="370" t="s">
        <v>1351</v>
      </c>
      <c r="H168" s="371"/>
      <c r="I168" s="371" t="s">
        <v>643</v>
      </c>
      <c r="J168" s="371" t="s">
        <v>1063</v>
      </c>
      <c r="K168" s="371" t="s">
        <v>626</v>
      </c>
      <c r="L168" s="14" t="b">
        <v>0</v>
      </c>
      <c r="M168" s="20">
        <v>61140</v>
      </c>
    </row>
    <row r="169" spans="1:13" x14ac:dyDescent="0.25">
      <c r="A169" s="370" t="s">
        <v>1344</v>
      </c>
      <c r="B169" s="371" t="s">
        <v>1352</v>
      </c>
      <c r="C169" s="371" t="s">
        <v>1353</v>
      </c>
      <c r="D169" s="371" t="s">
        <v>1354</v>
      </c>
      <c r="E169" s="370"/>
      <c r="F169" s="371" t="str">
        <f t="shared" si="2"/>
        <v>MCI-01584</v>
      </c>
      <c r="G169" s="370" t="s">
        <v>1355</v>
      </c>
      <c r="H169" s="371"/>
      <c r="I169" s="371" t="s">
        <v>643</v>
      </c>
      <c r="J169" s="371" t="s">
        <v>1063</v>
      </c>
      <c r="K169" s="371" t="s">
        <v>624</v>
      </c>
      <c r="L169" s="14" t="b">
        <v>0</v>
      </c>
      <c r="M169" s="20">
        <v>61150</v>
      </c>
    </row>
    <row r="170" spans="1:13" x14ac:dyDescent="0.25">
      <c r="A170" s="370" t="s">
        <v>1344</v>
      </c>
      <c r="B170" s="371" t="s">
        <v>1356</v>
      </c>
      <c r="C170" s="371" t="s">
        <v>1357</v>
      </c>
      <c r="D170" s="371"/>
      <c r="E170" s="370"/>
      <c r="F170" s="371" t="str">
        <f t="shared" si="2"/>
        <v>MCI-01585</v>
      </c>
      <c r="G170" s="370" t="s">
        <v>1358</v>
      </c>
      <c r="H170" s="371"/>
      <c r="I170" s="371" t="s">
        <v>643</v>
      </c>
      <c r="J170" s="371" t="s">
        <v>1063</v>
      </c>
      <c r="K170" s="371" t="s">
        <v>626</v>
      </c>
      <c r="L170" s="14" t="b">
        <v>0</v>
      </c>
      <c r="M170" s="20">
        <v>61160</v>
      </c>
    </row>
    <row r="171" spans="1:13" x14ac:dyDescent="0.25">
      <c r="A171" s="370" t="s">
        <v>1344</v>
      </c>
      <c r="B171" s="371" t="s">
        <v>1359</v>
      </c>
      <c r="C171" s="371" t="s">
        <v>1360</v>
      </c>
      <c r="D171" s="371"/>
      <c r="E171" s="370"/>
      <c r="F171" s="371" t="str">
        <f t="shared" si="2"/>
        <v>MCI-01586</v>
      </c>
      <c r="G171" s="370" t="s">
        <v>1361</v>
      </c>
      <c r="H171" s="371"/>
      <c r="I171" s="371" t="s">
        <v>643</v>
      </c>
      <c r="J171" s="371" t="s">
        <v>1063</v>
      </c>
      <c r="K171" s="371" t="s">
        <v>626</v>
      </c>
      <c r="L171" s="14" t="b">
        <v>0</v>
      </c>
      <c r="M171" s="20">
        <v>61170</v>
      </c>
    </row>
    <row r="172" spans="1:13" x14ac:dyDescent="0.25">
      <c r="A172" s="370" t="s">
        <v>1344</v>
      </c>
      <c r="B172" s="371" t="s">
        <v>1362</v>
      </c>
      <c r="C172" s="371" t="s">
        <v>1363</v>
      </c>
      <c r="D172" s="371"/>
      <c r="E172" s="370"/>
      <c r="F172" s="371" t="str">
        <f t="shared" si="2"/>
        <v>MCI-01587</v>
      </c>
      <c r="G172" s="370" t="s">
        <v>1364</v>
      </c>
      <c r="H172" s="371"/>
      <c r="I172" s="371" t="s">
        <v>643</v>
      </c>
      <c r="J172" s="371" t="s">
        <v>1063</v>
      </c>
      <c r="K172" s="371" t="s">
        <v>626</v>
      </c>
      <c r="L172" s="14" t="b">
        <v>0</v>
      </c>
      <c r="M172" s="20">
        <v>61180</v>
      </c>
    </row>
    <row r="173" spans="1:13" x14ac:dyDescent="0.25">
      <c r="A173" s="370" t="s">
        <v>1344</v>
      </c>
      <c r="B173" s="371" t="s">
        <v>1365</v>
      </c>
      <c r="C173" s="371" t="s">
        <v>1366</v>
      </c>
      <c r="D173" s="371"/>
      <c r="E173" s="370"/>
      <c r="F173" s="371" t="str">
        <f t="shared" si="2"/>
        <v>MCI-01588</v>
      </c>
      <c r="G173" s="370" t="s">
        <v>1367</v>
      </c>
      <c r="H173" s="371"/>
      <c r="I173" s="371" t="s">
        <v>643</v>
      </c>
      <c r="J173" s="371" t="s">
        <v>1063</v>
      </c>
      <c r="K173" s="371" t="s">
        <v>626</v>
      </c>
      <c r="L173" s="14" t="b">
        <v>0</v>
      </c>
      <c r="M173" s="20">
        <v>61190</v>
      </c>
    </row>
    <row r="174" spans="1:13" x14ac:dyDescent="0.25">
      <c r="A174" s="370" t="s">
        <v>1368</v>
      </c>
      <c r="B174" s="371" t="s">
        <v>1369</v>
      </c>
      <c r="C174" s="371" t="s">
        <v>1370</v>
      </c>
      <c r="D174" s="371" t="s">
        <v>1371</v>
      </c>
      <c r="E174" s="370"/>
      <c r="F174" s="371" t="str">
        <f t="shared" si="2"/>
        <v>MCI-01627</v>
      </c>
      <c r="G174" s="370" t="s">
        <v>1372</v>
      </c>
      <c r="H174" s="371"/>
      <c r="I174" s="371" t="s">
        <v>643</v>
      </c>
      <c r="J174" s="371" t="s">
        <v>1063</v>
      </c>
      <c r="K174" s="371" t="s">
        <v>626</v>
      </c>
      <c r="L174" s="14" t="b">
        <v>0</v>
      </c>
      <c r="M174" s="20">
        <v>61200</v>
      </c>
    </row>
    <row r="175" spans="1:13" x14ac:dyDescent="0.25">
      <c r="A175" s="370" t="s">
        <v>1368</v>
      </c>
      <c r="B175" s="371" t="s">
        <v>1373</v>
      </c>
      <c r="C175" s="371" t="s">
        <v>1374</v>
      </c>
      <c r="D175" s="371"/>
      <c r="E175" s="370"/>
      <c r="F175" s="371" t="str">
        <f t="shared" si="2"/>
        <v>MCI-01628</v>
      </c>
      <c r="G175" s="370" t="s">
        <v>1375</v>
      </c>
      <c r="H175" s="371"/>
      <c r="I175" s="371" t="s">
        <v>643</v>
      </c>
      <c r="J175" s="371" t="s">
        <v>1063</v>
      </c>
      <c r="K175" s="371" t="s">
        <v>626</v>
      </c>
      <c r="L175" s="14" t="b">
        <v>0</v>
      </c>
      <c r="M175" s="20">
        <v>61210</v>
      </c>
    </row>
    <row r="176" spans="1:13" x14ac:dyDescent="0.25">
      <c r="A176" s="370" t="s">
        <v>1368</v>
      </c>
      <c r="B176" s="371" t="s">
        <v>1376</v>
      </c>
      <c r="C176" s="371" t="s">
        <v>1377</v>
      </c>
      <c r="D176" s="371" t="s">
        <v>1378</v>
      </c>
      <c r="E176" s="370"/>
      <c r="F176" s="371" t="str">
        <f t="shared" si="2"/>
        <v>MCI-01629</v>
      </c>
      <c r="G176" s="370" t="s">
        <v>1379</v>
      </c>
      <c r="H176" s="371"/>
      <c r="I176" s="371" t="s">
        <v>643</v>
      </c>
      <c r="J176" s="371" t="s">
        <v>1063</v>
      </c>
      <c r="K176" s="371" t="s">
        <v>1250</v>
      </c>
      <c r="L176" s="14" t="b">
        <v>0</v>
      </c>
      <c r="M176" s="20">
        <v>61220</v>
      </c>
    </row>
    <row r="177" spans="1:16" x14ac:dyDescent="0.25">
      <c r="A177" s="370" t="s">
        <v>1368</v>
      </c>
      <c r="B177" s="371" t="s">
        <v>1380</v>
      </c>
      <c r="C177" s="371" t="s">
        <v>1381</v>
      </c>
      <c r="D177" s="371"/>
      <c r="E177" s="370"/>
      <c r="F177" s="371" t="str">
        <f t="shared" si="2"/>
        <v>MCI-01630</v>
      </c>
      <c r="G177" s="370" t="s">
        <v>1382</v>
      </c>
      <c r="H177" s="371"/>
      <c r="I177" s="371" t="s">
        <v>643</v>
      </c>
      <c r="J177" s="371" t="s">
        <v>1063</v>
      </c>
      <c r="K177" s="371" t="s">
        <v>626</v>
      </c>
      <c r="L177" s="14" t="b">
        <v>0</v>
      </c>
      <c r="M177" s="20">
        <v>61230</v>
      </c>
    </row>
    <row r="178" spans="1:16" x14ac:dyDescent="0.25">
      <c r="A178" s="370" t="s">
        <v>1368</v>
      </c>
      <c r="B178" s="371" t="s">
        <v>1383</v>
      </c>
      <c r="C178" s="371" t="s">
        <v>1384</v>
      </c>
      <c r="D178" s="371"/>
      <c r="E178" s="370"/>
      <c r="F178" s="371" t="str">
        <f t="shared" si="2"/>
        <v>MCI-01631</v>
      </c>
      <c r="G178" s="370" t="s">
        <v>1385</v>
      </c>
      <c r="H178" s="371"/>
      <c r="I178" s="371" t="s">
        <v>643</v>
      </c>
      <c r="J178" s="371" t="s">
        <v>1063</v>
      </c>
      <c r="K178" s="371" t="s">
        <v>626</v>
      </c>
      <c r="L178" s="14" t="b">
        <v>0</v>
      </c>
      <c r="M178" s="20">
        <v>61240</v>
      </c>
    </row>
    <row r="179" spans="1:16" x14ac:dyDescent="0.25">
      <c r="A179" s="370" t="s">
        <v>1386</v>
      </c>
      <c r="B179" s="371" t="s">
        <v>1387</v>
      </c>
      <c r="C179" s="371" t="s">
        <v>1388</v>
      </c>
      <c r="D179" s="371" t="s">
        <v>1389</v>
      </c>
      <c r="E179" s="370"/>
      <c r="F179" s="371" t="str">
        <f t="shared" si="2"/>
        <v>MCI-01632</v>
      </c>
      <c r="G179" s="370" t="s">
        <v>1390</v>
      </c>
      <c r="H179" s="371"/>
      <c r="I179" s="371" t="s">
        <v>643</v>
      </c>
      <c r="J179" s="371" t="s">
        <v>1063</v>
      </c>
      <c r="K179" s="371" t="s">
        <v>626</v>
      </c>
      <c r="L179" s="14" t="b">
        <v>0</v>
      </c>
      <c r="M179" s="20">
        <v>61250</v>
      </c>
    </row>
    <row r="180" spans="1:16" x14ac:dyDescent="0.25">
      <c r="A180" s="370" t="s">
        <v>1391</v>
      </c>
      <c r="B180" s="371" t="s">
        <v>1392</v>
      </c>
      <c r="C180" s="371" t="s">
        <v>1393</v>
      </c>
      <c r="D180" s="371" t="s">
        <v>1394</v>
      </c>
      <c r="E180" s="370"/>
      <c r="F180" s="371" t="str">
        <f t="shared" si="2"/>
        <v>MCI-01600</v>
      </c>
      <c r="G180" s="370" t="s">
        <v>1395</v>
      </c>
      <c r="H180" s="371"/>
      <c r="I180" s="371" t="s">
        <v>643</v>
      </c>
      <c r="J180" s="371" t="s">
        <v>1063</v>
      </c>
      <c r="K180" s="371" t="s">
        <v>624</v>
      </c>
      <c r="L180" s="14" t="b">
        <v>0</v>
      </c>
      <c r="M180" s="20">
        <v>61270</v>
      </c>
    </row>
    <row r="181" spans="1:16" x14ac:dyDescent="0.25">
      <c r="A181" s="370" t="s">
        <v>1391</v>
      </c>
      <c r="B181" s="371" t="s">
        <v>1396</v>
      </c>
      <c r="C181" s="371" t="s">
        <v>1397</v>
      </c>
      <c r="D181" s="371" t="s">
        <v>1394</v>
      </c>
      <c r="E181" s="370"/>
      <c r="F181" s="371" t="str">
        <f t="shared" si="2"/>
        <v>MCI-01601</v>
      </c>
      <c r="G181" s="370" t="s">
        <v>1398</v>
      </c>
      <c r="H181" s="371"/>
      <c r="I181" s="371" t="s">
        <v>643</v>
      </c>
      <c r="J181" s="371" t="s">
        <v>1063</v>
      </c>
      <c r="K181" s="371" t="s">
        <v>624</v>
      </c>
      <c r="L181" s="14" t="b">
        <v>0</v>
      </c>
      <c r="M181" s="20">
        <v>61280</v>
      </c>
    </row>
    <row r="182" spans="1:16" x14ac:dyDescent="0.25">
      <c r="A182" s="370" t="s">
        <v>1391</v>
      </c>
      <c r="B182" s="371" t="s">
        <v>1399</v>
      </c>
      <c r="C182" s="371" t="s">
        <v>1400</v>
      </c>
      <c r="D182" s="371" t="s">
        <v>1401</v>
      </c>
      <c r="E182" s="370"/>
      <c r="F182" s="371" t="str">
        <f t="shared" si="2"/>
        <v>MCI-01602</v>
      </c>
      <c r="G182" s="370" t="s">
        <v>1402</v>
      </c>
      <c r="H182" s="371"/>
      <c r="I182" s="371" t="s">
        <v>643</v>
      </c>
      <c r="J182" s="371" t="s">
        <v>1063</v>
      </c>
      <c r="K182" s="371" t="s">
        <v>626</v>
      </c>
      <c r="L182" s="14" t="b">
        <v>0</v>
      </c>
      <c r="M182" s="20">
        <v>61290</v>
      </c>
    </row>
    <row r="183" spans="1:16" x14ac:dyDescent="0.25">
      <c r="A183" s="370" t="s">
        <v>1391</v>
      </c>
      <c r="B183" s="371" t="s">
        <v>1403</v>
      </c>
      <c r="C183" s="371" t="s">
        <v>1404</v>
      </c>
      <c r="D183" s="371"/>
      <c r="E183" s="370"/>
      <c r="F183" s="371" t="str">
        <f t="shared" si="2"/>
        <v>MCI-01603</v>
      </c>
      <c r="G183" s="370" t="s">
        <v>1405</v>
      </c>
      <c r="H183" s="371"/>
      <c r="I183" s="371" t="s">
        <v>643</v>
      </c>
      <c r="J183" s="371" t="s">
        <v>1063</v>
      </c>
      <c r="K183" s="371" t="s">
        <v>626</v>
      </c>
      <c r="L183" s="14" t="b">
        <v>0</v>
      </c>
      <c r="M183" s="20">
        <v>61300</v>
      </c>
    </row>
    <row r="184" spans="1:16" x14ac:dyDescent="0.25">
      <c r="A184" s="370" t="s">
        <v>1391</v>
      </c>
      <c r="B184" s="371" t="s">
        <v>1406</v>
      </c>
      <c r="C184" s="371" t="s">
        <v>1407</v>
      </c>
      <c r="D184" s="371"/>
      <c r="E184" s="370"/>
      <c r="F184" s="371" t="str">
        <f t="shared" si="2"/>
        <v>MCI-01604</v>
      </c>
      <c r="G184" s="370" t="s">
        <v>1408</v>
      </c>
      <c r="H184" s="371"/>
      <c r="I184" s="371" t="s">
        <v>643</v>
      </c>
      <c r="J184" s="371" t="s">
        <v>1063</v>
      </c>
      <c r="K184" s="371" t="s">
        <v>626</v>
      </c>
      <c r="L184" s="14" t="b">
        <v>0</v>
      </c>
      <c r="M184" s="20">
        <v>61310</v>
      </c>
    </row>
    <row r="185" spans="1:16" x14ac:dyDescent="0.25">
      <c r="A185" s="370" t="s">
        <v>1391</v>
      </c>
      <c r="B185" s="371" t="s">
        <v>1409</v>
      </c>
      <c r="C185" s="371" t="s">
        <v>1410</v>
      </c>
      <c r="D185" s="371" t="s">
        <v>1411</v>
      </c>
      <c r="E185" s="370"/>
      <c r="F185" s="371" t="str">
        <f t="shared" si="2"/>
        <v>MCI-01605</v>
      </c>
      <c r="G185" s="370" t="s">
        <v>1412</v>
      </c>
      <c r="H185" s="371"/>
      <c r="I185" s="371" t="s">
        <v>643</v>
      </c>
      <c r="J185" s="371" t="s">
        <v>1063</v>
      </c>
      <c r="K185" s="371" t="s">
        <v>626</v>
      </c>
      <c r="L185" s="14" t="b">
        <v>0</v>
      </c>
      <c r="M185" s="20">
        <v>61320</v>
      </c>
    </row>
    <row r="186" spans="1:16" x14ac:dyDescent="0.25">
      <c r="A186" s="370" t="s">
        <v>1391</v>
      </c>
      <c r="B186" s="371" t="s">
        <v>1413</v>
      </c>
      <c r="C186" s="371" t="s">
        <v>1414</v>
      </c>
      <c r="D186" s="371"/>
      <c r="E186" s="370"/>
      <c r="F186" s="371" t="str">
        <f t="shared" si="2"/>
        <v>MCI-01606</v>
      </c>
      <c r="G186" s="370" t="s">
        <v>1415</v>
      </c>
      <c r="H186" s="371"/>
      <c r="I186" s="371" t="s">
        <v>643</v>
      </c>
      <c r="J186" s="371" t="s">
        <v>1063</v>
      </c>
      <c r="K186" s="371" t="s">
        <v>624</v>
      </c>
      <c r="L186" s="14" t="b">
        <v>0</v>
      </c>
      <c r="M186" s="20">
        <v>61330</v>
      </c>
    </row>
    <row r="187" spans="1:16" x14ac:dyDescent="0.25">
      <c r="A187" s="370" t="s">
        <v>1391</v>
      </c>
      <c r="B187" s="371" t="s">
        <v>1416</v>
      </c>
      <c r="C187" s="371" t="s">
        <v>1417</v>
      </c>
      <c r="D187" s="371"/>
      <c r="E187" s="370"/>
      <c r="F187" s="371" t="str">
        <f t="shared" si="2"/>
        <v>MCI-01607</v>
      </c>
      <c r="G187" s="370" t="s">
        <v>1418</v>
      </c>
      <c r="H187" s="371"/>
      <c r="I187" s="371" t="s">
        <v>643</v>
      </c>
      <c r="J187" s="371" t="s">
        <v>1063</v>
      </c>
      <c r="K187" s="371" t="s">
        <v>626</v>
      </c>
      <c r="L187" s="14" t="b">
        <v>0</v>
      </c>
      <c r="M187" s="20">
        <v>61340</v>
      </c>
    </row>
    <row r="188" spans="1:16" x14ac:dyDescent="0.25">
      <c r="A188" s="370" t="s">
        <v>1391</v>
      </c>
      <c r="B188" s="371" t="s">
        <v>1419</v>
      </c>
      <c r="C188" s="371" t="s">
        <v>1420</v>
      </c>
      <c r="D188" s="371" t="s">
        <v>1411</v>
      </c>
      <c r="E188" s="370"/>
      <c r="F188" s="371" t="str">
        <f t="shared" si="2"/>
        <v>MCI-01608</v>
      </c>
      <c r="G188" s="370" t="s">
        <v>1421</v>
      </c>
      <c r="H188" s="371"/>
      <c r="I188" s="371" t="s">
        <v>643</v>
      </c>
      <c r="J188" s="371" t="s">
        <v>1063</v>
      </c>
      <c r="K188" s="371" t="s">
        <v>626</v>
      </c>
      <c r="L188" s="14" t="b">
        <v>0</v>
      </c>
      <c r="M188" s="20">
        <v>61350</v>
      </c>
    </row>
    <row r="190" spans="1:16" x14ac:dyDescent="0.25">
      <c r="B190" s="2" t="s">
        <v>1422</v>
      </c>
    </row>
    <row r="191" spans="1:16" x14ac:dyDescent="0.25">
      <c r="B191" s="26" t="s">
        <v>1423</v>
      </c>
      <c r="C191" s="367" t="s">
        <v>256</v>
      </c>
      <c r="D191" s="367" t="s">
        <v>1424</v>
      </c>
      <c r="E191" s="367" t="s">
        <v>310</v>
      </c>
      <c r="F191" s="367" t="s">
        <v>1425</v>
      </c>
      <c r="G191" s="367" t="s">
        <v>318</v>
      </c>
      <c r="H191" s="367" t="s">
        <v>1426</v>
      </c>
      <c r="I191" s="367" t="s">
        <v>1427</v>
      </c>
      <c r="J191" s="367" t="s">
        <v>788</v>
      </c>
      <c r="K191" s="14" t="s">
        <v>791</v>
      </c>
      <c r="L191" s="14" t="s">
        <v>1428</v>
      </c>
      <c r="M191" s="14" t="s">
        <v>789</v>
      </c>
      <c r="N191" s="14" t="s">
        <v>793</v>
      </c>
      <c r="O191" s="14"/>
      <c r="P191" s="14" t="s">
        <v>1052</v>
      </c>
    </row>
    <row r="192" spans="1:16" hidden="1" x14ac:dyDescent="0.25">
      <c r="B192" s="27" t="str">
        <f t="array" ref="B192">IFERROR(INDEX($C$192:$C$250, MATCH(0, COUNTIF($B$191:B191, $C$192:$C$250&amp;"") + IF($C$192:$C$250="",1,0), 0)), "")</f>
        <v>--Select--</v>
      </c>
      <c r="C192" s="15" t="s">
        <v>795</v>
      </c>
      <c r="D192" s="14" t="s">
        <v>1429</v>
      </c>
      <c r="E192" s="14" t="s">
        <v>312</v>
      </c>
      <c r="F192" s="14" t="str">
        <f>C192</f>
        <v>--Select--</v>
      </c>
      <c r="G192" s="14" t="s">
        <v>321</v>
      </c>
      <c r="H192" s="368" t="s">
        <v>1430</v>
      </c>
      <c r="I192" s="14" t="str">
        <f t="array" ref="I192">IFERROR(INDEX($D$192:$D$250, MATCH(0, COUNTIF($I$191:I191, $D$192:$D$250&amp;"") + IF($D$192:$D$250="",1,0), 0)), "")</f>
        <v>[Module-Coverage-Intervention Reference (Name)]</v>
      </c>
      <c r="J192" s="14" t="str">
        <f t="array" ref="J192">IFERROR(IF(INDEX($C$192:$C$250,MATCH(LEFT(I192,255),LEFT($D$192:$D$250,255),0))=0,"",INDEX($C$192:$C$250,MATCH(LEFT(I192,255),LEFT($D$192:$D$250,255),0))),"")</f>
        <v>--Select--</v>
      </c>
      <c r="K192" s="14" t="s">
        <v>799</v>
      </c>
      <c r="L192" s="15" t="s">
        <v>1054</v>
      </c>
      <c r="M192" s="15" t="s">
        <v>797</v>
      </c>
      <c r="N192" s="20" t="s">
        <v>801</v>
      </c>
      <c r="O192" s="14"/>
      <c r="P192" s="15" t="s">
        <v>1057</v>
      </c>
    </row>
    <row r="193" spans="3:16" x14ac:dyDescent="0.25">
      <c r="C193" s="15" t="s">
        <v>411</v>
      </c>
      <c r="D193" s="14" t="s">
        <v>1059</v>
      </c>
      <c r="E193" s="14" t="s">
        <v>313</v>
      </c>
      <c r="F193" s="14" t="str">
        <f t="shared" ref="F193:F242" si="3">C193</f>
        <v>Prevention package for men who have sex with men (MSM) and their sexual partners</v>
      </c>
      <c r="G193" s="14" t="s">
        <v>1431</v>
      </c>
      <c r="H193" s="368" t="s">
        <v>1432</v>
      </c>
      <c r="I193" s="14" t="str">
        <f t="array" ref="I193">IFERROR(INDEX($D$192:$D$250, MATCH(0, COUNTIF($I$191:I192, $D$192:$D$250&amp;"") + IF($D$192:$D$250="",1,0), 0)), "")</f>
        <v>MCI-01296</v>
      </c>
      <c r="J193" s="14" t="str">
        <f t="array" ref="J193">IFERROR(IF(INDEX($C$192:$C$250,MATCH(LEFT(I193,255),LEFT($D$192:$D$250,255),0))=0,"",INDEX($C$192:$C$250,MATCH(LEFT(I193,255),LEFT($D$192:$D$250,255),0))),"")</f>
        <v>Prevention package for men who have sex with men (MSM) and their sexual partners</v>
      </c>
      <c r="K193" s="14" t="s">
        <v>643</v>
      </c>
      <c r="L193" s="15"/>
      <c r="M193" s="15" t="s">
        <v>1433</v>
      </c>
      <c r="N193" s="20">
        <v>1010</v>
      </c>
      <c r="O193" s="14"/>
      <c r="P193" s="15"/>
    </row>
    <row r="194" spans="3:16" x14ac:dyDescent="0.25">
      <c r="C194" s="15" t="s">
        <v>414</v>
      </c>
      <c r="D194" s="14" t="s">
        <v>1073</v>
      </c>
      <c r="E194" s="14" t="s">
        <v>313</v>
      </c>
      <c r="F194" s="14" t="str">
        <f t="shared" si="3"/>
        <v>Prevention package for sex workers, their clients and other sexual partners</v>
      </c>
      <c r="G194" s="14" t="s">
        <v>1434</v>
      </c>
      <c r="H194" s="368" t="s">
        <v>1435</v>
      </c>
      <c r="I194" s="14" t="str">
        <f t="array" ref="I194">IFERROR(INDEX($D$192:$D$250, MATCH(0, COUNTIF($I$191:I193, $D$192:$D$250&amp;"") + IF($D$192:$D$250="",1,0), 0)), "")</f>
        <v>MCI-01297</v>
      </c>
      <c r="J194" s="14" t="str">
        <f t="array" ref="J194">IFERROR(IF(INDEX($C$192:$C$250,MATCH(LEFT(I194,255),LEFT($D$192:$D$250,255),0))=0,"",INDEX($C$192:$C$250,MATCH(LEFT(I194,255),LEFT($D$192:$D$250,255),0))),"")</f>
        <v>Prevention package for sex workers, their clients and other sexual partners</v>
      </c>
      <c r="K194" s="14" t="s">
        <v>643</v>
      </c>
      <c r="L194" s="15"/>
      <c r="M194" s="15" t="s">
        <v>1436</v>
      </c>
      <c r="N194" s="20">
        <v>1020</v>
      </c>
      <c r="O194" s="14"/>
      <c r="P194" s="15"/>
    </row>
    <row r="195" spans="3:16" x14ac:dyDescent="0.25">
      <c r="C195" s="15" t="s">
        <v>417</v>
      </c>
      <c r="D195" s="14" t="s">
        <v>1086</v>
      </c>
      <c r="E195" s="14" t="s">
        <v>313</v>
      </c>
      <c r="F195" s="14" t="str">
        <f t="shared" si="3"/>
        <v>Prevention package for transgender people and their sexual partners</v>
      </c>
      <c r="G195" s="14" t="s">
        <v>1437</v>
      </c>
      <c r="H195" s="368" t="s">
        <v>1438</v>
      </c>
      <c r="I195" s="14" t="str">
        <f t="array" ref="I195">IFERROR(INDEX($D$192:$D$250, MATCH(0, COUNTIF($I$191:I194, $D$192:$D$250&amp;"") + IF($D$192:$D$250="",1,0), 0)), "")</f>
        <v>MCI-01298</v>
      </c>
      <c r="J195" s="14" t="str">
        <f t="array" ref="J195">IFERROR(IF(INDEX($C$192:$C$250,MATCH(LEFT(I195,255),LEFT($D$192:$D$250,255),0))=0,"",INDEX($C$192:$C$250,MATCH(LEFT(I195,255),LEFT($D$192:$D$250,255),0))),"")</f>
        <v>Prevention package for transgender people and their sexual partners</v>
      </c>
      <c r="K195" s="14" t="s">
        <v>643</v>
      </c>
      <c r="L195" s="15"/>
      <c r="M195" s="15" t="s">
        <v>1439</v>
      </c>
      <c r="N195" s="20">
        <v>1030</v>
      </c>
      <c r="O195" s="14"/>
      <c r="P195" s="15"/>
    </row>
    <row r="196" spans="3:16" x14ac:dyDescent="0.25">
      <c r="C196" s="15" t="s">
        <v>420</v>
      </c>
      <c r="D196" s="14" t="s">
        <v>1098</v>
      </c>
      <c r="E196" s="14" t="s">
        <v>313</v>
      </c>
      <c r="F196" s="14" t="str">
        <f t="shared" si="3"/>
        <v>Prevention package for people who use drugs (PUD) and their sexual partners</v>
      </c>
      <c r="G196" s="14" t="s">
        <v>1440</v>
      </c>
      <c r="H196" s="368" t="s">
        <v>1441</v>
      </c>
      <c r="I196" s="14" t="str">
        <f t="array" ref="I196">IFERROR(INDEX($D$192:$D$250, MATCH(0, COUNTIF($I$191:I195, $D$192:$D$250&amp;"") + IF($D$192:$D$250="",1,0), 0)), "")</f>
        <v>MCI-01299</v>
      </c>
      <c r="J196" s="14" t="str">
        <f t="array" ref="J196">IFERROR(IF(INDEX($C$192:$C$250,MATCH(LEFT(I196,255),LEFT($D$192:$D$250,255),0))=0,"",INDEX($C$192:$C$250,MATCH(LEFT(I196,255),LEFT($D$192:$D$250,255),0))),"")</f>
        <v>Prevention package for people who use drugs (PUD) and their sexual partners</v>
      </c>
      <c r="K196" s="14" t="s">
        <v>643</v>
      </c>
      <c r="L196" s="15"/>
      <c r="M196" s="15" t="s">
        <v>1442</v>
      </c>
      <c r="N196" s="20">
        <v>1040</v>
      </c>
      <c r="O196" s="14"/>
      <c r="P196" s="15"/>
    </row>
    <row r="197" spans="3:16" x14ac:dyDescent="0.25">
      <c r="C197" s="15" t="s">
        <v>1443</v>
      </c>
      <c r="D197" s="14" t="s">
        <v>1115</v>
      </c>
      <c r="E197" s="14" t="s">
        <v>313</v>
      </c>
      <c r="F197" s="14" t="str">
        <f t="shared" si="3"/>
        <v>Prevention package for people in prisons and other closed settings</v>
      </c>
      <c r="G197" s="14" t="s">
        <v>1444</v>
      </c>
      <c r="H197" s="368" t="s">
        <v>1445</v>
      </c>
      <c r="I197" s="14" t="str">
        <f t="array" ref="I197">IFERROR(INDEX($D$192:$D$250, MATCH(0, COUNTIF($I$191:I196, $D$192:$D$250&amp;"") + IF($D$192:$D$250="",1,0), 0)), "")</f>
        <v>MCI-01300</v>
      </c>
      <c r="J197" s="14" t="str">
        <f t="array" ref="J197">IFERROR(IF(INDEX($C$192:$C$250,MATCH(LEFT(I197,255),LEFT($D$192:$D$250,255),0))=0,"",INDEX($C$192:$C$250,MATCH(LEFT(I197,255),LEFT($D$192:$D$250,255),0))),"")</f>
        <v>Prevention package for people in prisons and other closed settings</v>
      </c>
      <c r="K197" s="14" t="s">
        <v>643</v>
      </c>
      <c r="L197" s="15"/>
      <c r="M197" s="15" t="s">
        <v>1446</v>
      </c>
      <c r="N197" s="20">
        <v>1050</v>
      </c>
      <c r="O197" s="14"/>
      <c r="P197" s="15"/>
    </row>
    <row r="198" spans="3:16" x14ac:dyDescent="0.25">
      <c r="C198" s="15" t="s">
        <v>1447</v>
      </c>
      <c r="D198" s="14" t="s">
        <v>1119</v>
      </c>
      <c r="E198" s="14" t="s">
        <v>313</v>
      </c>
      <c r="F198" s="14" t="str">
        <f t="shared" si="3"/>
        <v>Prevention package for other vulnerable populations (OVP)</v>
      </c>
      <c r="G198" s="14" t="s">
        <v>1448</v>
      </c>
      <c r="H198" s="368" t="s">
        <v>1449</v>
      </c>
      <c r="I198" s="14" t="str">
        <f t="array" ref="I198">IFERROR(INDEX($D$192:$D$250, MATCH(0, COUNTIF($I$191:I197, $D$192:$D$250&amp;"") + IF($D$192:$D$250="",1,0), 0)), "")</f>
        <v>MCI-01301</v>
      </c>
      <c r="J198" s="14" t="str">
        <f t="array" ref="J198">IFERROR(IF(INDEX($C$192:$C$250,MATCH(LEFT(I198,255),LEFT($D$192:$D$250,255),0))=0,"",INDEX($C$192:$C$250,MATCH(LEFT(I198,255),LEFT($D$192:$D$250,255),0))),"")</f>
        <v>Prevention package for other vulnerable populations (OVP)</v>
      </c>
      <c r="K198" s="14" t="s">
        <v>643</v>
      </c>
      <c r="L198" s="15"/>
      <c r="M198" s="15" t="s">
        <v>1450</v>
      </c>
      <c r="N198" s="20">
        <v>1060</v>
      </c>
      <c r="O198" s="14"/>
      <c r="P198" s="15"/>
    </row>
    <row r="199" spans="3:16" x14ac:dyDescent="0.25">
      <c r="C199" s="15" t="s">
        <v>1451</v>
      </c>
      <c r="D199" s="14" t="s">
        <v>1123</v>
      </c>
      <c r="E199" s="14" t="s">
        <v>313</v>
      </c>
      <c r="F199" s="14" t="str">
        <f t="shared" si="3"/>
        <v>Prevention package for adolescent girls and young women (AGYW) and male sexual partners in high HIV incidence settings</v>
      </c>
      <c r="G199" s="14" t="s">
        <v>1452</v>
      </c>
      <c r="H199" s="368" t="s">
        <v>1453</v>
      </c>
      <c r="I199" s="14" t="str">
        <f t="array" ref="I199">IFERROR(INDEX($D$192:$D$250, MATCH(0, COUNTIF($I$191:I198, $D$192:$D$250&amp;"") + IF($D$192:$D$250="",1,0), 0)), "")</f>
        <v>MCI-01302</v>
      </c>
      <c r="J199" s="14" t="str">
        <f t="array" ref="J199">IFERROR(IF(INDEX($C$192:$C$250,MATCH(LEFT(I199,255),LEFT($D$192:$D$250,255),0))=0,"",INDEX($C$192:$C$250,MATCH(LEFT(I199,255),LEFT($D$192:$D$250,255),0))),"")</f>
        <v>Prevention package for adolescent girls and young women (AGYW) and male sexual partners in high HIV incidence settings</v>
      </c>
      <c r="K199" s="14" t="s">
        <v>643</v>
      </c>
      <c r="L199" s="15"/>
      <c r="M199" s="15" t="s">
        <v>1454</v>
      </c>
      <c r="N199" s="20">
        <v>1070</v>
      </c>
      <c r="O199" s="14"/>
      <c r="P199" s="15"/>
    </row>
    <row r="200" spans="3:16" x14ac:dyDescent="0.25">
      <c r="C200" s="15" t="s">
        <v>1455</v>
      </c>
      <c r="D200" s="14" t="s">
        <v>1456</v>
      </c>
      <c r="E200" s="14" t="s">
        <v>313</v>
      </c>
      <c r="F200" s="14" t="str">
        <f t="shared" si="3"/>
        <v>Prevention program stewardship</v>
      </c>
      <c r="G200" s="14" t="s">
        <v>1457</v>
      </c>
      <c r="H200" s="368" t="s">
        <v>1458</v>
      </c>
      <c r="I200" s="14" t="str">
        <f t="array" ref="I200">IFERROR(INDEX($D$192:$D$250, MATCH(0, COUNTIF($I$191:I199, $D$192:$D$250&amp;"") + IF($D$192:$D$250="",1,0), 0)), "")</f>
        <v>MCI-01303</v>
      </c>
      <c r="J200" s="14" t="str">
        <f t="array" ref="J200">IFERROR(IF(INDEX($C$192:$C$250,MATCH(LEFT(I200,255),LEFT($D$192:$D$250,255),0))=0,"",INDEX($C$192:$C$250,MATCH(LEFT(I200,255),LEFT($D$192:$D$250,255),0))),"")</f>
        <v>Prevention program stewardship</v>
      </c>
      <c r="K200" s="14" t="s">
        <v>643</v>
      </c>
      <c r="L200" s="15"/>
      <c r="M200" s="15" t="s">
        <v>1459</v>
      </c>
      <c r="N200" s="20">
        <v>1080</v>
      </c>
      <c r="O200" s="14"/>
      <c r="P200" s="15"/>
    </row>
    <row r="201" spans="3:16" x14ac:dyDescent="0.25">
      <c r="C201" s="15" t="s">
        <v>1460</v>
      </c>
      <c r="D201" s="14" t="s">
        <v>1136</v>
      </c>
      <c r="E201" s="14" t="s">
        <v>313</v>
      </c>
      <c r="F201" s="14" t="str">
        <f t="shared" si="3"/>
        <v>Elimination of vertical transmission of HIV, syphilis and hepatitis B</v>
      </c>
      <c r="G201" s="14" t="s">
        <v>1461</v>
      </c>
      <c r="H201" s="368" t="s">
        <v>1462</v>
      </c>
      <c r="I201" s="14" t="str">
        <f t="array" ref="I201">IFERROR(INDEX($D$192:$D$250, MATCH(0, COUNTIF($I$191:I200, $D$192:$D$250&amp;"") + IF($D$192:$D$250="",1,0), 0)), "")</f>
        <v>MCI-01304</v>
      </c>
      <c r="J201" s="14" t="str">
        <f t="array" ref="J201">IFERROR(IF(INDEX($C$192:$C$250,MATCH(LEFT(I201,255),LEFT($D$192:$D$250,255),0))=0,"",INDEX($C$192:$C$250,MATCH(LEFT(I201,255),LEFT($D$192:$D$250,255),0))),"")</f>
        <v>Elimination of vertical transmission of HIV, syphilis and hepatitis B</v>
      </c>
      <c r="K201" s="14" t="s">
        <v>643</v>
      </c>
      <c r="L201" s="15"/>
      <c r="M201" s="15" t="s">
        <v>1463</v>
      </c>
      <c r="N201" s="20">
        <v>1090</v>
      </c>
      <c r="O201" s="14"/>
      <c r="P201" s="15"/>
    </row>
    <row r="202" spans="3:16" x14ac:dyDescent="0.25">
      <c r="C202" s="15" t="s">
        <v>423</v>
      </c>
      <c r="D202" s="14" t="s">
        <v>1147</v>
      </c>
      <c r="E202" s="14" t="s">
        <v>313</v>
      </c>
      <c r="F202" s="14" t="str">
        <f t="shared" si="3"/>
        <v>Differentiated HIV Testing Services</v>
      </c>
      <c r="G202" s="14" t="s">
        <v>1464</v>
      </c>
      <c r="H202" s="368" t="s">
        <v>1465</v>
      </c>
      <c r="I202" s="14" t="str">
        <f t="array" ref="I202">IFERROR(INDEX($D$192:$D$250, MATCH(0, COUNTIF($I$191:I201, $D$192:$D$250&amp;"") + IF($D$192:$D$250="",1,0), 0)), "")</f>
        <v>MCI-01305</v>
      </c>
      <c r="J202" s="14" t="str">
        <f t="array" ref="J202">IFERROR(IF(INDEX($C$192:$C$250,MATCH(LEFT(I202,255),LEFT($D$192:$D$250,255),0))=0,"",INDEX($C$192:$C$250,MATCH(LEFT(I202,255),LEFT($D$192:$D$250,255),0))),"")</f>
        <v>Differentiated HIV Testing Services</v>
      </c>
      <c r="K202" s="14" t="s">
        <v>643</v>
      </c>
      <c r="L202" s="15"/>
      <c r="M202" s="15" t="s">
        <v>1466</v>
      </c>
      <c r="N202" s="20">
        <v>1100</v>
      </c>
      <c r="O202" s="14"/>
      <c r="P202" s="15"/>
    </row>
    <row r="203" spans="3:16" x14ac:dyDescent="0.25">
      <c r="C203" s="15" t="s">
        <v>426</v>
      </c>
      <c r="D203" s="14" t="s">
        <v>1180</v>
      </c>
      <c r="E203" s="14" t="s">
        <v>313</v>
      </c>
      <c r="F203" s="14" t="str">
        <f t="shared" si="3"/>
        <v>Treatment, care and support</v>
      </c>
      <c r="G203" s="14" t="s">
        <v>1467</v>
      </c>
      <c r="H203" s="368" t="s">
        <v>1468</v>
      </c>
      <c r="I203" s="14" t="str">
        <f t="array" ref="I203">IFERROR(INDEX($D$192:$D$250, MATCH(0, COUNTIF($I$191:I202, $D$192:$D$250&amp;"") + IF($D$192:$D$250="",1,0), 0)), "")</f>
        <v>MCI-01306</v>
      </c>
      <c r="J203" s="14" t="str">
        <f t="array" ref="J203">IFERROR(IF(INDEX($C$192:$C$250,MATCH(LEFT(I203,255),LEFT($D$192:$D$250,255),0))=0,"",INDEX($C$192:$C$250,MATCH(LEFT(I203,255),LEFT($D$192:$D$250,255),0))),"")</f>
        <v>Treatment, care and support</v>
      </c>
      <c r="K203" s="14" t="s">
        <v>643</v>
      </c>
      <c r="L203" s="15"/>
      <c r="M203" s="15" t="s">
        <v>1469</v>
      </c>
      <c r="N203" s="20">
        <v>1110</v>
      </c>
      <c r="O203" s="14"/>
      <c r="P203" s="15"/>
    </row>
    <row r="204" spans="3:16" x14ac:dyDescent="0.25">
      <c r="C204" s="15" t="s">
        <v>1470</v>
      </c>
      <c r="D204" s="14" t="s">
        <v>1471</v>
      </c>
      <c r="E204" s="14" t="s">
        <v>313</v>
      </c>
      <c r="F204" s="14" t="str">
        <f t="shared" si="3"/>
        <v>Reducing human rights-related barriers to HIV/TB services</v>
      </c>
      <c r="G204" s="14" t="s">
        <v>1472</v>
      </c>
      <c r="H204" s="368" t="s">
        <v>1473</v>
      </c>
      <c r="I204" s="14" t="str">
        <f t="array" ref="I204">IFERROR(INDEX($D$192:$D$250, MATCH(0, COUNTIF($I$191:I203, $D$192:$D$250&amp;"") + IF($D$192:$D$250="",1,0), 0)), "")</f>
        <v>MCI-01307</v>
      </c>
      <c r="J204" s="14" t="str">
        <f t="array" ref="J204">IFERROR(IF(INDEX($C$192:$C$250,MATCH(LEFT(I204,255),LEFT($D$192:$D$250,255),0))=0,"",INDEX($C$192:$C$250,MATCH(LEFT(I204,255),LEFT($D$192:$D$250,255),0))),"")</f>
        <v>Reducing human rights-related barriers to HIV/TB services</v>
      </c>
      <c r="K204" s="14" t="s">
        <v>643</v>
      </c>
      <c r="L204" s="15"/>
      <c r="M204" s="15" t="s">
        <v>1474</v>
      </c>
      <c r="N204" s="20">
        <v>1130</v>
      </c>
      <c r="O204" s="14"/>
      <c r="P204" s="15"/>
    </row>
    <row r="205" spans="3:16" x14ac:dyDescent="0.25">
      <c r="C205" s="15" t="s">
        <v>429</v>
      </c>
      <c r="D205" s="14" t="s">
        <v>1280</v>
      </c>
      <c r="E205" s="14" t="s">
        <v>313</v>
      </c>
      <c r="F205" s="14" t="str">
        <f t="shared" si="3"/>
        <v>TB/HIV</v>
      </c>
      <c r="G205" s="14" t="s">
        <v>1475</v>
      </c>
      <c r="H205" s="368" t="s">
        <v>1476</v>
      </c>
      <c r="I205" s="14" t="str">
        <f t="array" ref="I205">IFERROR(INDEX($D$192:$D$250, MATCH(0, COUNTIF($I$191:I204, $D$192:$D$250&amp;"") + IF($D$192:$D$250="",1,0), 0)), "")</f>
        <v>MCI-01313</v>
      </c>
      <c r="J205" s="14" t="str">
        <f t="array" ref="J205">IFERROR(IF(INDEX($C$192:$C$250,MATCH(LEFT(I205,255),LEFT($D$192:$D$250,255),0))=0,"",INDEX($C$192:$C$250,MATCH(LEFT(I205,255),LEFT($D$192:$D$250,255),0))),"")</f>
        <v>TB/HIV</v>
      </c>
      <c r="K205" s="14" t="s">
        <v>643</v>
      </c>
      <c r="L205" s="15"/>
      <c r="M205" s="15" t="s">
        <v>1477</v>
      </c>
      <c r="N205" s="20">
        <v>2510</v>
      </c>
      <c r="O205" s="14"/>
      <c r="P205" s="15"/>
    </row>
    <row r="206" spans="3:16" x14ac:dyDescent="0.25">
      <c r="C206" s="15" t="s">
        <v>1478</v>
      </c>
      <c r="D206" s="14" t="s">
        <v>1298</v>
      </c>
      <c r="E206" s="14" t="s">
        <v>313</v>
      </c>
      <c r="F206" s="14" t="str">
        <f t="shared" si="3"/>
        <v>RSSH: Health sector planning and governance for integrated people-centered services</v>
      </c>
      <c r="G206" s="14" t="s">
        <v>1479</v>
      </c>
      <c r="H206" s="368" t="s">
        <v>1480</v>
      </c>
      <c r="I206" s="14" t="str">
        <f t="array" ref="I206">IFERROR(INDEX($D$192:$D$250, MATCH(0, COUNTIF($I$191:I205, $D$192:$D$250&amp;"") + IF($D$192:$D$250="",1,0), 0)), "")</f>
        <v>MCI-01320</v>
      </c>
      <c r="J206" s="14" t="str">
        <f t="array" ref="J206">IFERROR(IF(INDEX($C$192:$C$250,MATCH(LEFT(I206,255),LEFT($D$192:$D$250,255),0))=0,"",INDEX($C$192:$C$250,MATCH(LEFT(I206,255),LEFT($D$192:$D$250,255),0))),"")</f>
        <v>RSSH: Health sector planning and governance for integrated people-centered services</v>
      </c>
      <c r="K206" s="14" t="s">
        <v>643</v>
      </c>
      <c r="L206" s="15"/>
      <c r="M206" s="15" t="s">
        <v>1481</v>
      </c>
      <c r="N206" s="20">
        <v>6010</v>
      </c>
      <c r="O206" s="14"/>
      <c r="P206" s="15"/>
    </row>
    <row r="207" spans="3:16" x14ac:dyDescent="0.25">
      <c r="C207" s="15" t="s">
        <v>1482</v>
      </c>
      <c r="D207" s="14" t="s">
        <v>1302</v>
      </c>
      <c r="E207" s="14" t="s">
        <v>313</v>
      </c>
      <c r="F207" s="14" t="str">
        <f t="shared" si="3"/>
        <v>RSSH: Community systems strengthening</v>
      </c>
      <c r="G207" s="14" t="s">
        <v>1483</v>
      </c>
      <c r="H207" s="368" t="s">
        <v>1484</v>
      </c>
      <c r="I207" s="14" t="str">
        <f t="array" ref="I207">IFERROR(INDEX($D$192:$D$250, MATCH(0, COUNTIF($I$191:I206, $D$192:$D$250&amp;"") + IF($D$192:$D$250="",1,0), 0)), "")</f>
        <v>MCI-01321</v>
      </c>
      <c r="J207" s="14" t="str">
        <f t="array" ref="J207">IFERROR(IF(INDEX($C$192:$C$250,MATCH(LEFT(I207,255),LEFT($D$192:$D$250,255),0))=0,"",INDEX($C$192:$C$250,MATCH(LEFT(I207,255),LEFT($D$192:$D$250,255),0))),"")</f>
        <v>RSSH: Community systems strengthening</v>
      </c>
      <c r="K207" s="14" t="s">
        <v>643</v>
      </c>
      <c r="L207" s="15"/>
      <c r="M207" s="15" t="s">
        <v>1485</v>
      </c>
      <c r="N207" s="20">
        <v>6020</v>
      </c>
      <c r="O207" s="14"/>
      <c r="P207" s="15"/>
    </row>
    <row r="208" spans="3:16" x14ac:dyDescent="0.25">
      <c r="C208" s="15" t="s">
        <v>1486</v>
      </c>
      <c r="D208" s="14" t="s">
        <v>1311</v>
      </c>
      <c r="E208" s="14" t="s">
        <v>313</v>
      </c>
      <c r="F208" s="14" t="str">
        <f t="shared" si="3"/>
        <v>RSSH: Health financing systems</v>
      </c>
      <c r="G208" s="14" t="s">
        <v>1487</v>
      </c>
      <c r="H208" s="368" t="s">
        <v>1488</v>
      </c>
      <c r="I208" s="14" t="str">
        <f t="array" ref="I208">IFERROR(INDEX($D$192:$D$250, MATCH(0, COUNTIF($I$191:I207, $D$192:$D$250&amp;"") + IF($D$192:$D$250="",1,0), 0)), "")</f>
        <v>MCI-01322</v>
      </c>
      <c r="J208" s="14" t="str">
        <f t="array" ref="J208">IFERROR(IF(INDEX($C$192:$C$250,MATCH(LEFT(I208,255),LEFT($D$192:$D$250,255),0))=0,"",INDEX($C$192:$C$250,MATCH(LEFT(I208,255),LEFT($D$192:$D$250,255),0))),"")</f>
        <v>RSSH: Health financing systems</v>
      </c>
      <c r="K208" s="14" t="s">
        <v>643</v>
      </c>
      <c r="L208" s="15"/>
      <c r="M208" s="15" t="s">
        <v>1489</v>
      </c>
      <c r="N208" s="20">
        <v>6030</v>
      </c>
      <c r="O208" s="14"/>
      <c r="P208" s="15"/>
    </row>
    <row r="209" spans="3:16" x14ac:dyDescent="0.25">
      <c r="C209" s="15" t="s">
        <v>1490</v>
      </c>
      <c r="D209" s="14" t="s">
        <v>1334</v>
      </c>
      <c r="E209" s="14" t="s">
        <v>313</v>
      </c>
      <c r="F209" s="14" t="str">
        <f t="shared" si="3"/>
        <v>RSSH: Health products management systems</v>
      </c>
      <c r="G209" s="14" t="s">
        <v>1491</v>
      </c>
      <c r="H209" s="368" t="s">
        <v>1492</v>
      </c>
      <c r="I209" s="14" t="str">
        <f t="array" ref="I209">IFERROR(INDEX($D$192:$D$250, MATCH(0, COUNTIF($I$191:I208, $D$192:$D$250&amp;"") + IF($D$192:$D$250="",1,0), 0)), "")</f>
        <v>MCI-01323</v>
      </c>
      <c r="J209" s="14" t="str">
        <f t="array" ref="J209">IFERROR(IF(INDEX($C$192:$C$250,MATCH(LEFT(I209,255),LEFT($D$192:$D$250,255),0))=0,"",INDEX($C$192:$C$250,MATCH(LEFT(I209,255),LEFT($D$192:$D$250,255),0))),"")</f>
        <v>RSSH: Health products management systems</v>
      </c>
      <c r="K209" s="14" t="s">
        <v>643</v>
      </c>
      <c r="L209" s="15"/>
      <c r="M209" s="15" t="s">
        <v>1493</v>
      </c>
      <c r="N209" s="20">
        <v>6040</v>
      </c>
      <c r="O209" s="14"/>
      <c r="P209" s="15"/>
    </row>
    <row r="210" spans="3:16" x14ac:dyDescent="0.25">
      <c r="C210" s="15" t="s">
        <v>1494</v>
      </c>
      <c r="D210" s="14" t="s">
        <v>1344</v>
      </c>
      <c r="E210" s="14" t="s">
        <v>313</v>
      </c>
      <c r="F210" s="14" t="str">
        <f t="shared" si="3"/>
        <v>RSSH/PP: Human resources for health (HRH) and quality of care</v>
      </c>
      <c r="G210" s="14" t="s">
        <v>1495</v>
      </c>
      <c r="H210" s="368" t="s">
        <v>1496</v>
      </c>
      <c r="I210" s="14" t="str">
        <f t="array" ref="I210">IFERROR(INDEX($D$192:$D$250, MATCH(0, COUNTIF($I$191:I209, $D$192:$D$250&amp;"") + IF($D$192:$D$250="",1,0), 0)), "")</f>
        <v>MCI-01324</v>
      </c>
      <c r="J210" s="14" t="str">
        <f t="array" ref="J210">IFERROR(IF(INDEX($C$192:$C$250,MATCH(LEFT(I210,255),LEFT($D$192:$D$250,255),0))=0,"",INDEX($C$192:$C$250,MATCH(LEFT(I210,255),LEFT($D$192:$D$250,255),0))),"")</f>
        <v>RSSH/PP: Human resources for health (HRH) and quality of care</v>
      </c>
      <c r="K210" s="14" t="s">
        <v>643</v>
      </c>
      <c r="L210" s="15"/>
      <c r="M210" s="15" t="s">
        <v>1497</v>
      </c>
      <c r="N210" s="20">
        <v>6050</v>
      </c>
      <c r="O210" s="14"/>
      <c r="P210" s="15"/>
    </row>
    <row r="211" spans="3:16" x14ac:dyDescent="0.25">
      <c r="C211" s="15" t="s">
        <v>1498</v>
      </c>
      <c r="D211" s="14" t="s">
        <v>1368</v>
      </c>
      <c r="E211" s="14" t="s">
        <v>313</v>
      </c>
      <c r="F211" s="14" t="str">
        <f t="shared" si="3"/>
        <v>RSSH/PP: Laboratory systems (including national and peripheral)</v>
      </c>
      <c r="G211" s="14" t="s">
        <v>1499</v>
      </c>
      <c r="H211" s="368" t="s">
        <v>1500</v>
      </c>
      <c r="I211" s="14" t="str">
        <f t="array" ref="I211">IFERROR(INDEX($D$192:$D$250, MATCH(0, COUNTIF($I$191:I210, $D$192:$D$250&amp;"") + IF($D$192:$D$250="",1,0), 0)), "")</f>
        <v>MCI-01325</v>
      </c>
      <c r="J211" s="14" t="str">
        <f t="array" ref="J211">IFERROR(IF(INDEX($C$192:$C$250,MATCH(LEFT(I211,255),LEFT($D$192:$D$250,255),0))=0,"",INDEX($C$192:$C$250,MATCH(LEFT(I211,255),LEFT($D$192:$D$250,255),0))),"")</f>
        <v>RSSH/PP: Laboratory systems (including national and peripheral)</v>
      </c>
      <c r="K211" s="14" t="s">
        <v>643</v>
      </c>
      <c r="L211" s="15"/>
      <c r="M211" s="15" t="s">
        <v>1501</v>
      </c>
      <c r="N211" s="20">
        <v>6060</v>
      </c>
      <c r="O211" s="14"/>
      <c r="P211" s="15"/>
    </row>
    <row r="212" spans="3:16" x14ac:dyDescent="0.25">
      <c r="C212" s="15" t="s">
        <v>1502</v>
      </c>
      <c r="D212" s="14" t="s">
        <v>1386</v>
      </c>
      <c r="E212" s="14" t="s">
        <v>313</v>
      </c>
      <c r="F212" s="14" t="str">
        <f t="shared" si="3"/>
        <v>RSSH/PP: Medical oxygen and respiratory care system</v>
      </c>
      <c r="G212" s="14" t="s">
        <v>1503</v>
      </c>
      <c r="H212" s="368" t="s">
        <v>1504</v>
      </c>
      <c r="I212" s="14" t="str">
        <f t="array" ref="I212">IFERROR(INDEX($D$192:$D$250, MATCH(0, COUNTIF($I$191:I211, $D$192:$D$250&amp;"") + IF($D$192:$D$250="",1,0), 0)), "")</f>
        <v>MCI-01326</v>
      </c>
      <c r="J212" s="14" t="str">
        <f t="array" ref="J212">IFERROR(IF(INDEX($C$192:$C$250,MATCH(LEFT(I212,255),LEFT($D$192:$D$250,255),0))=0,"",INDEX($C$192:$C$250,MATCH(LEFT(I212,255),LEFT($D$192:$D$250,255),0))),"")</f>
        <v>RSSH/PP: Medical oxygen and respiratory care system</v>
      </c>
      <c r="K212" s="14" t="s">
        <v>643</v>
      </c>
      <c r="L212" s="15"/>
      <c r="M212" s="15" t="s">
        <v>1505</v>
      </c>
      <c r="N212" s="20">
        <v>6070</v>
      </c>
      <c r="O212" s="14"/>
      <c r="P212" s="15"/>
    </row>
    <row r="213" spans="3:16" x14ac:dyDescent="0.25">
      <c r="C213" s="15" t="s">
        <v>1506</v>
      </c>
      <c r="D213" s="14" t="s">
        <v>1391</v>
      </c>
      <c r="E213" s="14" t="s">
        <v>313</v>
      </c>
      <c r="F213" s="14" t="str">
        <f t="shared" si="3"/>
        <v>RSSH: Monitoring and evaluation systems</v>
      </c>
      <c r="G213" s="14" t="s">
        <v>1507</v>
      </c>
      <c r="H213" s="368" t="s">
        <v>1508</v>
      </c>
      <c r="I213" s="14" t="str">
        <f t="array" ref="I213">IFERROR(INDEX($D$192:$D$250, MATCH(0, COUNTIF($I$191:I212, $D$192:$D$250&amp;"") + IF($D$192:$D$250="",1,0), 0)), "")</f>
        <v>MCI-01327</v>
      </c>
      <c r="J213" s="14" t="str">
        <f t="array" ref="J213">IFERROR(IF(INDEX($C$192:$C$250,MATCH(LEFT(I213,255),LEFT($D$192:$D$250,255),0))=0,"",INDEX($C$192:$C$250,MATCH(LEFT(I213,255),LEFT($D$192:$D$250,255),0))),"")</f>
        <v>RSSH: Monitoring and evaluation systems</v>
      </c>
      <c r="K213" s="14" t="s">
        <v>643</v>
      </c>
      <c r="L213" s="15"/>
      <c r="M213" s="15" t="s">
        <v>1509</v>
      </c>
      <c r="N213" s="20">
        <v>6080</v>
      </c>
      <c r="O213" s="14"/>
      <c r="P213" s="15"/>
    </row>
    <row r="214" spans="3:16" x14ac:dyDescent="0.25">
      <c r="C214" s="15" t="s">
        <v>1510</v>
      </c>
      <c r="D214" s="14" t="s">
        <v>1511</v>
      </c>
      <c r="E214" s="14" t="s">
        <v>313</v>
      </c>
      <c r="F214" s="14" t="str">
        <f t="shared" si="3"/>
        <v>Program management</v>
      </c>
      <c r="G214" s="14" t="s">
        <v>1512</v>
      </c>
      <c r="H214" s="368" t="s">
        <v>1513</v>
      </c>
      <c r="I214" s="14" t="str">
        <f t="array" ref="I214">IFERROR(INDEX($D$192:$D$250, MATCH(0, COUNTIF($I$191:I213, $D$192:$D$250&amp;"") + IF($D$192:$D$250="",1,0), 0)), "")</f>
        <v>MCI-01318</v>
      </c>
      <c r="J214" s="14" t="str">
        <f t="array" ref="J214">IFERROR(IF(INDEX($C$192:$C$250,MATCH(LEFT(I214,255),LEFT($D$192:$D$250,255),0))=0,"",INDEX($C$192:$C$250,MATCH(LEFT(I214,255),LEFT($D$192:$D$250,255),0))),"")</f>
        <v>Program management</v>
      </c>
      <c r="K214" s="14" t="s">
        <v>643</v>
      </c>
      <c r="L214" s="15"/>
      <c r="M214" s="15" t="s">
        <v>1514</v>
      </c>
      <c r="N214" s="20">
        <v>9000</v>
      </c>
      <c r="O214" s="14"/>
      <c r="P214" s="15"/>
    </row>
    <row r="215" spans="3:16" x14ac:dyDescent="0.25">
      <c r="C215" s="15" t="s">
        <v>1515</v>
      </c>
      <c r="D215" s="14" t="s">
        <v>1516</v>
      </c>
      <c r="E215" s="14" t="s">
        <v>313</v>
      </c>
      <c r="F215" s="14" t="str">
        <f t="shared" si="3"/>
        <v>Payment for results</v>
      </c>
      <c r="G215" s="14" t="s">
        <v>1517</v>
      </c>
      <c r="H215" s="368" t="s">
        <v>1518</v>
      </c>
      <c r="I215" s="14" t="str">
        <f t="array" ref="I215">IFERROR(INDEX($D$192:$D$250, MATCH(0, COUNTIF($I$191:I214, $D$192:$D$250&amp;"") + IF($D$192:$D$250="",1,0), 0)), "")</f>
        <v>MCI-01319</v>
      </c>
      <c r="J215" s="14" t="str">
        <f t="array" ref="J215">IFERROR(IF(INDEX($C$192:$C$250,MATCH(LEFT(I215,255),LEFT($D$192:$D$250,255),0))=0,"",INDEX($C$192:$C$250,MATCH(LEFT(I215,255),LEFT($D$192:$D$250,255),0))),"")</f>
        <v>Payment for results</v>
      </c>
      <c r="K215" s="14" t="s">
        <v>643</v>
      </c>
      <c r="L215" s="15"/>
      <c r="M215" s="15" t="s">
        <v>1519</v>
      </c>
      <c r="N215" s="20">
        <v>9500</v>
      </c>
      <c r="O215" s="14"/>
      <c r="P215" s="15"/>
    </row>
    <row r="216" spans="3:16" x14ac:dyDescent="0.25">
      <c r="C216" s="15" t="s">
        <v>1478</v>
      </c>
      <c r="D216" s="14" t="s">
        <v>1298</v>
      </c>
      <c r="E216" s="14" t="s">
        <v>315</v>
      </c>
      <c r="F216" s="14" t="str">
        <f t="shared" si="3"/>
        <v>RSSH: Health sector planning and governance for integrated people-centered services</v>
      </c>
      <c r="G216" s="14" t="s">
        <v>1520</v>
      </c>
      <c r="H216" s="368" t="s">
        <v>1480</v>
      </c>
      <c r="I216" s="14" t="str">
        <f t="array" ref="I216">IFERROR(INDEX($D$192:$D$250, MATCH(0, COUNTIF($I$191:I215, $D$192:$D$250&amp;"") + IF($D$192:$D$250="",1,0), 0)), "")</f>
        <v>MCI-01308</v>
      </c>
      <c r="J216" s="14" t="str">
        <f t="array" ref="J216">IFERROR(IF(INDEX($C$192:$C$250,MATCH(LEFT(I216,255),LEFT($D$192:$D$250,255),0))=0,"",INDEX($C$192:$C$250,MATCH(LEFT(I216,255),LEFT($D$192:$D$250,255),0))),"")</f>
        <v>TB diagnosis, treatment and care</v>
      </c>
      <c r="K216" s="14" t="s">
        <v>643</v>
      </c>
      <c r="L216" s="15"/>
      <c r="M216" s="15" t="s">
        <v>1521</v>
      </c>
      <c r="N216" s="20">
        <v>6010</v>
      </c>
      <c r="O216" s="14"/>
      <c r="P216" s="15"/>
    </row>
    <row r="217" spans="3:16" x14ac:dyDescent="0.25">
      <c r="C217" s="15" t="s">
        <v>1482</v>
      </c>
      <c r="D217" s="14" t="s">
        <v>1302</v>
      </c>
      <c r="E217" s="14" t="s">
        <v>315</v>
      </c>
      <c r="F217" s="14" t="str">
        <f t="shared" si="3"/>
        <v>RSSH: Community systems strengthening</v>
      </c>
      <c r="G217" s="14" t="s">
        <v>1522</v>
      </c>
      <c r="H217" s="368" t="s">
        <v>1484</v>
      </c>
      <c r="I217" s="14" t="str">
        <f t="array" ref="I217">IFERROR(INDEX($D$192:$D$250, MATCH(0, COUNTIF($I$191:I216, $D$192:$D$250&amp;"") + IF($D$192:$D$250="",1,0), 0)), "")</f>
        <v>MCI-01309</v>
      </c>
      <c r="J217" s="14" t="str">
        <f t="array" ref="J217">IFERROR(IF(INDEX($C$192:$C$250,MATCH(LEFT(I217,255),LEFT($D$192:$D$250,255),0))=0,"",INDEX($C$192:$C$250,MATCH(LEFT(I217,255),LEFT($D$192:$D$250,255),0))),"")</f>
        <v>Drug-resistant (DR)-TB diagnosis, treatment and care</v>
      </c>
      <c r="K217" s="14" t="s">
        <v>643</v>
      </c>
      <c r="L217" s="15"/>
      <c r="M217" s="15" t="s">
        <v>1523</v>
      </c>
      <c r="N217" s="20">
        <v>6020</v>
      </c>
      <c r="O217" s="14"/>
      <c r="P217" s="15"/>
    </row>
    <row r="218" spans="3:16" x14ac:dyDescent="0.25">
      <c r="C218" s="15" t="s">
        <v>1486</v>
      </c>
      <c r="D218" s="14" t="s">
        <v>1311</v>
      </c>
      <c r="E218" s="14" t="s">
        <v>315</v>
      </c>
      <c r="F218" s="14" t="str">
        <f t="shared" si="3"/>
        <v>RSSH: Health financing systems</v>
      </c>
      <c r="G218" s="14" t="s">
        <v>1524</v>
      </c>
      <c r="H218" s="368" t="s">
        <v>1488</v>
      </c>
      <c r="I218" s="14" t="str">
        <f t="array" ref="I218">IFERROR(INDEX($D$192:$D$250, MATCH(0, COUNTIF($I$191:I217, $D$192:$D$250&amp;"") + IF($D$192:$D$250="",1,0), 0)), "")</f>
        <v>MCI-01310</v>
      </c>
      <c r="J218" s="14" t="str">
        <f t="array" ref="J218">IFERROR(IF(INDEX($C$192:$C$250,MATCH(LEFT(I218,255),LEFT($D$192:$D$250,255),0))=0,"",INDEX($C$192:$C$250,MATCH(LEFT(I218,255),LEFT($D$192:$D$250,255),0))),"")</f>
        <v>TB/DR-TB Prevention</v>
      </c>
      <c r="K218" s="14" t="s">
        <v>643</v>
      </c>
      <c r="L218" s="15"/>
      <c r="M218" s="15" t="s">
        <v>1525</v>
      </c>
      <c r="N218" s="20">
        <v>6030</v>
      </c>
      <c r="O218" s="14"/>
      <c r="P218" s="15"/>
    </row>
    <row r="219" spans="3:16" x14ac:dyDescent="0.25">
      <c r="C219" s="15" t="s">
        <v>1490</v>
      </c>
      <c r="D219" s="14" t="s">
        <v>1334</v>
      </c>
      <c r="E219" s="14" t="s">
        <v>315</v>
      </c>
      <c r="F219" s="14" t="str">
        <f t="shared" si="3"/>
        <v>RSSH: Health products management systems</v>
      </c>
      <c r="G219" s="14" t="s">
        <v>1526</v>
      </c>
      <c r="H219" s="368" t="s">
        <v>1492</v>
      </c>
      <c r="I219" s="14" t="str">
        <f t="array" ref="I219">IFERROR(INDEX($D$192:$D$250, MATCH(0, COUNTIF($I$191:I218, $D$192:$D$250&amp;"") + IF($D$192:$D$250="",1,0), 0)), "")</f>
        <v>MCI-01311</v>
      </c>
      <c r="J219" s="14" t="str">
        <f t="array" ref="J219">IFERROR(IF(INDEX($C$192:$C$250,MATCH(LEFT(I219,255),LEFT($D$192:$D$250,255),0))=0,"",INDEX($C$192:$C$250,MATCH(LEFT(I219,255),LEFT($D$192:$D$250,255),0))),"")</f>
        <v>Collaboration with other providers and sectors</v>
      </c>
      <c r="K219" s="14" t="s">
        <v>643</v>
      </c>
      <c r="L219" s="15"/>
      <c r="M219" s="15" t="s">
        <v>1527</v>
      </c>
      <c r="N219" s="20">
        <v>6040</v>
      </c>
      <c r="O219" s="14"/>
      <c r="P219" s="15"/>
    </row>
    <row r="220" spans="3:16" x14ac:dyDescent="0.25">
      <c r="C220" s="15" t="s">
        <v>1494</v>
      </c>
      <c r="D220" s="14" t="s">
        <v>1344</v>
      </c>
      <c r="E220" s="14" t="s">
        <v>315</v>
      </c>
      <c r="F220" s="14" t="str">
        <f t="shared" si="3"/>
        <v>RSSH/PP: Human resources for health (HRH) and quality of care</v>
      </c>
      <c r="G220" s="14" t="s">
        <v>1528</v>
      </c>
      <c r="H220" s="368" t="s">
        <v>1496</v>
      </c>
      <c r="I220" s="14" t="str">
        <f t="array" ref="I220">IFERROR(INDEX($D$192:$D$250, MATCH(0, COUNTIF($I$191:I219, $D$192:$D$250&amp;"") + IF($D$192:$D$250="",1,0), 0)), "")</f>
        <v>MCI-01312</v>
      </c>
      <c r="J220" s="14" t="str">
        <f t="array" ref="J220">IFERROR(IF(INDEX($C$192:$C$250,MATCH(LEFT(I220,255),LEFT($D$192:$D$250,255),0))=0,"",INDEX($C$192:$C$250,MATCH(LEFT(I220,255),LEFT($D$192:$D$250,255),0))),"")</f>
        <v>Key and vulnerable populations (KVP) – TB/DR-TB</v>
      </c>
      <c r="K220" s="14" t="s">
        <v>643</v>
      </c>
      <c r="L220" s="15"/>
      <c r="M220" s="15" t="s">
        <v>1529</v>
      </c>
      <c r="N220" s="20">
        <v>6050</v>
      </c>
      <c r="O220" s="14"/>
      <c r="P220" s="15"/>
    </row>
    <row r="221" spans="3:16" x14ac:dyDescent="0.25">
      <c r="C221" s="15" t="s">
        <v>1498</v>
      </c>
      <c r="D221" s="14" t="s">
        <v>1368</v>
      </c>
      <c r="E221" s="14" t="s">
        <v>315</v>
      </c>
      <c r="F221" s="14" t="str">
        <f t="shared" si="3"/>
        <v>RSSH/PP: Laboratory systems (including national and peripheral)</v>
      </c>
      <c r="G221" s="14" t="s">
        <v>1530</v>
      </c>
      <c r="H221" s="368" t="s">
        <v>1500</v>
      </c>
      <c r="I221" s="14" t="str">
        <f t="array" ref="I221">IFERROR(INDEX($D$192:$D$250, MATCH(0, COUNTIF($I$191:I220, $D$192:$D$250&amp;"") + IF($D$192:$D$250="",1,0), 0)), "")</f>
        <v>MCI-01314</v>
      </c>
      <c r="J221" s="14" t="str">
        <f t="array" ref="J221">IFERROR(IF(INDEX($C$192:$C$250,MATCH(LEFT(I221,255),LEFT($D$192:$D$250,255),0))=0,"",INDEX($C$192:$C$250,MATCH(LEFT(I221,255),LEFT($D$192:$D$250,255),0))),"")</f>
        <v>Removing human rights and gender related barriers to TB services</v>
      </c>
      <c r="K221" s="14" t="s">
        <v>643</v>
      </c>
      <c r="L221" s="15"/>
      <c r="M221" s="15" t="s">
        <v>1531</v>
      </c>
      <c r="N221" s="20">
        <v>6060</v>
      </c>
      <c r="O221" s="14"/>
      <c r="P221" s="15"/>
    </row>
    <row r="222" spans="3:16" x14ac:dyDescent="0.25">
      <c r="C222" s="15" t="s">
        <v>1502</v>
      </c>
      <c r="D222" s="14" t="s">
        <v>1386</v>
      </c>
      <c r="E222" s="14" t="s">
        <v>315</v>
      </c>
      <c r="F222" s="14" t="str">
        <f t="shared" si="3"/>
        <v>RSSH/PP: Medical oxygen and respiratory care system</v>
      </c>
      <c r="G222" s="14" t="s">
        <v>1532</v>
      </c>
      <c r="H222" s="368" t="s">
        <v>1504</v>
      </c>
      <c r="I222" s="14" t="str">
        <f t="array" ref="I222">IFERROR(INDEX($D$192:$D$250, MATCH(0, COUNTIF($I$191:I221, $D$192:$D$250&amp;"") + IF($D$192:$D$250="",1,0), 0)), "")</f>
        <v/>
      </c>
      <c r="J222" s="14" t="str">
        <f t="array" ref="J222">IFERROR(IF(INDEX($C$192:$C$250,MATCH(LEFT(I222,255),LEFT($D$192:$D$250,255),0))=0,"",INDEX($C$192:$C$250,MATCH(LEFT(I222,255),LEFT($D$192:$D$250,255),0))),"")</f>
        <v/>
      </c>
      <c r="K222" s="14" t="s">
        <v>643</v>
      </c>
      <c r="L222" s="15"/>
      <c r="M222" s="15" t="s">
        <v>1533</v>
      </c>
      <c r="N222" s="20">
        <v>6070</v>
      </c>
      <c r="O222" s="14"/>
      <c r="P222" s="15"/>
    </row>
    <row r="223" spans="3:16" x14ac:dyDescent="0.25">
      <c r="C223" s="15" t="s">
        <v>1506</v>
      </c>
      <c r="D223" s="14" t="s">
        <v>1391</v>
      </c>
      <c r="E223" s="14" t="s">
        <v>315</v>
      </c>
      <c r="F223" s="14" t="str">
        <f t="shared" si="3"/>
        <v>RSSH: Monitoring and evaluation systems</v>
      </c>
      <c r="G223" s="14" t="s">
        <v>1534</v>
      </c>
      <c r="H223" s="368" t="s">
        <v>1508</v>
      </c>
      <c r="I223" s="14" t="str">
        <f t="array" ref="I223">IFERROR(INDEX($D$192:$D$250, MATCH(0, COUNTIF($I$191:I222, $D$192:$D$250&amp;"") + IF($D$192:$D$250="",1,0), 0)), "")</f>
        <v/>
      </c>
      <c r="J223" s="14" t="str">
        <f t="array" ref="J223">IFERROR(IF(INDEX($C$192:$C$250,MATCH(LEFT(I223,255),LEFT($D$192:$D$250,255),0))=0,"",INDEX($C$192:$C$250,MATCH(LEFT(I223,255),LEFT($D$192:$D$250,255),0))),"")</f>
        <v/>
      </c>
      <c r="K223" s="14" t="s">
        <v>643</v>
      </c>
      <c r="L223" s="15"/>
      <c r="M223" s="15" t="s">
        <v>1535</v>
      </c>
      <c r="N223" s="20">
        <v>6080</v>
      </c>
      <c r="O223" s="14"/>
      <c r="P223" s="15"/>
    </row>
    <row r="224" spans="3:16" x14ac:dyDescent="0.25">
      <c r="C224" s="15" t="s">
        <v>1510</v>
      </c>
      <c r="D224" s="14" t="s">
        <v>1511</v>
      </c>
      <c r="E224" s="14" t="s">
        <v>315</v>
      </c>
      <c r="F224" s="14" t="str">
        <f t="shared" si="3"/>
        <v>Program management</v>
      </c>
      <c r="G224" s="14" t="s">
        <v>1536</v>
      </c>
      <c r="H224" s="368" t="s">
        <v>1513</v>
      </c>
      <c r="I224" s="14" t="str">
        <f t="array" ref="I224">IFERROR(INDEX($D$192:$D$250, MATCH(0, COUNTIF($I$191:I223, $D$192:$D$250&amp;"") + IF($D$192:$D$250="",1,0), 0)), "")</f>
        <v/>
      </c>
      <c r="J224" s="14" t="str">
        <f t="array" ref="J224">IFERROR(IF(INDEX($C$192:$C$250,MATCH(LEFT(I224,255),LEFT($D$192:$D$250,255),0))=0,"",INDEX($C$192:$C$250,MATCH(LEFT(I224,255),LEFT($D$192:$D$250,255),0))),"")</f>
        <v/>
      </c>
      <c r="K224" s="14" t="s">
        <v>643</v>
      </c>
      <c r="L224" s="15"/>
      <c r="M224" s="15" t="s">
        <v>1537</v>
      </c>
      <c r="N224" s="20">
        <v>9000</v>
      </c>
      <c r="O224" s="14"/>
      <c r="P224" s="15"/>
    </row>
    <row r="225" spans="3:16" x14ac:dyDescent="0.25">
      <c r="C225" s="15" t="s">
        <v>1515</v>
      </c>
      <c r="D225" s="14" t="s">
        <v>1516</v>
      </c>
      <c r="E225" s="14" t="s">
        <v>315</v>
      </c>
      <c r="F225" s="14" t="str">
        <f t="shared" si="3"/>
        <v>Payment for results</v>
      </c>
      <c r="G225" s="14" t="s">
        <v>1538</v>
      </c>
      <c r="H225" s="368" t="s">
        <v>1518</v>
      </c>
      <c r="I225" s="14" t="str">
        <f t="array" ref="I225">IFERROR(INDEX($D$192:$D$250, MATCH(0, COUNTIF($I$191:I224, $D$192:$D$250&amp;"") + IF($D$192:$D$250="",1,0), 0)), "")</f>
        <v/>
      </c>
      <c r="J225" s="14" t="str">
        <f t="array" ref="J225">IFERROR(IF(INDEX($C$192:$C$250,MATCH(LEFT(I225,255),LEFT($D$192:$D$250,255),0))=0,"",INDEX($C$192:$C$250,MATCH(LEFT(I225,255),LEFT($D$192:$D$250,255),0))),"")</f>
        <v/>
      </c>
      <c r="K225" s="14" t="s">
        <v>643</v>
      </c>
      <c r="L225" s="15"/>
      <c r="M225" s="15" t="s">
        <v>1539</v>
      </c>
      <c r="N225" s="20">
        <v>9500</v>
      </c>
      <c r="O225" s="14"/>
      <c r="P225" s="15"/>
    </row>
    <row r="226" spans="3:16" x14ac:dyDescent="0.25">
      <c r="C226" s="15" t="s">
        <v>1540</v>
      </c>
      <c r="D226" s="14" t="s">
        <v>1199</v>
      </c>
      <c r="E226" s="14" t="s">
        <v>314</v>
      </c>
      <c r="F226" s="14" t="str">
        <f t="shared" si="3"/>
        <v>TB diagnosis, treatment and care</v>
      </c>
      <c r="G226" s="14" t="s">
        <v>1541</v>
      </c>
      <c r="H226" s="368" t="s">
        <v>1542</v>
      </c>
      <c r="I226" s="14" t="str">
        <f t="array" ref="I226">IFERROR(INDEX($D$192:$D$250, MATCH(0, COUNTIF($I$191:I225, $D$192:$D$250&amp;"") + IF($D$192:$D$250="",1,0), 0)), "")</f>
        <v/>
      </c>
      <c r="J226" s="14" t="str">
        <f t="array" ref="J226">IFERROR(IF(INDEX($C$192:$C$250,MATCH(LEFT(I226,255),LEFT($D$192:$D$250,255),0))=0,"",INDEX($C$192:$C$250,MATCH(LEFT(I226,255),LEFT($D$192:$D$250,255),0))),"")</f>
        <v/>
      </c>
      <c r="K226" s="14" t="s">
        <v>643</v>
      </c>
      <c r="L226" s="15"/>
      <c r="M226" s="15" t="s">
        <v>1543</v>
      </c>
      <c r="N226" s="20">
        <v>2010</v>
      </c>
      <c r="O226" s="14"/>
      <c r="P226" s="15"/>
    </row>
    <row r="227" spans="3:16" x14ac:dyDescent="0.25">
      <c r="C227" s="15" t="s">
        <v>432</v>
      </c>
      <c r="D227" s="14" t="s">
        <v>1221</v>
      </c>
      <c r="E227" s="14" t="s">
        <v>314</v>
      </c>
      <c r="F227" s="14" t="str">
        <f t="shared" si="3"/>
        <v>Drug-resistant (DR)-TB diagnosis, treatment and care</v>
      </c>
      <c r="G227" s="14" t="s">
        <v>1544</v>
      </c>
      <c r="H227" s="368" t="s">
        <v>1545</v>
      </c>
      <c r="I227" s="14" t="str">
        <f t="array" ref="I227">IFERROR(INDEX($D$192:$D$250, MATCH(0, COUNTIF($I$191:I226, $D$192:$D$250&amp;"") + IF($D$192:$D$250="",1,0), 0)), "")</f>
        <v/>
      </c>
      <c r="J227" s="14" t="str">
        <f t="array" ref="J227">IFERROR(IF(INDEX($C$192:$C$250,MATCH(LEFT(I227,255),LEFT($D$192:$D$250,255),0))=0,"",INDEX($C$192:$C$250,MATCH(LEFT(I227,255),LEFT($D$192:$D$250,255),0))),"")</f>
        <v/>
      </c>
      <c r="K227" s="14" t="s">
        <v>643</v>
      </c>
      <c r="L227" s="15"/>
      <c r="M227" s="15" t="s">
        <v>1546</v>
      </c>
      <c r="N227" s="20">
        <v>2020</v>
      </c>
      <c r="O227" s="14"/>
      <c r="P227" s="15"/>
    </row>
    <row r="228" spans="3:16" x14ac:dyDescent="0.25">
      <c r="C228" s="15" t="s">
        <v>1547</v>
      </c>
      <c r="D228" s="14" t="s">
        <v>1258</v>
      </c>
      <c r="E228" s="14" t="s">
        <v>314</v>
      </c>
      <c r="F228" s="14" t="str">
        <f t="shared" si="3"/>
        <v>TB/DR-TB Prevention</v>
      </c>
      <c r="G228" s="14" t="s">
        <v>1548</v>
      </c>
      <c r="H228" s="368" t="s">
        <v>1549</v>
      </c>
      <c r="I228" s="14" t="str">
        <f t="array" ref="I228">IFERROR(INDEX($D$192:$D$250, MATCH(0, COUNTIF($I$191:I227, $D$192:$D$250&amp;"") + IF($D$192:$D$250="",1,0), 0)), "")</f>
        <v/>
      </c>
      <c r="J228" s="14" t="str">
        <f t="array" ref="J228">IFERROR(IF(INDEX($C$192:$C$250,MATCH(LEFT(I228,255),LEFT($D$192:$D$250,255),0))=0,"",INDEX($C$192:$C$250,MATCH(LEFT(I228,255),LEFT($D$192:$D$250,255),0))),"")</f>
        <v/>
      </c>
      <c r="K228" s="14" t="s">
        <v>643</v>
      </c>
      <c r="L228" s="15"/>
      <c r="M228" s="15" t="s">
        <v>1550</v>
      </c>
      <c r="N228" s="20">
        <v>2030</v>
      </c>
      <c r="O228" s="14"/>
      <c r="P228" s="15"/>
    </row>
    <row r="229" spans="3:16" x14ac:dyDescent="0.25">
      <c r="C229" s="15" t="s">
        <v>1551</v>
      </c>
      <c r="D229" s="14" t="s">
        <v>1269</v>
      </c>
      <c r="E229" s="14" t="s">
        <v>314</v>
      </c>
      <c r="F229" s="14" t="str">
        <f t="shared" si="3"/>
        <v>Collaboration with other providers and sectors</v>
      </c>
      <c r="G229" s="14" t="s">
        <v>1552</v>
      </c>
      <c r="H229" s="368" t="s">
        <v>1553</v>
      </c>
      <c r="I229" s="14" t="str">
        <f t="array" ref="I229">IFERROR(INDEX($D$192:$D$250, MATCH(0, COUNTIF($I$191:I228, $D$192:$D$250&amp;"") + IF($D$192:$D$250="",1,0), 0)), "")</f>
        <v/>
      </c>
      <c r="J229" s="14" t="str">
        <f t="array" ref="J229">IFERROR(IF(INDEX($C$192:$C$250,MATCH(LEFT(I229,255),LEFT($D$192:$D$250,255),0))=0,"",INDEX($C$192:$C$250,MATCH(LEFT(I229,255),LEFT($D$192:$D$250,255),0))),"")</f>
        <v/>
      </c>
      <c r="K229" s="14" t="s">
        <v>643</v>
      </c>
      <c r="L229" s="15"/>
      <c r="M229" s="15" t="s">
        <v>1554</v>
      </c>
      <c r="N229" s="20">
        <v>2040</v>
      </c>
      <c r="O229" s="14"/>
      <c r="P229" s="15"/>
    </row>
    <row r="230" spans="3:16" x14ac:dyDescent="0.25">
      <c r="C230" s="15" t="s">
        <v>1555</v>
      </c>
      <c r="D230" s="14" t="s">
        <v>1273</v>
      </c>
      <c r="E230" s="14" t="s">
        <v>314</v>
      </c>
      <c r="F230" s="14" t="str">
        <f t="shared" si="3"/>
        <v>Key and vulnerable populations (KVP) – TB/DR-TB</v>
      </c>
      <c r="G230" s="14" t="s">
        <v>1556</v>
      </c>
      <c r="H230" s="368" t="s">
        <v>1557</v>
      </c>
      <c r="I230" s="14" t="str">
        <f t="array" ref="I230">IFERROR(INDEX($D$192:$D$250, MATCH(0, COUNTIF($I$191:I229, $D$192:$D$250&amp;"") + IF($D$192:$D$250="",1,0), 0)), "")</f>
        <v/>
      </c>
      <c r="J230" s="14" t="str">
        <f t="array" ref="J230">IFERROR(IF(INDEX($C$192:$C$250,MATCH(LEFT(I230,255),LEFT($D$192:$D$250,255),0))=0,"",INDEX($C$192:$C$250,MATCH(LEFT(I230,255),LEFT($D$192:$D$250,255),0))),"")</f>
        <v/>
      </c>
      <c r="K230" s="14" t="s">
        <v>643</v>
      </c>
      <c r="L230" s="15"/>
      <c r="M230" s="15" t="s">
        <v>1558</v>
      </c>
      <c r="N230" s="20">
        <v>2050</v>
      </c>
      <c r="O230" s="14"/>
      <c r="P230" s="15"/>
    </row>
    <row r="231" spans="3:16" x14ac:dyDescent="0.25">
      <c r="C231" s="15" t="s">
        <v>429</v>
      </c>
      <c r="D231" s="14" t="s">
        <v>1280</v>
      </c>
      <c r="E231" s="14" t="s">
        <v>314</v>
      </c>
      <c r="F231" s="14" t="str">
        <f t="shared" si="3"/>
        <v>TB/HIV</v>
      </c>
      <c r="G231" s="14" t="s">
        <v>1559</v>
      </c>
      <c r="H231" s="368" t="s">
        <v>1476</v>
      </c>
      <c r="I231" s="14" t="str">
        <f t="array" ref="I231">IFERROR(INDEX($D$192:$D$250, MATCH(0, COUNTIF($I$191:I230, $D$192:$D$250&amp;"") + IF($D$192:$D$250="",1,0), 0)), "")</f>
        <v/>
      </c>
      <c r="J231" s="14" t="str">
        <f t="array" ref="J231">IFERROR(IF(INDEX($C$192:$C$250,MATCH(LEFT(I231,255),LEFT($D$192:$D$250,255),0))=0,"",INDEX($C$192:$C$250,MATCH(LEFT(I231,255),LEFT($D$192:$D$250,255),0))),"")</f>
        <v/>
      </c>
      <c r="K231" s="14" t="s">
        <v>643</v>
      </c>
      <c r="L231" s="15"/>
      <c r="M231" s="15" t="s">
        <v>1560</v>
      </c>
      <c r="N231" s="20">
        <v>2510</v>
      </c>
      <c r="O231" s="14"/>
      <c r="P231" s="15"/>
    </row>
    <row r="232" spans="3:16" x14ac:dyDescent="0.25">
      <c r="C232" s="15" t="s">
        <v>1561</v>
      </c>
      <c r="D232" s="14" t="s">
        <v>1562</v>
      </c>
      <c r="E232" s="14" t="s">
        <v>314</v>
      </c>
      <c r="F232" s="14" t="str">
        <f t="shared" si="3"/>
        <v>Removing human rights and gender related barriers to TB services</v>
      </c>
      <c r="G232" s="14" t="s">
        <v>1563</v>
      </c>
      <c r="H232" s="368" t="s">
        <v>1564</v>
      </c>
      <c r="I232" s="14" t="str">
        <f t="array" ref="I232">IFERROR(INDEX($D$192:$D$250, MATCH(0, COUNTIF($I$191:I231, $D$192:$D$250&amp;"") + IF($D$192:$D$250="",1,0), 0)), "")</f>
        <v/>
      </c>
      <c r="J232" s="14" t="str">
        <f t="array" ref="J232">IFERROR(IF(INDEX($C$192:$C$250,MATCH(LEFT(I232,255),LEFT($D$192:$D$250,255),0))=0,"",INDEX($C$192:$C$250,MATCH(LEFT(I232,255),LEFT($D$192:$D$250,255),0))),"")</f>
        <v/>
      </c>
      <c r="K232" s="14" t="s">
        <v>643</v>
      </c>
      <c r="L232" s="15"/>
      <c r="M232" s="15" t="s">
        <v>1565</v>
      </c>
      <c r="N232" s="20">
        <v>2520</v>
      </c>
      <c r="O232" s="14"/>
      <c r="P232" s="15"/>
    </row>
    <row r="233" spans="3:16" x14ac:dyDescent="0.25">
      <c r="C233" s="15" t="s">
        <v>1478</v>
      </c>
      <c r="D233" s="14" t="s">
        <v>1298</v>
      </c>
      <c r="E233" s="14" t="s">
        <v>314</v>
      </c>
      <c r="F233" s="14" t="str">
        <f t="shared" si="3"/>
        <v>RSSH: Health sector planning and governance for integrated people-centered services</v>
      </c>
      <c r="G233" s="14" t="s">
        <v>1566</v>
      </c>
      <c r="H233" s="368" t="s">
        <v>1480</v>
      </c>
      <c r="I233" s="14" t="str">
        <f t="array" ref="I233">IFERROR(INDEX($D$192:$D$250, MATCH(0, COUNTIF($I$191:I232, $D$192:$D$250&amp;"") + IF($D$192:$D$250="",1,0), 0)), "")</f>
        <v/>
      </c>
      <c r="J233" s="14" t="str">
        <f t="array" ref="J233">IFERROR(IF(INDEX($C$192:$C$250,MATCH(LEFT(I233,255),LEFT($D$192:$D$250,255),0))=0,"",INDEX($C$192:$C$250,MATCH(LEFT(I233,255),LEFT($D$192:$D$250,255),0))),"")</f>
        <v/>
      </c>
      <c r="K233" s="14" t="s">
        <v>643</v>
      </c>
      <c r="L233" s="15"/>
      <c r="M233" s="15" t="s">
        <v>1567</v>
      </c>
      <c r="N233" s="20">
        <v>6010</v>
      </c>
      <c r="O233" s="14"/>
      <c r="P233" s="15"/>
    </row>
    <row r="234" spans="3:16" x14ac:dyDescent="0.25">
      <c r="C234" s="15" t="s">
        <v>1482</v>
      </c>
      <c r="D234" s="14" t="s">
        <v>1302</v>
      </c>
      <c r="E234" s="14" t="s">
        <v>314</v>
      </c>
      <c r="F234" s="14" t="str">
        <f t="shared" si="3"/>
        <v>RSSH: Community systems strengthening</v>
      </c>
      <c r="G234" s="14" t="s">
        <v>1568</v>
      </c>
      <c r="H234" s="368" t="s">
        <v>1484</v>
      </c>
      <c r="I234" s="14" t="str">
        <f t="array" ref="I234">IFERROR(INDEX($D$192:$D$250, MATCH(0, COUNTIF($I$191:I233, $D$192:$D$250&amp;"") + IF($D$192:$D$250="",1,0), 0)), "")</f>
        <v/>
      </c>
      <c r="J234" s="14" t="str">
        <f t="array" ref="J234">IFERROR(IF(INDEX($C$192:$C$250,MATCH(LEFT(I234,255),LEFT($D$192:$D$250,255),0))=0,"",INDEX($C$192:$C$250,MATCH(LEFT(I234,255),LEFT($D$192:$D$250,255),0))),"")</f>
        <v/>
      </c>
      <c r="K234" s="14" t="s">
        <v>643</v>
      </c>
      <c r="L234" s="15"/>
      <c r="M234" s="15" t="s">
        <v>1569</v>
      </c>
      <c r="N234" s="20">
        <v>6020</v>
      </c>
      <c r="O234" s="14"/>
      <c r="P234" s="15"/>
    </row>
    <row r="235" spans="3:16" x14ac:dyDescent="0.25">
      <c r="C235" s="15" t="s">
        <v>1486</v>
      </c>
      <c r="D235" s="14" t="s">
        <v>1311</v>
      </c>
      <c r="E235" s="14" t="s">
        <v>314</v>
      </c>
      <c r="F235" s="14" t="str">
        <f t="shared" si="3"/>
        <v>RSSH: Health financing systems</v>
      </c>
      <c r="G235" s="14" t="s">
        <v>1570</v>
      </c>
      <c r="H235" s="368" t="s">
        <v>1488</v>
      </c>
      <c r="I235" s="14" t="str">
        <f t="array" ref="I235">IFERROR(INDEX($D$192:$D$250, MATCH(0, COUNTIF($I$191:I234, $D$192:$D$250&amp;"") + IF($D$192:$D$250="",1,0), 0)), "")</f>
        <v/>
      </c>
      <c r="J235" s="14" t="str">
        <f t="array" ref="J235">IFERROR(IF(INDEX($C$192:$C$250,MATCH(LEFT(I235,255),LEFT($D$192:$D$250,255),0))=0,"",INDEX($C$192:$C$250,MATCH(LEFT(I235,255),LEFT($D$192:$D$250,255),0))),"")</f>
        <v/>
      </c>
      <c r="K235" s="14" t="s">
        <v>643</v>
      </c>
      <c r="L235" s="15"/>
      <c r="M235" s="15" t="s">
        <v>1571</v>
      </c>
      <c r="N235" s="20">
        <v>6030</v>
      </c>
      <c r="O235" s="14"/>
      <c r="P235" s="15"/>
    </row>
    <row r="236" spans="3:16" x14ac:dyDescent="0.25">
      <c r="C236" s="15" t="s">
        <v>1490</v>
      </c>
      <c r="D236" s="14" t="s">
        <v>1334</v>
      </c>
      <c r="E236" s="14" t="s">
        <v>314</v>
      </c>
      <c r="F236" s="14" t="str">
        <f t="shared" si="3"/>
        <v>RSSH: Health products management systems</v>
      </c>
      <c r="G236" s="14" t="s">
        <v>1572</v>
      </c>
      <c r="H236" s="368" t="s">
        <v>1492</v>
      </c>
      <c r="I236" s="14" t="str">
        <f t="array" ref="I236">IFERROR(INDEX($D$192:$D$250, MATCH(0, COUNTIF($I$191:I235, $D$192:$D$250&amp;"") + IF($D$192:$D$250="",1,0), 0)), "")</f>
        <v/>
      </c>
      <c r="J236" s="14" t="str">
        <f t="array" ref="J236">IFERROR(IF(INDEX($C$192:$C$250,MATCH(LEFT(I236,255),LEFT($D$192:$D$250,255),0))=0,"",INDEX($C$192:$C$250,MATCH(LEFT(I236,255),LEFT($D$192:$D$250,255),0))),"")</f>
        <v/>
      </c>
      <c r="K236" s="14" t="s">
        <v>643</v>
      </c>
      <c r="L236" s="15"/>
      <c r="M236" s="15" t="s">
        <v>1573</v>
      </c>
      <c r="N236" s="20">
        <v>6040</v>
      </c>
      <c r="O236" s="14"/>
      <c r="P236" s="15"/>
    </row>
    <row r="237" spans="3:16" x14ac:dyDescent="0.25">
      <c r="C237" s="15" t="s">
        <v>1494</v>
      </c>
      <c r="D237" s="14" t="s">
        <v>1344</v>
      </c>
      <c r="E237" s="14" t="s">
        <v>314</v>
      </c>
      <c r="F237" s="14" t="str">
        <f t="shared" si="3"/>
        <v>RSSH/PP: Human resources for health (HRH) and quality of care</v>
      </c>
      <c r="G237" s="14" t="s">
        <v>1574</v>
      </c>
      <c r="H237" s="368" t="s">
        <v>1496</v>
      </c>
      <c r="I237" s="14" t="str">
        <f t="array" ref="I237">IFERROR(INDEX($D$192:$D$250, MATCH(0, COUNTIF($I$191:I236, $D$192:$D$250&amp;"") + IF($D$192:$D$250="",1,0), 0)), "")</f>
        <v/>
      </c>
      <c r="J237" s="14" t="str">
        <f t="array" ref="J237">IFERROR(IF(INDEX($C$192:$C$250,MATCH(LEFT(I237,255),LEFT($D$192:$D$250,255),0))=0,"",INDEX($C$192:$C$250,MATCH(LEFT(I237,255),LEFT($D$192:$D$250,255),0))),"")</f>
        <v/>
      </c>
      <c r="K237" s="14" t="s">
        <v>643</v>
      </c>
      <c r="L237" s="15"/>
      <c r="M237" s="15" t="s">
        <v>1575</v>
      </c>
      <c r="N237" s="20">
        <v>6050</v>
      </c>
      <c r="O237" s="14"/>
      <c r="P237" s="15"/>
    </row>
    <row r="238" spans="3:16" x14ac:dyDescent="0.25">
      <c r="C238" s="15" t="s">
        <v>1498</v>
      </c>
      <c r="D238" s="14" t="s">
        <v>1368</v>
      </c>
      <c r="E238" s="14" t="s">
        <v>314</v>
      </c>
      <c r="F238" s="14" t="str">
        <f t="shared" si="3"/>
        <v>RSSH/PP: Laboratory systems (including national and peripheral)</v>
      </c>
      <c r="G238" s="14" t="s">
        <v>1576</v>
      </c>
      <c r="H238" s="368" t="s">
        <v>1500</v>
      </c>
      <c r="I238" s="14" t="str">
        <f t="array" ref="I238">IFERROR(INDEX($D$192:$D$250, MATCH(0, COUNTIF($I$191:I237, $D$192:$D$250&amp;"") + IF($D$192:$D$250="",1,0), 0)), "")</f>
        <v/>
      </c>
      <c r="J238" s="14" t="str">
        <f t="array" ref="J238">IFERROR(IF(INDEX($C$192:$C$250,MATCH(LEFT(I238,255),LEFT($D$192:$D$250,255),0))=0,"",INDEX($C$192:$C$250,MATCH(LEFT(I238,255),LEFT($D$192:$D$250,255),0))),"")</f>
        <v/>
      </c>
      <c r="K238" s="14" t="s">
        <v>643</v>
      </c>
      <c r="L238" s="15"/>
      <c r="M238" s="15" t="s">
        <v>1577</v>
      </c>
      <c r="N238" s="20">
        <v>6060</v>
      </c>
      <c r="O238" s="14"/>
      <c r="P238" s="15"/>
    </row>
    <row r="239" spans="3:16" x14ac:dyDescent="0.25">
      <c r="C239" s="15" t="s">
        <v>1502</v>
      </c>
      <c r="D239" s="14" t="s">
        <v>1386</v>
      </c>
      <c r="E239" s="14" t="s">
        <v>314</v>
      </c>
      <c r="F239" s="14" t="str">
        <f t="shared" si="3"/>
        <v>RSSH/PP: Medical oxygen and respiratory care system</v>
      </c>
      <c r="G239" s="14" t="s">
        <v>1578</v>
      </c>
      <c r="H239" s="368" t="s">
        <v>1504</v>
      </c>
      <c r="I239" s="14" t="str">
        <f t="array" ref="I239">IFERROR(INDEX($D$192:$D$250, MATCH(0, COUNTIF($I$191:I238, $D$192:$D$250&amp;"") + IF($D$192:$D$250="",1,0), 0)), "")</f>
        <v/>
      </c>
      <c r="J239" s="14" t="str">
        <f t="array" ref="J239">IFERROR(IF(INDEX($C$192:$C$250,MATCH(LEFT(I239,255),LEFT($D$192:$D$250,255),0))=0,"",INDEX($C$192:$C$250,MATCH(LEFT(I239,255),LEFT($D$192:$D$250,255),0))),"")</f>
        <v/>
      </c>
      <c r="K239" s="14" t="s">
        <v>643</v>
      </c>
      <c r="L239" s="15"/>
      <c r="M239" s="15" t="s">
        <v>1579</v>
      </c>
      <c r="N239" s="20">
        <v>6070</v>
      </c>
      <c r="O239" s="14"/>
      <c r="P239" s="15"/>
    </row>
    <row r="240" spans="3:16" x14ac:dyDescent="0.25">
      <c r="C240" s="15" t="s">
        <v>1506</v>
      </c>
      <c r="D240" s="14" t="s">
        <v>1391</v>
      </c>
      <c r="E240" s="14" t="s">
        <v>314</v>
      </c>
      <c r="F240" s="14" t="str">
        <f t="shared" si="3"/>
        <v>RSSH: Monitoring and evaluation systems</v>
      </c>
      <c r="G240" s="14" t="s">
        <v>1580</v>
      </c>
      <c r="H240" s="368" t="s">
        <v>1508</v>
      </c>
      <c r="I240" s="14" t="str">
        <f t="array" ref="I240">IFERROR(INDEX($D$192:$D$250, MATCH(0, COUNTIF($I$191:I239, $D$192:$D$250&amp;"") + IF($D$192:$D$250="",1,0), 0)), "")</f>
        <v/>
      </c>
      <c r="J240" s="14" t="str">
        <f t="array" ref="J240">IFERROR(IF(INDEX($C$192:$C$250,MATCH(LEFT(I240,255),LEFT($D$192:$D$250,255),0))=0,"",INDEX($C$192:$C$250,MATCH(LEFT(I240,255),LEFT($D$192:$D$250,255),0))),"")</f>
        <v/>
      </c>
      <c r="K240" s="14" t="s">
        <v>643</v>
      </c>
      <c r="L240" s="15"/>
      <c r="M240" s="15" t="s">
        <v>1581</v>
      </c>
      <c r="N240" s="20">
        <v>6080</v>
      </c>
      <c r="O240" s="14"/>
      <c r="P240" s="15"/>
    </row>
    <row r="241" spans="1:16" x14ac:dyDescent="0.25">
      <c r="C241" s="15" t="s">
        <v>1510</v>
      </c>
      <c r="D241" s="14" t="s">
        <v>1511</v>
      </c>
      <c r="E241" s="14" t="s">
        <v>314</v>
      </c>
      <c r="F241" s="14" t="str">
        <f t="shared" si="3"/>
        <v>Program management</v>
      </c>
      <c r="G241" s="14" t="s">
        <v>1582</v>
      </c>
      <c r="H241" s="368" t="s">
        <v>1513</v>
      </c>
      <c r="I241" s="14" t="str">
        <f t="array" ref="I241">IFERROR(INDEX($D$192:$D$250, MATCH(0, COUNTIF($I$191:I240, $D$192:$D$250&amp;"") + IF($D$192:$D$250="",1,0), 0)), "")</f>
        <v/>
      </c>
      <c r="J241" s="14" t="str">
        <f t="array" ref="J241">IFERROR(IF(INDEX($C$192:$C$250,MATCH(LEFT(I241,255),LEFT($D$192:$D$250,255),0))=0,"",INDEX($C$192:$C$250,MATCH(LEFT(I241,255),LEFT($D$192:$D$250,255),0))),"")</f>
        <v/>
      </c>
      <c r="K241" s="14" t="s">
        <v>643</v>
      </c>
      <c r="L241" s="15"/>
      <c r="M241" s="15" t="s">
        <v>1583</v>
      </c>
      <c r="N241" s="20">
        <v>9000</v>
      </c>
      <c r="O241" s="14"/>
      <c r="P241" s="15"/>
    </row>
    <row r="242" spans="1:16" x14ac:dyDescent="0.25">
      <c r="C242" s="15" t="s">
        <v>1515</v>
      </c>
      <c r="D242" s="14" t="s">
        <v>1516</v>
      </c>
      <c r="E242" s="14" t="s">
        <v>314</v>
      </c>
      <c r="F242" s="14" t="str">
        <f t="shared" si="3"/>
        <v>Payment for results</v>
      </c>
      <c r="G242" s="14" t="s">
        <v>1584</v>
      </c>
      <c r="H242" s="368" t="s">
        <v>1518</v>
      </c>
      <c r="I242" s="14" t="str">
        <f t="array" ref="I242">IFERROR(INDEX($D$192:$D$250, MATCH(0, COUNTIF($I$191:I241, $D$192:$D$250&amp;"") + IF($D$192:$D$250="",1,0), 0)), "")</f>
        <v/>
      </c>
      <c r="J242" s="14" t="str">
        <f t="array" ref="J242">IFERROR(IF(INDEX($C$192:$C$250,MATCH(LEFT(I242,255),LEFT($D$192:$D$250,255),0))=0,"",INDEX($C$192:$C$250,MATCH(LEFT(I242,255),LEFT($D$192:$D$250,255),0))),"")</f>
        <v/>
      </c>
      <c r="K242" s="14" t="s">
        <v>643</v>
      </c>
      <c r="L242" s="15"/>
      <c r="M242" s="15" t="s">
        <v>1585</v>
      </c>
      <c r="N242" s="20">
        <v>9500</v>
      </c>
      <c r="O242" s="14"/>
      <c r="P242" s="15"/>
    </row>
    <row r="243" spans="1:16" x14ac:dyDescent="0.25">
      <c r="C243" s="16"/>
      <c r="D243" s="14"/>
      <c r="E243" s="14"/>
      <c r="F243" s="14"/>
      <c r="G243" s="14"/>
      <c r="H243" s="17"/>
      <c r="I243" s="14"/>
      <c r="J243" s="14"/>
      <c r="K243" s="14"/>
      <c r="L243" s="14"/>
      <c r="M243" s="15"/>
    </row>
    <row r="244" spans="1:16" x14ac:dyDescent="0.25">
      <c r="C244" s="16"/>
      <c r="D244" s="14"/>
      <c r="E244" s="14"/>
      <c r="F244" s="14"/>
      <c r="G244" s="14"/>
      <c r="H244" s="17"/>
      <c r="I244" s="14"/>
      <c r="J244" s="14"/>
      <c r="K244" s="14"/>
      <c r="L244" s="14"/>
      <c r="M244" s="15"/>
    </row>
    <row r="245" spans="1:16" x14ac:dyDescent="0.25">
      <c r="C245" s="16"/>
      <c r="D245" s="14"/>
      <c r="E245" s="14"/>
      <c r="F245" s="14"/>
      <c r="G245" s="14"/>
      <c r="H245" s="17"/>
      <c r="I245" s="14"/>
      <c r="J245" s="14"/>
      <c r="K245" s="14"/>
      <c r="L245" s="14"/>
      <c r="M245" s="15"/>
    </row>
    <row r="246" spans="1:16" x14ac:dyDescent="0.25">
      <c r="C246" s="16"/>
      <c r="D246" s="14"/>
      <c r="E246" s="14"/>
      <c r="F246" s="14"/>
      <c r="G246" s="14"/>
      <c r="H246" s="17"/>
      <c r="I246" s="14"/>
      <c r="J246" s="14"/>
      <c r="K246" s="14"/>
      <c r="L246" s="14"/>
      <c r="M246" s="15"/>
    </row>
    <row r="247" spans="1:16" x14ac:dyDescent="0.25">
      <c r="C247" s="16"/>
      <c r="D247" s="14"/>
      <c r="E247" s="14"/>
      <c r="F247" s="14"/>
      <c r="G247" s="14"/>
      <c r="H247" s="17"/>
      <c r="I247" s="14"/>
      <c r="J247" s="14"/>
      <c r="K247" s="14"/>
      <c r="L247" s="14"/>
      <c r="M247" s="15"/>
    </row>
    <row r="248" spans="1:16" x14ac:dyDescent="0.25">
      <c r="C248" s="16"/>
      <c r="D248" s="14"/>
      <c r="E248" s="14"/>
      <c r="F248" s="14"/>
      <c r="G248" s="14"/>
      <c r="H248" s="17"/>
      <c r="I248" s="14"/>
      <c r="J248" s="14"/>
      <c r="K248" s="14"/>
      <c r="L248" s="14"/>
      <c r="M248" s="15"/>
    </row>
    <row r="249" spans="1:16" x14ac:dyDescent="0.25">
      <c r="C249" s="16"/>
      <c r="D249" s="14"/>
      <c r="E249" s="14"/>
      <c r="F249" s="14"/>
      <c r="G249" s="14"/>
      <c r="H249" s="17"/>
      <c r="I249" s="14"/>
      <c r="J249" s="14"/>
      <c r="K249" s="14"/>
      <c r="L249" s="14"/>
      <c r="M249" s="15"/>
    </row>
    <row r="251" spans="1:16" x14ac:dyDescent="0.25">
      <c r="A251" s="2" t="s">
        <v>1586</v>
      </c>
    </row>
    <row r="252" spans="1:16" x14ac:dyDescent="0.25">
      <c r="A252" s="367" t="s">
        <v>1046</v>
      </c>
      <c r="B252" s="367" t="s">
        <v>1047</v>
      </c>
      <c r="C252" s="367" t="s">
        <v>258</v>
      </c>
      <c r="D252" s="367" t="s">
        <v>785</v>
      </c>
      <c r="E252" s="367" t="s">
        <v>318</v>
      </c>
      <c r="F252" s="367" t="s">
        <v>1048</v>
      </c>
      <c r="G252" s="367" t="s">
        <v>1049</v>
      </c>
      <c r="H252" s="14" t="s">
        <v>1587</v>
      </c>
      <c r="I252" s="367" t="s">
        <v>1588</v>
      </c>
      <c r="J252" s="367" t="s">
        <v>791</v>
      </c>
      <c r="K252" s="14" t="s">
        <v>793</v>
      </c>
    </row>
    <row r="253" spans="1:16" hidden="1" x14ac:dyDescent="0.25">
      <c r="A253" s="14" t="s">
        <v>1054</v>
      </c>
      <c r="B253" s="15" t="s">
        <v>1055</v>
      </c>
      <c r="C253" s="15" t="s">
        <v>795</v>
      </c>
      <c r="D253" s="15" t="s">
        <v>796</v>
      </c>
      <c r="E253" s="14" t="s">
        <v>321</v>
      </c>
      <c r="F253" s="15" t="str">
        <f>B253</f>
        <v>[Name ID]</v>
      </c>
      <c r="G253" s="14" t="str">
        <f>A253&amp;C253</f>
        <v>[Module (Name)]--Select--</v>
      </c>
      <c r="H253" s="14" t="str">
        <f>A253&amp;C253</f>
        <v>[Module (Name)]--Select--</v>
      </c>
      <c r="I253" s="15" t="str">
        <f>F253</f>
        <v>[Name ID]</v>
      </c>
      <c r="J253" s="14" t="s">
        <v>799</v>
      </c>
      <c r="K253" s="20" t="s">
        <v>801</v>
      </c>
    </row>
    <row r="254" spans="1:16" x14ac:dyDescent="0.25">
      <c r="A254" s="14" t="s">
        <v>1059</v>
      </c>
      <c r="B254" s="15" t="s">
        <v>1589</v>
      </c>
      <c r="C254" s="15" t="s">
        <v>1590</v>
      </c>
      <c r="D254" s="15"/>
      <c r="E254" s="14" t="s">
        <v>1591</v>
      </c>
      <c r="F254" s="15" t="str">
        <f t="shared" ref="F254:F317" si="4">B254</f>
        <v>MCI-01459</v>
      </c>
      <c r="G254" s="14" t="str">
        <f t="shared" ref="G254:G317" si="5">A254&amp;C254</f>
        <v>MCI-01296Condom and lubricant programing for MSM</v>
      </c>
      <c r="H254" s="14" t="str">
        <f t="shared" ref="H254:H317" si="6">A254&amp;C254</f>
        <v>MCI-01296Condom and lubricant programing for MSM</v>
      </c>
      <c r="I254" s="15" t="str">
        <f t="shared" ref="I254:I317" si="7">F254</f>
        <v>MCI-01459</v>
      </c>
      <c r="J254" s="14" t="s">
        <v>643</v>
      </c>
      <c r="K254" s="20">
        <v>1010</v>
      </c>
    </row>
    <row r="255" spans="1:16" x14ac:dyDescent="0.25">
      <c r="A255" s="14" t="s">
        <v>1059</v>
      </c>
      <c r="B255" s="15" t="s">
        <v>1592</v>
      </c>
      <c r="C255" s="15" t="s">
        <v>1593</v>
      </c>
      <c r="D255" s="15"/>
      <c r="E255" s="14" t="s">
        <v>1594</v>
      </c>
      <c r="F255" s="15" t="str">
        <f t="shared" si="4"/>
        <v>MCI-01460</v>
      </c>
      <c r="G255" s="14" t="str">
        <f t="shared" si="5"/>
        <v>MCI-01296Pre-exposure prophylaxis (PrEP) programing for MSM</v>
      </c>
      <c r="H255" s="14" t="str">
        <f t="shared" si="6"/>
        <v>MCI-01296Pre-exposure prophylaxis (PrEP) programing for MSM</v>
      </c>
      <c r="I255" s="15" t="str">
        <f t="shared" si="7"/>
        <v>MCI-01460</v>
      </c>
      <c r="J255" s="14" t="s">
        <v>643</v>
      </c>
      <c r="K255" s="20">
        <v>1020</v>
      </c>
    </row>
    <row r="256" spans="1:16" x14ac:dyDescent="0.25">
      <c r="A256" s="14" t="s">
        <v>1059</v>
      </c>
      <c r="B256" s="15" t="s">
        <v>1595</v>
      </c>
      <c r="C256" s="15" t="s">
        <v>1596</v>
      </c>
      <c r="D256" s="15"/>
      <c r="E256" s="14" t="s">
        <v>1597</v>
      </c>
      <c r="F256" s="15" t="str">
        <f t="shared" si="4"/>
        <v>MCI-01461</v>
      </c>
      <c r="G256" s="14" t="str">
        <f t="shared" si="5"/>
        <v>MCI-01296HIV prevention communication, information and demand creation for MSM</v>
      </c>
      <c r="H256" s="14" t="str">
        <f t="shared" si="6"/>
        <v>MCI-01296HIV prevention communication, information and demand creation for MSM</v>
      </c>
      <c r="I256" s="15" t="str">
        <f t="shared" si="7"/>
        <v>MCI-01461</v>
      </c>
      <c r="J256" s="14" t="s">
        <v>643</v>
      </c>
      <c r="K256" s="20">
        <v>1030</v>
      </c>
    </row>
    <row r="257" spans="1:11" x14ac:dyDescent="0.25">
      <c r="A257" s="14" t="s">
        <v>1059</v>
      </c>
      <c r="B257" s="15" t="s">
        <v>1598</v>
      </c>
      <c r="C257" s="15" t="s">
        <v>1599</v>
      </c>
      <c r="D257" s="15"/>
      <c r="E257" s="14" t="s">
        <v>1600</v>
      </c>
      <c r="F257" s="15" t="str">
        <f t="shared" si="4"/>
        <v>MCI-01462</v>
      </c>
      <c r="G257" s="14" t="str">
        <f t="shared" si="5"/>
        <v>MCI-01296Community empowerment for MSM</v>
      </c>
      <c r="H257" s="14" t="str">
        <f t="shared" si="6"/>
        <v>MCI-01296Community empowerment for MSM</v>
      </c>
      <c r="I257" s="15" t="str">
        <f t="shared" si="7"/>
        <v>MCI-01462</v>
      </c>
      <c r="J257" s="14" t="s">
        <v>643</v>
      </c>
      <c r="K257" s="20">
        <v>1040</v>
      </c>
    </row>
    <row r="258" spans="1:11" x14ac:dyDescent="0.25">
      <c r="A258" s="14" t="s">
        <v>1059</v>
      </c>
      <c r="B258" s="15" t="s">
        <v>1601</v>
      </c>
      <c r="C258" s="15" t="s">
        <v>1602</v>
      </c>
      <c r="D258" s="15"/>
      <c r="E258" s="14" t="s">
        <v>1603</v>
      </c>
      <c r="F258" s="15" t="str">
        <f t="shared" si="4"/>
        <v>MCI-01463</v>
      </c>
      <c r="G258" s="14" t="str">
        <f t="shared" si="5"/>
        <v>MCI-01296Sexual and reproductive health services, including STIs, hepatitis, post-violence care for MSM</v>
      </c>
      <c r="H258" s="14" t="str">
        <f t="shared" si="6"/>
        <v>MCI-01296Sexual and reproductive health services, including STIs, hepatitis, post-violence care for MSM</v>
      </c>
      <c r="I258" s="15" t="str">
        <f t="shared" si="7"/>
        <v>MCI-01463</v>
      </c>
      <c r="J258" s="14" t="s">
        <v>643</v>
      </c>
      <c r="K258" s="20">
        <v>1050</v>
      </c>
    </row>
    <row r="259" spans="1:11" x14ac:dyDescent="0.25">
      <c r="A259" s="14" t="s">
        <v>1059</v>
      </c>
      <c r="B259" s="15" t="s">
        <v>1604</v>
      </c>
      <c r="C259" s="15" t="s">
        <v>1605</v>
      </c>
      <c r="D259" s="15"/>
      <c r="E259" s="14" t="s">
        <v>1606</v>
      </c>
      <c r="F259" s="15" t="str">
        <f t="shared" si="4"/>
        <v>MCI-01464</v>
      </c>
      <c r="G259" s="14" t="str">
        <f t="shared" si="5"/>
        <v>MCI-01296Removing human rights-related barriers to prevention for MSM</v>
      </c>
      <c r="H259" s="14" t="str">
        <f t="shared" si="6"/>
        <v>MCI-01296Removing human rights-related barriers to prevention for MSM</v>
      </c>
      <c r="I259" s="15" t="str">
        <f t="shared" si="7"/>
        <v>MCI-01464</v>
      </c>
      <c r="J259" s="14" t="s">
        <v>643</v>
      </c>
      <c r="K259" s="20">
        <v>1060</v>
      </c>
    </row>
    <row r="260" spans="1:11" x14ac:dyDescent="0.25">
      <c r="A260" s="14" t="s">
        <v>1073</v>
      </c>
      <c r="B260" s="15" t="s">
        <v>1607</v>
      </c>
      <c r="C260" s="15" t="s">
        <v>1608</v>
      </c>
      <c r="D260" s="15"/>
      <c r="E260" s="14" t="s">
        <v>1609</v>
      </c>
      <c r="F260" s="15" t="str">
        <f t="shared" si="4"/>
        <v>MCI-01328</v>
      </c>
      <c r="G260" s="14" t="str">
        <f t="shared" si="5"/>
        <v>MCI-01297Condom and lubricant programing for sex workers</v>
      </c>
      <c r="H260" s="14" t="str">
        <f t="shared" si="6"/>
        <v>MCI-01297Condom and lubricant programing for sex workers</v>
      </c>
      <c r="I260" s="15" t="str">
        <f t="shared" si="7"/>
        <v>MCI-01328</v>
      </c>
      <c r="J260" s="14" t="s">
        <v>643</v>
      </c>
      <c r="K260" s="20">
        <v>1070</v>
      </c>
    </row>
    <row r="261" spans="1:11" x14ac:dyDescent="0.25">
      <c r="A261" s="14" t="s">
        <v>1073</v>
      </c>
      <c r="B261" s="15" t="s">
        <v>1610</v>
      </c>
      <c r="C261" s="15" t="s">
        <v>1611</v>
      </c>
      <c r="D261" s="15"/>
      <c r="E261" s="14" t="s">
        <v>1612</v>
      </c>
      <c r="F261" s="15" t="str">
        <f t="shared" si="4"/>
        <v>MCI-01329</v>
      </c>
      <c r="G261" s="14" t="str">
        <f t="shared" si="5"/>
        <v>MCI-01297Pre-exposure prophylaxis (PrEP) programing for sex workers</v>
      </c>
      <c r="H261" s="14" t="str">
        <f t="shared" si="6"/>
        <v>MCI-01297Pre-exposure prophylaxis (PrEP) programing for sex workers</v>
      </c>
      <c r="I261" s="15" t="str">
        <f t="shared" si="7"/>
        <v>MCI-01329</v>
      </c>
      <c r="J261" s="14" t="s">
        <v>643</v>
      </c>
      <c r="K261" s="20">
        <v>1080</v>
      </c>
    </row>
    <row r="262" spans="1:11" x14ac:dyDescent="0.25">
      <c r="A262" s="14" t="s">
        <v>1073</v>
      </c>
      <c r="B262" s="15" t="s">
        <v>1613</v>
      </c>
      <c r="C262" s="15" t="s">
        <v>1614</v>
      </c>
      <c r="D262" s="15"/>
      <c r="E262" s="14" t="s">
        <v>1615</v>
      </c>
      <c r="F262" s="15" t="str">
        <f t="shared" si="4"/>
        <v>MCI-01330</v>
      </c>
      <c r="G262" s="14" t="str">
        <f t="shared" si="5"/>
        <v>MCI-01297HIV prevention communication, information and demand creation for sex workers</v>
      </c>
      <c r="H262" s="14" t="str">
        <f t="shared" si="6"/>
        <v>MCI-01297HIV prevention communication, information and demand creation for sex workers</v>
      </c>
      <c r="I262" s="15" t="str">
        <f t="shared" si="7"/>
        <v>MCI-01330</v>
      </c>
      <c r="J262" s="14" t="s">
        <v>643</v>
      </c>
      <c r="K262" s="20">
        <v>1090</v>
      </c>
    </row>
    <row r="263" spans="1:11" x14ac:dyDescent="0.25">
      <c r="A263" s="14" t="s">
        <v>1073</v>
      </c>
      <c r="B263" s="15" t="s">
        <v>1616</v>
      </c>
      <c r="C263" s="15" t="s">
        <v>1617</v>
      </c>
      <c r="D263" s="15"/>
      <c r="E263" s="14" t="s">
        <v>1618</v>
      </c>
      <c r="F263" s="15" t="str">
        <f t="shared" si="4"/>
        <v>MCI-01331</v>
      </c>
      <c r="G263" s="14" t="str">
        <f t="shared" si="5"/>
        <v>MCI-01297Community empowerment for sex workers</v>
      </c>
      <c r="H263" s="14" t="str">
        <f t="shared" si="6"/>
        <v>MCI-01297Community empowerment for sex workers</v>
      </c>
      <c r="I263" s="15" t="str">
        <f t="shared" si="7"/>
        <v>MCI-01331</v>
      </c>
      <c r="J263" s="14" t="s">
        <v>643</v>
      </c>
      <c r="K263" s="20">
        <v>1100</v>
      </c>
    </row>
    <row r="264" spans="1:11" x14ac:dyDescent="0.25">
      <c r="A264" s="14" t="s">
        <v>1073</v>
      </c>
      <c r="B264" s="15" t="s">
        <v>1619</v>
      </c>
      <c r="C264" s="15" t="s">
        <v>1620</v>
      </c>
      <c r="D264" s="15"/>
      <c r="E264" s="14" t="s">
        <v>1621</v>
      </c>
      <c r="F264" s="15" t="str">
        <f t="shared" si="4"/>
        <v>MCI-01332</v>
      </c>
      <c r="G264" s="14" t="str">
        <f t="shared" si="5"/>
        <v>MCI-01297Sexual and reproductive health services, including STIs, hepatitis, post-violence care for sex workers</v>
      </c>
      <c r="H264" s="14" t="str">
        <f t="shared" si="6"/>
        <v>MCI-01297Sexual and reproductive health services, including STIs, hepatitis, post-violence care for sex workers</v>
      </c>
      <c r="I264" s="15" t="str">
        <f t="shared" si="7"/>
        <v>MCI-01332</v>
      </c>
      <c r="J264" s="14" t="s">
        <v>643</v>
      </c>
      <c r="K264" s="20">
        <v>1110</v>
      </c>
    </row>
    <row r="265" spans="1:11" x14ac:dyDescent="0.25">
      <c r="A265" s="14" t="s">
        <v>1073</v>
      </c>
      <c r="B265" s="15" t="s">
        <v>1622</v>
      </c>
      <c r="C265" s="15" t="s">
        <v>1623</v>
      </c>
      <c r="D265" s="15"/>
      <c r="E265" s="14" t="s">
        <v>1624</v>
      </c>
      <c r="F265" s="15" t="str">
        <f t="shared" si="4"/>
        <v>MCI-01333</v>
      </c>
      <c r="G265" s="14" t="str">
        <f t="shared" si="5"/>
        <v>MCI-01297Removing human rights-related barriers to prevention for sex workers</v>
      </c>
      <c r="H265" s="14" t="str">
        <f t="shared" si="6"/>
        <v>MCI-01297Removing human rights-related barriers to prevention for sex workers</v>
      </c>
      <c r="I265" s="15" t="str">
        <f t="shared" si="7"/>
        <v>MCI-01333</v>
      </c>
      <c r="J265" s="14" t="s">
        <v>643</v>
      </c>
      <c r="K265" s="20">
        <v>1120</v>
      </c>
    </row>
    <row r="266" spans="1:11" x14ac:dyDescent="0.25">
      <c r="A266" s="14" t="s">
        <v>1086</v>
      </c>
      <c r="B266" s="15" t="s">
        <v>1625</v>
      </c>
      <c r="C266" s="15" t="s">
        <v>1626</v>
      </c>
      <c r="D266" s="15"/>
      <c r="E266" s="14" t="s">
        <v>1627</v>
      </c>
      <c r="F266" s="15" t="str">
        <f t="shared" si="4"/>
        <v>MCI-01438</v>
      </c>
      <c r="G266" s="14" t="str">
        <f t="shared" si="5"/>
        <v>MCI-01298Condom and lubricant programing for transgender people</v>
      </c>
      <c r="H266" s="14" t="str">
        <f t="shared" si="6"/>
        <v>MCI-01298Condom and lubricant programing for transgender people</v>
      </c>
      <c r="I266" s="15" t="str">
        <f t="shared" si="7"/>
        <v>MCI-01438</v>
      </c>
      <c r="J266" s="14" t="s">
        <v>643</v>
      </c>
      <c r="K266" s="20">
        <v>1130</v>
      </c>
    </row>
    <row r="267" spans="1:11" x14ac:dyDescent="0.25">
      <c r="A267" s="14" t="s">
        <v>1086</v>
      </c>
      <c r="B267" s="15" t="s">
        <v>1628</v>
      </c>
      <c r="C267" s="15" t="s">
        <v>1629</v>
      </c>
      <c r="D267" s="15"/>
      <c r="E267" s="14" t="s">
        <v>1630</v>
      </c>
      <c r="F267" s="15" t="str">
        <f t="shared" si="4"/>
        <v>MCI-01439</v>
      </c>
      <c r="G267" s="14" t="str">
        <f t="shared" si="5"/>
        <v>MCI-01298Pre-exposure prophylaxis (PrEP) programing for transgender people</v>
      </c>
      <c r="H267" s="14" t="str">
        <f t="shared" si="6"/>
        <v>MCI-01298Pre-exposure prophylaxis (PrEP) programing for transgender people</v>
      </c>
      <c r="I267" s="15" t="str">
        <f t="shared" si="7"/>
        <v>MCI-01439</v>
      </c>
      <c r="J267" s="14" t="s">
        <v>643</v>
      </c>
      <c r="K267" s="20">
        <v>1140</v>
      </c>
    </row>
    <row r="268" spans="1:11" x14ac:dyDescent="0.25">
      <c r="A268" s="14" t="s">
        <v>1086</v>
      </c>
      <c r="B268" s="15" t="s">
        <v>1631</v>
      </c>
      <c r="C268" s="15" t="s">
        <v>1632</v>
      </c>
      <c r="D268" s="15"/>
      <c r="E268" s="14" t="s">
        <v>1633</v>
      </c>
      <c r="F268" s="15" t="str">
        <f t="shared" si="4"/>
        <v>MCI-01440</v>
      </c>
      <c r="G268" s="14" t="str">
        <f t="shared" si="5"/>
        <v>MCI-01298HIV prevention communication, information and demand creation for transgender people</v>
      </c>
      <c r="H268" s="14" t="str">
        <f t="shared" si="6"/>
        <v>MCI-01298HIV prevention communication, information and demand creation for transgender people</v>
      </c>
      <c r="I268" s="15" t="str">
        <f t="shared" si="7"/>
        <v>MCI-01440</v>
      </c>
      <c r="J268" s="14" t="s">
        <v>643</v>
      </c>
      <c r="K268" s="20">
        <v>1150</v>
      </c>
    </row>
    <row r="269" spans="1:11" x14ac:dyDescent="0.25">
      <c r="A269" s="14" t="s">
        <v>1086</v>
      </c>
      <c r="B269" s="15" t="s">
        <v>1634</v>
      </c>
      <c r="C269" s="15" t="s">
        <v>1635</v>
      </c>
      <c r="D269" s="15"/>
      <c r="E269" s="14" t="s">
        <v>1636</v>
      </c>
      <c r="F269" s="15" t="str">
        <f t="shared" si="4"/>
        <v>MCI-01441</v>
      </c>
      <c r="G269" s="14" t="str">
        <f t="shared" si="5"/>
        <v>MCI-01298Community empowerment for transgender people</v>
      </c>
      <c r="H269" s="14" t="str">
        <f t="shared" si="6"/>
        <v>MCI-01298Community empowerment for transgender people</v>
      </c>
      <c r="I269" s="15" t="str">
        <f t="shared" si="7"/>
        <v>MCI-01441</v>
      </c>
      <c r="J269" s="14" t="s">
        <v>643</v>
      </c>
      <c r="K269" s="20">
        <v>1160</v>
      </c>
    </row>
    <row r="270" spans="1:11" x14ac:dyDescent="0.25">
      <c r="A270" s="14" t="s">
        <v>1086</v>
      </c>
      <c r="B270" s="15" t="s">
        <v>1637</v>
      </c>
      <c r="C270" s="15" t="s">
        <v>1638</v>
      </c>
      <c r="D270" s="15"/>
      <c r="E270" s="14" t="s">
        <v>1639</v>
      </c>
      <c r="F270" s="15" t="str">
        <f t="shared" si="4"/>
        <v>MCI-01442</v>
      </c>
      <c r="G270" s="14" t="str">
        <f t="shared" si="5"/>
        <v>MCI-01298Sexual and reproductive health services, including STIs, hepatitis, post-violence care for transgender people</v>
      </c>
      <c r="H270" s="14" t="str">
        <f t="shared" si="6"/>
        <v>MCI-01298Sexual and reproductive health services, including STIs, hepatitis, post-violence care for transgender people</v>
      </c>
      <c r="I270" s="15" t="str">
        <f t="shared" si="7"/>
        <v>MCI-01442</v>
      </c>
      <c r="J270" s="14" t="s">
        <v>643</v>
      </c>
      <c r="K270" s="20">
        <v>1170</v>
      </c>
    </row>
    <row r="271" spans="1:11" x14ac:dyDescent="0.25">
      <c r="A271" s="14" t="s">
        <v>1086</v>
      </c>
      <c r="B271" s="15" t="s">
        <v>1640</v>
      </c>
      <c r="C271" s="15" t="s">
        <v>1641</v>
      </c>
      <c r="D271" s="15"/>
      <c r="E271" s="14" t="s">
        <v>1642</v>
      </c>
      <c r="F271" s="15" t="str">
        <f t="shared" si="4"/>
        <v>MCI-01443</v>
      </c>
      <c r="G271" s="14" t="str">
        <f t="shared" si="5"/>
        <v>MCI-01298Removing human rights-related barriers to prevention for transgender people</v>
      </c>
      <c r="H271" s="14" t="str">
        <f t="shared" si="6"/>
        <v>MCI-01298Removing human rights-related barriers to prevention for transgender people</v>
      </c>
      <c r="I271" s="15" t="str">
        <f t="shared" si="7"/>
        <v>MCI-01443</v>
      </c>
      <c r="J271" s="14" t="s">
        <v>643</v>
      </c>
      <c r="K271" s="20">
        <v>1180</v>
      </c>
    </row>
    <row r="272" spans="1:11" x14ac:dyDescent="0.25">
      <c r="A272" s="14" t="s">
        <v>1098</v>
      </c>
      <c r="B272" s="15" t="s">
        <v>1643</v>
      </c>
      <c r="C272" s="15" t="s">
        <v>1644</v>
      </c>
      <c r="D272" s="15"/>
      <c r="E272" s="14" t="s">
        <v>1645</v>
      </c>
      <c r="F272" s="15" t="str">
        <f t="shared" si="4"/>
        <v>MCI-01334</v>
      </c>
      <c r="G272" s="14" t="str">
        <f t="shared" si="5"/>
        <v>MCI-01299Needle and syringe programs for PWID</v>
      </c>
      <c r="H272" s="14" t="str">
        <f t="shared" si="6"/>
        <v>MCI-01299Needle and syringe programs for PWID</v>
      </c>
      <c r="I272" s="15" t="str">
        <f t="shared" si="7"/>
        <v>MCI-01334</v>
      </c>
      <c r="J272" s="14" t="s">
        <v>643</v>
      </c>
      <c r="K272" s="20">
        <v>1190</v>
      </c>
    </row>
    <row r="273" spans="1:11" x14ac:dyDescent="0.25">
      <c r="A273" s="14" t="s">
        <v>1098</v>
      </c>
      <c r="B273" s="15" t="s">
        <v>1646</v>
      </c>
      <c r="C273" s="15" t="s">
        <v>1647</v>
      </c>
      <c r="D273" s="15"/>
      <c r="E273" s="14" t="s">
        <v>1648</v>
      </c>
      <c r="F273" s="15" t="str">
        <f t="shared" si="4"/>
        <v>MCI-01335</v>
      </c>
      <c r="G273" s="14" t="str">
        <f t="shared" si="5"/>
        <v>MCI-01299Opioid substitution therapy and other medically assisted drug dependence treatment for PWID</v>
      </c>
      <c r="H273" s="14" t="str">
        <f t="shared" si="6"/>
        <v>MCI-01299Opioid substitution therapy and other medically assisted drug dependence treatment for PWID</v>
      </c>
      <c r="I273" s="15" t="str">
        <f t="shared" si="7"/>
        <v>MCI-01335</v>
      </c>
      <c r="J273" s="14" t="s">
        <v>643</v>
      </c>
      <c r="K273" s="20">
        <v>1200</v>
      </c>
    </row>
    <row r="274" spans="1:11" x14ac:dyDescent="0.25">
      <c r="A274" s="14" t="s">
        <v>1098</v>
      </c>
      <c r="B274" s="15" t="s">
        <v>1649</v>
      </c>
      <c r="C274" s="15" t="s">
        <v>1650</v>
      </c>
      <c r="D274" s="15"/>
      <c r="E274" s="14" t="s">
        <v>1651</v>
      </c>
      <c r="F274" s="15" t="str">
        <f t="shared" si="4"/>
        <v>MCI-01336</v>
      </c>
      <c r="G274" s="14" t="str">
        <f t="shared" si="5"/>
        <v>MCI-01299Overdose prevention and management for PWID</v>
      </c>
      <c r="H274" s="14" t="str">
        <f t="shared" si="6"/>
        <v>MCI-01299Overdose prevention and management for PWID</v>
      </c>
      <c r="I274" s="15" t="str">
        <f t="shared" si="7"/>
        <v>MCI-01336</v>
      </c>
      <c r="J274" s="14" t="s">
        <v>643</v>
      </c>
      <c r="K274" s="20">
        <v>1210</v>
      </c>
    </row>
    <row r="275" spans="1:11" x14ac:dyDescent="0.25">
      <c r="A275" s="14" t="s">
        <v>1098</v>
      </c>
      <c r="B275" s="15" t="s">
        <v>1652</v>
      </c>
      <c r="C275" s="15" t="s">
        <v>1653</v>
      </c>
      <c r="D275" s="15"/>
      <c r="E275" s="14" t="s">
        <v>1654</v>
      </c>
      <c r="F275" s="15" t="str">
        <f t="shared" si="4"/>
        <v>MCI-01337</v>
      </c>
      <c r="G275" s="14" t="str">
        <f t="shared" si="5"/>
        <v>MCI-01299Condom and lubricant programing for PUD</v>
      </c>
      <c r="H275" s="14" t="str">
        <f t="shared" si="6"/>
        <v>MCI-01299Condom and lubricant programing for PUD</v>
      </c>
      <c r="I275" s="15" t="str">
        <f t="shared" si="7"/>
        <v>MCI-01337</v>
      </c>
      <c r="J275" s="14" t="s">
        <v>643</v>
      </c>
      <c r="K275" s="20">
        <v>1220</v>
      </c>
    </row>
    <row r="276" spans="1:11" x14ac:dyDescent="0.25">
      <c r="A276" s="14" t="s">
        <v>1098</v>
      </c>
      <c r="B276" s="15" t="s">
        <v>1655</v>
      </c>
      <c r="C276" s="15" t="s">
        <v>1656</v>
      </c>
      <c r="D276" s="15"/>
      <c r="E276" s="14" t="s">
        <v>1657</v>
      </c>
      <c r="F276" s="15" t="str">
        <f t="shared" si="4"/>
        <v>MCI-01338</v>
      </c>
      <c r="G276" s="14" t="str">
        <f t="shared" si="5"/>
        <v>MCI-01299Pre-exposure prophylaxis (PrEP) programing for PUD</v>
      </c>
      <c r="H276" s="14" t="str">
        <f t="shared" si="6"/>
        <v>MCI-01299Pre-exposure prophylaxis (PrEP) programing for PUD</v>
      </c>
      <c r="I276" s="15" t="str">
        <f t="shared" si="7"/>
        <v>MCI-01338</v>
      </c>
      <c r="J276" s="14" t="s">
        <v>643</v>
      </c>
      <c r="K276" s="20">
        <v>1230</v>
      </c>
    </row>
    <row r="277" spans="1:11" x14ac:dyDescent="0.25">
      <c r="A277" s="14" t="s">
        <v>1098</v>
      </c>
      <c r="B277" s="15" t="s">
        <v>1658</v>
      </c>
      <c r="C277" s="15" t="s">
        <v>1659</v>
      </c>
      <c r="D277" s="15"/>
      <c r="E277" s="14" t="s">
        <v>1660</v>
      </c>
      <c r="F277" s="15" t="str">
        <f t="shared" si="4"/>
        <v>MCI-01339</v>
      </c>
      <c r="G277" s="14" t="str">
        <f t="shared" si="5"/>
        <v>MCI-01299HIV prevention communication, information and demand creation for PUD</v>
      </c>
      <c r="H277" s="14" t="str">
        <f t="shared" si="6"/>
        <v>MCI-01299HIV prevention communication, information and demand creation for PUD</v>
      </c>
      <c r="I277" s="15" t="str">
        <f t="shared" si="7"/>
        <v>MCI-01339</v>
      </c>
      <c r="J277" s="14" t="s">
        <v>643</v>
      </c>
      <c r="K277" s="20">
        <v>1240</v>
      </c>
    </row>
    <row r="278" spans="1:11" x14ac:dyDescent="0.25">
      <c r="A278" s="14" t="s">
        <v>1098</v>
      </c>
      <c r="B278" s="15" t="s">
        <v>1661</v>
      </c>
      <c r="C278" s="15" t="s">
        <v>1662</v>
      </c>
      <c r="D278" s="15"/>
      <c r="E278" s="14" t="s">
        <v>1663</v>
      </c>
      <c r="F278" s="15" t="str">
        <f t="shared" si="4"/>
        <v>MCI-01340</v>
      </c>
      <c r="G278" s="14" t="str">
        <f t="shared" si="5"/>
        <v>MCI-01299Community empowerment for PUD</v>
      </c>
      <c r="H278" s="14" t="str">
        <f t="shared" si="6"/>
        <v>MCI-01299Community empowerment for PUD</v>
      </c>
      <c r="I278" s="15" t="str">
        <f t="shared" si="7"/>
        <v>MCI-01340</v>
      </c>
      <c r="J278" s="14" t="s">
        <v>643</v>
      </c>
      <c r="K278" s="20">
        <v>1250</v>
      </c>
    </row>
    <row r="279" spans="1:11" x14ac:dyDescent="0.25">
      <c r="A279" s="14" t="s">
        <v>1098</v>
      </c>
      <c r="B279" s="15" t="s">
        <v>1664</v>
      </c>
      <c r="C279" s="15" t="s">
        <v>1665</v>
      </c>
      <c r="D279" s="15"/>
      <c r="E279" s="14" t="s">
        <v>1666</v>
      </c>
      <c r="F279" s="15" t="str">
        <f t="shared" si="4"/>
        <v>MCI-01341</v>
      </c>
      <c r="G279" s="14" t="str">
        <f t="shared" si="5"/>
        <v>MCI-01299Sexual and reproductive health services, including STIs, hepatitis, post-violence care for PUD</v>
      </c>
      <c r="H279" s="14" t="str">
        <f t="shared" si="6"/>
        <v>MCI-01299Sexual and reproductive health services, including STIs, hepatitis, post-violence care for PUD</v>
      </c>
      <c r="I279" s="15" t="str">
        <f t="shared" si="7"/>
        <v>MCI-01341</v>
      </c>
      <c r="J279" s="14" t="s">
        <v>643</v>
      </c>
      <c r="K279" s="20">
        <v>1260</v>
      </c>
    </row>
    <row r="280" spans="1:11" x14ac:dyDescent="0.25">
      <c r="A280" s="14" t="s">
        <v>1098</v>
      </c>
      <c r="B280" s="15" t="s">
        <v>1667</v>
      </c>
      <c r="C280" s="15" t="s">
        <v>1668</v>
      </c>
      <c r="D280" s="15"/>
      <c r="E280" s="14" t="s">
        <v>1669</v>
      </c>
      <c r="F280" s="15" t="str">
        <f t="shared" si="4"/>
        <v>MCI-01342</v>
      </c>
      <c r="G280" s="14" t="str">
        <f t="shared" si="5"/>
        <v>MCI-01299Removing human rights-related barriers to prevention for PUD</v>
      </c>
      <c r="H280" s="14" t="str">
        <f t="shared" si="6"/>
        <v>MCI-01299Removing human rights-related barriers to prevention for PUD</v>
      </c>
      <c r="I280" s="15" t="str">
        <f t="shared" si="7"/>
        <v>MCI-01342</v>
      </c>
      <c r="J280" s="14" t="s">
        <v>643</v>
      </c>
      <c r="K280" s="20">
        <v>1270</v>
      </c>
    </row>
    <row r="281" spans="1:11" x14ac:dyDescent="0.25">
      <c r="A281" s="14" t="s">
        <v>1115</v>
      </c>
      <c r="B281" s="15" t="s">
        <v>1670</v>
      </c>
      <c r="C281" s="15" t="s">
        <v>1671</v>
      </c>
      <c r="D281" s="15"/>
      <c r="E281" s="14" t="s">
        <v>1672</v>
      </c>
      <c r="F281" s="15" t="str">
        <f t="shared" si="4"/>
        <v>MCI-01444</v>
      </c>
      <c r="G281" s="14" t="str">
        <f t="shared" si="5"/>
        <v>MCI-01300Condom and lubricant programing for prisoners</v>
      </c>
      <c r="H281" s="14" t="str">
        <f t="shared" si="6"/>
        <v>MCI-01300Condom and lubricant programing for prisoners</v>
      </c>
      <c r="I281" s="15" t="str">
        <f t="shared" si="7"/>
        <v>MCI-01444</v>
      </c>
      <c r="J281" s="14" t="s">
        <v>643</v>
      </c>
      <c r="K281" s="20">
        <v>1280</v>
      </c>
    </row>
    <row r="282" spans="1:11" x14ac:dyDescent="0.25">
      <c r="A282" s="14" t="s">
        <v>1115</v>
      </c>
      <c r="B282" s="15" t="s">
        <v>1673</v>
      </c>
      <c r="C282" s="15" t="s">
        <v>1674</v>
      </c>
      <c r="D282" s="15"/>
      <c r="E282" s="14" t="s">
        <v>1675</v>
      </c>
      <c r="F282" s="15" t="str">
        <f t="shared" si="4"/>
        <v>MCI-01445</v>
      </c>
      <c r="G282" s="14" t="str">
        <f t="shared" si="5"/>
        <v>MCI-01300Pre-exposure prophylaxis (PrEP) programing for prisoners</v>
      </c>
      <c r="H282" s="14" t="str">
        <f t="shared" si="6"/>
        <v>MCI-01300Pre-exposure prophylaxis (PrEP) programing for prisoners</v>
      </c>
      <c r="I282" s="15" t="str">
        <f t="shared" si="7"/>
        <v>MCI-01445</v>
      </c>
      <c r="J282" s="14" t="s">
        <v>643</v>
      </c>
      <c r="K282" s="20">
        <v>1290</v>
      </c>
    </row>
    <row r="283" spans="1:11" x14ac:dyDescent="0.25">
      <c r="A283" s="14" t="s">
        <v>1115</v>
      </c>
      <c r="B283" s="15" t="s">
        <v>1676</v>
      </c>
      <c r="C283" s="15" t="s">
        <v>1677</v>
      </c>
      <c r="D283" s="15"/>
      <c r="E283" s="14" t="s">
        <v>1678</v>
      </c>
      <c r="F283" s="15" t="str">
        <f t="shared" si="4"/>
        <v>MCI-01446</v>
      </c>
      <c r="G283" s="14" t="str">
        <f t="shared" si="5"/>
        <v>MCI-01300HIV prevention communication, information and demand creation for prisoners</v>
      </c>
      <c r="H283" s="14" t="str">
        <f t="shared" si="6"/>
        <v>MCI-01300HIV prevention communication, information and demand creation for prisoners</v>
      </c>
      <c r="I283" s="15" t="str">
        <f t="shared" si="7"/>
        <v>MCI-01446</v>
      </c>
      <c r="J283" s="14" t="s">
        <v>643</v>
      </c>
      <c r="K283" s="20">
        <v>1300</v>
      </c>
    </row>
    <row r="284" spans="1:11" x14ac:dyDescent="0.25">
      <c r="A284" s="14" t="s">
        <v>1115</v>
      </c>
      <c r="B284" s="15" t="s">
        <v>1679</v>
      </c>
      <c r="C284" s="15" t="s">
        <v>1680</v>
      </c>
      <c r="D284" s="15"/>
      <c r="E284" s="14" t="s">
        <v>1681</v>
      </c>
      <c r="F284" s="15" t="str">
        <f t="shared" si="4"/>
        <v>MCI-01447</v>
      </c>
      <c r="G284" s="14" t="str">
        <f t="shared" si="5"/>
        <v>MCI-01300Sexual and reproductive health services, including STIs, hepatitis, post-violence care for prisoners</v>
      </c>
      <c r="H284" s="14" t="str">
        <f t="shared" si="6"/>
        <v>MCI-01300Sexual and reproductive health services, including STIs, hepatitis, post-violence care for prisoners</v>
      </c>
      <c r="I284" s="15" t="str">
        <f t="shared" si="7"/>
        <v>MCI-01447</v>
      </c>
      <c r="J284" s="14" t="s">
        <v>643</v>
      </c>
      <c r="K284" s="20">
        <v>1310</v>
      </c>
    </row>
    <row r="285" spans="1:11" x14ac:dyDescent="0.25">
      <c r="A285" s="14" t="s">
        <v>1115</v>
      </c>
      <c r="B285" s="15" t="s">
        <v>1682</v>
      </c>
      <c r="C285" s="15" t="s">
        <v>1683</v>
      </c>
      <c r="D285" s="15"/>
      <c r="E285" s="14" t="s">
        <v>1684</v>
      </c>
      <c r="F285" s="15" t="str">
        <f t="shared" si="4"/>
        <v>MCI-01448</v>
      </c>
      <c r="G285" s="14" t="str">
        <f t="shared" si="5"/>
        <v>MCI-01300Harm reduction interventions for drug use for prisoners</v>
      </c>
      <c r="H285" s="14" t="str">
        <f t="shared" si="6"/>
        <v>MCI-01300Harm reduction interventions for drug use for prisoners</v>
      </c>
      <c r="I285" s="15" t="str">
        <f t="shared" si="7"/>
        <v>MCI-01448</v>
      </c>
      <c r="J285" s="14" t="s">
        <v>643</v>
      </c>
      <c r="K285" s="20">
        <v>1320</v>
      </c>
    </row>
    <row r="286" spans="1:11" x14ac:dyDescent="0.25">
      <c r="A286" s="14" t="s">
        <v>1115</v>
      </c>
      <c r="B286" s="15" t="s">
        <v>1685</v>
      </c>
      <c r="C286" s="15" t="s">
        <v>1686</v>
      </c>
      <c r="D286" s="15"/>
      <c r="E286" s="14" t="s">
        <v>1687</v>
      </c>
      <c r="F286" s="15" t="str">
        <f t="shared" si="4"/>
        <v>MCI-01449</v>
      </c>
      <c r="G286" s="14" t="str">
        <f t="shared" si="5"/>
        <v>MCI-01300Removing human rights-related barriers to prevention for prisoners</v>
      </c>
      <c r="H286" s="14" t="str">
        <f t="shared" si="6"/>
        <v>MCI-01300Removing human rights-related barriers to prevention for prisoners</v>
      </c>
      <c r="I286" s="15" t="str">
        <f t="shared" si="7"/>
        <v>MCI-01449</v>
      </c>
      <c r="J286" s="14" t="s">
        <v>643</v>
      </c>
      <c r="K286" s="20">
        <v>1330</v>
      </c>
    </row>
    <row r="287" spans="1:11" x14ac:dyDescent="0.25">
      <c r="A287" s="14" t="s">
        <v>1119</v>
      </c>
      <c r="B287" s="15" t="s">
        <v>1688</v>
      </c>
      <c r="C287" s="15" t="s">
        <v>1689</v>
      </c>
      <c r="D287" s="15"/>
      <c r="E287" s="14" t="s">
        <v>1690</v>
      </c>
      <c r="F287" s="15" t="str">
        <f t="shared" si="4"/>
        <v>MCI-01343</v>
      </c>
      <c r="G287" s="14" t="str">
        <f t="shared" si="5"/>
        <v>MCI-01301Condom and lubricant programing for OVP</v>
      </c>
      <c r="H287" s="14" t="str">
        <f t="shared" si="6"/>
        <v>MCI-01301Condom and lubricant programing for OVP</v>
      </c>
      <c r="I287" s="15" t="str">
        <f t="shared" si="7"/>
        <v>MCI-01343</v>
      </c>
      <c r="J287" s="14" t="s">
        <v>643</v>
      </c>
      <c r="K287" s="20">
        <v>1340</v>
      </c>
    </row>
    <row r="288" spans="1:11" x14ac:dyDescent="0.25">
      <c r="A288" s="14" t="s">
        <v>1119</v>
      </c>
      <c r="B288" s="15" t="s">
        <v>1691</v>
      </c>
      <c r="C288" s="15" t="s">
        <v>1692</v>
      </c>
      <c r="D288" s="15"/>
      <c r="E288" s="14" t="s">
        <v>1693</v>
      </c>
      <c r="F288" s="15" t="str">
        <f t="shared" si="4"/>
        <v>MCI-01344</v>
      </c>
      <c r="G288" s="14" t="str">
        <f t="shared" si="5"/>
        <v>MCI-01301Pre-exposure prophylaxis (PrEP) programing for OVP</v>
      </c>
      <c r="H288" s="14" t="str">
        <f t="shared" si="6"/>
        <v>MCI-01301Pre-exposure prophylaxis (PrEP) programing for OVP</v>
      </c>
      <c r="I288" s="15" t="str">
        <f t="shared" si="7"/>
        <v>MCI-01344</v>
      </c>
      <c r="J288" s="14" t="s">
        <v>643</v>
      </c>
      <c r="K288" s="20">
        <v>1350</v>
      </c>
    </row>
    <row r="289" spans="1:11" x14ac:dyDescent="0.25">
      <c r="A289" s="14" t="s">
        <v>1119</v>
      </c>
      <c r="B289" s="15" t="s">
        <v>1694</v>
      </c>
      <c r="C289" s="15" t="s">
        <v>1695</v>
      </c>
      <c r="D289" s="15"/>
      <c r="E289" s="14" t="s">
        <v>1696</v>
      </c>
      <c r="F289" s="15" t="str">
        <f t="shared" si="4"/>
        <v>MCI-01345</v>
      </c>
      <c r="G289" s="14" t="str">
        <f t="shared" si="5"/>
        <v>MCI-01301HIV prevention communication, information and demand creation for OVP</v>
      </c>
      <c r="H289" s="14" t="str">
        <f t="shared" si="6"/>
        <v>MCI-01301HIV prevention communication, information and demand creation for OVP</v>
      </c>
      <c r="I289" s="15" t="str">
        <f t="shared" si="7"/>
        <v>MCI-01345</v>
      </c>
      <c r="J289" s="14" t="s">
        <v>643</v>
      </c>
      <c r="K289" s="20">
        <v>1360</v>
      </c>
    </row>
    <row r="290" spans="1:11" x14ac:dyDescent="0.25">
      <c r="A290" s="14" t="s">
        <v>1119</v>
      </c>
      <c r="B290" s="15" t="s">
        <v>1697</v>
      </c>
      <c r="C290" s="15" t="s">
        <v>1698</v>
      </c>
      <c r="D290" s="15"/>
      <c r="E290" s="14" t="s">
        <v>1699</v>
      </c>
      <c r="F290" s="15" t="str">
        <f t="shared" si="4"/>
        <v>MCI-01346</v>
      </c>
      <c r="G290" s="14" t="str">
        <f t="shared" si="5"/>
        <v>MCI-01301Community empowerment for OVP</v>
      </c>
      <c r="H290" s="14" t="str">
        <f t="shared" si="6"/>
        <v>MCI-01301Community empowerment for OVP</v>
      </c>
      <c r="I290" s="15" t="str">
        <f t="shared" si="7"/>
        <v>MCI-01346</v>
      </c>
      <c r="J290" s="14" t="s">
        <v>643</v>
      </c>
      <c r="K290" s="20">
        <v>1370</v>
      </c>
    </row>
    <row r="291" spans="1:11" x14ac:dyDescent="0.25">
      <c r="A291" s="14" t="s">
        <v>1119</v>
      </c>
      <c r="B291" s="15" t="s">
        <v>1700</v>
      </c>
      <c r="C291" s="15" t="s">
        <v>1701</v>
      </c>
      <c r="D291" s="15"/>
      <c r="E291" s="14" t="s">
        <v>1702</v>
      </c>
      <c r="F291" s="15" t="str">
        <f t="shared" si="4"/>
        <v>MCI-01347</v>
      </c>
      <c r="G291" s="14" t="str">
        <f t="shared" si="5"/>
        <v>MCI-01301Sexual and reproductive health services, including STIs, hepatitis, post-violence care for OVP</v>
      </c>
      <c r="H291" s="14" t="str">
        <f t="shared" si="6"/>
        <v>MCI-01301Sexual and reproductive health services, including STIs, hepatitis, post-violence care for OVP</v>
      </c>
      <c r="I291" s="15" t="str">
        <f t="shared" si="7"/>
        <v>MCI-01347</v>
      </c>
      <c r="J291" s="14" t="s">
        <v>643</v>
      </c>
      <c r="K291" s="20">
        <v>1380</v>
      </c>
    </row>
    <row r="292" spans="1:11" x14ac:dyDescent="0.25">
      <c r="A292" s="14" t="s">
        <v>1119</v>
      </c>
      <c r="B292" s="15" t="s">
        <v>1703</v>
      </c>
      <c r="C292" s="15" t="s">
        <v>1704</v>
      </c>
      <c r="D292" s="15"/>
      <c r="E292" s="14" t="s">
        <v>1705</v>
      </c>
      <c r="F292" s="15" t="str">
        <f t="shared" si="4"/>
        <v>MCI-01348</v>
      </c>
      <c r="G292" s="14" t="str">
        <f t="shared" si="5"/>
        <v>MCI-01301Removing human rights-related barriers to prevention for OVP</v>
      </c>
      <c r="H292" s="14" t="str">
        <f t="shared" si="6"/>
        <v>MCI-01301Removing human rights-related barriers to prevention for OVP</v>
      </c>
      <c r="I292" s="15" t="str">
        <f t="shared" si="7"/>
        <v>MCI-01348</v>
      </c>
      <c r="J292" s="14" t="s">
        <v>643</v>
      </c>
      <c r="K292" s="20">
        <v>1390</v>
      </c>
    </row>
    <row r="293" spans="1:11" x14ac:dyDescent="0.25">
      <c r="A293" s="14" t="s">
        <v>1123</v>
      </c>
      <c r="B293" s="15" t="s">
        <v>1706</v>
      </c>
      <c r="C293" s="15" t="s">
        <v>1707</v>
      </c>
      <c r="D293" s="15"/>
      <c r="E293" s="14" t="s">
        <v>1708</v>
      </c>
      <c r="F293" s="15" t="str">
        <f t="shared" si="4"/>
        <v>MCI-01510</v>
      </c>
      <c r="G293" s="14" t="str">
        <f t="shared" si="5"/>
        <v>MCI-01302Condom and lubricant programing for AGYW in high HIV incidence settings</v>
      </c>
      <c r="H293" s="14" t="str">
        <f t="shared" si="6"/>
        <v>MCI-01302Condom and lubricant programing for AGYW in high HIV incidence settings</v>
      </c>
      <c r="I293" s="15" t="str">
        <f t="shared" si="7"/>
        <v>MCI-01510</v>
      </c>
      <c r="J293" s="14" t="s">
        <v>643</v>
      </c>
      <c r="K293" s="20">
        <v>1400</v>
      </c>
    </row>
    <row r="294" spans="1:11" x14ac:dyDescent="0.25">
      <c r="A294" s="14" t="s">
        <v>1123</v>
      </c>
      <c r="B294" s="15" t="s">
        <v>1709</v>
      </c>
      <c r="C294" s="15" t="s">
        <v>1710</v>
      </c>
      <c r="D294" s="15"/>
      <c r="E294" s="14" t="s">
        <v>1711</v>
      </c>
      <c r="F294" s="15" t="str">
        <f t="shared" si="4"/>
        <v>MCI-01511</v>
      </c>
      <c r="G294" s="14" t="str">
        <f t="shared" si="5"/>
        <v>MCI-01302Condom and lubricant programing for male sexual partners of AGYW in high HIV incidence settings</v>
      </c>
      <c r="H294" s="14" t="str">
        <f t="shared" si="6"/>
        <v>MCI-01302Condom and lubricant programing for male sexual partners of AGYW in high HIV incidence settings</v>
      </c>
      <c r="I294" s="15" t="str">
        <f t="shared" si="7"/>
        <v>MCI-01511</v>
      </c>
      <c r="J294" s="14" t="s">
        <v>643</v>
      </c>
      <c r="K294" s="20">
        <v>1410</v>
      </c>
    </row>
    <row r="295" spans="1:11" x14ac:dyDescent="0.25">
      <c r="A295" s="14" t="s">
        <v>1123</v>
      </c>
      <c r="B295" s="15" t="s">
        <v>1712</v>
      </c>
      <c r="C295" s="15" t="s">
        <v>1713</v>
      </c>
      <c r="D295" s="15"/>
      <c r="E295" s="14" t="s">
        <v>1714</v>
      </c>
      <c r="F295" s="15" t="str">
        <f t="shared" si="4"/>
        <v>MCI-01512</v>
      </c>
      <c r="G295" s="14" t="str">
        <f t="shared" si="5"/>
        <v>MCI-01302HIV prevention communication, information and demand creation for AGYW in high HIV incidence settings</v>
      </c>
      <c r="H295" s="14" t="str">
        <f t="shared" si="6"/>
        <v>MCI-01302HIV prevention communication, information and demand creation for AGYW in high HIV incidence settings</v>
      </c>
      <c r="I295" s="15" t="str">
        <f t="shared" si="7"/>
        <v>MCI-01512</v>
      </c>
      <c r="J295" s="14" t="s">
        <v>643</v>
      </c>
      <c r="K295" s="20">
        <v>1420</v>
      </c>
    </row>
    <row r="296" spans="1:11" x14ac:dyDescent="0.25">
      <c r="A296" s="14" t="s">
        <v>1123</v>
      </c>
      <c r="B296" s="15" t="s">
        <v>1715</v>
      </c>
      <c r="C296" s="15" t="s">
        <v>1716</v>
      </c>
      <c r="D296" s="15"/>
      <c r="E296" s="14" t="s">
        <v>1717</v>
      </c>
      <c r="F296" s="15" t="str">
        <f t="shared" si="4"/>
        <v>MCI-01513</v>
      </c>
      <c r="G296" s="14" t="str">
        <f t="shared" si="5"/>
        <v>MCI-01302HIV prevention communication, information and demand creation for male sexual partners of AGYW in high HIV incidence settings</v>
      </c>
      <c r="H296" s="14" t="str">
        <f t="shared" si="6"/>
        <v>MCI-01302HIV prevention communication, information and demand creation for male sexual partners of AGYW in high HIV incidence settings</v>
      </c>
      <c r="I296" s="15" t="str">
        <f t="shared" si="7"/>
        <v>MCI-01513</v>
      </c>
      <c r="J296" s="14" t="s">
        <v>643</v>
      </c>
      <c r="K296" s="20">
        <v>1430</v>
      </c>
    </row>
    <row r="297" spans="1:11" x14ac:dyDescent="0.25">
      <c r="A297" s="14" t="s">
        <v>1123</v>
      </c>
      <c r="B297" s="15" t="s">
        <v>1718</v>
      </c>
      <c r="C297" s="15" t="s">
        <v>1719</v>
      </c>
      <c r="D297" s="15"/>
      <c r="E297" s="14" t="s">
        <v>1720</v>
      </c>
      <c r="F297" s="15" t="str">
        <f t="shared" si="4"/>
        <v>MCI-01514</v>
      </c>
      <c r="G297" s="14" t="str">
        <f t="shared" si="5"/>
        <v>MCI-01302Comprehensive sexuality education for adolescent girls and young women (AGYW) and adolescent boys and young men (ABYM)</v>
      </c>
      <c r="H297" s="14" t="str">
        <f t="shared" si="6"/>
        <v>MCI-01302Comprehensive sexuality education for adolescent girls and young women (AGYW) and adolescent boys and young men (ABYM)</v>
      </c>
      <c r="I297" s="15" t="str">
        <f t="shared" si="7"/>
        <v>MCI-01514</v>
      </c>
      <c r="J297" s="14" t="s">
        <v>643</v>
      </c>
      <c r="K297" s="20">
        <v>1440</v>
      </c>
    </row>
    <row r="298" spans="1:11" x14ac:dyDescent="0.25">
      <c r="A298" s="14" t="s">
        <v>1123</v>
      </c>
      <c r="B298" s="15" t="s">
        <v>1721</v>
      </c>
      <c r="C298" s="15" t="s">
        <v>1722</v>
      </c>
      <c r="D298" s="15"/>
      <c r="E298" s="14" t="s">
        <v>1723</v>
      </c>
      <c r="F298" s="15" t="str">
        <f t="shared" si="4"/>
        <v>MCI-01515</v>
      </c>
      <c r="G298" s="14" t="str">
        <f t="shared" si="5"/>
        <v>MCI-01302Pre-exposure prophylaxis (PrEP) programing for AGYW in high HIV incidence settings</v>
      </c>
      <c r="H298" s="14" t="str">
        <f t="shared" si="6"/>
        <v>MCI-01302Pre-exposure prophylaxis (PrEP) programing for AGYW in high HIV incidence settings</v>
      </c>
      <c r="I298" s="15" t="str">
        <f t="shared" si="7"/>
        <v>MCI-01515</v>
      </c>
      <c r="J298" s="14" t="s">
        <v>643</v>
      </c>
      <c r="K298" s="20">
        <v>1450</v>
      </c>
    </row>
    <row r="299" spans="1:11" x14ac:dyDescent="0.25">
      <c r="A299" s="14" t="s">
        <v>1123</v>
      </c>
      <c r="B299" s="15" t="s">
        <v>1724</v>
      </c>
      <c r="C299" s="15" t="s">
        <v>1725</v>
      </c>
      <c r="D299" s="15"/>
      <c r="E299" s="14" t="s">
        <v>1726</v>
      </c>
      <c r="F299" s="15" t="str">
        <f t="shared" si="4"/>
        <v>MCI-01516</v>
      </c>
      <c r="G299" s="14" t="str">
        <f t="shared" si="5"/>
        <v>MCI-01302Pre-exposure prophylaxis (PrEP) programing for male sexual partners of AGYW in high HIV incidence settings</v>
      </c>
      <c r="H299" s="14" t="str">
        <f t="shared" si="6"/>
        <v>MCI-01302Pre-exposure prophylaxis (PrEP) programing for male sexual partners of AGYW in high HIV incidence settings</v>
      </c>
      <c r="I299" s="15" t="str">
        <f t="shared" si="7"/>
        <v>MCI-01516</v>
      </c>
      <c r="J299" s="14" t="s">
        <v>643</v>
      </c>
      <c r="K299" s="20">
        <v>1460</v>
      </c>
    </row>
    <row r="300" spans="1:11" x14ac:dyDescent="0.25">
      <c r="A300" s="14" t="s">
        <v>1123</v>
      </c>
      <c r="B300" s="15" t="s">
        <v>1727</v>
      </c>
      <c r="C300" s="15" t="s">
        <v>1728</v>
      </c>
      <c r="D300" s="15"/>
      <c r="E300" s="14" t="s">
        <v>1729</v>
      </c>
      <c r="F300" s="15" t="str">
        <f t="shared" si="4"/>
        <v>MCI-01517</v>
      </c>
      <c r="G300" s="14" t="str">
        <f t="shared" si="5"/>
        <v>MCI-01302Sexual and reproductive health services, including STIs, hepatitis, post-violence care for AGYW and male sexual partners in high HIV incidence settings</v>
      </c>
      <c r="H300" s="14" t="str">
        <f t="shared" si="6"/>
        <v>MCI-01302Sexual and reproductive health services, including STIs, hepatitis, post-violence care for AGYW and male sexual partners in high HIV incidence settings</v>
      </c>
      <c r="I300" s="15" t="str">
        <f t="shared" si="7"/>
        <v>MCI-01517</v>
      </c>
      <c r="J300" s="14" t="s">
        <v>643</v>
      </c>
      <c r="K300" s="20">
        <v>1470</v>
      </c>
    </row>
    <row r="301" spans="1:11" x14ac:dyDescent="0.25">
      <c r="A301" s="14" t="s">
        <v>1123</v>
      </c>
      <c r="B301" s="15" t="s">
        <v>1730</v>
      </c>
      <c r="C301" s="15" t="s">
        <v>1731</v>
      </c>
      <c r="D301" s="15"/>
      <c r="E301" s="14" t="s">
        <v>1732</v>
      </c>
      <c r="F301" s="15" t="str">
        <f t="shared" si="4"/>
        <v>MCI-01518</v>
      </c>
      <c r="G301" s="14" t="str">
        <f t="shared" si="5"/>
        <v>MCI-01302Removing human rights-related barriers to prevention for AGYW in high HIV incidence settings</v>
      </c>
      <c r="H301" s="14" t="str">
        <f t="shared" si="6"/>
        <v>MCI-01302Removing human rights-related barriers to prevention for AGYW in high HIV incidence settings</v>
      </c>
      <c r="I301" s="15" t="str">
        <f t="shared" si="7"/>
        <v>MCI-01518</v>
      </c>
      <c r="J301" s="14" t="s">
        <v>643</v>
      </c>
      <c r="K301" s="20">
        <v>1480</v>
      </c>
    </row>
    <row r="302" spans="1:11" x14ac:dyDescent="0.25">
      <c r="A302" s="14" t="s">
        <v>1123</v>
      </c>
      <c r="B302" s="15" t="s">
        <v>1733</v>
      </c>
      <c r="C302" s="15" t="s">
        <v>1734</v>
      </c>
      <c r="D302" s="15"/>
      <c r="E302" s="14" t="s">
        <v>1735</v>
      </c>
      <c r="F302" s="15" t="str">
        <f t="shared" si="4"/>
        <v>MCI-01519</v>
      </c>
      <c r="G302" s="14" t="str">
        <f t="shared" si="5"/>
        <v>MCI-01302Social protection interventions for AGYW in high HIV incidence settings</v>
      </c>
      <c r="H302" s="14" t="str">
        <f t="shared" si="6"/>
        <v>MCI-01302Social protection interventions for AGYW in high HIV incidence settings</v>
      </c>
      <c r="I302" s="15" t="str">
        <f t="shared" si="7"/>
        <v>MCI-01519</v>
      </c>
      <c r="J302" s="14" t="s">
        <v>643</v>
      </c>
      <c r="K302" s="20">
        <v>1490</v>
      </c>
    </row>
    <row r="303" spans="1:11" x14ac:dyDescent="0.25">
      <c r="A303" s="14" t="s">
        <v>1123</v>
      </c>
      <c r="B303" s="15" t="s">
        <v>1736</v>
      </c>
      <c r="C303" s="15" t="s">
        <v>1737</v>
      </c>
      <c r="D303" s="15"/>
      <c r="E303" s="14" t="s">
        <v>1738</v>
      </c>
      <c r="F303" s="15" t="str">
        <f t="shared" si="4"/>
        <v>MCI-01520</v>
      </c>
      <c r="G303" s="14" t="str">
        <f t="shared" si="5"/>
        <v>MCI-01302Voluntary medical male circumcision</v>
      </c>
      <c r="H303" s="14" t="str">
        <f t="shared" si="6"/>
        <v>MCI-01302Voluntary medical male circumcision</v>
      </c>
      <c r="I303" s="15" t="str">
        <f t="shared" si="7"/>
        <v>MCI-01520</v>
      </c>
      <c r="J303" s="14" t="s">
        <v>643</v>
      </c>
      <c r="K303" s="20">
        <v>1500</v>
      </c>
    </row>
    <row r="304" spans="1:11" x14ac:dyDescent="0.25">
      <c r="A304" s="14" t="s">
        <v>1456</v>
      </c>
      <c r="B304" s="15" t="s">
        <v>1739</v>
      </c>
      <c r="C304" s="15" t="s">
        <v>1455</v>
      </c>
      <c r="D304" s="15"/>
      <c r="E304" s="14" t="s">
        <v>1740</v>
      </c>
      <c r="F304" s="15" t="str">
        <f t="shared" si="4"/>
        <v>MCI-01493</v>
      </c>
      <c r="G304" s="14" t="str">
        <f t="shared" si="5"/>
        <v>MCI-01303Prevention program stewardship</v>
      </c>
      <c r="H304" s="14" t="str">
        <f t="shared" si="6"/>
        <v>MCI-01303Prevention program stewardship</v>
      </c>
      <c r="I304" s="15" t="str">
        <f t="shared" si="7"/>
        <v>MCI-01493</v>
      </c>
      <c r="J304" s="14" t="s">
        <v>643</v>
      </c>
      <c r="K304" s="20">
        <v>1510</v>
      </c>
    </row>
    <row r="305" spans="1:11" x14ac:dyDescent="0.25">
      <c r="A305" s="14" t="s">
        <v>1136</v>
      </c>
      <c r="B305" s="15" t="s">
        <v>1741</v>
      </c>
      <c r="C305" s="15" t="s">
        <v>1742</v>
      </c>
      <c r="D305" s="15"/>
      <c r="E305" s="14" t="s">
        <v>1743</v>
      </c>
      <c r="F305" s="15" t="str">
        <f t="shared" si="4"/>
        <v>MCI-01349</v>
      </c>
      <c r="G305" s="14" t="str">
        <f t="shared" si="5"/>
        <v>MCI-01304Integrated testing of pregnant women for HIV, syphilis and hepatitis B</v>
      </c>
      <c r="H305" s="14" t="str">
        <f t="shared" si="6"/>
        <v>MCI-01304Integrated testing of pregnant women for HIV, syphilis and hepatitis B</v>
      </c>
      <c r="I305" s="15" t="str">
        <f t="shared" si="7"/>
        <v>MCI-01349</v>
      </c>
      <c r="J305" s="14" t="s">
        <v>643</v>
      </c>
      <c r="K305" s="20">
        <v>1520</v>
      </c>
    </row>
    <row r="306" spans="1:11" x14ac:dyDescent="0.25">
      <c r="A306" s="14" t="s">
        <v>1136</v>
      </c>
      <c r="B306" s="15" t="s">
        <v>1744</v>
      </c>
      <c r="C306" s="15" t="s">
        <v>1745</v>
      </c>
      <c r="D306" s="15"/>
      <c r="E306" s="14" t="s">
        <v>1746</v>
      </c>
      <c r="F306" s="15" t="str">
        <f t="shared" si="4"/>
        <v>MCI-01350</v>
      </c>
      <c r="G306" s="14" t="str">
        <f t="shared" si="5"/>
        <v>MCI-01304Prevention of incident HIV among pregnant and breastfeeding women</v>
      </c>
      <c r="H306" s="14" t="str">
        <f t="shared" si="6"/>
        <v>MCI-01304Prevention of incident HIV among pregnant and breastfeeding women</v>
      </c>
      <c r="I306" s="15" t="str">
        <f t="shared" si="7"/>
        <v>MCI-01350</v>
      </c>
      <c r="J306" s="14" t="s">
        <v>643</v>
      </c>
      <c r="K306" s="20">
        <v>1530</v>
      </c>
    </row>
    <row r="307" spans="1:11" x14ac:dyDescent="0.25">
      <c r="A307" s="14" t="s">
        <v>1136</v>
      </c>
      <c r="B307" s="15" t="s">
        <v>1747</v>
      </c>
      <c r="C307" s="15" t="s">
        <v>1748</v>
      </c>
      <c r="D307" s="15"/>
      <c r="E307" s="14" t="s">
        <v>1749</v>
      </c>
      <c r="F307" s="15" t="str">
        <f t="shared" si="4"/>
        <v>MCI-01351</v>
      </c>
      <c r="G307" s="14" t="str">
        <f t="shared" si="5"/>
        <v>MCI-01304Post-natal infant prophylaxis</v>
      </c>
      <c r="H307" s="14" t="str">
        <f t="shared" si="6"/>
        <v>MCI-01304Post-natal infant prophylaxis</v>
      </c>
      <c r="I307" s="15" t="str">
        <f t="shared" si="7"/>
        <v>MCI-01351</v>
      </c>
      <c r="J307" s="14" t="s">
        <v>643</v>
      </c>
      <c r="K307" s="20">
        <v>1540</v>
      </c>
    </row>
    <row r="308" spans="1:11" x14ac:dyDescent="0.25">
      <c r="A308" s="14" t="s">
        <v>1136</v>
      </c>
      <c r="B308" s="15" t="s">
        <v>1750</v>
      </c>
      <c r="C308" s="15" t="s">
        <v>1751</v>
      </c>
      <c r="D308" s="15"/>
      <c r="E308" s="14" t="s">
        <v>1752</v>
      </c>
      <c r="F308" s="15" t="str">
        <f t="shared" si="4"/>
        <v>MCI-01352</v>
      </c>
      <c r="G308" s="14" t="str">
        <f t="shared" si="5"/>
        <v>MCI-01304Early infant diagnosis and follow-up HIV testing for exposed infants</v>
      </c>
      <c r="H308" s="14" t="str">
        <f t="shared" si="6"/>
        <v>MCI-01304Early infant diagnosis and follow-up HIV testing for exposed infants</v>
      </c>
      <c r="I308" s="15" t="str">
        <f t="shared" si="7"/>
        <v>MCI-01352</v>
      </c>
      <c r="J308" s="14" t="s">
        <v>643</v>
      </c>
      <c r="K308" s="20">
        <v>1550</v>
      </c>
    </row>
    <row r="309" spans="1:11" x14ac:dyDescent="0.25">
      <c r="A309" s="14" t="s">
        <v>1136</v>
      </c>
      <c r="B309" s="15" t="s">
        <v>1753</v>
      </c>
      <c r="C309" s="15" t="s">
        <v>1754</v>
      </c>
      <c r="D309" s="15"/>
      <c r="E309" s="14" t="s">
        <v>1755</v>
      </c>
      <c r="F309" s="15" t="str">
        <f t="shared" si="4"/>
        <v>MCI-01353</v>
      </c>
      <c r="G309" s="14" t="str">
        <f t="shared" si="5"/>
        <v>MCI-01304Retention support for pregnant and breastfeeding women (facility and community)</v>
      </c>
      <c r="H309" s="14" t="str">
        <f t="shared" si="6"/>
        <v>MCI-01304Retention support for pregnant and breastfeeding women (facility and community)</v>
      </c>
      <c r="I309" s="15" t="str">
        <f t="shared" si="7"/>
        <v>MCI-01353</v>
      </c>
      <c r="J309" s="14" t="s">
        <v>643</v>
      </c>
      <c r="K309" s="20">
        <v>1560</v>
      </c>
    </row>
    <row r="310" spans="1:11" x14ac:dyDescent="0.25">
      <c r="A310" s="14" t="s">
        <v>1147</v>
      </c>
      <c r="B310" s="15" t="s">
        <v>1756</v>
      </c>
      <c r="C310" s="15" t="s">
        <v>1757</v>
      </c>
      <c r="D310" s="15"/>
      <c r="E310" s="14" t="s">
        <v>1758</v>
      </c>
      <c r="F310" s="15" t="str">
        <f t="shared" si="4"/>
        <v>MCI-01450</v>
      </c>
      <c r="G310" s="14" t="str">
        <f t="shared" si="5"/>
        <v>MCI-01305Facility-based testing for key population (KP) programs</v>
      </c>
      <c r="H310" s="14" t="str">
        <f t="shared" si="6"/>
        <v>MCI-01305Facility-based testing for key population (KP) programs</v>
      </c>
      <c r="I310" s="15" t="str">
        <f t="shared" si="7"/>
        <v>MCI-01450</v>
      </c>
      <c r="J310" s="14" t="s">
        <v>643</v>
      </c>
      <c r="K310" s="20">
        <v>1570</v>
      </c>
    </row>
    <row r="311" spans="1:11" x14ac:dyDescent="0.25">
      <c r="A311" s="14" t="s">
        <v>1147</v>
      </c>
      <c r="B311" s="15" t="s">
        <v>1759</v>
      </c>
      <c r="C311" s="15" t="s">
        <v>1760</v>
      </c>
      <c r="D311" s="15"/>
      <c r="E311" s="14" t="s">
        <v>1761</v>
      </c>
      <c r="F311" s="15" t="str">
        <f t="shared" si="4"/>
        <v>MCI-01451</v>
      </c>
      <c r="G311" s="14" t="str">
        <f t="shared" si="5"/>
        <v>MCI-01305Facility-based testing for adolescent girls and young women (AGYW) and their male sexual partners programs</v>
      </c>
      <c r="H311" s="14" t="str">
        <f t="shared" si="6"/>
        <v>MCI-01305Facility-based testing for adolescent girls and young women (AGYW) and their male sexual partners programs</v>
      </c>
      <c r="I311" s="15" t="str">
        <f t="shared" si="7"/>
        <v>MCI-01451</v>
      </c>
      <c r="J311" s="14" t="s">
        <v>643</v>
      </c>
      <c r="K311" s="20">
        <v>1580</v>
      </c>
    </row>
    <row r="312" spans="1:11" x14ac:dyDescent="0.25">
      <c r="A312" s="14" t="s">
        <v>1147</v>
      </c>
      <c r="B312" s="15" t="s">
        <v>1762</v>
      </c>
      <c r="C312" s="15" t="s">
        <v>1763</v>
      </c>
      <c r="D312" s="15"/>
      <c r="E312" s="14" t="s">
        <v>1764</v>
      </c>
      <c r="F312" s="15" t="str">
        <f t="shared" si="4"/>
        <v>MCI-01452</v>
      </c>
      <c r="G312" s="14" t="str">
        <f t="shared" si="5"/>
        <v>MCI-01305Facility-based testing outside of key population (KP) and adolescent girls and young women (AGYW) programs</v>
      </c>
      <c r="H312" s="14" t="str">
        <f t="shared" si="6"/>
        <v>MCI-01305Facility-based testing outside of key population (KP) and adolescent girls and young women (AGYW) programs</v>
      </c>
      <c r="I312" s="15" t="str">
        <f t="shared" si="7"/>
        <v>MCI-01452</v>
      </c>
      <c r="J312" s="14" t="s">
        <v>643</v>
      </c>
      <c r="K312" s="20">
        <v>1590</v>
      </c>
    </row>
    <row r="313" spans="1:11" x14ac:dyDescent="0.25">
      <c r="A313" s="14" t="s">
        <v>1147</v>
      </c>
      <c r="B313" s="15" t="s">
        <v>1765</v>
      </c>
      <c r="C313" s="15" t="s">
        <v>1766</v>
      </c>
      <c r="D313" s="15"/>
      <c r="E313" s="14" t="s">
        <v>1767</v>
      </c>
      <c r="F313" s="15" t="str">
        <f t="shared" si="4"/>
        <v>MCI-01453</v>
      </c>
      <c r="G313" s="14" t="str">
        <f t="shared" si="5"/>
        <v>MCI-01305Community-based testing for KP programs</v>
      </c>
      <c r="H313" s="14" t="str">
        <f t="shared" si="6"/>
        <v>MCI-01305Community-based testing for KP programs</v>
      </c>
      <c r="I313" s="15" t="str">
        <f t="shared" si="7"/>
        <v>MCI-01453</v>
      </c>
      <c r="J313" s="14" t="s">
        <v>643</v>
      </c>
      <c r="K313" s="20">
        <v>1600</v>
      </c>
    </row>
    <row r="314" spans="1:11" x14ac:dyDescent="0.25">
      <c r="A314" s="14" t="s">
        <v>1147</v>
      </c>
      <c r="B314" s="15" t="s">
        <v>1768</v>
      </c>
      <c r="C314" s="15" t="s">
        <v>1769</v>
      </c>
      <c r="D314" s="15"/>
      <c r="E314" s="14" t="s">
        <v>1770</v>
      </c>
      <c r="F314" s="15" t="str">
        <f t="shared" si="4"/>
        <v>MCI-01454</v>
      </c>
      <c r="G314" s="14" t="str">
        <f t="shared" si="5"/>
        <v>MCI-01305Community-based testing for AGYW and their male sexual partners programs</v>
      </c>
      <c r="H314" s="14" t="str">
        <f t="shared" si="6"/>
        <v>MCI-01305Community-based testing for AGYW and their male sexual partners programs</v>
      </c>
      <c r="I314" s="15" t="str">
        <f t="shared" si="7"/>
        <v>MCI-01454</v>
      </c>
      <c r="J314" s="14" t="s">
        <v>643</v>
      </c>
      <c r="K314" s="20">
        <v>1610</v>
      </c>
    </row>
    <row r="315" spans="1:11" x14ac:dyDescent="0.25">
      <c r="A315" s="14" t="s">
        <v>1147</v>
      </c>
      <c r="B315" s="15" t="s">
        <v>1771</v>
      </c>
      <c r="C315" s="15" t="s">
        <v>1772</v>
      </c>
      <c r="D315" s="15"/>
      <c r="E315" s="14" t="s">
        <v>1773</v>
      </c>
      <c r="F315" s="15" t="str">
        <f t="shared" si="4"/>
        <v>MCI-01455</v>
      </c>
      <c r="G315" s="14" t="str">
        <f t="shared" si="5"/>
        <v>MCI-01305Community-based testing outside of KP and AGYW programs</v>
      </c>
      <c r="H315" s="14" t="str">
        <f t="shared" si="6"/>
        <v>MCI-01305Community-based testing outside of KP and AGYW programs</v>
      </c>
      <c r="I315" s="15" t="str">
        <f t="shared" si="7"/>
        <v>MCI-01455</v>
      </c>
      <c r="J315" s="14" t="s">
        <v>643</v>
      </c>
      <c r="K315" s="20">
        <v>1620</v>
      </c>
    </row>
    <row r="316" spans="1:11" x14ac:dyDescent="0.25">
      <c r="A316" s="14" t="s">
        <v>1147</v>
      </c>
      <c r="B316" s="15" t="s">
        <v>1774</v>
      </c>
      <c r="C316" s="15" t="s">
        <v>1775</v>
      </c>
      <c r="D316" s="15"/>
      <c r="E316" s="14" t="s">
        <v>1776</v>
      </c>
      <c r="F316" s="15" t="str">
        <f t="shared" si="4"/>
        <v>MCI-01456</v>
      </c>
      <c r="G316" s="14" t="str">
        <f t="shared" si="5"/>
        <v>MCI-01305Self-testing for KP programs</v>
      </c>
      <c r="H316" s="14" t="str">
        <f t="shared" si="6"/>
        <v>MCI-01305Self-testing for KP programs</v>
      </c>
      <c r="I316" s="15" t="str">
        <f t="shared" si="7"/>
        <v>MCI-01456</v>
      </c>
      <c r="J316" s="14" t="s">
        <v>643</v>
      </c>
      <c r="K316" s="20">
        <v>1630</v>
      </c>
    </row>
    <row r="317" spans="1:11" x14ac:dyDescent="0.25">
      <c r="A317" s="14" t="s">
        <v>1147</v>
      </c>
      <c r="B317" s="15" t="s">
        <v>1777</v>
      </c>
      <c r="C317" s="15" t="s">
        <v>1778</v>
      </c>
      <c r="D317" s="15"/>
      <c r="E317" s="14" t="s">
        <v>1779</v>
      </c>
      <c r="F317" s="15" t="str">
        <f t="shared" si="4"/>
        <v>MCI-01457</v>
      </c>
      <c r="G317" s="14" t="str">
        <f t="shared" si="5"/>
        <v>MCI-01305Self-testing for AGYW and their male sexual partners programs</v>
      </c>
      <c r="H317" s="14" t="str">
        <f t="shared" si="6"/>
        <v>MCI-01305Self-testing for AGYW and their male sexual partners programs</v>
      </c>
      <c r="I317" s="15" t="str">
        <f t="shared" si="7"/>
        <v>MCI-01457</v>
      </c>
      <c r="J317" s="14" t="s">
        <v>643</v>
      </c>
      <c r="K317" s="20">
        <v>1640</v>
      </c>
    </row>
    <row r="318" spans="1:11" x14ac:dyDescent="0.25">
      <c r="A318" s="14" t="s">
        <v>1147</v>
      </c>
      <c r="B318" s="15" t="s">
        <v>1780</v>
      </c>
      <c r="C318" s="15" t="s">
        <v>1781</v>
      </c>
      <c r="D318" s="15"/>
      <c r="E318" s="14" t="s">
        <v>1782</v>
      </c>
      <c r="F318" s="15" t="str">
        <f t="shared" ref="F318:F381" si="8">B318</f>
        <v>MCI-01458</v>
      </c>
      <c r="G318" s="14" t="str">
        <f t="shared" ref="G318:G381" si="9">A318&amp;C318</f>
        <v>MCI-01305Self-testing outside of KP and AGYW programs</v>
      </c>
      <c r="H318" s="14" t="str">
        <f t="shared" ref="H318:H381" si="10">A318&amp;C318</f>
        <v>MCI-01305Self-testing outside of KP and AGYW programs</v>
      </c>
      <c r="I318" s="15" t="str">
        <f t="shared" ref="I318:I381" si="11">F318</f>
        <v>MCI-01458</v>
      </c>
      <c r="J318" s="14" t="s">
        <v>643</v>
      </c>
      <c r="K318" s="20">
        <v>1650</v>
      </c>
    </row>
    <row r="319" spans="1:11" x14ac:dyDescent="0.25">
      <c r="A319" s="14" t="s">
        <v>1180</v>
      </c>
      <c r="B319" s="15" t="s">
        <v>1783</v>
      </c>
      <c r="C319" s="15" t="s">
        <v>1784</v>
      </c>
      <c r="D319" s="15"/>
      <c r="E319" s="14" t="s">
        <v>1785</v>
      </c>
      <c r="F319" s="15" t="str">
        <f t="shared" si="8"/>
        <v>MCI-01354</v>
      </c>
      <c r="G319" s="14" t="str">
        <f t="shared" si="9"/>
        <v>MCI-01306HIV treatment and differentiated service delivery - adults (15 and above)</v>
      </c>
      <c r="H319" s="14" t="str">
        <f t="shared" si="10"/>
        <v>MCI-01306HIV treatment and differentiated service delivery - adults (15 and above)</v>
      </c>
      <c r="I319" s="15" t="str">
        <f t="shared" si="11"/>
        <v>MCI-01354</v>
      </c>
      <c r="J319" s="14" t="s">
        <v>643</v>
      </c>
      <c r="K319" s="20">
        <v>1660</v>
      </c>
    </row>
    <row r="320" spans="1:11" x14ac:dyDescent="0.25">
      <c r="A320" s="14" t="s">
        <v>1180</v>
      </c>
      <c r="B320" s="15" t="s">
        <v>1786</v>
      </c>
      <c r="C320" s="15" t="s">
        <v>1787</v>
      </c>
      <c r="D320" s="15"/>
      <c r="E320" s="14" t="s">
        <v>1788</v>
      </c>
      <c r="F320" s="15" t="str">
        <f t="shared" si="8"/>
        <v>MCI-01355</v>
      </c>
      <c r="G320" s="14" t="str">
        <f t="shared" si="9"/>
        <v>MCI-01306HIV treatment and differentiated service delivery - children (under 15)</v>
      </c>
      <c r="H320" s="14" t="str">
        <f t="shared" si="10"/>
        <v>MCI-01306HIV treatment and differentiated service delivery - children (under 15)</v>
      </c>
      <c r="I320" s="15" t="str">
        <f t="shared" si="11"/>
        <v>MCI-01355</v>
      </c>
      <c r="J320" s="14" t="s">
        <v>643</v>
      </c>
      <c r="K320" s="20">
        <v>1670</v>
      </c>
    </row>
    <row r="321" spans="1:11" x14ac:dyDescent="0.25">
      <c r="A321" s="14" t="s">
        <v>1180</v>
      </c>
      <c r="B321" s="15" t="s">
        <v>1789</v>
      </c>
      <c r="C321" s="15" t="s">
        <v>1790</v>
      </c>
      <c r="D321" s="15"/>
      <c r="E321" s="14" t="s">
        <v>1791</v>
      </c>
      <c r="F321" s="15" t="str">
        <f t="shared" si="8"/>
        <v>MCI-01356</v>
      </c>
      <c r="G321" s="14" t="str">
        <f t="shared" si="9"/>
        <v>MCI-01306Treatment monitoring - Drug resistance</v>
      </c>
      <c r="H321" s="14" t="str">
        <f t="shared" si="10"/>
        <v>MCI-01306Treatment monitoring - Drug resistance</v>
      </c>
      <c r="I321" s="15" t="str">
        <f t="shared" si="11"/>
        <v>MCI-01356</v>
      </c>
      <c r="J321" s="14" t="s">
        <v>643</v>
      </c>
      <c r="K321" s="20">
        <v>1680</v>
      </c>
    </row>
    <row r="322" spans="1:11" x14ac:dyDescent="0.25">
      <c r="A322" s="14" t="s">
        <v>1180</v>
      </c>
      <c r="B322" s="15" t="s">
        <v>1792</v>
      </c>
      <c r="C322" s="15" t="s">
        <v>1793</v>
      </c>
      <c r="D322" s="15"/>
      <c r="E322" s="14" t="s">
        <v>1794</v>
      </c>
      <c r="F322" s="15" t="str">
        <f t="shared" si="8"/>
        <v>MCI-01357</v>
      </c>
      <c r="G322" s="14" t="str">
        <f t="shared" si="9"/>
        <v>MCI-01306Treatment monitoring - Viral load and antiretroviral (ARV) toxicity</v>
      </c>
      <c r="H322" s="14" t="str">
        <f t="shared" si="10"/>
        <v>MCI-01306Treatment monitoring - Viral load and antiretroviral (ARV) toxicity</v>
      </c>
      <c r="I322" s="15" t="str">
        <f t="shared" si="11"/>
        <v>MCI-01357</v>
      </c>
      <c r="J322" s="14" t="s">
        <v>643</v>
      </c>
      <c r="K322" s="20">
        <v>1690</v>
      </c>
    </row>
    <row r="323" spans="1:11" x14ac:dyDescent="0.25">
      <c r="A323" s="14" t="s">
        <v>1180</v>
      </c>
      <c r="B323" s="15" t="s">
        <v>1795</v>
      </c>
      <c r="C323" s="15" t="s">
        <v>1796</v>
      </c>
      <c r="D323" s="15"/>
      <c r="E323" s="14" t="s">
        <v>1797</v>
      </c>
      <c r="F323" s="15" t="str">
        <f t="shared" si="8"/>
        <v>MCI-01358</v>
      </c>
      <c r="G323" s="14" t="str">
        <f t="shared" si="9"/>
        <v>MCI-01306Integrated management of common co-infections and co-morbidities (adults and children)</v>
      </c>
      <c r="H323" s="14" t="str">
        <f t="shared" si="10"/>
        <v>MCI-01306Integrated management of common co-infections and co-morbidities (adults and children)</v>
      </c>
      <c r="I323" s="15" t="str">
        <f t="shared" si="11"/>
        <v>MCI-01358</v>
      </c>
      <c r="J323" s="14" t="s">
        <v>643</v>
      </c>
      <c r="K323" s="20">
        <v>1700</v>
      </c>
    </row>
    <row r="324" spans="1:11" x14ac:dyDescent="0.25">
      <c r="A324" s="14" t="s">
        <v>1180</v>
      </c>
      <c r="B324" s="15" t="s">
        <v>1798</v>
      </c>
      <c r="C324" s="15" t="s">
        <v>1799</v>
      </c>
      <c r="D324" s="15"/>
      <c r="E324" s="14" t="s">
        <v>1800</v>
      </c>
      <c r="F324" s="15" t="str">
        <f t="shared" si="8"/>
        <v>MCI-01359</v>
      </c>
      <c r="G324" s="14" t="str">
        <f t="shared" si="9"/>
        <v>MCI-01306Diagnosis and management of advanced disease (adults and children)</v>
      </c>
      <c r="H324" s="14" t="str">
        <f t="shared" si="10"/>
        <v>MCI-01306Diagnosis and management of advanced disease (adults and children)</v>
      </c>
      <c r="I324" s="15" t="str">
        <f t="shared" si="11"/>
        <v>MCI-01359</v>
      </c>
      <c r="J324" s="14" t="s">
        <v>643</v>
      </c>
      <c r="K324" s="20">
        <v>1710</v>
      </c>
    </row>
    <row r="325" spans="1:11" x14ac:dyDescent="0.25">
      <c r="A325" s="14" t="s">
        <v>1471</v>
      </c>
      <c r="B325" s="15" t="s">
        <v>1801</v>
      </c>
      <c r="C325" s="15" t="s">
        <v>1802</v>
      </c>
      <c r="D325" s="15"/>
      <c r="E325" s="14" t="s">
        <v>1803</v>
      </c>
      <c r="F325" s="15" t="str">
        <f t="shared" si="8"/>
        <v>MCI-01465</v>
      </c>
      <c r="G325" s="14" t="str">
        <f t="shared" si="9"/>
        <v>MCI-01307Eliminating stigma and discrimination in all settings</v>
      </c>
      <c r="H325" s="14" t="str">
        <f t="shared" si="10"/>
        <v>MCI-01307Eliminating stigma and discrimination in all settings</v>
      </c>
      <c r="I325" s="15" t="str">
        <f t="shared" si="11"/>
        <v>MCI-01465</v>
      </c>
      <c r="J325" s="14" t="s">
        <v>643</v>
      </c>
      <c r="K325" s="20">
        <v>1780</v>
      </c>
    </row>
    <row r="326" spans="1:11" x14ac:dyDescent="0.25">
      <c r="A326" s="14" t="s">
        <v>1471</v>
      </c>
      <c r="B326" s="15" t="s">
        <v>1804</v>
      </c>
      <c r="C326" s="15" t="s">
        <v>1805</v>
      </c>
      <c r="D326" s="15"/>
      <c r="E326" s="14" t="s">
        <v>1806</v>
      </c>
      <c r="F326" s="15" t="str">
        <f t="shared" si="8"/>
        <v>MCI-01466</v>
      </c>
      <c r="G326" s="14" t="str">
        <f t="shared" si="9"/>
        <v>MCI-01307Legal literacy (“Know Your Rights”) (HIV/TB)</v>
      </c>
      <c r="H326" s="14" t="str">
        <f t="shared" si="10"/>
        <v>MCI-01307Legal literacy (“Know Your Rights”) (HIV/TB)</v>
      </c>
      <c r="I326" s="15" t="str">
        <f t="shared" si="11"/>
        <v>MCI-01466</v>
      </c>
      <c r="J326" s="14" t="s">
        <v>643</v>
      </c>
      <c r="K326" s="20">
        <v>1790</v>
      </c>
    </row>
    <row r="327" spans="1:11" x14ac:dyDescent="0.25">
      <c r="A327" s="14" t="s">
        <v>1471</v>
      </c>
      <c r="B327" s="15" t="s">
        <v>1807</v>
      </c>
      <c r="C327" s="15" t="s">
        <v>1808</v>
      </c>
      <c r="D327" s="15"/>
      <c r="E327" s="14" t="s">
        <v>1809</v>
      </c>
      <c r="F327" s="15" t="str">
        <f t="shared" si="8"/>
        <v>MCI-01467</v>
      </c>
      <c r="G327" s="14" t="str">
        <f t="shared" si="9"/>
        <v>MCI-01307Ensuring nondiscriminatory provision of health care</v>
      </c>
      <c r="H327" s="14" t="str">
        <f t="shared" si="10"/>
        <v>MCI-01307Ensuring nondiscriminatory provision of health care</v>
      </c>
      <c r="I327" s="15" t="str">
        <f t="shared" si="11"/>
        <v>MCI-01467</v>
      </c>
      <c r="J327" s="14" t="s">
        <v>643</v>
      </c>
      <c r="K327" s="20">
        <v>1800</v>
      </c>
    </row>
    <row r="328" spans="1:11" x14ac:dyDescent="0.25">
      <c r="A328" s="14" t="s">
        <v>1471</v>
      </c>
      <c r="B328" s="15" t="s">
        <v>1810</v>
      </c>
      <c r="C328" s="15" t="s">
        <v>1811</v>
      </c>
      <c r="D328" s="15"/>
      <c r="E328" s="14" t="s">
        <v>1812</v>
      </c>
      <c r="F328" s="15" t="str">
        <f t="shared" si="8"/>
        <v>MCI-01468</v>
      </c>
      <c r="G328" s="14" t="str">
        <f t="shared" si="9"/>
        <v>MCI-01307Increasing access to justice (HIV/TB)</v>
      </c>
      <c r="H328" s="14" t="str">
        <f t="shared" si="10"/>
        <v>MCI-01307Increasing access to justice (HIV/TB)</v>
      </c>
      <c r="I328" s="15" t="str">
        <f t="shared" si="11"/>
        <v>MCI-01468</v>
      </c>
      <c r="J328" s="14" t="s">
        <v>643</v>
      </c>
      <c r="K328" s="20">
        <v>1810</v>
      </c>
    </row>
    <row r="329" spans="1:11" x14ac:dyDescent="0.25">
      <c r="A329" s="14" t="s">
        <v>1471</v>
      </c>
      <c r="B329" s="15" t="s">
        <v>1813</v>
      </c>
      <c r="C329" s="15" t="s">
        <v>1814</v>
      </c>
      <c r="D329" s="15"/>
      <c r="E329" s="14" t="s">
        <v>1815</v>
      </c>
      <c r="F329" s="15" t="str">
        <f t="shared" si="8"/>
        <v>MCI-01469</v>
      </c>
      <c r="G329" s="14" t="str">
        <f t="shared" si="9"/>
        <v>MCI-01307Ensuring rights-based law enforcement practices</v>
      </c>
      <c r="H329" s="14" t="str">
        <f t="shared" si="10"/>
        <v>MCI-01307Ensuring rights-based law enforcement practices</v>
      </c>
      <c r="I329" s="15" t="str">
        <f t="shared" si="11"/>
        <v>MCI-01469</v>
      </c>
      <c r="J329" s="14" t="s">
        <v>643</v>
      </c>
      <c r="K329" s="20">
        <v>1820</v>
      </c>
    </row>
    <row r="330" spans="1:11" x14ac:dyDescent="0.25">
      <c r="A330" s="14" t="s">
        <v>1471</v>
      </c>
      <c r="B330" s="15" t="s">
        <v>1816</v>
      </c>
      <c r="C330" s="15" t="s">
        <v>1817</v>
      </c>
      <c r="D330" s="15"/>
      <c r="E330" s="14" t="s">
        <v>1818</v>
      </c>
      <c r="F330" s="15" t="str">
        <f t="shared" si="8"/>
        <v>MCI-01470</v>
      </c>
      <c r="G330" s="14" t="str">
        <f t="shared" si="9"/>
        <v>MCI-01307Improving laws, regulations and polices relating to HIV and HIV/TB</v>
      </c>
      <c r="H330" s="14" t="str">
        <f t="shared" si="10"/>
        <v>MCI-01307Improving laws, regulations and polices relating to HIV and HIV/TB</v>
      </c>
      <c r="I330" s="15" t="str">
        <f t="shared" si="11"/>
        <v>MCI-01470</v>
      </c>
      <c r="J330" s="14" t="s">
        <v>643</v>
      </c>
      <c r="K330" s="20">
        <v>1830</v>
      </c>
    </row>
    <row r="331" spans="1:11" x14ac:dyDescent="0.25">
      <c r="A331" s="14" t="s">
        <v>1471</v>
      </c>
      <c r="B331" s="15" t="s">
        <v>1819</v>
      </c>
      <c r="C331" s="15" t="s">
        <v>1820</v>
      </c>
      <c r="D331" s="15"/>
      <c r="E331" s="14" t="s">
        <v>1821</v>
      </c>
      <c r="F331" s="15" t="str">
        <f t="shared" si="8"/>
        <v>MCI-01471</v>
      </c>
      <c r="G331" s="14" t="str">
        <f t="shared" si="9"/>
        <v>MCI-01307Reducing HIV-related gender discrimination, harmful gender norms and violence against women and girls in all their diversity</v>
      </c>
      <c r="H331" s="14" t="str">
        <f t="shared" si="10"/>
        <v>MCI-01307Reducing HIV-related gender discrimination, harmful gender norms and violence against women and girls in all their diversity</v>
      </c>
      <c r="I331" s="15" t="str">
        <f t="shared" si="11"/>
        <v>MCI-01471</v>
      </c>
      <c r="J331" s="14" t="s">
        <v>643</v>
      </c>
      <c r="K331" s="20">
        <v>1840</v>
      </c>
    </row>
    <row r="332" spans="1:11" x14ac:dyDescent="0.25">
      <c r="A332" s="14" t="s">
        <v>1471</v>
      </c>
      <c r="B332" s="15" t="s">
        <v>1822</v>
      </c>
      <c r="C332" s="15" t="s">
        <v>1823</v>
      </c>
      <c r="D332" s="15"/>
      <c r="E332" s="14" t="s">
        <v>1824</v>
      </c>
      <c r="F332" s="15" t="str">
        <f t="shared" si="8"/>
        <v>MCI-01472</v>
      </c>
      <c r="G332" s="14" t="str">
        <f t="shared" si="9"/>
        <v>MCI-01307Community mobilization and advocacy for human rights</v>
      </c>
      <c r="H332" s="14" t="str">
        <f t="shared" si="10"/>
        <v>MCI-01307Community mobilization and advocacy for human rights</v>
      </c>
      <c r="I332" s="15" t="str">
        <f t="shared" si="11"/>
        <v>MCI-01472</v>
      </c>
      <c r="J332" s="14" t="s">
        <v>643</v>
      </c>
      <c r="K332" s="20">
        <v>1850</v>
      </c>
    </row>
    <row r="333" spans="1:11" x14ac:dyDescent="0.25">
      <c r="A333" s="14" t="s">
        <v>1199</v>
      </c>
      <c r="B333" s="15" t="s">
        <v>1825</v>
      </c>
      <c r="C333" s="15" t="s">
        <v>1826</v>
      </c>
      <c r="D333" s="15"/>
      <c r="E333" s="14" t="s">
        <v>1827</v>
      </c>
      <c r="F333" s="15" t="str">
        <f t="shared" si="8"/>
        <v>MCI-01360</v>
      </c>
      <c r="G333" s="14" t="str">
        <f t="shared" si="9"/>
        <v>MCI-01308TB screening and diagnosis</v>
      </c>
      <c r="H333" s="14" t="str">
        <f t="shared" si="10"/>
        <v>MCI-01308TB screening and diagnosis</v>
      </c>
      <c r="I333" s="15" t="str">
        <f t="shared" si="11"/>
        <v>MCI-01360</v>
      </c>
      <c r="J333" s="14" t="s">
        <v>643</v>
      </c>
      <c r="K333" s="20">
        <v>2010</v>
      </c>
    </row>
    <row r="334" spans="1:11" x14ac:dyDescent="0.25">
      <c r="A334" s="14" t="s">
        <v>1199</v>
      </c>
      <c r="B334" s="15" t="s">
        <v>1828</v>
      </c>
      <c r="C334" s="15" t="s">
        <v>1829</v>
      </c>
      <c r="D334" s="15"/>
      <c r="E334" s="14" t="s">
        <v>1830</v>
      </c>
      <c r="F334" s="15" t="str">
        <f t="shared" si="8"/>
        <v>MCI-01361</v>
      </c>
      <c r="G334" s="14" t="str">
        <f t="shared" si="9"/>
        <v>MCI-01308TB treatment, care and support</v>
      </c>
      <c r="H334" s="14" t="str">
        <f t="shared" si="10"/>
        <v>MCI-01308TB treatment, care and support</v>
      </c>
      <c r="I334" s="15" t="str">
        <f t="shared" si="11"/>
        <v>MCI-01361</v>
      </c>
      <c r="J334" s="14" t="s">
        <v>643</v>
      </c>
      <c r="K334" s="20">
        <v>2020</v>
      </c>
    </row>
    <row r="335" spans="1:11" x14ac:dyDescent="0.25">
      <c r="A335" s="14" t="s">
        <v>1221</v>
      </c>
      <c r="B335" s="15" t="s">
        <v>1831</v>
      </c>
      <c r="C335" s="15" t="s">
        <v>1832</v>
      </c>
      <c r="D335" s="15"/>
      <c r="E335" s="14" t="s">
        <v>1833</v>
      </c>
      <c r="F335" s="15" t="str">
        <f t="shared" si="8"/>
        <v>MCI-01368</v>
      </c>
      <c r="G335" s="14" t="str">
        <f t="shared" si="9"/>
        <v>MCI-01309DR-TB diagnosis/drug susceptibility testing (DST)</v>
      </c>
      <c r="H335" s="14" t="str">
        <f t="shared" si="10"/>
        <v>MCI-01309DR-TB diagnosis/drug susceptibility testing (DST)</v>
      </c>
      <c r="I335" s="15" t="str">
        <f t="shared" si="11"/>
        <v>MCI-01368</v>
      </c>
      <c r="J335" s="14" t="s">
        <v>643</v>
      </c>
      <c r="K335" s="20">
        <v>2030</v>
      </c>
    </row>
    <row r="336" spans="1:11" x14ac:dyDescent="0.25">
      <c r="A336" s="14" t="s">
        <v>1221</v>
      </c>
      <c r="B336" s="15" t="s">
        <v>1834</v>
      </c>
      <c r="C336" s="15" t="s">
        <v>1835</v>
      </c>
      <c r="D336" s="15"/>
      <c r="E336" s="14" t="s">
        <v>1836</v>
      </c>
      <c r="F336" s="15" t="str">
        <f t="shared" si="8"/>
        <v>MCI-01369</v>
      </c>
      <c r="G336" s="14" t="str">
        <f t="shared" si="9"/>
        <v>MCI-01309DR-TB treatment, care and support</v>
      </c>
      <c r="H336" s="14" t="str">
        <f t="shared" si="10"/>
        <v>MCI-01309DR-TB treatment, care and support</v>
      </c>
      <c r="I336" s="15" t="str">
        <f t="shared" si="11"/>
        <v>MCI-01369</v>
      </c>
      <c r="J336" s="14" t="s">
        <v>643</v>
      </c>
      <c r="K336" s="20">
        <v>2040</v>
      </c>
    </row>
    <row r="337" spans="1:11" x14ac:dyDescent="0.25">
      <c r="A337" s="14" t="s">
        <v>1258</v>
      </c>
      <c r="B337" s="15" t="s">
        <v>1837</v>
      </c>
      <c r="C337" s="15" t="s">
        <v>1838</v>
      </c>
      <c r="D337" s="15"/>
      <c r="E337" s="14" t="s">
        <v>1839</v>
      </c>
      <c r="F337" s="15" t="str">
        <f t="shared" si="8"/>
        <v>MCI-01507</v>
      </c>
      <c r="G337" s="14" t="str">
        <f t="shared" si="9"/>
        <v>MCI-01310Screening/testing for TB infection</v>
      </c>
      <c r="H337" s="14" t="str">
        <f t="shared" si="10"/>
        <v>MCI-01310Screening/testing for TB infection</v>
      </c>
      <c r="I337" s="15" t="str">
        <f t="shared" si="11"/>
        <v>MCI-01507</v>
      </c>
      <c r="J337" s="14" t="s">
        <v>643</v>
      </c>
      <c r="K337" s="20">
        <v>2050</v>
      </c>
    </row>
    <row r="338" spans="1:11" x14ac:dyDescent="0.25">
      <c r="A338" s="14" t="s">
        <v>1258</v>
      </c>
      <c r="B338" s="15" t="s">
        <v>1840</v>
      </c>
      <c r="C338" s="15" t="s">
        <v>1841</v>
      </c>
      <c r="D338" s="15"/>
      <c r="E338" s="14" t="s">
        <v>1842</v>
      </c>
      <c r="F338" s="15" t="str">
        <f t="shared" si="8"/>
        <v>MCI-01508</v>
      </c>
      <c r="G338" s="14" t="str">
        <f t="shared" si="9"/>
        <v>MCI-01310Preventive treatment</v>
      </c>
      <c r="H338" s="14" t="str">
        <f t="shared" si="10"/>
        <v>MCI-01310Preventive treatment</v>
      </c>
      <c r="I338" s="15" t="str">
        <f t="shared" si="11"/>
        <v>MCI-01508</v>
      </c>
      <c r="J338" s="14" t="s">
        <v>643</v>
      </c>
      <c r="K338" s="20">
        <v>2060</v>
      </c>
    </row>
    <row r="339" spans="1:11" x14ac:dyDescent="0.25">
      <c r="A339" s="14" t="s">
        <v>1258</v>
      </c>
      <c r="B339" s="15" t="s">
        <v>1843</v>
      </c>
      <c r="C339" s="15" t="s">
        <v>1844</v>
      </c>
      <c r="D339" s="15"/>
      <c r="E339" s="14" t="s">
        <v>1845</v>
      </c>
      <c r="F339" s="15" t="str">
        <f t="shared" si="8"/>
        <v>MCI-01509</v>
      </c>
      <c r="G339" s="14" t="str">
        <f t="shared" si="9"/>
        <v>MCI-01310Infection prevention and control (IPC)</v>
      </c>
      <c r="H339" s="14" t="str">
        <f t="shared" si="10"/>
        <v>MCI-01310Infection prevention and control (IPC)</v>
      </c>
      <c r="I339" s="15" t="str">
        <f t="shared" si="11"/>
        <v>MCI-01509</v>
      </c>
      <c r="J339" s="14" t="s">
        <v>643</v>
      </c>
      <c r="K339" s="20">
        <v>2070</v>
      </c>
    </row>
    <row r="340" spans="1:11" x14ac:dyDescent="0.25">
      <c r="A340" s="14" t="s">
        <v>1269</v>
      </c>
      <c r="B340" s="15" t="s">
        <v>1846</v>
      </c>
      <c r="C340" s="15" t="s">
        <v>1847</v>
      </c>
      <c r="D340" s="15"/>
      <c r="E340" s="14" t="s">
        <v>1848</v>
      </c>
      <c r="F340" s="15" t="str">
        <f t="shared" si="8"/>
        <v>MCI-01498</v>
      </c>
      <c r="G340" s="14" t="str">
        <f t="shared" si="9"/>
        <v>MCI-01311Private provider engagement in TB/DR-TB care</v>
      </c>
      <c r="H340" s="14" t="str">
        <f t="shared" si="10"/>
        <v>MCI-01311Private provider engagement in TB/DR-TB care</v>
      </c>
      <c r="I340" s="15" t="str">
        <f t="shared" si="11"/>
        <v>MCI-01498</v>
      </c>
      <c r="J340" s="14" t="s">
        <v>643</v>
      </c>
      <c r="K340" s="20">
        <v>2080</v>
      </c>
    </row>
    <row r="341" spans="1:11" x14ac:dyDescent="0.25">
      <c r="A341" s="14" t="s">
        <v>1269</v>
      </c>
      <c r="B341" s="15" t="s">
        <v>1849</v>
      </c>
      <c r="C341" s="15" t="s">
        <v>1850</v>
      </c>
      <c r="D341" s="15"/>
      <c r="E341" s="14" t="s">
        <v>1851</v>
      </c>
      <c r="F341" s="15" t="str">
        <f t="shared" si="8"/>
        <v>MCI-01499</v>
      </c>
      <c r="G341" s="14" t="str">
        <f t="shared" si="9"/>
        <v>MCI-01311Community-based TB/DR-TB care</v>
      </c>
      <c r="H341" s="14" t="str">
        <f t="shared" si="10"/>
        <v>MCI-01311Community-based TB/DR-TB care</v>
      </c>
      <c r="I341" s="15" t="str">
        <f t="shared" si="11"/>
        <v>MCI-01499</v>
      </c>
      <c r="J341" s="14" t="s">
        <v>643</v>
      </c>
      <c r="K341" s="20">
        <v>2090</v>
      </c>
    </row>
    <row r="342" spans="1:11" x14ac:dyDescent="0.25">
      <c r="A342" s="14" t="s">
        <v>1269</v>
      </c>
      <c r="B342" s="15" t="s">
        <v>1852</v>
      </c>
      <c r="C342" s="15" t="s">
        <v>1853</v>
      </c>
      <c r="D342" s="15"/>
      <c r="E342" s="14" t="s">
        <v>1854</v>
      </c>
      <c r="F342" s="15" t="str">
        <f t="shared" si="8"/>
        <v>MCI-01500</v>
      </c>
      <c r="G342" s="14" t="str">
        <f t="shared" si="9"/>
        <v>MCI-01311Collaboration with other programs/sectors</v>
      </c>
      <c r="H342" s="14" t="str">
        <f t="shared" si="10"/>
        <v>MCI-01311Collaboration with other programs/sectors</v>
      </c>
      <c r="I342" s="15" t="str">
        <f t="shared" si="11"/>
        <v>MCI-01500</v>
      </c>
      <c r="J342" s="14" t="s">
        <v>643</v>
      </c>
      <c r="K342" s="20">
        <v>2100</v>
      </c>
    </row>
    <row r="343" spans="1:11" x14ac:dyDescent="0.25">
      <c r="A343" s="14" t="s">
        <v>1273</v>
      </c>
      <c r="B343" s="15" t="s">
        <v>1855</v>
      </c>
      <c r="C343" s="15" t="s">
        <v>1856</v>
      </c>
      <c r="D343" s="15"/>
      <c r="E343" s="14" t="s">
        <v>1857</v>
      </c>
      <c r="F343" s="15" t="str">
        <f t="shared" si="8"/>
        <v>MCI-01501</v>
      </c>
      <c r="G343" s="14" t="str">
        <f t="shared" si="9"/>
        <v>MCI-01312KVP - Children and adolescents</v>
      </c>
      <c r="H343" s="14" t="str">
        <f t="shared" si="10"/>
        <v>MCI-01312KVP - Children and adolescents</v>
      </c>
      <c r="I343" s="15" t="str">
        <f t="shared" si="11"/>
        <v>MCI-01501</v>
      </c>
      <c r="J343" s="14" t="s">
        <v>643</v>
      </c>
      <c r="K343" s="20">
        <v>2110</v>
      </c>
    </row>
    <row r="344" spans="1:11" x14ac:dyDescent="0.25">
      <c r="A344" s="14" t="s">
        <v>1273</v>
      </c>
      <c r="B344" s="15" t="s">
        <v>1858</v>
      </c>
      <c r="C344" s="15" t="s">
        <v>1859</v>
      </c>
      <c r="D344" s="15"/>
      <c r="E344" s="14" t="s">
        <v>1860</v>
      </c>
      <c r="F344" s="15" t="str">
        <f t="shared" si="8"/>
        <v>MCI-01502</v>
      </c>
      <c r="G344" s="14" t="str">
        <f t="shared" si="9"/>
        <v>MCI-01312KVP - People in prisons/jails/detention centers</v>
      </c>
      <c r="H344" s="14" t="str">
        <f t="shared" si="10"/>
        <v>MCI-01312KVP - People in prisons/jails/detention centers</v>
      </c>
      <c r="I344" s="15" t="str">
        <f t="shared" si="11"/>
        <v>MCI-01502</v>
      </c>
      <c r="J344" s="14" t="s">
        <v>643</v>
      </c>
      <c r="K344" s="20">
        <v>2120</v>
      </c>
    </row>
    <row r="345" spans="1:11" x14ac:dyDescent="0.25">
      <c r="A345" s="14" t="s">
        <v>1273</v>
      </c>
      <c r="B345" s="15" t="s">
        <v>1861</v>
      </c>
      <c r="C345" s="15" t="s">
        <v>1862</v>
      </c>
      <c r="D345" s="15"/>
      <c r="E345" s="14" t="s">
        <v>1863</v>
      </c>
      <c r="F345" s="15" t="str">
        <f t="shared" si="8"/>
        <v>MCI-01503</v>
      </c>
      <c r="G345" s="14" t="str">
        <f t="shared" si="9"/>
        <v>MCI-01312KVP - Mobile population (migrants/refugees/IDPs)</v>
      </c>
      <c r="H345" s="14" t="str">
        <f t="shared" si="10"/>
        <v>MCI-01312KVP - Mobile population (migrants/refugees/IDPs)</v>
      </c>
      <c r="I345" s="15" t="str">
        <f t="shared" si="11"/>
        <v>MCI-01503</v>
      </c>
      <c r="J345" s="14" t="s">
        <v>643</v>
      </c>
      <c r="K345" s="20">
        <v>2130</v>
      </c>
    </row>
    <row r="346" spans="1:11" x14ac:dyDescent="0.25">
      <c r="A346" s="14" t="s">
        <v>1273</v>
      </c>
      <c r="B346" s="15" t="s">
        <v>1864</v>
      </c>
      <c r="C346" s="15" t="s">
        <v>1865</v>
      </c>
      <c r="D346" s="15"/>
      <c r="E346" s="14" t="s">
        <v>1866</v>
      </c>
      <c r="F346" s="15" t="str">
        <f t="shared" si="8"/>
        <v>MCI-01504</v>
      </c>
      <c r="G346" s="14" t="str">
        <f t="shared" si="9"/>
        <v>MCI-01312KVP - Miners and mining communities</v>
      </c>
      <c r="H346" s="14" t="str">
        <f t="shared" si="10"/>
        <v>MCI-01312KVP - Miners and mining communities</v>
      </c>
      <c r="I346" s="15" t="str">
        <f t="shared" si="11"/>
        <v>MCI-01504</v>
      </c>
      <c r="J346" s="14" t="s">
        <v>643</v>
      </c>
      <c r="K346" s="20">
        <v>2140</v>
      </c>
    </row>
    <row r="347" spans="1:11" x14ac:dyDescent="0.25">
      <c r="A347" s="14" t="s">
        <v>1273</v>
      </c>
      <c r="B347" s="15" t="s">
        <v>1867</v>
      </c>
      <c r="C347" s="15" t="s">
        <v>1868</v>
      </c>
      <c r="D347" s="15"/>
      <c r="E347" s="14" t="s">
        <v>1869</v>
      </c>
      <c r="F347" s="15" t="str">
        <f t="shared" si="8"/>
        <v>MCI-01505</v>
      </c>
      <c r="G347" s="14" t="str">
        <f t="shared" si="9"/>
        <v>MCI-01312KVP - Urban poor/slum dwellers</v>
      </c>
      <c r="H347" s="14" t="str">
        <f t="shared" si="10"/>
        <v>MCI-01312KVP - Urban poor/slum dwellers</v>
      </c>
      <c r="I347" s="15" t="str">
        <f t="shared" si="11"/>
        <v>MCI-01505</v>
      </c>
      <c r="J347" s="14" t="s">
        <v>643</v>
      </c>
      <c r="K347" s="20">
        <v>2150</v>
      </c>
    </row>
    <row r="348" spans="1:11" x14ac:dyDescent="0.25">
      <c r="A348" s="14" t="s">
        <v>1273</v>
      </c>
      <c r="B348" s="15" t="s">
        <v>1870</v>
      </c>
      <c r="C348" s="15" t="s">
        <v>1871</v>
      </c>
      <c r="D348" s="15"/>
      <c r="E348" s="14" t="s">
        <v>1872</v>
      </c>
      <c r="F348" s="15" t="str">
        <f t="shared" si="8"/>
        <v>MCI-01506</v>
      </c>
      <c r="G348" s="14" t="str">
        <f t="shared" si="9"/>
        <v>MCI-01312KVP - Others</v>
      </c>
      <c r="H348" s="14" t="str">
        <f t="shared" si="10"/>
        <v>MCI-01312KVP - Others</v>
      </c>
      <c r="I348" s="15" t="str">
        <f t="shared" si="11"/>
        <v>MCI-01506</v>
      </c>
      <c r="J348" s="14" t="s">
        <v>643</v>
      </c>
      <c r="K348" s="20">
        <v>2160</v>
      </c>
    </row>
    <row r="349" spans="1:11" x14ac:dyDescent="0.25">
      <c r="A349" s="14" t="s">
        <v>1280</v>
      </c>
      <c r="B349" s="15" t="s">
        <v>1873</v>
      </c>
      <c r="C349" s="15" t="s">
        <v>1874</v>
      </c>
      <c r="D349" s="15"/>
      <c r="E349" s="14" t="s">
        <v>1875</v>
      </c>
      <c r="F349" s="15" t="str">
        <f t="shared" si="8"/>
        <v>MCI-01362</v>
      </c>
      <c r="G349" s="14" t="str">
        <f t="shared" si="9"/>
        <v>MCI-01313TB/HIV - Collaborative interventions</v>
      </c>
      <c r="H349" s="14" t="str">
        <f t="shared" si="10"/>
        <v>MCI-01313TB/HIV - Collaborative interventions</v>
      </c>
      <c r="I349" s="15" t="str">
        <f t="shared" si="11"/>
        <v>MCI-01362</v>
      </c>
      <c r="J349" s="14" t="s">
        <v>643</v>
      </c>
      <c r="K349" s="20">
        <v>1720</v>
      </c>
    </row>
    <row r="350" spans="1:11" x14ac:dyDescent="0.25">
      <c r="A350" s="14" t="s">
        <v>1280</v>
      </c>
      <c r="B350" s="15" t="s">
        <v>1876</v>
      </c>
      <c r="C350" s="15" t="s">
        <v>1877</v>
      </c>
      <c r="D350" s="15"/>
      <c r="E350" s="14" t="s">
        <v>1878</v>
      </c>
      <c r="F350" s="15" t="str">
        <f t="shared" si="8"/>
        <v>MCI-01363</v>
      </c>
      <c r="G350" s="14" t="str">
        <f t="shared" si="9"/>
        <v>MCI-01313TB/HIV - Screening, testing and diagnosis</v>
      </c>
      <c r="H350" s="14" t="str">
        <f t="shared" si="10"/>
        <v>MCI-01313TB/HIV - Screening, testing and diagnosis</v>
      </c>
      <c r="I350" s="15" t="str">
        <f t="shared" si="11"/>
        <v>MCI-01363</v>
      </c>
      <c r="J350" s="14" t="s">
        <v>643</v>
      </c>
      <c r="K350" s="20">
        <v>1730</v>
      </c>
    </row>
    <row r="351" spans="1:11" x14ac:dyDescent="0.25">
      <c r="A351" s="14" t="s">
        <v>1280</v>
      </c>
      <c r="B351" s="15" t="s">
        <v>1879</v>
      </c>
      <c r="C351" s="15" t="s">
        <v>1880</v>
      </c>
      <c r="D351" s="15"/>
      <c r="E351" s="14" t="s">
        <v>1881</v>
      </c>
      <c r="F351" s="15" t="str">
        <f t="shared" si="8"/>
        <v>MCI-01364</v>
      </c>
      <c r="G351" s="14" t="str">
        <f t="shared" si="9"/>
        <v>MCI-01313TB/HIV - Treatment and care</v>
      </c>
      <c r="H351" s="14" t="str">
        <f t="shared" si="10"/>
        <v>MCI-01313TB/HIV - Treatment and care</v>
      </c>
      <c r="I351" s="15" t="str">
        <f t="shared" si="11"/>
        <v>MCI-01364</v>
      </c>
      <c r="J351" s="14" t="s">
        <v>643</v>
      </c>
      <c r="K351" s="20">
        <v>1740</v>
      </c>
    </row>
    <row r="352" spans="1:11" x14ac:dyDescent="0.25">
      <c r="A352" s="14" t="s">
        <v>1280</v>
      </c>
      <c r="B352" s="15" t="s">
        <v>1882</v>
      </c>
      <c r="C352" s="15" t="s">
        <v>1883</v>
      </c>
      <c r="D352" s="15"/>
      <c r="E352" s="14" t="s">
        <v>1884</v>
      </c>
      <c r="F352" s="15" t="str">
        <f t="shared" si="8"/>
        <v>MCI-01365</v>
      </c>
      <c r="G352" s="14" t="str">
        <f t="shared" si="9"/>
        <v>MCI-01313TB/HIV - Prevention</v>
      </c>
      <c r="H352" s="14" t="str">
        <f t="shared" si="10"/>
        <v>MCI-01313TB/HIV - Prevention</v>
      </c>
      <c r="I352" s="15" t="str">
        <f t="shared" si="11"/>
        <v>MCI-01365</v>
      </c>
      <c r="J352" s="14" t="s">
        <v>643</v>
      </c>
      <c r="K352" s="20">
        <v>1750</v>
      </c>
    </row>
    <row r="353" spans="1:11" x14ac:dyDescent="0.25">
      <c r="A353" s="14" t="s">
        <v>1280</v>
      </c>
      <c r="B353" s="15" t="s">
        <v>1885</v>
      </c>
      <c r="C353" s="15" t="s">
        <v>1886</v>
      </c>
      <c r="D353" s="15"/>
      <c r="E353" s="14" t="s">
        <v>1887</v>
      </c>
      <c r="F353" s="15" t="str">
        <f t="shared" si="8"/>
        <v>MCI-01366</v>
      </c>
      <c r="G353" s="14" t="str">
        <f t="shared" si="9"/>
        <v>MCI-01313TB/HIV - Community care delivery</v>
      </c>
      <c r="H353" s="14" t="str">
        <f t="shared" si="10"/>
        <v>MCI-01313TB/HIV - Community care delivery</v>
      </c>
      <c r="I353" s="15" t="str">
        <f t="shared" si="11"/>
        <v>MCI-01366</v>
      </c>
      <c r="J353" s="14" t="s">
        <v>643</v>
      </c>
      <c r="K353" s="20">
        <v>1760</v>
      </c>
    </row>
    <row r="354" spans="1:11" x14ac:dyDescent="0.25">
      <c r="A354" s="14" t="s">
        <v>1280</v>
      </c>
      <c r="B354" s="15" t="s">
        <v>1888</v>
      </c>
      <c r="C354" s="15" t="s">
        <v>1889</v>
      </c>
      <c r="D354" s="15"/>
      <c r="E354" s="14" t="s">
        <v>1890</v>
      </c>
      <c r="F354" s="15" t="str">
        <f t="shared" si="8"/>
        <v>MCI-01367</v>
      </c>
      <c r="G354" s="14" t="str">
        <f t="shared" si="9"/>
        <v>MCI-01313TB/HIV - Key populations</v>
      </c>
      <c r="H354" s="14" t="str">
        <f t="shared" si="10"/>
        <v>MCI-01313TB/HIV - Key populations</v>
      </c>
      <c r="I354" s="15" t="str">
        <f t="shared" si="11"/>
        <v>MCI-01367</v>
      </c>
      <c r="J354" s="14" t="s">
        <v>643</v>
      </c>
      <c r="K354" s="20">
        <v>1770</v>
      </c>
    </row>
    <row r="355" spans="1:11" x14ac:dyDescent="0.25">
      <c r="A355" s="14" t="s">
        <v>1562</v>
      </c>
      <c r="B355" s="15" t="s">
        <v>1891</v>
      </c>
      <c r="C355" s="15" t="s">
        <v>1892</v>
      </c>
      <c r="D355" s="15"/>
      <c r="E355" s="14" t="s">
        <v>1893</v>
      </c>
      <c r="F355" s="15" t="str">
        <f t="shared" si="8"/>
        <v>MCI-01476</v>
      </c>
      <c r="G355" s="14" t="str">
        <f t="shared" si="9"/>
        <v>MCI-01314Eliminating TB-related stigma and discrimination</v>
      </c>
      <c r="H355" s="14" t="str">
        <f t="shared" si="10"/>
        <v>MCI-01314Eliminating TB-related stigma and discrimination</v>
      </c>
      <c r="I355" s="15" t="str">
        <f t="shared" si="11"/>
        <v>MCI-01476</v>
      </c>
      <c r="J355" s="14" t="s">
        <v>643</v>
      </c>
      <c r="K355" s="20">
        <v>2230</v>
      </c>
    </row>
    <row r="356" spans="1:11" x14ac:dyDescent="0.25">
      <c r="A356" s="14" t="s">
        <v>1562</v>
      </c>
      <c r="B356" s="15" t="s">
        <v>1894</v>
      </c>
      <c r="C356" s="15" t="s">
        <v>1895</v>
      </c>
      <c r="D356" s="15"/>
      <c r="E356" s="14" t="s">
        <v>1896</v>
      </c>
      <c r="F356" s="15" t="str">
        <f t="shared" si="8"/>
        <v>MCI-01477</v>
      </c>
      <c r="G356" s="14" t="str">
        <f t="shared" si="9"/>
        <v>MCI-01314Ensuring people-centered and rights-based TB services at health facilities</v>
      </c>
      <c r="H356" s="14" t="str">
        <f t="shared" si="10"/>
        <v>MCI-01314Ensuring people-centered and rights-based TB services at health facilities</v>
      </c>
      <c r="I356" s="15" t="str">
        <f t="shared" si="11"/>
        <v>MCI-01477</v>
      </c>
      <c r="J356" s="14" t="s">
        <v>643</v>
      </c>
      <c r="K356" s="20">
        <v>2240</v>
      </c>
    </row>
    <row r="357" spans="1:11" x14ac:dyDescent="0.25">
      <c r="A357" s="14" t="s">
        <v>1562</v>
      </c>
      <c r="B357" s="15" t="s">
        <v>1897</v>
      </c>
      <c r="C357" s="15" t="s">
        <v>1898</v>
      </c>
      <c r="D357" s="15"/>
      <c r="E357" s="14" t="s">
        <v>1899</v>
      </c>
      <c r="F357" s="15" t="str">
        <f t="shared" si="8"/>
        <v>MCI-01478</v>
      </c>
      <c r="G357" s="14" t="str">
        <f t="shared" si="9"/>
        <v>MCI-01314Ensuring people-centered and rights-based law enforcement practices</v>
      </c>
      <c r="H357" s="14" t="str">
        <f t="shared" si="10"/>
        <v>MCI-01314Ensuring people-centered and rights-based law enforcement practices</v>
      </c>
      <c r="I357" s="15" t="str">
        <f t="shared" si="11"/>
        <v>MCI-01478</v>
      </c>
      <c r="J357" s="14" t="s">
        <v>643</v>
      </c>
      <c r="K357" s="20">
        <v>2250</v>
      </c>
    </row>
    <row r="358" spans="1:11" x14ac:dyDescent="0.25">
      <c r="A358" s="14" t="s">
        <v>1562</v>
      </c>
      <c r="B358" s="15" t="s">
        <v>1900</v>
      </c>
      <c r="C358" s="15" t="s">
        <v>1901</v>
      </c>
      <c r="D358" s="15"/>
      <c r="E358" s="14" t="s">
        <v>1902</v>
      </c>
      <c r="F358" s="15" t="str">
        <f t="shared" si="8"/>
        <v>MCI-01479</v>
      </c>
      <c r="G358" s="14" t="str">
        <f t="shared" si="9"/>
        <v>MCI-01314Legal literacy (“Know Your Rights”) (TB)</v>
      </c>
      <c r="H358" s="14" t="str">
        <f t="shared" si="10"/>
        <v>MCI-01314Legal literacy (“Know Your Rights”) (TB)</v>
      </c>
      <c r="I358" s="15" t="str">
        <f t="shared" si="11"/>
        <v>MCI-01479</v>
      </c>
      <c r="J358" s="14" t="s">
        <v>643</v>
      </c>
      <c r="K358" s="20">
        <v>2260</v>
      </c>
    </row>
    <row r="359" spans="1:11" x14ac:dyDescent="0.25">
      <c r="A359" s="14" t="s">
        <v>1562</v>
      </c>
      <c r="B359" s="15" t="s">
        <v>1903</v>
      </c>
      <c r="C359" s="15" t="s">
        <v>1904</v>
      </c>
      <c r="D359" s="15"/>
      <c r="E359" s="14" t="s">
        <v>1905</v>
      </c>
      <c r="F359" s="15" t="str">
        <f t="shared" si="8"/>
        <v>MCI-01480</v>
      </c>
      <c r="G359" s="14" t="str">
        <f t="shared" si="9"/>
        <v>MCI-01314Increasing access to justice (TB)</v>
      </c>
      <c r="H359" s="14" t="str">
        <f t="shared" si="10"/>
        <v>MCI-01314Increasing access to justice (TB)</v>
      </c>
      <c r="I359" s="15" t="str">
        <f t="shared" si="11"/>
        <v>MCI-01480</v>
      </c>
      <c r="J359" s="14" t="s">
        <v>643</v>
      </c>
      <c r="K359" s="20">
        <v>2270</v>
      </c>
    </row>
    <row r="360" spans="1:11" x14ac:dyDescent="0.25">
      <c r="A360" s="14" t="s">
        <v>1562</v>
      </c>
      <c r="B360" s="15" t="s">
        <v>1906</v>
      </c>
      <c r="C360" s="15" t="s">
        <v>1907</v>
      </c>
      <c r="D360" s="15"/>
      <c r="E360" s="14" t="s">
        <v>1908</v>
      </c>
      <c r="F360" s="15" t="str">
        <f t="shared" si="8"/>
        <v>MCI-01481</v>
      </c>
      <c r="G360" s="14" t="str">
        <f t="shared" si="9"/>
        <v>MCI-01314Monitoring and reforming policies, regulations and laws</v>
      </c>
      <c r="H360" s="14" t="str">
        <f t="shared" si="10"/>
        <v>MCI-01314Monitoring and reforming policies, regulations and laws</v>
      </c>
      <c r="I360" s="15" t="str">
        <f t="shared" si="11"/>
        <v>MCI-01481</v>
      </c>
      <c r="J360" s="14" t="s">
        <v>643</v>
      </c>
      <c r="K360" s="20">
        <v>2280</v>
      </c>
    </row>
    <row r="361" spans="1:11" x14ac:dyDescent="0.25">
      <c r="A361" s="14" t="s">
        <v>1562</v>
      </c>
      <c r="B361" s="15" t="s">
        <v>1909</v>
      </c>
      <c r="C361" s="15" t="s">
        <v>1910</v>
      </c>
      <c r="D361" s="15"/>
      <c r="E361" s="14" t="s">
        <v>1911</v>
      </c>
      <c r="F361" s="15" t="str">
        <f t="shared" si="8"/>
        <v>MCI-01482</v>
      </c>
      <c r="G361" s="14" t="str">
        <f t="shared" si="9"/>
        <v>MCI-01314Addressing needs of people in prisons and other closed settings</v>
      </c>
      <c r="H361" s="14" t="str">
        <f t="shared" si="10"/>
        <v>MCI-01314Addressing needs of people in prisons and other closed settings</v>
      </c>
      <c r="I361" s="15" t="str">
        <f t="shared" si="11"/>
        <v>MCI-01482</v>
      </c>
      <c r="J361" s="14" t="s">
        <v>643</v>
      </c>
      <c r="K361" s="20">
        <v>2290</v>
      </c>
    </row>
    <row r="362" spans="1:11" x14ac:dyDescent="0.25">
      <c r="A362" s="14" t="s">
        <v>1562</v>
      </c>
      <c r="B362" s="15" t="s">
        <v>1912</v>
      </c>
      <c r="C362" s="15" t="s">
        <v>1913</v>
      </c>
      <c r="D362" s="15"/>
      <c r="E362" s="14" t="s">
        <v>1914</v>
      </c>
      <c r="F362" s="15" t="str">
        <f t="shared" si="8"/>
        <v>MCI-01483</v>
      </c>
      <c r="G362" s="14" t="str">
        <f t="shared" si="9"/>
        <v>MCI-01314Reducing TB-related gender discrimination, harmful gender norms and violence</v>
      </c>
      <c r="H362" s="14" t="str">
        <f t="shared" si="10"/>
        <v>MCI-01314Reducing TB-related gender discrimination, harmful gender norms and violence</v>
      </c>
      <c r="I362" s="15" t="str">
        <f t="shared" si="11"/>
        <v>MCI-01483</v>
      </c>
      <c r="J362" s="14" t="s">
        <v>643</v>
      </c>
      <c r="K362" s="20">
        <v>2300</v>
      </c>
    </row>
    <row r="363" spans="1:11" x14ac:dyDescent="0.25">
      <c r="A363" s="14" t="s">
        <v>1562</v>
      </c>
      <c r="B363" s="15" t="s">
        <v>1915</v>
      </c>
      <c r="C363" s="15" t="s">
        <v>1916</v>
      </c>
      <c r="D363" s="15"/>
      <c r="E363" s="14" t="s">
        <v>1917</v>
      </c>
      <c r="F363" s="15" t="str">
        <f t="shared" si="8"/>
        <v>MCI-01484</v>
      </c>
      <c r="G363" s="14" t="str">
        <f t="shared" si="9"/>
        <v>MCI-01314Community mobilization and advocacy, including support to TB survivor-led groups</v>
      </c>
      <c r="H363" s="14" t="str">
        <f t="shared" si="10"/>
        <v>MCI-01314Community mobilization and advocacy, including support to TB survivor-led groups</v>
      </c>
      <c r="I363" s="15" t="str">
        <f t="shared" si="11"/>
        <v>MCI-01484</v>
      </c>
      <c r="J363" s="14" t="s">
        <v>643</v>
      </c>
      <c r="K363" s="20">
        <v>2310</v>
      </c>
    </row>
    <row r="364" spans="1:11" x14ac:dyDescent="0.25">
      <c r="A364" s="14" t="s">
        <v>1511</v>
      </c>
      <c r="B364" s="15" t="s">
        <v>1918</v>
      </c>
      <c r="C364" s="15" t="s">
        <v>1919</v>
      </c>
      <c r="D364" s="15"/>
      <c r="E364" s="14" t="s">
        <v>1920</v>
      </c>
      <c r="F364" s="15" t="str">
        <f t="shared" si="8"/>
        <v>MCI-01435</v>
      </c>
      <c r="G364" s="14" t="str">
        <f t="shared" si="9"/>
        <v>MCI-01318Coordination and management of national disease control programs</v>
      </c>
      <c r="H364" s="14" t="str">
        <f t="shared" si="10"/>
        <v>MCI-01318Coordination and management of national disease control programs</v>
      </c>
      <c r="I364" s="15" t="str">
        <f t="shared" si="11"/>
        <v>MCI-01435</v>
      </c>
      <c r="J364" s="14" t="s">
        <v>643</v>
      </c>
      <c r="K364" s="20">
        <v>9010</v>
      </c>
    </row>
    <row r="365" spans="1:11" x14ac:dyDescent="0.25">
      <c r="A365" s="14" t="s">
        <v>1511</v>
      </c>
      <c r="B365" s="15" t="s">
        <v>1921</v>
      </c>
      <c r="C365" s="15" t="s">
        <v>1922</v>
      </c>
      <c r="D365" s="15"/>
      <c r="E365" s="14" t="s">
        <v>1923</v>
      </c>
      <c r="F365" s="15" t="str">
        <f t="shared" si="8"/>
        <v>MCI-01436</v>
      </c>
      <c r="G365" s="14" t="str">
        <f t="shared" si="9"/>
        <v>MCI-01318Grant management</v>
      </c>
      <c r="H365" s="14" t="str">
        <f t="shared" si="10"/>
        <v>MCI-01318Grant management</v>
      </c>
      <c r="I365" s="15" t="str">
        <f t="shared" si="11"/>
        <v>MCI-01436</v>
      </c>
      <c r="J365" s="14" t="s">
        <v>643</v>
      </c>
      <c r="K365" s="20">
        <v>9020</v>
      </c>
    </row>
    <row r="366" spans="1:11" x14ac:dyDescent="0.25">
      <c r="A366" s="14" t="s">
        <v>1516</v>
      </c>
      <c r="B366" s="15" t="s">
        <v>1924</v>
      </c>
      <c r="C366" s="15" t="s">
        <v>1515</v>
      </c>
      <c r="D366" s="15"/>
      <c r="E366" s="14" t="s">
        <v>1925</v>
      </c>
      <c r="F366" s="15" t="str">
        <f t="shared" si="8"/>
        <v>MCI-01437</v>
      </c>
      <c r="G366" s="14" t="str">
        <f t="shared" si="9"/>
        <v>MCI-01319Payment for results</v>
      </c>
      <c r="H366" s="14" t="str">
        <f t="shared" si="10"/>
        <v>MCI-01319Payment for results</v>
      </c>
      <c r="I366" s="15" t="str">
        <f t="shared" si="11"/>
        <v>MCI-01437</v>
      </c>
      <c r="J366" s="14" t="s">
        <v>643</v>
      </c>
      <c r="K366" s="20">
        <v>9500</v>
      </c>
    </row>
    <row r="367" spans="1:11" x14ac:dyDescent="0.25">
      <c r="A367" s="14" t="s">
        <v>1298</v>
      </c>
      <c r="B367" s="15" t="s">
        <v>1926</v>
      </c>
      <c r="C367" s="15" t="s">
        <v>1927</v>
      </c>
      <c r="D367" s="15"/>
      <c r="E367" s="14" t="s">
        <v>1928</v>
      </c>
      <c r="F367" s="15" t="str">
        <f t="shared" si="8"/>
        <v>MCI-01473</v>
      </c>
      <c r="G367" s="14" t="str">
        <f t="shared" si="9"/>
        <v>MCI-01320National health sector strategy, policy &amp; regulations</v>
      </c>
      <c r="H367" s="14" t="str">
        <f t="shared" si="10"/>
        <v>MCI-01320National health sector strategy, policy &amp; regulations</v>
      </c>
      <c r="I367" s="15" t="str">
        <f t="shared" si="11"/>
        <v>MCI-01473</v>
      </c>
      <c r="J367" s="14" t="s">
        <v>643</v>
      </c>
      <c r="K367" s="20">
        <v>6010</v>
      </c>
    </row>
    <row r="368" spans="1:11" x14ac:dyDescent="0.25">
      <c r="A368" s="14" t="s">
        <v>1298</v>
      </c>
      <c r="B368" s="15" t="s">
        <v>1929</v>
      </c>
      <c r="C368" s="15" t="s">
        <v>1930</v>
      </c>
      <c r="D368" s="15"/>
      <c r="E368" s="14" t="s">
        <v>1931</v>
      </c>
      <c r="F368" s="15" t="str">
        <f t="shared" si="8"/>
        <v>MCI-01474</v>
      </c>
      <c r="G368" s="14" t="str">
        <f t="shared" si="9"/>
        <v>MCI-01320Integration/coordination across disease programs and at the service delivery level</v>
      </c>
      <c r="H368" s="14" t="str">
        <f t="shared" si="10"/>
        <v>MCI-01320Integration/coordination across disease programs and at the service delivery level</v>
      </c>
      <c r="I368" s="15" t="str">
        <f t="shared" si="11"/>
        <v>MCI-01474</v>
      </c>
      <c r="J368" s="14" t="s">
        <v>643</v>
      </c>
      <c r="K368" s="20">
        <v>6020</v>
      </c>
    </row>
    <row r="369" spans="1:11" x14ac:dyDescent="0.25">
      <c r="A369" s="14" t="s">
        <v>1298</v>
      </c>
      <c r="B369" s="15" t="s">
        <v>1932</v>
      </c>
      <c r="C369" s="15" t="s">
        <v>1933</v>
      </c>
      <c r="D369" s="15"/>
      <c r="E369" s="14" t="s">
        <v>1934</v>
      </c>
      <c r="F369" s="15" t="str">
        <f t="shared" si="8"/>
        <v>MCI-01475</v>
      </c>
      <c r="G369" s="14" t="str">
        <f t="shared" si="9"/>
        <v>MCI-01320Supporting private sector engagement</v>
      </c>
      <c r="H369" s="14" t="str">
        <f t="shared" si="10"/>
        <v>MCI-01320Supporting private sector engagement</v>
      </c>
      <c r="I369" s="15" t="str">
        <f t="shared" si="11"/>
        <v>MCI-01475</v>
      </c>
      <c r="J369" s="14" t="s">
        <v>643</v>
      </c>
      <c r="K369" s="20">
        <v>6030</v>
      </c>
    </row>
    <row r="370" spans="1:11" x14ac:dyDescent="0.25">
      <c r="A370" s="14" t="s">
        <v>1302</v>
      </c>
      <c r="B370" s="15" t="s">
        <v>1935</v>
      </c>
      <c r="C370" s="15" t="s">
        <v>1936</v>
      </c>
      <c r="D370" s="15"/>
      <c r="E370" s="14" t="s">
        <v>1937</v>
      </c>
      <c r="F370" s="15" t="str">
        <f t="shared" si="8"/>
        <v>MCI-01422</v>
      </c>
      <c r="G370" s="14" t="str">
        <f t="shared" si="9"/>
        <v>MCI-01321Community-led monitoring</v>
      </c>
      <c r="H370" s="14" t="str">
        <f t="shared" si="10"/>
        <v>MCI-01321Community-led monitoring</v>
      </c>
      <c r="I370" s="15" t="str">
        <f t="shared" si="11"/>
        <v>MCI-01422</v>
      </c>
      <c r="J370" s="14" t="s">
        <v>643</v>
      </c>
      <c r="K370" s="20">
        <v>6040</v>
      </c>
    </row>
    <row r="371" spans="1:11" x14ac:dyDescent="0.25">
      <c r="A371" s="14" t="s">
        <v>1302</v>
      </c>
      <c r="B371" s="15" t="s">
        <v>1938</v>
      </c>
      <c r="C371" s="15" t="s">
        <v>1939</v>
      </c>
      <c r="D371" s="15"/>
      <c r="E371" s="14" t="s">
        <v>1940</v>
      </c>
      <c r="F371" s="15" t="str">
        <f t="shared" si="8"/>
        <v>MCI-01423</v>
      </c>
      <c r="G371" s="14" t="str">
        <f t="shared" si="9"/>
        <v>MCI-01321Community-led research and advocacy</v>
      </c>
      <c r="H371" s="14" t="str">
        <f t="shared" si="10"/>
        <v>MCI-01321Community-led research and advocacy</v>
      </c>
      <c r="I371" s="15" t="str">
        <f t="shared" si="11"/>
        <v>MCI-01423</v>
      </c>
      <c r="J371" s="14" t="s">
        <v>643</v>
      </c>
      <c r="K371" s="20">
        <v>6050</v>
      </c>
    </row>
    <row r="372" spans="1:11" x14ac:dyDescent="0.25">
      <c r="A372" s="14" t="s">
        <v>1302</v>
      </c>
      <c r="B372" s="15" t="s">
        <v>1941</v>
      </c>
      <c r="C372" s="15" t="s">
        <v>1942</v>
      </c>
      <c r="D372" s="15"/>
      <c r="E372" s="14" t="s">
        <v>1943</v>
      </c>
      <c r="F372" s="15" t="str">
        <f t="shared" si="8"/>
        <v>MCI-01424</v>
      </c>
      <c r="G372" s="14" t="str">
        <f t="shared" si="9"/>
        <v>MCI-01321Community engagement, linkages and coordination</v>
      </c>
      <c r="H372" s="14" t="str">
        <f t="shared" si="10"/>
        <v>MCI-01321Community engagement, linkages and coordination</v>
      </c>
      <c r="I372" s="15" t="str">
        <f t="shared" si="11"/>
        <v>MCI-01424</v>
      </c>
      <c r="J372" s="14" t="s">
        <v>643</v>
      </c>
      <c r="K372" s="20">
        <v>6060</v>
      </c>
    </row>
    <row r="373" spans="1:11" x14ac:dyDescent="0.25">
      <c r="A373" s="14" t="s">
        <v>1302</v>
      </c>
      <c r="B373" s="15" t="s">
        <v>1944</v>
      </c>
      <c r="C373" s="15" t="s">
        <v>1945</v>
      </c>
      <c r="D373" s="15"/>
      <c r="E373" s="14" t="s">
        <v>1946</v>
      </c>
      <c r="F373" s="15" t="str">
        <f t="shared" si="8"/>
        <v>MCI-01425</v>
      </c>
      <c r="G373" s="14" t="str">
        <f t="shared" si="9"/>
        <v>MCI-01321Capacity building and leadership development</v>
      </c>
      <c r="H373" s="14" t="str">
        <f t="shared" si="10"/>
        <v>MCI-01321Capacity building and leadership development</v>
      </c>
      <c r="I373" s="15" t="str">
        <f t="shared" si="11"/>
        <v>MCI-01425</v>
      </c>
      <c r="J373" s="14" t="s">
        <v>643</v>
      </c>
      <c r="K373" s="20">
        <v>6070</v>
      </c>
    </row>
    <row r="374" spans="1:11" x14ac:dyDescent="0.25">
      <c r="A374" s="14" t="s">
        <v>1311</v>
      </c>
      <c r="B374" s="15" t="s">
        <v>1947</v>
      </c>
      <c r="C374" s="15" t="s">
        <v>1948</v>
      </c>
      <c r="D374" s="15"/>
      <c r="E374" s="14" t="s">
        <v>1949</v>
      </c>
      <c r="F374" s="15" t="str">
        <f t="shared" si="8"/>
        <v>MCI-01415</v>
      </c>
      <c r="G374" s="14" t="str">
        <f t="shared" si="9"/>
        <v>MCI-01322Health financing strategies and planning</v>
      </c>
      <c r="H374" s="14" t="str">
        <f t="shared" si="10"/>
        <v>MCI-01322Health financing strategies and planning</v>
      </c>
      <c r="I374" s="15" t="str">
        <f t="shared" si="11"/>
        <v>MCI-01415</v>
      </c>
      <c r="J374" s="14" t="s">
        <v>643</v>
      </c>
      <c r="K374" s="20">
        <v>6080</v>
      </c>
    </row>
    <row r="375" spans="1:11" x14ac:dyDescent="0.25">
      <c r="A375" s="14" t="s">
        <v>1311</v>
      </c>
      <c r="B375" s="15" t="s">
        <v>1950</v>
      </c>
      <c r="C375" s="15" t="s">
        <v>1951</v>
      </c>
      <c r="D375" s="15"/>
      <c r="E375" s="14" t="s">
        <v>1952</v>
      </c>
      <c r="F375" s="15" t="str">
        <f t="shared" si="8"/>
        <v>MCI-01416</v>
      </c>
      <c r="G375" s="14" t="str">
        <f t="shared" si="9"/>
        <v>MCI-01322Public financial management (PFM) systems</v>
      </c>
      <c r="H375" s="14" t="str">
        <f t="shared" si="10"/>
        <v>MCI-01322Public financial management (PFM) systems</v>
      </c>
      <c r="I375" s="15" t="str">
        <f t="shared" si="11"/>
        <v>MCI-01416</v>
      </c>
      <c r="J375" s="14" t="s">
        <v>643</v>
      </c>
      <c r="K375" s="20">
        <v>6090</v>
      </c>
    </row>
    <row r="376" spans="1:11" x14ac:dyDescent="0.25">
      <c r="A376" s="14" t="s">
        <v>1311</v>
      </c>
      <c r="B376" s="15" t="s">
        <v>1953</v>
      </c>
      <c r="C376" s="15" t="s">
        <v>1954</v>
      </c>
      <c r="D376" s="15"/>
      <c r="E376" s="14" t="s">
        <v>1955</v>
      </c>
      <c r="F376" s="15" t="str">
        <f t="shared" si="8"/>
        <v>MCI-01417</v>
      </c>
      <c r="G376" s="14" t="str">
        <f t="shared" si="9"/>
        <v>MCI-01322Routine financial management systems</v>
      </c>
      <c r="H376" s="14" t="str">
        <f t="shared" si="10"/>
        <v>MCI-01322Routine financial management systems</v>
      </c>
      <c r="I376" s="15" t="str">
        <f t="shared" si="11"/>
        <v>MCI-01417</v>
      </c>
      <c r="J376" s="14" t="s">
        <v>643</v>
      </c>
      <c r="K376" s="20">
        <v>6100</v>
      </c>
    </row>
    <row r="377" spans="1:11" x14ac:dyDescent="0.25">
      <c r="A377" s="14" t="s">
        <v>1311</v>
      </c>
      <c r="B377" s="15" t="s">
        <v>1956</v>
      </c>
      <c r="C377" s="15" t="s">
        <v>1957</v>
      </c>
      <c r="D377" s="15"/>
      <c r="E377" s="14" t="s">
        <v>1958</v>
      </c>
      <c r="F377" s="15" t="str">
        <f t="shared" si="8"/>
        <v>MCI-01418</v>
      </c>
      <c r="G377" s="14" t="str">
        <f t="shared" si="9"/>
        <v>MCI-01322Community-led advocacy and monitoring of domestic resource mobilization</v>
      </c>
      <c r="H377" s="14" t="str">
        <f t="shared" si="10"/>
        <v>MCI-01322Community-led advocacy and monitoring of domestic resource mobilization</v>
      </c>
      <c r="I377" s="15" t="str">
        <f t="shared" si="11"/>
        <v>MCI-01418</v>
      </c>
      <c r="J377" s="14" t="s">
        <v>643</v>
      </c>
      <c r="K377" s="20">
        <v>6110</v>
      </c>
    </row>
    <row r="378" spans="1:11" x14ac:dyDescent="0.25">
      <c r="A378" s="14" t="s">
        <v>1311</v>
      </c>
      <c r="B378" s="15" t="s">
        <v>1959</v>
      </c>
      <c r="C378" s="15" t="s">
        <v>1960</v>
      </c>
      <c r="D378" s="15"/>
      <c r="E378" s="14" t="s">
        <v>1961</v>
      </c>
      <c r="F378" s="15" t="str">
        <f t="shared" si="8"/>
        <v>MCI-01419</v>
      </c>
      <c r="G378" s="14" t="str">
        <f t="shared" si="9"/>
        <v>MCI-01322Social contracting</v>
      </c>
      <c r="H378" s="14" t="str">
        <f t="shared" si="10"/>
        <v>MCI-01322Social contracting</v>
      </c>
      <c r="I378" s="15" t="str">
        <f t="shared" si="11"/>
        <v>MCI-01419</v>
      </c>
      <c r="J378" s="14" t="s">
        <v>643</v>
      </c>
      <c r="K378" s="20">
        <v>6130</v>
      </c>
    </row>
    <row r="379" spans="1:11" x14ac:dyDescent="0.25">
      <c r="A379" s="14" t="s">
        <v>1311</v>
      </c>
      <c r="B379" s="15" t="s">
        <v>1962</v>
      </c>
      <c r="C379" s="15" t="s">
        <v>1963</v>
      </c>
      <c r="D379" s="15"/>
      <c r="E379" s="14" t="s">
        <v>1964</v>
      </c>
      <c r="F379" s="15" t="str">
        <f t="shared" si="8"/>
        <v>MCI-01420</v>
      </c>
      <c r="G379" s="14" t="str">
        <f t="shared" si="9"/>
        <v>MCI-01322Health financing data and analytics</v>
      </c>
      <c r="H379" s="14" t="str">
        <f t="shared" si="10"/>
        <v>MCI-01322Health financing data and analytics</v>
      </c>
      <c r="I379" s="15" t="str">
        <f t="shared" si="11"/>
        <v>MCI-01420</v>
      </c>
      <c r="J379" s="14" t="s">
        <v>643</v>
      </c>
      <c r="K379" s="20">
        <v>6140</v>
      </c>
    </row>
    <row r="380" spans="1:11" x14ac:dyDescent="0.25">
      <c r="A380" s="14" t="s">
        <v>1311</v>
      </c>
      <c r="B380" s="15" t="s">
        <v>1965</v>
      </c>
      <c r="C380" s="15" t="s">
        <v>1966</v>
      </c>
      <c r="D380" s="15"/>
      <c r="E380" s="14" t="s">
        <v>1967</v>
      </c>
      <c r="F380" s="15" t="str">
        <f t="shared" si="8"/>
        <v>MCI-01421</v>
      </c>
      <c r="G380" s="14" t="str">
        <f t="shared" si="9"/>
        <v>MCI-01322Blended financing arrangements</v>
      </c>
      <c r="H380" s="14" t="str">
        <f t="shared" si="10"/>
        <v>MCI-01322Blended financing arrangements</v>
      </c>
      <c r="I380" s="15" t="str">
        <f t="shared" si="11"/>
        <v>MCI-01421</v>
      </c>
      <c r="J380" s="14" t="s">
        <v>643</v>
      </c>
      <c r="K380" s="20">
        <v>6150</v>
      </c>
    </row>
    <row r="381" spans="1:11" x14ac:dyDescent="0.25">
      <c r="A381" s="14" t="s">
        <v>1334</v>
      </c>
      <c r="B381" s="15" t="s">
        <v>1968</v>
      </c>
      <c r="C381" s="15" t="s">
        <v>1969</v>
      </c>
      <c r="D381" s="15"/>
      <c r="E381" s="14" t="s">
        <v>1970</v>
      </c>
      <c r="F381" s="15" t="str">
        <f t="shared" si="8"/>
        <v>MCI-01408</v>
      </c>
      <c r="G381" s="14" t="str">
        <f t="shared" si="9"/>
        <v>MCI-01323Policy, strategy, governance</v>
      </c>
      <c r="H381" s="14" t="str">
        <f t="shared" si="10"/>
        <v>MCI-01323Policy, strategy, governance</v>
      </c>
      <c r="I381" s="15" t="str">
        <f t="shared" si="11"/>
        <v>MCI-01408</v>
      </c>
      <c r="J381" s="14" t="s">
        <v>643</v>
      </c>
      <c r="K381" s="20">
        <v>6160</v>
      </c>
    </row>
    <row r="382" spans="1:11" x14ac:dyDescent="0.25">
      <c r="A382" s="14" t="s">
        <v>1334</v>
      </c>
      <c r="B382" s="15" t="s">
        <v>1971</v>
      </c>
      <c r="C382" s="15" t="s">
        <v>1972</v>
      </c>
      <c r="D382" s="15"/>
      <c r="E382" s="14" t="s">
        <v>1973</v>
      </c>
      <c r="F382" s="15" t="str">
        <f t="shared" ref="F382:F418" si="12">B382</f>
        <v>MCI-01409</v>
      </c>
      <c r="G382" s="14" t="str">
        <f t="shared" ref="G382:G418" si="13">A382&amp;C382</f>
        <v>MCI-01323Storage and distribution capacity, design &amp; operations</v>
      </c>
      <c r="H382" s="14" t="str">
        <f t="shared" ref="H382:H418" si="14">A382&amp;C382</f>
        <v>MCI-01323Storage and distribution capacity, design &amp; operations</v>
      </c>
      <c r="I382" s="15" t="str">
        <f t="shared" ref="I382:I418" si="15">F382</f>
        <v>MCI-01409</v>
      </c>
      <c r="J382" s="14" t="s">
        <v>643</v>
      </c>
      <c r="K382" s="20">
        <v>6165</v>
      </c>
    </row>
    <row r="383" spans="1:11" x14ac:dyDescent="0.25">
      <c r="A383" s="14" t="s">
        <v>1334</v>
      </c>
      <c r="B383" s="15" t="s">
        <v>1974</v>
      </c>
      <c r="C383" s="15" t="s">
        <v>1975</v>
      </c>
      <c r="D383" s="15"/>
      <c r="E383" s="14" t="s">
        <v>1976</v>
      </c>
      <c r="F383" s="15" t="str">
        <f t="shared" si="12"/>
        <v>MCI-01410</v>
      </c>
      <c r="G383" s="14" t="str">
        <f t="shared" si="13"/>
        <v>MCI-01323Planning and procurement capacity</v>
      </c>
      <c r="H383" s="14" t="str">
        <f t="shared" si="14"/>
        <v>MCI-01323Planning and procurement capacity</v>
      </c>
      <c r="I383" s="15" t="str">
        <f t="shared" si="15"/>
        <v>MCI-01410</v>
      </c>
      <c r="J383" s="14" t="s">
        <v>643</v>
      </c>
      <c r="K383" s="20">
        <v>6170</v>
      </c>
    </row>
    <row r="384" spans="1:11" x14ac:dyDescent="0.25">
      <c r="A384" s="14" t="s">
        <v>1334</v>
      </c>
      <c r="B384" s="15" t="s">
        <v>1977</v>
      </c>
      <c r="C384" s="15" t="s">
        <v>1978</v>
      </c>
      <c r="D384" s="15"/>
      <c r="E384" s="14" t="s">
        <v>1979</v>
      </c>
      <c r="F384" s="15" t="str">
        <f t="shared" si="12"/>
        <v>MCI-01411</v>
      </c>
      <c r="G384" s="14" t="str">
        <f t="shared" si="13"/>
        <v>MCI-01323Regulatory/quality assurance support</v>
      </c>
      <c r="H384" s="14" t="str">
        <f t="shared" si="14"/>
        <v>MCI-01323Regulatory/quality assurance support</v>
      </c>
      <c r="I384" s="15" t="str">
        <f t="shared" si="15"/>
        <v>MCI-01411</v>
      </c>
      <c r="J384" s="14" t="s">
        <v>643</v>
      </c>
      <c r="K384" s="20">
        <v>6180</v>
      </c>
    </row>
    <row r="385" spans="1:11" x14ac:dyDescent="0.25">
      <c r="A385" s="14" t="s">
        <v>1334</v>
      </c>
      <c r="B385" s="15" t="s">
        <v>1980</v>
      </c>
      <c r="C385" s="15" t="s">
        <v>1981</v>
      </c>
      <c r="D385" s="15"/>
      <c r="E385" s="14" t="s">
        <v>1982</v>
      </c>
      <c r="F385" s="15" t="str">
        <f t="shared" si="12"/>
        <v>MCI-01412</v>
      </c>
      <c r="G385" s="14" t="str">
        <f t="shared" si="13"/>
        <v>MCI-01323Avoidance, reduction and management of health care waste</v>
      </c>
      <c r="H385" s="14" t="str">
        <f t="shared" si="14"/>
        <v>MCI-01323Avoidance, reduction and management of health care waste</v>
      </c>
      <c r="I385" s="15" t="str">
        <f t="shared" si="15"/>
        <v>MCI-01412</v>
      </c>
      <c r="J385" s="14" t="s">
        <v>643</v>
      </c>
      <c r="K385" s="20">
        <v>6200</v>
      </c>
    </row>
    <row r="386" spans="1:11" x14ac:dyDescent="0.25">
      <c r="A386" s="14" t="s">
        <v>1334</v>
      </c>
      <c r="B386" s="15" t="s">
        <v>1983</v>
      </c>
      <c r="C386" s="15" t="s">
        <v>1984</v>
      </c>
      <c r="D386" s="15"/>
      <c r="E386" s="14" t="s">
        <v>1985</v>
      </c>
      <c r="F386" s="15" t="str">
        <f t="shared" si="12"/>
        <v>MCI-01413</v>
      </c>
      <c r="G386" s="14" t="str">
        <f t="shared" si="13"/>
        <v>MCI-01323Supply chain information systems</v>
      </c>
      <c r="H386" s="14" t="str">
        <f t="shared" si="14"/>
        <v>MCI-01323Supply chain information systems</v>
      </c>
      <c r="I386" s="15" t="str">
        <f t="shared" si="15"/>
        <v>MCI-01413</v>
      </c>
      <c r="J386" s="14" t="s">
        <v>643</v>
      </c>
      <c r="K386" s="20">
        <v>6210</v>
      </c>
    </row>
    <row r="387" spans="1:11" x14ac:dyDescent="0.25">
      <c r="A387" s="14" t="s">
        <v>1334</v>
      </c>
      <c r="B387" s="15" t="s">
        <v>1986</v>
      </c>
      <c r="C387" s="15" t="s">
        <v>1987</v>
      </c>
      <c r="D387" s="15"/>
      <c r="E387" s="14" t="s">
        <v>1988</v>
      </c>
      <c r="F387" s="15" t="str">
        <f t="shared" si="12"/>
        <v>MCI-01414</v>
      </c>
      <c r="G387" s="14" t="str">
        <f t="shared" si="13"/>
        <v>MCI-01323Augmenting national supply chain system with outsourcing</v>
      </c>
      <c r="H387" s="14" t="str">
        <f t="shared" si="14"/>
        <v>MCI-01323Augmenting national supply chain system with outsourcing</v>
      </c>
      <c r="I387" s="15" t="str">
        <f t="shared" si="15"/>
        <v>MCI-01414</v>
      </c>
      <c r="J387" s="14" t="s">
        <v>643</v>
      </c>
      <c r="K387" s="20">
        <v>6220</v>
      </c>
    </row>
    <row r="388" spans="1:11" x14ac:dyDescent="0.25">
      <c r="A388" s="14" t="s">
        <v>1344</v>
      </c>
      <c r="B388" s="15" t="s">
        <v>1989</v>
      </c>
      <c r="C388" s="15" t="s">
        <v>1990</v>
      </c>
      <c r="D388" s="15"/>
      <c r="E388" s="14" t="s">
        <v>1991</v>
      </c>
      <c r="F388" s="15" t="str">
        <f t="shared" si="12"/>
        <v>MCI-01398</v>
      </c>
      <c r="G388" s="14" t="str">
        <f t="shared" si="13"/>
        <v>MCI-01324RSSH/PP: HRH planning, management and governance including for community health workers (CHWs)</v>
      </c>
      <c r="H388" s="14" t="str">
        <f t="shared" si="14"/>
        <v>MCI-01324RSSH/PP: HRH planning, management and governance including for community health workers (CHWs)</v>
      </c>
      <c r="I388" s="15" t="str">
        <f t="shared" si="15"/>
        <v>MCI-01398</v>
      </c>
      <c r="J388" s="14" t="s">
        <v>643</v>
      </c>
      <c r="K388" s="20">
        <v>6300</v>
      </c>
    </row>
    <row r="389" spans="1:11" x14ac:dyDescent="0.25">
      <c r="A389" s="14" t="s">
        <v>1344</v>
      </c>
      <c r="B389" s="15" t="s">
        <v>1992</v>
      </c>
      <c r="C389" s="15" t="s">
        <v>1993</v>
      </c>
      <c r="D389" s="15"/>
      <c r="E389" s="14" t="s">
        <v>1994</v>
      </c>
      <c r="F389" s="15" t="str">
        <f t="shared" si="12"/>
        <v>MCI-01399</v>
      </c>
      <c r="G389" s="14" t="str">
        <f t="shared" si="13"/>
        <v>MCI-01324RSSH/PP: Education and production of new health workers (excluding community health workers)</v>
      </c>
      <c r="H389" s="14" t="str">
        <f t="shared" si="14"/>
        <v>MCI-01324RSSH/PP: Education and production of new health workers (excluding community health workers)</v>
      </c>
      <c r="I389" s="15" t="str">
        <f t="shared" si="15"/>
        <v>MCI-01399</v>
      </c>
      <c r="J389" s="14" t="s">
        <v>643</v>
      </c>
      <c r="K389" s="20">
        <v>6305</v>
      </c>
    </row>
    <row r="390" spans="1:11" x14ac:dyDescent="0.25">
      <c r="A390" s="14" t="s">
        <v>1344</v>
      </c>
      <c r="B390" s="15" t="s">
        <v>1995</v>
      </c>
      <c r="C390" s="15" t="s">
        <v>1996</v>
      </c>
      <c r="D390" s="15"/>
      <c r="E390" s="14" t="s">
        <v>1997</v>
      </c>
      <c r="F390" s="15" t="str">
        <f t="shared" si="12"/>
        <v>MCI-01400</v>
      </c>
      <c r="G390" s="14" t="str">
        <f t="shared" si="13"/>
        <v>MCI-01324RSSH/PP: Remuneration and deployment of existing/new staff (excluding community health workers)</v>
      </c>
      <c r="H390" s="14" t="str">
        <f t="shared" si="14"/>
        <v>MCI-01324RSSH/PP: Remuneration and deployment of existing/new staff (excluding community health workers)</v>
      </c>
      <c r="I390" s="15" t="str">
        <f t="shared" si="15"/>
        <v>MCI-01400</v>
      </c>
      <c r="J390" s="14" t="s">
        <v>643</v>
      </c>
      <c r="K390" s="20">
        <v>6310</v>
      </c>
    </row>
    <row r="391" spans="1:11" x14ac:dyDescent="0.25">
      <c r="A391" s="14" t="s">
        <v>1344</v>
      </c>
      <c r="B391" s="15" t="s">
        <v>1998</v>
      </c>
      <c r="C391" s="15" t="s">
        <v>1999</v>
      </c>
      <c r="D391" s="15"/>
      <c r="E391" s="14" t="s">
        <v>2000</v>
      </c>
      <c r="F391" s="15" t="str">
        <f t="shared" si="12"/>
        <v>MCI-01401</v>
      </c>
      <c r="G391" s="14" t="str">
        <f t="shared" si="13"/>
        <v>MCI-01324RSSH/PP: In-service training (excluding community health workers)</v>
      </c>
      <c r="H391" s="14" t="str">
        <f t="shared" si="14"/>
        <v>MCI-01324RSSH/PP: In-service training (excluding community health workers)</v>
      </c>
      <c r="I391" s="15" t="str">
        <f t="shared" si="15"/>
        <v>MCI-01401</v>
      </c>
      <c r="J391" s="14" t="s">
        <v>643</v>
      </c>
      <c r="K391" s="20">
        <v>6320</v>
      </c>
    </row>
    <row r="392" spans="1:11" x14ac:dyDescent="0.25">
      <c r="A392" s="14" t="s">
        <v>1344</v>
      </c>
      <c r="B392" s="15" t="s">
        <v>2001</v>
      </c>
      <c r="C392" s="15" t="s">
        <v>2002</v>
      </c>
      <c r="D392" s="15"/>
      <c r="E392" s="14" t="s">
        <v>2003</v>
      </c>
      <c r="F392" s="15" t="str">
        <f t="shared" si="12"/>
        <v>MCI-01402</v>
      </c>
      <c r="G392" s="14" t="str">
        <f t="shared" si="13"/>
        <v>MCI-01324RSSH/PP: Integrated supportive supervision for health workers (excluding CHWs)</v>
      </c>
      <c r="H392" s="14" t="str">
        <f t="shared" si="14"/>
        <v>MCI-01324RSSH/PP: Integrated supportive supervision for health workers (excluding CHWs)</v>
      </c>
      <c r="I392" s="15" t="str">
        <f t="shared" si="15"/>
        <v>MCI-01402</v>
      </c>
      <c r="J392" s="14" t="s">
        <v>643</v>
      </c>
      <c r="K392" s="20">
        <v>6330</v>
      </c>
    </row>
    <row r="393" spans="1:11" x14ac:dyDescent="0.25">
      <c r="A393" s="14" t="s">
        <v>1344</v>
      </c>
      <c r="B393" s="15" t="s">
        <v>2004</v>
      </c>
      <c r="C393" s="15" t="s">
        <v>2005</v>
      </c>
      <c r="D393" s="15"/>
      <c r="E393" s="14" t="s">
        <v>2006</v>
      </c>
      <c r="F393" s="15" t="str">
        <f t="shared" si="12"/>
        <v>MCI-01403</v>
      </c>
      <c r="G393" s="14" t="str">
        <f t="shared" si="13"/>
        <v>MCI-01324RSSH/PP: Quality improvement and capacity building for quality of care</v>
      </c>
      <c r="H393" s="14" t="str">
        <f t="shared" si="14"/>
        <v>MCI-01324RSSH/PP: Quality improvement and capacity building for quality of care</v>
      </c>
      <c r="I393" s="15" t="str">
        <f t="shared" si="15"/>
        <v>MCI-01403</v>
      </c>
      <c r="J393" s="14" t="s">
        <v>643</v>
      </c>
      <c r="K393" s="20">
        <v>6340</v>
      </c>
    </row>
    <row r="394" spans="1:11" x14ac:dyDescent="0.25">
      <c r="A394" s="14" t="s">
        <v>1344</v>
      </c>
      <c r="B394" s="15" t="s">
        <v>2007</v>
      </c>
      <c r="C394" s="15" t="s">
        <v>2008</v>
      </c>
      <c r="D394" s="15"/>
      <c r="E394" s="14" t="s">
        <v>2009</v>
      </c>
      <c r="F394" s="15" t="str">
        <f t="shared" si="12"/>
        <v>MCI-01404</v>
      </c>
      <c r="G394" s="14" t="str">
        <f t="shared" si="13"/>
        <v>MCI-01324RSSH/PP: Community health workers: selection, pre-service training and certification</v>
      </c>
      <c r="H394" s="14" t="str">
        <f t="shared" si="14"/>
        <v>MCI-01324RSSH/PP: Community health workers: selection, pre-service training and certification</v>
      </c>
      <c r="I394" s="15" t="str">
        <f t="shared" si="15"/>
        <v>MCI-01404</v>
      </c>
      <c r="J394" s="14" t="s">
        <v>643</v>
      </c>
      <c r="K394" s="20">
        <v>6350</v>
      </c>
    </row>
    <row r="395" spans="1:11" x14ac:dyDescent="0.25">
      <c r="A395" s="14" t="s">
        <v>1344</v>
      </c>
      <c r="B395" s="15" t="s">
        <v>2010</v>
      </c>
      <c r="C395" s="15" t="s">
        <v>2011</v>
      </c>
      <c r="D395" s="15"/>
      <c r="E395" s="14" t="s">
        <v>2012</v>
      </c>
      <c r="F395" s="15" t="str">
        <f t="shared" si="12"/>
        <v>MCI-01405</v>
      </c>
      <c r="G395" s="14" t="str">
        <f t="shared" si="13"/>
        <v>MCI-01324RSSH/PP: Community health workers: contracting, remuneration and retention</v>
      </c>
      <c r="H395" s="14" t="str">
        <f t="shared" si="14"/>
        <v>MCI-01324RSSH/PP: Community health workers: contracting, remuneration and retention</v>
      </c>
      <c r="I395" s="15" t="str">
        <f t="shared" si="15"/>
        <v>MCI-01405</v>
      </c>
      <c r="J395" s="14" t="s">
        <v>643</v>
      </c>
      <c r="K395" s="20">
        <v>6360</v>
      </c>
    </row>
    <row r="396" spans="1:11" x14ac:dyDescent="0.25">
      <c r="A396" s="14" t="s">
        <v>1344</v>
      </c>
      <c r="B396" s="15" t="s">
        <v>2013</v>
      </c>
      <c r="C396" s="15" t="s">
        <v>2014</v>
      </c>
      <c r="D396" s="15"/>
      <c r="E396" s="14" t="s">
        <v>2015</v>
      </c>
      <c r="F396" s="15" t="str">
        <f t="shared" si="12"/>
        <v>MCI-01406</v>
      </c>
      <c r="G396" s="14" t="str">
        <f t="shared" si="13"/>
        <v>MCI-01324RSSH/PP: Community health workers: In-service training</v>
      </c>
      <c r="H396" s="14" t="str">
        <f t="shared" si="14"/>
        <v>MCI-01324RSSH/PP: Community health workers: In-service training</v>
      </c>
      <c r="I396" s="15" t="str">
        <f t="shared" si="15"/>
        <v>MCI-01406</v>
      </c>
      <c r="J396" s="14" t="s">
        <v>643</v>
      </c>
      <c r="K396" s="20">
        <v>6370</v>
      </c>
    </row>
    <row r="397" spans="1:11" x14ac:dyDescent="0.25">
      <c r="A397" s="14" t="s">
        <v>1344</v>
      </c>
      <c r="B397" s="15" t="s">
        <v>2016</v>
      </c>
      <c r="C397" s="15" t="s">
        <v>2017</v>
      </c>
      <c r="D397" s="15"/>
      <c r="E397" s="14" t="s">
        <v>2018</v>
      </c>
      <c r="F397" s="15" t="str">
        <f t="shared" si="12"/>
        <v>MCI-01407</v>
      </c>
      <c r="G397" s="14" t="str">
        <f t="shared" si="13"/>
        <v>MCI-01324RSSH/PP: Community health workers: Integrated supportive supervision</v>
      </c>
      <c r="H397" s="14" t="str">
        <f t="shared" si="14"/>
        <v>MCI-01324RSSH/PP: Community health workers: Integrated supportive supervision</v>
      </c>
      <c r="I397" s="15" t="str">
        <f t="shared" si="15"/>
        <v>MCI-01407</v>
      </c>
      <c r="J397" s="14" t="s">
        <v>643</v>
      </c>
      <c r="K397" s="20">
        <v>6380</v>
      </c>
    </row>
    <row r="398" spans="1:11" x14ac:dyDescent="0.25">
      <c r="A398" s="14" t="s">
        <v>1368</v>
      </c>
      <c r="B398" s="15" t="s">
        <v>2019</v>
      </c>
      <c r="C398" s="15" t="s">
        <v>2020</v>
      </c>
      <c r="D398" s="15"/>
      <c r="E398" s="14" t="s">
        <v>2021</v>
      </c>
      <c r="F398" s="15" t="str">
        <f t="shared" si="12"/>
        <v>MCI-01485</v>
      </c>
      <c r="G398" s="14" t="str">
        <f t="shared" si="13"/>
        <v>MCI-01325RSSH/PP: National laboratory governance and management structures</v>
      </c>
      <c r="H398" s="14" t="str">
        <f t="shared" si="14"/>
        <v>MCI-01325RSSH/PP: National laboratory governance and management structures</v>
      </c>
      <c r="I398" s="15" t="str">
        <f t="shared" si="15"/>
        <v>MCI-01485</v>
      </c>
      <c r="J398" s="14" t="s">
        <v>643</v>
      </c>
      <c r="K398" s="20">
        <v>6390</v>
      </c>
    </row>
    <row r="399" spans="1:11" x14ac:dyDescent="0.25">
      <c r="A399" s="14" t="s">
        <v>1368</v>
      </c>
      <c r="B399" s="15" t="s">
        <v>2022</v>
      </c>
      <c r="C399" s="15" t="s">
        <v>2023</v>
      </c>
      <c r="D399" s="15"/>
      <c r="E399" s="14" t="s">
        <v>2024</v>
      </c>
      <c r="F399" s="15" t="str">
        <f t="shared" si="12"/>
        <v>MCI-01486</v>
      </c>
      <c r="G399" s="14" t="str">
        <f t="shared" si="13"/>
        <v>MCI-01325RSSH/PP: Quality management systems and accreditation</v>
      </c>
      <c r="H399" s="14" t="str">
        <f t="shared" si="14"/>
        <v>MCI-01325RSSH/PP: Quality management systems and accreditation</v>
      </c>
      <c r="I399" s="15" t="str">
        <f t="shared" si="15"/>
        <v>MCI-01486</v>
      </c>
      <c r="J399" s="14" t="s">
        <v>643</v>
      </c>
      <c r="K399" s="20">
        <v>6400</v>
      </c>
    </row>
    <row r="400" spans="1:11" x14ac:dyDescent="0.25">
      <c r="A400" s="14" t="s">
        <v>1368</v>
      </c>
      <c r="B400" s="15" t="s">
        <v>2025</v>
      </c>
      <c r="C400" s="15" t="s">
        <v>2026</v>
      </c>
      <c r="D400" s="15"/>
      <c r="E400" s="14" t="s">
        <v>2027</v>
      </c>
      <c r="F400" s="15" t="str">
        <f t="shared" si="12"/>
        <v>MCI-01487</v>
      </c>
      <c r="G400" s="14" t="str">
        <f t="shared" si="13"/>
        <v>MCI-01325RSSH/PP: Laboratory Information systems</v>
      </c>
      <c r="H400" s="14" t="str">
        <f t="shared" si="14"/>
        <v>MCI-01325RSSH/PP: Laboratory Information systems</v>
      </c>
      <c r="I400" s="15" t="str">
        <f t="shared" si="15"/>
        <v>MCI-01487</v>
      </c>
      <c r="J400" s="14" t="s">
        <v>643</v>
      </c>
      <c r="K400" s="20">
        <v>6410</v>
      </c>
    </row>
    <row r="401" spans="1:11" x14ac:dyDescent="0.25">
      <c r="A401" s="14" t="s">
        <v>1368</v>
      </c>
      <c r="B401" s="15" t="s">
        <v>2028</v>
      </c>
      <c r="C401" s="15" t="s">
        <v>2029</v>
      </c>
      <c r="D401" s="15"/>
      <c r="E401" s="14" t="s">
        <v>2030</v>
      </c>
      <c r="F401" s="15" t="str">
        <f t="shared" si="12"/>
        <v>MCI-01488</v>
      </c>
      <c r="G401" s="14" t="str">
        <f t="shared" si="13"/>
        <v>MCI-01325RSSH/PP: Network optimization and geospatial analysis</v>
      </c>
      <c r="H401" s="14" t="str">
        <f t="shared" si="14"/>
        <v>MCI-01325RSSH/PP: Network optimization and geospatial analysis</v>
      </c>
      <c r="I401" s="15" t="str">
        <f t="shared" si="15"/>
        <v>MCI-01488</v>
      </c>
      <c r="J401" s="14" t="s">
        <v>643</v>
      </c>
      <c r="K401" s="20">
        <v>6420</v>
      </c>
    </row>
    <row r="402" spans="1:11" x14ac:dyDescent="0.25">
      <c r="A402" s="14" t="s">
        <v>1368</v>
      </c>
      <c r="B402" s="15" t="s">
        <v>2031</v>
      </c>
      <c r="C402" s="15" t="s">
        <v>2032</v>
      </c>
      <c r="D402" s="15"/>
      <c r="E402" s="14" t="s">
        <v>2033</v>
      </c>
      <c r="F402" s="15" t="str">
        <f t="shared" si="12"/>
        <v>MCI-01489</v>
      </c>
      <c r="G402" s="14" t="str">
        <f t="shared" si="13"/>
        <v>MCI-01325RSSH/PP: Laboratory-based surveillance</v>
      </c>
      <c r="H402" s="14" t="str">
        <f t="shared" si="14"/>
        <v>MCI-01325RSSH/PP: Laboratory-based surveillance</v>
      </c>
      <c r="I402" s="15" t="str">
        <f t="shared" si="15"/>
        <v>MCI-01489</v>
      </c>
      <c r="J402" s="14" t="s">
        <v>643</v>
      </c>
      <c r="K402" s="20">
        <v>6425</v>
      </c>
    </row>
    <row r="403" spans="1:11" x14ac:dyDescent="0.25">
      <c r="A403" s="14" t="s">
        <v>1368</v>
      </c>
      <c r="B403" s="15" t="s">
        <v>2034</v>
      </c>
      <c r="C403" s="15" t="s">
        <v>2035</v>
      </c>
      <c r="D403" s="15"/>
      <c r="E403" s="14" t="s">
        <v>2036</v>
      </c>
      <c r="F403" s="15" t="str">
        <f t="shared" si="12"/>
        <v>MCI-01490</v>
      </c>
      <c r="G403" s="14" t="str">
        <f t="shared" si="13"/>
        <v>MCI-01325RSSH/PP: Laboratory supply chain systems</v>
      </c>
      <c r="H403" s="14" t="str">
        <f t="shared" si="14"/>
        <v>MCI-01325RSSH/PP: Laboratory supply chain systems</v>
      </c>
      <c r="I403" s="15" t="str">
        <f t="shared" si="15"/>
        <v>MCI-01490</v>
      </c>
      <c r="J403" s="14" t="s">
        <v>643</v>
      </c>
      <c r="K403" s="20">
        <v>6430</v>
      </c>
    </row>
    <row r="404" spans="1:11" x14ac:dyDescent="0.25">
      <c r="A404" s="14" t="s">
        <v>1368</v>
      </c>
      <c r="B404" s="15" t="s">
        <v>2037</v>
      </c>
      <c r="C404" s="15" t="s">
        <v>2038</v>
      </c>
      <c r="D404" s="15"/>
      <c r="E404" s="14" t="s">
        <v>2039</v>
      </c>
      <c r="F404" s="15" t="str">
        <f t="shared" si="12"/>
        <v>MCI-01491</v>
      </c>
      <c r="G404" s="14" t="str">
        <f t="shared" si="13"/>
        <v>MCI-01325RSSH/PP: Specimen referral and transport system</v>
      </c>
      <c r="H404" s="14" t="str">
        <f t="shared" si="14"/>
        <v>MCI-01325RSSH/PP: Specimen referral and transport system</v>
      </c>
      <c r="I404" s="15" t="str">
        <f t="shared" si="15"/>
        <v>MCI-01491</v>
      </c>
      <c r="J404" s="14" t="s">
        <v>643</v>
      </c>
      <c r="K404" s="20">
        <v>6440</v>
      </c>
    </row>
    <row r="405" spans="1:11" x14ac:dyDescent="0.25">
      <c r="A405" s="14" t="s">
        <v>1368</v>
      </c>
      <c r="B405" s="15" t="s">
        <v>2040</v>
      </c>
      <c r="C405" s="15" t="s">
        <v>2041</v>
      </c>
      <c r="D405" s="15"/>
      <c r="E405" s="14" t="s">
        <v>2042</v>
      </c>
      <c r="F405" s="15" t="str">
        <f t="shared" si="12"/>
        <v>MCI-01492</v>
      </c>
      <c r="G405" s="14" t="str">
        <f t="shared" si="13"/>
        <v>MCI-01325RSSH/PP: Biosafety and biosecurity, infrastructure and equipment</v>
      </c>
      <c r="H405" s="14" t="str">
        <f t="shared" si="14"/>
        <v>MCI-01325RSSH/PP: Biosafety and biosecurity, infrastructure and equipment</v>
      </c>
      <c r="I405" s="15" t="str">
        <f t="shared" si="15"/>
        <v>MCI-01492</v>
      </c>
      <c r="J405" s="14" t="s">
        <v>643</v>
      </c>
      <c r="K405" s="20">
        <v>6450</v>
      </c>
    </row>
    <row r="406" spans="1:11" x14ac:dyDescent="0.25">
      <c r="A406" s="14" t="s">
        <v>1386</v>
      </c>
      <c r="B406" s="15" t="s">
        <v>2043</v>
      </c>
      <c r="C406" s="15" t="s">
        <v>2044</v>
      </c>
      <c r="D406" s="15"/>
      <c r="E406" s="14" t="s">
        <v>2045</v>
      </c>
      <c r="F406" s="15" t="str">
        <f t="shared" si="12"/>
        <v>MCI-01494</v>
      </c>
      <c r="G406" s="14" t="str">
        <f t="shared" si="13"/>
        <v>MCI-01326RSSH/PP: Bulk Oxygen supply</v>
      </c>
      <c r="H406" s="14" t="str">
        <f t="shared" si="14"/>
        <v>MCI-01326RSSH/PP: Bulk Oxygen supply</v>
      </c>
      <c r="I406" s="15" t="str">
        <f t="shared" si="15"/>
        <v>MCI-01494</v>
      </c>
      <c r="J406" s="14" t="s">
        <v>643</v>
      </c>
      <c r="K406" s="20">
        <v>6460</v>
      </c>
    </row>
    <row r="407" spans="1:11" x14ac:dyDescent="0.25">
      <c r="A407" s="14" t="s">
        <v>1386</v>
      </c>
      <c r="B407" s="15" t="s">
        <v>2046</v>
      </c>
      <c r="C407" s="15" t="s">
        <v>2047</v>
      </c>
      <c r="D407" s="15"/>
      <c r="E407" s="14" t="s">
        <v>2048</v>
      </c>
      <c r="F407" s="15" t="str">
        <f t="shared" si="12"/>
        <v>MCI-01495</v>
      </c>
      <c r="G407" s="14" t="str">
        <f t="shared" si="13"/>
        <v>MCI-01326RSSH/PP: Oxygen distribution and storage</v>
      </c>
      <c r="H407" s="14" t="str">
        <f t="shared" si="14"/>
        <v>MCI-01326RSSH/PP: Oxygen distribution and storage</v>
      </c>
      <c r="I407" s="15" t="str">
        <f t="shared" si="15"/>
        <v>MCI-01495</v>
      </c>
      <c r="J407" s="14" t="s">
        <v>643</v>
      </c>
      <c r="K407" s="20">
        <v>6470</v>
      </c>
    </row>
    <row r="408" spans="1:11" x14ac:dyDescent="0.25">
      <c r="A408" s="14" t="s">
        <v>1386</v>
      </c>
      <c r="B408" s="15" t="s">
        <v>2049</v>
      </c>
      <c r="C408" s="15" t="s">
        <v>2050</v>
      </c>
      <c r="D408" s="15"/>
      <c r="E408" s="14" t="s">
        <v>2051</v>
      </c>
      <c r="F408" s="15" t="str">
        <f t="shared" si="12"/>
        <v>MCI-01496</v>
      </c>
      <c r="G408" s="14" t="str">
        <f t="shared" si="13"/>
        <v>MCI-01326RSSH/PP: Oxygen delivery and respiratory care</v>
      </c>
      <c r="H408" s="14" t="str">
        <f t="shared" si="14"/>
        <v>MCI-01326RSSH/PP: Oxygen delivery and respiratory care</v>
      </c>
      <c r="I408" s="15" t="str">
        <f t="shared" si="15"/>
        <v>MCI-01496</v>
      </c>
      <c r="J408" s="14" t="s">
        <v>643</v>
      </c>
      <c r="K408" s="20">
        <v>6480</v>
      </c>
    </row>
    <row r="409" spans="1:11" x14ac:dyDescent="0.25">
      <c r="A409" s="14" t="s">
        <v>1386</v>
      </c>
      <c r="B409" s="15" t="s">
        <v>2052</v>
      </c>
      <c r="C409" s="15" t="s">
        <v>2053</v>
      </c>
      <c r="D409" s="15"/>
      <c r="E409" s="14" t="s">
        <v>2054</v>
      </c>
      <c r="F409" s="15" t="str">
        <f t="shared" si="12"/>
        <v>MCI-01497</v>
      </c>
      <c r="G409" s="14" t="str">
        <f t="shared" si="13"/>
        <v>MCI-01326RSSH/PP: Oxygen support systems</v>
      </c>
      <c r="H409" s="14" t="str">
        <f t="shared" si="14"/>
        <v>MCI-01326RSSH/PP: Oxygen support systems</v>
      </c>
      <c r="I409" s="15" t="str">
        <f t="shared" si="15"/>
        <v>MCI-01497</v>
      </c>
      <c r="J409" s="14" t="s">
        <v>643</v>
      </c>
      <c r="K409" s="20">
        <v>6490</v>
      </c>
    </row>
    <row r="410" spans="1:11" x14ac:dyDescent="0.25">
      <c r="A410" s="14" t="s">
        <v>1391</v>
      </c>
      <c r="B410" s="15" t="s">
        <v>2055</v>
      </c>
      <c r="C410" s="15" t="s">
        <v>2056</v>
      </c>
      <c r="D410" s="15"/>
      <c r="E410" s="14" t="s">
        <v>2057</v>
      </c>
      <c r="F410" s="15" t="str">
        <f t="shared" si="12"/>
        <v>MCI-01426</v>
      </c>
      <c r="G410" s="14" t="str">
        <f t="shared" si="13"/>
        <v>MCI-01327Routine reporting</v>
      </c>
      <c r="H410" s="14" t="str">
        <f t="shared" si="14"/>
        <v>MCI-01327Routine reporting</v>
      </c>
      <c r="I410" s="15" t="str">
        <f t="shared" si="15"/>
        <v>MCI-01426</v>
      </c>
      <c r="J410" s="14" t="s">
        <v>643</v>
      </c>
      <c r="K410" s="20">
        <v>6500</v>
      </c>
    </row>
    <row r="411" spans="1:11" x14ac:dyDescent="0.25">
      <c r="A411" s="14" t="s">
        <v>1391</v>
      </c>
      <c r="B411" s="15" t="s">
        <v>2058</v>
      </c>
      <c r="C411" s="15" t="s">
        <v>2059</v>
      </c>
      <c r="D411" s="15"/>
      <c r="E411" s="14" t="s">
        <v>2060</v>
      </c>
      <c r="F411" s="15" t="str">
        <f t="shared" si="12"/>
        <v>MCI-01427</v>
      </c>
      <c r="G411" s="14" t="str">
        <f t="shared" si="13"/>
        <v>MCI-01327Surveillance for HIV, tuberculosis and malaria</v>
      </c>
      <c r="H411" s="14" t="str">
        <f t="shared" si="14"/>
        <v>MCI-01327Surveillance for HIV, tuberculosis and malaria</v>
      </c>
      <c r="I411" s="15" t="str">
        <f t="shared" si="15"/>
        <v>MCI-01427</v>
      </c>
      <c r="J411" s="14" t="s">
        <v>643</v>
      </c>
      <c r="K411" s="20">
        <v>6510</v>
      </c>
    </row>
    <row r="412" spans="1:11" x14ac:dyDescent="0.25">
      <c r="A412" s="14" t="s">
        <v>1391</v>
      </c>
      <c r="B412" s="15" t="s">
        <v>2061</v>
      </c>
      <c r="C412" s="15" t="s">
        <v>2062</v>
      </c>
      <c r="D412" s="15"/>
      <c r="E412" s="14" t="s">
        <v>2063</v>
      </c>
      <c r="F412" s="15" t="str">
        <f t="shared" si="12"/>
        <v>MCI-01428</v>
      </c>
      <c r="G412" s="14" t="str">
        <f t="shared" si="13"/>
        <v>MCI-01327RSSH/PP: Surveillance for priority epidemic-prone diseases and events</v>
      </c>
      <c r="H412" s="14" t="str">
        <f t="shared" si="14"/>
        <v>MCI-01327RSSH/PP: Surveillance for priority epidemic-prone diseases and events</v>
      </c>
      <c r="I412" s="15" t="str">
        <f t="shared" si="15"/>
        <v>MCI-01428</v>
      </c>
      <c r="J412" s="14" t="s">
        <v>643</v>
      </c>
      <c r="K412" s="20">
        <v>6520</v>
      </c>
    </row>
    <row r="413" spans="1:11" x14ac:dyDescent="0.25">
      <c r="A413" s="14" t="s">
        <v>1391</v>
      </c>
      <c r="B413" s="15" t="s">
        <v>2064</v>
      </c>
      <c r="C413" s="15" t="s">
        <v>2065</v>
      </c>
      <c r="D413" s="15"/>
      <c r="E413" s="14" t="s">
        <v>2066</v>
      </c>
      <c r="F413" s="15" t="str">
        <f t="shared" si="12"/>
        <v>MCI-01429</v>
      </c>
      <c r="G413" s="14" t="str">
        <f t="shared" si="13"/>
        <v>MCI-01327Surveys</v>
      </c>
      <c r="H413" s="14" t="str">
        <f t="shared" si="14"/>
        <v>MCI-01327Surveys</v>
      </c>
      <c r="I413" s="15" t="str">
        <f t="shared" si="15"/>
        <v>MCI-01429</v>
      </c>
      <c r="J413" s="14" t="s">
        <v>643</v>
      </c>
      <c r="K413" s="20">
        <v>6530</v>
      </c>
    </row>
    <row r="414" spans="1:11" x14ac:dyDescent="0.25">
      <c r="A414" s="14" t="s">
        <v>1391</v>
      </c>
      <c r="B414" s="15" t="s">
        <v>2067</v>
      </c>
      <c r="C414" s="15" t="s">
        <v>2068</v>
      </c>
      <c r="D414" s="15"/>
      <c r="E414" s="14" t="s">
        <v>2069</v>
      </c>
      <c r="F414" s="15" t="str">
        <f t="shared" si="12"/>
        <v>MCI-01430</v>
      </c>
      <c r="G414" s="14" t="str">
        <f t="shared" si="13"/>
        <v>MCI-01327Data quality</v>
      </c>
      <c r="H414" s="14" t="str">
        <f t="shared" si="14"/>
        <v>MCI-01327Data quality</v>
      </c>
      <c r="I414" s="15" t="str">
        <f t="shared" si="15"/>
        <v>MCI-01430</v>
      </c>
      <c r="J414" s="14" t="s">
        <v>643</v>
      </c>
      <c r="K414" s="20">
        <v>6540</v>
      </c>
    </row>
    <row r="415" spans="1:11" x14ac:dyDescent="0.25">
      <c r="A415" s="14" t="s">
        <v>1391</v>
      </c>
      <c r="B415" s="15" t="s">
        <v>2070</v>
      </c>
      <c r="C415" s="15" t="s">
        <v>2071</v>
      </c>
      <c r="D415" s="15"/>
      <c r="E415" s="14" t="s">
        <v>2072</v>
      </c>
      <c r="F415" s="15" t="str">
        <f t="shared" si="12"/>
        <v>MCI-01431</v>
      </c>
      <c r="G415" s="14" t="str">
        <f t="shared" si="13"/>
        <v>MCI-01327Analyses, evaluations, reviews and data use</v>
      </c>
      <c r="H415" s="14" t="str">
        <f t="shared" si="14"/>
        <v>MCI-01327Analyses, evaluations, reviews and data use</v>
      </c>
      <c r="I415" s="15" t="str">
        <f t="shared" si="15"/>
        <v>MCI-01431</v>
      </c>
      <c r="J415" s="14" t="s">
        <v>643</v>
      </c>
      <c r="K415" s="20">
        <v>6550</v>
      </c>
    </row>
    <row r="416" spans="1:11" x14ac:dyDescent="0.25">
      <c r="A416" s="14" t="s">
        <v>1391</v>
      </c>
      <c r="B416" s="15" t="s">
        <v>2073</v>
      </c>
      <c r="C416" s="15" t="s">
        <v>2074</v>
      </c>
      <c r="D416" s="15"/>
      <c r="E416" s="14" t="s">
        <v>2075</v>
      </c>
      <c r="F416" s="15" t="str">
        <f t="shared" si="12"/>
        <v>MCI-01432</v>
      </c>
      <c r="G416" s="14" t="str">
        <f t="shared" si="13"/>
        <v>MCI-01327Administrative data sources</v>
      </c>
      <c r="H416" s="14" t="str">
        <f t="shared" si="14"/>
        <v>MCI-01327Administrative data sources</v>
      </c>
      <c r="I416" s="15" t="str">
        <f t="shared" si="15"/>
        <v>MCI-01432</v>
      </c>
      <c r="J416" s="14" t="s">
        <v>643</v>
      </c>
      <c r="K416" s="20">
        <v>6560</v>
      </c>
    </row>
    <row r="417" spans="1:11" x14ac:dyDescent="0.25">
      <c r="A417" s="14" t="s">
        <v>1391</v>
      </c>
      <c r="B417" s="15" t="s">
        <v>2076</v>
      </c>
      <c r="C417" s="15" t="s">
        <v>2077</v>
      </c>
      <c r="D417" s="15"/>
      <c r="E417" s="14" t="s">
        <v>2078</v>
      </c>
      <c r="F417" s="15" t="str">
        <f t="shared" si="12"/>
        <v>MCI-01433</v>
      </c>
      <c r="G417" s="14" t="str">
        <f t="shared" si="13"/>
        <v>MCI-01327Civil registration and vital statistics</v>
      </c>
      <c r="H417" s="14" t="str">
        <f t="shared" si="14"/>
        <v>MCI-01327Civil registration and vital statistics</v>
      </c>
      <c r="I417" s="15" t="str">
        <f t="shared" si="15"/>
        <v>MCI-01433</v>
      </c>
      <c r="J417" s="14" t="s">
        <v>643</v>
      </c>
      <c r="K417" s="20">
        <v>6570</v>
      </c>
    </row>
    <row r="418" spans="1:11" x14ac:dyDescent="0.25">
      <c r="A418" s="14" t="s">
        <v>1391</v>
      </c>
      <c r="B418" s="15" t="s">
        <v>2079</v>
      </c>
      <c r="C418" s="15" t="s">
        <v>2080</v>
      </c>
      <c r="D418" s="15"/>
      <c r="E418" s="14" t="s">
        <v>2081</v>
      </c>
      <c r="F418" s="15" t="str">
        <f t="shared" si="12"/>
        <v>MCI-01434</v>
      </c>
      <c r="G418" s="14" t="str">
        <f t="shared" si="13"/>
        <v>MCI-01327Operational Research</v>
      </c>
      <c r="H418" s="14" t="str">
        <f t="shared" si="14"/>
        <v>MCI-01327Operational Research</v>
      </c>
      <c r="I418" s="15" t="str">
        <f t="shared" si="15"/>
        <v>MCI-01434</v>
      </c>
      <c r="J418" s="14" t="s">
        <v>643</v>
      </c>
      <c r="K418" s="20">
        <v>6580</v>
      </c>
    </row>
    <row r="419" spans="1:11" x14ac:dyDescent="0.25">
      <c r="B419" s="2"/>
    </row>
    <row r="420" spans="1:11" hidden="1" x14ac:dyDescent="0.25">
      <c r="A420" s="2"/>
    </row>
    <row r="421" spans="1:11" hidden="1" x14ac:dyDescent="0.25"/>
    <row r="422" spans="1:11" hidden="1" x14ac:dyDescent="0.25"/>
    <row r="423" spans="1:11" hidden="1" x14ac:dyDescent="0.25"/>
    <row r="424" spans="1:11" hidden="1" x14ac:dyDescent="0.25"/>
    <row r="425" spans="1:11" x14ac:dyDescent="0.25">
      <c r="A425" s="2" t="s">
        <v>291</v>
      </c>
    </row>
    <row r="426" spans="1:11" x14ac:dyDescent="0.25">
      <c r="A426" s="3" t="s">
        <v>2082</v>
      </c>
      <c r="B426" s="24" t="s">
        <v>2083</v>
      </c>
    </row>
    <row r="427" spans="1:11" x14ac:dyDescent="0.25">
      <c r="A427" s="1" t="s">
        <v>2084</v>
      </c>
      <c r="B427" s="24" t="s">
        <v>753</v>
      </c>
      <c r="C427" s="1" t="s">
        <v>2085</v>
      </c>
    </row>
    <row r="428" spans="1:11" x14ac:dyDescent="0.25">
      <c r="A428" s="1" t="s">
        <v>2086</v>
      </c>
      <c r="B428" s="24"/>
    </row>
    <row r="429" spans="1:11" x14ac:dyDescent="0.25">
      <c r="A429" s="1" t="s">
        <v>300</v>
      </c>
    </row>
    <row r="430" spans="1:11" x14ac:dyDescent="0.25">
      <c r="A430" s="2" t="s">
        <v>2087</v>
      </c>
    </row>
    <row r="431" spans="1:11" x14ac:dyDescent="0.25">
      <c r="A431" s="1" t="s">
        <v>2088</v>
      </c>
      <c r="B431" s="24" t="s">
        <v>2083</v>
      </c>
    </row>
    <row r="432" spans="1:11" x14ac:dyDescent="0.25">
      <c r="A432" s="1" t="s">
        <v>2089</v>
      </c>
      <c r="B432" s="24" t="s">
        <v>753</v>
      </c>
      <c r="C432" s="1" t="s">
        <v>2085</v>
      </c>
    </row>
    <row r="434" spans="1:3" hidden="1" x14ac:dyDescent="0.25"/>
    <row r="435" spans="1:3" hidden="1" x14ac:dyDescent="0.25"/>
    <row r="436" spans="1:3" hidden="1" x14ac:dyDescent="0.25"/>
    <row r="437" spans="1:3" hidden="1" x14ac:dyDescent="0.25"/>
    <row r="438" spans="1:3" x14ac:dyDescent="0.25">
      <c r="A438" s="2" t="s">
        <v>2090</v>
      </c>
    </row>
    <row r="439" spans="1:3" x14ac:dyDescent="0.25">
      <c r="A439" s="14" t="s">
        <v>2089</v>
      </c>
      <c r="B439" s="14" t="s">
        <v>2091</v>
      </c>
      <c r="C439" s="14" t="s">
        <v>2092</v>
      </c>
    </row>
    <row r="440" spans="1:3" hidden="1" x14ac:dyDescent="0.25">
      <c r="A440" s="14" t="s">
        <v>2093</v>
      </c>
      <c r="B440" s="14" t="s">
        <v>2094</v>
      </c>
      <c r="C440" s="14" t="s">
        <v>321</v>
      </c>
    </row>
    <row r="441" spans="1:3" x14ac:dyDescent="0.25">
      <c r="A441" s="14"/>
      <c r="B441" s="14"/>
      <c r="C441" s="14"/>
    </row>
    <row r="442" spans="1:3" x14ac:dyDescent="0.25">
      <c r="A442" s="14"/>
      <c r="B442" s="14"/>
      <c r="C442" s="14"/>
    </row>
    <row r="443" spans="1:3" x14ac:dyDescent="0.25">
      <c r="A443" s="14" t="s">
        <v>2095</v>
      </c>
      <c r="B443" s="14"/>
      <c r="C443" s="14" t="s">
        <v>2096</v>
      </c>
    </row>
    <row r="444" spans="1:3" x14ac:dyDescent="0.25">
      <c r="A444" s="14" t="s">
        <v>2097</v>
      </c>
      <c r="B444" s="14"/>
      <c r="C444" s="14" t="s">
        <v>2098</v>
      </c>
    </row>
    <row r="445" spans="1:3" x14ac:dyDescent="0.25">
      <c r="A445" s="14" t="s">
        <v>2099</v>
      </c>
      <c r="B445" s="14"/>
      <c r="C445" s="14" t="s">
        <v>2100</v>
      </c>
    </row>
    <row r="446" spans="1:3" x14ac:dyDescent="0.25">
      <c r="A446" s="14" t="s">
        <v>2101</v>
      </c>
      <c r="B446" s="14"/>
      <c r="C446" s="14" t="s">
        <v>2102</v>
      </c>
    </row>
    <row r="447" spans="1:3" x14ac:dyDescent="0.25">
      <c r="A447" s="14" t="s">
        <v>753</v>
      </c>
      <c r="B447" s="14"/>
      <c r="C447" s="14" t="s">
        <v>2085</v>
      </c>
    </row>
    <row r="448" spans="1:3" x14ac:dyDescent="0.25">
      <c r="A448" s="14" t="s">
        <v>2103</v>
      </c>
      <c r="B448" s="14"/>
      <c r="C448" s="14" t="s">
        <v>2104</v>
      </c>
    </row>
    <row r="449" spans="1:3" x14ac:dyDescent="0.25">
      <c r="A449" s="14" t="s">
        <v>2105</v>
      </c>
      <c r="B449" s="14"/>
      <c r="C449" s="14" t="s">
        <v>2106</v>
      </c>
    </row>
    <row r="450" spans="1:3" x14ac:dyDescent="0.25">
      <c r="A450" s="14" t="s">
        <v>2107</v>
      </c>
      <c r="B450" s="14"/>
      <c r="C450" s="14" t="s">
        <v>2108</v>
      </c>
    </row>
    <row r="451" spans="1:3" x14ac:dyDescent="0.25">
      <c r="A451" s="14" t="s">
        <v>2109</v>
      </c>
      <c r="B451" s="14"/>
      <c r="C451" s="14" t="s">
        <v>2110</v>
      </c>
    </row>
    <row r="452" spans="1:3" x14ac:dyDescent="0.25">
      <c r="A452" s="14" t="s">
        <v>2111</v>
      </c>
      <c r="B452" s="14"/>
      <c r="C452" s="14" t="s">
        <v>2112</v>
      </c>
    </row>
    <row r="453" spans="1:3" x14ac:dyDescent="0.25">
      <c r="A453" s="14" t="s">
        <v>2113</v>
      </c>
      <c r="B453" s="14"/>
      <c r="C453" s="14" t="s">
        <v>2114</v>
      </c>
    </row>
    <row r="454" spans="1:3" x14ac:dyDescent="0.25">
      <c r="A454" s="14" t="s">
        <v>2115</v>
      </c>
      <c r="B454" s="14"/>
      <c r="C454" s="14" t="s">
        <v>2116</v>
      </c>
    </row>
    <row r="455" spans="1:3" x14ac:dyDescent="0.25">
      <c r="A455" s="14" t="s">
        <v>2117</v>
      </c>
      <c r="B455" s="14"/>
      <c r="C455" s="14" t="s">
        <v>2118</v>
      </c>
    </row>
    <row r="456" spans="1:3" x14ac:dyDescent="0.25">
      <c r="A456" s="14" t="s">
        <v>2119</v>
      </c>
      <c r="B456" s="14"/>
      <c r="C456" s="14" t="s">
        <v>2120</v>
      </c>
    </row>
    <row r="457" spans="1:3" x14ac:dyDescent="0.25">
      <c r="A457" s="14" t="s">
        <v>2121</v>
      </c>
      <c r="B457" s="14"/>
      <c r="C457" s="14" t="s">
        <v>2122</v>
      </c>
    </row>
    <row r="458" spans="1:3" x14ac:dyDescent="0.25">
      <c r="A458" s="14" t="s">
        <v>2123</v>
      </c>
      <c r="B458" s="14"/>
      <c r="C458" s="14" t="s">
        <v>2124</v>
      </c>
    </row>
    <row r="459" spans="1:3" x14ac:dyDescent="0.25">
      <c r="A459" s="14" t="s">
        <v>2125</v>
      </c>
      <c r="B459" s="14"/>
      <c r="C459" s="14" t="s">
        <v>2126</v>
      </c>
    </row>
    <row r="460" spans="1:3" x14ac:dyDescent="0.25">
      <c r="A460" s="14" t="s">
        <v>2127</v>
      </c>
      <c r="B460" s="14"/>
      <c r="C460" s="14" t="s">
        <v>2128</v>
      </c>
    </row>
    <row r="461" spans="1:3" x14ac:dyDescent="0.25">
      <c r="A461" s="14" t="s">
        <v>2129</v>
      </c>
      <c r="B461" s="14"/>
      <c r="C461" s="14" t="s">
        <v>2130</v>
      </c>
    </row>
    <row r="462" spans="1:3" x14ac:dyDescent="0.25">
      <c r="A462" s="14"/>
      <c r="B462" s="14"/>
      <c r="C462" s="14"/>
    </row>
    <row r="463" spans="1:3" x14ac:dyDescent="0.25">
      <c r="A463" s="14"/>
      <c r="B463" s="14"/>
      <c r="C463" s="14"/>
    </row>
    <row r="464" spans="1:3" x14ac:dyDescent="0.25">
      <c r="A464" s="14"/>
      <c r="B464" s="14"/>
      <c r="C464" s="14"/>
    </row>
    <row r="465" spans="1:3" x14ac:dyDescent="0.25">
      <c r="A465" s="14"/>
      <c r="B465" s="14"/>
      <c r="C465" s="14"/>
    </row>
    <row r="466" spans="1:3" x14ac:dyDescent="0.25">
      <c r="A466" s="14"/>
      <c r="B466" s="14"/>
      <c r="C466" s="14"/>
    </row>
    <row r="467" spans="1:3" x14ac:dyDescent="0.25">
      <c r="A467" s="14"/>
      <c r="B467" s="14"/>
      <c r="C467" s="14"/>
    </row>
    <row r="468" spans="1:3" x14ac:dyDescent="0.25">
      <c r="A468" s="14"/>
      <c r="B468" s="14"/>
      <c r="C468" s="14"/>
    </row>
    <row r="469" spans="1:3" x14ac:dyDescent="0.25">
      <c r="A469" s="14" t="s">
        <v>2131</v>
      </c>
      <c r="B469" s="14"/>
      <c r="C469" s="14" t="s">
        <v>2132</v>
      </c>
    </row>
    <row r="470" spans="1:3" x14ac:dyDescent="0.25">
      <c r="A470" s="14" t="s">
        <v>2133</v>
      </c>
      <c r="B470" s="14"/>
      <c r="C470" s="14" t="s">
        <v>2134</v>
      </c>
    </row>
    <row r="471" spans="1:3" x14ac:dyDescent="0.25">
      <c r="A471" s="14" t="s">
        <v>2135</v>
      </c>
      <c r="B471" s="14"/>
      <c r="C471" s="14" t="s">
        <v>2136</v>
      </c>
    </row>
    <row r="472" spans="1:3" x14ac:dyDescent="0.25">
      <c r="A472" s="14" t="s">
        <v>2137</v>
      </c>
      <c r="B472" s="14"/>
      <c r="C472" s="14" t="s">
        <v>2138</v>
      </c>
    </row>
    <row r="473" spans="1:3" x14ac:dyDescent="0.25">
      <c r="A473" s="14" t="s">
        <v>2139</v>
      </c>
      <c r="B473" s="14"/>
      <c r="C473" s="14" t="s">
        <v>2140</v>
      </c>
    </row>
    <row r="474" spans="1:3" x14ac:dyDescent="0.25">
      <c r="A474" s="14" t="s">
        <v>2141</v>
      </c>
      <c r="B474" s="14"/>
      <c r="C474" s="14" t="s">
        <v>2142</v>
      </c>
    </row>
    <row r="475" spans="1:3" x14ac:dyDescent="0.25">
      <c r="A475" s="14"/>
      <c r="B475" s="14"/>
      <c r="C475" s="14"/>
    </row>
    <row r="476" spans="1:3" x14ac:dyDescent="0.25">
      <c r="A476" s="14"/>
      <c r="B476" s="14"/>
      <c r="C476" s="14"/>
    </row>
    <row r="477" spans="1:3" x14ac:dyDescent="0.25">
      <c r="A477" s="14" t="s">
        <v>2141</v>
      </c>
      <c r="B477" s="14"/>
      <c r="C477" s="14" t="s">
        <v>2142</v>
      </c>
    </row>
    <row r="478" spans="1:3" x14ac:dyDescent="0.25">
      <c r="A478" s="14"/>
      <c r="B478" s="14"/>
      <c r="C478" s="14"/>
    </row>
    <row r="479" spans="1:3" x14ac:dyDescent="0.25">
      <c r="A479" s="14"/>
      <c r="B479" s="14"/>
      <c r="C479" s="14"/>
    </row>
    <row r="480" spans="1:3" x14ac:dyDescent="0.25">
      <c r="A480" s="14"/>
      <c r="B480" s="14"/>
      <c r="C480" s="14"/>
    </row>
    <row r="481" spans="1:3" x14ac:dyDescent="0.25">
      <c r="A481" s="14"/>
      <c r="B481" s="14"/>
      <c r="C481" s="14"/>
    </row>
    <row r="482" spans="1:3" x14ac:dyDescent="0.25">
      <c r="A482" s="14"/>
      <c r="B482" s="14"/>
      <c r="C482" s="14"/>
    </row>
    <row r="483" spans="1:3" x14ac:dyDescent="0.25">
      <c r="A483" s="14"/>
      <c r="B483" s="14"/>
      <c r="C483" s="14"/>
    </row>
    <row r="484" spans="1:3" x14ac:dyDescent="0.25">
      <c r="A484" s="14"/>
      <c r="B484" s="14"/>
      <c r="C484" s="14"/>
    </row>
    <row r="485" spans="1:3" x14ac:dyDescent="0.25">
      <c r="A485" s="14"/>
      <c r="B485" s="14"/>
      <c r="C485" s="14"/>
    </row>
    <row r="486" spans="1:3" x14ac:dyDescent="0.25">
      <c r="A486" s="14"/>
      <c r="B486" s="14"/>
      <c r="C486" s="14"/>
    </row>
    <row r="487" spans="1:3" x14ac:dyDescent="0.25">
      <c r="A487" s="14"/>
      <c r="B487" s="14"/>
      <c r="C487" s="14"/>
    </row>
    <row r="488" spans="1:3" x14ac:dyDescent="0.25">
      <c r="A488" s="14"/>
      <c r="B488" s="14"/>
      <c r="C488" s="14"/>
    </row>
    <row r="489" spans="1:3" x14ac:dyDescent="0.25">
      <c r="A489" s="14"/>
      <c r="B489" s="14"/>
      <c r="C489" s="14"/>
    </row>
    <row r="490" spans="1:3" x14ac:dyDescent="0.25">
      <c r="A490" s="14"/>
      <c r="B490" s="14"/>
      <c r="C490" s="14"/>
    </row>
    <row r="491" spans="1:3" x14ac:dyDescent="0.25">
      <c r="A491" s="14"/>
      <c r="B491" s="14"/>
      <c r="C491" s="14"/>
    </row>
    <row r="492" spans="1:3" x14ac:dyDescent="0.25">
      <c r="A492" s="14"/>
      <c r="B492" s="14"/>
      <c r="C492" s="14"/>
    </row>
    <row r="493" spans="1:3" x14ac:dyDescent="0.25">
      <c r="A493" s="14"/>
      <c r="B493" s="14"/>
      <c r="C493" s="14"/>
    </row>
    <row r="494" spans="1:3" x14ac:dyDescent="0.25">
      <c r="A494" s="14"/>
      <c r="B494" s="14"/>
      <c r="C494" s="14"/>
    </row>
    <row r="496" spans="1:3" x14ac:dyDescent="0.25">
      <c r="A496" s="2" t="s">
        <v>2143</v>
      </c>
    </row>
    <row r="497" spans="1:10" x14ac:dyDescent="0.25">
      <c r="A497" s="1" t="s">
        <v>2084</v>
      </c>
      <c r="B497" s="1" t="s">
        <v>2144</v>
      </c>
      <c r="C497" s="1" t="s">
        <v>2092</v>
      </c>
    </row>
    <row r="498" spans="1:10" hidden="1" x14ac:dyDescent="0.25">
      <c r="A498" s="1" t="s">
        <v>2145</v>
      </c>
      <c r="B498" s="1" t="s">
        <v>2146</v>
      </c>
      <c r="C498" s="1" t="s">
        <v>321</v>
      </c>
    </row>
    <row r="500" spans="1:10" x14ac:dyDescent="0.25">
      <c r="A500" s="2" t="s">
        <v>2147</v>
      </c>
    </row>
    <row r="501" spans="1:10" x14ac:dyDescent="0.25">
      <c r="A501" s="1" t="s">
        <v>297</v>
      </c>
      <c r="B501" s="24"/>
    </row>
    <row r="503" spans="1:10" x14ac:dyDescent="0.25">
      <c r="A503" s="2" t="s">
        <v>2148</v>
      </c>
    </row>
    <row r="504" spans="1:10" x14ac:dyDescent="0.25">
      <c r="A504" s="1" t="s">
        <v>2149</v>
      </c>
      <c r="B504" s="1" t="b">
        <f>IFERROR(TRUE,FALSE)</f>
        <v>1</v>
      </c>
    </row>
    <row r="506" spans="1:10" x14ac:dyDescent="0.25">
      <c r="A506" s="23" t="s">
        <v>2150</v>
      </c>
    </row>
    <row r="507" spans="1:10" x14ac:dyDescent="0.25">
      <c r="B507" s="1" t="s">
        <v>318</v>
      </c>
      <c r="C507" s="1" t="s">
        <v>784</v>
      </c>
      <c r="D507" s="1" t="s">
        <v>791</v>
      </c>
      <c r="E507" s="1" t="s">
        <v>1428</v>
      </c>
      <c r="F507" s="1" t="s">
        <v>1047</v>
      </c>
      <c r="J507" s="1" t="s">
        <v>641</v>
      </c>
    </row>
    <row r="508" spans="1:10" hidden="1" x14ac:dyDescent="0.25">
      <c r="B508" s="1" t="s">
        <v>321</v>
      </c>
      <c r="C508" s="1" t="s">
        <v>2151</v>
      </c>
      <c r="D508" s="1" t="s">
        <v>799</v>
      </c>
      <c r="E508" s="1" t="s">
        <v>1054</v>
      </c>
      <c r="F508" s="1" t="s">
        <v>1055</v>
      </c>
      <c r="G508" s="1" t="str">
        <f>E508&amp;"|"&amp;C508</f>
        <v>[Module (Name)]|No  Applicate</v>
      </c>
      <c r="H508" s="1" t="str">
        <f>E508&amp;"|"&amp;F508</f>
        <v>[Module (Name)]|[Name ID]</v>
      </c>
      <c r="I508" s="1" t="str">
        <f>B508</f>
        <v>[Record ID]</v>
      </c>
      <c r="J508" s="1" t="s">
        <v>2152</v>
      </c>
    </row>
    <row r="511" spans="1:10" x14ac:dyDescent="0.25">
      <c r="A511" s="23" t="s">
        <v>2153</v>
      </c>
    </row>
    <row r="512" spans="1:10" x14ac:dyDescent="0.25">
      <c r="A512" s="1" t="s">
        <v>641</v>
      </c>
      <c r="B512" s="1" t="s">
        <v>318</v>
      </c>
      <c r="C512" s="1" t="s">
        <v>784</v>
      </c>
      <c r="E512" s="1" t="s">
        <v>1047</v>
      </c>
      <c r="F512" s="1" t="s">
        <v>1428</v>
      </c>
      <c r="G512" s="1" t="str">
        <f>C512</f>
        <v>Name</v>
      </c>
      <c r="H512" s="1" t="s">
        <v>791</v>
      </c>
    </row>
    <row r="513" spans="1:8" hidden="1" x14ac:dyDescent="0.25">
      <c r="A513" s="1" t="s">
        <v>2152</v>
      </c>
      <c r="B513" s="1" t="s">
        <v>321</v>
      </c>
      <c r="C513" s="1" t="s">
        <v>2154</v>
      </c>
      <c r="E513" s="1" t="s">
        <v>1055</v>
      </c>
      <c r="F513" s="1" t="s">
        <v>1054</v>
      </c>
      <c r="G513" s="1" t="str">
        <f>C513</f>
        <v>[Name]</v>
      </c>
      <c r="H513" s="1" t="s">
        <v>799</v>
      </c>
    </row>
  </sheetData>
  <dataValidations disablePrompts="1" count="5">
    <dataValidation type="custom" allowBlank="1" showInputMessage="1" showErrorMessage="1" errorTitle="X-Author for Excel" error="Id and Lookup fields are not editable." promptTitle="X-Author for Excel" sqref="G4:G23 G27:G83 G192:H249 G87:G188 E253:E418 C440:C494 A429 C432 C427:C428">
      <formula1>""</formula1>
    </dataValidation>
    <dataValidation type="list" allowBlank="1" showInputMessage="1" showErrorMessage="1" errorTitle="X-Author for Excel" error="Please select either TRUE or FALSE from the dropdown." promptTitle="X-Author for Excel" sqref="B504 L87:L188 J87:J188 O27:O80 O4:O20">
      <formula1>"TRUE,FALSE"</formula1>
    </dataValidation>
    <dataValidation type="list" allowBlank="1" showInputMessage="1" showErrorMessage="1" errorTitle="X-Author for Excel" error="Please select a value from the drop-down." promptTitle="X-Author for Excel" sqref="B501">
      <formula1>IF(IFERROR(ROWS(INDIRECT(SUBSTITUTE("AIM_Grant_Revision__c.aim_revision_type__c"," ","_"))),-1) &lt; 0, XAE_Invalid_PLData,INDIRECT(SUBSTITUTE("AIM_Grant_Revision__c.aim_revision_type__c"," ","_")))</formula1>
    </dataValidation>
    <dataValidation type="decimal" allowBlank="1" showInputMessage="1" showErrorMessage="1" errorTitle="X-Author for Excel" error="Please enter a valid numeric value. Valid range for Sort Order is -999999 to 999999." promptTitle="X-Author for Excel" sqref="P4:P20 K253:K418 M87:M188 N192:N242 P27:P80">
      <formula1>-999999</formula1>
      <formula2>999999</formula2>
    </dataValidation>
    <dataValidation type="list" allowBlank="1" showInputMessage="1" showErrorMessage="1" errorTitle="X-Author for Excel" error="Please select a value from the drop-down." promptTitle="X-Author for Excel" sqref="P192:P242 K87:K188">
      <formula1>IF(IFERROR(ROWS(INDIRECT(SUBSTITUTE("AIM_Module_Coverage_Interventio_Comp_Ref__c.L1FR_Cumulation_Type__c"," ","_"))),-1) &lt; 0, XAE_Invalid_PLData,INDIRECT(SUBSTITUTE("AIM_Module_Coverage_Interventio_Comp_Ref__c.L1FR_Cumulation_Type__c"," ","_")))</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W100"/>
  <sheetViews>
    <sheetView showGridLines="0" topLeftCell="A7" zoomScale="78" zoomScaleNormal="78" workbookViewId="0">
      <pane xSplit="2" ySplit="2" topLeftCell="U13" activePane="bottomRight" state="frozen"/>
      <selection pane="topRight" activeCell="C7" sqref="C7"/>
      <selection pane="bottomLeft" activeCell="A9" sqref="A9"/>
      <selection pane="bottomRight" activeCell="AA11" sqref="AA11:AA12"/>
    </sheetView>
  </sheetViews>
  <sheetFormatPr defaultColWidth="8.59765625" defaultRowHeight="13.8" x14ac:dyDescent="0.25"/>
  <cols>
    <col min="1" max="1" width="16" style="52" customWidth="1"/>
    <col min="2" max="3" width="30.59765625" style="52" customWidth="1"/>
    <col min="4" max="4" width="16.59765625" style="52" customWidth="1"/>
    <col min="5" max="5" width="13.296875" style="52" customWidth="1"/>
    <col min="6" max="6" width="14.09765625" style="52" customWidth="1"/>
    <col min="7" max="7" width="18.796875" style="52" customWidth="1"/>
    <col min="8" max="8" width="40.59765625" style="52" customWidth="1"/>
    <col min="9" max="9" width="30.59765625" style="52" customWidth="1"/>
    <col min="10" max="10" width="17.5" style="52" customWidth="1"/>
    <col min="11" max="11" width="13.5" style="52" customWidth="1"/>
    <col min="12" max="12" width="11.59765625" style="52" customWidth="1"/>
    <col min="13" max="13" width="18.59765625" style="52" customWidth="1"/>
    <col min="14" max="14" width="15.09765625" style="52" customWidth="1"/>
    <col min="15" max="15" width="13.5" style="52" customWidth="1"/>
    <col min="16" max="16" width="11.59765625" style="52" customWidth="1"/>
    <col min="17" max="17" width="18.59765625" style="52" customWidth="1"/>
    <col min="18" max="18" width="14.09765625" style="52" customWidth="1"/>
    <col min="19" max="19" width="13.5" style="52" customWidth="1"/>
    <col min="20" max="20" width="11.59765625" style="52" customWidth="1"/>
    <col min="21" max="21" width="18.59765625" style="52" customWidth="1"/>
    <col min="22" max="22" width="14.5" style="52" customWidth="1"/>
    <col min="23" max="23" width="13.5" style="52" customWidth="1"/>
    <col min="24" max="24" width="11.59765625" style="52" customWidth="1"/>
    <col min="25" max="25" width="18.59765625" style="52" customWidth="1"/>
    <col min="26" max="26" width="13.09765625" style="52" customWidth="1"/>
    <col min="27" max="27" width="50.59765625" style="52" customWidth="1"/>
    <col min="28" max="28" width="15.296875" style="52" hidden="1" customWidth="1"/>
    <col min="29" max="29" width="12.296875" style="52" hidden="1" customWidth="1"/>
    <col min="30" max="30" width="12.5" style="52" hidden="1" customWidth="1"/>
    <col min="31" max="31" width="15.5" style="52" hidden="1" customWidth="1"/>
    <col min="32" max="32" width="23.296875" style="52" hidden="1" customWidth="1"/>
    <col min="33" max="52" width="0" style="52" hidden="1" customWidth="1"/>
    <col min="53" max="53" width="30.5" style="137" customWidth="1"/>
    <col min="54" max="54" width="21.5" style="138" hidden="1" customWidth="1"/>
    <col min="55" max="55" width="28.09765625" style="138" hidden="1" customWidth="1"/>
    <col min="56" max="60" width="5.09765625" style="138" hidden="1" customWidth="1"/>
    <col min="61" max="65" width="9.59765625" style="138" hidden="1" customWidth="1"/>
    <col min="66" max="66" width="11.296875" style="138" hidden="1" customWidth="1"/>
    <col min="67" max="67" width="11" style="138" hidden="1" customWidth="1"/>
    <col min="68" max="68" width="18.59765625" style="159" hidden="1" customWidth="1"/>
    <col min="69" max="69" width="19.5" style="130" hidden="1" customWidth="1"/>
    <col min="70" max="70" width="19.59765625" style="130" hidden="1" customWidth="1"/>
    <col min="71" max="71" width="19.296875" style="130" hidden="1" customWidth="1"/>
    <col min="72" max="72" width="16.59765625" style="130" hidden="1" customWidth="1"/>
    <col min="73" max="73" width="13.5" style="130" hidden="1" customWidth="1"/>
    <col min="74" max="74" width="14.5" style="130" hidden="1" customWidth="1"/>
    <col min="75" max="75" width="9" style="130"/>
    <col min="76" max="16384" width="8.59765625" style="52"/>
  </cols>
  <sheetData>
    <row r="1" spans="1:74" ht="15.6" customHeight="1" x14ac:dyDescent="0.25">
      <c r="A1" s="557" t="s">
        <v>2155</v>
      </c>
      <c r="B1" s="557"/>
      <c r="C1" s="557"/>
      <c r="D1" s="557"/>
      <c r="E1" s="557"/>
      <c r="F1" s="557"/>
      <c r="G1" s="557"/>
      <c r="H1" s="158"/>
    </row>
    <row r="2" spans="1:74" ht="16.350000000000001" customHeight="1" x14ac:dyDescent="0.25">
      <c r="A2" s="557"/>
      <c r="B2" s="557"/>
      <c r="C2" s="557"/>
      <c r="D2" s="557"/>
      <c r="E2" s="557"/>
      <c r="F2" s="557"/>
      <c r="G2" s="557"/>
      <c r="H2" s="158"/>
      <c r="N2" s="160"/>
    </row>
    <row r="3" spans="1:74" ht="14.4" thickBot="1" x14ac:dyDescent="0.3"/>
    <row r="4" spans="1:74" ht="14.4" thickBot="1" x14ac:dyDescent="0.3">
      <c r="A4" s="112" t="s">
        <v>89</v>
      </c>
      <c r="B4" s="113" t="s">
        <v>306</v>
      </c>
      <c r="C4" s="113" t="s">
        <v>736</v>
      </c>
    </row>
    <row r="5" spans="1:74" ht="14.4" thickBot="1" x14ac:dyDescent="0.3">
      <c r="A5" s="112" t="s">
        <v>91</v>
      </c>
      <c r="B5" s="140">
        <f ca="1">MAX(A9:A38) - COUNTIF(BA9:BA38,"No Error")</f>
        <v>1</v>
      </c>
      <c r="K5" s="114">
        <v>2</v>
      </c>
      <c r="O5" s="114">
        <v>3</v>
      </c>
      <c r="S5" s="114">
        <v>4</v>
      </c>
      <c r="W5" s="114">
        <v>5</v>
      </c>
    </row>
    <row r="7" spans="1:74" x14ac:dyDescent="0.25">
      <c r="A7" s="115"/>
      <c r="B7" s="115"/>
      <c r="C7" s="115"/>
      <c r="D7" s="115"/>
      <c r="E7" s="115"/>
      <c r="F7" s="115"/>
      <c r="G7" s="115"/>
      <c r="H7" s="115"/>
      <c r="I7" s="115"/>
      <c r="J7" s="116"/>
      <c r="K7" s="512">
        <f ca="1">IFERROR(IF(YEAR(INDEX('Overview - Section A'!$A$47:$A$54,MATCH(K5,'Overview - Section A'!$B$47:$B$54,0)))&lt;=YEAR('Overview - Section A'!$E$8),YEAR(INDEX('Overview - Section A'!$A$47:$A$54,MATCH($K$5,'Overview - Section A'!$B$47:$B$54,0))),""),"")</f>
        <v>2024</v>
      </c>
      <c r="L7" s="512"/>
      <c r="M7" s="512"/>
      <c r="N7" s="515"/>
      <c r="O7" s="514">
        <f ca="1">IFERROR(IF(K7+1&lt;=YEAR('Overview - Section A'!$E$8),K7+1,""),"")</f>
        <v>2025</v>
      </c>
      <c r="P7" s="512"/>
      <c r="Q7" s="512"/>
      <c r="R7" s="515"/>
      <c r="S7" s="514">
        <f ca="1">IFERROR(IF(O7+1&lt;=YEAR('Overview - Section A'!$E$8),O7+1,""),"")</f>
        <v>2026</v>
      </c>
      <c r="T7" s="512"/>
      <c r="U7" s="512"/>
      <c r="V7" s="515"/>
      <c r="W7" s="514" t="str">
        <f ca="1">IFERROR(IF(S7+1&lt;=YEAR('Overview - Section A'!$E$8),S7+1,""),"")</f>
        <v/>
      </c>
      <c r="X7" s="512"/>
      <c r="Y7" s="512"/>
      <c r="Z7" s="5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61"/>
    </row>
    <row r="8" spans="1:74" ht="60" customHeight="1" x14ac:dyDescent="0.25">
      <c r="A8" s="118" t="s">
        <v>2156</v>
      </c>
      <c r="B8" s="118" t="s">
        <v>738</v>
      </c>
      <c r="C8" s="118" t="s">
        <v>739</v>
      </c>
      <c r="D8" s="120" t="s">
        <v>740</v>
      </c>
      <c r="E8" s="118" t="s">
        <v>105</v>
      </c>
      <c r="F8" s="118" t="s">
        <v>741</v>
      </c>
      <c r="G8" s="118" t="s">
        <v>199</v>
      </c>
      <c r="H8" s="118" t="s">
        <v>742</v>
      </c>
      <c r="I8" s="118" t="s">
        <v>120</v>
      </c>
      <c r="J8" s="118" t="s">
        <v>127</v>
      </c>
      <c r="K8" s="118" t="s">
        <v>743</v>
      </c>
      <c r="L8" s="118" t="s">
        <v>225</v>
      </c>
      <c r="M8" s="118" t="s">
        <v>744</v>
      </c>
      <c r="N8" s="118" t="s">
        <v>745</v>
      </c>
      <c r="O8" s="118" t="s">
        <v>743</v>
      </c>
      <c r="P8" s="118" t="s">
        <v>225</v>
      </c>
      <c r="Q8" s="118" t="s">
        <v>744</v>
      </c>
      <c r="R8" s="118" t="s">
        <v>745</v>
      </c>
      <c r="S8" s="118" t="s">
        <v>743</v>
      </c>
      <c r="T8" s="118" t="s">
        <v>225</v>
      </c>
      <c r="U8" s="118" t="s">
        <v>744</v>
      </c>
      <c r="V8" s="118" t="s">
        <v>745</v>
      </c>
      <c r="W8" s="118" t="s">
        <v>743</v>
      </c>
      <c r="X8" s="118" t="s">
        <v>225</v>
      </c>
      <c r="Y8" s="118" t="s">
        <v>744</v>
      </c>
      <c r="Z8" s="118" t="s">
        <v>745</v>
      </c>
      <c r="AA8" s="118" t="s">
        <v>176</v>
      </c>
      <c r="BA8" s="143" t="s">
        <v>157</v>
      </c>
      <c r="BP8" s="159" t="s">
        <v>2157</v>
      </c>
    </row>
    <row r="9" spans="1:74" ht="42" customHeight="1" x14ac:dyDescent="0.25">
      <c r="A9" s="558">
        <v>1</v>
      </c>
      <c r="B9" s="521" t="s">
        <v>868</v>
      </c>
      <c r="C9" s="521"/>
      <c r="D9" s="162"/>
      <c r="E9" s="539">
        <v>0.53</v>
      </c>
      <c r="F9" s="521">
        <v>2021</v>
      </c>
      <c r="G9" s="509" t="s">
        <v>756</v>
      </c>
      <c r="H9" s="535" t="str">
        <f>AB9</f>
        <v/>
      </c>
      <c r="I9" s="493" t="s">
        <v>752</v>
      </c>
      <c r="J9" s="521"/>
      <c r="K9" s="162"/>
      <c r="L9" s="523"/>
      <c r="M9" s="525"/>
      <c r="N9" s="521"/>
      <c r="O9" s="162"/>
      <c r="P9" s="523">
        <v>0.6</v>
      </c>
      <c r="Q9" s="525"/>
      <c r="R9" s="521"/>
      <c r="S9" s="162"/>
      <c r="T9" s="523" t="str">
        <f ca="1">IF(OR(INDIRECT("'update Helper'!K"&amp;AD9+2)="",S9&lt;&gt;0,S10&lt;&gt;0),IF(IFERROR((S9/S10),"")="","",(S9/S10)),INDIRECT("'update Helper'!K"&amp;AD9+2)/100)</f>
        <v/>
      </c>
      <c r="U9" s="525"/>
      <c r="V9" s="521"/>
      <c r="W9" s="162"/>
      <c r="X9" s="523" t="str">
        <f ca="1">IF(OR(INDIRECT("'update Helper'!K"&amp;AD9+3)="",W9&lt;&gt;0,W10&lt;&gt;0),IF(IFERROR((W9/W10),"")="","",(W9/W10)),INDIRECT("'update Helper'!K"&amp;AD9+3)/100)</f>
        <v/>
      </c>
      <c r="Y9" s="525"/>
      <c r="Z9" s="521"/>
      <c r="AA9" s="521" t="s">
        <v>2158</v>
      </c>
      <c r="AB9" s="52" t="str">
        <f t="array" ref="AB9">IFERROR(IF(INDEX('Reference Records'!$D$27:$D$84,MATCH(LEFT(B9,255),LEFT('Reference Records'!$C$27:$C$84,255),0))=0,"",INDEX('Reference Records'!$D$27:$D$84,MATCH(LEFT(B9,255),LEFT('Reference Records'!$C$27:$C$84,255),0))),"")</f>
        <v/>
      </c>
      <c r="AC9" s="52" t="str">
        <f>B9&amp;C9</f>
        <v>HIV O-4a⁽ᴹ⁾ Percentage of men reporting using a condom the last time they had anal sex with a male partner</v>
      </c>
      <c r="AD9" s="52">
        <f>ROW(Outcome_indicators_Targets__section_C)+3</f>
        <v>268</v>
      </c>
      <c r="AE9" s="52">
        <f>ROW(Outcome_indicators__section_C)+3</f>
        <v>228</v>
      </c>
      <c r="BA9" s="516" t="str">
        <f ca="1">IF(AND(BU9="Continue",BV9="Continue"),"No Error",IF(AND(BU9&lt;&gt;"Continue",BV9="Continue"),BU9,IF(AND(BV9&lt;&gt;"Continue",BU9="Continue"),BV9,CONCATENATE(BU9,CHAR(10),BV9))))</f>
        <v>No Error</v>
      </c>
      <c r="BB9" s="520" t="str" cm="1">
        <f t="array" ref="BB9">IF(ISBLANK(B9),"Continue",(IF(IFERROR(_xlfn.XMATCH(B9,LEFT('Reference Records'!$I$26:$I$81,32768),0),0)&lt;&gt;0,"Continue"," Invalid indicator entry. Select from dropdown list.")))</f>
        <v>Continue</v>
      </c>
      <c r="BC9" s="520" t="str">
        <f>IF(SUM(BD9:BH10)=0, "Continue", "Enter valid number only.")</f>
        <v>Continue</v>
      </c>
      <c r="BD9" s="150">
        <f>IF(NOT(ISBLANK(D9)),IF(D9&lt;&gt;"",(IF(NOT(ISNUMBER(D9)),1,0)),0),0)</f>
        <v>0</v>
      </c>
      <c r="BE9" s="150">
        <f>IF(NOT(ISBLANK(K9)),IF(K9&lt;&gt;"",(IF(NOT(ISNUMBER(K9)),1,0)),0),0)</f>
        <v>0</v>
      </c>
      <c r="BF9" s="150">
        <f>IF(NOT(ISBLANK(O9)),IF(O9&lt;&gt;"",(IF(NOT(ISNUMBER(O9)),1,0)),0),0)</f>
        <v>0</v>
      </c>
      <c r="BG9" s="150">
        <f>IF(NOT(ISBLANK(S9)),IF(S9&lt;&gt;"",(IF(NOT(ISNUMBER(S9)),1,0)),0),0)</f>
        <v>0</v>
      </c>
      <c r="BH9" s="150">
        <f>IF(NOT(ISBLANK(W9)),IF(W9&lt;&gt;"",(IF(NOT(ISNUMBER(W9)),1,0)),0),0)</f>
        <v>0</v>
      </c>
      <c r="BI9" s="477">
        <f>IF(NOT(ISBLANK(E9)),IF(E9&lt;&gt;"",(IF(NOT(ISNUMBER(E9)),1,0)),0),0)</f>
        <v>0</v>
      </c>
      <c r="BJ9" s="477">
        <f>IF(NOT(ISBLANK(L9)),IF(L9&lt;&gt;"",(IF(NOT(ISNUMBER(L9)),1,0)),0),0)</f>
        <v>0</v>
      </c>
      <c r="BK9" s="477">
        <f>IF(NOT(ISBLANK(P9)),IF(P9&lt;&gt;"",(IF(NOT(ISNUMBER(P9)),1,0)),0),0)</f>
        <v>0</v>
      </c>
      <c r="BL9" s="477">
        <f ca="1">IF(NOT(ISBLANK(T9)),IF(T9&lt;&gt;"",(IF(NOT(ISNUMBER(T9)),1,0)),0),0)</f>
        <v>0</v>
      </c>
      <c r="BM9" s="477">
        <f ca="1">IF(NOT(ISBLANK(X9)),IF(X9&lt;&gt;"",(IF(NOT(ISNUMBER(X9)),1,0)),0),0)</f>
        <v>0</v>
      </c>
      <c r="BN9" s="477" t="str">
        <f ca="1">IF(SUM(BI9:BM10)=0, "Continue", "Enter valid number only.")</f>
        <v>Continue</v>
      </c>
      <c r="BO9" s="477" t="str">
        <f ca="1">IF(AND(BC9="Continue",BN9="Continue"),"Continue",IF(AND(BC9&lt;&gt;"Continue",BN9="Continue"),BC9,IF(AND(BN9&lt;&gt;"Continue",BC9="Continue"),BN9,CONCATENATE(BC9,CHAR(10)))))</f>
        <v>Continue</v>
      </c>
      <c r="BP9" s="159" t="b">
        <f>IFERROR(INDEX('Reference Records'!$O$26:$O$81,MATCH($B9,'Reference Records'!I$26:I$81,0)),"")</f>
        <v>0</v>
      </c>
      <c r="BQ9" s="130" t="str">
        <f>IF(OR($BP9=FALSE,$BP9=""),"Continue",IF(AND($BP9=TRUE, AND($D10="",$K10="",$O10="",$S10="",$W10="")),"Continue","Denominator is not applicable for this indicator."))</f>
        <v>Continue</v>
      </c>
      <c r="BR9" s="130" t="str">
        <f>IF(OR($BP9=FALSE,$BP9=""),"Continue",IF(AND($BP9=TRUE,$E9="",$L9="",$P9="",$T9="",$X9=""),"Continue","Percentage is not applicable for this indicator."))</f>
        <v>Continue</v>
      </c>
      <c r="BS9" s="130" t="str">
        <f>IF(AND($BQ9="Continue",$BR9="Continue"),"Continue",
 IF(AND($BQ9="Continue",$BR9&lt;&gt;"Continue"),$BR9,
 IF(AND($BQ9&lt;&gt;"Continue",$BR9="Continue"),$BQ9,
 IF(AND($BQ9&lt;&gt;"Continue",$BR9&lt;&gt;"Continue"),CONCATENATE($BQ9,CHAR(10),$BR9)))))</f>
        <v>Continue</v>
      </c>
      <c r="BT9" s="520" t="str">
        <f ca="1">IF(AND(BB9="Continue",BO9="Continue"),"Continue",IF(AND(BB9&lt;&gt;"Continue",BO9="Continue"),BB9,IF(AND(BO9&lt;&gt;"Continue",BB9="Continue"),BO9,CONCATENATE(BB9,CHAR(10),BO9))))</f>
        <v>Continue</v>
      </c>
      <c r="BU9" s="520" t="str">
        <f>IF(AND(B9="",C9=""),"Continue",IF(AND(B9="",C9&lt;&gt;""),"Continue",IF(AND(B9&lt;&gt;"",C9=""),"Continue",IF(AND(B9&lt;&gt;"",C9&lt;&gt;""),"Cannot enter both standard and custom indicators on the same line."))))</f>
        <v>Continue</v>
      </c>
      <c r="BV9" s="520" t="str">
        <f ca="1">IF(AND(BS9="Continue",BT9="Continue"),"Continue",IF(AND(BS9&lt;&gt;"Continue",BT9="Continue"),BS9,IF(AND(BT9&lt;&gt;"Continue",BS9="Continue"),BT9,CONCATENATE(BS9,CHAR(10),BT9))))</f>
        <v>Continue</v>
      </c>
    </row>
    <row r="10" spans="1:74" ht="91.05" customHeight="1" x14ac:dyDescent="0.25">
      <c r="A10" s="559"/>
      <c r="B10" s="522"/>
      <c r="C10" s="522"/>
      <c r="D10" s="144"/>
      <c r="E10" s="540"/>
      <c r="F10" s="522"/>
      <c r="G10" s="510"/>
      <c r="H10" s="536"/>
      <c r="I10" s="494"/>
      <c r="J10" s="522"/>
      <c r="K10" s="144"/>
      <c r="L10" s="524"/>
      <c r="M10" s="526"/>
      <c r="N10" s="522"/>
      <c r="O10" s="144"/>
      <c r="P10" s="524"/>
      <c r="Q10" s="526"/>
      <c r="R10" s="522"/>
      <c r="S10" s="144"/>
      <c r="T10" s="524"/>
      <c r="U10" s="526"/>
      <c r="V10" s="522"/>
      <c r="W10" s="144"/>
      <c r="X10" s="524"/>
      <c r="Y10" s="526"/>
      <c r="Z10" s="522"/>
      <c r="AA10" s="522"/>
      <c r="BA10" s="516"/>
      <c r="BB10" s="520"/>
      <c r="BC10" s="520"/>
      <c r="BD10" s="150">
        <f t="shared" ref="BD10:BD38" si="0">IF(NOT(ISBLANK(D10)),IF(D10&lt;&gt;"",(IF(NOT(ISNUMBER(D10)),1,0)),0),0)</f>
        <v>0</v>
      </c>
      <c r="BE10" s="150">
        <f t="shared" ref="BE10:BE38" si="1">IF(NOT(ISBLANK(K10)),IF(K10&lt;&gt;"",(IF(NOT(ISNUMBER(K10)),1,0)),0),0)</f>
        <v>0</v>
      </c>
      <c r="BF10" s="150">
        <f t="shared" ref="BF10:BF38" si="2">IF(NOT(ISBLANK(O10)),IF(O10&lt;&gt;"",(IF(NOT(ISNUMBER(O10)),1,0)),0),0)</f>
        <v>0</v>
      </c>
      <c r="BG10" s="150">
        <f t="shared" ref="BG10:BG38" si="3">IF(NOT(ISBLANK(S10)),IF(S10&lt;&gt;"",(IF(NOT(ISNUMBER(S10)),1,0)),0),0)</f>
        <v>0</v>
      </c>
      <c r="BH10" s="150">
        <f t="shared" ref="BH10:BH38" si="4">IF(NOT(ISBLANK(W10)),IF(W10&lt;&gt;"",(IF(NOT(ISNUMBER(W10)),1,0)),0),0)</f>
        <v>0</v>
      </c>
      <c r="BI10" s="477"/>
      <c r="BJ10" s="477"/>
      <c r="BK10" s="477"/>
      <c r="BL10" s="477"/>
      <c r="BM10" s="477"/>
      <c r="BN10" s="477"/>
      <c r="BO10" s="477"/>
      <c r="BP10" s="159" t="str">
        <f>IFERROR(INDEX('Reference Records'!$O$26:$O$81,MATCH($B10,'Reference Records'!I$26:I$81,0)),"")</f>
        <v/>
      </c>
      <c r="BQ10" s="130" t="str">
        <f t="shared" ref="BQ10:BQ38" si="5">IF(OR($BP10=FALSE,$BP10=""),"Continue",IF(AND($BP10=TRUE, AND($D11="",$K11="",$O11="",$S11="",$W11="")),"Continue","Denominator is not applicable for this indicator."))</f>
        <v>Continue</v>
      </c>
      <c r="BR10" s="130" t="str">
        <f t="shared" ref="BR10:BR38" si="6">IF(OR($BP10=FALSE,$BP10=""),"Continue",IF(AND($BP10=TRUE,$E10="",$L10="",$P10="",$T10="",$X10=""),"Continue","Percentage is not applicable for this indicator."))</f>
        <v>Continue</v>
      </c>
      <c r="BS10" s="130" t="str">
        <f t="shared" ref="BS10:BS38" si="7">IF(AND($BQ10="Continue",$BR10="Continue"),"Continue",
 IF(AND($BQ10="Continue",$BR10&lt;&gt;"Continue"),$BR10,
 IF(AND($BQ10&lt;&gt;"Continue",$BR10="Continue"),$BQ10,
 IF(AND($BQ10&lt;&gt;"Continue",$BR10&lt;&gt;"Continue"),CONCATENATE($BQ10,CHAR(10),$BR10)))))</f>
        <v>Continue</v>
      </c>
      <c r="BT10" s="520"/>
      <c r="BU10" s="520"/>
      <c r="BV10" s="520"/>
    </row>
    <row r="11" spans="1:74" ht="35.1" customHeight="1" x14ac:dyDescent="0.25">
      <c r="A11" s="527">
        <v>2</v>
      </c>
      <c r="B11" s="529" t="s">
        <v>876</v>
      </c>
      <c r="C11" s="531"/>
      <c r="D11" s="163">
        <v>441</v>
      </c>
      <c r="E11" s="533">
        <f ca="1">IF(OR(INDIRECT("'update Helper'!D"&amp;AE11)="",D11&lt;&gt;0,D12&lt;&gt;0),IF(IFERROR((D11/D12),"")="","",(D11/D12)),INDIRECT("'update Helper'!D"&amp;AE11)/100)</f>
        <v>0.930379746835443</v>
      </c>
      <c r="F11" s="529">
        <v>2022</v>
      </c>
      <c r="G11" s="555" t="s">
        <v>759</v>
      </c>
      <c r="H11" s="535" t="str">
        <f>AB11</f>
        <v/>
      </c>
      <c r="I11" s="537" t="s">
        <v>752</v>
      </c>
      <c r="J11" s="529"/>
      <c r="K11" s="163"/>
      <c r="L11" s="543"/>
      <c r="M11" s="545"/>
      <c r="N11" s="529"/>
      <c r="O11" s="163"/>
      <c r="P11" s="543" t="str">
        <f ca="1">IF(OR(INDIRECT("'update Helper'!K"&amp;AD11+1)="",O11&lt;&gt;0,O12&lt;&gt;0),IF(IFERROR((O11/O12),"")="","",(O11/O12)),INDIRECT("'update Helper'!K"&amp;AD11+1)/100)</f>
        <v/>
      </c>
      <c r="Q11" s="545"/>
      <c r="R11" s="529"/>
      <c r="S11" s="163"/>
      <c r="T11" s="543">
        <v>0.95</v>
      </c>
      <c r="U11" s="545"/>
      <c r="V11" s="529"/>
      <c r="W11" s="163"/>
      <c r="X11" s="543" t="str">
        <f ca="1">IF(OR(INDIRECT("'update Helper'!K"&amp;AD11+3)="",W11&lt;&gt;0,W12&lt;&gt;0),IF(IFERROR((W11/W12),"")="","",(W11/W12)),INDIRECT("'update Helper'!K"&amp;AD11+3)/100)</f>
        <v/>
      </c>
      <c r="Y11" s="545"/>
      <c r="Z11" s="529"/>
      <c r="AA11" s="529" t="s">
        <v>2159</v>
      </c>
      <c r="AB11" s="52" t="str">
        <f t="array" ref="AB11">IFERROR(IF(INDEX('Reference Records'!$D$27:$D$84,MATCH(LEFT(B11,255),LEFT('Reference Records'!$C$27:$C$84,255),0))=0,"",INDEX('Reference Records'!$D$27:$D$84,MATCH(LEFT(B11,255),LEFT('Reference Records'!$C$27:$C$84,255),0))),"")</f>
        <v/>
      </c>
      <c r="AC11" s="52" t="str">
        <f>B11&amp;C11</f>
        <v>HIV O-5⁽ᴹ⁾ Percentage of sex workers reporting using a condom with their most recent client</v>
      </c>
      <c r="AD11" s="52">
        <f>AD9+'update Helper'!S$2</f>
        <v>274</v>
      </c>
      <c r="AE11" s="52">
        <f>AE9+1</f>
        <v>229</v>
      </c>
      <c r="BA11" s="516" t="str">
        <f t="shared" ref="BA11" si="8">IF(AND(BU11="Continue",BV11="Continue"),"No Error",IF(AND(BU11&lt;&gt;"Continue",BV11="Continue"),BU11,IF(AND(BV11&lt;&gt;"Continue",BU11="Continue"),BV11,CONCATENATE(BU11,CHAR(10),BV11))))</f>
        <v>No Error</v>
      </c>
      <c r="BB11" s="520" t="str" cm="1">
        <f t="array" ref="BB11">IF(ISBLANK(B11),"Continue",(IF(IFERROR(_xlfn.XMATCH(B11,LEFT('Reference Records'!$I$26:$I$81,32768),0),0)&lt;&gt;0,"Continue"," Invalid indicator entry. Select from dropdown list.")))</f>
        <v>Continue</v>
      </c>
      <c r="BC11" s="520" t="str">
        <f t="shared" ref="BC11" si="9">IF(SUM(BD11:BH12)=0, "Continue", "Enter valid number only.")</f>
        <v>Continue</v>
      </c>
      <c r="BD11" s="150">
        <f t="shared" si="0"/>
        <v>0</v>
      </c>
      <c r="BE11" s="150">
        <f t="shared" si="1"/>
        <v>0</v>
      </c>
      <c r="BF11" s="150">
        <f t="shared" si="2"/>
        <v>0</v>
      </c>
      <c r="BG11" s="150">
        <f t="shared" si="3"/>
        <v>0</v>
      </c>
      <c r="BH11" s="150">
        <f t="shared" si="4"/>
        <v>0</v>
      </c>
      <c r="BI11" s="477">
        <f t="shared" ref="BI11" ca="1" si="10">IF(NOT(ISBLANK(E11)),IF(E11&lt;&gt;"",(IF(NOT(ISNUMBER(E11)),1,0)),0),0)</f>
        <v>0</v>
      </c>
      <c r="BJ11" s="477">
        <f t="shared" ref="BJ11" si="11">IF(NOT(ISBLANK(L11)),IF(L11&lt;&gt;"",(IF(NOT(ISNUMBER(L11)),1,0)),0),0)</f>
        <v>0</v>
      </c>
      <c r="BK11" s="477">
        <f t="shared" ref="BK11" ca="1" si="12">IF(NOT(ISBLANK(P11)),IF(P11&lt;&gt;"",(IF(NOT(ISNUMBER(P11)),1,0)),0),0)</f>
        <v>0</v>
      </c>
      <c r="BL11" s="477">
        <f t="shared" ref="BL11" si="13">IF(NOT(ISBLANK(T11)),IF(T11&lt;&gt;"",(IF(NOT(ISNUMBER(T11)),1,0)),0),0)</f>
        <v>0</v>
      </c>
      <c r="BM11" s="477">
        <f t="shared" ref="BM11" ca="1" si="14">IF(NOT(ISBLANK(X11)),IF(X11&lt;&gt;"",(IF(NOT(ISNUMBER(X11)),1,0)),0),0)</f>
        <v>0</v>
      </c>
      <c r="BN11" s="477" t="str">
        <f t="shared" ref="BN11" ca="1" si="15">IF(SUM(BI11:BM12)=0, "Continue", "Enter valid number only.")</f>
        <v>Continue</v>
      </c>
      <c r="BO11" s="477" t="str">
        <f t="shared" ref="BO11" ca="1" si="16">IF(AND(BC11="Continue",BN11="Continue"),"Continue",IF(AND(BC11&lt;&gt;"Continue",BN11="Continue"),BC11,IF(AND(BN11&lt;&gt;"Continue",BC11="Continue"),BN11,CONCATENATE(BC11,CHAR(10)))))</f>
        <v>Continue</v>
      </c>
      <c r="BP11" s="159" t="b">
        <f>IFERROR(INDEX('Reference Records'!$O$26:$O$81,MATCH($B11,'Reference Records'!I$26:I$81,0)),"")</f>
        <v>0</v>
      </c>
      <c r="BQ11" s="130" t="str">
        <f t="shared" si="5"/>
        <v>Continue</v>
      </c>
      <c r="BR11" s="130" t="str">
        <f t="shared" si="6"/>
        <v>Continue</v>
      </c>
      <c r="BS11" s="130" t="str">
        <f t="shared" si="7"/>
        <v>Continue</v>
      </c>
      <c r="BT11" s="520" t="str">
        <f>IF(AND(BB11="Continue",BC11="Continue"),"Continue",IF(AND(BB11&lt;&gt;"Continue",BC11="Continue"),BB11,IF(AND(BC11&lt;&gt;"Continue",BB11="Continue"),BC11,CONCATENATE(BB11,CHAR(10),BC11))))</f>
        <v>Continue</v>
      </c>
      <c r="BU11" s="520" t="str">
        <f t="shared" ref="BU11" si="17">IF(AND(B11="",C11=""),"Continue",IF(AND(B11="",C11&lt;&gt;""),"Continue",IF(AND(B11&lt;&gt;"",C11=""),"Continue",IF(AND(B11&lt;&gt;"",C11&lt;&gt;""),"Cannot enter both standard and custom indicators on the same line."))))</f>
        <v>Continue</v>
      </c>
      <c r="BV11" s="520" t="str">
        <f t="shared" ref="BV11" si="18">IF(AND(BS11="Continue",BT11="Continue"),"Continue",IF(AND(BS11&lt;&gt;"Continue",BT11="Continue"),BS11,IF(AND(BT11&lt;&gt;"Continue",BS11="Continue"),BT11,CONCATENATE(BS11,CHAR(10),BT11))))</f>
        <v>Continue</v>
      </c>
    </row>
    <row r="12" spans="1:74" ht="53.55" customHeight="1" x14ac:dyDescent="0.25">
      <c r="A12" s="528"/>
      <c r="B12" s="530"/>
      <c r="C12" s="532"/>
      <c r="D12" s="152">
        <v>474</v>
      </c>
      <c r="E12" s="534"/>
      <c r="F12" s="530"/>
      <c r="G12" s="556"/>
      <c r="H12" s="536"/>
      <c r="I12" s="538"/>
      <c r="J12" s="530"/>
      <c r="K12" s="152"/>
      <c r="L12" s="544"/>
      <c r="M12" s="546"/>
      <c r="N12" s="530"/>
      <c r="O12" s="152"/>
      <c r="P12" s="544"/>
      <c r="Q12" s="546"/>
      <c r="R12" s="530"/>
      <c r="S12" s="152"/>
      <c r="T12" s="544"/>
      <c r="U12" s="546"/>
      <c r="V12" s="530"/>
      <c r="W12" s="152"/>
      <c r="X12" s="544"/>
      <c r="Y12" s="546"/>
      <c r="Z12" s="530"/>
      <c r="AA12" s="530"/>
      <c r="BA12" s="516"/>
      <c r="BB12" s="520"/>
      <c r="BC12" s="520"/>
      <c r="BD12" s="150">
        <f t="shared" si="0"/>
        <v>0</v>
      </c>
      <c r="BE12" s="150">
        <f t="shared" si="1"/>
        <v>0</v>
      </c>
      <c r="BF12" s="150">
        <f t="shared" si="2"/>
        <v>0</v>
      </c>
      <c r="BG12" s="150">
        <f t="shared" si="3"/>
        <v>0</v>
      </c>
      <c r="BH12" s="150">
        <f t="shared" si="4"/>
        <v>0</v>
      </c>
      <c r="BI12" s="477"/>
      <c r="BJ12" s="477"/>
      <c r="BK12" s="477"/>
      <c r="BL12" s="477"/>
      <c r="BM12" s="477"/>
      <c r="BN12" s="477"/>
      <c r="BO12" s="477"/>
      <c r="BP12" s="159" t="str">
        <f>IFERROR(INDEX('Reference Records'!$O$26:$O$81,MATCH($B12,'Reference Records'!I$26:I$81,0)),"")</f>
        <v/>
      </c>
      <c r="BQ12" s="130" t="str">
        <f t="shared" si="5"/>
        <v>Continue</v>
      </c>
      <c r="BR12" s="130" t="str">
        <f t="shared" si="6"/>
        <v>Continue</v>
      </c>
      <c r="BS12" s="130" t="str">
        <f t="shared" si="7"/>
        <v>Continue</v>
      </c>
      <c r="BT12" s="520"/>
      <c r="BU12" s="520"/>
      <c r="BV12" s="520"/>
    </row>
    <row r="13" spans="1:74" ht="46.5" customHeight="1" x14ac:dyDescent="0.25">
      <c r="A13" s="527">
        <v>3</v>
      </c>
      <c r="B13" s="521" t="s">
        <v>872</v>
      </c>
      <c r="C13" s="521"/>
      <c r="D13" s="162"/>
      <c r="E13" s="539">
        <v>0.75</v>
      </c>
      <c r="F13" s="521">
        <v>2021</v>
      </c>
      <c r="G13" s="509" t="s">
        <v>756</v>
      </c>
      <c r="H13" s="535" t="str">
        <f>AB13</f>
        <v/>
      </c>
      <c r="I13" s="541" t="s">
        <v>752</v>
      </c>
      <c r="J13" s="521"/>
      <c r="K13" s="162"/>
      <c r="L13" s="523" t="str">
        <f ca="1">IF(OR(INDIRECT("'update Helper'!K"&amp;AD13)="",K13&lt;&gt;0,K14&lt;&gt;0),IF(IFERROR((K13/K14),"")="","",(K13/K14)),INDIRECT("'update Helper'!K"&amp;AD13)/100)</f>
        <v/>
      </c>
      <c r="M13" s="525"/>
      <c r="N13" s="521"/>
      <c r="O13" s="162"/>
      <c r="P13" s="523">
        <v>0.8</v>
      </c>
      <c r="Q13" s="525"/>
      <c r="R13" s="521"/>
      <c r="S13" s="162"/>
      <c r="T13" s="523" t="str">
        <f ca="1">IF(OR(INDIRECT("'update Helper'!K"&amp;AD13+2)="",S13&lt;&gt;0,S14&lt;&gt;0),IF(IFERROR((S13/S14),"")="","",(S13/S14)),INDIRECT("'update Helper'!K"&amp;AD13+2)/100)</f>
        <v/>
      </c>
      <c r="U13" s="525"/>
      <c r="V13" s="521"/>
      <c r="W13" s="162"/>
      <c r="X13" s="523" t="str">
        <f ca="1">IF(OR(INDIRECT("'update Helper'!K"&amp;AD13+3)="",W13&lt;&gt;0,W14&lt;&gt;0),IF(IFERROR((W13/W14),"")="","",(W13/W14)),INDIRECT("'update Helper'!K"&amp;AD13+3)/100)</f>
        <v/>
      </c>
      <c r="Y13" s="525"/>
      <c r="Z13" s="521"/>
      <c r="AA13" s="521" t="s">
        <v>2160</v>
      </c>
      <c r="AB13" s="52" t="str">
        <f t="array" ref="AB13">IFERROR(IF(INDEX('Reference Records'!$D$27:$D$84,MATCH(LEFT(B13,255),LEFT('Reference Records'!$C$27:$C$84,255),0))=0,"",INDEX('Reference Records'!$D$27:$D$84,MATCH(LEFT(B13,255),LEFT('Reference Records'!$C$27:$C$84,255),0))),"")</f>
        <v/>
      </c>
      <c r="AC13" s="52" t="str">
        <f>B13&amp;C13</f>
        <v>HIV O-4.1b⁽ᴹ⁾ Percentage of transgender people reporting using a condom during their most recent sexual intercourse or anal sex</v>
      </c>
      <c r="AD13" s="52">
        <f>AD11+'update Helper'!S$2</f>
        <v>280</v>
      </c>
      <c r="AE13" s="52">
        <f t="shared" ref="AE13" si="19">AE11+1</f>
        <v>230</v>
      </c>
      <c r="BA13" s="516" t="str">
        <f t="shared" ref="BA13" si="20">IF(AND(BU13="Continue",BV13="Continue"),"No Error",IF(AND(BU13&lt;&gt;"Continue",BV13="Continue"),BU13,IF(AND(BV13&lt;&gt;"Continue",BU13="Continue"),BV13,CONCATENATE(BU13,CHAR(10),BV13))))</f>
        <v>No Error</v>
      </c>
      <c r="BB13" s="520" t="str" cm="1">
        <f t="array" ref="BB13">IF(ISBLANK(B13),"Continue",(IF(IFERROR(_xlfn.XMATCH(B13,LEFT('Reference Records'!$I$26:$I$81,32768),0),0)&lt;&gt;0,"Continue"," Invalid indicator entry. Select from dropdown list.")))</f>
        <v>Continue</v>
      </c>
      <c r="BC13" s="520" t="str">
        <f t="shared" ref="BC13" si="21">IF(SUM(BD13:BH14)=0, "Continue", "Enter valid number only.")</f>
        <v>Continue</v>
      </c>
      <c r="BD13" s="150">
        <f t="shared" si="0"/>
        <v>0</v>
      </c>
      <c r="BE13" s="150">
        <f t="shared" si="1"/>
        <v>0</v>
      </c>
      <c r="BF13" s="150">
        <f t="shared" si="2"/>
        <v>0</v>
      </c>
      <c r="BG13" s="150">
        <f t="shared" si="3"/>
        <v>0</v>
      </c>
      <c r="BH13" s="150">
        <f t="shared" si="4"/>
        <v>0</v>
      </c>
      <c r="BI13" s="477">
        <f t="shared" ref="BI13" si="22">IF(NOT(ISBLANK(E13)),IF(E13&lt;&gt;"",(IF(NOT(ISNUMBER(E13)),1,0)),0),0)</f>
        <v>0</v>
      </c>
      <c r="BJ13" s="477">
        <f t="shared" ref="BJ13" ca="1" si="23">IF(NOT(ISBLANK(L13)),IF(L13&lt;&gt;"",(IF(NOT(ISNUMBER(L13)),1,0)),0),0)</f>
        <v>0</v>
      </c>
      <c r="BK13" s="477">
        <f t="shared" ref="BK13" si="24">IF(NOT(ISBLANK(P13)),IF(P13&lt;&gt;"",(IF(NOT(ISNUMBER(P13)),1,0)),0),0)</f>
        <v>0</v>
      </c>
      <c r="BL13" s="477">
        <f t="shared" ref="BL13" ca="1" si="25">IF(NOT(ISBLANK(T13)),IF(T13&lt;&gt;"",(IF(NOT(ISNUMBER(T13)),1,0)),0),0)</f>
        <v>0</v>
      </c>
      <c r="BM13" s="477">
        <f t="shared" ref="BM13" ca="1" si="26">IF(NOT(ISBLANK(X13)),IF(X13&lt;&gt;"",(IF(NOT(ISNUMBER(X13)),1,0)),0),0)</f>
        <v>0</v>
      </c>
      <c r="BN13" s="477" t="str">
        <f t="shared" ref="BN13" ca="1" si="27">IF(SUM(BI13:BM14)=0, "Continue", "Enter valid number only.")</f>
        <v>Continue</v>
      </c>
      <c r="BO13" s="477" t="str">
        <f t="shared" ref="BO13" ca="1" si="28">IF(AND(BC13="Continue",BN13="Continue"),"Continue",IF(AND(BC13&lt;&gt;"Continue",BN13="Continue"),BC13,IF(AND(BN13&lt;&gt;"Continue",BC13="Continue"),BN13,CONCATENATE(BC13,CHAR(10)))))</f>
        <v>Continue</v>
      </c>
      <c r="BP13" s="159" t="b">
        <f>IFERROR(INDEX('Reference Records'!$O$26:$O$81,MATCH($B13,'Reference Records'!I$26:I$81,0)),"")</f>
        <v>0</v>
      </c>
      <c r="BQ13" s="130" t="str">
        <f t="shared" si="5"/>
        <v>Continue</v>
      </c>
      <c r="BR13" s="130" t="str">
        <f t="shared" si="6"/>
        <v>Continue</v>
      </c>
      <c r="BS13" s="130" t="str">
        <f t="shared" si="7"/>
        <v>Continue</v>
      </c>
      <c r="BT13" s="520" t="str">
        <f>IF(AND(BB13="Continue",BC13="Continue"),"Continue",IF(AND(BB13&lt;&gt;"Continue",BC13="Continue"),BB13,IF(AND(BC13&lt;&gt;"Continue",BB13="Continue"),BC13,CONCATENATE(BB13,CHAR(10),BC13))))</f>
        <v>Continue</v>
      </c>
      <c r="BU13" s="520" t="str">
        <f t="shared" ref="BU13" si="29">IF(AND(B13="",C13=""),"Continue",IF(AND(B13="",C13&lt;&gt;""),"Continue",IF(AND(B13&lt;&gt;"",C13=""),"Continue",IF(AND(B13&lt;&gt;"",C13&lt;&gt;""),"Cannot enter both standard and custom indicators on the same line."))))</f>
        <v>Continue</v>
      </c>
      <c r="BV13" s="520" t="str">
        <f t="shared" ref="BV13" si="30">IF(AND(BS13="Continue",BT13="Continue"),"Continue",IF(AND(BS13&lt;&gt;"Continue",BT13="Continue"),BS13,IF(AND(BT13&lt;&gt;"Continue",BS13="Continue"),BT13,CONCATENATE(BS13,CHAR(10),BT13))))</f>
        <v>Continue</v>
      </c>
    </row>
    <row r="14" spans="1:74" ht="51.6" customHeight="1" x14ac:dyDescent="0.25">
      <c r="A14" s="528"/>
      <c r="B14" s="522"/>
      <c r="C14" s="522"/>
      <c r="D14" s="144"/>
      <c r="E14" s="540"/>
      <c r="F14" s="522"/>
      <c r="G14" s="510"/>
      <c r="H14" s="536"/>
      <c r="I14" s="542"/>
      <c r="J14" s="522"/>
      <c r="K14" s="144"/>
      <c r="L14" s="524"/>
      <c r="M14" s="526"/>
      <c r="N14" s="522"/>
      <c r="O14" s="144"/>
      <c r="P14" s="524"/>
      <c r="Q14" s="526"/>
      <c r="R14" s="522"/>
      <c r="S14" s="144"/>
      <c r="T14" s="524"/>
      <c r="U14" s="526"/>
      <c r="V14" s="522"/>
      <c r="W14" s="144"/>
      <c r="X14" s="524"/>
      <c r="Y14" s="526"/>
      <c r="Z14" s="522"/>
      <c r="AA14" s="522"/>
      <c r="BA14" s="516"/>
      <c r="BB14" s="520"/>
      <c r="BC14" s="520"/>
      <c r="BD14" s="150">
        <f t="shared" si="0"/>
        <v>0</v>
      </c>
      <c r="BE14" s="150">
        <f t="shared" si="1"/>
        <v>0</v>
      </c>
      <c r="BF14" s="150">
        <f t="shared" si="2"/>
        <v>0</v>
      </c>
      <c r="BG14" s="150">
        <f t="shared" si="3"/>
        <v>0</v>
      </c>
      <c r="BH14" s="150">
        <f t="shared" si="4"/>
        <v>0</v>
      </c>
      <c r="BI14" s="477"/>
      <c r="BJ14" s="477"/>
      <c r="BK14" s="477"/>
      <c r="BL14" s="477"/>
      <c r="BM14" s="477"/>
      <c r="BN14" s="477"/>
      <c r="BO14" s="477"/>
      <c r="BP14" s="159" t="str">
        <f>IFERROR(INDEX('Reference Records'!$O$26:$O$81,MATCH($B14,'Reference Records'!I$26:I$81,0)),"")</f>
        <v/>
      </c>
      <c r="BQ14" s="130" t="str">
        <f t="shared" si="5"/>
        <v>Continue</v>
      </c>
      <c r="BR14" s="130" t="str">
        <f t="shared" si="6"/>
        <v>Continue</v>
      </c>
      <c r="BS14" s="130" t="str">
        <f t="shared" si="7"/>
        <v>Continue</v>
      </c>
      <c r="BT14" s="520"/>
      <c r="BU14" s="520"/>
      <c r="BV14" s="520"/>
    </row>
    <row r="15" spans="1:74" ht="30" customHeight="1" x14ac:dyDescent="0.25">
      <c r="A15" s="527">
        <v>4</v>
      </c>
      <c r="B15" s="529" t="s">
        <v>880</v>
      </c>
      <c r="C15" s="531"/>
      <c r="D15" s="163"/>
      <c r="E15" s="533">
        <v>0.95899999999999996</v>
      </c>
      <c r="F15" s="529">
        <v>2021</v>
      </c>
      <c r="G15" s="529" t="s">
        <v>756</v>
      </c>
      <c r="H15" s="535" t="str">
        <f>AB15</f>
        <v/>
      </c>
      <c r="I15" s="537" t="s">
        <v>752</v>
      </c>
      <c r="J15" s="529"/>
      <c r="K15" s="163"/>
      <c r="L15" s="543"/>
      <c r="M15" s="545"/>
      <c r="N15" s="529"/>
      <c r="O15" s="163"/>
      <c r="P15" s="543">
        <v>0.97</v>
      </c>
      <c r="Q15" s="545"/>
      <c r="R15" s="529"/>
      <c r="S15" s="163"/>
      <c r="T15" s="543" t="str">
        <f ca="1">IF(OR(INDIRECT("'update Helper'!K"&amp;AD15+2)="",S15&lt;&gt;0,S16&lt;&gt;0),IF(IFERROR((S15/S16),"")="","",(S15/S16)),INDIRECT("'update Helper'!K"&amp;AD15+2)/100)</f>
        <v/>
      </c>
      <c r="U15" s="545"/>
      <c r="V15" s="529"/>
      <c r="W15" s="163"/>
      <c r="X15" s="543" t="str">
        <f ca="1">IF(OR(INDIRECT("'update Helper'!K"&amp;AD15+3)="",W15&lt;&gt;0,W16&lt;&gt;0),IF(IFERROR((W15/W16),"")="","",(W15/W16)),INDIRECT("'update Helper'!K"&amp;AD15+3)/100)</f>
        <v/>
      </c>
      <c r="Y15" s="545"/>
      <c r="Z15" s="529"/>
      <c r="AA15" s="529" t="s">
        <v>2161</v>
      </c>
      <c r="AB15" s="52" t="str">
        <f t="array" ref="AB15">IFERROR(IF(INDEX('Reference Records'!$D$27:$D$84,MATCH(LEFT(B15,255),LEFT('Reference Records'!$C$27:$C$84,255),0))=0,"",INDEX('Reference Records'!$D$27:$D$84,MATCH(LEFT(B15,255),LEFT('Reference Records'!$C$27:$C$84,255),0))),"")</f>
        <v/>
      </c>
      <c r="AC15" s="52" t="str">
        <f>B15&amp;C15</f>
        <v>HIV O-6⁽ᴹ⁾ Percentage of people who inject drugs reporting using sterile injecting equipment the last time they injected</v>
      </c>
      <c r="AD15" s="52">
        <f>AD13+'update Helper'!S$2</f>
        <v>286</v>
      </c>
      <c r="AE15" s="52">
        <f t="shared" ref="AE15" si="31">AE13+1</f>
        <v>231</v>
      </c>
      <c r="BA15" s="516" t="str">
        <f t="shared" ref="BA15" si="32">IF(AND(BU15="Continue",BV15="Continue"),"No Error",IF(AND(BU15&lt;&gt;"Continue",BV15="Continue"),BU15,IF(AND(BV15&lt;&gt;"Continue",BU15="Continue"),BV15,CONCATENATE(BU15,CHAR(10),BV15))))</f>
        <v>No Error</v>
      </c>
      <c r="BB15" s="520" t="str" cm="1">
        <f t="array" ref="BB15">IF(ISBLANK(B15),"Continue",(IF(IFERROR(_xlfn.XMATCH(B15,LEFT('Reference Records'!$I$26:$I$81,32768),0),0)&lt;&gt;0,"Continue"," Invalid indicator entry. Select from dropdown list.")))</f>
        <v>Continue</v>
      </c>
      <c r="BC15" s="520" t="str">
        <f t="shared" ref="BC15" si="33">IF(SUM(BD15:BH16)=0, "Continue", "Enter valid number only.")</f>
        <v>Continue</v>
      </c>
      <c r="BD15" s="150">
        <f t="shared" si="0"/>
        <v>0</v>
      </c>
      <c r="BE15" s="150">
        <f t="shared" si="1"/>
        <v>0</v>
      </c>
      <c r="BF15" s="150">
        <f t="shared" si="2"/>
        <v>0</v>
      </c>
      <c r="BG15" s="150">
        <f t="shared" si="3"/>
        <v>0</v>
      </c>
      <c r="BH15" s="150">
        <f t="shared" si="4"/>
        <v>0</v>
      </c>
      <c r="BI15" s="477">
        <f t="shared" ref="BI15" si="34">IF(NOT(ISBLANK(E15)),IF(E15&lt;&gt;"",(IF(NOT(ISNUMBER(E15)),1,0)),0),0)</f>
        <v>0</v>
      </c>
      <c r="BJ15" s="477">
        <f t="shared" ref="BJ15" si="35">IF(NOT(ISBLANK(L15)),IF(L15&lt;&gt;"",(IF(NOT(ISNUMBER(L15)),1,0)),0),0)</f>
        <v>0</v>
      </c>
      <c r="BK15" s="477">
        <f t="shared" ref="BK15" si="36">IF(NOT(ISBLANK(P15)),IF(P15&lt;&gt;"",(IF(NOT(ISNUMBER(P15)),1,0)),0),0)</f>
        <v>0</v>
      </c>
      <c r="BL15" s="477">
        <f t="shared" ref="BL15" ca="1" si="37">IF(NOT(ISBLANK(T15)),IF(T15&lt;&gt;"",(IF(NOT(ISNUMBER(T15)),1,0)),0),0)</f>
        <v>0</v>
      </c>
      <c r="BM15" s="477">
        <f t="shared" ref="BM15" ca="1" si="38">IF(NOT(ISBLANK(X15)),IF(X15&lt;&gt;"",(IF(NOT(ISNUMBER(X15)),1,0)),0),0)</f>
        <v>0</v>
      </c>
      <c r="BN15" s="477" t="str">
        <f t="shared" ref="BN15" ca="1" si="39">IF(SUM(BI15:BM16)=0, "Continue", "Enter valid number only.")</f>
        <v>Continue</v>
      </c>
      <c r="BO15" s="477" t="str">
        <f t="shared" ref="BO15" ca="1" si="40">IF(AND(BC15="Continue",BN15="Continue"),"Continue",IF(AND(BC15&lt;&gt;"Continue",BN15="Continue"),BC15,IF(AND(BN15&lt;&gt;"Continue",BC15="Continue"),BN15,CONCATENATE(BC15,CHAR(10)))))</f>
        <v>Continue</v>
      </c>
      <c r="BP15" s="159" t="b">
        <f>IFERROR(INDEX('Reference Records'!$O$26:$O$81,MATCH($B15,'Reference Records'!I$26:I$81,0)),"")</f>
        <v>0</v>
      </c>
      <c r="BQ15" s="130" t="str">
        <f t="shared" si="5"/>
        <v>Continue</v>
      </c>
      <c r="BR15" s="130" t="str">
        <f t="shared" si="6"/>
        <v>Continue</v>
      </c>
      <c r="BS15" s="130" t="str">
        <f t="shared" si="7"/>
        <v>Continue</v>
      </c>
      <c r="BT15" s="520" t="str">
        <f>IF(AND(BB15="Continue",BC15="Continue"),"Continue",IF(AND(BB15&lt;&gt;"Continue",BC15="Continue"),BB15,IF(AND(BC15&lt;&gt;"Continue",BB15="Continue"),BC15,CONCATENATE(BB15,CHAR(10),BC15))))</f>
        <v>Continue</v>
      </c>
      <c r="BU15" s="520" t="str">
        <f t="shared" ref="BU15" si="41">IF(AND(B15="",C15=""),"Continue",IF(AND(B15="",C15&lt;&gt;""),"Continue",IF(AND(B15&lt;&gt;"",C15=""),"Continue",IF(AND(B15&lt;&gt;"",C15&lt;&gt;""),"Cannot enter both standard and custom indicators on the same line."))))</f>
        <v>Continue</v>
      </c>
      <c r="BV15" s="520" t="str">
        <f t="shared" ref="BV15" si="42">IF(AND(BS15="Continue",BT15="Continue"),"Continue",IF(AND(BS15&lt;&gt;"Continue",BT15="Continue"),BS15,IF(AND(BT15&lt;&gt;"Continue",BS15="Continue"),BT15,CONCATENATE(BS15,CHAR(10),BT15))))</f>
        <v>Continue</v>
      </c>
    </row>
    <row r="16" spans="1:74" ht="90" customHeight="1" x14ac:dyDescent="0.25">
      <c r="A16" s="528"/>
      <c r="B16" s="530"/>
      <c r="C16" s="532"/>
      <c r="D16" s="152"/>
      <c r="E16" s="534"/>
      <c r="F16" s="530"/>
      <c r="G16" s="530"/>
      <c r="H16" s="536"/>
      <c r="I16" s="538"/>
      <c r="J16" s="530"/>
      <c r="K16" s="152"/>
      <c r="L16" s="544"/>
      <c r="M16" s="546"/>
      <c r="N16" s="530"/>
      <c r="O16" s="152"/>
      <c r="P16" s="544"/>
      <c r="Q16" s="546"/>
      <c r="R16" s="530"/>
      <c r="S16" s="152"/>
      <c r="T16" s="544"/>
      <c r="U16" s="546"/>
      <c r="V16" s="530"/>
      <c r="W16" s="152"/>
      <c r="X16" s="544"/>
      <c r="Y16" s="546"/>
      <c r="Z16" s="530"/>
      <c r="AA16" s="530"/>
      <c r="BA16" s="516"/>
      <c r="BB16" s="520"/>
      <c r="BC16" s="520"/>
      <c r="BD16" s="150">
        <f t="shared" si="0"/>
        <v>0</v>
      </c>
      <c r="BE16" s="150">
        <f t="shared" si="1"/>
        <v>0</v>
      </c>
      <c r="BF16" s="150">
        <f t="shared" si="2"/>
        <v>0</v>
      </c>
      <c r="BG16" s="150">
        <f t="shared" si="3"/>
        <v>0</v>
      </c>
      <c r="BH16" s="150">
        <f t="shared" si="4"/>
        <v>0</v>
      </c>
      <c r="BI16" s="477"/>
      <c r="BJ16" s="477"/>
      <c r="BK16" s="477"/>
      <c r="BL16" s="477"/>
      <c r="BM16" s="477"/>
      <c r="BN16" s="477"/>
      <c r="BO16" s="477"/>
      <c r="BP16" s="159" t="str">
        <f>IFERROR(INDEX('Reference Records'!$O$26:$O$81,MATCH($B16,'Reference Records'!I$26:I$81,0)),"")</f>
        <v/>
      </c>
      <c r="BQ16" s="130" t="str">
        <f t="shared" si="5"/>
        <v>Continue</v>
      </c>
      <c r="BR16" s="130" t="str">
        <f t="shared" si="6"/>
        <v>Continue</v>
      </c>
      <c r="BS16" s="130" t="str">
        <f t="shared" si="7"/>
        <v>Continue</v>
      </c>
      <c r="BT16" s="520"/>
      <c r="BU16" s="520"/>
      <c r="BV16" s="520"/>
    </row>
    <row r="17" spans="1:74" ht="31.5" customHeight="1" x14ac:dyDescent="0.25">
      <c r="A17" s="527">
        <v>5</v>
      </c>
      <c r="B17" s="521" t="s">
        <v>892</v>
      </c>
      <c r="C17" s="521"/>
      <c r="D17" s="144">
        <v>8307</v>
      </c>
      <c r="E17" s="539">
        <f ca="1">IF(OR(INDIRECT("'update Helper'!D"&amp;AE17)="",D17&lt;&gt;0,D18&lt;&gt;0),IF(IFERROR((D17/D18),"")="","",(D17/D18)),INDIRECT("'update Helper'!D"&amp;AE17)/100)</f>
        <v>0.83069999999999999</v>
      </c>
      <c r="F17" s="521">
        <v>2022</v>
      </c>
      <c r="G17" s="509" t="s">
        <v>2162</v>
      </c>
      <c r="H17" s="535" t="str">
        <f>AB17</f>
        <v>Gender | Age,Age</v>
      </c>
      <c r="I17" s="541" t="s">
        <v>752</v>
      </c>
      <c r="J17" s="521"/>
      <c r="K17" s="144"/>
      <c r="L17" s="523">
        <v>0.95</v>
      </c>
      <c r="M17" s="525"/>
      <c r="N17" s="521"/>
      <c r="O17" s="144"/>
      <c r="P17" s="523">
        <v>0.95</v>
      </c>
      <c r="Q17" s="525"/>
      <c r="R17" s="521"/>
      <c r="S17" s="144"/>
      <c r="T17" s="523">
        <v>0.95</v>
      </c>
      <c r="U17" s="525"/>
      <c r="V17" s="521"/>
      <c r="W17" s="162"/>
      <c r="X17" s="523" t="str">
        <f ca="1">IF(OR(INDIRECT("'update Helper'!K"&amp;AD17+3)="",W17&lt;&gt;0,W18&lt;&gt;0),IF(IFERROR((W17/W18),"")="","",(W17/W18)),INDIRECT("'update Helper'!K"&amp;AD17+3)/100)</f>
        <v/>
      </c>
      <c r="Y17" s="525"/>
      <c r="Z17" s="521"/>
      <c r="AA17" s="553" t="s">
        <v>2163</v>
      </c>
      <c r="AB17" s="52" t="str">
        <f t="array" ref="AB17">IFERROR(IF(INDEX('Reference Records'!$D$27:$D$84,MATCH(LEFT(B17,255),LEFT('Reference Records'!$C$27:$C$84,255),0))=0,"",INDEX('Reference Records'!$D$27:$D$84,MATCH(LEFT(B17,255),LEFT('Reference Records'!$C$27:$C$84,255),0))),"")</f>
        <v>Gender | Age,Age</v>
      </c>
      <c r="AC17" s="52" t="str">
        <f>B17&amp;C17</f>
        <v>HIV O-11⁽ᴹ⁾ Percentage of people living with HIV who know their HIV status at the end of the reporting period</v>
      </c>
      <c r="AD17" s="52">
        <f>AD15+'update Helper'!S$2</f>
        <v>292</v>
      </c>
      <c r="AE17" s="52">
        <f t="shared" ref="AE17" si="43">AE15+1</f>
        <v>232</v>
      </c>
      <c r="BA17" s="516" t="str">
        <f t="shared" ref="BA17" si="44">IF(AND(BU17="Continue",BV17="Continue"),"No Error",IF(AND(BU17&lt;&gt;"Continue",BV17="Continue"),BU17,IF(AND(BV17&lt;&gt;"Continue",BU17="Continue"),BV17,CONCATENATE(BU17,CHAR(10),BV17))))</f>
        <v>No Error</v>
      </c>
      <c r="BB17" s="520" t="str" cm="1">
        <f t="array" ref="BB17">IF(ISBLANK(B17),"Continue",(IF(IFERROR(_xlfn.XMATCH(B17,LEFT('Reference Records'!$I$26:$I$81,32768),0),0)&lt;&gt;0,"Continue"," Invalid indicator entry. Select from dropdown list.")))</f>
        <v>Continue</v>
      </c>
      <c r="BC17" s="520" t="str">
        <f t="shared" ref="BC17" si="45">IF(SUM(BD17:BH18)=0, "Continue", "Enter valid number only.")</f>
        <v>Continue</v>
      </c>
      <c r="BD17" s="150">
        <f t="shared" si="0"/>
        <v>0</v>
      </c>
      <c r="BE17" s="150">
        <f t="shared" si="1"/>
        <v>0</v>
      </c>
      <c r="BF17" s="150">
        <f t="shared" si="2"/>
        <v>0</v>
      </c>
      <c r="BG17" s="150">
        <f t="shared" si="3"/>
        <v>0</v>
      </c>
      <c r="BH17" s="150">
        <f t="shared" si="4"/>
        <v>0</v>
      </c>
      <c r="BI17" s="477">
        <f t="shared" ref="BI17" ca="1" si="46">IF(NOT(ISBLANK(E17)),IF(E17&lt;&gt;"",(IF(NOT(ISNUMBER(E17)),1,0)),0),0)</f>
        <v>0</v>
      </c>
      <c r="BJ17" s="477">
        <f t="shared" ref="BJ17" si="47">IF(NOT(ISBLANK(L17)),IF(L17&lt;&gt;"",(IF(NOT(ISNUMBER(L17)),1,0)),0),0)</f>
        <v>0</v>
      </c>
      <c r="BK17" s="477">
        <f t="shared" ref="BK17" si="48">IF(NOT(ISBLANK(P17)),IF(P17&lt;&gt;"",(IF(NOT(ISNUMBER(P17)),1,0)),0),0)</f>
        <v>0</v>
      </c>
      <c r="BL17" s="477">
        <f t="shared" ref="BL17" si="49">IF(NOT(ISBLANK(T17)),IF(T17&lt;&gt;"",(IF(NOT(ISNUMBER(T17)),1,0)),0),0)</f>
        <v>0</v>
      </c>
      <c r="BM17" s="477">
        <f t="shared" ref="BM17" ca="1" si="50">IF(NOT(ISBLANK(X17)),IF(X17&lt;&gt;"",(IF(NOT(ISNUMBER(X17)),1,0)),0),0)</f>
        <v>0</v>
      </c>
      <c r="BN17" s="477" t="str">
        <f t="shared" ref="BN17" ca="1" si="51">IF(SUM(BI17:BM18)=0, "Continue", "Enter valid number only.")</f>
        <v>Continue</v>
      </c>
      <c r="BO17" s="477" t="str">
        <f t="shared" ref="BO17" ca="1" si="52">IF(AND(BC17="Continue",BN17="Continue"),"Continue",IF(AND(BC17&lt;&gt;"Continue",BN17="Continue"),BC17,IF(AND(BN17&lt;&gt;"Continue",BC17="Continue"),BN17,CONCATENATE(BC17,CHAR(10)))))</f>
        <v>Continue</v>
      </c>
      <c r="BP17" s="159" t="b">
        <f>IFERROR(INDEX('Reference Records'!$O$26:$O$81,MATCH($B17,'Reference Records'!I$26:I$81,0)),"")</f>
        <v>0</v>
      </c>
      <c r="BQ17" s="130" t="str">
        <f t="shared" si="5"/>
        <v>Continue</v>
      </c>
      <c r="BR17" s="130" t="str">
        <f t="shared" si="6"/>
        <v>Continue</v>
      </c>
      <c r="BS17" s="130" t="str">
        <f t="shared" si="7"/>
        <v>Continue</v>
      </c>
      <c r="BT17" s="520" t="str">
        <f>IF(AND(BB17="Continue",BC17="Continue"),"Continue",IF(AND(BB17&lt;&gt;"Continue",BC17="Continue"),BB17,IF(AND(BC17&lt;&gt;"Continue",BB17="Continue"),BC17,CONCATENATE(BB17,CHAR(10),BC17))))</f>
        <v>Continue</v>
      </c>
      <c r="BU17" s="520" t="str">
        <f>IF(AND(B17="",C17=""),"Continue",IF(AND(B17="",C17&lt;&gt;""),"Continue",IF(AND(B17&lt;&gt;"",C17=""),"Continue",IF(AND(B17&lt;&gt;"",C17&lt;&gt;""),"Cannot enter both standard and custom indicators on the same line."))))</f>
        <v>Continue</v>
      </c>
      <c r="BV17" s="520" t="str">
        <f t="shared" ref="BV17" si="53">IF(AND(BS17="Continue",BT17="Continue"),"Continue",IF(AND(BS17&lt;&gt;"Continue",BT17="Continue"),BS17,IF(AND(BT17&lt;&gt;"Continue",BS17="Continue"),BT17,CONCATENATE(BS17,CHAR(10),BT17))))</f>
        <v>Continue</v>
      </c>
    </row>
    <row r="18" spans="1:74" ht="22.05" customHeight="1" x14ac:dyDescent="0.25">
      <c r="A18" s="528"/>
      <c r="B18" s="522"/>
      <c r="C18" s="522"/>
      <c r="D18" s="144">
        <v>10000</v>
      </c>
      <c r="E18" s="540"/>
      <c r="F18" s="522"/>
      <c r="G18" s="510"/>
      <c r="H18" s="536"/>
      <c r="I18" s="542"/>
      <c r="J18" s="522"/>
      <c r="K18" s="144"/>
      <c r="L18" s="524"/>
      <c r="M18" s="526"/>
      <c r="N18" s="522"/>
      <c r="O18" s="144"/>
      <c r="P18" s="524"/>
      <c r="Q18" s="526"/>
      <c r="R18" s="522"/>
      <c r="S18" s="144"/>
      <c r="T18" s="524"/>
      <c r="U18" s="526"/>
      <c r="V18" s="522"/>
      <c r="W18" s="144"/>
      <c r="X18" s="524"/>
      <c r="Y18" s="526"/>
      <c r="Z18" s="522"/>
      <c r="AA18" s="522"/>
      <c r="BA18" s="516"/>
      <c r="BB18" s="520"/>
      <c r="BC18" s="520"/>
      <c r="BD18" s="150">
        <f t="shared" si="0"/>
        <v>0</v>
      </c>
      <c r="BE18" s="150">
        <f t="shared" si="1"/>
        <v>0</v>
      </c>
      <c r="BF18" s="150">
        <f t="shared" si="2"/>
        <v>0</v>
      </c>
      <c r="BG18" s="150">
        <f t="shared" si="3"/>
        <v>0</v>
      </c>
      <c r="BH18" s="150">
        <f t="shared" si="4"/>
        <v>0</v>
      </c>
      <c r="BI18" s="477"/>
      <c r="BJ18" s="477"/>
      <c r="BK18" s="477"/>
      <c r="BL18" s="477"/>
      <c r="BM18" s="477"/>
      <c r="BN18" s="477"/>
      <c r="BO18" s="477"/>
      <c r="BP18" s="159" t="str">
        <f>IFERROR(INDEX('Reference Records'!$O$26:$O$81,MATCH($B18,'Reference Records'!I$26:I$81,0)),"")</f>
        <v/>
      </c>
      <c r="BQ18" s="130" t="str">
        <f>IF(OR($BP18=FALSE,$BP18=""),"Continue",IF(AND($BP18=TRUE, AND(#REF!="",$K19="",$O19="",$S19="",$W19="")),"Continue","Denominator is not applicable for this indicator."))</f>
        <v>Continue</v>
      </c>
      <c r="BR18" s="130" t="str">
        <f t="shared" si="6"/>
        <v>Continue</v>
      </c>
      <c r="BS18" s="130" t="str">
        <f t="shared" si="7"/>
        <v>Continue</v>
      </c>
      <c r="BT18" s="520"/>
      <c r="BU18" s="520"/>
      <c r="BV18" s="520"/>
    </row>
    <row r="19" spans="1:74" ht="42" customHeight="1" x14ac:dyDescent="0.25">
      <c r="A19" s="527">
        <v>6</v>
      </c>
      <c r="B19" s="531" t="s">
        <v>901</v>
      </c>
      <c r="C19" s="531"/>
      <c r="D19" s="152">
        <v>4750</v>
      </c>
      <c r="E19" s="533">
        <v>0.95899999999999996</v>
      </c>
      <c r="F19" s="529">
        <v>2022</v>
      </c>
      <c r="G19" s="529" t="s">
        <v>2162</v>
      </c>
      <c r="H19" s="535" t="str">
        <f>AB19</f>
        <v>Gender | Age,Age</v>
      </c>
      <c r="I19" s="537" t="s">
        <v>752</v>
      </c>
      <c r="J19" s="529"/>
      <c r="K19" s="163"/>
      <c r="L19" s="543">
        <v>0.95</v>
      </c>
      <c r="M19" s="545"/>
      <c r="N19" s="529"/>
      <c r="O19" s="163"/>
      <c r="P19" s="543">
        <v>0.95</v>
      </c>
      <c r="Q19" s="545"/>
      <c r="R19" s="529"/>
      <c r="S19" s="163"/>
      <c r="T19" s="543">
        <v>0.95</v>
      </c>
      <c r="U19" s="545"/>
      <c r="V19" s="529"/>
      <c r="W19" s="163"/>
      <c r="X19" s="543" t="str">
        <f ca="1">IF(OR(INDIRECT("'update Helper'!K"&amp;AD19+3)="",W19&lt;&gt;0,W20&lt;&gt;0),IF(IFERROR((W19/W20),"")="","",(W19/W20)),INDIRECT("'update Helper'!K"&amp;AD19+3)/100)</f>
        <v/>
      </c>
      <c r="Y19" s="545"/>
      <c r="Z19" s="529"/>
      <c r="AA19" s="554" t="s">
        <v>2164</v>
      </c>
      <c r="AB19" s="52" t="str">
        <f t="array" ref="AB19">IFERROR(IF(INDEX('Reference Records'!$D$27:$D$84,MATCH(LEFT(B19,255),LEFT('Reference Records'!$C$27:$C$84,255),0))=0,"",INDEX('Reference Records'!$D$27:$D$84,MATCH(LEFT(B19,255),LEFT('Reference Records'!$C$27:$C$84,255),0))),"")</f>
        <v>Gender | Age,Age</v>
      </c>
      <c r="AC19" s="52" t="str">
        <f>B19&amp;C19</f>
        <v>HIV O-12 Percentage of people living with HIV and on ART who are virologically suppressed</v>
      </c>
      <c r="AD19" s="52">
        <f>AD17+'update Helper'!S$2</f>
        <v>298</v>
      </c>
      <c r="AE19" s="52">
        <f t="shared" ref="AE19" si="54">AE17+1</f>
        <v>233</v>
      </c>
      <c r="BA19" s="516" t="e">
        <f t="shared" ref="BA19" si="55">IF(AND(BU19="Continue",BV19="Continue"),"No Error",IF(AND(BU19&lt;&gt;"Continue",BV19="Continue"),BU19,IF(AND(BV19&lt;&gt;"Continue",BU19="Continue"),BV19,CONCATENATE(BU19,CHAR(10),BV19))))</f>
        <v>#REF!</v>
      </c>
      <c r="BB19" s="520" t="str" cm="1">
        <f t="array" ref="BB19">IF(ISBLANK(B19),"Continue",(IF(IFERROR(_xlfn.XMATCH(B19,LEFT('Reference Records'!$I$26:$I$81,32768),0),0)&lt;&gt;0,"Continue"," Invalid indicator entry. Select from dropdown list.")))</f>
        <v>Continue</v>
      </c>
      <c r="BC19" s="520" t="e">
        <f t="shared" ref="BC19" si="56">IF(SUM(BD19:BH20)=0, "Continue", "Enter valid number only.")</f>
        <v>#REF!</v>
      </c>
      <c r="BD19" s="150" t="e">
        <f>IF(NOT(ISBLANK(#REF!)),IF(#REF!&lt;&gt;"",(IF(NOT(ISNUMBER(#REF!)),1,0)),0),0)</f>
        <v>#REF!</v>
      </c>
      <c r="BE19" s="150">
        <f t="shared" si="1"/>
        <v>0</v>
      </c>
      <c r="BF19" s="150">
        <f t="shared" si="2"/>
        <v>0</v>
      </c>
      <c r="BG19" s="150">
        <f t="shared" si="3"/>
        <v>0</v>
      </c>
      <c r="BH19" s="150">
        <f t="shared" si="4"/>
        <v>0</v>
      </c>
      <c r="BI19" s="477">
        <f t="shared" ref="BI19" si="57">IF(NOT(ISBLANK(E19)),IF(E19&lt;&gt;"",(IF(NOT(ISNUMBER(E19)),1,0)),0),0)</f>
        <v>0</v>
      </c>
      <c r="BJ19" s="477">
        <f t="shared" ref="BJ19" si="58">IF(NOT(ISBLANK(L19)),IF(L19&lt;&gt;"",(IF(NOT(ISNUMBER(L19)),1,0)),0),0)</f>
        <v>0</v>
      </c>
      <c r="BK19" s="477">
        <f t="shared" ref="BK19" si="59">IF(NOT(ISBLANK(P19)),IF(P19&lt;&gt;"",(IF(NOT(ISNUMBER(P19)),1,0)),0),0)</f>
        <v>0</v>
      </c>
      <c r="BL19" s="477">
        <f t="shared" ref="BL19" si="60">IF(NOT(ISBLANK(T19)),IF(T19&lt;&gt;"",(IF(NOT(ISNUMBER(T19)),1,0)),0),0)</f>
        <v>0</v>
      </c>
      <c r="BM19" s="477">
        <f t="shared" ref="BM19" ca="1" si="61">IF(NOT(ISBLANK(X19)),IF(X19&lt;&gt;"",(IF(NOT(ISNUMBER(X19)),1,0)),0),0)</f>
        <v>0</v>
      </c>
      <c r="BN19" s="477" t="str">
        <f t="shared" ref="BN19" ca="1" si="62">IF(SUM(BI19:BM20)=0, "Continue", "Enter valid number only.")</f>
        <v>Continue</v>
      </c>
      <c r="BO19" s="477" t="e">
        <f t="shared" ref="BO19" ca="1" si="63">IF(AND(BC19="Continue",BN19="Continue"),"Continue",IF(AND(BC19&lt;&gt;"Continue",BN19="Continue"),BC19,IF(AND(BN19&lt;&gt;"Continue",BC19="Continue"),BN19,CONCATENATE(BC19,CHAR(10)))))</f>
        <v>#REF!</v>
      </c>
      <c r="BP19" s="159" t="b">
        <f>IFERROR(INDEX('Reference Records'!$O$26:$O$81,MATCH($B19,'Reference Records'!I$26:I$81,0)),"")</f>
        <v>0</v>
      </c>
      <c r="BQ19" s="130" t="str">
        <f>IF(OR($BP19=FALSE,$BP19=""),"Continue",IF(AND($BP19=TRUE, AND(#REF!="",$K20="",$O20="",$S20="",$W20="")),"Continue","Denominator is not applicable for this indicator."))</f>
        <v>Continue</v>
      </c>
      <c r="BR19" s="130" t="str">
        <f t="shared" si="6"/>
        <v>Continue</v>
      </c>
      <c r="BS19" s="130" t="str">
        <f t="shared" si="7"/>
        <v>Continue</v>
      </c>
      <c r="BT19" s="520" t="e">
        <f>IF(AND(BB19="Continue",BC19="Continue"),"Continue",IF(AND(BB19&lt;&gt;"Continue",BC19="Continue"),BB19,IF(AND(BC19&lt;&gt;"Continue",BB19="Continue"),BC19,CONCATENATE(BB19,CHAR(10),BC19))))</f>
        <v>#REF!</v>
      </c>
      <c r="BU19" s="520" t="str">
        <f>IF(AND(B19="",C19=""),"Continue",IF(AND(B19="",C19&lt;&gt;""),"Continue",IF(AND(B19&lt;&gt;"",C19=""),"Continue",IF(AND(B19&lt;&gt;"",C19&lt;&gt;""),"Cannot enter both standard and custom indicators on the same line."))))</f>
        <v>Continue</v>
      </c>
      <c r="BV19" s="520" t="e">
        <f t="shared" ref="BV19" si="64">IF(AND(BS19="Continue",BT19="Continue"),"Continue",IF(AND(BS19&lt;&gt;"Continue",BT19="Continue"),BS19,IF(AND(BT19&lt;&gt;"Continue",BS19="Continue"),BT19,CONCATENATE(BS19,CHAR(10),BT19))))</f>
        <v>#REF!</v>
      </c>
    </row>
    <row r="20" spans="1:74" ht="46.05" customHeight="1" x14ac:dyDescent="0.25">
      <c r="A20" s="528"/>
      <c r="B20" s="532"/>
      <c r="C20" s="532"/>
      <c r="D20" s="152">
        <v>4953</v>
      </c>
      <c r="E20" s="534"/>
      <c r="F20" s="530"/>
      <c r="G20" s="530"/>
      <c r="H20" s="536"/>
      <c r="I20" s="538"/>
      <c r="J20" s="530"/>
      <c r="K20" s="152"/>
      <c r="L20" s="544"/>
      <c r="M20" s="546"/>
      <c r="N20" s="530"/>
      <c r="O20" s="152"/>
      <c r="P20" s="544"/>
      <c r="Q20" s="546"/>
      <c r="R20" s="530"/>
      <c r="S20" s="152"/>
      <c r="T20" s="544"/>
      <c r="U20" s="546"/>
      <c r="V20" s="530"/>
      <c r="W20" s="152"/>
      <c r="X20" s="544"/>
      <c r="Y20" s="546"/>
      <c r="Z20" s="530"/>
      <c r="AA20" s="530"/>
      <c r="BA20" s="516"/>
      <c r="BB20" s="520"/>
      <c r="BC20" s="520"/>
      <c r="BD20" s="150" t="e">
        <f>IF(NOT(ISBLANK(#REF!)),IF(#REF!&lt;&gt;"",(IF(NOT(ISNUMBER(#REF!)),1,0)),0),0)</f>
        <v>#REF!</v>
      </c>
      <c r="BE20" s="150">
        <f t="shared" si="1"/>
        <v>0</v>
      </c>
      <c r="BF20" s="150">
        <f t="shared" si="2"/>
        <v>0</v>
      </c>
      <c r="BG20" s="150">
        <f t="shared" si="3"/>
        <v>0</v>
      </c>
      <c r="BH20" s="150">
        <f t="shared" si="4"/>
        <v>0</v>
      </c>
      <c r="BI20" s="477"/>
      <c r="BJ20" s="477"/>
      <c r="BK20" s="477"/>
      <c r="BL20" s="477"/>
      <c r="BM20" s="477"/>
      <c r="BN20" s="477"/>
      <c r="BO20" s="477"/>
      <c r="BP20" s="159" t="str">
        <f>IFERROR(INDEX('Reference Records'!$O$26:$O$81,MATCH($B20,'Reference Records'!I$26:I$81,0)),"")</f>
        <v/>
      </c>
      <c r="BQ20" s="130" t="str">
        <f>IF(OR($BP20=FALSE,$BP20=""),"Continue",IF(AND($BP20=TRUE, AND($D19="",$K21="",$O21="",$S21="",$W21="")),"Continue","Denominator is not applicable for this indicator."))</f>
        <v>Continue</v>
      </c>
      <c r="BR20" s="130" t="str">
        <f t="shared" si="6"/>
        <v>Continue</v>
      </c>
      <c r="BS20" s="130" t="str">
        <f t="shared" si="7"/>
        <v>Continue</v>
      </c>
      <c r="BT20" s="520"/>
      <c r="BU20" s="520"/>
      <c r="BV20" s="520"/>
    </row>
    <row r="21" spans="1:74" ht="30" customHeight="1" x14ac:dyDescent="0.25">
      <c r="A21" s="527">
        <v>7</v>
      </c>
      <c r="B21" s="521" t="s">
        <v>918</v>
      </c>
      <c r="C21" s="521"/>
      <c r="D21" s="404">
        <v>69</v>
      </c>
      <c r="E21" s="549">
        <f ca="1">IF(OR(INDIRECT("'update Helper'!D"&amp;AE23)="",D21&lt;&gt;0,D22&lt;&gt;0),IF(IFERROR((D21/D22),"")="","",(D21/D22)),INDIRECT("'update Helper'!D"&amp;AE23)/100)</f>
        <v>0.101620029455081</v>
      </c>
      <c r="F21" s="551">
        <v>2022</v>
      </c>
      <c r="G21" s="551" t="s">
        <v>2165</v>
      </c>
      <c r="H21" s="535" t="str">
        <f>AB21</f>
        <v/>
      </c>
      <c r="I21" s="541" t="s">
        <v>752</v>
      </c>
      <c r="J21" s="521"/>
      <c r="K21" s="162"/>
      <c r="L21" s="543"/>
      <c r="M21" s="525"/>
      <c r="N21" s="521"/>
      <c r="O21" s="162"/>
      <c r="P21" s="523">
        <v>7.0000000000000007E-2</v>
      </c>
      <c r="Q21" s="525"/>
      <c r="R21" s="521"/>
      <c r="S21" s="162"/>
      <c r="T21" s="523"/>
      <c r="U21" s="525"/>
      <c r="V21" s="521"/>
      <c r="W21" s="162"/>
      <c r="X21" s="523" t="str">
        <f ca="1">IF(OR(INDIRECT("'update Helper'!K"&amp;AD21+3)="",W21&lt;&gt;0,W22&lt;&gt;0),IF(IFERROR((W21/W22),"")="","",(W21/W22)),INDIRECT("'update Helper'!K"&amp;AD21+3)/100)</f>
        <v/>
      </c>
      <c r="Y21" s="525"/>
      <c r="Z21" s="521"/>
      <c r="AA21" s="547" t="s">
        <v>2166</v>
      </c>
      <c r="AB21" s="52" t="str">
        <f t="array" ref="AB21">IFERROR(IF(INDEX('Reference Records'!$D$27:$D$84,MATCH(LEFT(B21,255),LEFT('Reference Records'!$C$27:$C$84,255),0))=0,"",INDEX('Reference Records'!$D$27:$D$84,MATCH(LEFT(B21,255),LEFT('Reference Records'!$C$27:$C$84,255),0))),"")</f>
        <v/>
      </c>
      <c r="AC21" s="52" t="str">
        <f>B21&amp;C21</f>
        <v>HIV O-15 Percentage of people living with HIV who report experiences of HIV-related discrimination in health-care settings</v>
      </c>
      <c r="AD21" s="52">
        <f>AD19+'update Helper'!S$2</f>
        <v>304</v>
      </c>
      <c r="AE21" s="52">
        <f t="shared" ref="AE21" si="65">AE19+1</f>
        <v>234</v>
      </c>
      <c r="BA21" s="516" t="str">
        <f t="shared" ref="BA21" si="66">IF(AND(BU21="Continue",BV21="Continue"),"No Error",IF(AND(BU21&lt;&gt;"Continue",BV21="Continue"),BU21,IF(AND(BV21&lt;&gt;"Continue",BU21="Continue"),BV21,CONCATENATE(BU21,CHAR(10),BV21))))</f>
        <v>No Error</v>
      </c>
      <c r="BB21" s="520" t="str" cm="1">
        <f t="array" ref="BB21">IF(ISBLANK(B21),"Continue",(IF(IFERROR(_xlfn.XMATCH(B21,LEFT('Reference Records'!$I$26:$I$81,32768),0),0)&lt;&gt;0,"Continue"," Invalid indicator entry. Select from dropdown list.")))</f>
        <v>Continue</v>
      </c>
      <c r="BC21" s="520" t="str">
        <f t="shared" ref="BC21" si="67">IF(SUM(BD21:BH22)=0, "Continue", "Enter valid number only.")</f>
        <v>Continue</v>
      </c>
      <c r="BD21" s="150">
        <f>IF(NOT(ISBLANK(D19)),IF(D19&lt;&gt;"",(IF(NOT(ISNUMBER(D19)),1,0)),0),0)</f>
        <v>0</v>
      </c>
      <c r="BE21" s="150">
        <f t="shared" si="1"/>
        <v>0</v>
      </c>
      <c r="BF21" s="150">
        <f t="shared" si="2"/>
        <v>0</v>
      </c>
      <c r="BG21" s="150">
        <f t="shared" si="3"/>
        <v>0</v>
      </c>
      <c r="BH21" s="150">
        <f t="shared" si="4"/>
        <v>0</v>
      </c>
      <c r="BI21" s="477" t="e">
        <f>IF(NOT(ISBLANK(#REF!)),IF(#REF!&lt;&gt;"",(IF(NOT(ISNUMBER(#REF!)),1,0)),0),0)</f>
        <v>#REF!</v>
      </c>
      <c r="BJ21" s="477" t="e">
        <f>IF(NOT(ISBLANK(#REF!)),IF(#REF!&lt;&gt;"",(IF(NOT(ISNUMBER(#REF!)),1,0)),0),0)</f>
        <v>#REF!</v>
      </c>
      <c r="BK21" s="477">
        <f t="shared" ref="BK21" si="68">IF(NOT(ISBLANK(P21)),IF(P21&lt;&gt;"",(IF(NOT(ISNUMBER(P21)),1,0)),0),0)</f>
        <v>0</v>
      </c>
      <c r="BL21" s="477">
        <f t="shared" ref="BL21" si="69">IF(NOT(ISBLANK(T21)),IF(T21&lt;&gt;"",(IF(NOT(ISNUMBER(T21)),1,0)),0),0)</f>
        <v>0</v>
      </c>
      <c r="BM21" s="477">
        <f t="shared" ref="BM21" ca="1" si="70">IF(NOT(ISBLANK(X21)),IF(X21&lt;&gt;"",(IF(NOT(ISNUMBER(X21)),1,0)),0),0)</f>
        <v>0</v>
      </c>
      <c r="BN21" s="477" t="e">
        <f t="shared" ref="BN21" si="71">IF(SUM(BI21:BM22)=0, "Continue", "Enter valid number only.")</f>
        <v>#REF!</v>
      </c>
      <c r="BO21" s="477" t="e">
        <f t="shared" ref="BO21" si="72">IF(AND(BC21="Continue",BN21="Continue"),"Continue",IF(AND(BC21&lt;&gt;"Continue",BN21="Continue"),BC21,IF(AND(BN21&lt;&gt;"Continue",BC21="Continue"),BN21,CONCATENATE(BC21,CHAR(10)))))</f>
        <v>#REF!</v>
      </c>
      <c r="BP21" s="159" t="b">
        <f>IFERROR(INDEX('Reference Records'!$O$26:$O$81,MATCH($B21,'Reference Records'!I$26:I$81,0)),"")</f>
        <v>0</v>
      </c>
      <c r="BQ21" s="130" t="str">
        <f>IF(OR($BP21=FALSE,$BP21=""),"Continue",IF(AND($BP21=TRUE, AND($D20="",$K22="",$O22="",$S22="",$W22="")),"Continue","Denominator is not applicable for this indicator."))</f>
        <v>Continue</v>
      </c>
      <c r="BR21" s="130" t="str">
        <f>IF(OR($BP21=FALSE,$BP21=""),"Continue",IF(AND($BP21=TRUE,#REF!="",#REF!="",$P21="",$T21="",$X21=""),"Continue","Percentage is not applicable for this indicator."))</f>
        <v>Continue</v>
      </c>
      <c r="BS21" s="130" t="str">
        <f t="shared" si="7"/>
        <v>Continue</v>
      </c>
      <c r="BT21" s="520" t="str">
        <f>IF(AND(BB21="Continue",BC21="Continue"),"Continue",IF(AND(BB21&lt;&gt;"Continue",BC21="Continue"),BB21,IF(AND(BC21&lt;&gt;"Continue",BB21="Continue"),BC21,CONCATENATE(BB21,CHAR(10),BC21))))</f>
        <v>Continue</v>
      </c>
      <c r="BU21" s="520" t="str">
        <f t="shared" ref="BU21" si="73">IF(AND(B21="",C21=""),"Continue",IF(AND(B21="",C21&lt;&gt;""),"Continue",IF(AND(B21&lt;&gt;"",C21=""),"Continue",IF(AND(B21&lt;&gt;"",C21&lt;&gt;""),"Cannot enter both standard and custom indicators on the same line."))))</f>
        <v>Continue</v>
      </c>
      <c r="BV21" s="520" t="str">
        <f t="shared" ref="BV21" si="74">IF(AND(BS21="Continue",BT21="Continue"),"Continue",IF(AND(BS21&lt;&gt;"Continue",BT21="Continue"),BS21,IF(AND(BT21&lt;&gt;"Continue",BS21="Continue"),BT21,CONCATENATE(BS21,CHAR(10),BT21))))</f>
        <v>Continue</v>
      </c>
    </row>
    <row r="22" spans="1:74" ht="79.5" customHeight="1" x14ac:dyDescent="0.25">
      <c r="A22" s="528"/>
      <c r="B22" s="522"/>
      <c r="C22" s="522"/>
      <c r="D22" s="404">
        <v>679</v>
      </c>
      <c r="E22" s="550"/>
      <c r="F22" s="552"/>
      <c r="G22" s="552"/>
      <c r="H22" s="536"/>
      <c r="I22" s="542"/>
      <c r="J22" s="522"/>
      <c r="K22" s="144"/>
      <c r="L22" s="544"/>
      <c r="M22" s="526"/>
      <c r="N22" s="522"/>
      <c r="O22" s="144"/>
      <c r="P22" s="524"/>
      <c r="Q22" s="526"/>
      <c r="R22" s="522"/>
      <c r="S22" s="144"/>
      <c r="T22" s="524"/>
      <c r="U22" s="526"/>
      <c r="V22" s="522"/>
      <c r="W22" s="144"/>
      <c r="X22" s="524"/>
      <c r="Y22" s="526"/>
      <c r="Z22" s="522"/>
      <c r="AA22" s="548"/>
      <c r="BA22" s="516"/>
      <c r="BB22" s="520"/>
      <c r="BC22" s="520"/>
      <c r="BD22" s="150">
        <f>IF(NOT(ISBLANK(D20)),IF(D20&lt;&gt;"",(IF(NOT(ISNUMBER(D20)),1,0)),0),0)</f>
        <v>0</v>
      </c>
      <c r="BE22" s="150">
        <f t="shared" si="1"/>
        <v>0</v>
      </c>
      <c r="BF22" s="150">
        <f t="shared" si="2"/>
        <v>0</v>
      </c>
      <c r="BG22" s="150">
        <f t="shared" si="3"/>
        <v>0</v>
      </c>
      <c r="BH22" s="150">
        <f t="shared" si="4"/>
        <v>0</v>
      </c>
      <c r="BI22" s="477"/>
      <c r="BJ22" s="477"/>
      <c r="BK22" s="477"/>
      <c r="BL22" s="477"/>
      <c r="BM22" s="477"/>
      <c r="BN22" s="477"/>
      <c r="BO22" s="477"/>
      <c r="BP22" s="159" t="str">
        <f>IFERROR(INDEX('Reference Records'!$O$26:$O$81,MATCH($B22,'Reference Records'!I$26:I$81,0)),"")</f>
        <v/>
      </c>
      <c r="BQ22" s="130" t="str">
        <f>IF(OR($BP22=FALSE,$BP22=""),"Continue",IF(AND($BP22=TRUE, AND($D21="",$K23="",$O23="",$S23="",$W23="")),"Continue","Denominator is not applicable for this indicator."))</f>
        <v>Continue</v>
      </c>
      <c r="BR22" s="130" t="str">
        <f>IF(OR($BP22=FALSE,$BP22=""),"Continue",IF(AND($BP22=TRUE,#REF!="",#REF!="",$P22="",$T22="",$X22=""),"Continue","Percentage is not applicable for this indicator."))</f>
        <v>Continue</v>
      </c>
      <c r="BS22" s="130" t="str">
        <f t="shared" si="7"/>
        <v>Continue</v>
      </c>
      <c r="BT22" s="520"/>
      <c r="BU22" s="520"/>
      <c r="BV22" s="520"/>
    </row>
    <row r="23" spans="1:74" ht="30" customHeight="1" x14ac:dyDescent="0.25">
      <c r="A23" s="527">
        <v>8</v>
      </c>
      <c r="B23" s="529" t="s">
        <v>1012</v>
      </c>
      <c r="C23" s="531"/>
      <c r="D23" s="407"/>
      <c r="E23" s="415">
        <v>0.54</v>
      </c>
      <c r="F23" s="529">
        <v>2021</v>
      </c>
      <c r="G23" s="136" t="s">
        <v>2167</v>
      </c>
      <c r="H23" s="535" t="str">
        <f>AB23</f>
        <v>Gender,Age</v>
      </c>
      <c r="I23" s="537" t="s">
        <v>752</v>
      </c>
      <c r="J23" s="529" t="s">
        <v>753</v>
      </c>
      <c r="K23" s="163"/>
      <c r="L23" s="415">
        <v>0.6</v>
      </c>
      <c r="M23" s="545">
        <v>45931</v>
      </c>
      <c r="N23" s="529"/>
      <c r="O23" s="163"/>
      <c r="P23" s="543">
        <v>0.65</v>
      </c>
      <c r="Q23" s="545">
        <v>46296</v>
      </c>
      <c r="R23" s="529"/>
      <c r="S23" s="163"/>
      <c r="T23" s="543">
        <v>0.7</v>
      </c>
      <c r="U23" s="545">
        <v>46661</v>
      </c>
      <c r="V23" s="529"/>
      <c r="W23" s="163"/>
      <c r="X23" s="543" t="str">
        <f ca="1">IF(OR(INDIRECT("'update Helper'!K"&amp;AD23+3)="",W23&lt;&gt;0,W24&lt;&gt;0),IF(IFERROR((W23/W24),"")="","",(W23/W24)),INDIRECT("'update Helper'!K"&amp;AD23+3)/100)</f>
        <v/>
      </c>
      <c r="Y23" s="545"/>
      <c r="Z23" s="529"/>
      <c r="AA23" s="413" t="s">
        <v>2168</v>
      </c>
      <c r="AB23" s="52" t="str">
        <f t="array" ref="AB23">IFERROR(IF(INDEX('Reference Records'!$D$27:$D$84,MATCH(LEFT(B23,255),LEFT('Reference Records'!$C$27:$C$84,255),0))=0,"",INDEX('Reference Records'!$D$27:$D$84,MATCH(LEFT(B23,255),LEFT('Reference Records'!$C$27:$C$84,255),0))),"")</f>
        <v>Gender,Age</v>
      </c>
      <c r="AC23" s="52" t="str">
        <f>B23&amp;C23</f>
        <v>TB O-5⁽ᴹ⁾ TB treatment coverage: Percentage of patients with new and relapse TB that were notified and treated among the estimated number of incident TB in the same year (all forms of TB - bacteriologically confirmed plus clinically diagnosed</v>
      </c>
      <c r="AD23" s="52">
        <f>AD21+'update Helper'!S$2</f>
        <v>310</v>
      </c>
      <c r="AE23" s="52">
        <f t="shared" ref="AE23" si="75">AE21+1</f>
        <v>235</v>
      </c>
      <c r="BA23" s="516" t="str">
        <f t="shared" ref="BA23" si="76">IF(AND(BU23="Continue",BV23="Continue"),"No Error",IF(AND(BU23&lt;&gt;"Continue",BV23="Continue"),BU23,IF(AND(BV23&lt;&gt;"Continue",BU23="Continue"),BV23,CONCATENATE(BU23,CHAR(10),BV23))))</f>
        <v>No Error</v>
      </c>
      <c r="BB23" s="520" t="str" cm="1">
        <f t="array" ref="BB23">IF(ISBLANK(B23),"Continue",(IF(IFERROR(_xlfn.XMATCH(B23,LEFT('Reference Records'!$I$26:$I$81,32768),0),0)&lt;&gt;0,"Continue"," Invalid indicator entry. Select from dropdown list.")))</f>
        <v>Continue</v>
      </c>
      <c r="BC23" s="520" t="str">
        <f t="shared" ref="BC23" si="77">IF(SUM(BD23:BH24)=0, "Continue", "Enter valid number only.")</f>
        <v>Continue</v>
      </c>
      <c r="BD23" s="150">
        <f>IF(NOT(ISBLANK(D21)),IF(D21&lt;&gt;"",(IF(NOT(ISNUMBER(D21)),1,0)),0),0)</f>
        <v>0</v>
      </c>
      <c r="BE23" s="150">
        <f t="shared" si="1"/>
        <v>0</v>
      </c>
      <c r="BF23" s="150">
        <f t="shared" si="2"/>
        <v>0</v>
      </c>
      <c r="BG23" s="150">
        <f t="shared" si="3"/>
        <v>0</v>
      </c>
      <c r="BH23" s="150">
        <f t="shared" si="4"/>
        <v>0</v>
      </c>
      <c r="BI23" s="477">
        <f ca="1">IF(NOT(ISBLANK(E21)),IF(E21&lt;&gt;"",(IF(NOT(ISNUMBER(E21)),1,0)),0),0)</f>
        <v>0</v>
      </c>
      <c r="BJ23" s="477">
        <f>IF(NOT(ISBLANK(L21)),IF(L21&lt;&gt;"",(IF(NOT(ISNUMBER(L21)),1,0)),0),0)</f>
        <v>0</v>
      </c>
      <c r="BK23" s="477">
        <f t="shared" ref="BK23" si="78">IF(NOT(ISBLANK(P23)),IF(P23&lt;&gt;"",(IF(NOT(ISNUMBER(P23)),1,0)),0),0)</f>
        <v>0</v>
      </c>
      <c r="BL23" s="477">
        <f t="shared" ref="BL23" si="79">IF(NOT(ISBLANK(T23)),IF(T23&lt;&gt;"",(IF(NOT(ISNUMBER(T23)),1,0)),0),0)</f>
        <v>0</v>
      </c>
      <c r="BM23" s="477">
        <f t="shared" ref="BM23" ca="1" si="80">IF(NOT(ISBLANK(X23)),IF(X23&lt;&gt;"",(IF(NOT(ISNUMBER(X23)),1,0)),0),0)</f>
        <v>0</v>
      </c>
      <c r="BN23" s="477" t="str">
        <f t="shared" ref="BN23" ca="1" si="81">IF(SUM(BI23:BM24)=0, "Continue", "Enter valid number only.")</f>
        <v>Continue</v>
      </c>
      <c r="BO23" s="477" t="str">
        <f t="shared" ref="BO23" ca="1" si="82">IF(AND(BC23="Continue",BN23="Continue"),"Continue",IF(AND(BC23&lt;&gt;"Continue",BN23="Continue"),BC23,IF(AND(BN23&lt;&gt;"Continue",BC23="Continue"),BN23,CONCATENATE(BC23,CHAR(10)))))</f>
        <v>Continue</v>
      </c>
      <c r="BP23" s="159" t="b">
        <f>IFERROR(INDEX('Reference Records'!$O$26:$O$81,MATCH($B23,'Reference Records'!I$26:I$81,0)),"")</f>
        <v>0</v>
      </c>
      <c r="BQ23" s="130" t="str">
        <f>IF(OR($BP23=FALSE,$BP23=""),"Continue",IF(AND($BP23=TRUE, AND($D22="",$K24="",$O24="",$S24="",$W24="")),"Continue","Denominator is not applicable for this indicator."))</f>
        <v>Continue</v>
      </c>
      <c r="BR23" s="130" t="str">
        <f>IF(OR($BP23=FALSE,$BP23=""),"Continue",IF(AND($BP23=TRUE,$E21="",$L21="",$P23="",$T23="",$X23=""),"Continue","Percentage is not applicable for this indicator."))</f>
        <v>Continue</v>
      </c>
      <c r="BS23" s="130" t="str">
        <f t="shared" si="7"/>
        <v>Continue</v>
      </c>
      <c r="BT23" s="520" t="str">
        <f>IF(AND(BB23="Continue",BC23="Continue"),"Continue",IF(AND(BB23&lt;&gt;"Continue",BC23="Continue"),BB23,IF(AND(BC23&lt;&gt;"Continue",BB23="Continue"),BC23,CONCATENATE(BB23,CHAR(10),BC23))))</f>
        <v>Continue</v>
      </c>
      <c r="BU23" s="520" t="str">
        <f t="shared" ref="BU23" si="83">IF(AND(B23="",C23=""),"Continue",IF(AND(B23="",C23&lt;&gt;""),"Continue",IF(AND(B23&lt;&gt;"",C23=""),"Continue",IF(AND(B23&lt;&gt;"",C23&lt;&gt;""),"Cannot enter both standard and custom indicators on the same line."))))</f>
        <v>Continue</v>
      </c>
      <c r="BV23" s="520" t="str">
        <f t="shared" ref="BV23" si="84">IF(AND(BS23="Continue",BT23="Continue"),"Continue",IF(AND(BS23&lt;&gt;"Continue",BT23="Continue"),BS23,IF(AND(BT23&lt;&gt;"Continue",BS23="Continue"),BT23,CONCATENATE(BS23,CHAR(10),BT23))))</f>
        <v>Continue</v>
      </c>
    </row>
    <row r="24" spans="1:74" ht="30" customHeight="1" x14ac:dyDescent="0.25">
      <c r="A24" s="528"/>
      <c r="B24" s="530"/>
      <c r="C24" s="532"/>
      <c r="D24" s="408"/>
      <c r="E24" s="136"/>
      <c r="F24" s="530"/>
      <c r="G24" s="136"/>
      <c r="H24" s="536"/>
      <c r="I24" s="538"/>
      <c r="J24" s="530"/>
      <c r="K24" s="152"/>
      <c r="L24" s="136"/>
      <c r="M24" s="546"/>
      <c r="N24" s="530"/>
      <c r="O24" s="152"/>
      <c r="P24" s="544"/>
      <c r="Q24" s="546"/>
      <c r="R24" s="530"/>
      <c r="S24" s="152"/>
      <c r="T24" s="544"/>
      <c r="U24" s="546"/>
      <c r="V24" s="530"/>
      <c r="W24" s="152"/>
      <c r="X24" s="544"/>
      <c r="Y24" s="546"/>
      <c r="Z24" s="530"/>
      <c r="AA24" s="414"/>
      <c r="BA24" s="516"/>
      <c r="BB24" s="520"/>
      <c r="BC24" s="520"/>
      <c r="BD24" s="150">
        <f>IF(NOT(ISBLANK(D22)),IF(D22&lt;&gt;"",(IF(NOT(ISNUMBER(D22)),1,0)),0),0)</f>
        <v>0</v>
      </c>
      <c r="BE24" s="150">
        <f t="shared" si="1"/>
        <v>0</v>
      </c>
      <c r="BF24" s="150">
        <f t="shared" si="2"/>
        <v>0</v>
      </c>
      <c r="BG24" s="150">
        <f t="shared" si="3"/>
        <v>0</v>
      </c>
      <c r="BH24" s="150">
        <f t="shared" si="4"/>
        <v>0</v>
      </c>
      <c r="BI24" s="477"/>
      <c r="BJ24" s="477"/>
      <c r="BK24" s="477"/>
      <c r="BL24" s="477"/>
      <c r="BM24" s="477"/>
      <c r="BN24" s="477"/>
      <c r="BO24" s="477"/>
      <c r="BP24" s="159" t="str">
        <f>IFERROR(INDEX('Reference Records'!$O$26:$O$81,MATCH($B24,'Reference Records'!I$26:I$81,0)),"")</f>
        <v/>
      </c>
      <c r="BQ24" s="130" t="str">
        <f t="shared" si="5"/>
        <v>Continue</v>
      </c>
      <c r="BR24" s="130" t="str">
        <f>IF(OR($BP24=FALSE,$BP24=""),"Continue",IF(AND($BP24=TRUE,$E22="",$L22="",$P24="",$T24="",$X24=""),"Continue","Percentage is not applicable for this indicator."))</f>
        <v>Continue</v>
      </c>
      <c r="BS24" s="130" t="str">
        <f t="shared" si="7"/>
        <v>Continue</v>
      </c>
      <c r="BT24" s="520"/>
      <c r="BU24" s="520"/>
      <c r="BV24" s="520"/>
    </row>
    <row r="25" spans="1:74" ht="30" customHeight="1" x14ac:dyDescent="0.25">
      <c r="A25" s="527">
        <v>9</v>
      </c>
      <c r="B25" s="521" t="s">
        <v>1024</v>
      </c>
      <c r="C25" s="521"/>
      <c r="D25" s="162">
        <v>901</v>
      </c>
      <c r="E25" s="539">
        <f ca="1">IF(OR(INDIRECT("'update Helper'!D"&amp;AE25)="",D25&lt;&gt;0,D26&lt;&gt;0),IF(IFERROR((D25/D26),"")="","",(D25/D26)),INDIRECT("'update Helper'!D"&amp;AE25)/100)</f>
        <v>0.70944881889763778</v>
      </c>
      <c r="F25" s="521">
        <v>2021</v>
      </c>
      <c r="G25" s="521" t="s">
        <v>2169</v>
      </c>
      <c r="H25" s="535" t="str">
        <f>AB25</f>
        <v/>
      </c>
      <c r="I25" s="541" t="s">
        <v>752</v>
      </c>
      <c r="J25" s="521" t="s">
        <v>753</v>
      </c>
      <c r="K25" s="162"/>
      <c r="L25" s="523">
        <v>0.75</v>
      </c>
      <c r="M25" s="525">
        <v>45748</v>
      </c>
      <c r="N25" s="521"/>
      <c r="O25" s="162"/>
      <c r="P25" s="523">
        <v>0.78</v>
      </c>
      <c r="Q25" s="525">
        <v>46113</v>
      </c>
      <c r="R25" s="521"/>
      <c r="S25" s="162"/>
      <c r="T25" s="523">
        <v>0.8</v>
      </c>
      <c r="U25" s="525">
        <v>46478</v>
      </c>
      <c r="V25" s="521"/>
      <c r="W25" s="162"/>
      <c r="X25" s="523" t="str">
        <f ca="1">IF(OR(INDIRECT("'update Helper'!K"&amp;AD25+3)="",W25&lt;&gt;0,W26&lt;&gt;0),IF(IFERROR((W25/W26),"")="","",(W25/W26)),INDIRECT("'update Helper'!K"&amp;AD25+3)/100)</f>
        <v/>
      </c>
      <c r="Y25" s="525"/>
      <c r="Z25" s="521"/>
      <c r="AA25" s="521" t="s">
        <v>2170</v>
      </c>
      <c r="AB25" s="52" t="str">
        <f t="array" ref="AB25">IFERROR(IF(INDEX('Reference Records'!$D$27:$D$84,MATCH(LEFT(B25,255),LEFT('Reference Records'!$C$27:$C$84,255),0))=0,"",INDEX('Reference Records'!$D$27:$D$84,MATCH(LEFT(B25,255),LEFT('Reference Records'!$C$27:$C$84,255),0))),"")</f>
        <v/>
      </c>
      <c r="AC25" s="52" t="str">
        <f>B25&amp;C25</f>
        <v>TB O-4⁽ᴹ⁾ Treatment success rate of RR-TB and/or MDR-TB: Percentage of patients with RR and/or MDR-TB successfully treated</v>
      </c>
      <c r="AD25" s="52">
        <f>AD23+'update Helper'!S$2</f>
        <v>316</v>
      </c>
      <c r="AE25" s="52">
        <f t="shared" ref="AE25" si="85">AE23+1</f>
        <v>236</v>
      </c>
      <c r="BA25" s="516" t="str">
        <f t="shared" ref="BA25" si="86">IF(AND(BU25="Continue",BV25="Continue"),"No Error",IF(AND(BU25&lt;&gt;"Continue",BV25="Continue"),BU25,IF(AND(BV25&lt;&gt;"Continue",BU25="Continue"),BV25,CONCATENATE(BU25,CHAR(10),BV25))))</f>
        <v>No Error</v>
      </c>
      <c r="BB25" s="520" t="str" cm="1">
        <f t="array" ref="BB25">IF(ISBLANK(B25),"Continue",(IF(IFERROR(_xlfn.XMATCH(B25,LEFT('Reference Records'!$I$26:$I$81,32768),0),0)&lt;&gt;0,"Continue"," Invalid indicator entry. Select from dropdown list.")))</f>
        <v>Continue</v>
      </c>
      <c r="BC25" s="520" t="str">
        <f t="shared" ref="BC25" si="87">IF(SUM(BD25:BH26)=0, "Continue", "Enter valid number only.")</f>
        <v>Continue</v>
      </c>
      <c r="BD25" s="150">
        <f t="shared" si="0"/>
        <v>0</v>
      </c>
      <c r="BE25" s="150">
        <f t="shared" si="1"/>
        <v>0</v>
      </c>
      <c r="BF25" s="150">
        <f t="shared" si="2"/>
        <v>0</v>
      </c>
      <c r="BG25" s="150">
        <f t="shared" si="3"/>
        <v>0</v>
      </c>
      <c r="BH25" s="150">
        <f t="shared" si="4"/>
        <v>0</v>
      </c>
      <c r="BI25" s="477">
        <f t="shared" ref="BI25" ca="1" si="88">IF(NOT(ISBLANK(E25)),IF(E25&lt;&gt;"",(IF(NOT(ISNUMBER(E25)),1,0)),0),0)</f>
        <v>0</v>
      </c>
      <c r="BJ25" s="477">
        <f t="shared" ref="BJ25" si="89">IF(NOT(ISBLANK(L25)),IF(L25&lt;&gt;"",(IF(NOT(ISNUMBER(L25)),1,0)),0),0)</f>
        <v>0</v>
      </c>
      <c r="BK25" s="477">
        <f t="shared" ref="BK25" si="90">IF(NOT(ISBLANK(P25)),IF(P25&lt;&gt;"",(IF(NOT(ISNUMBER(P25)),1,0)),0),0)</f>
        <v>0</v>
      </c>
      <c r="BL25" s="477">
        <f t="shared" ref="BL25" si="91">IF(NOT(ISBLANK(T25)),IF(T25&lt;&gt;"",(IF(NOT(ISNUMBER(T25)),1,0)),0),0)</f>
        <v>0</v>
      </c>
      <c r="BM25" s="477">
        <f t="shared" ref="BM25" ca="1" si="92">IF(NOT(ISBLANK(X25)),IF(X25&lt;&gt;"",(IF(NOT(ISNUMBER(X25)),1,0)),0),0)</f>
        <v>0</v>
      </c>
      <c r="BN25" s="477" t="str">
        <f t="shared" ref="BN25" ca="1" si="93">IF(SUM(BI25:BM26)=0, "Continue", "Enter valid number only.")</f>
        <v>Continue</v>
      </c>
      <c r="BO25" s="477" t="str">
        <f t="shared" ref="BO25" ca="1" si="94">IF(AND(BC25="Continue",BN25="Continue"),"Continue",IF(AND(BC25&lt;&gt;"Continue",BN25="Continue"),BC25,IF(AND(BN25&lt;&gt;"Continue",BC25="Continue"),BN25,CONCATENATE(BC25,CHAR(10)))))</f>
        <v>Continue</v>
      </c>
      <c r="BP25" s="159" t="b">
        <f>IFERROR(INDEX('Reference Records'!$O$26:$O$81,MATCH($B25,'Reference Records'!I$26:I$81,0)),"")</f>
        <v>0</v>
      </c>
      <c r="BQ25" s="130" t="str">
        <f t="shared" si="5"/>
        <v>Continue</v>
      </c>
      <c r="BR25" s="130" t="str">
        <f t="shared" si="6"/>
        <v>Continue</v>
      </c>
      <c r="BS25" s="130" t="str">
        <f t="shared" si="7"/>
        <v>Continue</v>
      </c>
      <c r="BT25" s="520" t="str">
        <f>IF(AND(BB25="Continue",BC25="Continue"),"Continue",IF(AND(BB25&lt;&gt;"Continue",BC25="Continue"),BB25,IF(AND(BC25&lt;&gt;"Continue",BB25="Continue"),BC25,CONCATENATE(BB25,CHAR(10),BC25))))</f>
        <v>Continue</v>
      </c>
      <c r="BU25" s="520" t="str">
        <f t="shared" ref="BU25" si="95">IF(AND(B25="",C25=""),"Continue",IF(AND(B25="",C25&lt;&gt;""),"Continue",IF(AND(B25&lt;&gt;"",C25=""),"Continue",IF(AND(B25&lt;&gt;"",C25&lt;&gt;""),"Cannot enter both standard and custom indicators on the same line."))))</f>
        <v>Continue</v>
      </c>
      <c r="BV25" s="520" t="str">
        <f t="shared" ref="BV25" si="96">IF(AND(BS25="Continue",BT25="Continue"),"Continue",IF(AND(BS25&lt;&gt;"Continue",BT25="Continue"),BS25,IF(AND(BT25&lt;&gt;"Continue",BS25="Continue"),BT25,CONCATENATE(BS25,CHAR(10),BT25))))</f>
        <v>Continue</v>
      </c>
    </row>
    <row r="26" spans="1:74" ht="30" customHeight="1" x14ac:dyDescent="0.25">
      <c r="A26" s="528"/>
      <c r="B26" s="522"/>
      <c r="C26" s="522"/>
      <c r="D26" s="144">
        <v>1270</v>
      </c>
      <c r="E26" s="540"/>
      <c r="F26" s="522"/>
      <c r="G26" s="522"/>
      <c r="H26" s="536"/>
      <c r="I26" s="542"/>
      <c r="J26" s="522"/>
      <c r="K26" s="144"/>
      <c r="L26" s="524"/>
      <c r="M26" s="526"/>
      <c r="N26" s="522"/>
      <c r="O26" s="144"/>
      <c r="P26" s="524"/>
      <c r="Q26" s="526"/>
      <c r="R26" s="522"/>
      <c r="S26" s="144"/>
      <c r="T26" s="524"/>
      <c r="U26" s="526"/>
      <c r="V26" s="522"/>
      <c r="W26" s="144"/>
      <c r="X26" s="524"/>
      <c r="Y26" s="526"/>
      <c r="Z26" s="522"/>
      <c r="AA26" s="522"/>
      <c r="BA26" s="516"/>
      <c r="BB26" s="520"/>
      <c r="BC26" s="520"/>
      <c r="BD26" s="150">
        <f t="shared" si="0"/>
        <v>0</v>
      </c>
      <c r="BE26" s="150">
        <f t="shared" si="1"/>
        <v>0</v>
      </c>
      <c r="BF26" s="150">
        <f t="shared" si="2"/>
        <v>0</v>
      </c>
      <c r="BG26" s="150">
        <f t="shared" si="3"/>
        <v>0</v>
      </c>
      <c r="BH26" s="150">
        <f t="shared" si="4"/>
        <v>0</v>
      </c>
      <c r="BI26" s="477"/>
      <c r="BJ26" s="477"/>
      <c r="BK26" s="477"/>
      <c r="BL26" s="477"/>
      <c r="BM26" s="477"/>
      <c r="BN26" s="477"/>
      <c r="BO26" s="477"/>
      <c r="BP26" s="159" t="str">
        <f>IFERROR(INDEX('Reference Records'!$O$26:$O$81,MATCH($B26,'Reference Records'!I$26:I$81,0)),"")</f>
        <v/>
      </c>
      <c r="BQ26" s="130" t="str">
        <f t="shared" si="5"/>
        <v>Continue</v>
      </c>
      <c r="BR26" s="130" t="str">
        <f t="shared" si="6"/>
        <v>Continue</v>
      </c>
      <c r="BS26" s="130" t="str">
        <f t="shared" si="7"/>
        <v>Continue</v>
      </c>
      <c r="BT26" s="520"/>
      <c r="BU26" s="520"/>
      <c r="BV26" s="520"/>
    </row>
    <row r="27" spans="1:74" ht="30" customHeight="1" x14ac:dyDescent="0.25">
      <c r="A27" s="527">
        <v>10</v>
      </c>
      <c r="B27" s="529" t="s">
        <v>1032</v>
      </c>
      <c r="C27" s="531"/>
      <c r="D27" s="163"/>
      <c r="E27" s="533" t="str">
        <f ca="1">IF(OR(INDIRECT("'update Helper'!D"&amp;AE27)="",D27&lt;&gt;0,D28&lt;&gt;0),IF(IFERROR((D27/D28),"")="","",(D27/D28)),INDIRECT("'update Helper'!D"&amp;AE27)/100)</f>
        <v/>
      </c>
      <c r="F27" s="529">
        <v>2023</v>
      </c>
      <c r="G27" s="529" t="s">
        <v>2171</v>
      </c>
      <c r="H27" s="535" t="str">
        <f>AB27</f>
        <v/>
      </c>
      <c r="I27" s="537" t="s">
        <v>752</v>
      </c>
      <c r="J27" s="529" t="s">
        <v>753</v>
      </c>
      <c r="K27" s="163"/>
      <c r="L27" s="543" t="str">
        <f ca="1">IF(OR(INDIRECT("'update Helper'!K"&amp;AD27)="",K27&lt;&gt;0,K28&lt;&gt;0),IF(IFERROR((K27/K28),"")="","",(K27/K28)),INDIRECT("'update Helper'!K"&amp;AD27)/100)</f>
        <v/>
      </c>
      <c r="M27" s="545"/>
      <c r="N27" s="529"/>
      <c r="O27" s="163"/>
      <c r="P27" s="543" t="str">
        <f ca="1">IF(OR(INDIRECT("'update Helper'!K"&amp;AD27+1)="",O27&lt;&gt;0,O28&lt;&gt;0),IF(IFERROR((O27/O28),"")="","",(O27/O28)),INDIRECT("'update Helper'!K"&amp;AD27+1)/100)</f>
        <v/>
      </c>
      <c r="Q27" s="545">
        <v>46023</v>
      </c>
      <c r="R27" s="529" t="s">
        <v>639</v>
      </c>
      <c r="S27" s="163"/>
      <c r="T27" s="543" t="str">
        <f ca="1">IF(OR(INDIRECT("'update Helper'!K"&amp;AD27+2)="",S27&lt;&gt;0,S28&lt;&gt;0),IF(IFERROR((S27/S28),"")="","",(S27/S28)),INDIRECT("'update Helper'!K"&amp;AD27+2)/100)</f>
        <v/>
      </c>
      <c r="U27" s="545"/>
      <c r="V27" s="529"/>
      <c r="W27" s="164"/>
      <c r="X27" s="543" t="str">
        <f ca="1">IF(OR(INDIRECT("'update Helper'!K"&amp;AD27+3)="",W27&lt;&gt;0,W28&lt;&gt;0),IF(IFERROR((W27/W28),"")="","",(W27/W28)),INDIRECT("'update Helper'!K"&amp;AD27+3)/100)</f>
        <v/>
      </c>
      <c r="Y27" s="545"/>
      <c r="Z27" s="529"/>
      <c r="AA27" s="529" t="s">
        <v>2172</v>
      </c>
      <c r="AB27" s="52" t="str">
        <f t="array" ref="AB27">IFERROR(IF(INDEX('Reference Records'!$D$27:$D$84,MATCH(LEFT(B27,255),LEFT('Reference Records'!$C$27:$C$84,255),0))=0,"",INDEX('Reference Records'!$D$27:$D$84,MATCH(LEFT(B27,255),LEFT('Reference Records'!$C$27:$C$84,255),0))),"")</f>
        <v/>
      </c>
      <c r="AC27" s="52" t="str">
        <f>B27&amp;C27</f>
        <v>TB O-8 Percentage of people diagnosed with TB who report stigma in health care settings that inhibited them from seeking and accessing TB services</v>
      </c>
      <c r="AD27" s="52">
        <f>AD25+'update Helper'!S$2</f>
        <v>322</v>
      </c>
      <c r="AE27" s="52">
        <f t="shared" ref="AE27" si="97">AE25+1</f>
        <v>237</v>
      </c>
      <c r="BA27" s="516" t="str">
        <f t="shared" ref="BA27" si="98">IF(AND(BU27="Continue",BV27="Continue"),"No Error",IF(AND(BU27&lt;&gt;"Continue",BV27="Continue"),BU27,IF(AND(BV27&lt;&gt;"Continue",BU27="Continue"),BV27,CONCATENATE(BU27,CHAR(10),BV27))))</f>
        <v>No Error</v>
      </c>
      <c r="BB27" s="520" t="str" cm="1">
        <f t="array" ref="BB27">IF(ISBLANK(B27),"Continue",(IF(IFERROR(_xlfn.XMATCH(B27,LEFT('Reference Records'!$I$26:$I$81,32768),0),0)&lt;&gt;0,"Continue"," Invalid indicator entry. Select from dropdown list.")))</f>
        <v>Continue</v>
      </c>
      <c r="BC27" s="520" t="str">
        <f t="shared" ref="BC27" si="99">IF(SUM(BD27:BH28)=0, "Continue", "Enter valid number only.")</f>
        <v>Continue</v>
      </c>
      <c r="BD27" s="150">
        <f t="shared" si="0"/>
        <v>0</v>
      </c>
      <c r="BE27" s="150">
        <f t="shared" si="1"/>
        <v>0</v>
      </c>
      <c r="BF27" s="150">
        <f t="shared" si="2"/>
        <v>0</v>
      </c>
      <c r="BG27" s="150">
        <f t="shared" si="3"/>
        <v>0</v>
      </c>
      <c r="BH27" s="150">
        <f t="shared" si="4"/>
        <v>0</v>
      </c>
      <c r="BI27" s="477">
        <f t="shared" ref="BI27" ca="1" si="100">IF(NOT(ISBLANK(E27)),IF(E27&lt;&gt;"",(IF(NOT(ISNUMBER(E27)),1,0)),0),0)</f>
        <v>0</v>
      </c>
      <c r="BJ27" s="477">
        <f t="shared" ref="BJ27" ca="1" si="101">IF(NOT(ISBLANK(L27)),IF(L27&lt;&gt;"",(IF(NOT(ISNUMBER(L27)),1,0)),0),0)</f>
        <v>0</v>
      </c>
      <c r="BK27" s="477">
        <f t="shared" ref="BK27" ca="1" si="102">IF(NOT(ISBLANK(P27)),IF(P27&lt;&gt;"",(IF(NOT(ISNUMBER(P27)),1,0)),0),0)</f>
        <v>0</v>
      </c>
      <c r="BL27" s="477">
        <f t="shared" ref="BL27" ca="1" si="103">IF(NOT(ISBLANK(T27)),IF(T27&lt;&gt;"",(IF(NOT(ISNUMBER(T27)),1,0)),0),0)</f>
        <v>0</v>
      </c>
      <c r="BM27" s="477">
        <f t="shared" ref="BM27" ca="1" si="104">IF(NOT(ISBLANK(X27)),IF(X27&lt;&gt;"",(IF(NOT(ISNUMBER(X27)),1,0)),0),0)</f>
        <v>0</v>
      </c>
      <c r="BN27" s="477" t="str">
        <f t="shared" ref="BN27" ca="1" si="105">IF(SUM(BI27:BM28)=0, "Continue", "Enter valid number only.")</f>
        <v>Continue</v>
      </c>
      <c r="BO27" s="477" t="str">
        <f t="shared" ref="BO27" ca="1" si="106">IF(AND(BC27="Continue",BN27="Continue"),"Continue",IF(AND(BC27&lt;&gt;"Continue",BN27="Continue"),BC27,IF(AND(BN27&lt;&gt;"Continue",BC27="Continue"),BN27,CONCATENATE(BC27,CHAR(10)))))</f>
        <v>Continue</v>
      </c>
      <c r="BP27" s="159" t="b">
        <f>IFERROR(INDEX('Reference Records'!$O$26:$O$81,MATCH($B27,'Reference Records'!I$26:I$81,0)),"")</f>
        <v>0</v>
      </c>
      <c r="BQ27" s="130" t="str">
        <f t="shared" si="5"/>
        <v>Continue</v>
      </c>
      <c r="BR27" s="130" t="str">
        <f t="shared" si="6"/>
        <v>Continue</v>
      </c>
      <c r="BS27" s="130" t="str">
        <f t="shared" si="7"/>
        <v>Continue</v>
      </c>
      <c r="BT27" s="520" t="str">
        <f>IF(AND(BB27="Continue",BC27="Continue"),"Continue",IF(AND(BB27&lt;&gt;"Continue",BC27="Continue"),BB27,IF(AND(BC27&lt;&gt;"Continue",BB27="Continue"),BC27,CONCATENATE(BB27,CHAR(10),BC27))))</f>
        <v>Continue</v>
      </c>
      <c r="BU27" s="520" t="str">
        <f t="shared" ref="BU27" si="107">IF(AND(B27="",C27=""),"Continue",IF(AND(B27="",C27&lt;&gt;""),"Continue",IF(AND(B27&lt;&gt;"",C27=""),"Continue",IF(AND(B27&lt;&gt;"",C27&lt;&gt;""),"Cannot enter both standard and custom indicators on the same line."))))</f>
        <v>Continue</v>
      </c>
      <c r="BV27" s="520" t="str">
        <f t="shared" ref="BV27" si="108">IF(AND(BS27="Continue",BT27="Continue"),"Continue",IF(AND(BS27&lt;&gt;"Continue",BT27="Continue"),BS27,IF(AND(BT27&lt;&gt;"Continue",BS27="Continue"),BT27,CONCATENATE(BS27,CHAR(10),BT27))))</f>
        <v>Continue</v>
      </c>
    </row>
    <row r="28" spans="1:74" ht="30" customHeight="1" x14ac:dyDescent="0.25">
      <c r="A28" s="528"/>
      <c r="B28" s="530"/>
      <c r="C28" s="532"/>
      <c r="D28" s="152"/>
      <c r="E28" s="534"/>
      <c r="F28" s="530"/>
      <c r="G28" s="530"/>
      <c r="H28" s="536"/>
      <c r="I28" s="538"/>
      <c r="J28" s="530"/>
      <c r="K28" s="152"/>
      <c r="L28" s="544"/>
      <c r="M28" s="546"/>
      <c r="N28" s="530"/>
      <c r="O28" s="152"/>
      <c r="P28" s="544"/>
      <c r="Q28" s="546"/>
      <c r="R28" s="530"/>
      <c r="S28" s="152"/>
      <c r="T28" s="544"/>
      <c r="U28" s="546"/>
      <c r="V28" s="530"/>
      <c r="W28" s="152"/>
      <c r="X28" s="544"/>
      <c r="Y28" s="546"/>
      <c r="Z28" s="530"/>
      <c r="AA28" s="530"/>
      <c r="BA28" s="516"/>
      <c r="BB28" s="520"/>
      <c r="BC28" s="520"/>
      <c r="BD28" s="150">
        <f t="shared" si="0"/>
        <v>0</v>
      </c>
      <c r="BE28" s="150">
        <f t="shared" si="1"/>
        <v>0</v>
      </c>
      <c r="BF28" s="150">
        <f t="shared" si="2"/>
        <v>0</v>
      </c>
      <c r="BG28" s="150">
        <f t="shared" si="3"/>
        <v>0</v>
      </c>
      <c r="BH28" s="150">
        <f t="shared" si="4"/>
        <v>0</v>
      </c>
      <c r="BI28" s="477"/>
      <c r="BJ28" s="477"/>
      <c r="BK28" s="477"/>
      <c r="BL28" s="477"/>
      <c r="BM28" s="477"/>
      <c r="BN28" s="477"/>
      <c r="BO28" s="477"/>
      <c r="BP28" s="159" t="str">
        <f>IFERROR(INDEX('Reference Records'!$O$26:$O$81,MATCH($B28,'Reference Records'!I$26:I$81,0)),"")</f>
        <v/>
      </c>
      <c r="BQ28" s="130" t="str">
        <f t="shared" si="5"/>
        <v>Continue</v>
      </c>
      <c r="BR28" s="130" t="str">
        <f t="shared" si="6"/>
        <v>Continue</v>
      </c>
      <c r="BS28" s="130" t="str">
        <f t="shared" si="7"/>
        <v>Continue</v>
      </c>
      <c r="BT28" s="520"/>
      <c r="BU28" s="520"/>
      <c r="BV28" s="520"/>
    </row>
    <row r="29" spans="1:74" ht="30" customHeight="1" x14ac:dyDescent="0.25">
      <c r="A29" s="527">
        <v>11</v>
      </c>
      <c r="B29" s="521"/>
      <c r="C29" s="521"/>
      <c r="D29" s="162"/>
      <c r="E29" s="539" t="str">
        <f ca="1">IF(OR(INDIRECT("'update Helper'!D"&amp;AE29)="",D29&lt;&gt;0,D30&lt;&gt;0),IF(IFERROR((D29/D30),"")="","",(D29/D30)),INDIRECT("'update Helper'!D"&amp;AE29)/100)</f>
        <v/>
      </c>
      <c r="F29" s="521"/>
      <c r="G29" s="521"/>
      <c r="H29" s="535" t="str">
        <f>AB29</f>
        <v/>
      </c>
      <c r="I29" s="541"/>
      <c r="J29" s="521"/>
      <c r="K29" s="162"/>
      <c r="L29" s="523" t="str">
        <f ca="1">IF(OR(INDIRECT("'update Helper'!K"&amp;AD29)="",K29&lt;&gt;0,K30&lt;&gt;0),IF(IFERROR((K29/K30),"")="","",(K29/K30)),INDIRECT("'update Helper'!K"&amp;AD29)/100)</f>
        <v/>
      </c>
      <c r="M29" s="525"/>
      <c r="N29" s="521"/>
      <c r="O29" s="162"/>
      <c r="P29" s="523" t="str">
        <f ca="1">IF(OR(INDIRECT("'update Helper'!K"&amp;AD29+1)="",O29&lt;&gt;0,O30&lt;&gt;0),IF(IFERROR((O29/O30),"")="","",(O29/O30)),INDIRECT("'update Helper'!K"&amp;AD29+1)/100)</f>
        <v/>
      </c>
      <c r="Q29" s="525"/>
      <c r="R29" s="521"/>
      <c r="S29" s="162"/>
      <c r="T29" s="523" t="str">
        <f ca="1">IF(OR(INDIRECT("'update Helper'!K"&amp;AD29+2)="",S29&lt;&gt;0,S30&lt;&gt;0),IF(IFERROR((S29/S30),"")="","",(S29/S30)),INDIRECT("'update Helper'!K"&amp;AD29+2)/100)</f>
        <v/>
      </c>
      <c r="U29" s="525"/>
      <c r="V29" s="521"/>
      <c r="W29" s="162"/>
      <c r="X29" s="523" t="str">
        <f ca="1">IF(OR(INDIRECT("'update Helper'!K"&amp;AD29+3)="",W29&lt;&gt;0,W30&lt;&gt;0),IF(IFERROR((W29/W30),"")="","",(W29/W30)),INDIRECT("'update Helper'!K"&amp;AD29+3)/100)</f>
        <v/>
      </c>
      <c r="Y29" s="525"/>
      <c r="Z29" s="521"/>
      <c r="AA29" s="521"/>
      <c r="AB29" s="52" t="str">
        <f t="array" ref="AB29">IFERROR(IF(INDEX('Reference Records'!$D$27:$D$84,MATCH(LEFT(B29,255),LEFT('Reference Records'!$C$27:$C$84,255),0))=0,"",INDEX('Reference Records'!$D$27:$D$84,MATCH(LEFT(B29,255),LEFT('Reference Records'!$C$27:$C$84,255),0))),"")</f>
        <v/>
      </c>
      <c r="AC29" s="52" t="str">
        <f>B29&amp;C29</f>
        <v/>
      </c>
      <c r="AD29" s="52">
        <f>AD27+'update Helper'!S$2</f>
        <v>328</v>
      </c>
      <c r="AE29" s="52">
        <f t="shared" ref="AE29" si="109">AE27+1</f>
        <v>238</v>
      </c>
      <c r="BA29" s="516" t="str">
        <f t="shared" ref="BA29" si="110">IF(AND(BU29="Continue",BV29="Continue"),"No Error",IF(AND(BU29&lt;&gt;"Continue",BV29="Continue"),BU29,IF(AND(BV29&lt;&gt;"Continue",BU29="Continue"),BV29,CONCATENATE(BU29,CHAR(10),BV29))))</f>
        <v>No Error</v>
      </c>
      <c r="BB29" s="520" t="str" cm="1">
        <f t="array" ref="BB29">IF(ISBLANK(B29),"Continue",(IF(IFERROR(_xlfn.XMATCH(B29,LEFT('Reference Records'!$I$26:$I$81,32768),0),0)&lt;&gt;0,"Continue"," Invalid indicator entry. Select from dropdown list.")))</f>
        <v>Continue</v>
      </c>
      <c r="BC29" s="520" t="str">
        <f t="shared" ref="BC29" si="111">IF(SUM(BD29:BH30)=0, "Continue", "Enter valid number only.")</f>
        <v>Continue</v>
      </c>
      <c r="BD29" s="150">
        <f t="shared" si="0"/>
        <v>0</v>
      </c>
      <c r="BE29" s="150">
        <f t="shared" si="1"/>
        <v>0</v>
      </c>
      <c r="BF29" s="150">
        <f t="shared" si="2"/>
        <v>0</v>
      </c>
      <c r="BG29" s="150">
        <f t="shared" si="3"/>
        <v>0</v>
      </c>
      <c r="BH29" s="150">
        <f t="shared" si="4"/>
        <v>0</v>
      </c>
      <c r="BI29" s="477">
        <f t="shared" ref="BI29" ca="1" si="112">IF(NOT(ISBLANK(E29)),IF(E29&lt;&gt;"",(IF(NOT(ISNUMBER(E29)),1,0)),0),0)</f>
        <v>0</v>
      </c>
      <c r="BJ29" s="477">
        <f t="shared" ref="BJ29" ca="1" si="113">IF(NOT(ISBLANK(L29)),IF(L29&lt;&gt;"",(IF(NOT(ISNUMBER(L29)),1,0)),0),0)</f>
        <v>0</v>
      </c>
      <c r="BK29" s="477">
        <f t="shared" ref="BK29" ca="1" si="114">IF(NOT(ISBLANK(P29)),IF(P29&lt;&gt;"",(IF(NOT(ISNUMBER(P29)),1,0)),0),0)</f>
        <v>0</v>
      </c>
      <c r="BL29" s="477">
        <f t="shared" ref="BL29" ca="1" si="115">IF(NOT(ISBLANK(T29)),IF(T29&lt;&gt;"",(IF(NOT(ISNUMBER(T29)),1,0)),0),0)</f>
        <v>0</v>
      </c>
      <c r="BM29" s="477">
        <f t="shared" ref="BM29" ca="1" si="116">IF(NOT(ISBLANK(X29)),IF(X29&lt;&gt;"",(IF(NOT(ISNUMBER(X29)),1,0)),0),0)</f>
        <v>0</v>
      </c>
      <c r="BN29" s="477" t="str">
        <f t="shared" ref="BN29" ca="1" si="117">IF(SUM(BI29:BM30)=0, "Continue", "Enter valid number only.")</f>
        <v>Continue</v>
      </c>
      <c r="BO29" s="477" t="str">
        <f t="shared" ref="BO29" ca="1" si="118">IF(AND(BC29="Continue",BN29="Continue"),"Continue",IF(AND(BC29&lt;&gt;"Continue",BN29="Continue"),BC29,IF(AND(BN29&lt;&gt;"Continue",BC29="Continue"),BN29,CONCATENATE(BC29,CHAR(10)))))</f>
        <v>Continue</v>
      </c>
      <c r="BP29" s="159" t="str">
        <f>IFERROR(INDEX('Reference Records'!$O$26:$O$81,MATCH($B29,'Reference Records'!I$26:I$81,0)),"")</f>
        <v/>
      </c>
      <c r="BQ29" s="130" t="str">
        <f t="shared" si="5"/>
        <v>Continue</v>
      </c>
      <c r="BR29" s="130" t="str">
        <f t="shared" si="6"/>
        <v>Continue</v>
      </c>
      <c r="BS29" s="130" t="str">
        <f t="shared" si="7"/>
        <v>Continue</v>
      </c>
      <c r="BT29" s="520" t="str">
        <f>IF(AND(BB29="Continue",BC29="Continue"),"Continue",IF(AND(BB29&lt;&gt;"Continue",BC29="Continue"),BB29,IF(AND(BC29&lt;&gt;"Continue",BB29="Continue"),BC29,CONCATENATE(BB29,CHAR(10),BC29))))</f>
        <v>Continue</v>
      </c>
      <c r="BU29" s="520" t="str">
        <f t="shared" ref="BU29" si="119">IF(AND(B29="",C29=""),"Continue",IF(AND(B29="",C29&lt;&gt;""),"Continue",IF(AND(B29&lt;&gt;"",C29=""),"Continue",IF(AND(B29&lt;&gt;"",C29&lt;&gt;""),"Cannot enter both standard and custom indicators on the same line."))))</f>
        <v>Continue</v>
      </c>
      <c r="BV29" s="520" t="str">
        <f t="shared" ref="BV29" si="120">IF(AND(BS29="Continue",BT29="Continue"),"Continue",IF(AND(BS29&lt;&gt;"Continue",BT29="Continue"),BS29,IF(AND(BT29&lt;&gt;"Continue",BS29="Continue"),BT29,CONCATENATE(BS29,CHAR(10),BT29))))</f>
        <v>Continue</v>
      </c>
    </row>
    <row r="30" spans="1:74" ht="30" customHeight="1" x14ac:dyDescent="0.25">
      <c r="A30" s="528"/>
      <c r="B30" s="522"/>
      <c r="C30" s="522"/>
      <c r="D30" s="144"/>
      <c r="E30" s="540"/>
      <c r="F30" s="522"/>
      <c r="G30" s="522"/>
      <c r="H30" s="536"/>
      <c r="I30" s="542"/>
      <c r="J30" s="522"/>
      <c r="K30" s="144"/>
      <c r="L30" s="524"/>
      <c r="M30" s="526"/>
      <c r="N30" s="522"/>
      <c r="O30" s="144"/>
      <c r="P30" s="524"/>
      <c r="Q30" s="526"/>
      <c r="R30" s="522"/>
      <c r="S30" s="144"/>
      <c r="T30" s="524"/>
      <c r="U30" s="526"/>
      <c r="V30" s="522"/>
      <c r="W30" s="144"/>
      <c r="X30" s="524"/>
      <c r="Y30" s="526"/>
      <c r="Z30" s="522"/>
      <c r="AA30" s="522"/>
      <c r="BA30" s="516"/>
      <c r="BB30" s="520"/>
      <c r="BC30" s="520"/>
      <c r="BD30" s="150">
        <f t="shared" si="0"/>
        <v>0</v>
      </c>
      <c r="BE30" s="150">
        <f t="shared" si="1"/>
        <v>0</v>
      </c>
      <c r="BF30" s="150">
        <f t="shared" si="2"/>
        <v>0</v>
      </c>
      <c r="BG30" s="150">
        <f t="shared" si="3"/>
        <v>0</v>
      </c>
      <c r="BH30" s="150">
        <f t="shared" si="4"/>
        <v>0</v>
      </c>
      <c r="BI30" s="477"/>
      <c r="BJ30" s="477"/>
      <c r="BK30" s="477"/>
      <c r="BL30" s="477"/>
      <c r="BM30" s="477"/>
      <c r="BN30" s="477"/>
      <c r="BO30" s="477"/>
      <c r="BP30" s="159" t="str">
        <f>IFERROR(INDEX('Reference Records'!$O$26:$O$81,MATCH($B30,'Reference Records'!I$26:I$81,0)),"")</f>
        <v/>
      </c>
      <c r="BQ30" s="130" t="str">
        <f t="shared" si="5"/>
        <v>Continue</v>
      </c>
      <c r="BR30" s="130" t="str">
        <f t="shared" si="6"/>
        <v>Continue</v>
      </c>
      <c r="BS30" s="130" t="str">
        <f t="shared" si="7"/>
        <v>Continue</v>
      </c>
      <c r="BT30" s="520"/>
      <c r="BU30" s="520"/>
      <c r="BV30" s="520"/>
    </row>
    <row r="31" spans="1:74" ht="30" customHeight="1" x14ac:dyDescent="0.25">
      <c r="A31" s="527">
        <v>12</v>
      </c>
      <c r="B31" s="529"/>
      <c r="C31" s="531"/>
      <c r="D31" s="163"/>
      <c r="E31" s="533" t="str">
        <f ca="1">IF(OR(INDIRECT("'update Helper'!D"&amp;AE31)="",D31&lt;&gt;0,D32&lt;&gt;0),IF(IFERROR((D31/D32),"")="","",(D31/D32)),INDIRECT("'update Helper'!D"&amp;AE31)/100)</f>
        <v/>
      </c>
      <c r="F31" s="529"/>
      <c r="G31" s="529"/>
      <c r="H31" s="535" t="str">
        <f>AB31</f>
        <v/>
      </c>
      <c r="I31" s="537"/>
      <c r="J31" s="529"/>
      <c r="K31" s="163"/>
      <c r="L31" s="543" t="str">
        <f ca="1">IF(OR(INDIRECT("'update Helper'!K"&amp;AD31)="",K31&lt;&gt;0,K32&lt;&gt;0),IF(IFERROR((K31/K32),"")="","",(K31/K32)),INDIRECT("'update Helper'!K"&amp;AD31)/100)</f>
        <v/>
      </c>
      <c r="M31" s="545"/>
      <c r="N31" s="529"/>
      <c r="O31" s="163"/>
      <c r="P31" s="543" t="str">
        <f ca="1">IF(OR(INDIRECT("'update Helper'!K"&amp;AD31+1)="",O31&lt;&gt;0,O32&lt;&gt;0),IF(IFERROR((O31/O32),"")="","",(O31/O32)),INDIRECT("'update Helper'!K"&amp;AD31+1)/100)</f>
        <v/>
      </c>
      <c r="Q31" s="545"/>
      <c r="R31" s="529"/>
      <c r="S31" s="163"/>
      <c r="T31" s="543" t="str">
        <f ca="1">IF(OR(INDIRECT("'update Helper'!K"&amp;AD31+2)="",S31&lt;&gt;0,S32&lt;&gt;0),IF(IFERROR((S31/S32),"")="","",(S31/S32)),INDIRECT("'update Helper'!K"&amp;AD31+2)/100)</f>
        <v/>
      </c>
      <c r="U31" s="545"/>
      <c r="V31" s="529"/>
      <c r="W31" s="163"/>
      <c r="X31" s="543" t="str">
        <f ca="1">IF(OR(INDIRECT("'update Helper'!K"&amp;AD31+3)="",W31&lt;&gt;0,W32&lt;&gt;0),IF(IFERROR((W31/W32),"")="","",(W31/W32)),INDIRECT("'update Helper'!K"&amp;AD31+3)/100)</f>
        <v/>
      </c>
      <c r="Y31" s="545"/>
      <c r="Z31" s="529"/>
      <c r="AA31" s="529"/>
      <c r="AB31" s="52" t="str">
        <f t="array" ref="AB31">IFERROR(IF(INDEX('Reference Records'!$D$27:$D$84,MATCH(LEFT(B31,255),LEFT('Reference Records'!$C$27:$C$84,255),0))=0,"",INDEX('Reference Records'!$D$27:$D$84,MATCH(LEFT(B31,255),LEFT('Reference Records'!$C$27:$C$84,255),0))),"")</f>
        <v/>
      </c>
      <c r="AC31" s="52" t="str">
        <f>B31&amp;C31</f>
        <v/>
      </c>
      <c r="AD31" s="52">
        <f>AD29+'update Helper'!S$2</f>
        <v>334</v>
      </c>
      <c r="AE31" s="52">
        <f t="shared" ref="AE31" si="121">AE29+1</f>
        <v>239</v>
      </c>
      <c r="BA31" s="516" t="str">
        <f t="shared" ref="BA31" si="122">IF(AND(BU31="Continue",BV31="Continue"),"No Error",IF(AND(BU31&lt;&gt;"Continue",BV31="Continue"),BU31,IF(AND(BV31&lt;&gt;"Continue",BU31="Continue"),BV31,CONCATENATE(BU31,CHAR(10),BV31))))</f>
        <v>No Error</v>
      </c>
      <c r="BB31" s="520" t="str" cm="1">
        <f t="array" ref="BB31">IF(ISBLANK(B31),"Continue",(IF(IFERROR(_xlfn.XMATCH(B31,LEFT('Reference Records'!$I$26:$I$81,32768),0),0)&lt;&gt;0,"Continue"," Invalid indicator entry. Select from dropdown list.")))</f>
        <v>Continue</v>
      </c>
      <c r="BC31" s="520" t="str">
        <f t="shared" ref="BC31" si="123">IF(SUM(BD31:BH32)=0, "Continue", "Enter valid number only.")</f>
        <v>Continue</v>
      </c>
      <c r="BD31" s="150">
        <f t="shared" si="0"/>
        <v>0</v>
      </c>
      <c r="BE31" s="150">
        <f t="shared" si="1"/>
        <v>0</v>
      </c>
      <c r="BF31" s="150">
        <f t="shared" si="2"/>
        <v>0</v>
      </c>
      <c r="BG31" s="150">
        <f t="shared" si="3"/>
        <v>0</v>
      </c>
      <c r="BH31" s="150">
        <f t="shared" si="4"/>
        <v>0</v>
      </c>
      <c r="BI31" s="477">
        <f t="shared" ref="BI31" ca="1" si="124">IF(NOT(ISBLANK(E31)),IF(E31&lt;&gt;"",(IF(NOT(ISNUMBER(E31)),1,0)),0),0)</f>
        <v>0</v>
      </c>
      <c r="BJ31" s="477">
        <f t="shared" ref="BJ31" ca="1" si="125">IF(NOT(ISBLANK(L31)),IF(L31&lt;&gt;"",(IF(NOT(ISNUMBER(L31)),1,0)),0),0)</f>
        <v>0</v>
      </c>
      <c r="BK31" s="477">
        <f t="shared" ref="BK31" ca="1" si="126">IF(NOT(ISBLANK(P31)),IF(P31&lt;&gt;"",(IF(NOT(ISNUMBER(P31)),1,0)),0),0)</f>
        <v>0</v>
      </c>
      <c r="BL31" s="477">
        <f t="shared" ref="BL31" ca="1" si="127">IF(NOT(ISBLANK(T31)),IF(T31&lt;&gt;"",(IF(NOT(ISNUMBER(T31)),1,0)),0),0)</f>
        <v>0</v>
      </c>
      <c r="BM31" s="477">
        <f t="shared" ref="BM31" ca="1" si="128">IF(NOT(ISBLANK(X31)),IF(X31&lt;&gt;"",(IF(NOT(ISNUMBER(X31)),1,0)),0),0)</f>
        <v>0</v>
      </c>
      <c r="BN31" s="477" t="str">
        <f t="shared" ref="BN31" ca="1" si="129">IF(SUM(BI31:BM32)=0, "Continue", "Enter valid number only.")</f>
        <v>Continue</v>
      </c>
      <c r="BO31" s="477" t="str">
        <f t="shared" ref="BO31" ca="1" si="130">IF(AND(BC31="Continue",BN31="Continue"),"Continue",IF(AND(BC31&lt;&gt;"Continue",BN31="Continue"),BC31,IF(AND(BN31&lt;&gt;"Continue",BC31="Continue"),BN31,CONCATENATE(BC31,CHAR(10)))))</f>
        <v>Continue</v>
      </c>
      <c r="BP31" s="159" t="str">
        <f>IFERROR(INDEX('Reference Records'!$O$26:$O$81,MATCH($B31,'Reference Records'!I$26:I$81,0)),"")</f>
        <v/>
      </c>
      <c r="BQ31" s="130" t="str">
        <f t="shared" si="5"/>
        <v>Continue</v>
      </c>
      <c r="BR31" s="130" t="str">
        <f t="shared" si="6"/>
        <v>Continue</v>
      </c>
      <c r="BS31" s="130" t="str">
        <f t="shared" si="7"/>
        <v>Continue</v>
      </c>
      <c r="BT31" s="520" t="str">
        <f>IF(AND(BB31="Continue",BC31="Continue"),"Continue",IF(AND(BB31&lt;&gt;"Continue",BC31="Continue"),BB31,IF(AND(BC31&lt;&gt;"Continue",BB31="Continue"),BC31,CONCATENATE(BB31,CHAR(10),BC31))))</f>
        <v>Continue</v>
      </c>
      <c r="BU31" s="520" t="str">
        <f t="shared" ref="BU31" si="131">IF(AND(B31="",C31=""),"Continue",IF(AND(B31="",C31&lt;&gt;""),"Continue",IF(AND(B31&lt;&gt;"",C31=""),"Continue",IF(AND(B31&lt;&gt;"",C31&lt;&gt;""),"Cannot enter both standard and custom indicators on the same line."))))</f>
        <v>Continue</v>
      </c>
      <c r="BV31" s="520" t="str">
        <f t="shared" ref="BV31" si="132">IF(AND(BS31="Continue",BT31="Continue"),"Continue",IF(AND(BS31&lt;&gt;"Continue",BT31="Continue"),BS31,IF(AND(BT31&lt;&gt;"Continue",BS31="Continue"),BT31,CONCATENATE(BS31,CHAR(10),BT31))))</f>
        <v>Continue</v>
      </c>
    </row>
    <row r="32" spans="1:74" ht="30" customHeight="1" x14ac:dyDescent="0.25">
      <c r="A32" s="528"/>
      <c r="B32" s="530"/>
      <c r="C32" s="532"/>
      <c r="D32" s="152"/>
      <c r="E32" s="534"/>
      <c r="F32" s="530"/>
      <c r="G32" s="530"/>
      <c r="H32" s="536"/>
      <c r="I32" s="538"/>
      <c r="J32" s="530"/>
      <c r="K32" s="152"/>
      <c r="L32" s="544"/>
      <c r="M32" s="546"/>
      <c r="N32" s="530"/>
      <c r="O32" s="152"/>
      <c r="P32" s="544"/>
      <c r="Q32" s="546"/>
      <c r="R32" s="530"/>
      <c r="S32" s="152"/>
      <c r="T32" s="544"/>
      <c r="U32" s="546"/>
      <c r="V32" s="530"/>
      <c r="W32" s="152"/>
      <c r="X32" s="544"/>
      <c r="Y32" s="546"/>
      <c r="Z32" s="530"/>
      <c r="AA32" s="530"/>
      <c r="BA32" s="516"/>
      <c r="BB32" s="520"/>
      <c r="BC32" s="520"/>
      <c r="BD32" s="150">
        <f t="shared" si="0"/>
        <v>0</v>
      </c>
      <c r="BE32" s="150">
        <f t="shared" si="1"/>
        <v>0</v>
      </c>
      <c r="BF32" s="150">
        <f t="shared" si="2"/>
        <v>0</v>
      </c>
      <c r="BG32" s="150">
        <f t="shared" si="3"/>
        <v>0</v>
      </c>
      <c r="BH32" s="150">
        <f t="shared" si="4"/>
        <v>0</v>
      </c>
      <c r="BI32" s="477"/>
      <c r="BJ32" s="477"/>
      <c r="BK32" s="477"/>
      <c r="BL32" s="477"/>
      <c r="BM32" s="477"/>
      <c r="BN32" s="477"/>
      <c r="BO32" s="477"/>
      <c r="BP32" s="159" t="str">
        <f>IFERROR(INDEX('Reference Records'!$O$26:$O$81,MATCH($B32,'Reference Records'!I$26:I$81,0)),"")</f>
        <v/>
      </c>
      <c r="BQ32" s="130" t="str">
        <f t="shared" si="5"/>
        <v>Continue</v>
      </c>
      <c r="BR32" s="130" t="str">
        <f t="shared" si="6"/>
        <v>Continue</v>
      </c>
      <c r="BS32" s="130" t="str">
        <f t="shared" si="7"/>
        <v>Continue</v>
      </c>
      <c r="BT32" s="520"/>
      <c r="BU32" s="520"/>
      <c r="BV32" s="520"/>
    </row>
    <row r="33" spans="1:74" ht="30" customHeight="1" x14ac:dyDescent="0.25">
      <c r="A33" s="527">
        <v>13</v>
      </c>
      <c r="B33" s="521"/>
      <c r="C33" s="521"/>
      <c r="D33" s="162"/>
      <c r="E33" s="539" t="str">
        <f ca="1">IF(OR(INDIRECT("'update Helper'!D"&amp;AE33)="",D33&lt;&gt;0,D34&lt;&gt;0),IF(IFERROR((D33/D34),"")="","",(D33/D34)),INDIRECT("'update Helper'!D"&amp;AE33)/100)</f>
        <v/>
      </c>
      <c r="F33" s="521"/>
      <c r="G33" s="521"/>
      <c r="H33" s="535" t="str">
        <f>AB33</f>
        <v/>
      </c>
      <c r="I33" s="541"/>
      <c r="J33" s="521"/>
      <c r="K33" s="162"/>
      <c r="L33" s="523" t="str">
        <f ca="1">IF(OR(INDIRECT("'update Helper'!K"&amp;AD33)="",K33&lt;&gt;0,K34&lt;&gt;0),IF(IFERROR((K33/K34),"")="","",(K33/K34)),INDIRECT("'update Helper'!K"&amp;AD33)/100)</f>
        <v/>
      </c>
      <c r="M33" s="525"/>
      <c r="N33" s="521"/>
      <c r="O33" s="162"/>
      <c r="P33" s="523" t="str">
        <f ca="1">IF(OR(INDIRECT("'update Helper'!K"&amp;AD33+1)="",O33&lt;&gt;0,O34&lt;&gt;0),IF(IFERROR((O33/O34),"")="","",(O33/O34)),INDIRECT("'update Helper'!K"&amp;AD33+1)/100)</f>
        <v/>
      </c>
      <c r="Q33" s="525"/>
      <c r="R33" s="521"/>
      <c r="S33" s="162"/>
      <c r="T33" s="523" t="str">
        <f ca="1">IF(OR(INDIRECT("'update Helper'!K"&amp;AD33+2)="",S33&lt;&gt;0,S34&lt;&gt;0),IF(IFERROR((S33/S34),"")="","",(S33/S34)),INDIRECT("'update Helper'!K"&amp;AD33+2)/100)</f>
        <v/>
      </c>
      <c r="U33" s="525"/>
      <c r="V33" s="521"/>
      <c r="W33" s="162"/>
      <c r="X33" s="523" t="str">
        <f ca="1">IF(OR(INDIRECT("'update Helper'!K"&amp;AD33+3)="",W33&lt;&gt;0,W34&lt;&gt;0),IF(IFERROR((W33/W34),"")="","",(W33/W34)),INDIRECT("'update Helper'!K"&amp;AD33+3)/100)</f>
        <v/>
      </c>
      <c r="Y33" s="525"/>
      <c r="Z33" s="521"/>
      <c r="AA33" s="521"/>
      <c r="AB33" s="52" t="str">
        <f t="array" ref="AB33">IFERROR(IF(INDEX('Reference Records'!$D$27:$D$84,MATCH(LEFT(B33,255),LEFT('Reference Records'!$C$27:$C$84,255),0))=0,"",INDEX('Reference Records'!$D$27:$D$84,MATCH(LEFT(B33,255),LEFT('Reference Records'!$C$27:$C$84,255),0))),"")</f>
        <v/>
      </c>
      <c r="AC33" s="52" t="str">
        <f>B33&amp;C33</f>
        <v/>
      </c>
      <c r="AD33" s="52">
        <f>AD31+'update Helper'!S$2</f>
        <v>340</v>
      </c>
      <c r="AE33" s="52">
        <f t="shared" ref="AE33" si="133">AE31+1</f>
        <v>240</v>
      </c>
      <c r="BA33" s="516" t="str">
        <f t="shared" ref="BA33" si="134">IF(AND(BU33="Continue",BV33="Continue"),"No Error",IF(AND(BU33&lt;&gt;"Continue",BV33="Continue"),BU33,IF(AND(BV33&lt;&gt;"Continue",BU33="Continue"),BV33,CONCATENATE(BU33,CHAR(10),BV33))))</f>
        <v>No Error</v>
      </c>
      <c r="BB33" s="520" t="str" cm="1">
        <f t="array" ref="BB33">IF(ISBLANK(B33),"Continue",(IF(IFERROR(_xlfn.XMATCH(B33,LEFT('Reference Records'!$I$26:$I$81,32768),0),0)&lt;&gt;0,"Continue"," Invalid indicator entry. Select from dropdown list.")))</f>
        <v>Continue</v>
      </c>
      <c r="BC33" s="520" t="str">
        <f t="shared" ref="BC33" si="135">IF(SUM(BD33:BH34)=0, "Continue", "Enter valid number only.")</f>
        <v>Continue</v>
      </c>
      <c r="BD33" s="150">
        <f t="shared" si="0"/>
        <v>0</v>
      </c>
      <c r="BE33" s="150">
        <f t="shared" si="1"/>
        <v>0</v>
      </c>
      <c r="BF33" s="150">
        <f t="shared" si="2"/>
        <v>0</v>
      </c>
      <c r="BG33" s="150">
        <f t="shared" si="3"/>
        <v>0</v>
      </c>
      <c r="BH33" s="150">
        <f t="shared" si="4"/>
        <v>0</v>
      </c>
      <c r="BI33" s="477">
        <f t="shared" ref="BI33" ca="1" si="136">IF(NOT(ISBLANK(E33)),IF(E33&lt;&gt;"",(IF(NOT(ISNUMBER(E33)),1,0)),0),0)</f>
        <v>0</v>
      </c>
      <c r="BJ33" s="477">
        <f t="shared" ref="BJ33" ca="1" si="137">IF(NOT(ISBLANK(L33)),IF(L33&lt;&gt;"",(IF(NOT(ISNUMBER(L33)),1,0)),0),0)</f>
        <v>0</v>
      </c>
      <c r="BK33" s="477">
        <f t="shared" ref="BK33" ca="1" si="138">IF(NOT(ISBLANK(P33)),IF(P33&lt;&gt;"",(IF(NOT(ISNUMBER(P33)),1,0)),0),0)</f>
        <v>0</v>
      </c>
      <c r="BL33" s="477">
        <f t="shared" ref="BL33" ca="1" si="139">IF(NOT(ISBLANK(T33)),IF(T33&lt;&gt;"",(IF(NOT(ISNUMBER(T33)),1,0)),0),0)</f>
        <v>0</v>
      </c>
      <c r="BM33" s="477">
        <f t="shared" ref="BM33" ca="1" si="140">IF(NOT(ISBLANK(X33)),IF(X33&lt;&gt;"",(IF(NOT(ISNUMBER(X33)),1,0)),0),0)</f>
        <v>0</v>
      </c>
      <c r="BN33" s="477" t="str">
        <f t="shared" ref="BN33" ca="1" si="141">IF(SUM(BI33:BM34)=0, "Continue", "Enter valid number only.")</f>
        <v>Continue</v>
      </c>
      <c r="BO33" s="477" t="str">
        <f t="shared" ref="BO33" ca="1" si="142">IF(AND(BC33="Continue",BN33="Continue"),"Continue",IF(AND(BC33&lt;&gt;"Continue",BN33="Continue"),BC33,IF(AND(BN33&lt;&gt;"Continue",BC33="Continue"),BN33,CONCATENATE(BC33,CHAR(10)))))</f>
        <v>Continue</v>
      </c>
      <c r="BP33" s="159" t="str">
        <f>IFERROR(INDEX('Reference Records'!$O$26:$O$81,MATCH($B33,'Reference Records'!I$26:I$81,0)),"")</f>
        <v/>
      </c>
      <c r="BQ33" s="130" t="str">
        <f t="shared" si="5"/>
        <v>Continue</v>
      </c>
      <c r="BR33" s="130" t="str">
        <f t="shared" si="6"/>
        <v>Continue</v>
      </c>
      <c r="BS33" s="130" t="str">
        <f t="shared" si="7"/>
        <v>Continue</v>
      </c>
      <c r="BT33" s="520" t="str">
        <f>IF(AND(BB33="Continue",BC33="Continue"),"Continue",IF(AND(BB33&lt;&gt;"Continue",BC33="Continue"),BB33,IF(AND(BC33&lt;&gt;"Continue",BB33="Continue"),BC33,CONCATENATE(BB33,CHAR(10),BC33))))</f>
        <v>Continue</v>
      </c>
      <c r="BU33" s="520" t="str">
        <f t="shared" ref="BU33" si="143">IF(AND(B33="",C33=""),"Continue",IF(AND(B33="",C33&lt;&gt;""),"Continue",IF(AND(B33&lt;&gt;"",C33=""),"Continue",IF(AND(B33&lt;&gt;"",C33&lt;&gt;""),"Cannot enter both standard and custom indicators on the same line."))))</f>
        <v>Continue</v>
      </c>
      <c r="BV33" s="520" t="str">
        <f t="shared" ref="BV33" si="144">IF(AND(BS33="Continue",BT33="Continue"),"Continue",IF(AND(BS33&lt;&gt;"Continue",BT33="Continue"),BS33,IF(AND(BT33&lt;&gt;"Continue",BS33="Continue"),BT33,CONCATENATE(BS33,CHAR(10),BT33))))</f>
        <v>Continue</v>
      </c>
    </row>
    <row r="34" spans="1:74" ht="30" customHeight="1" x14ac:dyDescent="0.25">
      <c r="A34" s="528"/>
      <c r="B34" s="522"/>
      <c r="C34" s="522"/>
      <c r="D34" s="144"/>
      <c r="E34" s="540"/>
      <c r="F34" s="522"/>
      <c r="G34" s="522"/>
      <c r="H34" s="536"/>
      <c r="I34" s="542"/>
      <c r="J34" s="522"/>
      <c r="K34" s="144"/>
      <c r="L34" s="524"/>
      <c r="M34" s="526"/>
      <c r="N34" s="522"/>
      <c r="O34" s="144"/>
      <c r="P34" s="524"/>
      <c r="Q34" s="526"/>
      <c r="R34" s="522"/>
      <c r="S34" s="144"/>
      <c r="T34" s="524"/>
      <c r="U34" s="526"/>
      <c r="V34" s="522"/>
      <c r="W34" s="144"/>
      <c r="X34" s="524"/>
      <c r="Y34" s="526"/>
      <c r="Z34" s="522"/>
      <c r="AA34" s="522"/>
      <c r="BA34" s="516"/>
      <c r="BB34" s="520"/>
      <c r="BC34" s="520"/>
      <c r="BD34" s="150">
        <f t="shared" si="0"/>
        <v>0</v>
      </c>
      <c r="BE34" s="150">
        <f t="shared" si="1"/>
        <v>0</v>
      </c>
      <c r="BF34" s="150">
        <f t="shared" si="2"/>
        <v>0</v>
      </c>
      <c r="BG34" s="150">
        <f t="shared" si="3"/>
        <v>0</v>
      </c>
      <c r="BH34" s="150">
        <f t="shared" si="4"/>
        <v>0</v>
      </c>
      <c r="BI34" s="477"/>
      <c r="BJ34" s="477"/>
      <c r="BK34" s="477"/>
      <c r="BL34" s="477"/>
      <c r="BM34" s="477"/>
      <c r="BN34" s="477"/>
      <c r="BO34" s="477"/>
      <c r="BP34" s="159" t="str">
        <f>IFERROR(INDEX('Reference Records'!$O$26:$O$81,MATCH($B34,'Reference Records'!I$26:I$81,0)),"")</f>
        <v/>
      </c>
      <c r="BQ34" s="130" t="str">
        <f t="shared" si="5"/>
        <v>Continue</v>
      </c>
      <c r="BR34" s="130" t="str">
        <f t="shared" si="6"/>
        <v>Continue</v>
      </c>
      <c r="BS34" s="130" t="str">
        <f t="shared" si="7"/>
        <v>Continue</v>
      </c>
      <c r="BT34" s="520"/>
      <c r="BU34" s="520"/>
      <c r="BV34" s="520"/>
    </row>
    <row r="35" spans="1:74" ht="30" customHeight="1" x14ac:dyDescent="0.25">
      <c r="A35" s="527">
        <v>14</v>
      </c>
      <c r="B35" s="529"/>
      <c r="C35" s="531"/>
      <c r="D35" s="163"/>
      <c r="E35" s="533" t="str">
        <f ca="1">IF(OR(INDIRECT("'update Helper'!D"&amp;AE35)="",D35&lt;&gt;0,D36&lt;&gt;0),IF(IFERROR((D35/D36),"")="","",(D35/D36)),INDIRECT("'update Helper'!D"&amp;AE35)/100)</f>
        <v/>
      </c>
      <c r="F35" s="529"/>
      <c r="G35" s="529"/>
      <c r="H35" s="535" t="str">
        <f>AB35</f>
        <v/>
      </c>
      <c r="I35" s="537"/>
      <c r="J35" s="529"/>
      <c r="K35" s="163"/>
      <c r="L35" s="543" t="str">
        <f ca="1">IF(OR(INDIRECT("'update Helper'!K"&amp;AD35)="",K35&lt;&gt;0,K36&lt;&gt;0),IF(IFERROR((K35/K36),"")="","",(K35/K36)),INDIRECT("'update Helper'!K"&amp;AD35)/100)</f>
        <v/>
      </c>
      <c r="M35" s="545"/>
      <c r="N35" s="529"/>
      <c r="O35" s="163"/>
      <c r="P35" s="543" t="str">
        <f ca="1">IF(OR(INDIRECT("'update Helper'!K"&amp;AD35+1)="",O35&lt;&gt;0,O36&lt;&gt;0),IF(IFERROR((O35/O36),"")="","",(O35/O36)),INDIRECT("'update Helper'!K"&amp;AD35+1)/100)</f>
        <v/>
      </c>
      <c r="Q35" s="545"/>
      <c r="R35" s="529"/>
      <c r="S35" s="163"/>
      <c r="T35" s="543" t="str">
        <f ca="1">IF(OR(INDIRECT("'update Helper'!K"&amp;AD35+2)="",S35&lt;&gt;0,S36&lt;&gt;0),IF(IFERROR((S35/S36),"")="","",(S35/S36)),INDIRECT("'update Helper'!K"&amp;AD35+2)/100)</f>
        <v/>
      </c>
      <c r="U35" s="545"/>
      <c r="V35" s="529"/>
      <c r="W35" s="163"/>
      <c r="X35" s="543" t="str">
        <f ca="1">IF(OR(INDIRECT("'update Helper'!K"&amp;AD35+3)="",W35&lt;&gt;0,W36&lt;&gt;0),IF(IFERROR((W35/W36),"")="","",(W35/W36)),INDIRECT("'update Helper'!K"&amp;AD35+3)/100)</f>
        <v/>
      </c>
      <c r="Y35" s="545"/>
      <c r="Z35" s="529"/>
      <c r="AA35" s="529"/>
      <c r="AB35" s="52" t="str">
        <f t="array" ref="AB35">IFERROR(IF(INDEX('Reference Records'!$D$27:$D$84,MATCH(LEFT(B35,255),LEFT('Reference Records'!$C$27:$C$84,255),0))=0,"",INDEX('Reference Records'!$D$27:$D$84,MATCH(LEFT(B35,255),LEFT('Reference Records'!$C$27:$C$84,255),0))),"")</f>
        <v/>
      </c>
      <c r="AC35" s="52" t="str">
        <f>B35&amp;C35</f>
        <v/>
      </c>
      <c r="AD35" s="52">
        <f>AD33+'update Helper'!S$2</f>
        <v>346</v>
      </c>
      <c r="AE35" s="52">
        <f t="shared" ref="AE35" si="145">AE33+1</f>
        <v>241</v>
      </c>
      <c r="BA35" s="516" t="str">
        <f t="shared" ref="BA35" si="146">IF(AND(BU35="Continue",BV35="Continue"),"No Error",IF(AND(BU35&lt;&gt;"Continue",BV35="Continue"),BU35,IF(AND(BV35&lt;&gt;"Continue",BU35="Continue"),BV35,CONCATENATE(BU35,CHAR(10),BV35))))</f>
        <v>No Error</v>
      </c>
      <c r="BB35" s="520" t="str" cm="1">
        <f t="array" ref="BB35">IF(ISBLANK(B35),"Continue",(IF(IFERROR(_xlfn.XMATCH(B35,LEFT('Reference Records'!$I$26:$I$81,32768),0),0)&lt;&gt;0,"Continue"," Invalid indicator entry. Select from dropdown list.")))</f>
        <v>Continue</v>
      </c>
      <c r="BC35" s="520" t="str">
        <f t="shared" ref="BC35" si="147">IF(SUM(BD35:BH36)=0, "Continue", "Enter valid number only.")</f>
        <v>Continue</v>
      </c>
      <c r="BD35" s="150">
        <f t="shared" si="0"/>
        <v>0</v>
      </c>
      <c r="BE35" s="150">
        <f t="shared" si="1"/>
        <v>0</v>
      </c>
      <c r="BF35" s="150">
        <f t="shared" si="2"/>
        <v>0</v>
      </c>
      <c r="BG35" s="150">
        <f t="shared" si="3"/>
        <v>0</v>
      </c>
      <c r="BH35" s="150">
        <f t="shared" si="4"/>
        <v>0</v>
      </c>
      <c r="BI35" s="477">
        <f t="shared" ref="BI35" ca="1" si="148">IF(NOT(ISBLANK(E35)),IF(E35&lt;&gt;"",(IF(NOT(ISNUMBER(E35)),1,0)),0),0)</f>
        <v>0</v>
      </c>
      <c r="BJ35" s="477">
        <f t="shared" ref="BJ35" ca="1" si="149">IF(NOT(ISBLANK(L35)),IF(L35&lt;&gt;"",(IF(NOT(ISNUMBER(L35)),1,0)),0),0)</f>
        <v>0</v>
      </c>
      <c r="BK35" s="477">
        <f t="shared" ref="BK35" ca="1" si="150">IF(NOT(ISBLANK(P35)),IF(P35&lt;&gt;"",(IF(NOT(ISNUMBER(P35)),1,0)),0),0)</f>
        <v>0</v>
      </c>
      <c r="BL35" s="477">
        <f t="shared" ref="BL35" ca="1" si="151">IF(NOT(ISBLANK(T35)),IF(T35&lt;&gt;"",(IF(NOT(ISNUMBER(T35)),1,0)),0),0)</f>
        <v>0</v>
      </c>
      <c r="BM35" s="477">
        <f t="shared" ref="BM35" ca="1" si="152">IF(NOT(ISBLANK(X35)),IF(X35&lt;&gt;"",(IF(NOT(ISNUMBER(X35)),1,0)),0),0)</f>
        <v>0</v>
      </c>
      <c r="BN35" s="477" t="str">
        <f t="shared" ref="BN35" ca="1" si="153">IF(SUM(BI35:BM36)=0, "Continue", "Enter valid number only.")</f>
        <v>Continue</v>
      </c>
      <c r="BO35" s="477" t="str">
        <f t="shared" ref="BO35" ca="1" si="154">IF(AND(BC35="Continue",BN35="Continue"),"Continue",IF(AND(BC35&lt;&gt;"Continue",BN35="Continue"),BC35,IF(AND(BN35&lt;&gt;"Continue",BC35="Continue"),BN35,CONCATENATE(BC35,CHAR(10)))))</f>
        <v>Continue</v>
      </c>
      <c r="BP35" s="159" t="str">
        <f>IFERROR(INDEX('Reference Records'!$O$26:$O$81,MATCH($B35,'Reference Records'!I$26:I$81,0)),"")</f>
        <v/>
      </c>
      <c r="BQ35" s="130" t="str">
        <f t="shared" si="5"/>
        <v>Continue</v>
      </c>
      <c r="BR35" s="130" t="str">
        <f t="shared" si="6"/>
        <v>Continue</v>
      </c>
      <c r="BS35" s="130" t="str">
        <f t="shared" si="7"/>
        <v>Continue</v>
      </c>
      <c r="BT35" s="520" t="str">
        <f>IF(AND(BB35="Continue",BC35="Continue"),"Continue",IF(AND(BB35&lt;&gt;"Continue",BC35="Continue"),BB35,IF(AND(BC35&lt;&gt;"Continue",BB35="Continue"),BC35,CONCATENATE(BB35,CHAR(10),BC35))))</f>
        <v>Continue</v>
      </c>
      <c r="BU35" s="520" t="str">
        <f t="shared" ref="BU35" si="155">IF(AND(B35="",C35=""),"Continue",IF(AND(B35="",C35&lt;&gt;""),"Continue",IF(AND(B35&lt;&gt;"",C35=""),"Continue",IF(AND(B35&lt;&gt;"",C35&lt;&gt;""),"Cannot enter both standard and custom indicators on the same line."))))</f>
        <v>Continue</v>
      </c>
      <c r="BV35" s="520" t="str">
        <f t="shared" ref="BV35" si="156">IF(AND(BS35="Continue",BT35="Continue"),"Continue",IF(AND(BS35&lt;&gt;"Continue",BT35="Continue"),BS35,IF(AND(BT35&lt;&gt;"Continue",BS35="Continue"),BT35,CONCATENATE(BS35,CHAR(10),BT35))))</f>
        <v>Continue</v>
      </c>
    </row>
    <row r="36" spans="1:74" ht="30" customHeight="1" x14ac:dyDescent="0.25">
      <c r="A36" s="528"/>
      <c r="B36" s="530"/>
      <c r="C36" s="532"/>
      <c r="D36" s="152"/>
      <c r="E36" s="534"/>
      <c r="F36" s="530"/>
      <c r="G36" s="530"/>
      <c r="H36" s="536"/>
      <c r="I36" s="538"/>
      <c r="J36" s="530"/>
      <c r="K36" s="152"/>
      <c r="L36" s="544"/>
      <c r="M36" s="546"/>
      <c r="N36" s="530"/>
      <c r="O36" s="152"/>
      <c r="P36" s="544"/>
      <c r="Q36" s="546"/>
      <c r="R36" s="530"/>
      <c r="S36" s="152"/>
      <c r="T36" s="544"/>
      <c r="U36" s="546"/>
      <c r="V36" s="530"/>
      <c r="W36" s="152"/>
      <c r="X36" s="544"/>
      <c r="Y36" s="546"/>
      <c r="Z36" s="530"/>
      <c r="AA36" s="530"/>
      <c r="BA36" s="516"/>
      <c r="BB36" s="520"/>
      <c r="BC36" s="520"/>
      <c r="BD36" s="150">
        <f t="shared" si="0"/>
        <v>0</v>
      </c>
      <c r="BE36" s="150">
        <f t="shared" si="1"/>
        <v>0</v>
      </c>
      <c r="BF36" s="150">
        <f t="shared" si="2"/>
        <v>0</v>
      </c>
      <c r="BG36" s="150">
        <f t="shared" si="3"/>
        <v>0</v>
      </c>
      <c r="BH36" s="150">
        <f t="shared" si="4"/>
        <v>0</v>
      </c>
      <c r="BI36" s="477"/>
      <c r="BJ36" s="477"/>
      <c r="BK36" s="477"/>
      <c r="BL36" s="477"/>
      <c r="BM36" s="477"/>
      <c r="BN36" s="477"/>
      <c r="BO36" s="477"/>
      <c r="BP36" s="159" t="str">
        <f>IFERROR(INDEX('Reference Records'!$O$26:$O$81,MATCH($B36,'Reference Records'!I$26:I$81,0)),"")</f>
        <v/>
      </c>
      <c r="BQ36" s="130" t="str">
        <f t="shared" si="5"/>
        <v>Continue</v>
      </c>
      <c r="BR36" s="130" t="str">
        <f t="shared" si="6"/>
        <v>Continue</v>
      </c>
      <c r="BS36" s="130" t="str">
        <f t="shared" si="7"/>
        <v>Continue</v>
      </c>
      <c r="BT36" s="520"/>
      <c r="BU36" s="520"/>
      <c r="BV36" s="520"/>
    </row>
    <row r="37" spans="1:74" ht="30" customHeight="1" x14ac:dyDescent="0.25">
      <c r="A37" s="527">
        <v>15</v>
      </c>
      <c r="B37" s="521"/>
      <c r="C37" s="521"/>
      <c r="D37" s="162"/>
      <c r="E37" s="539" t="str">
        <f ca="1">IF(OR(INDIRECT("'update Helper'!D"&amp;AE37)="",D37&lt;&gt;0,D38&lt;&gt;0),IF(IFERROR((D37/D38),"")="","",(D37/D38)),INDIRECT("'update Helper'!D"&amp;AE37)/100)</f>
        <v/>
      </c>
      <c r="F37" s="521"/>
      <c r="G37" s="521"/>
      <c r="H37" s="535" t="str">
        <f>AB37</f>
        <v/>
      </c>
      <c r="I37" s="541"/>
      <c r="J37" s="521"/>
      <c r="K37" s="162"/>
      <c r="L37" s="523" t="str">
        <f ca="1">IF(OR(INDIRECT("'update Helper'!K"&amp;AD37)="",K37&lt;&gt;0,K38&lt;&gt;0),IF(IFERROR((K37/K38),"")="","",(K37/K38)),INDIRECT("'update Helper'!K"&amp;AD37)/100)</f>
        <v/>
      </c>
      <c r="M37" s="525"/>
      <c r="N37" s="521"/>
      <c r="O37" s="162"/>
      <c r="P37" s="523" t="str">
        <f ca="1">IF(OR(INDIRECT("'update Helper'!K"&amp;AD37+1)="",O37&lt;&gt;0,O38&lt;&gt;0),IF(IFERROR((O37/O38),"")="","",(O37/O38)),INDIRECT("'update Helper'!K"&amp;AD37+1)/100)</f>
        <v/>
      </c>
      <c r="Q37" s="525"/>
      <c r="R37" s="521"/>
      <c r="S37" s="162"/>
      <c r="T37" s="523" t="str">
        <f ca="1">IF(OR(INDIRECT("'update Helper'!K"&amp;AD37+2)="",S37&lt;&gt;0,S38&lt;&gt;0),IF(IFERROR((S37/S38),"")="","",(S37/S38)),INDIRECT("'update Helper'!K"&amp;AD37+2)/100)</f>
        <v/>
      </c>
      <c r="U37" s="525"/>
      <c r="V37" s="521"/>
      <c r="W37" s="162"/>
      <c r="X37" s="523" t="str">
        <f ca="1">IF(OR(INDIRECT("'update Helper'!K"&amp;AD37+3)="",W37&lt;&gt;0,W38&lt;&gt;0),IF(IFERROR((W37/W38),"")="","",(W37/W38)),INDIRECT("'update Helper'!K"&amp;AD37+3)/100)</f>
        <v/>
      </c>
      <c r="Y37" s="525"/>
      <c r="Z37" s="521"/>
      <c r="AA37" s="521"/>
      <c r="AB37" s="52" t="str">
        <f t="array" ref="AB37">IFERROR(IF(INDEX('Reference Records'!$D$27:$D$84,MATCH(LEFT(B37,255),LEFT('Reference Records'!$C$27:$C$84,255),0))=0,"",INDEX('Reference Records'!$D$27:$D$84,MATCH(LEFT(B37,255),LEFT('Reference Records'!$C$27:$C$84,255),0))),"")</f>
        <v/>
      </c>
      <c r="AC37" s="52" t="str">
        <f>B37&amp;C37</f>
        <v/>
      </c>
      <c r="AD37" s="52">
        <f>AD35+'update Helper'!S$2</f>
        <v>352</v>
      </c>
      <c r="AE37" s="52">
        <f t="shared" ref="AE37" si="157">AE35+1</f>
        <v>242</v>
      </c>
      <c r="BA37" s="516" t="str">
        <f t="shared" ref="BA37" si="158">IF(AND(BU37="Continue",BV37="Continue"),"No Error",IF(AND(BU37&lt;&gt;"Continue",BV37="Continue"),BU37,IF(AND(BV37&lt;&gt;"Continue",BU37="Continue"),BV37,CONCATENATE(BU37,CHAR(10),BV37))))</f>
        <v>No Error</v>
      </c>
      <c r="BB37" s="520" t="str" cm="1">
        <f t="array" ref="BB37">IF(ISBLANK(B37),"Continue",(IF(IFERROR(_xlfn.XMATCH(B37,LEFT('Reference Records'!$I$26:$I$81,32768),0),0)&lt;&gt;0,"Continue"," Invalid indicator entry. Select from dropdown list.")))</f>
        <v>Continue</v>
      </c>
      <c r="BC37" s="520" t="str">
        <f t="shared" ref="BC37" si="159">IF(SUM(BD37:BH38)=0, "Continue", "Enter valid number only.")</f>
        <v>Continue</v>
      </c>
      <c r="BD37" s="150">
        <f t="shared" si="0"/>
        <v>0</v>
      </c>
      <c r="BE37" s="150">
        <f t="shared" si="1"/>
        <v>0</v>
      </c>
      <c r="BF37" s="150">
        <f t="shared" si="2"/>
        <v>0</v>
      </c>
      <c r="BG37" s="150">
        <f t="shared" si="3"/>
        <v>0</v>
      </c>
      <c r="BH37" s="150">
        <f t="shared" si="4"/>
        <v>0</v>
      </c>
      <c r="BI37" s="477">
        <f t="shared" ref="BI37" ca="1" si="160">IF(NOT(ISBLANK(E37)),IF(E37&lt;&gt;"",(IF(NOT(ISNUMBER(E37)),1,0)),0),0)</f>
        <v>0</v>
      </c>
      <c r="BJ37" s="477">
        <f t="shared" ref="BJ37" ca="1" si="161">IF(NOT(ISBLANK(L37)),IF(L37&lt;&gt;"",(IF(NOT(ISNUMBER(L37)),1,0)),0),0)</f>
        <v>0</v>
      </c>
      <c r="BK37" s="477">
        <f t="shared" ref="BK37" ca="1" si="162">IF(NOT(ISBLANK(P37)),IF(P37&lt;&gt;"",(IF(NOT(ISNUMBER(P37)),1,0)),0),0)</f>
        <v>0</v>
      </c>
      <c r="BL37" s="477">
        <f t="shared" ref="BL37" ca="1" si="163">IF(NOT(ISBLANK(T37)),IF(T37&lt;&gt;"",(IF(NOT(ISNUMBER(T37)),1,0)),0),0)</f>
        <v>0</v>
      </c>
      <c r="BM37" s="477">
        <f t="shared" ref="BM37" ca="1" si="164">IF(NOT(ISBLANK(X37)),IF(X37&lt;&gt;"",(IF(NOT(ISNUMBER(X37)),1,0)),0),0)</f>
        <v>0</v>
      </c>
      <c r="BN37" s="477" t="str">
        <f t="shared" ref="BN37" ca="1" si="165">IF(SUM(BI37:BM38)=0, "Continue", "Enter valid number only.")</f>
        <v>Continue</v>
      </c>
      <c r="BO37" s="477" t="str">
        <f t="shared" ref="BO37" ca="1" si="166">IF(AND(BC37="Continue",BN37="Continue"),"Continue",IF(AND(BC37&lt;&gt;"Continue",BN37="Continue"),BC37,IF(AND(BN37&lt;&gt;"Continue",BC37="Continue"),BN37,CONCATENATE(BC37,CHAR(10)))))</f>
        <v>Continue</v>
      </c>
      <c r="BP37" s="159" t="str">
        <f>IFERROR(INDEX('Reference Records'!$O$26:$O$81,MATCH($B37,'Reference Records'!I$26:I$81,0)),"")</f>
        <v/>
      </c>
      <c r="BQ37" s="130" t="str">
        <f t="shared" si="5"/>
        <v>Continue</v>
      </c>
      <c r="BR37" s="130" t="str">
        <f t="shared" si="6"/>
        <v>Continue</v>
      </c>
      <c r="BS37" s="130" t="str">
        <f t="shared" si="7"/>
        <v>Continue</v>
      </c>
      <c r="BT37" s="520" t="str">
        <f>IF(AND(BB37="Continue",BC37="Continue"),"Continue",IF(AND(BB37&lt;&gt;"Continue",BC37="Continue"),BB37,IF(AND(BC37&lt;&gt;"Continue",BB37="Continue"),BC37,CONCATENATE(BB37,CHAR(10),BC37))))</f>
        <v>Continue</v>
      </c>
      <c r="BU37" s="520" t="str">
        <f t="shared" ref="BU37" si="167">IF(AND(B37="",C37=""),"Continue",IF(AND(B37="",C37&lt;&gt;""),"Continue",IF(AND(B37&lt;&gt;"",C37=""),"Continue",IF(AND(B37&lt;&gt;"",C37&lt;&gt;""),"Cannot enter both standard and custom indicators on the same line."))))</f>
        <v>Continue</v>
      </c>
      <c r="BV37" s="520" t="str">
        <f t="shared" ref="BV37" si="168">IF(AND(BS37="Continue",BT37="Continue"),"Continue",IF(AND(BS37&lt;&gt;"Continue",BT37="Continue"),BS37,IF(AND(BT37&lt;&gt;"Continue",BS37="Continue"),BT37,CONCATENATE(BS37,CHAR(10),BT37))))</f>
        <v>Continue</v>
      </c>
    </row>
    <row r="38" spans="1:74" ht="30" customHeight="1" x14ac:dyDescent="0.25">
      <c r="A38" s="528"/>
      <c r="B38" s="522"/>
      <c r="C38" s="522"/>
      <c r="D38" s="144"/>
      <c r="E38" s="540"/>
      <c r="F38" s="522"/>
      <c r="G38" s="522"/>
      <c r="H38" s="536"/>
      <c r="I38" s="542"/>
      <c r="J38" s="522"/>
      <c r="K38" s="144"/>
      <c r="L38" s="524"/>
      <c r="M38" s="526"/>
      <c r="N38" s="522"/>
      <c r="O38" s="144"/>
      <c r="P38" s="524"/>
      <c r="Q38" s="526"/>
      <c r="R38" s="522"/>
      <c r="S38" s="144"/>
      <c r="T38" s="524"/>
      <c r="U38" s="526"/>
      <c r="V38" s="522"/>
      <c r="W38" s="144"/>
      <c r="X38" s="524"/>
      <c r="Y38" s="526"/>
      <c r="Z38" s="522"/>
      <c r="AA38" s="522"/>
      <c r="BA38" s="516"/>
      <c r="BB38" s="520"/>
      <c r="BC38" s="520"/>
      <c r="BD38" s="150">
        <f t="shared" si="0"/>
        <v>0</v>
      </c>
      <c r="BE38" s="150">
        <f t="shared" si="1"/>
        <v>0</v>
      </c>
      <c r="BF38" s="150">
        <f t="shared" si="2"/>
        <v>0</v>
      </c>
      <c r="BG38" s="150">
        <f t="shared" si="3"/>
        <v>0</v>
      </c>
      <c r="BH38" s="150">
        <f t="shared" si="4"/>
        <v>0</v>
      </c>
      <c r="BI38" s="477"/>
      <c r="BJ38" s="477"/>
      <c r="BK38" s="477"/>
      <c r="BL38" s="477"/>
      <c r="BM38" s="477"/>
      <c r="BN38" s="477"/>
      <c r="BO38" s="477"/>
      <c r="BP38" s="159" t="str">
        <f>IFERROR(INDEX('Reference Records'!$O$26:$O$81,MATCH($B38,'Reference Records'!I$26:I$81,0)),"")</f>
        <v/>
      </c>
      <c r="BQ38" s="130" t="str">
        <f t="shared" si="5"/>
        <v>Continue</v>
      </c>
      <c r="BR38" s="130" t="str">
        <f t="shared" si="6"/>
        <v>Continue</v>
      </c>
      <c r="BS38" s="130" t="str">
        <f t="shared" si="7"/>
        <v>Continue</v>
      </c>
      <c r="BT38" s="520"/>
      <c r="BU38" s="520"/>
      <c r="BV38" s="520"/>
    </row>
    <row r="39" spans="1:74" ht="30" customHeight="1" x14ac:dyDescent="0.25"/>
    <row r="40" spans="1:74" ht="30" customHeight="1" x14ac:dyDescent="0.25"/>
    <row r="41" spans="1:74" ht="30" customHeight="1" x14ac:dyDescent="0.25"/>
    <row r="42" spans="1:74" ht="30" customHeight="1" x14ac:dyDescent="0.25"/>
    <row r="43" spans="1:74" ht="30" customHeight="1" x14ac:dyDescent="0.25"/>
    <row r="44" spans="1:74" ht="30" customHeight="1" x14ac:dyDescent="0.25"/>
    <row r="45" spans="1:74" ht="30" customHeight="1" x14ac:dyDescent="0.25"/>
    <row r="46" spans="1:74" ht="30" customHeight="1" x14ac:dyDescent="0.25"/>
    <row r="47" spans="1:74" ht="30" customHeight="1" x14ac:dyDescent="0.25"/>
    <row r="48" spans="1:74"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sheetData>
  <sheetProtection algorithmName="SHA-512" hashValue="9UzkQKyy/LEypULu1W4iweKEKcnT5Rmpf07n+/aLTJN8aTWCFFkD8xF2qS6ylHwCrnA6WOze9TOgUZZAzQykgg==" saltValue="/qvj+S+sS9kN78mdE093Zg==" spinCount="100000" sheet="1" objects="1" scenarios="1" formatCells="0" formatColumns="0" formatRows="0"/>
  <mergeCells count="526">
    <mergeCell ref="BC27:BC28"/>
    <mergeCell ref="BC29:BC30"/>
    <mergeCell ref="BC31:BC32"/>
    <mergeCell ref="BC33:BC34"/>
    <mergeCell ref="BC35:BC36"/>
    <mergeCell ref="BC37:BC38"/>
    <mergeCell ref="BC9:BC10"/>
    <mergeCell ref="BC11:BC12"/>
    <mergeCell ref="BC13:BC14"/>
    <mergeCell ref="BC15:BC16"/>
    <mergeCell ref="BC17:BC18"/>
    <mergeCell ref="BC19:BC20"/>
    <mergeCell ref="BC21:BC22"/>
    <mergeCell ref="BC23:BC24"/>
    <mergeCell ref="BC25:BC26"/>
    <mergeCell ref="BA27:BA28"/>
    <mergeCell ref="BA29:BA30"/>
    <mergeCell ref="BA31:BA32"/>
    <mergeCell ref="BA33:BA34"/>
    <mergeCell ref="BA35:BA36"/>
    <mergeCell ref="BA37:BA38"/>
    <mergeCell ref="BB9:BB10"/>
    <mergeCell ref="BB11:BB12"/>
    <mergeCell ref="BB13:BB14"/>
    <mergeCell ref="BB15:BB16"/>
    <mergeCell ref="BB17:BB18"/>
    <mergeCell ref="BB19:BB20"/>
    <mergeCell ref="BB21:BB22"/>
    <mergeCell ref="BB23:BB24"/>
    <mergeCell ref="BB25:BB26"/>
    <mergeCell ref="BB27:BB28"/>
    <mergeCell ref="BB29:BB30"/>
    <mergeCell ref="BB31:BB32"/>
    <mergeCell ref="BB33:BB34"/>
    <mergeCell ref="BB35:BB36"/>
    <mergeCell ref="BB37:BB38"/>
    <mergeCell ref="BA9:BA10"/>
    <mergeCell ref="BA11:BA12"/>
    <mergeCell ref="BA13:BA14"/>
    <mergeCell ref="BA15:BA16"/>
    <mergeCell ref="BA17:BA18"/>
    <mergeCell ref="BA19:BA20"/>
    <mergeCell ref="BA21:BA22"/>
    <mergeCell ref="BA23:BA24"/>
    <mergeCell ref="BA25:BA26"/>
    <mergeCell ref="A1:G2"/>
    <mergeCell ref="K7:N7"/>
    <mergeCell ref="O7:R7"/>
    <mergeCell ref="S7:V7"/>
    <mergeCell ref="E9:E10"/>
    <mergeCell ref="C9:C10"/>
    <mergeCell ref="H9:H10"/>
    <mergeCell ref="B9:B10"/>
    <mergeCell ref="L9:L10"/>
    <mergeCell ref="R9:R10"/>
    <mergeCell ref="P9:P10"/>
    <mergeCell ref="Q9:Q10"/>
    <mergeCell ref="I9:I10"/>
    <mergeCell ref="F9:F10"/>
    <mergeCell ref="M9:M10"/>
    <mergeCell ref="N9:N10"/>
    <mergeCell ref="W7:Z7"/>
    <mergeCell ref="A9:A10"/>
    <mergeCell ref="G9:G10"/>
    <mergeCell ref="T9:T10"/>
    <mergeCell ref="U9:U10"/>
    <mergeCell ref="V9:V10"/>
    <mergeCell ref="AA9:AA10"/>
    <mergeCell ref="X9:X10"/>
    <mergeCell ref="Y9:Y10"/>
    <mergeCell ref="Z9:Z10"/>
    <mergeCell ref="J9:J10"/>
    <mergeCell ref="X11:X12"/>
    <mergeCell ref="Y11:Y12"/>
    <mergeCell ref="Z11:Z12"/>
    <mergeCell ref="L11:L12"/>
    <mergeCell ref="M11:M12"/>
    <mergeCell ref="N11:N12"/>
    <mergeCell ref="P11:P12"/>
    <mergeCell ref="Q11:Q12"/>
    <mergeCell ref="R11:R12"/>
    <mergeCell ref="Z13:Z14"/>
    <mergeCell ref="AA11:AA12"/>
    <mergeCell ref="X17:X18"/>
    <mergeCell ref="Y17:Y18"/>
    <mergeCell ref="Z17:Z18"/>
    <mergeCell ref="L17:L18"/>
    <mergeCell ref="A11:A12"/>
    <mergeCell ref="B11:B12"/>
    <mergeCell ref="C11:C12"/>
    <mergeCell ref="E11:E12"/>
    <mergeCell ref="F11:F12"/>
    <mergeCell ref="G11:G12"/>
    <mergeCell ref="H11:H12"/>
    <mergeCell ref="I11:I12"/>
    <mergeCell ref="J11:J12"/>
    <mergeCell ref="A13:A14"/>
    <mergeCell ref="B13:B14"/>
    <mergeCell ref="C13:C14"/>
    <mergeCell ref="E13:E14"/>
    <mergeCell ref="F13:F14"/>
    <mergeCell ref="G13:G14"/>
    <mergeCell ref="H13:H14"/>
    <mergeCell ref="I13:I14"/>
    <mergeCell ref="J13:J14"/>
    <mergeCell ref="L13:L14"/>
    <mergeCell ref="M13:M14"/>
    <mergeCell ref="N13:N14"/>
    <mergeCell ref="P13:P14"/>
    <mergeCell ref="Q13:Q14"/>
    <mergeCell ref="R13:R14"/>
    <mergeCell ref="T11:T12"/>
    <mergeCell ref="U11:U12"/>
    <mergeCell ref="V11:V12"/>
    <mergeCell ref="AA13:AA14"/>
    <mergeCell ref="A15:A16"/>
    <mergeCell ref="B15:B16"/>
    <mergeCell ref="C15:C16"/>
    <mergeCell ref="E15:E16"/>
    <mergeCell ref="F15:F16"/>
    <mergeCell ref="G15:G16"/>
    <mergeCell ref="H15:H16"/>
    <mergeCell ref="I15:I16"/>
    <mergeCell ref="J15:J16"/>
    <mergeCell ref="L15:L16"/>
    <mergeCell ref="M15:M16"/>
    <mergeCell ref="N15:N16"/>
    <mergeCell ref="P15:P16"/>
    <mergeCell ref="Q15:Q16"/>
    <mergeCell ref="T13:T14"/>
    <mergeCell ref="U13:U14"/>
    <mergeCell ref="V13:V14"/>
    <mergeCell ref="X13:X14"/>
    <mergeCell ref="Y13:Y14"/>
    <mergeCell ref="AA15:AA16"/>
    <mergeCell ref="R15:R16"/>
    <mergeCell ref="T15:T16"/>
    <mergeCell ref="U15:U16"/>
    <mergeCell ref="V15:V16"/>
    <mergeCell ref="X15:X16"/>
    <mergeCell ref="Y15:Y16"/>
    <mergeCell ref="Z15:Z16"/>
    <mergeCell ref="A17:A18"/>
    <mergeCell ref="B17:B18"/>
    <mergeCell ref="C17:C18"/>
    <mergeCell ref="E17:E18"/>
    <mergeCell ref="F17:F18"/>
    <mergeCell ref="G17:G18"/>
    <mergeCell ref="H17:H18"/>
    <mergeCell ref="I17:I18"/>
    <mergeCell ref="J17:J18"/>
    <mergeCell ref="M17:M18"/>
    <mergeCell ref="N17:N18"/>
    <mergeCell ref="P17:P18"/>
    <mergeCell ref="Q17:Q18"/>
    <mergeCell ref="R17:R18"/>
    <mergeCell ref="Z19:Z20"/>
    <mergeCell ref="AA17:AA18"/>
    <mergeCell ref="A19:A20"/>
    <mergeCell ref="B19:B20"/>
    <mergeCell ref="C19:C20"/>
    <mergeCell ref="E19:E20"/>
    <mergeCell ref="F19:F20"/>
    <mergeCell ref="G19:G20"/>
    <mergeCell ref="H19:H20"/>
    <mergeCell ref="I19:I20"/>
    <mergeCell ref="J19:J20"/>
    <mergeCell ref="L19:L20"/>
    <mergeCell ref="M19:M20"/>
    <mergeCell ref="N19:N20"/>
    <mergeCell ref="P19:P20"/>
    <mergeCell ref="Q19:Q20"/>
    <mergeCell ref="R19:R20"/>
    <mergeCell ref="T17:T18"/>
    <mergeCell ref="U17:U18"/>
    <mergeCell ref="V17:V18"/>
    <mergeCell ref="AA19:AA20"/>
    <mergeCell ref="Y19:Y20"/>
    <mergeCell ref="T19:T20"/>
    <mergeCell ref="U19:U20"/>
    <mergeCell ref="V19:V20"/>
    <mergeCell ref="X19:X20"/>
    <mergeCell ref="A21:A22"/>
    <mergeCell ref="B21:B22"/>
    <mergeCell ref="C21:C22"/>
    <mergeCell ref="F21:F22"/>
    <mergeCell ref="H21:H22"/>
    <mergeCell ref="I21:I22"/>
    <mergeCell ref="J21:J22"/>
    <mergeCell ref="R21:R22"/>
    <mergeCell ref="T21:T22"/>
    <mergeCell ref="U21:U22"/>
    <mergeCell ref="V21:V22"/>
    <mergeCell ref="X21:X22"/>
    <mergeCell ref="X23:X24"/>
    <mergeCell ref="Y23:Y24"/>
    <mergeCell ref="Z23:Z24"/>
    <mergeCell ref="L21:L22"/>
    <mergeCell ref="M23:M24"/>
    <mergeCell ref="N23:N24"/>
    <mergeCell ref="P23:P24"/>
    <mergeCell ref="M21:M22"/>
    <mergeCell ref="Q23:Q24"/>
    <mergeCell ref="R23:R24"/>
    <mergeCell ref="N21:N22"/>
    <mergeCell ref="P21:P22"/>
    <mergeCell ref="Q21:Q22"/>
    <mergeCell ref="A23:A24"/>
    <mergeCell ref="B23:B24"/>
    <mergeCell ref="C23:C24"/>
    <mergeCell ref="E21:E22"/>
    <mergeCell ref="F23:F24"/>
    <mergeCell ref="G21:G22"/>
    <mergeCell ref="H23:H24"/>
    <mergeCell ref="I23:I24"/>
    <mergeCell ref="J23:J24"/>
    <mergeCell ref="Z25:Z26"/>
    <mergeCell ref="AA21:AA22"/>
    <mergeCell ref="A25:A26"/>
    <mergeCell ref="B25:B26"/>
    <mergeCell ref="C25:C26"/>
    <mergeCell ref="E25:E26"/>
    <mergeCell ref="F25:F26"/>
    <mergeCell ref="G25:G26"/>
    <mergeCell ref="H25:H26"/>
    <mergeCell ref="I25:I26"/>
    <mergeCell ref="J25:J26"/>
    <mergeCell ref="L25:L26"/>
    <mergeCell ref="M25:M26"/>
    <mergeCell ref="N25:N26"/>
    <mergeCell ref="P25:P26"/>
    <mergeCell ref="Q25:Q26"/>
    <mergeCell ref="R25:R26"/>
    <mergeCell ref="T23:T24"/>
    <mergeCell ref="U23:U24"/>
    <mergeCell ref="V23:V24"/>
    <mergeCell ref="AA25:AA26"/>
    <mergeCell ref="Y25:Y26"/>
    <mergeCell ref="Y21:Y22"/>
    <mergeCell ref="Z21:Z22"/>
    <mergeCell ref="A27:A28"/>
    <mergeCell ref="B27:B28"/>
    <mergeCell ref="C27:C28"/>
    <mergeCell ref="E27:E28"/>
    <mergeCell ref="F27:F28"/>
    <mergeCell ref="G27:G28"/>
    <mergeCell ref="H27:H28"/>
    <mergeCell ref="I27:I28"/>
    <mergeCell ref="J27:J28"/>
    <mergeCell ref="L27:L28"/>
    <mergeCell ref="M27:M28"/>
    <mergeCell ref="N27:N28"/>
    <mergeCell ref="P27:P28"/>
    <mergeCell ref="Q27:Q28"/>
    <mergeCell ref="T25:T26"/>
    <mergeCell ref="U25:U26"/>
    <mergeCell ref="V25:V26"/>
    <mergeCell ref="X25:X26"/>
    <mergeCell ref="AA27:AA28"/>
    <mergeCell ref="R27:R28"/>
    <mergeCell ref="T27:T28"/>
    <mergeCell ref="U27:U28"/>
    <mergeCell ref="V27:V28"/>
    <mergeCell ref="X27:X28"/>
    <mergeCell ref="Y27:Y28"/>
    <mergeCell ref="Z27:Z28"/>
    <mergeCell ref="A29:A30"/>
    <mergeCell ref="B29:B30"/>
    <mergeCell ref="C29:C30"/>
    <mergeCell ref="E29:E30"/>
    <mergeCell ref="F29:F30"/>
    <mergeCell ref="G29:G30"/>
    <mergeCell ref="H29:H30"/>
    <mergeCell ref="I29:I30"/>
    <mergeCell ref="J29:J30"/>
    <mergeCell ref="X29:X30"/>
    <mergeCell ref="Y29:Y30"/>
    <mergeCell ref="Z29:Z30"/>
    <mergeCell ref="L29:L30"/>
    <mergeCell ref="M29:M30"/>
    <mergeCell ref="N29:N30"/>
    <mergeCell ref="P29:P30"/>
    <mergeCell ref="Q29:Q30"/>
    <mergeCell ref="R29:R30"/>
    <mergeCell ref="Z31:Z32"/>
    <mergeCell ref="AA29:AA30"/>
    <mergeCell ref="A31:A32"/>
    <mergeCell ref="B31:B32"/>
    <mergeCell ref="C31:C32"/>
    <mergeCell ref="E31:E32"/>
    <mergeCell ref="F31:F32"/>
    <mergeCell ref="G31:G32"/>
    <mergeCell ref="H31:H32"/>
    <mergeCell ref="I31:I32"/>
    <mergeCell ref="J31:J32"/>
    <mergeCell ref="L31:L32"/>
    <mergeCell ref="M31:M32"/>
    <mergeCell ref="N31:N32"/>
    <mergeCell ref="P31:P32"/>
    <mergeCell ref="Q31:Q32"/>
    <mergeCell ref="R31:R32"/>
    <mergeCell ref="T29:T30"/>
    <mergeCell ref="U29:U30"/>
    <mergeCell ref="V29:V30"/>
    <mergeCell ref="AA31:AA32"/>
    <mergeCell ref="Y31:Y32"/>
    <mergeCell ref="T31:T32"/>
    <mergeCell ref="U31:U32"/>
    <mergeCell ref="V31:V32"/>
    <mergeCell ref="X31:X32"/>
    <mergeCell ref="A33:A34"/>
    <mergeCell ref="B33:B34"/>
    <mergeCell ref="C33:C34"/>
    <mergeCell ref="E33:E34"/>
    <mergeCell ref="F33:F34"/>
    <mergeCell ref="G33:G34"/>
    <mergeCell ref="H33:H34"/>
    <mergeCell ref="I33:I34"/>
    <mergeCell ref="J33:J34"/>
    <mergeCell ref="L33:L34"/>
    <mergeCell ref="M33:M34"/>
    <mergeCell ref="N33:N34"/>
    <mergeCell ref="P33:P34"/>
    <mergeCell ref="Q33:Q34"/>
    <mergeCell ref="T35:T36"/>
    <mergeCell ref="U35:U36"/>
    <mergeCell ref="V35:V36"/>
    <mergeCell ref="L35:L36"/>
    <mergeCell ref="AA33:AA34"/>
    <mergeCell ref="R33:R34"/>
    <mergeCell ref="T33:T34"/>
    <mergeCell ref="U33:U34"/>
    <mergeCell ref="V33:V34"/>
    <mergeCell ref="X33:X34"/>
    <mergeCell ref="Y33:Y34"/>
    <mergeCell ref="Z33:Z34"/>
    <mergeCell ref="Y35:Y36"/>
    <mergeCell ref="Z35:Z36"/>
    <mergeCell ref="AA35:AA36"/>
    <mergeCell ref="X35:X36"/>
    <mergeCell ref="M35:M36"/>
    <mergeCell ref="N35:N36"/>
    <mergeCell ref="P35:P36"/>
    <mergeCell ref="Q35:Q36"/>
    <mergeCell ref="R35:R36"/>
    <mergeCell ref="A37:A38"/>
    <mergeCell ref="B37:B38"/>
    <mergeCell ref="C37:C38"/>
    <mergeCell ref="E37:E38"/>
    <mergeCell ref="F37:F38"/>
    <mergeCell ref="G37:G38"/>
    <mergeCell ref="H37:H38"/>
    <mergeCell ref="I37:I38"/>
    <mergeCell ref="J37:J38"/>
    <mergeCell ref="A35:A36"/>
    <mergeCell ref="B35:B36"/>
    <mergeCell ref="C35:C36"/>
    <mergeCell ref="E35:E36"/>
    <mergeCell ref="F35:F36"/>
    <mergeCell ref="G35:G36"/>
    <mergeCell ref="H35:H36"/>
    <mergeCell ref="I35:I36"/>
    <mergeCell ref="J35:J36"/>
    <mergeCell ref="AA37:AA38"/>
    <mergeCell ref="T37:T38"/>
    <mergeCell ref="U37:U38"/>
    <mergeCell ref="V37:V38"/>
    <mergeCell ref="X37:X38"/>
    <mergeCell ref="Y37:Y38"/>
    <mergeCell ref="Z37:Z38"/>
    <mergeCell ref="L37:L38"/>
    <mergeCell ref="M37:M38"/>
    <mergeCell ref="N37:N38"/>
    <mergeCell ref="P37:P38"/>
    <mergeCell ref="Q37:Q38"/>
    <mergeCell ref="R37:R38"/>
    <mergeCell ref="BV31:BV32"/>
    <mergeCell ref="BV33:BV34"/>
    <mergeCell ref="BV35:BV36"/>
    <mergeCell ref="BV37:BV38"/>
    <mergeCell ref="BU11:BU12"/>
    <mergeCell ref="BU13:BU14"/>
    <mergeCell ref="BT9:BT10"/>
    <mergeCell ref="BU9:BU10"/>
    <mergeCell ref="BV9:BV10"/>
    <mergeCell ref="BT11:BT12"/>
    <mergeCell ref="BT13:BT14"/>
    <mergeCell ref="BT15:BT16"/>
    <mergeCell ref="BT17:BT18"/>
    <mergeCell ref="BT19:BT20"/>
    <mergeCell ref="BT21:BT22"/>
    <mergeCell ref="BU15:BU16"/>
    <mergeCell ref="BU17:BU18"/>
    <mergeCell ref="BU19:BU20"/>
    <mergeCell ref="BU21:BU22"/>
    <mergeCell ref="BV11:BV12"/>
    <mergeCell ref="BV13:BV14"/>
    <mergeCell ref="BV15:BV16"/>
    <mergeCell ref="BV17:BV18"/>
    <mergeCell ref="BV19:BV20"/>
    <mergeCell ref="BV21:BV22"/>
    <mergeCell ref="BV23:BV24"/>
    <mergeCell ref="BV25:BV26"/>
    <mergeCell ref="BV27:BV28"/>
    <mergeCell ref="BU23:BU24"/>
    <mergeCell ref="BU25:BU26"/>
    <mergeCell ref="BU27:BU28"/>
    <mergeCell ref="BU29:BU30"/>
    <mergeCell ref="BV29:BV30"/>
    <mergeCell ref="BU31:BU32"/>
    <mergeCell ref="BU33:BU34"/>
    <mergeCell ref="BU35:BU36"/>
    <mergeCell ref="BU37:BU38"/>
    <mergeCell ref="BT23:BT24"/>
    <mergeCell ref="BT25:BT26"/>
    <mergeCell ref="BT27:BT28"/>
    <mergeCell ref="BT29:BT30"/>
    <mergeCell ref="BT31:BT32"/>
    <mergeCell ref="BT33:BT34"/>
    <mergeCell ref="BT35:BT36"/>
    <mergeCell ref="BT37:BT38"/>
    <mergeCell ref="BI9:BI10"/>
    <mergeCell ref="BI11:BI12"/>
    <mergeCell ref="BI13:BI14"/>
    <mergeCell ref="BI15:BI16"/>
    <mergeCell ref="BI17:BI18"/>
    <mergeCell ref="BI19:BI20"/>
    <mergeCell ref="BI21:BI22"/>
    <mergeCell ref="BI23:BI24"/>
    <mergeCell ref="BI25:BI26"/>
    <mergeCell ref="BI27:BI28"/>
    <mergeCell ref="BI29:BI30"/>
    <mergeCell ref="BI31:BI32"/>
    <mergeCell ref="BI33:BI34"/>
    <mergeCell ref="BI35:BI36"/>
    <mergeCell ref="BI37:BI38"/>
    <mergeCell ref="BJ9:BJ10"/>
    <mergeCell ref="BK9:BK10"/>
    <mergeCell ref="BL9:BL10"/>
    <mergeCell ref="BJ27:BJ28"/>
    <mergeCell ref="BJ29:BJ30"/>
    <mergeCell ref="BJ31:BJ32"/>
    <mergeCell ref="BJ33:BJ34"/>
    <mergeCell ref="BJ35:BJ36"/>
    <mergeCell ref="BJ37:BJ38"/>
    <mergeCell ref="BK27:BK28"/>
    <mergeCell ref="BK29:BK30"/>
    <mergeCell ref="BK31:BK32"/>
    <mergeCell ref="BK33:BK34"/>
    <mergeCell ref="BK35:BK36"/>
    <mergeCell ref="BK37:BK38"/>
    <mergeCell ref="BL25:BL26"/>
    <mergeCell ref="BL27:BL28"/>
    <mergeCell ref="BL29:BL30"/>
    <mergeCell ref="BM9:BM10"/>
    <mergeCell ref="BJ11:BJ12"/>
    <mergeCell ref="BJ13:BJ14"/>
    <mergeCell ref="BJ15:BJ16"/>
    <mergeCell ref="BJ17:BJ18"/>
    <mergeCell ref="BJ19:BJ20"/>
    <mergeCell ref="BJ21:BJ22"/>
    <mergeCell ref="BJ23:BJ24"/>
    <mergeCell ref="BJ25:BJ26"/>
    <mergeCell ref="BK11:BK12"/>
    <mergeCell ref="BK13:BK14"/>
    <mergeCell ref="BK15:BK16"/>
    <mergeCell ref="BK17:BK18"/>
    <mergeCell ref="BK19:BK20"/>
    <mergeCell ref="BK21:BK22"/>
    <mergeCell ref="BK23:BK24"/>
    <mergeCell ref="BK25:BK26"/>
    <mergeCell ref="BL11:BL12"/>
    <mergeCell ref="BL13:BL14"/>
    <mergeCell ref="BL15:BL16"/>
    <mergeCell ref="BL17:BL18"/>
    <mergeCell ref="BL19:BL20"/>
    <mergeCell ref="BL21:BL22"/>
    <mergeCell ref="BL23:BL24"/>
    <mergeCell ref="BL37:BL38"/>
    <mergeCell ref="BM11:BM12"/>
    <mergeCell ref="BM13:BM14"/>
    <mergeCell ref="BM15:BM16"/>
    <mergeCell ref="BM17:BM18"/>
    <mergeCell ref="BM19:BM20"/>
    <mergeCell ref="BM21:BM22"/>
    <mergeCell ref="BM23:BM24"/>
    <mergeCell ref="BM25:BM26"/>
    <mergeCell ref="BM27:BM28"/>
    <mergeCell ref="BM29:BM30"/>
    <mergeCell ref="BM31:BM32"/>
    <mergeCell ref="BM33:BM34"/>
    <mergeCell ref="BM35:BM36"/>
    <mergeCell ref="BM37:BM38"/>
    <mergeCell ref="BN25:BN26"/>
    <mergeCell ref="BL31:BL32"/>
    <mergeCell ref="BL33:BL34"/>
    <mergeCell ref="BL35:BL36"/>
    <mergeCell ref="BN27:BN28"/>
    <mergeCell ref="BN29:BN30"/>
    <mergeCell ref="BN31:BN32"/>
    <mergeCell ref="BN33:BN34"/>
    <mergeCell ref="BN35:BN36"/>
    <mergeCell ref="BN37:BN38"/>
    <mergeCell ref="BO9:BO10"/>
    <mergeCell ref="BO11:BO12"/>
    <mergeCell ref="BO13:BO14"/>
    <mergeCell ref="BO15:BO16"/>
    <mergeCell ref="BO17:BO18"/>
    <mergeCell ref="BO19:BO20"/>
    <mergeCell ref="BO21:BO22"/>
    <mergeCell ref="BO23:BO24"/>
    <mergeCell ref="BO25:BO26"/>
    <mergeCell ref="BO27:BO28"/>
    <mergeCell ref="BO29:BO30"/>
    <mergeCell ref="BO31:BO32"/>
    <mergeCell ref="BO33:BO34"/>
    <mergeCell ref="BO35:BO36"/>
    <mergeCell ref="BO37:BO38"/>
    <mergeCell ref="BN9:BN10"/>
    <mergeCell ref="BN11:BN12"/>
    <mergeCell ref="BN13:BN14"/>
    <mergeCell ref="BN15:BN16"/>
    <mergeCell ref="BN17:BN18"/>
    <mergeCell ref="BN19:BN20"/>
    <mergeCell ref="BN21:BN22"/>
    <mergeCell ref="BN23:BN24"/>
  </mergeCells>
  <conditionalFormatting sqref="B9:B38">
    <cfRule type="expression" dxfId="2093" priority="273">
      <formula>AND($B9&lt;&gt;"",$C9&lt;&gt;"")</formula>
    </cfRule>
  </conditionalFormatting>
  <conditionalFormatting sqref="K9:N16 K19:N20 K25:N38 M21:N22 L17:N18">
    <cfRule type="expression" dxfId="2092" priority="258">
      <formula>AND(OR($K9&lt;&gt;"",$K10&lt;&gt;"",$L9&lt;&gt;""),$N9="TBD")</formula>
    </cfRule>
  </conditionalFormatting>
  <conditionalFormatting sqref="K10 K12 K14 K16 K20 K26 K28 K30 K32 K34 K36 K38">
    <cfRule type="expression" dxfId="2091" priority="256">
      <formula>AND(OR($K9&lt;&gt;"",$K10&lt;&gt;"",$L9&lt;&gt;""),$N9="TBD")</formula>
    </cfRule>
  </conditionalFormatting>
  <conditionalFormatting sqref="O9:R16 O19:R38 P17:R18">
    <cfRule type="expression" dxfId="2090" priority="227">
      <formula>AND(OR($O9&lt;&gt;"",$O10&lt;&gt;"",$P9&lt;&gt;""),$R9="TBD")</formula>
    </cfRule>
  </conditionalFormatting>
  <conditionalFormatting sqref="O10 O12 O14 O16 O20 O22 O24 O26 O28 O30 O32 O34 O36 O38">
    <cfRule type="expression" dxfId="2089" priority="226">
      <formula>AND(OR($O9&lt;&gt;"",$O10&lt;&gt;"",$P9&lt;&gt;""),$R9="TBD")</formula>
    </cfRule>
  </conditionalFormatting>
  <conditionalFormatting sqref="S9:V16 S19:V38 T17:V18">
    <cfRule type="expression" dxfId="2088" priority="197">
      <formula>AND(OR($S9&lt;&gt;"",$S10&lt;&gt;"",$T9&lt;&gt;""),$V9="TBD")</formula>
    </cfRule>
  </conditionalFormatting>
  <conditionalFormatting sqref="S10 S12 S14 S16 S20 S22 S24 S26 S28 S30 S32 S34 S36 S38">
    <cfRule type="expression" dxfId="2087" priority="196">
      <formula>AND(OR($S9&lt;&gt;"",$S10&lt;&gt;"",$T9&lt;&gt;""),$V9="TBD")</formula>
    </cfRule>
  </conditionalFormatting>
  <conditionalFormatting sqref="W9:Z38">
    <cfRule type="expression" dxfId="2086" priority="167">
      <formula>AND(OR($W9&lt;&gt;"",$W10&lt;&gt;"",$X9&lt;&gt;""),$Z9="TBD")</formula>
    </cfRule>
  </conditionalFormatting>
  <conditionalFormatting sqref="W10 W12 W14 W16 W18 W20 W22 W24 W26 W28 W30 W32 W34 W36 W38">
    <cfRule type="expression" dxfId="2085" priority="166">
      <formula>AND(OR($W9&lt;&gt;"",$W10&lt;&gt;"",$X9&lt;&gt;""),$Z9="TBD")</formula>
    </cfRule>
  </conditionalFormatting>
  <conditionalFormatting sqref="BA9:BA38">
    <cfRule type="expression" dxfId="2084" priority="10">
      <formula>BA9&lt;&gt;"No Error"</formula>
    </cfRule>
  </conditionalFormatting>
  <conditionalFormatting sqref="B5">
    <cfRule type="expression" dxfId="2083" priority="9">
      <formula>B5&gt;0</formula>
    </cfRule>
  </conditionalFormatting>
  <conditionalFormatting sqref="A5">
    <cfRule type="expression" dxfId="2082" priority="8">
      <formula>B5&gt;0</formula>
    </cfRule>
  </conditionalFormatting>
  <conditionalFormatting sqref="C9:C38">
    <cfRule type="expression" dxfId="2081" priority="3">
      <formula>AND($B9&lt;&gt;"",$C9&lt;&gt;"")</formula>
    </cfRule>
  </conditionalFormatting>
  <conditionalFormatting sqref="S17">
    <cfRule type="expression" dxfId="2080" priority="1">
      <formula>AND(OR($K17&lt;&gt;"",$K18&lt;&gt;"",$L17&lt;&gt;""),$N17="TBD")</formula>
    </cfRule>
  </conditionalFormatting>
  <conditionalFormatting sqref="L21:L22">
    <cfRule type="expression" dxfId="2079" priority="2403">
      <formula>AND(OR($K23&lt;&gt;"",$K24&lt;&gt;"",$L21&lt;&gt;""),$N23="TBD")</formula>
    </cfRule>
  </conditionalFormatting>
  <conditionalFormatting sqref="M23:N24">
    <cfRule type="expression" dxfId="2078" priority="2404">
      <formula>AND(OR($K23&lt;&gt;"",$K24&lt;&gt;"",$L21&lt;&gt;""),$N23="TBD")</formula>
    </cfRule>
  </conditionalFormatting>
  <conditionalFormatting sqref="K21:K22">
    <cfRule type="expression" dxfId="2077" priority="2405">
      <formula>AND(OR($K21&lt;&gt;"",$K22&lt;&gt;"",#REF!&lt;&gt;""),$N21="TBD")</formula>
    </cfRule>
  </conditionalFormatting>
  <conditionalFormatting sqref="K22">
    <cfRule type="expression" dxfId="2076" priority="2406">
      <formula>AND(OR($K21&lt;&gt;"",$K22&lt;&gt;"",#REF!&lt;&gt;""),$N21="TBD")</formula>
    </cfRule>
  </conditionalFormatting>
  <conditionalFormatting sqref="K24">
    <cfRule type="expression" dxfId="2075" priority="2407">
      <formula>AND(OR($K23&lt;&gt;"",$K24&lt;&gt;"",$L21&lt;&gt;""),$N23="TBD")</formula>
    </cfRule>
  </conditionalFormatting>
  <dataValidations count="9">
    <dataValidation type="list" allowBlank="1" showInputMessage="1" showErrorMessage="1" error="Invalid entry. Select from dropdown list." sqref="F9:F38">
      <formula1>baseline_validation</formula1>
    </dataValidation>
    <dataValidation type="list" allowBlank="1" showInputMessage="1" showErrorMessage="1" error="Invalid entry. Select from dropdown list." sqref="B9:B38">
      <formula1>OutcomeIndicator</formula1>
    </dataValidation>
    <dataValidation type="list" allowBlank="1" showInputMessage="1" showErrorMessage="1" error="Invalid entry. Select from dropdown list." sqref="J9:J38">
      <formula1>Country</formula1>
    </dataValidation>
    <dataValidation type="decimal" operator="greaterThanOrEqual" allowBlank="1" showInputMessage="1" showErrorMessage="1" error="Enter valid number only." prompt="Do not enter more than 2 decimal places" sqref="X9:X38 P9:P38 T9:T38 E9:E22 E25:E38 L9:L22 L25:L38">
      <formula1>0</formula1>
    </dataValidation>
    <dataValidation type="list" allowBlank="1" showInputMessage="1" showErrorMessage="1" error="Invalid entry. Select from dropdown list." sqref="I9:I38">
      <formula1>MergedAndDistinctPR</formula1>
    </dataValidation>
    <dataValidation type="date" operator="greaterThan" allowBlank="1" showInputMessage="1" showErrorMessage="1" sqref="M9:M38 Y9:Y38 U9:U38 Q9:Q38">
      <formula1>36526</formula1>
    </dataValidation>
    <dataValidation type="decimal" operator="greaterThanOrEqual" allowBlank="1" showInputMessage="1" showErrorMessage="1" errorTitle="Error" error="Enter valid number only." sqref="K28 D10 S38 W38 K38 K36 K34 K32 K30 D28 D38 D36 D34 D32 D30 K20 K26 K24 K22 D26 D22 D20 K10 K18 K16 K14 K12 D18 D16 D14 D12 O38 W28 S28 W36 W34 W32 W30 O28 S36 S34 S32 S30 W20 O36 O34 O32 O30 S20 W26 W24 W22 O20 S26 S24 S22 W12 O26 O24 O22 S12 W18 W16 W14 O12 S18 S16 S14 W10 O18 O16 O14 S10 O10">
      <formula1>0</formula1>
    </dataValidation>
    <dataValidation type="decimal" operator="greaterThanOrEqual" allowBlank="1" showInputMessage="1" showErrorMessage="1" errorTitle="Error" error="Enter valid number only." prompt="Do not enter more than 4 decimal places" sqref="W37 D11 D13 D15 D17 K9 K11 K13 K15 K17 D19 D21 D25 K19 K21 K23 K25 D27 D29 D31 D33 D35 D37 K27 K29 K31 K33 K35 K37 O9 S9 W9 O11 O13 O15 O17 S11 S13 S15 S17 W11 W13 W15 W17 O19 O21 O23 O25 S19 S21 S23 S25 W19 W21 W23 W25 O27 O29 O31 O33 O35 S27 S29 S31 S33 S35 W27 W29 W31 W33 W35 O37 S37 D9">
      <formula1>0</formula1>
    </dataValidation>
    <dataValidation type="custom" allowBlank="1" showInputMessage="1" showErrorMessage="1" error="Cannot enter both standard and custom indicators on the same line." sqref="C9:C38">
      <formula1>B9=""</formula1>
    </dataValidation>
  </dataValidations>
  <hyperlinks>
    <hyperlink ref="B4" location="Instructions!InstructionC" display="Instructions"/>
    <hyperlink ref="C4" location="'Print - Objectives &amp; Outcome'!A1" display="Print View"/>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showInputMessage="1" showErrorMessage="1" error="Invalid entry. Select from dropdown list.">
          <x14:formula1>
            <xm:f>IF(OR($K9&lt;&gt;"",$K10&lt;&gt;"",$L9&lt;&gt;""),INDIRECT("FakeRange"),Setup!A$29)</xm:f>
          </x14:formula1>
          <xm:sqref>N25:N38 N9:N20</xm:sqref>
        </x14:dataValidation>
        <x14:dataValidation type="list" showInputMessage="1" showErrorMessage="1" error="Invalid entry. Select from dropdown list.">
          <x14:formula1>
            <xm:f>IF(OR($K23&lt;&gt;"",$K24&lt;&gt;"",$L21&lt;&gt;""),INDIRECT("FakeRange"),Setup!A$29)</xm:f>
          </x14:formula1>
          <xm:sqref>N23:N24</xm:sqref>
        </x14:dataValidation>
        <x14:dataValidation type="list" showInputMessage="1" showErrorMessage="1" error="Invalid entry. Select from dropdown list.">
          <x14:formula1>
            <xm:f>IF(OR($K21&lt;&gt;"",$K22&lt;&gt;"",#REF!&lt;&gt;""),INDIRECT("FakeRange"),Setup!A$29)</xm:f>
          </x14:formula1>
          <xm:sqref>N21:N22</xm:sqref>
        </x14:dataValidation>
        <x14:dataValidation type="list" showInputMessage="1" showErrorMessage="1" error="Invalid entry. Select from dropdown list.">
          <x14:formula1>
            <xm:f>IF(OR($O9&lt;&gt;"",$O10&lt;&gt;"",$P9&lt;&gt;""),INDIRECT("FakeRange"),Setup!A$29)</xm:f>
          </x14:formula1>
          <xm:sqref>R9:R38</xm:sqref>
        </x14:dataValidation>
        <x14:dataValidation type="list" showInputMessage="1" showErrorMessage="1" error="Invalid entry. Select from dropdown list.">
          <x14:formula1>
            <xm:f>IF(OR($S9&lt;&gt;"",$S10&lt;&gt;"",$T9&lt;&gt;""),INDIRECT("FakeRange"),Setup!A$29)</xm:f>
          </x14:formula1>
          <xm:sqref>V9:V38</xm:sqref>
        </x14:dataValidation>
        <x14:dataValidation type="list" showInputMessage="1" showErrorMessage="1" error="Invalid entry. Select from dropdown list.">
          <x14:formula1>
            <xm:f>IF(OR($W9&lt;&gt;"",$W10&lt;&gt;"",$X9&lt;&gt;""),INDIRECT("FakeRange"),Setup!A$29)</xm:f>
          </x14:formula1>
          <xm:sqref>Z9:Z38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XEU102"/>
  <sheetViews>
    <sheetView showGridLines="0" tabSelected="1" topLeftCell="A6" zoomScale="75" zoomScaleNormal="75" workbookViewId="0">
      <pane xSplit="3" ySplit="3" topLeftCell="AI41" activePane="bottomRight" state="frozen"/>
      <selection pane="topRight" activeCell="D6" sqref="D6"/>
      <selection pane="bottomLeft" activeCell="A9" sqref="A9"/>
      <selection pane="bottomRight" activeCell="AG45" sqref="AG45:AG46"/>
    </sheetView>
  </sheetViews>
  <sheetFormatPr defaultColWidth="8.59765625" defaultRowHeight="13.8" x14ac:dyDescent="0.25"/>
  <cols>
    <col min="1" max="1" width="16.09765625" style="52" bestFit="1" customWidth="1"/>
    <col min="2" max="2" width="30.59765625" style="52" customWidth="1"/>
    <col min="3" max="3" width="34.59765625" style="52" customWidth="1"/>
    <col min="4" max="4" width="30.59765625" style="52" customWidth="1"/>
    <col min="5" max="5" width="14.796875" style="52" customWidth="1"/>
    <col min="6" max="6" width="17.59765625" style="52" customWidth="1"/>
    <col min="7" max="7" width="18.5" style="52" customWidth="1"/>
    <col min="8" max="8" width="34.796875" style="52" customWidth="1"/>
    <col min="9" max="9" width="40.59765625" style="52" customWidth="1"/>
    <col min="10" max="10" width="21" style="52" customWidth="1"/>
    <col min="11" max="11" width="30.59765625" style="52" customWidth="1"/>
    <col min="12" max="12" width="48.09765625" style="52" customWidth="1"/>
    <col min="13" max="13" width="34.796875" style="52" customWidth="1"/>
    <col min="14" max="14" width="16.59765625" style="52" customWidth="1"/>
    <col min="15" max="15" width="14.09765625" style="52" customWidth="1"/>
    <col min="16" max="16" width="13.09765625" style="52" customWidth="1"/>
    <col min="17" max="17" width="11.59765625" style="52" customWidth="1"/>
    <col min="18" max="18" width="14.09765625" style="52" customWidth="1"/>
    <col min="19" max="19" width="15.59765625" style="52" customWidth="1"/>
    <col min="20" max="20" width="12.59765625" style="52" customWidth="1"/>
    <col min="21" max="21" width="16.09765625" style="52" customWidth="1"/>
    <col min="22" max="25" width="12.59765625" style="52" customWidth="1"/>
    <col min="26" max="26" width="14.09765625" style="52" customWidth="1"/>
    <col min="27" max="27" width="14.5" style="52" customWidth="1"/>
    <col min="28" max="28" width="13.09765625" style="52" customWidth="1"/>
    <col min="29" max="29" width="14.09765625" style="52" customWidth="1"/>
    <col min="30" max="30" width="15.59765625" style="52" customWidth="1"/>
    <col min="31" max="31" width="16.59765625" style="52" customWidth="1"/>
    <col min="32" max="32" width="14.09765625" style="52" customWidth="1"/>
    <col min="33" max="33" width="13.59765625" style="52" customWidth="1"/>
    <col min="34" max="34" width="16.59765625" style="52" customWidth="1"/>
    <col min="35" max="35" width="14.09765625" style="52" customWidth="1"/>
    <col min="36" max="36" width="17.5" style="52" customWidth="1"/>
    <col min="37" max="37" width="16.59765625" style="52" customWidth="1"/>
    <col min="38" max="38" width="59.59765625" style="52" customWidth="1"/>
    <col min="39" max="39" width="34.296875" style="52" hidden="1" customWidth="1"/>
    <col min="40" max="40" width="14.796875" style="52" hidden="1" customWidth="1"/>
    <col min="41" max="41" width="19.796875" style="52" hidden="1" customWidth="1"/>
    <col min="42" max="42" width="17.59765625" style="52" hidden="1" customWidth="1"/>
    <col min="43" max="44" width="16.59765625" style="52" hidden="1" customWidth="1"/>
    <col min="45" max="45" width="13.296875" style="52" hidden="1" customWidth="1"/>
    <col min="46" max="46" width="26.09765625" style="52" hidden="1" customWidth="1"/>
    <col min="47" max="50" width="10.296875" style="52" hidden="1" customWidth="1"/>
    <col min="51" max="51" width="9.69921875" style="52" customWidth="1"/>
    <col min="52" max="52" width="20.5" style="52" customWidth="1"/>
    <col min="53" max="53" width="22.59765625" style="52" customWidth="1"/>
    <col min="54" max="54" width="32.796875" style="137" bestFit="1" customWidth="1"/>
    <col min="55" max="55" width="29.296875" style="138" hidden="1" customWidth="1"/>
    <col min="56" max="56" width="27.796875" style="138" hidden="1" customWidth="1"/>
    <col min="57" max="65" width="4.59765625" style="138" hidden="1" customWidth="1"/>
    <col min="66" max="66" width="10.09765625" style="138" hidden="1" customWidth="1"/>
    <col min="67" max="67" width="12.796875" style="138" hidden="1" customWidth="1"/>
    <col min="68" max="68" width="13.09765625" style="130" hidden="1" customWidth="1"/>
    <col min="69" max="69" width="12.796875" style="130" hidden="1" customWidth="1"/>
    <col min="70" max="70" width="20.296875" style="130" hidden="1" customWidth="1"/>
    <col min="71" max="71" width="17.59765625" style="130" hidden="1" customWidth="1"/>
    <col min="72" max="72" width="20.296875" style="130" hidden="1" customWidth="1"/>
    <col min="73" max="73" width="19.59765625" style="130" hidden="1" customWidth="1"/>
    <col min="74" max="74" width="16.5" style="130" hidden="1" customWidth="1"/>
    <col min="75" max="83" width="8.796875" style="130" hidden="1" customWidth="1"/>
    <col min="84" max="84" width="11.09765625" style="130" hidden="1" customWidth="1"/>
    <col min="85" max="85" width="11.796875" style="130" hidden="1" customWidth="1"/>
    <col min="86" max="88" width="9" style="130"/>
    <col min="89" max="16384" width="8.59765625" style="52"/>
  </cols>
  <sheetData>
    <row r="1" spans="1:85 16375:16375" ht="15.6" customHeight="1" x14ac:dyDescent="0.25">
      <c r="A1" s="586" t="s">
        <v>2173</v>
      </c>
      <c r="B1" s="557"/>
      <c r="C1" s="557"/>
      <c r="D1" s="557"/>
      <c r="E1" s="557"/>
      <c r="F1" s="557"/>
      <c r="XEU1" s="52" t="s">
        <v>577</v>
      </c>
    </row>
    <row r="2" spans="1:85 16375:16375" ht="15.6" customHeight="1" x14ac:dyDescent="0.25">
      <c r="A2" s="557"/>
      <c r="B2" s="557"/>
      <c r="C2" s="557"/>
      <c r="D2" s="557"/>
      <c r="E2" s="557"/>
      <c r="F2" s="557"/>
    </row>
    <row r="3" spans="1:85 16375:16375" ht="14.4" thickBot="1" x14ac:dyDescent="0.3"/>
    <row r="4" spans="1:85 16375:16375" ht="14.4" thickBot="1" x14ac:dyDescent="0.3">
      <c r="A4" s="112" t="s">
        <v>89</v>
      </c>
      <c r="B4" s="113" t="s">
        <v>306</v>
      </c>
      <c r="C4" s="113" t="s">
        <v>736</v>
      </c>
      <c r="F4" s="139" t="s">
        <v>639</v>
      </c>
      <c r="AK4" s="52" t="s">
        <v>293</v>
      </c>
    </row>
    <row r="5" spans="1:85 16375:16375" ht="14.4" thickBot="1" x14ac:dyDescent="0.3">
      <c r="A5" s="112" t="s">
        <v>91</v>
      </c>
      <c r="B5" s="140">
        <f ca="1">MAX(A9:A68) - COUNTIF(BB9:BB68,"No Error")</f>
        <v>0</v>
      </c>
    </row>
    <row r="6" spans="1:85 16375:16375" x14ac:dyDescent="0.25">
      <c r="N6" s="114">
        <v>2</v>
      </c>
      <c r="O6" s="114"/>
      <c r="P6" s="114"/>
      <c r="Q6" s="114">
        <v>3</v>
      </c>
      <c r="R6" s="114"/>
      <c r="S6" s="114"/>
      <c r="T6" s="114">
        <v>4</v>
      </c>
      <c r="U6" s="114"/>
      <c r="V6" s="114"/>
      <c r="W6" s="114">
        <v>5</v>
      </c>
      <c r="X6" s="114"/>
      <c r="Y6" s="114"/>
      <c r="Z6" s="114">
        <v>6</v>
      </c>
      <c r="AA6" s="114"/>
      <c r="AB6" s="114"/>
      <c r="AC6" s="114">
        <v>7</v>
      </c>
      <c r="AF6" s="138">
        <v>8</v>
      </c>
    </row>
    <row r="7" spans="1:85 16375:16375" x14ac:dyDescent="0.25">
      <c r="A7" s="115"/>
      <c r="B7" s="115"/>
      <c r="C7" s="115"/>
      <c r="D7" s="115"/>
      <c r="E7" s="115"/>
      <c r="F7" s="115"/>
      <c r="G7" s="115"/>
      <c r="H7" s="115"/>
      <c r="I7" s="115"/>
      <c r="J7" s="115"/>
      <c r="K7" s="115"/>
      <c r="L7" s="115"/>
      <c r="M7" s="116"/>
      <c r="N7" s="584" t="str">
        <f ca="1">IFERROR(IF(YEAR(INDEX('Overview - Section A'!$A$47:$A$54,MATCH(N6,'Overview - Section A'!$B$47:$B$54,0)))&lt;=YEAR('Overview - Section A'!$E$8),TEXT(IFERROR(INDEX('Overview - Section A'!$A$47:$A$54,MATCH(N6,'Overview - Section A'!$B$47:$B$54,0)),""),Setup!$A$33) &amp;" to " &amp; TEXT(IFERROR(INDEX('Overview - Section A'!$E$47:$E$54,MATCH(N6,'Overview - Section A'!$B$47:$B$54,0)),""),Setup!$A$33),""),"")</f>
        <v>d-mmm-yy to d-mmm-yy</v>
      </c>
      <c r="O7" s="582"/>
      <c r="P7" s="582"/>
      <c r="Q7" s="582" t="str">
        <f ca="1">IFERROR(IF(YEAR(INDEX('Overview - Section A'!$A$47:$A$54,MATCH(Q6,'Overview - Section A'!$B$47:$B$54,0)))&lt;=YEAR('Overview - Section A'!$E$8),TEXT(IFERROR(INDEX('Overview - Section A'!$A$47:$A$54,MATCH(Q6,'Overview - Section A'!$B$47:$B$54,0)),""),Setup!$A$33) &amp;" to " &amp; TEXT(IFERROR(INDEX('Overview - Section A'!$E$47:$E$54,MATCH(Q6,'Overview - Section A'!$B$47:$B$54,0)),""),Setup!$A$33),""),"")</f>
        <v>d-mmm-yy to d-mmm-yy</v>
      </c>
      <c r="R7" s="582"/>
      <c r="S7" s="582"/>
      <c r="T7" s="582" t="str">
        <f ca="1">IFERROR(IF(YEAR(INDEX('Overview - Section A'!$A$47:$A$54,MATCH(T6,'Overview - Section A'!$B$47:$B$54,0)))&lt;=YEAR('Overview - Section A'!$E$8),TEXT(IFERROR(INDEX('Overview - Section A'!$A$47:$A$54,MATCH(T6,'Overview - Section A'!$B$47:$B$54,0)),""),Setup!$A$33) &amp;" to " &amp; TEXT(IFERROR(INDEX('Overview - Section A'!$E$47:$E$54,MATCH(T6,'Overview - Section A'!$B$47:$B$54,0)),""),Setup!$A$33),""),"")</f>
        <v>d-mmm-yy to d-mmm-yy</v>
      </c>
      <c r="U7" s="582"/>
      <c r="V7" s="582"/>
      <c r="W7" s="583" t="str">
        <f ca="1">IFERROR(IF(YEAR(INDEX('Overview - Section A'!$A$47:$A$54,MATCH(W6,'Overview - Section A'!$B$47:$B$54,0)))&lt;=YEAR('Overview - Section A'!$E$8),TEXT(IFERROR(INDEX('Overview - Section A'!$A$47:$A$54,MATCH(W6,'Overview - Section A'!$B$47:$B$54,0)),""),Setup!$A$33) &amp;" to " &amp; TEXT(IFERROR(INDEX('Overview - Section A'!$E$47:$E$54,MATCH(W6,'Overview - Section A'!$B$47:$B$54,0)),""),Setup!$A$33),""),"")</f>
        <v/>
      </c>
      <c r="X7" s="585"/>
      <c r="Y7" s="584"/>
      <c r="Z7" s="582" t="str">
        <f ca="1">IFERROR(IF(YEAR(INDEX('Overview - Section A'!$A$47:$A$54,MATCH(Z6,'Overview - Section A'!$B$47:$B$54,0)))&lt;=YEAR('Overview - Section A'!$E$8),TEXT(IFERROR(INDEX('Overview - Section A'!$A$47:$A$54,MATCH(Z6,'Overview - Section A'!$B$47:$B$54,0)),""),Setup!$A$33) &amp;" to " &amp; TEXT(IFERROR(INDEX('Overview - Section A'!$E$47:$E$54,MATCH(Z6,'Overview - Section A'!$B$47:$B$54,0)),""),Setup!$A$33),""),"")</f>
        <v/>
      </c>
      <c r="AA7" s="582"/>
      <c r="AB7" s="582"/>
      <c r="AC7" s="582" t="str">
        <f ca="1">IFERROR(IF(YEAR(INDEX('Overview - Section A'!$A$47:$A$54,MATCH(AC6,'Overview - Section A'!$B$47:$B$54,0)))&lt;=YEAR('Overview - Section A'!$E$8),TEXT(IFERROR(INDEX('Overview - Section A'!$A$47:$A$54,MATCH(AC6,'Overview - Section A'!$B$47:$B$54,0)),""),Setup!$A$33) &amp;" to " &amp; TEXT(IFERROR(INDEX('Overview - Section A'!$E$47:$E$54,MATCH(AC6,'Overview - Section A'!$B$47:$B$54,0)),""),Setup!$A$33),""),"")</f>
        <v/>
      </c>
      <c r="AD7" s="582"/>
      <c r="AE7" s="582"/>
      <c r="AF7" s="582" t="str">
        <f>IFERROR(IF(YEAR(INDEX('Overview - Section A'!$A$47:$A$54,MATCH(AF6,'Overview - Section A'!$B$47:$B$54,0)))&lt;=YEAR('Overview - Section A'!$E$8),TEXT(IFERROR(INDEX('Overview - Section A'!$A$47:$A$54,MATCH(AF6,'Overview - Section A'!$B$47:$B$54,0)),""),Setup!$A$33) &amp;" to " &amp; TEXT(IFERROR(INDEX('Overview - Section A'!$E$47:$E$54,MATCH(AF6,'Overview - Section A'!$B$47:$B$54,0)),""),Setup!$A$33),""),"")</f>
        <v/>
      </c>
      <c r="AG7" s="582"/>
      <c r="AH7" s="582"/>
      <c r="AI7" s="582" t="str">
        <f>IFERROR(IF(YEAR(INDEX('Overview - Section A'!$A$47:$A$54,MATCH(AI6,'Overview - Section A'!$B$47:$B$54,0)))&lt;=YEAR('Overview - Section A'!$E$8),TEXT(IFERROR(INDEX('Overview - Section A'!$A$47:$A$54,MATCH(AI6,'Overview - Section A'!$B$47:$B$54,0)),""),Setup!$A$33) &amp;" to " &amp; TEXT(IFERROR(INDEX('Overview - Section A'!$E$47:$E$54,MATCH(AI6,'Overview - Section A'!$B$47:$B$54,0)),""),Setup!$A$33),""),"")</f>
        <v/>
      </c>
      <c r="AJ7" s="582"/>
      <c r="AK7" s="583"/>
      <c r="AL7" s="141"/>
      <c r="BB7" s="52"/>
    </row>
    <row r="8" spans="1:85 16375:16375" ht="41.4" x14ac:dyDescent="0.25">
      <c r="A8" s="118" t="s">
        <v>2174</v>
      </c>
      <c r="B8" s="118" t="s">
        <v>256</v>
      </c>
      <c r="C8" s="118" t="s">
        <v>738</v>
      </c>
      <c r="D8" s="118" t="s">
        <v>739</v>
      </c>
      <c r="E8" s="118" t="s">
        <v>740</v>
      </c>
      <c r="F8" s="118" t="s">
        <v>105</v>
      </c>
      <c r="G8" s="118" t="s">
        <v>741</v>
      </c>
      <c r="H8" s="118" t="s">
        <v>199</v>
      </c>
      <c r="I8" s="118" t="s">
        <v>742</v>
      </c>
      <c r="J8" s="118" t="s">
        <v>2175</v>
      </c>
      <c r="K8" s="118" t="s">
        <v>120</v>
      </c>
      <c r="L8" s="118" t="s">
        <v>2176</v>
      </c>
      <c r="M8" s="118" t="s">
        <v>216</v>
      </c>
      <c r="N8" s="119" t="s">
        <v>743</v>
      </c>
      <c r="O8" s="119" t="s">
        <v>225</v>
      </c>
      <c r="P8" s="119" t="s">
        <v>745</v>
      </c>
      <c r="Q8" s="119" t="s">
        <v>743</v>
      </c>
      <c r="R8" s="119" t="s">
        <v>225</v>
      </c>
      <c r="S8" s="119" t="s">
        <v>745</v>
      </c>
      <c r="T8" s="119" t="s">
        <v>743</v>
      </c>
      <c r="U8" s="119" t="s">
        <v>225</v>
      </c>
      <c r="V8" s="119" t="s">
        <v>745</v>
      </c>
      <c r="W8" s="119" t="s">
        <v>743</v>
      </c>
      <c r="X8" s="119" t="s">
        <v>225</v>
      </c>
      <c r="Y8" s="119" t="s">
        <v>745</v>
      </c>
      <c r="Z8" s="119" t="s">
        <v>743</v>
      </c>
      <c r="AA8" s="119" t="s">
        <v>225</v>
      </c>
      <c r="AB8" s="119" t="s">
        <v>745</v>
      </c>
      <c r="AC8" s="119" t="s">
        <v>743</v>
      </c>
      <c r="AD8" s="119" t="s">
        <v>225</v>
      </c>
      <c r="AE8" s="119" t="s">
        <v>745</v>
      </c>
      <c r="AF8" s="119" t="s">
        <v>743</v>
      </c>
      <c r="AG8" s="119" t="s">
        <v>225</v>
      </c>
      <c r="AH8" s="119" t="s">
        <v>745</v>
      </c>
      <c r="AI8" s="119" t="s">
        <v>743</v>
      </c>
      <c r="AJ8" s="119" t="s">
        <v>225</v>
      </c>
      <c r="AK8" s="119" t="s">
        <v>745</v>
      </c>
      <c r="AL8" s="118" t="s">
        <v>176</v>
      </c>
      <c r="AM8" s="142"/>
      <c r="AN8" s="142"/>
      <c r="AO8" s="142"/>
      <c r="AP8" s="142"/>
      <c r="AQ8" s="142"/>
      <c r="AR8" s="142"/>
      <c r="AS8" s="142"/>
      <c r="AT8" s="142" t="s">
        <v>2177</v>
      </c>
      <c r="AU8" s="142" t="s">
        <v>2178</v>
      </c>
      <c r="AV8" s="142"/>
      <c r="AW8" s="142"/>
      <c r="AX8" s="142"/>
      <c r="AY8" s="142"/>
      <c r="AZ8" s="118" t="s">
        <v>2179</v>
      </c>
      <c r="BA8" s="118" t="s">
        <v>2180</v>
      </c>
      <c r="BB8" s="143" t="s">
        <v>157</v>
      </c>
    </row>
    <row r="9" spans="1:85 16375:16375" ht="30" customHeight="1" x14ac:dyDescent="0.25">
      <c r="A9" s="558">
        <v>1</v>
      </c>
      <c r="B9" s="521" t="s">
        <v>411</v>
      </c>
      <c r="C9" s="521" t="s">
        <v>1061</v>
      </c>
      <c r="D9" s="521"/>
      <c r="E9" s="144">
        <v>14464</v>
      </c>
      <c r="F9" s="523">
        <f ca="1">IF(OR(INDIRECT("'update Helper'!D"&amp;AT9)="",E9&lt;&gt;0,E10&lt;&gt;0),IF(IFERROR((E9/E10),"")="","",(E9/E10)),INDIRECT("'update Helper'!D"&amp;AT9)/100)</f>
        <v>0.85585798816568048</v>
      </c>
      <c r="G9" s="565">
        <v>2022</v>
      </c>
      <c r="H9" s="521" t="s">
        <v>2181</v>
      </c>
      <c r="I9" s="572" t="str">
        <f>AN9</f>
        <v>Age</v>
      </c>
      <c r="J9" s="565" t="s">
        <v>2182</v>
      </c>
      <c r="K9" s="521" t="s">
        <v>752</v>
      </c>
      <c r="L9" s="145"/>
      <c r="M9" s="574"/>
      <c r="N9" s="144">
        <v>14500</v>
      </c>
      <c r="O9" s="523">
        <f ca="1">IF(OR(INDIRECT("'update Helper'!I"&amp;AU9)="",N9&lt;&gt;0,N10&lt;&gt;0),IF(IFERROR((N9/N10),"")="","",(N9/N10)),INDIRECT("'update Helper'!I"&amp;AU9)/100)</f>
        <v>0.85798816568047342</v>
      </c>
      <c r="P9" s="565"/>
      <c r="Q9" s="146">
        <v>14500</v>
      </c>
      <c r="R9" s="523">
        <f ca="1">IF(OR(INDIRECT("'update Helper'!I"&amp;AU9+1)="",Q9&lt;&gt;0,Q10&lt;&gt;0),IF(IFERROR((Q9/Q10),"")="","",(Q9/Q10)),INDIRECT("'update Helper'!I"&amp;AU9+1)/100)</f>
        <v>0.85798816568047342</v>
      </c>
      <c r="S9" s="565"/>
      <c r="T9" s="146">
        <v>14500</v>
      </c>
      <c r="U9" s="523">
        <f ca="1">IF(OR(INDIRECT("'update Helper'!I"&amp;AU9+2)="",T9&lt;&gt;0,T10&lt;&gt;0),IF(IFERROR((T9/T10),"")="","",(T9/T10)),INDIRECT("'update Helper'!I"&amp;AU9+2)/100)</f>
        <v>0.85798816568047342</v>
      </c>
      <c r="V9" s="565"/>
      <c r="W9" s="146"/>
      <c r="X9" s="523" t="str">
        <f ca="1">IF(OR(INDIRECT("'update Helper'!I"&amp;AU9+3)="",W9&lt;&gt;0,W10&lt;&gt;0),IF(IFERROR((W9/W10),"")="","",(W9/W10)),INDIRECT("'update Helper'!I"&amp;AU9+3)/100)</f>
        <v/>
      </c>
      <c r="Y9" s="565"/>
      <c r="Z9" s="146"/>
      <c r="AA9" s="523" t="str">
        <f ca="1">IF(OR(INDIRECT("'update Helper'!I"&amp;AU9+4)="",Z9&lt;&gt;0,Z10&lt;&gt;0),IF(IFERROR((Z9/Z10),"")="","",(Z9/Z10)),INDIRECT("'update Helper'!I"&amp;AU9+4)/100)</f>
        <v/>
      </c>
      <c r="AB9" s="565"/>
      <c r="AC9" s="146"/>
      <c r="AD9" s="523" t="str">
        <f ca="1">IF(OR(INDIRECT("'update Helper'!I"&amp;AU9+5)="",AC9&lt;&gt;0,AC10&lt;&gt;0),IF(IFERROR((AC9/AC10),"")="","",(AC9/AC10)),INDIRECT("'update Helper'!I"&amp;AU9+5)/100)</f>
        <v/>
      </c>
      <c r="AE9" s="565"/>
      <c r="AF9" s="146"/>
      <c r="AG9" s="523" t="str">
        <f ca="1">IF(OR(INDIRECT("'update Helper'!I"&amp;AU9+6)="",AF9&lt;&gt;0,AF10&lt;&gt;0),IF(IFERROR((AF9/AF10),"")="","",(AF9/AF10)),INDIRECT("'update Helper'!I"&amp;AU9+6)/100)</f>
        <v/>
      </c>
      <c r="AH9" s="565"/>
      <c r="AI9" s="146"/>
      <c r="AJ9" s="523" t="str">
        <f ca="1">IF(OR(INDIRECT("'update Helper'!I"&amp;AU9+7)="",AI9&lt;&gt;0,AI10&lt;&gt;0),IF(IFERROR((AI9/AI10),"")="","",(AI9/AI10)),INDIRECT("'update Helper'!I"&amp;AU9+7)/100)</f>
        <v/>
      </c>
      <c r="AK9" s="565"/>
      <c r="AL9" s="521" t="s">
        <v>2183</v>
      </c>
      <c r="AM9" s="567" t="str">
        <f>IFERROR(IF(VLOOKUP(B9,'Reference Records'!$C$192:$D$250,2,FALSE)=0,"",VLOOKUP(B9,'Reference Records'!$C$192:$D$250,2,FALSE)),"")</f>
        <v>MCI-01296</v>
      </c>
      <c r="AN9" s="147" t="str">
        <f t="array" ref="AN9">IFERROR(IF(INDEX('Reference Records'!$D$87:$D$189,MATCH(LEFT(C9,255),LEFT('Reference Records'!$C$87:$C$189,255),0))=0,"",INDEX('Reference Records'!$D$87:$D$189,MATCH(LEFT(C9,255),LEFT('Reference Records'!$C$87:$C$189,255),0))),"")</f>
        <v>Age</v>
      </c>
      <c r="AO9" s="147" t="str">
        <f>CONCATENATE(C9,D9)</f>
        <v>KP-1a⁽ᴹ⁾ Percentage of men who have sex with men reached with HIV prevention programs - defined package of services</v>
      </c>
      <c r="AP9" s="148" t="str">
        <f t="array" ref="AP9">VLOOKUP(LEFT(C9,255),LEFT('Reference Records'!C$86:G189,255),4,0)</f>
        <v>MCI-01623</v>
      </c>
      <c r="AQ9" s="148" t="e">
        <f>MATCH(AP9,'Reference Records'!$F$512:$F$514,0)+ROW(PopulationByCoverage)-1</f>
        <v>#N/A</v>
      </c>
      <c r="AR9" s="148">
        <f>MATCH(AP9,'Reference Records'!$F$512:$F$514,1)+ROW(PopulationByCoverage)-1</f>
        <v>513</v>
      </c>
      <c r="AS9" s="147" t="str">
        <f>C9&amp;D9</f>
        <v>KP-1a⁽ᴹ⁾ Percentage of men who have sex with men reached with HIV prevention programs - defined package of services</v>
      </c>
      <c r="AT9" s="147">
        <f>ROW(Coverage_indicators__secton_D)+3</f>
        <v>454</v>
      </c>
      <c r="AU9" s="147">
        <f>ROW(Coverage_Indicator_Targets__section_D)+3</f>
        <v>520</v>
      </c>
      <c r="AV9" s="147" t="str">
        <f>CLEAN(IFERROR(LEFT(AY9, SEARCH(";",AY9,1)-1),""))</f>
        <v>Non cumulative</v>
      </c>
      <c r="AW9" s="147" t="str">
        <f>SUBSTITUTE(IFERROR(MID(AY9, SEARCH(";",AY9) + 1, SEARCH(";",AY9,SEARCH(";",AY9)+1) - SEARCH(";",AY9) - 1),""),CHAR(10),"")</f>
        <v>Non cumulative – other</v>
      </c>
      <c r="AX9" s="149" t="str">
        <f>CLEAN(IFERROR(SUBSTITUTE(RIGHT(AY9,LEN(AY9) - SEARCH(";", AY9, SEARCH(";",AY9) + 1)),";",""),""))</f>
        <v>Non cumulative - special</v>
      </c>
      <c r="AY9" s="147" t="str">
        <f t="array" ref="AY9">IFERROR(IF(VLOOKUP(LEFT(C9,255),LEFT('Reference Records'!$C$1:$K$539,255),9,0)=0,"",CONCATENATE(VLOOKUP(LEFT(C9,255),LEFT('Reference Records'!$C$1:$K$539,255),9,0),";")),"")</f>
        <v>Non cumulative;Non cumulative – other;Non cumulative - special;</v>
      </c>
      <c r="AZ9" s="563" t="str">
        <f>IF($BV9="", "", IF($BV9=TRUE, "Yes", "No"))</f>
        <v>No</v>
      </c>
      <c r="BA9" s="561" t="str">
        <f ca="1">IF($D9="", "",IF(IF(INDIRECT("'update Helper'!W"&amp;AT9)=0,"",INDIRECT("'update Helper'!W"&amp;AT9))=TRUE, "Yes","No"))</f>
        <v/>
      </c>
      <c r="BB9" s="516" t="str">
        <f ca="1">IF(AND(BS9="Continue",BU9="Continue"),"No Error",IF(AND(BS9&lt;&gt;"Continue",BU9="Continue"),BS9,IF(AND(BU9&lt;&gt;"Continue",BS9="Continue"),BU9,CONCATENATE(BS9,CHAR(10),BU9))))</f>
        <v>No Error</v>
      </c>
      <c r="BC9" s="520" t="str" cm="1">
        <f t="array" ref="BC9">IF(ISBLANK(C9),"Continue",(IF(IFERROR(_xlfn.XMATCH(C9,LEFT('Reference Records'!$C$86:$C$189,32768),0),0)&lt;&gt;0,"Continue","Invalid indicator entry. Select from dropdown list.")))</f>
        <v>Continue</v>
      </c>
      <c r="BD9" s="520" t="str">
        <f>IF(SUM(BE9:BM10)=0, "Continue", "Enter valid number only.")</f>
        <v>Continue</v>
      </c>
      <c r="BE9" s="150">
        <f>IF(NOT(ISBLANK(E9)),IF(E9&lt;&gt;"",(IF(NOT(ISNUMBER(E9)),1,0)),0),0)</f>
        <v>0</v>
      </c>
      <c r="BF9" s="150">
        <f>IF(NOT(ISBLANK(N9)),IF(N9&lt;&gt;"",(IF(NOT(ISNUMBER(N9)),1,0)),0),0)</f>
        <v>0</v>
      </c>
      <c r="BG9" s="150">
        <f>IF(NOT(ISBLANK(Q9)),IF(Q9&lt;&gt;"",(IF(NOT(ISNUMBER(Q9)),1,0)),0),0)</f>
        <v>0</v>
      </c>
      <c r="BH9" s="150">
        <f>IF(NOT(ISBLANK(T9)),IF(T9&lt;&gt;"",(IF(NOT(ISNUMBER(T9)),1,0)),0),0)</f>
        <v>0</v>
      </c>
      <c r="BI9" s="150">
        <f>IF(NOT(ISBLANK(W9)),IF(W9&lt;&gt;"",(IF(NOT(ISNUMBER(W9)),1,0)),0),0)</f>
        <v>0</v>
      </c>
      <c r="BJ9" s="150">
        <f>IF(NOT(ISBLANK(Z9)),IF(Z9&lt;&gt;"",(IF(NOT(ISNUMBER(Z9)),1,0)),0),0)</f>
        <v>0</v>
      </c>
      <c r="BK9" s="150">
        <f>IF(NOT(ISBLANK(AC9)),IF(AC9&lt;&gt;"",(IF(NOT(ISNUMBER(AC9)),1,0)),0),0)</f>
        <v>0</v>
      </c>
      <c r="BL9" s="150">
        <f>IF(NOT(ISBLANK(AF9)),IF(AF9&lt;&gt;"",(IF(NOT(ISNUMBER(AF9)),1,0)),0),0)</f>
        <v>0</v>
      </c>
      <c r="BM9" s="150">
        <f>IF(NOT(ISBLANK(AI9)),IF(AI9&lt;&gt;"",(IF(NOT(ISNUMBER(AI9)),1,0)),0),0)</f>
        <v>0</v>
      </c>
      <c r="BN9" s="477" t="str">
        <f>IF(NOT(ISBLANK(C9)),IF(C9&lt;&gt;"",IF(_xlfn.XLOOKUP(C9,'Reference Records'!$C$86:$C$189,'Reference Records'!$A$86:$A$189,0,0,1)=AM9,"Continue","Select correct module name."),"Continue"),"Continue")</f>
        <v>Continue</v>
      </c>
      <c r="BO9" s="477" t="str">
        <f ca="1">IF(AND(BC9="Continue",CG9="Continue"),"Continue",IF(AND(BC9&lt;&gt;"Continue",CG9="Continue"),BC9,IF(AND(CG9&lt;&gt;"Continue",BC9="Continue"),CG9,CONCATENATE(BC9,CHAR(10),CG9))))</f>
        <v>Continue</v>
      </c>
      <c r="BP9" s="477" t="str">
        <f ca="1">IF(AND((AZ9&lt;&gt;""),(BA9&lt;&gt;"")),"Reversed custom indicator selection not applicable. Value pre-populated in standard indicator column.","Continue")</f>
        <v>Continue</v>
      </c>
      <c r="BQ9" s="477" t="str">
        <f ca="1">IF(AND(BN9="Continue",BO9="Continue"),"Continue",
IF(AND(BN9&lt;&gt;"Continue",BO9="Continue"),BN9,
IF(AND(BO9&lt;&gt;"Continue",BN9="Continue"),BO9,
CONCATENATE(BN9,CHAR(10),BO9))))</f>
        <v>Continue</v>
      </c>
      <c r="BR9" s="520" t="str" cm="1">
        <f t="array" ref="BR9">IF(ISBLANK(B9),"Continue",(IF(IFERROR(_xlfn.XMATCH(B9,LEFT('Reference Records'!$J$191:$J$250,32768),0),0)&lt;&gt;0,"Continue","Invalid module entry. Select from dropdown list.")))</f>
        <v>Continue</v>
      </c>
      <c r="BS9" s="520" t="str">
        <f ca="1">IF(AND(BP9="Continue",BQ9="Continue"),"Continue",IF(AND(BP9&lt;&gt;"Continue",BQ9="Continue"),BP9,IF(AND(BQ9&lt;&gt;"Continue",BP9="Continue"),BQ9,CONCATENATE(BP9,CHAR(10),BQ9))))</f>
        <v>Continue</v>
      </c>
      <c r="BT9" s="520" t="str">
        <f>IF(AND(C9="",D9=""),"Continue",IF(AND(C9="",D9&lt;&gt;""),"Continue",IF(AND(C9&lt;&gt;"",D9=""),"Continue",IF(AND(C9&lt;&gt;"",D9&lt;&gt;""),"Cannot enter both standard and custom indicators on the same line."))))</f>
        <v>Continue</v>
      </c>
      <c r="BU9" s="520" t="str">
        <f>IF(AND(BR9="Continue",BT9="Continue"),"Continue",IF(AND(BR9&lt;&gt;"Continue",BT9="Continue"),BR9,IF(AND(BT9&lt;&gt;"Continue",BR9="Continue"),BT9,CONCATENATE(BR9,CHAR(10),BT9))))</f>
        <v>Continue</v>
      </c>
      <c r="BV9" s="560" t="b">
        <f>IFERROR(INDEX('Reference Records'!$L$86:$L$189,MATCH($C9,'Reference Records'!$C$86:$C$189,0)),"")</f>
        <v>0</v>
      </c>
      <c r="BW9" s="560">
        <f ca="1">IF(NOT(ISBLANK(F9)),IF(F9&lt;&gt;"",(IF(NOT(ISNUMBER(F9)),1,0)),0),0)</f>
        <v>0</v>
      </c>
      <c r="BX9" s="560">
        <f ca="1">IF(NOT(ISBLANK(O9)),IF(O9&lt;&gt;"",(IF(NOT(ISNUMBER(O9)),1,0)),0),0)</f>
        <v>0</v>
      </c>
      <c r="BY9" s="560">
        <f ca="1">IF(NOT(ISBLANK(R9)),IF(R9&lt;&gt;"",(IF(NOT(ISNUMBER(R9)),1,0)),0),0)</f>
        <v>0</v>
      </c>
      <c r="BZ9" s="560">
        <f ca="1">IF(NOT(ISBLANK(U9)),IF(U9&lt;&gt;"",(IF(NOT(ISNUMBER(U9)),1,0)),0),0)</f>
        <v>0</v>
      </c>
      <c r="CA9" s="560">
        <f ca="1">IF(NOT(ISBLANK(X9)),IF(X9&lt;&gt;"",(IF(NOT(ISNUMBER(X9)),1,0)),0),0)</f>
        <v>0</v>
      </c>
      <c r="CB9" s="560">
        <f ca="1">IF(NOT(ISBLANK(AA9)),IF(AA9&lt;&gt;"",(IF(NOT(ISNUMBER(AA9)),1,0)),0),0)</f>
        <v>0</v>
      </c>
      <c r="CC9" s="560">
        <f ca="1">IF(NOT(ISBLANK(AD9)),IF(AD9&lt;&gt;"",(IF(NOT(ISNUMBER(AD9)),1,0)),0),0)</f>
        <v>0</v>
      </c>
      <c r="CD9" s="560">
        <f ca="1">IF(NOT(ISBLANK(AG9)),IF(AG9&lt;&gt;"",(IF(NOT(ISNUMBER(AG9)),1,0)),0),0)</f>
        <v>0</v>
      </c>
      <c r="CE9" s="560">
        <f ca="1">IF(NOT(ISBLANK(AJ9)),IF(AJ9&lt;&gt;"",(IF(NOT(ISNUMBER(AJ9)),1,0)),0),0)</f>
        <v>0</v>
      </c>
      <c r="CF9" s="560" t="str">
        <f ca="1">IF(SUM(BW9:CE10)=0, "Continue", "Enter valid number only.")</f>
        <v>Continue</v>
      </c>
      <c r="CG9" s="560" t="str">
        <f ca="1">IF(AND(CF9="Continue",BD9="Continue"),"Continue",IF(AND(CF9&lt;&gt;"Continue",BD9="Continue"),CF9,IF(AND(BD9&lt;&gt;"Continue",CF9="Continue"),BD9,CONCATENATE(CF9,CHAR(10)))))</f>
        <v>Continue</v>
      </c>
    </row>
    <row r="10" spans="1:85 16375:16375" ht="175.5" customHeight="1" x14ac:dyDescent="0.25">
      <c r="A10" s="559"/>
      <c r="B10" s="522"/>
      <c r="C10" s="522"/>
      <c r="D10" s="522"/>
      <c r="E10" s="144">
        <v>16900</v>
      </c>
      <c r="F10" s="524"/>
      <c r="G10" s="566"/>
      <c r="H10" s="522"/>
      <c r="I10" s="573"/>
      <c r="J10" s="566"/>
      <c r="K10" s="522"/>
      <c r="L10" s="151" t="s">
        <v>625</v>
      </c>
      <c r="M10" s="575"/>
      <c r="N10" s="144">
        <v>16900</v>
      </c>
      <c r="O10" s="524"/>
      <c r="P10" s="566"/>
      <c r="Q10" s="146">
        <v>16900</v>
      </c>
      <c r="R10" s="524"/>
      <c r="S10" s="566"/>
      <c r="T10" s="146">
        <v>16900</v>
      </c>
      <c r="U10" s="524"/>
      <c r="V10" s="566"/>
      <c r="W10" s="146"/>
      <c r="X10" s="524"/>
      <c r="Y10" s="566"/>
      <c r="Z10" s="146"/>
      <c r="AA10" s="524"/>
      <c r="AB10" s="566"/>
      <c r="AC10" s="146"/>
      <c r="AD10" s="524"/>
      <c r="AE10" s="566"/>
      <c r="AF10" s="146"/>
      <c r="AG10" s="524"/>
      <c r="AH10" s="566"/>
      <c r="AI10" s="146"/>
      <c r="AJ10" s="524"/>
      <c r="AK10" s="566"/>
      <c r="AL10" s="522"/>
      <c r="AM10" s="567"/>
      <c r="AN10" s="147"/>
      <c r="AO10" s="147"/>
      <c r="AP10" s="147"/>
      <c r="AQ10" s="147"/>
      <c r="AR10" s="147"/>
      <c r="AS10" s="147"/>
      <c r="AT10" s="147"/>
      <c r="AU10" s="147"/>
      <c r="AV10" s="147"/>
      <c r="AW10" s="147"/>
      <c r="AX10" s="149"/>
      <c r="AY10" s="147"/>
      <c r="AZ10" s="563"/>
      <c r="BA10" s="561"/>
      <c r="BB10" s="516"/>
      <c r="BC10" s="520"/>
      <c r="BD10" s="520"/>
      <c r="BE10" s="150">
        <f t="shared" ref="BE10:BE68" si="0">IF(NOT(ISBLANK(E10)),IF(E10&lt;&gt;"",(IF(NOT(ISNUMBER(E10)),1,0)),0),0)</f>
        <v>0</v>
      </c>
      <c r="BF10" s="150">
        <f t="shared" ref="BF10:BF68" si="1">IF(NOT(ISBLANK(N10)),IF(N10&lt;&gt;"",(IF(NOT(ISNUMBER(N10)),1,0)),0),0)</f>
        <v>0</v>
      </c>
      <c r="BG10" s="150">
        <f t="shared" ref="BG10:BG68" si="2">IF(NOT(ISBLANK(Q10)),IF(Q10&lt;&gt;"",(IF(NOT(ISNUMBER(Q10)),1,0)),0),0)</f>
        <v>0</v>
      </c>
      <c r="BH10" s="150">
        <f t="shared" ref="BH10:BH68" si="3">IF(NOT(ISBLANK(T10)),IF(T10&lt;&gt;"",(IF(NOT(ISNUMBER(T10)),1,0)),0),0)</f>
        <v>0</v>
      </c>
      <c r="BI10" s="150">
        <f t="shared" ref="BI10:BI68" si="4">IF(NOT(ISBLANK(W10)),IF(W10&lt;&gt;"",(IF(NOT(ISNUMBER(W10)),1,0)),0),0)</f>
        <v>0</v>
      </c>
      <c r="BJ10" s="150">
        <f t="shared" ref="BJ10:BJ68" si="5">IF(NOT(ISBLANK(Z10)),IF(Z10&lt;&gt;"",(IF(NOT(ISNUMBER(Z10)),1,0)),0),0)</f>
        <v>0</v>
      </c>
      <c r="BK10" s="150">
        <f t="shared" ref="BK10:BK68" si="6">IF(NOT(ISBLANK(AC10)),IF(AC10&lt;&gt;"",(IF(NOT(ISNUMBER(AC10)),1,0)),0),0)</f>
        <v>0</v>
      </c>
      <c r="BL10" s="150">
        <f t="shared" ref="BL10:BL68" si="7">IF(NOT(ISBLANK(AF10)),IF(AF10&lt;&gt;"",(IF(NOT(ISNUMBER(AF10)),1,0)),0),0)</f>
        <v>0</v>
      </c>
      <c r="BM10" s="150">
        <f t="shared" ref="BM10:BM68" si="8">IF(NOT(ISBLANK(AI10)),IF(AI10&lt;&gt;"",(IF(NOT(ISNUMBER(AI10)),1,0)),0),0)</f>
        <v>0</v>
      </c>
      <c r="BN10" s="477"/>
      <c r="BO10" s="477"/>
      <c r="BP10" s="477"/>
      <c r="BQ10" s="477"/>
      <c r="BR10" s="520"/>
      <c r="BS10" s="520"/>
      <c r="BT10" s="520"/>
      <c r="BU10" s="520"/>
      <c r="BV10" s="560"/>
      <c r="BW10" s="560"/>
      <c r="BX10" s="560"/>
      <c r="BY10" s="560"/>
      <c r="BZ10" s="560"/>
      <c r="CA10" s="560"/>
      <c r="CB10" s="560"/>
      <c r="CC10" s="560"/>
      <c r="CD10" s="560"/>
      <c r="CE10" s="560"/>
      <c r="CF10" s="560"/>
      <c r="CG10" s="560"/>
    </row>
    <row r="11" spans="1:85 16375:16375" ht="58.05" customHeight="1" x14ac:dyDescent="0.25">
      <c r="A11" s="558">
        <v>2</v>
      </c>
      <c r="B11" s="529" t="s">
        <v>414</v>
      </c>
      <c r="C11" s="529" t="s">
        <v>1075</v>
      </c>
      <c r="D11" s="529"/>
      <c r="E11" s="152">
        <v>4625</v>
      </c>
      <c r="F11" s="543">
        <f ca="1">IF(OR(INDIRECT("'update Helper'!D"&amp;AT11)="",E11&lt;&gt;0,E12&lt;&gt;0),IF(IFERROR((E11/E12),"")="","",(E11/E12)),INDIRECT("'update Helper'!D"&amp;AT11)/100)</f>
        <v>0.6511333239476278</v>
      </c>
      <c r="G11" s="568">
        <v>2022</v>
      </c>
      <c r="H11" s="529" t="s">
        <v>2181</v>
      </c>
      <c r="I11" s="572" t="str">
        <f>AN11</f>
        <v>Age,Gender</v>
      </c>
      <c r="J11" s="568" t="s">
        <v>2182</v>
      </c>
      <c r="K11" s="529" t="s">
        <v>752</v>
      </c>
      <c r="L11" s="153"/>
      <c r="M11" s="576"/>
      <c r="N11" s="152">
        <v>4700</v>
      </c>
      <c r="O11" s="543">
        <f ca="1">IF(OR(INDIRECT("'update Helper'!I"&amp;AU11)="",N11&lt;&gt;0,N12&lt;&gt;0),IF(IFERROR((N11/N12),"")="","",(N11/N12)),INDIRECT("'update Helper'!I"&amp;AU11)/100)</f>
        <v>0.66169224271434601</v>
      </c>
      <c r="P11" s="568"/>
      <c r="Q11" s="154">
        <v>4700</v>
      </c>
      <c r="R11" s="543">
        <f ca="1">IF(OR(INDIRECT("'update Helper'!I"&amp;AU11+1)="",Q11&lt;&gt;0,Q12&lt;&gt;0),IF(IFERROR((Q11/Q12),"")="","",(Q11/Q12)),INDIRECT("'update Helper'!I"&amp;AU11+1)/100)</f>
        <v>0.66169224271434601</v>
      </c>
      <c r="S11" s="568"/>
      <c r="T11" s="154">
        <v>4700</v>
      </c>
      <c r="U11" s="543">
        <f ca="1">IF(OR(INDIRECT("'update Helper'!I"&amp;AU11+2)="",T11&lt;&gt;0,T12&lt;&gt;0),IF(IFERROR((T11/T12),"")="","",(T11/T12)),INDIRECT("'update Helper'!I"&amp;AU11+2)/100)</f>
        <v>0.66169224271434601</v>
      </c>
      <c r="V11" s="568"/>
      <c r="W11" s="154"/>
      <c r="X11" s="543" t="str">
        <f ca="1">IF(OR(INDIRECT("'update Helper'!I"&amp;AU11+3)="",W11&lt;&gt;0,W12&lt;&gt;0),IF(IFERROR((W11/W12),"")="","",(W11/W12)),INDIRECT("'update Helper'!I"&amp;AU11+3)/100)</f>
        <v/>
      </c>
      <c r="Y11" s="568"/>
      <c r="Z11" s="154"/>
      <c r="AA11" s="543" t="str">
        <f ca="1">IF(OR(INDIRECT("'update Helper'!I"&amp;AU11+4)="",Z11&lt;&gt;0,Z12&lt;&gt;0),IF(IFERROR((Z11/Z12),"")="","",(Z11/Z12)),INDIRECT("'update Helper'!I"&amp;AU11+4)/100)</f>
        <v/>
      </c>
      <c r="AB11" s="568"/>
      <c r="AC11" s="154"/>
      <c r="AD11" s="543" t="str">
        <f ca="1">IF(OR(INDIRECT("'update Helper'!I"&amp;AU11+5)="",AC11&lt;&gt;0,AC12&lt;&gt;0),IF(IFERROR((AC11/AC12),"")="","",(AC11/AC12)),INDIRECT("'update Helper'!I"&amp;AU11+5)/100)</f>
        <v/>
      </c>
      <c r="AE11" s="568"/>
      <c r="AF11" s="154"/>
      <c r="AG11" s="570" t="str">
        <f t="shared" ref="AG11" ca="1" si="9">IF(OR(INDIRECT("'update Helper'!I"&amp;AU11+6)="",AF11&lt;&gt;0,AF12&lt;&gt;0),IF(IFERROR((AF11/AF12),"")="","",(AF11/AF12)),INDIRECT("'update Helper'!I"&amp;AU11+6)/100)</f>
        <v/>
      </c>
      <c r="AH11" s="568"/>
      <c r="AI11" s="154"/>
      <c r="AJ11" s="570" t="str">
        <f t="shared" ref="AJ11" ca="1" si="10">IF(OR(INDIRECT("'update Helper'!I"&amp;AU11+7)="",AI11&lt;&gt;0,AI12&lt;&gt;0),IF(IFERROR((AI11/AI12),"")="","",(AI11/AI12)),INDIRECT("'update Helper'!I"&amp;AU11+7)/100)</f>
        <v/>
      </c>
      <c r="AK11" s="568"/>
      <c r="AL11" s="579" t="s">
        <v>2184</v>
      </c>
      <c r="AM11" s="480" t="str">
        <f>IFERROR(IF(VLOOKUP(B11,'Reference Records'!$C$192:$D$250,2,FALSE)=0,"",VLOOKUP(B11,'Reference Records'!$C$192:$D$250,2,FALSE)),"")</f>
        <v>MCI-01297</v>
      </c>
      <c r="AN11" s="52" t="str">
        <f t="array" ref="AN11">IFERROR(IF(INDEX('Reference Records'!$D$87:$D$189,MATCH(LEFT(C11,255),LEFT('Reference Records'!$C$87:$C$189,255),0))=0,"",INDEX('Reference Records'!$D$87:$D$189,MATCH(LEFT(C11,255),LEFT('Reference Records'!$C$87:$C$189,255),0))),"")</f>
        <v>Age,Gender</v>
      </c>
      <c r="AO11" s="52" t="str">
        <f>CONCATENATE(C11,D11)</f>
        <v>KP-1c⁽ᴹ⁾ Percentage of sex workers reached with HIV prevention programs - defined package of services</v>
      </c>
      <c r="AP11" s="155" t="str">
        <f t="array" ref="AP11">VLOOKUP(LEFT(C11,255),LEFT('Reference Records'!C$86:G191,255),4,0)</f>
        <v>MCI-01521</v>
      </c>
      <c r="AQ11" s="155" t="e">
        <f>MATCH(AP11,'Reference Records'!$F$512:$F$514,0)+ROW(PopulationByCoverage)-1</f>
        <v>#N/A</v>
      </c>
      <c r="AR11" s="155">
        <f>MATCH(AP11,'Reference Records'!$F$512:$F$514,1)+ROW(PopulationByCoverage)-1</f>
        <v>513</v>
      </c>
      <c r="AS11" s="52" t="str">
        <f>C11&amp;D11</f>
        <v>KP-1c⁽ᴹ⁾ Percentage of sex workers reached with HIV prevention programs - defined package of services</v>
      </c>
      <c r="AT11" s="52">
        <f>AT9+1</f>
        <v>455</v>
      </c>
      <c r="AU11" s="52">
        <f>AU9+'update Helper'!$T$2</f>
        <v>526</v>
      </c>
      <c r="AV11" s="52" t="str">
        <f t="shared" ref="AV11" si="11">CLEAN(IFERROR(LEFT(AY11, SEARCH(";",AY11,1)-1),""))</f>
        <v>Non cumulative</v>
      </c>
      <c r="AW11" s="52" t="str">
        <f t="shared" ref="AW11" si="12">SUBSTITUTE(IFERROR(MID(AY11, SEARCH(";",AY11) + 1, SEARCH(";",AY11,SEARCH(";",AY11)+1) - SEARCH(";",AY11) - 1),""),CHAR(10),"")</f>
        <v>Non cumulative – other</v>
      </c>
      <c r="AX11" s="156" t="str">
        <f t="shared" ref="AX11" si="13">CLEAN(IFERROR(SUBSTITUTE(RIGHT(AY11,LEN(AY11) - SEARCH(";", AY11, SEARCH(";",AY11) + 1)),";",""),""))</f>
        <v>Non cumulative - special</v>
      </c>
      <c r="AY11" s="52" t="str">
        <f t="array" ref="AY11">IFERROR(IF(VLOOKUP(LEFT(C11,255),LEFT('Reference Records'!$C$1:$K$539,255),9,0)=0,"",CONCATENATE(VLOOKUP(LEFT(C11,255),LEFT('Reference Records'!$C$1:$K$539,255),9,0),";")),"")</f>
        <v>Non cumulative;Non cumulative – other;Non cumulative - special;</v>
      </c>
      <c r="AZ11" s="564" t="str">
        <f>IF($BV11="", "", IF($BV11=TRUE, "Yes", "No"))</f>
        <v>No</v>
      </c>
      <c r="BA11" s="562" t="str">
        <f t="shared" ref="BA11" ca="1" si="14">IF($D11="", "",IF(IF(INDIRECT("'update Helper'!W"&amp;AT11)=0,"",INDIRECT("'update Helper'!W"&amp;AT11))=TRUE, "Yes","No"))</f>
        <v/>
      </c>
      <c r="BB11" s="516" t="str">
        <f t="shared" ref="BB11" ca="1" si="15">IF(AND(BS11="Continue",BU11="Continue"),"No Error",IF(AND(BS11&lt;&gt;"Continue",BU11="Continue"),BS11,IF(AND(BU11&lt;&gt;"Continue",BS11="Continue"),BU11,CONCATENATE(BS11,CHAR(10),BU11))))</f>
        <v>No Error</v>
      </c>
      <c r="BC11" s="520" t="str" cm="1">
        <f t="array" ref="BC11">IF(ISBLANK(C11),"Continue",(IF(IFERROR(_xlfn.XMATCH(C11,LEFT('Reference Records'!$C$86:$C$189,32768),0),0)&lt;&gt;0,"Continue","Invalid indicator entry. Select from dropdown list.")))</f>
        <v>Continue</v>
      </c>
      <c r="BD11" s="520" t="str">
        <f t="shared" ref="BD11" si="16">IF(SUM(BE11:BM12)=0, "Continue", "Enter valid number only.")</f>
        <v>Continue</v>
      </c>
      <c r="BE11" s="150">
        <f t="shared" si="0"/>
        <v>0</v>
      </c>
      <c r="BF11" s="150">
        <f t="shared" si="1"/>
        <v>0</v>
      </c>
      <c r="BG11" s="150">
        <f t="shared" si="2"/>
        <v>0</v>
      </c>
      <c r="BH11" s="150">
        <f t="shared" si="3"/>
        <v>0</v>
      </c>
      <c r="BI11" s="150">
        <f t="shared" si="4"/>
        <v>0</v>
      </c>
      <c r="BJ11" s="150">
        <f t="shared" si="5"/>
        <v>0</v>
      </c>
      <c r="BK11" s="150">
        <f t="shared" si="6"/>
        <v>0</v>
      </c>
      <c r="BL11" s="150">
        <f t="shared" si="7"/>
        <v>0</v>
      </c>
      <c r="BM11" s="150">
        <f t="shared" si="8"/>
        <v>0</v>
      </c>
      <c r="BN11" s="477" t="str">
        <f>IF(NOT(ISBLANK(C11)),IF(C11&lt;&gt;"",IF(_xlfn.XLOOKUP(C11,'Reference Records'!$C$86:$C$189,'Reference Records'!$A$86:$A$189,0,0,1)=AM11,"Continue","Select correct module name."),"Continue"),"Continue")</f>
        <v>Continue</v>
      </c>
      <c r="BO11" s="477" t="str">
        <f t="shared" ref="BO11" ca="1" si="17">IF(AND(BC11="Continue",CG11="Continue"),"Continue",IF(AND(BC11&lt;&gt;"Continue",CG11="Continue"),BC11,IF(AND(CG11&lt;&gt;"Continue",BC11="Continue"),CG11,CONCATENATE(BC11,CHAR(10),CG11))))</f>
        <v>Continue</v>
      </c>
      <c r="BP11" s="477" t="str">
        <f t="shared" ref="BP11" ca="1" si="18">IF(AND((AZ11&lt;&gt;""),(BA11&lt;&gt;"")),"Reversed custom indicator selection not applicable. Value pre-populated in standard indicator column.","Continue")</f>
        <v>Continue</v>
      </c>
      <c r="BQ11" s="477" t="str">
        <f t="shared" ref="BQ11" ca="1" si="19">IF(AND(BN11="Continue",BO11="Continue"),"Continue",
IF(AND(BN11&lt;&gt;"Continue",BO11="Continue"),BN11,
IF(AND(BO11&lt;&gt;"Continue",BN11="Continue"),BO11,
CONCATENATE(BN11,CHAR(10),BO11))))</f>
        <v>Continue</v>
      </c>
      <c r="BR11" s="520" t="str" cm="1">
        <f t="array" ref="BR11">IF(ISBLANK(B11),"Continue",(IF(IFERROR(_xlfn.XMATCH(B11,LEFT('Reference Records'!$J$191:$J$250,32768),0),0)&lt;&gt;0,"Continue","Invalid module entry. Select from dropdown list.")))</f>
        <v>Continue</v>
      </c>
      <c r="BS11" s="520" t="str">
        <f t="shared" ref="BS11" ca="1" si="20">IF(AND(BP11="Continue",BQ11="Continue"),"Continue",IF(AND(BP11&lt;&gt;"Continue",BQ11="Continue"),BP11,IF(AND(BQ11&lt;&gt;"Continue",BP11="Continue"),BQ11,CONCATENATE(BP11,CHAR(10),BQ11))))</f>
        <v>Continue</v>
      </c>
      <c r="BT11" s="520" t="str">
        <f t="shared" ref="BT11" si="21">IF(AND(C11="",D11=""),"Continue",IF(AND(C11="",D11&lt;&gt;""),"Continue",IF(AND(C11&lt;&gt;"",D11=""),"Continue",IF(AND(C11&lt;&gt;"",D11&lt;&gt;""),"Cannot enter both standard and custom indicators on the same line."))))</f>
        <v>Continue</v>
      </c>
      <c r="BU11" s="520" t="str">
        <f t="shared" ref="BU11" si="22">IF(AND(BR11="Continue",BT11="Continue"),"Continue",IF(AND(BR11&lt;&gt;"Continue",BT11="Continue"),BR11,IF(AND(BT11&lt;&gt;"Continue",BR11="Continue"),BT11,CONCATENATE(BR11,CHAR(10),BT11))))</f>
        <v>Continue</v>
      </c>
      <c r="BV11" s="560" t="b">
        <f>IFERROR(INDEX('Reference Records'!$L$86:$L$189,MATCH($C11,'Reference Records'!$C$86:$C$189,0)),"")</f>
        <v>0</v>
      </c>
      <c r="BW11" s="560">
        <f t="shared" ref="BW11" ca="1" si="23">IF(NOT(ISBLANK(F11)),IF(F11&lt;&gt;"",(IF(NOT(ISNUMBER(F11)),1,0)),0),0)</f>
        <v>0</v>
      </c>
      <c r="BX11" s="560">
        <f t="shared" ref="BX11" ca="1" si="24">IF(NOT(ISBLANK(O11)),IF(O11&lt;&gt;"",(IF(NOT(ISNUMBER(O11)),1,0)),0),0)</f>
        <v>0</v>
      </c>
      <c r="BY11" s="560">
        <f t="shared" ref="BY11" ca="1" si="25">IF(NOT(ISBLANK(R11)),IF(R11&lt;&gt;"",(IF(NOT(ISNUMBER(R11)),1,0)),0),0)</f>
        <v>0</v>
      </c>
      <c r="BZ11" s="560">
        <f t="shared" ref="BZ11" ca="1" si="26">IF(NOT(ISBLANK(U11)),IF(U11&lt;&gt;"",(IF(NOT(ISNUMBER(U11)),1,0)),0),0)</f>
        <v>0</v>
      </c>
      <c r="CA11" s="560">
        <f t="shared" ref="CA11" ca="1" si="27">IF(NOT(ISBLANK(X11)),IF(X11&lt;&gt;"",(IF(NOT(ISNUMBER(X11)),1,0)),0),0)</f>
        <v>0</v>
      </c>
      <c r="CB11" s="560">
        <f t="shared" ref="CB11" ca="1" si="28">IF(NOT(ISBLANK(AA11)),IF(AA11&lt;&gt;"",(IF(NOT(ISNUMBER(AA11)),1,0)),0),0)</f>
        <v>0</v>
      </c>
      <c r="CC11" s="560">
        <f t="shared" ref="CC11" ca="1" si="29">IF(NOT(ISBLANK(AD11)),IF(AD11&lt;&gt;"",(IF(NOT(ISNUMBER(AD11)),1,0)),0),0)</f>
        <v>0</v>
      </c>
      <c r="CD11" s="560">
        <f t="shared" ref="CD11" ca="1" si="30">IF(NOT(ISBLANK(AG11)),IF(AG11&lt;&gt;"",(IF(NOT(ISNUMBER(AG11)),1,0)),0),0)</f>
        <v>0</v>
      </c>
      <c r="CE11" s="560">
        <f t="shared" ref="CE11" ca="1" si="31">IF(NOT(ISBLANK(AJ11)),IF(AJ11&lt;&gt;"",(IF(NOT(ISNUMBER(AJ11)),1,0)),0),0)</f>
        <v>0</v>
      </c>
      <c r="CF11" s="560" t="str">
        <f t="shared" ref="CF11" ca="1" si="32">IF(SUM(BW11:CE12)=0, "Continue", "Enter valid number only.")</f>
        <v>Continue</v>
      </c>
      <c r="CG11" s="560" t="str">
        <f t="shared" ref="CG11" ca="1" si="33">IF(AND(CF11="Continue",BD11="Continue"),"Continue",IF(AND(CF11&lt;&gt;"Continue",BD11="Continue"),CF11,IF(AND(BD11&lt;&gt;"Continue",CF11="Continue"),BD11,CONCATENATE(CF11,CHAR(10)))))</f>
        <v>Continue</v>
      </c>
    </row>
    <row r="12" spans="1:85 16375:16375" ht="115.5" customHeight="1" x14ac:dyDescent="0.25">
      <c r="A12" s="559"/>
      <c r="B12" s="530"/>
      <c r="C12" s="530"/>
      <c r="D12" s="530"/>
      <c r="E12" s="152">
        <v>7103</v>
      </c>
      <c r="F12" s="544"/>
      <c r="G12" s="569"/>
      <c r="H12" s="530"/>
      <c r="I12" s="573"/>
      <c r="J12" s="569"/>
      <c r="K12" s="530"/>
      <c r="L12" s="157" t="s">
        <v>625</v>
      </c>
      <c r="M12" s="577"/>
      <c r="N12" s="152">
        <v>7103</v>
      </c>
      <c r="O12" s="544"/>
      <c r="P12" s="569"/>
      <c r="Q12" s="152">
        <v>7103</v>
      </c>
      <c r="R12" s="544"/>
      <c r="S12" s="569"/>
      <c r="T12" s="154">
        <v>7103</v>
      </c>
      <c r="U12" s="544"/>
      <c r="V12" s="569"/>
      <c r="W12" s="154"/>
      <c r="X12" s="544"/>
      <c r="Y12" s="569"/>
      <c r="Z12" s="154"/>
      <c r="AA12" s="544"/>
      <c r="AB12" s="569"/>
      <c r="AC12" s="154"/>
      <c r="AD12" s="544"/>
      <c r="AE12" s="569"/>
      <c r="AF12" s="154"/>
      <c r="AG12" s="571"/>
      <c r="AH12" s="569"/>
      <c r="AI12" s="154"/>
      <c r="AJ12" s="571"/>
      <c r="AK12" s="569"/>
      <c r="AL12" s="522"/>
      <c r="AM12" s="480"/>
      <c r="AX12" s="156"/>
      <c r="AZ12" s="564"/>
      <c r="BA12" s="562"/>
      <c r="BB12" s="516"/>
      <c r="BC12" s="520"/>
      <c r="BD12" s="520"/>
      <c r="BE12" s="150">
        <f t="shared" si="0"/>
        <v>0</v>
      </c>
      <c r="BF12" s="150">
        <f t="shared" si="1"/>
        <v>0</v>
      </c>
      <c r="BG12" s="150">
        <f t="shared" si="2"/>
        <v>0</v>
      </c>
      <c r="BH12" s="150">
        <f t="shared" si="3"/>
        <v>0</v>
      </c>
      <c r="BI12" s="150">
        <f t="shared" si="4"/>
        <v>0</v>
      </c>
      <c r="BJ12" s="150">
        <f t="shared" si="5"/>
        <v>0</v>
      </c>
      <c r="BK12" s="150">
        <f t="shared" si="6"/>
        <v>0</v>
      </c>
      <c r="BL12" s="150">
        <f t="shared" si="7"/>
        <v>0</v>
      </c>
      <c r="BM12" s="150">
        <f t="shared" si="8"/>
        <v>0</v>
      </c>
      <c r="BN12" s="477"/>
      <c r="BO12" s="477"/>
      <c r="BP12" s="477"/>
      <c r="BQ12" s="477"/>
      <c r="BR12" s="520"/>
      <c r="BS12" s="520"/>
      <c r="BT12" s="520"/>
      <c r="BU12" s="520"/>
      <c r="BV12" s="560"/>
      <c r="BW12" s="560"/>
      <c r="BX12" s="560"/>
      <c r="BY12" s="560"/>
      <c r="BZ12" s="560"/>
      <c r="CA12" s="560"/>
      <c r="CB12" s="560"/>
      <c r="CC12" s="560"/>
      <c r="CD12" s="560"/>
      <c r="CE12" s="560"/>
      <c r="CF12" s="560"/>
      <c r="CG12" s="560"/>
    </row>
    <row r="13" spans="1:85 16375:16375" ht="66" customHeight="1" x14ac:dyDescent="0.25">
      <c r="A13" s="558">
        <v>3</v>
      </c>
      <c r="B13" s="521" t="s">
        <v>417</v>
      </c>
      <c r="C13" s="521" t="s">
        <v>1088</v>
      </c>
      <c r="D13" s="521"/>
      <c r="E13" s="404">
        <v>297</v>
      </c>
      <c r="F13" s="523">
        <f ca="1">IF(OR(INDIRECT("'update Helper'!D"&amp;AT13)="",E13&lt;&gt;0,E14&lt;&gt;0),IF(IFERROR((E13/E14),"")="","",(E13/E14)),INDIRECT("'update Helper'!D"&amp;AT13)/100)</f>
        <v>0.99</v>
      </c>
      <c r="G13" s="565">
        <v>2022</v>
      </c>
      <c r="H13" s="521" t="s">
        <v>2181</v>
      </c>
      <c r="I13" s="572" t="str">
        <f>AN13</f>
        <v>Age,Gender</v>
      </c>
      <c r="J13" s="565" t="s">
        <v>2182</v>
      </c>
      <c r="K13" s="521" t="s">
        <v>752</v>
      </c>
      <c r="L13" s="145"/>
      <c r="M13" s="574"/>
      <c r="N13" s="144">
        <v>297</v>
      </c>
      <c r="O13" s="523">
        <f ca="1">IF(OR(INDIRECT("'update Helper'!I"&amp;AU13)="",N13&lt;&gt;0,N14&lt;&gt;0),IF(IFERROR((N13/N14),"")="","",(N13/N14)),INDIRECT("'update Helper'!I"&amp;AU13)/100)</f>
        <v>0.99</v>
      </c>
      <c r="P13" s="565"/>
      <c r="Q13" s="146">
        <v>297</v>
      </c>
      <c r="R13" s="523">
        <f ca="1">IF(OR(INDIRECT("'update Helper'!I"&amp;AU13+1)="",Q13&lt;&gt;0,Q14&lt;&gt;0),IF(IFERROR((Q13/Q14),"")="","",(Q13/Q14)),INDIRECT("'update Helper'!I"&amp;AU13+1)/100)</f>
        <v>0.99</v>
      </c>
      <c r="S13" s="565"/>
      <c r="T13" s="146">
        <v>297</v>
      </c>
      <c r="U13" s="523">
        <f ca="1">IF(OR(INDIRECT("'update Helper'!I"&amp;AU13+2)="",T13&lt;&gt;0,T14&lt;&gt;0),IF(IFERROR((T13/T14),"")="","",(T13/T14)),INDIRECT("'update Helper'!I"&amp;AU13+2)/100)</f>
        <v>0.99</v>
      </c>
      <c r="V13" s="565"/>
      <c r="W13" s="146"/>
      <c r="X13" s="523" t="str">
        <f ca="1">IF(OR(INDIRECT("'update Helper'!I"&amp;AU13+3)="",W13&lt;&gt;0,W14&lt;&gt;0),IF(IFERROR((W13/W14),"")="","",(W13/W14)),INDIRECT("'update Helper'!I"&amp;AU13+3)/100)</f>
        <v/>
      </c>
      <c r="Y13" s="565"/>
      <c r="Z13" s="146"/>
      <c r="AA13" s="523" t="str">
        <f ca="1">IF(OR(INDIRECT("'update Helper'!I"&amp;AU13+4)="",Z13&lt;&gt;0,Z14&lt;&gt;0),IF(IFERROR((Z13/Z14),"")="","",(Z13/Z14)),INDIRECT("'update Helper'!I"&amp;AU13+4)/100)</f>
        <v/>
      </c>
      <c r="AB13" s="565"/>
      <c r="AC13" s="146"/>
      <c r="AD13" s="523" t="str">
        <f ca="1">IF(OR(INDIRECT("'update Helper'!I"&amp;AU13+5)="",AC13&lt;&gt;0,AC14&lt;&gt;0),IF(IFERROR((AC13/AC14),"")="","",(AC13/AC14)),INDIRECT("'update Helper'!I"&amp;AU13+5)/100)</f>
        <v/>
      </c>
      <c r="AE13" s="565"/>
      <c r="AF13" s="146"/>
      <c r="AG13" s="523" t="str">
        <f t="shared" ref="AG13" ca="1" si="34">IF(OR(INDIRECT("'update Helper'!I"&amp;AU13+6)="",AF13&lt;&gt;0,AF14&lt;&gt;0),IF(IFERROR((AF13/AF14),"")="","",(AF13/AF14)),INDIRECT("'update Helper'!I"&amp;AU13+6)/100)</f>
        <v/>
      </c>
      <c r="AH13" s="565"/>
      <c r="AI13" s="146"/>
      <c r="AJ13" s="523" t="str">
        <f t="shared" ref="AJ13" ca="1" si="35">IF(OR(INDIRECT("'update Helper'!I"&amp;AU13+7)="",AI13&lt;&gt;0,AI14&lt;&gt;0),IF(IFERROR((AI13/AI14),"")="","",(AI13/AI14)),INDIRECT("'update Helper'!I"&amp;AU13+7)/100)</f>
        <v/>
      </c>
      <c r="AK13" s="565"/>
      <c r="AL13" s="579" t="s">
        <v>2185</v>
      </c>
      <c r="AM13" s="567" t="str">
        <f>IFERROR(IF(VLOOKUP(B13,'Reference Records'!$C$192:$D$250,2,FALSE)=0,"",VLOOKUP(B13,'Reference Records'!$C$192:$D$250,2,FALSE)),"")</f>
        <v>MCI-01298</v>
      </c>
      <c r="AN13" s="147" t="str">
        <f t="array" ref="AN13">IFERROR(IF(INDEX('Reference Records'!$D$87:$D$189,MATCH(LEFT(C13,255),LEFT('Reference Records'!$C$87:$C$189,255),0))=0,"",INDEX('Reference Records'!$D$87:$D$189,MATCH(LEFT(C13,255),LEFT('Reference Records'!$C$87:$C$189,255),0))),"")</f>
        <v>Age,Gender</v>
      </c>
      <c r="AO13" s="147" t="str">
        <f>CONCATENATE(C13,D13)</f>
        <v>KP-1b⁽ᴹ⁾ Percentage of transgender people reached with HIV prevention programs - defined package of services</v>
      </c>
      <c r="AP13" s="148" t="str">
        <f t="array" ref="AP13">VLOOKUP(LEFT(C13,255),LEFT('Reference Records'!C$86:G243,255),4,0)</f>
        <v>MCI-01609</v>
      </c>
      <c r="AQ13" s="148" t="e">
        <f>MATCH(AP13,'Reference Records'!$F$512:$F$514,0)+ROW(PopulationByCoverage)-1</f>
        <v>#N/A</v>
      </c>
      <c r="AR13" s="148">
        <f>MATCH(AP13,'Reference Records'!$F$512:$F$514,1)+ROW(PopulationByCoverage)-1</f>
        <v>513</v>
      </c>
      <c r="AS13" s="147" t="str">
        <f>C13&amp;D13</f>
        <v>KP-1b⁽ᴹ⁾ Percentage of transgender people reached with HIV prevention programs - defined package of services</v>
      </c>
      <c r="AT13" s="147">
        <f t="shared" ref="AT13" si="36">AT11+1</f>
        <v>456</v>
      </c>
      <c r="AU13" s="147">
        <f>AU11+'update Helper'!$T$2</f>
        <v>532</v>
      </c>
      <c r="AV13" s="147" t="str">
        <f t="shared" ref="AV13" si="37">CLEAN(IFERROR(LEFT(AY13, SEARCH(";",AY13,1)-1),""))</f>
        <v>Non cumulative</v>
      </c>
      <c r="AW13" s="147" t="str">
        <f t="shared" ref="AW13" si="38">SUBSTITUTE(IFERROR(MID(AY13, SEARCH(";",AY13) + 1, SEARCH(";",AY13,SEARCH(";",AY13)+1) - SEARCH(";",AY13) - 1),""),CHAR(10),"")</f>
        <v>Non cumulative – other</v>
      </c>
      <c r="AX13" s="149" t="str">
        <f t="shared" ref="AX13" si="39">CLEAN(IFERROR(SUBSTITUTE(RIGHT(AY13,LEN(AY13) - SEARCH(";", AY13, SEARCH(";",AY13) + 1)),";",""),""))</f>
        <v>Non cumulative - special</v>
      </c>
      <c r="AY13" s="147" t="str">
        <f t="array" ref="AY13">IFERROR(IF(VLOOKUP(LEFT(C13,255),LEFT('Reference Records'!$C$1:$K$539,255),9,0)=0,"",CONCATENATE(VLOOKUP(LEFT(C13,255),LEFT('Reference Records'!$C$1:$K$539,255),9,0),";")),"")</f>
        <v>Non cumulative;Non cumulative – other;Non cumulative - special;</v>
      </c>
      <c r="AZ13" s="563" t="str">
        <f>IF($BV13="", "", IF($BV13=TRUE, "Yes", "No"))</f>
        <v>No</v>
      </c>
      <c r="BA13" s="561" t="str">
        <f t="shared" ref="BA13" ca="1" si="40">IF($D13="", "",IF(IF(INDIRECT("'update Helper'!W"&amp;AT13)=0,"",INDIRECT("'update Helper'!W"&amp;AT13))=TRUE, "Yes","No"))</f>
        <v/>
      </c>
      <c r="BB13" s="516" t="str">
        <f t="shared" ref="BB13" ca="1" si="41">IF(AND(BS13="Continue",BU13="Continue"),"No Error",IF(AND(BS13&lt;&gt;"Continue",BU13="Continue"),BS13,IF(AND(BU13&lt;&gt;"Continue",BS13="Continue"),BU13,CONCATENATE(BS13,CHAR(10),BU13))))</f>
        <v>No Error</v>
      </c>
      <c r="BC13" s="520" t="str" cm="1">
        <f t="array" ref="BC13">IF(ISBLANK(C13),"Continue",(IF(IFERROR(_xlfn.XMATCH(C13,LEFT('Reference Records'!$C$86:$C$189,32768),0),0)&lt;&gt;0,"Continue","Invalid indicator entry. Select from dropdown list.")))</f>
        <v>Continue</v>
      </c>
      <c r="BD13" s="520" t="str">
        <f t="shared" ref="BD13" si="42">IF(SUM(BE13:BM14)=0, "Continue", "Enter valid number only.")</f>
        <v>Continue</v>
      </c>
      <c r="BE13" s="150">
        <f t="shared" si="0"/>
        <v>0</v>
      </c>
      <c r="BF13" s="150">
        <f t="shared" si="1"/>
        <v>0</v>
      </c>
      <c r="BG13" s="150">
        <f t="shared" si="2"/>
        <v>0</v>
      </c>
      <c r="BH13" s="150">
        <f t="shared" si="3"/>
        <v>0</v>
      </c>
      <c r="BI13" s="150">
        <f t="shared" si="4"/>
        <v>0</v>
      </c>
      <c r="BJ13" s="150">
        <f t="shared" si="5"/>
        <v>0</v>
      </c>
      <c r="BK13" s="150">
        <f t="shared" si="6"/>
        <v>0</v>
      </c>
      <c r="BL13" s="150">
        <f t="shared" si="7"/>
        <v>0</v>
      </c>
      <c r="BM13" s="150">
        <f t="shared" si="8"/>
        <v>0</v>
      </c>
      <c r="BN13" s="477" t="str">
        <f>IF(NOT(ISBLANK(C13)),IF(C13&lt;&gt;"",IF(_xlfn.XLOOKUP(C13,'Reference Records'!$C$86:$C$189,'Reference Records'!$A$86:$A$189,0,0,1)=AM13,"Continue","Select correct module name."),"Continue"),"Continue")</f>
        <v>Continue</v>
      </c>
      <c r="BO13" s="477" t="str">
        <f t="shared" ref="BO13" ca="1" si="43">IF(AND(BC13="Continue",CG13="Continue"),"Continue",IF(AND(BC13&lt;&gt;"Continue",CG13="Continue"),BC13,IF(AND(CG13&lt;&gt;"Continue",BC13="Continue"),CG13,CONCATENATE(BC13,CHAR(10),CG13))))</f>
        <v>Continue</v>
      </c>
      <c r="BP13" s="477" t="str">
        <f t="shared" ref="BP13" ca="1" si="44">IF(AND((AZ13&lt;&gt;""),(BA13&lt;&gt;"")),"Reversed custom indicator selection not applicable. Value pre-populated in standard indicator column.","Continue")</f>
        <v>Continue</v>
      </c>
      <c r="BQ13" s="477" t="str">
        <f t="shared" ref="BQ13" ca="1" si="45">IF(AND(BN13="Continue",BO13="Continue"),"Continue",
IF(AND(BN13&lt;&gt;"Continue",BO13="Continue"),BN13,
IF(AND(BO13&lt;&gt;"Continue",BN13="Continue"),BO13,
CONCATENATE(BN13,CHAR(10),BO13))))</f>
        <v>Continue</v>
      </c>
      <c r="BR13" s="520" t="str" cm="1">
        <f t="array" ref="BR13">IF(ISBLANK(B13),"Continue",(IF(IFERROR(_xlfn.XMATCH(B13,LEFT('Reference Records'!$J$191:$J$250,32768),0),0)&lt;&gt;0,"Continue","Invalid module entry. Select from dropdown list.")))</f>
        <v>Continue</v>
      </c>
      <c r="BS13" s="520" t="str">
        <f t="shared" ref="BS13" ca="1" si="46">IF(AND(BP13="Continue",BQ13="Continue"),"Continue",IF(AND(BP13&lt;&gt;"Continue",BQ13="Continue"),BP13,IF(AND(BQ13&lt;&gt;"Continue",BP13="Continue"),BQ13,CONCATENATE(BP13,CHAR(10),BQ13))))</f>
        <v>Continue</v>
      </c>
      <c r="BT13" s="520" t="str">
        <f t="shared" ref="BT13" si="47">IF(AND(C13="",D13=""),"Continue",IF(AND(C13="",D13&lt;&gt;""),"Continue",IF(AND(C13&lt;&gt;"",D13=""),"Continue",IF(AND(C13&lt;&gt;"",D13&lt;&gt;""),"Cannot enter both standard and custom indicators on the same line."))))</f>
        <v>Continue</v>
      </c>
      <c r="BU13" s="520" t="str">
        <f t="shared" ref="BU13" si="48">IF(AND(BR13="Continue",BT13="Continue"),"Continue",IF(AND(BR13&lt;&gt;"Continue",BT13="Continue"),BR13,IF(AND(BT13&lt;&gt;"Continue",BR13="Continue"),BT13,CONCATENATE(BR13,CHAR(10),BT13))))</f>
        <v>Continue</v>
      </c>
      <c r="BV13" s="560" t="b">
        <f>IFERROR(INDEX('Reference Records'!$L$86:$L$189,MATCH($C13,'Reference Records'!$C$86:$C$189,0)),"")</f>
        <v>0</v>
      </c>
      <c r="BW13" s="560">
        <f t="shared" ref="BW13" ca="1" si="49">IF(NOT(ISBLANK(F13)),IF(F13&lt;&gt;"",(IF(NOT(ISNUMBER(F13)),1,0)),0),0)</f>
        <v>0</v>
      </c>
      <c r="BX13" s="560">
        <f t="shared" ref="BX13" ca="1" si="50">IF(NOT(ISBLANK(O13)),IF(O13&lt;&gt;"",(IF(NOT(ISNUMBER(O13)),1,0)),0),0)</f>
        <v>0</v>
      </c>
      <c r="BY13" s="560">
        <f t="shared" ref="BY13" ca="1" si="51">IF(NOT(ISBLANK(R13)),IF(R13&lt;&gt;"",(IF(NOT(ISNUMBER(R13)),1,0)),0),0)</f>
        <v>0</v>
      </c>
      <c r="BZ13" s="560">
        <f t="shared" ref="BZ13" ca="1" si="52">IF(NOT(ISBLANK(U13)),IF(U13&lt;&gt;"",(IF(NOT(ISNUMBER(U13)),1,0)),0),0)</f>
        <v>0</v>
      </c>
      <c r="CA13" s="560">
        <f t="shared" ref="CA13" ca="1" si="53">IF(NOT(ISBLANK(X13)),IF(X13&lt;&gt;"",(IF(NOT(ISNUMBER(X13)),1,0)),0),0)</f>
        <v>0</v>
      </c>
      <c r="CB13" s="560">
        <f t="shared" ref="CB13" ca="1" si="54">IF(NOT(ISBLANK(AA13)),IF(AA13&lt;&gt;"",(IF(NOT(ISNUMBER(AA13)),1,0)),0),0)</f>
        <v>0</v>
      </c>
      <c r="CC13" s="560">
        <f t="shared" ref="CC13" ca="1" si="55">IF(NOT(ISBLANK(AD13)),IF(AD13&lt;&gt;"",(IF(NOT(ISNUMBER(AD13)),1,0)),0),0)</f>
        <v>0</v>
      </c>
      <c r="CD13" s="560">
        <f t="shared" ref="CD13" ca="1" si="56">IF(NOT(ISBLANK(AG13)),IF(AG13&lt;&gt;"",(IF(NOT(ISNUMBER(AG13)),1,0)),0),0)</f>
        <v>0</v>
      </c>
      <c r="CE13" s="560">
        <f t="shared" ref="CE13" ca="1" si="57">IF(NOT(ISBLANK(AJ13)),IF(AJ13&lt;&gt;"",(IF(NOT(ISNUMBER(AJ13)),1,0)),0),0)</f>
        <v>0</v>
      </c>
      <c r="CF13" s="560" t="str">
        <f t="shared" ref="CF13" ca="1" si="58">IF(SUM(BW13:CE14)=0, "Continue", "Enter valid number only.")</f>
        <v>Continue</v>
      </c>
      <c r="CG13" s="560" t="str">
        <f t="shared" ref="CG13" ca="1" si="59">IF(AND(CF13="Continue",BD13="Continue"),"Continue",IF(AND(CF13&lt;&gt;"Continue",BD13="Continue"),CF13,IF(AND(BD13&lt;&gt;"Continue",CF13="Continue"),BD13,CONCATENATE(CF13,CHAR(10)))))</f>
        <v>Continue</v>
      </c>
    </row>
    <row r="14" spans="1:85 16375:16375" ht="119.55" customHeight="1" x14ac:dyDescent="0.25">
      <c r="A14" s="559"/>
      <c r="B14" s="522"/>
      <c r="C14" s="522"/>
      <c r="D14" s="522"/>
      <c r="E14" s="404">
        <v>300</v>
      </c>
      <c r="F14" s="524"/>
      <c r="G14" s="566"/>
      <c r="H14" s="522"/>
      <c r="I14" s="573"/>
      <c r="J14" s="566"/>
      <c r="K14" s="522"/>
      <c r="L14" s="151" t="s">
        <v>625</v>
      </c>
      <c r="M14" s="575"/>
      <c r="N14" s="144">
        <v>300</v>
      </c>
      <c r="O14" s="524"/>
      <c r="P14" s="566"/>
      <c r="Q14" s="146">
        <v>300</v>
      </c>
      <c r="R14" s="524"/>
      <c r="S14" s="566"/>
      <c r="T14" s="146">
        <v>300</v>
      </c>
      <c r="U14" s="524"/>
      <c r="V14" s="566"/>
      <c r="W14" s="146"/>
      <c r="X14" s="524"/>
      <c r="Y14" s="566"/>
      <c r="Z14" s="146"/>
      <c r="AA14" s="524"/>
      <c r="AB14" s="566"/>
      <c r="AC14" s="146"/>
      <c r="AD14" s="524"/>
      <c r="AE14" s="566"/>
      <c r="AF14" s="146"/>
      <c r="AG14" s="524"/>
      <c r="AH14" s="566"/>
      <c r="AI14" s="146"/>
      <c r="AJ14" s="524"/>
      <c r="AK14" s="566"/>
      <c r="AL14" s="522"/>
      <c r="AM14" s="567"/>
      <c r="AN14" s="147"/>
      <c r="AO14" s="147"/>
      <c r="AP14" s="147"/>
      <c r="AQ14" s="147"/>
      <c r="AR14" s="147"/>
      <c r="AS14" s="147"/>
      <c r="AT14" s="147"/>
      <c r="AU14" s="147"/>
      <c r="AV14" s="147"/>
      <c r="AW14" s="147"/>
      <c r="AX14" s="149"/>
      <c r="AY14" s="147"/>
      <c r="AZ14" s="563"/>
      <c r="BA14" s="561"/>
      <c r="BB14" s="516"/>
      <c r="BC14" s="520"/>
      <c r="BD14" s="520"/>
      <c r="BE14" s="150">
        <f t="shared" si="0"/>
        <v>0</v>
      </c>
      <c r="BF14" s="150">
        <f t="shared" si="1"/>
        <v>0</v>
      </c>
      <c r="BG14" s="150">
        <f t="shared" si="2"/>
        <v>0</v>
      </c>
      <c r="BH14" s="150">
        <f t="shared" si="3"/>
        <v>0</v>
      </c>
      <c r="BI14" s="150">
        <f t="shared" si="4"/>
        <v>0</v>
      </c>
      <c r="BJ14" s="150">
        <f t="shared" si="5"/>
        <v>0</v>
      </c>
      <c r="BK14" s="150">
        <f t="shared" si="6"/>
        <v>0</v>
      </c>
      <c r="BL14" s="150">
        <f t="shared" si="7"/>
        <v>0</v>
      </c>
      <c r="BM14" s="150">
        <f t="shared" si="8"/>
        <v>0</v>
      </c>
      <c r="BN14" s="477"/>
      <c r="BO14" s="477"/>
      <c r="BP14" s="477"/>
      <c r="BQ14" s="477"/>
      <c r="BR14" s="520"/>
      <c r="BS14" s="520"/>
      <c r="BT14" s="520"/>
      <c r="BU14" s="520"/>
      <c r="BV14" s="560"/>
      <c r="BW14" s="560"/>
      <c r="BX14" s="560"/>
      <c r="BY14" s="560"/>
      <c r="BZ14" s="560"/>
      <c r="CA14" s="560"/>
      <c r="CB14" s="560"/>
      <c r="CC14" s="560"/>
      <c r="CD14" s="560"/>
      <c r="CE14" s="560"/>
      <c r="CF14" s="560"/>
      <c r="CG14" s="560"/>
    </row>
    <row r="15" spans="1:85 16375:16375" ht="63" customHeight="1" x14ac:dyDescent="0.25">
      <c r="A15" s="558">
        <v>4</v>
      </c>
      <c r="B15" s="529" t="s">
        <v>420</v>
      </c>
      <c r="C15" s="529" t="s">
        <v>1100</v>
      </c>
      <c r="D15" s="529"/>
      <c r="E15" s="152">
        <v>17379</v>
      </c>
      <c r="F15" s="543">
        <f ca="1">IF(OR(INDIRECT("'update Helper'!D"&amp;AT15)="",E15&lt;&gt;0,E16&lt;&gt;0),IF(IFERROR((E15/E16),"")="","",(E15/E16)),INDIRECT("'update Helper'!D"&amp;AT15)/100)</f>
        <v>1</v>
      </c>
      <c r="G15" s="568">
        <v>2022</v>
      </c>
      <c r="H15" s="529" t="s">
        <v>2181</v>
      </c>
      <c r="I15" s="572" t="str">
        <f>AN15</f>
        <v>Gender,Age</v>
      </c>
      <c r="J15" s="568" t="s">
        <v>2182</v>
      </c>
      <c r="K15" s="529" t="s">
        <v>752</v>
      </c>
      <c r="L15" s="153"/>
      <c r="M15" s="576"/>
      <c r="N15" s="152">
        <v>17379</v>
      </c>
      <c r="O15" s="543">
        <f ca="1">IF(OR(INDIRECT("'update Helper'!I"&amp;AU15)="",N15&lt;&gt;0,N16&lt;&gt;0),IF(IFERROR((N15/N16),"")="","",(N15/N16)),INDIRECT("'update Helper'!I"&amp;AU15)/100)</f>
        <v>1</v>
      </c>
      <c r="P15" s="568"/>
      <c r="Q15" s="152">
        <v>17379</v>
      </c>
      <c r="R15" s="543">
        <f ca="1">IF(OR(INDIRECT("'update Helper'!I"&amp;AU15+1)="",Q15&lt;&gt;0,Q16&lt;&gt;0),IF(IFERROR((Q15/Q16),"")="","",(Q15/Q16)),INDIRECT("'update Helper'!I"&amp;AU15+1)/100)</f>
        <v>1</v>
      </c>
      <c r="S15" s="568"/>
      <c r="T15" s="152">
        <v>17379</v>
      </c>
      <c r="U15" s="543">
        <f ca="1">IF(OR(INDIRECT("'update Helper'!I"&amp;AU15+2)="",T15&lt;&gt;0,T16&lt;&gt;0),IF(IFERROR((T15/T16),"")="","",(T15/T16)),INDIRECT("'update Helper'!I"&amp;AU15+2)/100)</f>
        <v>1</v>
      </c>
      <c r="V15" s="568"/>
      <c r="W15" s="154"/>
      <c r="X15" s="543" t="str">
        <f ca="1">IF(OR(INDIRECT("'update Helper'!I"&amp;AU15+3)="",W15&lt;&gt;0,W16&lt;&gt;0),IF(IFERROR((W15/W16),"")="","",(W15/W16)),INDIRECT("'update Helper'!I"&amp;AU15+3)/100)</f>
        <v/>
      </c>
      <c r="Y15" s="568"/>
      <c r="Z15" s="154"/>
      <c r="AA15" s="543" t="str">
        <f ca="1">IF(OR(INDIRECT("'update Helper'!I"&amp;AU15+4)="",Z15&lt;&gt;0,Z16&lt;&gt;0),IF(IFERROR((Z15/Z16),"")="","",(Z15/Z16)),INDIRECT("'update Helper'!I"&amp;AU15+4)/100)</f>
        <v/>
      </c>
      <c r="AB15" s="568"/>
      <c r="AC15" s="154"/>
      <c r="AD15" s="543" t="str">
        <f ca="1">IF(OR(INDIRECT("'update Helper'!I"&amp;AU15+5)="",AC15&lt;&gt;0,AC16&lt;&gt;0),IF(IFERROR((AC15/AC16),"")="","",(AC15/AC16)),INDIRECT("'update Helper'!I"&amp;AU15+5)/100)</f>
        <v/>
      </c>
      <c r="AE15" s="568"/>
      <c r="AF15" s="154"/>
      <c r="AG15" s="570" t="str">
        <f t="shared" ref="AG15" ca="1" si="60">IF(OR(INDIRECT("'update Helper'!I"&amp;AU15+6)="",AF15&lt;&gt;0,AF16&lt;&gt;0),IF(IFERROR((AF15/AF16),"")="","",(AF15/AF16)),INDIRECT("'update Helper'!I"&amp;AU15+6)/100)</f>
        <v/>
      </c>
      <c r="AH15" s="568"/>
      <c r="AI15" s="154"/>
      <c r="AJ15" s="570" t="str">
        <f t="shared" ref="AJ15" ca="1" si="61">IF(OR(INDIRECT("'update Helper'!I"&amp;AU15+7)="",AI15&lt;&gt;0,AI16&lt;&gt;0),IF(IFERROR((AI15/AI16),"")="","",(AI15/AI16)),INDIRECT("'update Helper'!I"&amp;AU15+7)/100)</f>
        <v/>
      </c>
      <c r="AK15" s="568"/>
      <c r="AL15" s="579" t="s">
        <v>2186</v>
      </c>
      <c r="AM15" s="480" t="str">
        <f>IFERROR(IF(VLOOKUP(B15,'Reference Records'!$C$192:$D$250,2,FALSE)=0,"",VLOOKUP(B15,'Reference Records'!$C$192:$D$250,2,FALSE)),"")</f>
        <v>MCI-01299</v>
      </c>
      <c r="AN15" s="52" t="str">
        <f t="array" ref="AN15">IFERROR(IF(INDEX('Reference Records'!$D$87:$D$189,MATCH(LEFT(C15,255),LEFT('Reference Records'!$C$87:$C$189,255),0))=0,"",INDEX('Reference Records'!$D$87:$D$189,MATCH(LEFT(C15,255),LEFT('Reference Records'!$C$87:$C$189,255),0))),"")</f>
        <v>Gender,Age</v>
      </c>
      <c r="AO15" s="52" t="str">
        <f>CONCATENATE(C15,D15)</f>
        <v>KP-1d⁽ᴹ⁾ Percentage of people who inject drugs reached with HIV prevention programs - defined package of services</v>
      </c>
      <c r="AP15" s="155" t="str">
        <f t="array" ref="AP15">VLOOKUP(LEFT(C15,255),LEFT('Reference Records'!C$86:G245,255),4,0)</f>
        <v>MCI-01524</v>
      </c>
      <c r="AQ15" s="155" t="e">
        <f>MATCH(AP15,'Reference Records'!$F$512:$F$514,0)+ROW(PopulationByCoverage)-1</f>
        <v>#N/A</v>
      </c>
      <c r="AR15" s="155">
        <f>MATCH(AP15,'Reference Records'!$F$512:$F$514,1)+ROW(PopulationByCoverage)-1</f>
        <v>513</v>
      </c>
      <c r="AS15" s="52" t="str">
        <f>C15&amp;D15</f>
        <v>KP-1d⁽ᴹ⁾ Percentage of people who inject drugs reached with HIV prevention programs - defined package of services</v>
      </c>
      <c r="AT15" s="52">
        <f t="shared" ref="AT15" si="62">AT13+1</f>
        <v>457</v>
      </c>
      <c r="AU15" s="52">
        <f>AU13+'update Helper'!$T$2</f>
        <v>538</v>
      </c>
      <c r="AV15" s="52" t="str">
        <f t="shared" ref="AV15" si="63">CLEAN(IFERROR(LEFT(AY15, SEARCH(";",AY15,1)-1),""))</f>
        <v>Non cumulative</v>
      </c>
      <c r="AW15" s="52" t="str">
        <f t="shared" ref="AW15" si="64">SUBSTITUTE(IFERROR(MID(AY15, SEARCH(";",AY15) + 1, SEARCH(";",AY15,SEARCH(";",AY15)+1) - SEARCH(";",AY15) - 1),""),CHAR(10),"")</f>
        <v>Non cumulative – other</v>
      </c>
      <c r="AX15" s="156" t="str">
        <f t="shared" ref="AX15" si="65">CLEAN(IFERROR(SUBSTITUTE(RIGHT(AY15,LEN(AY15) - SEARCH(";", AY15, SEARCH(";",AY15) + 1)),";",""),""))</f>
        <v>Non cumulative - special</v>
      </c>
      <c r="AY15" s="52" t="str">
        <f t="array" ref="AY15">IFERROR(IF(VLOOKUP(LEFT(C15,255),LEFT('Reference Records'!$C$1:$K$539,255),9,0)=0,"",CONCATENATE(VLOOKUP(LEFT(C15,255),LEFT('Reference Records'!$C$1:$K$539,255),9,0),";")),"")</f>
        <v>Non cumulative;Non cumulative – other;Non cumulative - special;</v>
      </c>
      <c r="AZ15" s="564" t="str">
        <f>IF($BV15="", "", IF($BV15=TRUE, "Yes", "No"))</f>
        <v>No</v>
      </c>
      <c r="BA15" s="562" t="str">
        <f t="shared" ref="BA15" ca="1" si="66">IF($D15="", "",IF(IF(INDIRECT("'update Helper'!W"&amp;AT15)=0,"",INDIRECT("'update Helper'!W"&amp;AT15))=TRUE, "Yes","No"))</f>
        <v/>
      </c>
      <c r="BB15" s="516" t="str">
        <f t="shared" ref="BB15" ca="1" si="67">IF(AND(BS15="Continue",BU15="Continue"),"No Error",IF(AND(BS15&lt;&gt;"Continue",BU15="Continue"),BS15,IF(AND(BU15&lt;&gt;"Continue",BS15="Continue"),BU15,CONCATENATE(BS15,CHAR(10),BU15))))</f>
        <v>No Error</v>
      </c>
      <c r="BC15" s="520" t="str" cm="1">
        <f t="array" ref="BC15">IF(ISBLANK(C15),"Continue",(IF(IFERROR(_xlfn.XMATCH(C15,LEFT('Reference Records'!$C$86:$C$189,32768),0),0)&lt;&gt;0,"Continue","Invalid indicator entry. Select from dropdown list.")))</f>
        <v>Continue</v>
      </c>
      <c r="BD15" s="520" t="str">
        <f t="shared" ref="BD15" si="68">IF(SUM(BE15:BM16)=0, "Continue", "Enter valid number only.")</f>
        <v>Continue</v>
      </c>
      <c r="BE15" s="150">
        <f t="shared" si="0"/>
        <v>0</v>
      </c>
      <c r="BF15" s="150">
        <f>IF(NOT(ISBLANK(N15)),IF(N15&lt;&gt;"",(IF(NOT(ISNUMBER(N15)),1,0)),0),0)</f>
        <v>0</v>
      </c>
      <c r="BG15" s="150">
        <f t="shared" si="2"/>
        <v>0</v>
      </c>
      <c r="BH15" s="150">
        <f t="shared" si="3"/>
        <v>0</v>
      </c>
      <c r="BI15" s="150">
        <f t="shared" si="4"/>
        <v>0</v>
      </c>
      <c r="BJ15" s="150">
        <f t="shared" si="5"/>
        <v>0</v>
      </c>
      <c r="BK15" s="150">
        <f t="shared" si="6"/>
        <v>0</v>
      </c>
      <c r="BL15" s="150">
        <f t="shared" si="7"/>
        <v>0</v>
      </c>
      <c r="BM15" s="150">
        <f t="shared" si="8"/>
        <v>0</v>
      </c>
      <c r="BN15" s="477" t="str">
        <f>IF(NOT(ISBLANK(C15)),IF(C15&lt;&gt;"",IF(_xlfn.XLOOKUP(C15,'Reference Records'!$C$86:$C$189,'Reference Records'!$A$86:$A$189,0,0,1)=AM15,"Continue","Select correct module name."),"Continue"),"Continue")</f>
        <v>Continue</v>
      </c>
      <c r="BO15" s="477" t="str">
        <f t="shared" ref="BO15" ca="1" si="69">IF(AND(BC15="Continue",CG15="Continue"),"Continue",IF(AND(BC15&lt;&gt;"Continue",CG15="Continue"),BC15,IF(AND(CG15&lt;&gt;"Continue",BC15="Continue"),CG15,CONCATENATE(BC15,CHAR(10),CG15))))</f>
        <v>Continue</v>
      </c>
      <c r="BP15" s="477" t="str">
        <f t="shared" ref="BP15" ca="1" si="70">IF(AND((AZ15&lt;&gt;""),(BA15&lt;&gt;"")),"Reversed custom indicator selection not applicable. Value pre-populated in standard indicator column.","Continue")</f>
        <v>Continue</v>
      </c>
      <c r="BQ15" s="477" t="str">
        <f t="shared" ref="BQ15" ca="1" si="71">IF(AND(BN15="Continue",BO15="Continue"),"Continue",
IF(AND(BN15&lt;&gt;"Continue",BO15="Continue"),BN15,
IF(AND(BO15&lt;&gt;"Continue",BN15="Continue"),BO15,
CONCATENATE(BN15,CHAR(10),BO15))))</f>
        <v>Continue</v>
      </c>
      <c r="BR15" s="520" t="str" cm="1">
        <f t="array" ref="BR15">IF(ISBLANK(B15),"Continue",(IF(IFERROR(_xlfn.XMATCH(B15,LEFT('Reference Records'!$J$191:$J$250,32768),0),0)&lt;&gt;0,"Continue","Invalid module entry. Select from dropdown list.")))</f>
        <v>Continue</v>
      </c>
      <c r="BS15" s="520" t="str">
        <f t="shared" ref="BS15" ca="1" si="72">IF(AND(BP15="Continue",BQ15="Continue"),"Continue",IF(AND(BP15&lt;&gt;"Continue",BQ15="Continue"),BP15,IF(AND(BQ15&lt;&gt;"Continue",BP15="Continue"),BQ15,CONCATENATE(BP15,CHAR(10),BQ15))))</f>
        <v>Continue</v>
      </c>
      <c r="BT15" s="520" t="str">
        <f t="shared" ref="BT15" si="73">IF(AND(C15="",D15=""),"Continue",IF(AND(C15="",D15&lt;&gt;""),"Continue",IF(AND(C15&lt;&gt;"",D15=""),"Continue",IF(AND(C15&lt;&gt;"",D15&lt;&gt;""),"Cannot enter both standard and custom indicators on the same line."))))</f>
        <v>Continue</v>
      </c>
      <c r="BU15" s="520" t="str">
        <f t="shared" ref="BU15" si="74">IF(AND(BR15="Continue",BT15="Continue"),"Continue",IF(AND(BR15&lt;&gt;"Continue",BT15="Continue"),BR15,IF(AND(BT15&lt;&gt;"Continue",BR15="Continue"),BT15,CONCATENATE(BR15,CHAR(10),BT15))))</f>
        <v>Continue</v>
      </c>
      <c r="BV15" s="560" t="b">
        <f>IFERROR(INDEX('Reference Records'!$L$86:$L$189,MATCH($C15,'Reference Records'!$C$86:$C$189,0)),"")</f>
        <v>0</v>
      </c>
      <c r="BW15" s="560">
        <f t="shared" ref="BW15" ca="1" si="75">IF(NOT(ISBLANK(F15)),IF(F15&lt;&gt;"",(IF(NOT(ISNUMBER(F15)),1,0)),0),0)</f>
        <v>0</v>
      </c>
      <c r="BX15" s="560">
        <f t="shared" ref="BX15" ca="1" si="76">IF(NOT(ISBLANK(O15)),IF(O15&lt;&gt;"",(IF(NOT(ISNUMBER(O15)),1,0)),0),0)</f>
        <v>0</v>
      </c>
      <c r="BY15" s="560">
        <f t="shared" ref="BY15" ca="1" si="77">IF(NOT(ISBLANK(R15)),IF(R15&lt;&gt;"",(IF(NOT(ISNUMBER(R15)),1,0)),0),0)</f>
        <v>0</v>
      </c>
      <c r="BZ15" s="560">
        <f t="shared" ref="BZ15" ca="1" si="78">IF(NOT(ISBLANK(U15)),IF(U15&lt;&gt;"",(IF(NOT(ISNUMBER(U15)),1,0)),0),0)</f>
        <v>0</v>
      </c>
      <c r="CA15" s="560">
        <f t="shared" ref="CA15" ca="1" si="79">IF(NOT(ISBLANK(X15)),IF(X15&lt;&gt;"",(IF(NOT(ISNUMBER(X15)),1,0)),0),0)</f>
        <v>0</v>
      </c>
      <c r="CB15" s="560">
        <f t="shared" ref="CB15" ca="1" si="80">IF(NOT(ISBLANK(AA15)),IF(AA15&lt;&gt;"",(IF(NOT(ISNUMBER(AA15)),1,0)),0),0)</f>
        <v>0</v>
      </c>
      <c r="CC15" s="560">
        <f t="shared" ref="CC15" ca="1" si="81">IF(NOT(ISBLANK(AD15)),IF(AD15&lt;&gt;"",(IF(NOT(ISNUMBER(AD15)),1,0)),0),0)</f>
        <v>0</v>
      </c>
      <c r="CD15" s="560">
        <f t="shared" ref="CD15" ca="1" si="82">IF(NOT(ISBLANK(AG15)),IF(AG15&lt;&gt;"",(IF(NOT(ISNUMBER(AG15)),1,0)),0),0)</f>
        <v>0</v>
      </c>
      <c r="CE15" s="560">
        <f t="shared" ref="CE15" ca="1" si="83">IF(NOT(ISBLANK(AJ15)),IF(AJ15&lt;&gt;"",(IF(NOT(ISNUMBER(AJ15)),1,0)),0),0)</f>
        <v>0</v>
      </c>
      <c r="CF15" s="560" t="str">
        <f t="shared" ref="CF15" ca="1" si="84">IF(SUM(BW15:CE16)=0, "Continue", "Enter valid number only.")</f>
        <v>Continue</v>
      </c>
      <c r="CG15" s="560" t="str">
        <f t="shared" ref="CG15" ca="1" si="85">IF(AND(CF15="Continue",BD15="Continue"),"Continue",IF(AND(CF15&lt;&gt;"Continue",BD15="Continue"),CF15,IF(AND(BD15&lt;&gt;"Continue",CF15="Continue"),BD15,CONCATENATE(CF15,CHAR(10)))))</f>
        <v>Continue</v>
      </c>
    </row>
    <row r="16" spans="1:85 16375:16375" ht="119.55" customHeight="1" x14ac:dyDescent="0.25">
      <c r="A16" s="559"/>
      <c r="B16" s="530"/>
      <c r="C16" s="530"/>
      <c r="D16" s="530"/>
      <c r="E16" s="152">
        <v>17379</v>
      </c>
      <c r="F16" s="544"/>
      <c r="G16" s="569"/>
      <c r="H16" s="530"/>
      <c r="I16" s="573"/>
      <c r="J16" s="569"/>
      <c r="K16" s="530"/>
      <c r="L16" s="157" t="s">
        <v>625</v>
      </c>
      <c r="M16" s="577"/>
      <c r="N16" s="152">
        <v>17379</v>
      </c>
      <c r="O16" s="544"/>
      <c r="P16" s="569"/>
      <c r="Q16" s="152">
        <v>17379</v>
      </c>
      <c r="R16" s="544"/>
      <c r="S16" s="569"/>
      <c r="T16" s="152">
        <v>17379</v>
      </c>
      <c r="U16" s="544"/>
      <c r="V16" s="569"/>
      <c r="W16" s="154"/>
      <c r="X16" s="544"/>
      <c r="Y16" s="569"/>
      <c r="Z16" s="154"/>
      <c r="AA16" s="544"/>
      <c r="AB16" s="569"/>
      <c r="AC16" s="154"/>
      <c r="AD16" s="544"/>
      <c r="AE16" s="569"/>
      <c r="AF16" s="154"/>
      <c r="AG16" s="571"/>
      <c r="AH16" s="569"/>
      <c r="AI16" s="154"/>
      <c r="AJ16" s="571"/>
      <c r="AK16" s="569"/>
      <c r="AL16" s="522"/>
      <c r="AM16" s="480"/>
      <c r="AX16" s="156"/>
      <c r="AZ16" s="564"/>
      <c r="BA16" s="562"/>
      <c r="BB16" s="516"/>
      <c r="BC16" s="520"/>
      <c r="BD16" s="520"/>
      <c r="BE16" s="150">
        <f t="shared" si="0"/>
        <v>0</v>
      </c>
      <c r="BF16" s="150">
        <f>IF(NOT(ISBLANK(N16)),IF(N16&lt;&gt;"",(IF(NOT(ISNUMBER(N16)),1,0)),0),0)</f>
        <v>0</v>
      </c>
      <c r="BG16" s="150">
        <f t="shared" si="2"/>
        <v>0</v>
      </c>
      <c r="BH16" s="150">
        <f t="shared" si="3"/>
        <v>0</v>
      </c>
      <c r="BI16" s="150">
        <f t="shared" si="4"/>
        <v>0</v>
      </c>
      <c r="BJ16" s="150">
        <f t="shared" si="5"/>
        <v>0</v>
      </c>
      <c r="BK16" s="150">
        <f t="shared" si="6"/>
        <v>0</v>
      </c>
      <c r="BL16" s="150">
        <f t="shared" si="7"/>
        <v>0</v>
      </c>
      <c r="BM16" s="150">
        <f t="shared" si="8"/>
        <v>0</v>
      </c>
      <c r="BN16" s="477"/>
      <c r="BO16" s="477"/>
      <c r="BP16" s="477"/>
      <c r="BQ16" s="477"/>
      <c r="BR16" s="520"/>
      <c r="BS16" s="520"/>
      <c r="BT16" s="520"/>
      <c r="BU16" s="520"/>
      <c r="BV16" s="560"/>
      <c r="BW16" s="560"/>
      <c r="BX16" s="560"/>
      <c r="BY16" s="560"/>
      <c r="BZ16" s="560"/>
      <c r="CA16" s="560"/>
      <c r="CB16" s="560"/>
      <c r="CC16" s="560"/>
      <c r="CD16" s="560"/>
      <c r="CE16" s="560"/>
      <c r="CF16" s="560"/>
      <c r="CG16" s="560"/>
    </row>
    <row r="17" spans="1:85" ht="66" customHeight="1" x14ac:dyDescent="0.25">
      <c r="A17" s="580">
        <v>5</v>
      </c>
      <c r="B17" s="521" t="s">
        <v>411</v>
      </c>
      <c r="C17" s="521" t="s">
        <v>1066</v>
      </c>
      <c r="D17" s="521"/>
      <c r="E17" s="152">
        <v>147</v>
      </c>
      <c r="F17" s="523">
        <f ca="1">IF(OR(INDIRECT("'update Helper'!D"&amp;AT17)="",E17&lt;&gt;0,E18&lt;&gt;0),IF(IFERROR((E17/E18),"")="","",(E17/E18)),INDIRECT("'update Helper'!D"&amp;AT17)/100)</f>
        <v>0.98</v>
      </c>
      <c r="G17" s="565">
        <v>2022</v>
      </c>
      <c r="H17" s="521" t="s">
        <v>2187</v>
      </c>
      <c r="I17" s="572" t="str">
        <f>AN17</f>
        <v>PrEP product,Age</v>
      </c>
      <c r="J17" s="565"/>
      <c r="K17" s="521" t="s">
        <v>752</v>
      </c>
      <c r="L17" s="145"/>
      <c r="M17" s="574"/>
      <c r="N17" s="144">
        <v>170</v>
      </c>
      <c r="O17" s="523" t="str">
        <f ca="1">IF(OR(INDIRECT("'update Helper'!I"&amp;AU17)="",N17&lt;&gt;0,N18&lt;&gt;0),IF(IFERROR((N17/N18),"")="","",(N17/N18)),INDIRECT("'update Helper'!I"&amp;AU17)/100)</f>
        <v/>
      </c>
      <c r="P17" s="565"/>
      <c r="Q17" s="146">
        <v>200</v>
      </c>
      <c r="R17" s="523" t="str">
        <f ca="1">IF(OR(INDIRECT("'update Helper'!I"&amp;AU17+1)="",Q17&lt;&gt;0,Q18&lt;&gt;0),IF(IFERROR((Q17/Q18),"")="","",(Q17/Q18)),INDIRECT("'update Helper'!I"&amp;AU17+1)/100)</f>
        <v/>
      </c>
      <c r="S17" s="565"/>
      <c r="T17" s="146">
        <v>250</v>
      </c>
      <c r="U17" s="523" t="str">
        <f ca="1">IF(OR(INDIRECT("'update Helper'!I"&amp;AU17+2)="",T17&lt;&gt;0,T18&lt;&gt;0),IF(IFERROR((T17/T18),"")="","",(T17/T18)),INDIRECT("'update Helper'!I"&amp;AU17+2)/100)</f>
        <v/>
      </c>
      <c r="V17" s="565"/>
      <c r="W17" s="146"/>
      <c r="X17" s="523" t="str">
        <f ca="1">IF(OR(INDIRECT("'update Helper'!I"&amp;AU17+3)="",W17&lt;&gt;0,W18&lt;&gt;0),IF(IFERROR((W17/W18),"")="","",(W17/W18)),INDIRECT("'update Helper'!I"&amp;AU17+3)/100)</f>
        <v/>
      </c>
      <c r="Y17" s="565"/>
      <c r="Z17" s="146"/>
      <c r="AA17" s="523" t="str">
        <f ca="1">IF(OR(INDIRECT("'update Helper'!I"&amp;AU17+4)="",Z17&lt;&gt;0,Z18&lt;&gt;0),IF(IFERROR((Z17/Z18),"")="","",(Z17/Z18)),INDIRECT("'update Helper'!I"&amp;AU17+4)/100)</f>
        <v/>
      </c>
      <c r="AB17" s="565"/>
      <c r="AC17" s="146"/>
      <c r="AD17" s="523" t="str">
        <f ca="1">IF(OR(INDIRECT("'update Helper'!I"&amp;AU17+5)="",AC17&lt;&gt;0,AC18&lt;&gt;0),IF(IFERROR((AC17/AC18),"")="","",(AC17/AC18)),INDIRECT("'update Helper'!I"&amp;AU17+5)/100)</f>
        <v/>
      </c>
      <c r="AE17" s="565"/>
      <c r="AF17" s="146"/>
      <c r="AG17" s="523" t="str">
        <f t="shared" ref="AG17" ca="1" si="86">IF(OR(INDIRECT("'update Helper'!I"&amp;AU17+6)="",AF17&lt;&gt;0,AF18&lt;&gt;0),IF(IFERROR((AF17/AF18),"")="","",(AF17/AF18)),INDIRECT("'update Helper'!I"&amp;AU17+6)/100)</f>
        <v/>
      </c>
      <c r="AH17" s="565"/>
      <c r="AI17" s="146"/>
      <c r="AJ17" s="523" t="str">
        <f t="shared" ref="AJ17" ca="1" si="87">IF(OR(INDIRECT("'update Helper'!I"&amp;AU17+7)="",AI17&lt;&gt;0,AI18&lt;&gt;0),IF(IFERROR((AI17/AI18),"")="","",(AI17/AI18)),INDIRECT("'update Helper'!I"&amp;AU17+7)/100)</f>
        <v/>
      </c>
      <c r="AK17" s="565"/>
      <c r="AL17" s="521" t="s">
        <v>2188</v>
      </c>
      <c r="AM17" s="567" t="str">
        <f>IFERROR(IF(VLOOKUP(B17,'Reference Records'!$C$192:$D$250,2,FALSE)=0,"",VLOOKUP(B17,'Reference Records'!$C$192:$D$250,2,FALSE)),"")</f>
        <v>MCI-01296</v>
      </c>
      <c r="AN17" s="147" t="str">
        <f t="array" ref="AN17">IFERROR(IF(INDEX('Reference Records'!$D$87:$D$189,MATCH(LEFT(C17,255),LEFT('Reference Records'!$C$87:$C$189,255),0))=0,"",INDEX('Reference Records'!$D$87:$D$189,MATCH(LEFT(C17,255),LEFT('Reference Records'!$C$87:$C$189,255),0))),"")</f>
        <v>PrEP product,Age</v>
      </c>
      <c r="AO17" s="147" t="str">
        <f>CONCATENATE(C17,D17)</f>
        <v>KP-6a Number of MSM who received any PrEP product at least once during the reporting period</v>
      </c>
      <c r="AP17" s="148" t="str">
        <f t="array" ref="AP17">VLOOKUP(LEFT(C17,255),LEFT('Reference Records'!C$86:G247,255),4,0)</f>
        <v>MCI-01624</v>
      </c>
      <c r="AQ17" s="148" t="e">
        <f>MATCH(AP17,'Reference Records'!$F$512:$F$514,0)+ROW(PopulationByCoverage)-1</f>
        <v>#N/A</v>
      </c>
      <c r="AR17" s="148">
        <f>MATCH(AP17,'Reference Records'!$F$512:$F$514,1)+ROW(PopulationByCoverage)-1</f>
        <v>513</v>
      </c>
      <c r="AS17" s="147" t="str">
        <f>C17&amp;D17</f>
        <v>KP-6a Number of MSM who received any PrEP product at least once during the reporting period</v>
      </c>
      <c r="AT17" s="147">
        <f t="shared" ref="AT17" si="88">AT15+1</f>
        <v>458</v>
      </c>
      <c r="AU17" s="147">
        <f>AU15+'update Helper'!$T$2</f>
        <v>544</v>
      </c>
      <c r="AV17" s="147" t="str">
        <f t="shared" ref="AV17" si="89">CLEAN(IFERROR(LEFT(AY17, SEARCH(";",AY17,1)-1),""))</f>
        <v>Non cumulative</v>
      </c>
      <c r="AW17" s="147" t="str">
        <f t="shared" ref="AW17" si="90">SUBSTITUTE(IFERROR(MID(AY17, SEARCH(";",AY17) + 1, SEARCH(";",AY17,SEARCH(";",AY17)+1) - SEARCH(";",AY17) - 1),""),CHAR(10),"")</f>
        <v/>
      </c>
      <c r="AX17" s="149" t="str">
        <f t="shared" ref="AX17" si="91">CLEAN(IFERROR(SUBSTITUTE(RIGHT(AY17,LEN(AY17) - SEARCH(";", AY17, SEARCH(";",AY17) + 1)),";",""),""))</f>
        <v/>
      </c>
      <c r="AY17" s="147" t="str">
        <f t="array" ref="AY17">IFERROR(IF(VLOOKUP(LEFT(C17,255),LEFT('Reference Records'!$C$1:$K$539,255),9,0)=0,"",CONCATENATE(VLOOKUP(LEFT(C17,255),LEFT('Reference Records'!$C$1:$K$539,255),9,0),";")),"")</f>
        <v>Non cumulative;</v>
      </c>
      <c r="AZ17" s="563" t="str">
        <f>IF($BV17="", "", IF($BV17=TRUE, "Yes", "No"))</f>
        <v>No</v>
      </c>
      <c r="BA17" s="561" t="str">
        <f t="shared" ref="BA17" ca="1" si="92">IF($D17="", "",IF(IF(INDIRECT("'update Helper'!W"&amp;AT17)=0,"",INDIRECT("'update Helper'!W"&amp;AT17))=TRUE, "Yes","No"))</f>
        <v/>
      </c>
      <c r="BB17" s="516" t="str">
        <f t="shared" ref="BB17" ca="1" si="93">IF(AND(BS17="Continue",BU17="Continue"),"No Error",IF(AND(BS17&lt;&gt;"Continue",BU17="Continue"),BS17,IF(AND(BU17&lt;&gt;"Continue",BS17="Continue"),BU17,CONCATENATE(BS17,CHAR(10),BU17))))</f>
        <v>No Error</v>
      </c>
      <c r="BC17" s="520" t="str" cm="1">
        <f t="array" ref="BC17">IF(ISBLANK(C17),"Continue",(IF(IFERROR(_xlfn.XMATCH(C17,LEFT('Reference Records'!$C$86:$C$189,32768),0),0)&lt;&gt;0,"Continue","Invalid indicator entry. Select from dropdown list.")))</f>
        <v>Continue</v>
      </c>
      <c r="BD17" s="520" t="str">
        <f t="shared" ref="BD17" si="94">IF(SUM(BE17:BM18)=0, "Continue", "Enter valid number only.")</f>
        <v>Continue</v>
      </c>
      <c r="BE17" s="150">
        <f t="shared" si="0"/>
        <v>0</v>
      </c>
      <c r="BF17" s="150">
        <f t="shared" si="1"/>
        <v>0</v>
      </c>
      <c r="BG17" s="150">
        <f t="shared" si="2"/>
        <v>0</v>
      </c>
      <c r="BH17" s="150">
        <f t="shared" si="3"/>
        <v>0</v>
      </c>
      <c r="BI17" s="150">
        <f t="shared" si="4"/>
        <v>0</v>
      </c>
      <c r="BJ17" s="150">
        <f t="shared" si="5"/>
        <v>0</v>
      </c>
      <c r="BK17" s="150">
        <f t="shared" si="6"/>
        <v>0</v>
      </c>
      <c r="BL17" s="150">
        <f t="shared" si="7"/>
        <v>0</v>
      </c>
      <c r="BM17" s="150">
        <f t="shared" si="8"/>
        <v>0</v>
      </c>
      <c r="BN17" s="477" t="str">
        <f>IF(NOT(ISBLANK(C17)),IF(C17&lt;&gt;"",IF(_xlfn.XLOOKUP(C17,'Reference Records'!$C$86:$C$189,'Reference Records'!$A$86:$A$189,0,0,1)=AM17,"Continue","Select correct module name."),"Continue"),"Continue")</f>
        <v>Continue</v>
      </c>
      <c r="BO17" s="477" t="str">
        <f t="shared" ref="BO17" ca="1" si="95">IF(AND(BC17="Continue",CG17="Continue"),"Continue",IF(AND(BC17&lt;&gt;"Continue",CG17="Continue"),BC17,IF(AND(CG17&lt;&gt;"Continue",BC17="Continue"),CG17,CONCATENATE(BC17,CHAR(10),CG17))))</f>
        <v>Continue</v>
      </c>
      <c r="BP17" s="477" t="str">
        <f t="shared" ref="BP17" ca="1" si="96">IF(AND((AZ17&lt;&gt;""),(BA17&lt;&gt;"")),"Reversed custom indicator selection not applicable. Value pre-populated in standard indicator column.","Continue")</f>
        <v>Continue</v>
      </c>
      <c r="BQ17" s="477" t="str">
        <f t="shared" ref="BQ17" ca="1" si="97">IF(AND(BN17="Continue",BO17="Continue"),"Continue",
IF(AND(BN17&lt;&gt;"Continue",BO17="Continue"),BN17,
IF(AND(BO17&lt;&gt;"Continue",BN17="Continue"),BO17,
CONCATENATE(BN17,CHAR(10),BO17))))</f>
        <v>Continue</v>
      </c>
      <c r="BR17" s="520" t="str" cm="1">
        <f t="array" ref="BR17">IF(ISBLANK(B17),"Continue",(IF(IFERROR(_xlfn.XMATCH(B17,LEFT('Reference Records'!$J$191:$J$250,32768),0),0)&lt;&gt;0,"Continue","Invalid module entry. Select from dropdown list.")))</f>
        <v>Continue</v>
      </c>
      <c r="BS17" s="520" t="str">
        <f t="shared" ref="BS17" ca="1" si="98">IF(AND(BP17="Continue",BQ17="Continue"),"Continue",IF(AND(BP17&lt;&gt;"Continue",BQ17="Continue"),BP17,IF(AND(BQ17&lt;&gt;"Continue",BP17="Continue"),BQ17,CONCATENATE(BP17,CHAR(10),BQ17))))</f>
        <v>Continue</v>
      </c>
      <c r="BT17" s="520" t="str">
        <f t="shared" ref="BT17" si="99">IF(AND(C17="",D17=""),"Continue",IF(AND(C17="",D17&lt;&gt;""),"Continue",IF(AND(C17&lt;&gt;"",D17=""),"Continue",IF(AND(C17&lt;&gt;"",D17&lt;&gt;""),"Cannot enter both standard and custom indicators on the same line."))))</f>
        <v>Continue</v>
      </c>
      <c r="BU17" s="520" t="str">
        <f t="shared" ref="BU17" si="100">IF(AND(BR17="Continue",BT17="Continue"),"Continue",IF(AND(BR17&lt;&gt;"Continue",BT17="Continue"),BR17,IF(AND(BT17&lt;&gt;"Continue",BR17="Continue"),BT17,CONCATENATE(BR17,CHAR(10),BT17))))</f>
        <v>Continue</v>
      </c>
      <c r="BV17" s="560" t="b">
        <f>IFERROR(INDEX('Reference Records'!$L$86:$L$189,MATCH($C17,'Reference Records'!$C$86:$C$189,0)),"")</f>
        <v>0</v>
      </c>
      <c r="BW17" s="560">
        <f t="shared" ref="BW17" ca="1" si="101">IF(NOT(ISBLANK(F17)),IF(F17&lt;&gt;"",(IF(NOT(ISNUMBER(F17)),1,0)),0),0)</f>
        <v>0</v>
      </c>
      <c r="BX17" s="560">
        <f t="shared" ref="BX17" ca="1" si="102">IF(NOT(ISBLANK(O17)),IF(O17&lt;&gt;"",(IF(NOT(ISNUMBER(O17)),1,0)),0),0)</f>
        <v>0</v>
      </c>
      <c r="BY17" s="560">
        <f t="shared" ref="BY17" ca="1" si="103">IF(NOT(ISBLANK(R17)),IF(R17&lt;&gt;"",(IF(NOT(ISNUMBER(R17)),1,0)),0),0)</f>
        <v>0</v>
      </c>
      <c r="BZ17" s="560">
        <f t="shared" ref="BZ17" ca="1" si="104">IF(NOT(ISBLANK(U17)),IF(U17&lt;&gt;"",(IF(NOT(ISNUMBER(U17)),1,0)),0),0)</f>
        <v>0</v>
      </c>
      <c r="CA17" s="560">
        <f t="shared" ref="CA17" ca="1" si="105">IF(NOT(ISBLANK(X17)),IF(X17&lt;&gt;"",(IF(NOT(ISNUMBER(X17)),1,0)),0),0)</f>
        <v>0</v>
      </c>
      <c r="CB17" s="560">
        <f t="shared" ref="CB17" ca="1" si="106">IF(NOT(ISBLANK(AA17)),IF(AA17&lt;&gt;"",(IF(NOT(ISNUMBER(AA17)),1,0)),0),0)</f>
        <v>0</v>
      </c>
      <c r="CC17" s="560">
        <f t="shared" ref="CC17" ca="1" si="107">IF(NOT(ISBLANK(AD17)),IF(AD17&lt;&gt;"",(IF(NOT(ISNUMBER(AD17)),1,0)),0),0)</f>
        <v>0</v>
      </c>
      <c r="CD17" s="560">
        <f t="shared" ref="CD17" ca="1" si="108">IF(NOT(ISBLANK(AG17)),IF(AG17&lt;&gt;"",(IF(NOT(ISNUMBER(AG17)),1,0)),0),0)</f>
        <v>0</v>
      </c>
      <c r="CE17" s="560">
        <f t="shared" ref="CE17" ca="1" si="109">IF(NOT(ISBLANK(AJ17)),IF(AJ17&lt;&gt;"",(IF(NOT(ISNUMBER(AJ17)),1,0)),0),0)</f>
        <v>0</v>
      </c>
      <c r="CF17" s="560" t="str">
        <f t="shared" ref="CF17" ca="1" si="110">IF(SUM(BW17:CE18)=0, "Continue", "Enter valid number only.")</f>
        <v>Continue</v>
      </c>
      <c r="CG17" s="560" t="str">
        <f t="shared" ref="CG17" ca="1" si="111">IF(AND(CF17="Continue",BD17="Continue"),"Continue",IF(AND(CF17&lt;&gt;"Continue",BD17="Continue"),CF17,IF(AND(BD17&lt;&gt;"Continue",CF17="Continue"),BD17,CONCATENATE(CF17,CHAR(10)))))</f>
        <v>Continue</v>
      </c>
    </row>
    <row r="18" spans="1:85" ht="36" customHeight="1" x14ac:dyDescent="0.25">
      <c r="A18" s="581"/>
      <c r="B18" s="522"/>
      <c r="C18" s="522"/>
      <c r="D18" s="522"/>
      <c r="E18" s="152">
        <v>150</v>
      </c>
      <c r="F18" s="524"/>
      <c r="G18" s="566"/>
      <c r="H18" s="522"/>
      <c r="I18" s="573"/>
      <c r="J18" s="566"/>
      <c r="K18" s="522"/>
      <c r="L18" s="151" t="s">
        <v>625</v>
      </c>
      <c r="M18" s="575"/>
      <c r="N18" s="144"/>
      <c r="O18" s="524"/>
      <c r="P18" s="566"/>
      <c r="Q18" s="146"/>
      <c r="R18" s="524"/>
      <c r="S18" s="566"/>
      <c r="T18" s="146"/>
      <c r="U18" s="524"/>
      <c r="V18" s="566"/>
      <c r="W18" s="146"/>
      <c r="X18" s="524"/>
      <c r="Y18" s="566"/>
      <c r="Z18" s="146"/>
      <c r="AA18" s="524"/>
      <c r="AB18" s="566"/>
      <c r="AC18" s="146"/>
      <c r="AD18" s="524"/>
      <c r="AE18" s="566"/>
      <c r="AF18" s="146"/>
      <c r="AG18" s="524"/>
      <c r="AH18" s="566"/>
      <c r="AI18" s="146"/>
      <c r="AJ18" s="524"/>
      <c r="AK18" s="566"/>
      <c r="AL18" s="522"/>
      <c r="AM18" s="567"/>
      <c r="AN18" s="147"/>
      <c r="AO18" s="147"/>
      <c r="AP18" s="147"/>
      <c r="AQ18" s="147"/>
      <c r="AR18" s="147"/>
      <c r="AS18" s="147"/>
      <c r="AT18" s="147"/>
      <c r="AU18" s="147"/>
      <c r="AV18" s="147"/>
      <c r="AW18" s="147"/>
      <c r="AX18" s="149"/>
      <c r="AY18" s="147"/>
      <c r="AZ18" s="563"/>
      <c r="BA18" s="561"/>
      <c r="BB18" s="516"/>
      <c r="BC18" s="520"/>
      <c r="BD18" s="520"/>
      <c r="BE18" s="150">
        <f t="shared" si="0"/>
        <v>0</v>
      </c>
      <c r="BF18" s="150">
        <f t="shared" si="1"/>
        <v>0</v>
      </c>
      <c r="BG18" s="150">
        <f t="shared" si="2"/>
        <v>0</v>
      </c>
      <c r="BH18" s="150">
        <f t="shared" si="3"/>
        <v>0</v>
      </c>
      <c r="BI18" s="150">
        <f t="shared" si="4"/>
        <v>0</v>
      </c>
      <c r="BJ18" s="150">
        <f t="shared" si="5"/>
        <v>0</v>
      </c>
      <c r="BK18" s="150">
        <f t="shared" si="6"/>
        <v>0</v>
      </c>
      <c r="BL18" s="150">
        <f t="shared" si="7"/>
        <v>0</v>
      </c>
      <c r="BM18" s="150">
        <f t="shared" si="8"/>
        <v>0</v>
      </c>
      <c r="BN18" s="477"/>
      <c r="BO18" s="477"/>
      <c r="BP18" s="477"/>
      <c r="BQ18" s="477"/>
      <c r="BR18" s="520"/>
      <c r="BS18" s="520"/>
      <c r="BT18" s="520"/>
      <c r="BU18" s="520"/>
      <c r="BV18" s="560"/>
      <c r="BW18" s="560"/>
      <c r="BX18" s="560"/>
      <c r="BY18" s="560"/>
      <c r="BZ18" s="560"/>
      <c r="CA18" s="560"/>
      <c r="CB18" s="560"/>
      <c r="CC18" s="560"/>
      <c r="CD18" s="560"/>
      <c r="CE18" s="560"/>
      <c r="CF18" s="560"/>
      <c r="CG18" s="560"/>
    </row>
    <row r="19" spans="1:85" ht="82.5" customHeight="1" x14ac:dyDescent="0.25">
      <c r="A19" s="558">
        <v>6</v>
      </c>
      <c r="B19" s="529" t="s">
        <v>423</v>
      </c>
      <c r="C19" s="529" t="s">
        <v>1152</v>
      </c>
      <c r="D19" s="529"/>
      <c r="E19" s="152">
        <v>10308</v>
      </c>
      <c r="F19" s="543">
        <f ca="1">IF(OR(INDIRECT("'update Helper'!D"&amp;AT19)="",E19&lt;&gt;0,E20&lt;&gt;0),IF(IFERROR((E19/E20),"")="","",(E19/E20)),INDIRECT("'update Helper'!D"&amp;AT19)/100)</f>
        <v>0.60994082840236685</v>
      </c>
      <c r="G19" s="568">
        <v>2022</v>
      </c>
      <c r="H19" s="529" t="s">
        <v>2181</v>
      </c>
      <c r="I19" s="572" t="str">
        <f>AN19</f>
        <v>Age</v>
      </c>
      <c r="J19" s="568" t="s">
        <v>2182</v>
      </c>
      <c r="K19" s="529" t="s">
        <v>752</v>
      </c>
      <c r="L19" s="153"/>
      <c r="M19" s="576"/>
      <c r="N19" s="152">
        <v>12325</v>
      </c>
      <c r="O19" s="543">
        <f>N19/N20</f>
        <v>0.85</v>
      </c>
      <c r="P19" s="568"/>
      <c r="Q19" s="152">
        <v>13050</v>
      </c>
      <c r="R19" s="543">
        <f>Q19/Q20</f>
        <v>0.9</v>
      </c>
      <c r="S19" s="568"/>
      <c r="T19" s="152">
        <v>13775</v>
      </c>
      <c r="U19" s="543">
        <v>0.95</v>
      </c>
      <c r="V19" s="568"/>
      <c r="W19" s="154"/>
      <c r="X19" s="543"/>
      <c r="Y19" s="568"/>
      <c r="Z19" s="154"/>
      <c r="AA19" s="543" t="str">
        <f ca="1">IF(OR(INDIRECT("'update Helper'!I"&amp;AU19+4)="",Z19&lt;&gt;0,Z20&lt;&gt;0),IF(IFERROR((Z19/Z20),"")="","",(Z19/Z20)),INDIRECT("'update Helper'!I"&amp;AU19+4)/100)</f>
        <v/>
      </c>
      <c r="AB19" s="568"/>
      <c r="AC19" s="154"/>
      <c r="AD19" s="543" t="str">
        <f ca="1">IF(OR(INDIRECT("'update Helper'!I"&amp;AU19+5)="",AC19&lt;&gt;0,AC20&lt;&gt;0),IF(IFERROR((AC19/AC20),"")="","",(AC19/AC20)),INDIRECT("'update Helper'!I"&amp;AU19+5)/100)</f>
        <v/>
      </c>
      <c r="AE19" s="568"/>
      <c r="AF19" s="154"/>
      <c r="AG19" s="570" t="str">
        <f t="shared" ref="AG19" ca="1" si="112">IF(OR(INDIRECT("'update Helper'!I"&amp;AU19+6)="",AF19&lt;&gt;0,AF20&lt;&gt;0),IF(IFERROR((AF19/AF20),"")="","",(AF19/AF20)),INDIRECT("'update Helper'!I"&amp;AU19+6)/100)</f>
        <v/>
      </c>
      <c r="AH19" s="568"/>
      <c r="AI19" s="154"/>
      <c r="AJ19" s="570" t="str">
        <f t="shared" ref="AJ19" ca="1" si="113">IF(OR(INDIRECT("'update Helper'!I"&amp;AU19+7)="",AI19&lt;&gt;0,AI20&lt;&gt;0),IF(IFERROR((AI19/AI20),"")="","",(AI19/AI20)),INDIRECT("'update Helper'!I"&amp;AU19+7)/100)</f>
        <v/>
      </c>
      <c r="AK19" s="568"/>
      <c r="AL19" s="554" t="s">
        <v>2189</v>
      </c>
      <c r="AM19" s="480" t="str">
        <f>IFERROR(IF(VLOOKUP(B19,'Reference Records'!$C$192:$D$250,2,FALSE)=0,"",VLOOKUP(B19,'Reference Records'!$C$192:$D$250,2,FALSE)),"")</f>
        <v>MCI-01305</v>
      </c>
      <c r="AN19" s="52" t="str">
        <f t="array" ref="AN19">IFERROR(IF(INDEX('Reference Records'!$D$87:$D$189,MATCH(LEFT(C19,255),LEFT('Reference Records'!$C$87:$C$189,255),0))=0,"",INDEX('Reference Records'!$D$87:$D$189,MATCH(LEFT(C19,255),LEFT('Reference Records'!$C$87:$C$189,255),0))),"")</f>
        <v>Age</v>
      </c>
      <c r="AO19" s="52" t="str">
        <f>CONCATENATE(C19,D19)</f>
        <v>HTS-3a⁽ᴹ⁾ Percentage of MSM that have received an HIV test during the reporting period in KP-specific programs and know their results</v>
      </c>
      <c r="AP19" s="155" t="str">
        <f t="array" ref="AP19">VLOOKUP(LEFT(C19,255),LEFT('Reference Records'!C$86:G249,255),4,0)</f>
        <v>MCI-01614</v>
      </c>
      <c r="AQ19" s="155" t="e">
        <f>MATCH(AP19,'Reference Records'!$F$512:$F$514,0)+ROW(PopulationByCoverage)-1</f>
        <v>#N/A</v>
      </c>
      <c r="AR19" s="155">
        <f>MATCH(AP19,'Reference Records'!$F$512:$F$514,1)+ROW(PopulationByCoverage)-1</f>
        <v>513</v>
      </c>
      <c r="AS19" s="52" t="str">
        <f>C19&amp;D19</f>
        <v>HTS-3a⁽ᴹ⁾ Percentage of MSM that have received an HIV test during the reporting period in KP-specific programs and know their results</v>
      </c>
      <c r="AT19" s="52">
        <f t="shared" ref="AT19" si="114">AT17+1</f>
        <v>459</v>
      </c>
      <c r="AU19" s="52">
        <f>AU17+'update Helper'!$T$2</f>
        <v>550</v>
      </c>
      <c r="AV19" s="52" t="str">
        <f t="shared" ref="AV19" si="115">CLEAN(IFERROR(LEFT(AY19, SEARCH(";",AY19,1)-1),""))</f>
        <v>Non cumulative</v>
      </c>
      <c r="AW19" s="52" t="str">
        <f t="shared" ref="AW19" si="116">SUBSTITUTE(IFERROR(MID(AY19, SEARCH(";",AY19) + 1, SEARCH(";",AY19,SEARCH(";",AY19)+1) - SEARCH(";",AY19) - 1),""),CHAR(10),"")</f>
        <v>Non cumulative – other</v>
      </c>
      <c r="AX19" s="156" t="str">
        <f t="shared" ref="AX19" si="117">CLEAN(IFERROR(SUBSTITUTE(RIGHT(AY19,LEN(AY19) - SEARCH(";", AY19, SEARCH(";",AY19) + 1)),";",""),""))</f>
        <v>Non cumulative - special</v>
      </c>
      <c r="AY19" s="52" t="str">
        <f t="array" ref="AY19">IFERROR(IF(VLOOKUP(LEFT(C19,255),LEFT('Reference Records'!$C$1:$K$539,255),9,0)=0,"",CONCATENATE(VLOOKUP(LEFT(C19,255),LEFT('Reference Records'!$C$1:$K$539,255),9,0),";")),"")</f>
        <v>Non cumulative;Non cumulative – other;Non cumulative - special;</v>
      </c>
      <c r="AZ19" s="564" t="str">
        <f>IF($BV19="", "", IF($BV19=TRUE, "Yes", "No"))</f>
        <v>No</v>
      </c>
      <c r="BA19" s="562" t="str">
        <f t="shared" ref="BA19" ca="1" si="118">IF($D19="", "",IF(IF(INDIRECT("'update Helper'!W"&amp;AT19)=0,"",INDIRECT("'update Helper'!W"&amp;AT19))=TRUE, "Yes","No"))</f>
        <v/>
      </c>
      <c r="BB19" s="516" t="str">
        <f t="shared" ref="BB19" ca="1" si="119">IF(AND(BS19="Continue",BU19="Continue"),"No Error",IF(AND(BS19&lt;&gt;"Continue",BU19="Continue"),BS19,IF(AND(BU19&lt;&gt;"Continue",BS19="Continue"),BU19,CONCATENATE(BS19,CHAR(10),BU19))))</f>
        <v>No Error</v>
      </c>
      <c r="BC19" s="520" t="str" cm="1">
        <f t="array" ref="BC19">IF(ISBLANK(C19),"Continue",(IF(IFERROR(_xlfn.XMATCH(C19,LEFT('Reference Records'!$C$86:$C$189,32768),0),0)&lt;&gt;0,"Continue","Invalid indicator entry. Select from dropdown list.")))</f>
        <v>Continue</v>
      </c>
      <c r="BD19" s="520" t="str">
        <f t="shared" ref="BD19" si="120">IF(SUM(BE19:BM20)=0, "Continue", "Enter valid number only.")</f>
        <v>Continue</v>
      </c>
      <c r="BE19" s="150">
        <f t="shared" si="0"/>
        <v>0</v>
      </c>
      <c r="BF19" s="150">
        <f t="shared" si="1"/>
        <v>0</v>
      </c>
      <c r="BG19" s="150">
        <f t="shared" si="2"/>
        <v>0</v>
      </c>
      <c r="BH19" s="150">
        <f t="shared" si="3"/>
        <v>0</v>
      </c>
      <c r="BI19" s="150">
        <f t="shared" si="4"/>
        <v>0</v>
      </c>
      <c r="BJ19" s="150">
        <f t="shared" si="5"/>
        <v>0</v>
      </c>
      <c r="BK19" s="150">
        <f t="shared" si="6"/>
        <v>0</v>
      </c>
      <c r="BL19" s="150">
        <f t="shared" si="7"/>
        <v>0</v>
      </c>
      <c r="BM19" s="150">
        <f t="shared" si="8"/>
        <v>0</v>
      </c>
      <c r="BN19" s="477" t="str">
        <f>IF(NOT(ISBLANK(C19)),IF(C19&lt;&gt;"",IF(_xlfn.XLOOKUP(C19,'Reference Records'!$C$86:$C$189,'Reference Records'!$A$86:$A$189,0,0,1)=AM19,"Continue","Select correct module name."),"Continue"),"Continue")</f>
        <v>Continue</v>
      </c>
      <c r="BO19" s="477" t="str">
        <f t="shared" ref="BO19" ca="1" si="121">IF(AND(BC19="Continue",CG19="Continue"),"Continue",IF(AND(BC19&lt;&gt;"Continue",CG19="Continue"),BC19,IF(AND(CG19&lt;&gt;"Continue",BC19="Continue"),CG19,CONCATENATE(BC19,CHAR(10),CG19))))</f>
        <v>Continue</v>
      </c>
      <c r="BP19" s="477" t="str">
        <f t="shared" ref="BP19" ca="1" si="122">IF(AND((AZ19&lt;&gt;""),(BA19&lt;&gt;"")),"Reversed custom indicator selection not applicable. Value pre-populated in standard indicator column.","Continue")</f>
        <v>Continue</v>
      </c>
      <c r="BQ19" s="477" t="str">
        <f t="shared" ref="BQ19" ca="1" si="123">IF(AND(BN19="Continue",BO19="Continue"),"Continue",
IF(AND(BN19&lt;&gt;"Continue",BO19="Continue"),BN19,
IF(AND(BO19&lt;&gt;"Continue",BN19="Continue"),BO19,
CONCATENATE(BN19,CHAR(10),BO19))))</f>
        <v>Continue</v>
      </c>
      <c r="BR19" s="520" t="str" cm="1">
        <f t="array" ref="BR19">IF(ISBLANK(B19),"Continue",(IF(IFERROR(_xlfn.XMATCH(B19,LEFT('Reference Records'!$J$191:$J$250,32768),0),0)&lt;&gt;0,"Continue","Invalid module entry. Select from dropdown list.")))</f>
        <v>Continue</v>
      </c>
      <c r="BS19" s="520" t="str">
        <f t="shared" ref="BS19" ca="1" si="124">IF(AND(BP19="Continue",BQ19="Continue"),"Continue",IF(AND(BP19&lt;&gt;"Continue",BQ19="Continue"),BP19,IF(AND(BQ19&lt;&gt;"Continue",BP19="Continue"),BQ19,CONCATENATE(BP19,CHAR(10),BQ19))))</f>
        <v>Continue</v>
      </c>
      <c r="BT19" s="520" t="str">
        <f t="shared" ref="BT19" si="125">IF(AND(C19="",D19=""),"Continue",IF(AND(C19="",D19&lt;&gt;""),"Continue",IF(AND(C19&lt;&gt;"",D19=""),"Continue",IF(AND(C19&lt;&gt;"",D19&lt;&gt;""),"Cannot enter both standard and custom indicators on the same line."))))</f>
        <v>Continue</v>
      </c>
      <c r="BU19" s="520" t="str">
        <f t="shared" ref="BU19" si="126">IF(AND(BR19="Continue",BT19="Continue"),"Continue",IF(AND(BR19&lt;&gt;"Continue",BT19="Continue"),BR19,IF(AND(BT19&lt;&gt;"Continue",BR19="Continue"),BT19,CONCATENATE(BR19,CHAR(10),BT19))))</f>
        <v>Continue</v>
      </c>
      <c r="BV19" s="560" t="b">
        <f>IFERROR(INDEX('Reference Records'!$L$86:$L$189,MATCH($C19,'Reference Records'!$C$86:$C$189,0)),"")</f>
        <v>0</v>
      </c>
      <c r="BW19" s="560">
        <f t="shared" ref="BW19" ca="1" si="127">IF(NOT(ISBLANK(F19)),IF(F19&lt;&gt;"",(IF(NOT(ISNUMBER(F19)),1,0)),0),0)</f>
        <v>0</v>
      </c>
      <c r="BX19" s="560">
        <f t="shared" ref="BX19" si="128">IF(NOT(ISBLANK(O19)),IF(O19&lt;&gt;"",(IF(NOT(ISNUMBER(O19)),1,0)),0),0)</f>
        <v>0</v>
      </c>
      <c r="BY19" s="560">
        <f t="shared" ref="BY19" si="129">IF(NOT(ISBLANK(R19)),IF(R19&lt;&gt;"",(IF(NOT(ISNUMBER(R19)),1,0)),0),0)</f>
        <v>0</v>
      </c>
      <c r="BZ19" s="560">
        <f t="shared" ref="BZ19" si="130">IF(NOT(ISBLANK(U19)),IF(U19&lt;&gt;"",(IF(NOT(ISNUMBER(U19)),1,0)),0),0)</f>
        <v>0</v>
      </c>
      <c r="CA19" s="560">
        <f t="shared" ref="CA19" si="131">IF(NOT(ISBLANK(X19)),IF(X19&lt;&gt;"",(IF(NOT(ISNUMBER(X19)),1,0)),0),0)</f>
        <v>0</v>
      </c>
      <c r="CB19" s="560">
        <f t="shared" ref="CB19" ca="1" si="132">IF(NOT(ISBLANK(AA19)),IF(AA19&lt;&gt;"",(IF(NOT(ISNUMBER(AA19)),1,0)),0),0)</f>
        <v>0</v>
      </c>
      <c r="CC19" s="560">
        <f t="shared" ref="CC19" ca="1" si="133">IF(NOT(ISBLANK(AD19)),IF(AD19&lt;&gt;"",(IF(NOT(ISNUMBER(AD19)),1,0)),0),0)</f>
        <v>0</v>
      </c>
      <c r="CD19" s="560">
        <f t="shared" ref="CD19" ca="1" si="134">IF(NOT(ISBLANK(AG19)),IF(AG19&lt;&gt;"",(IF(NOT(ISNUMBER(AG19)),1,0)),0),0)</f>
        <v>0</v>
      </c>
      <c r="CE19" s="560">
        <f t="shared" ref="CE19" ca="1" si="135">IF(NOT(ISBLANK(AJ19)),IF(AJ19&lt;&gt;"",(IF(NOT(ISNUMBER(AJ19)),1,0)),0),0)</f>
        <v>0</v>
      </c>
      <c r="CF19" s="560" t="str">
        <f t="shared" ref="CF19" ca="1" si="136">IF(SUM(BW19:CE20)=0, "Continue", "Enter valid number only.")</f>
        <v>Continue</v>
      </c>
      <c r="CG19" s="560" t="str">
        <f t="shared" ref="CG19" ca="1" si="137">IF(AND(CF19="Continue",BD19="Continue"),"Continue",IF(AND(CF19&lt;&gt;"Continue",BD19="Continue"),CF19,IF(AND(BD19&lt;&gt;"Continue",CF19="Continue"),BD19,CONCATENATE(CF19,CHAR(10)))))</f>
        <v>Continue</v>
      </c>
    </row>
    <row r="20" spans="1:85" ht="51" customHeight="1" x14ac:dyDescent="0.25">
      <c r="A20" s="559"/>
      <c r="B20" s="530"/>
      <c r="C20" s="530"/>
      <c r="D20" s="530"/>
      <c r="E20" s="152">
        <v>16900</v>
      </c>
      <c r="F20" s="544"/>
      <c r="G20" s="569"/>
      <c r="H20" s="530"/>
      <c r="I20" s="573"/>
      <c r="J20" s="569"/>
      <c r="K20" s="530"/>
      <c r="L20" s="157" t="s">
        <v>625</v>
      </c>
      <c r="M20" s="577"/>
      <c r="N20" s="144">
        <v>14500</v>
      </c>
      <c r="O20" s="544"/>
      <c r="P20" s="569"/>
      <c r="Q20" s="144">
        <v>14500</v>
      </c>
      <c r="R20" s="544"/>
      <c r="S20" s="569"/>
      <c r="T20" s="144">
        <v>14500</v>
      </c>
      <c r="U20" s="544"/>
      <c r="V20" s="569"/>
      <c r="W20" s="154"/>
      <c r="X20" s="544"/>
      <c r="Y20" s="569"/>
      <c r="Z20" s="154"/>
      <c r="AA20" s="544"/>
      <c r="AB20" s="569"/>
      <c r="AC20" s="154"/>
      <c r="AD20" s="544"/>
      <c r="AE20" s="569"/>
      <c r="AF20" s="154"/>
      <c r="AG20" s="571"/>
      <c r="AH20" s="569"/>
      <c r="AI20" s="154"/>
      <c r="AJ20" s="571"/>
      <c r="AK20" s="569"/>
      <c r="AL20" s="530"/>
      <c r="AM20" s="480"/>
      <c r="AX20" s="156"/>
      <c r="AZ20" s="564"/>
      <c r="BA20" s="562"/>
      <c r="BB20" s="516"/>
      <c r="BC20" s="520"/>
      <c r="BD20" s="520"/>
      <c r="BE20" s="150">
        <f t="shared" si="0"/>
        <v>0</v>
      </c>
      <c r="BF20" s="150">
        <f t="shared" si="1"/>
        <v>0</v>
      </c>
      <c r="BG20" s="150">
        <f t="shared" si="2"/>
        <v>0</v>
      </c>
      <c r="BH20" s="150">
        <f t="shared" si="3"/>
        <v>0</v>
      </c>
      <c r="BI20" s="150">
        <f t="shared" si="4"/>
        <v>0</v>
      </c>
      <c r="BJ20" s="150">
        <f t="shared" si="5"/>
        <v>0</v>
      </c>
      <c r="BK20" s="150">
        <f t="shared" si="6"/>
        <v>0</v>
      </c>
      <c r="BL20" s="150">
        <f t="shared" si="7"/>
        <v>0</v>
      </c>
      <c r="BM20" s="150">
        <f t="shared" si="8"/>
        <v>0</v>
      </c>
      <c r="BN20" s="477"/>
      <c r="BO20" s="477"/>
      <c r="BP20" s="477"/>
      <c r="BQ20" s="477"/>
      <c r="BR20" s="520"/>
      <c r="BS20" s="520"/>
      <c r="BT20" s="520"/>
      <c r="BU20" s="520"/>
      <c r="BV20" s="560"/>
      <c r="BW20" s="560"/>
      <c r="BX20" s="560"/>
      <c r="BY20" s="560"/>
      <c r="BZ20" s="560"/>
      <c r="CA20" s="560"/>
      <c r="CB20" s="560"/>
      <c r="CC20" s="560"/>
      <c r="CD20" s="560"/>
      <c r="CE20" s="560"/>
      <c r="CF20" s="560"/>
      <c r="CG20" s="560"/>
    </row>
    <row r="21" spans="1:85" ht="79.5" customHeight="1" x14ac:dyDescent="0.25">
      <c r="A21" s="558">
        <v>7</v>
      </c>
      <c r="B21" s="521" t="s">
        <v>423</v>
      </c>
      <c r="C21" s="521" t="s">
        <v>1158</v>
      </c>
      <c r="D21" s="521"/>
      <c r="E21" s="144">
        <v>3843</v>
      </c>
      <c r="F21" s="523">
        <f ca="1">IF(OR(INDIRECT("'update Helper'!D"&amp;AT21)="",E21&lt;&gt;0,E22&lt;&gt;0),IF(IFERROR((E21/E22),"")="","",(E21/E22)),INDIRECT("'update Helper'!D"&amp;AT21)/100)</f>
        <v>0.54103899760664509</v>
      </c>
      <c r="G21" s="565">
        <v>2022</v>
      </c>
      <c r="H21" s="521" t="s">
        <v>2181</v>
      </c>
      <c r="I21" s="572" t="str">
        <f>AN21</f>
        <v>Gender,Age</v>
      </c>
      <c r="J21" s="565" t="s">
        <v>2182</v>
      </c>
      <c r="K21" s="521" t="s">
        <v>752</v>
      </c>
      <c r="L21" s="145"/>
      <c r="M21" s="574"/>
      <c r="N21" s="152">
        <v>3995</v>
      </c>
      <c r="O21" s="543">
        <f>N21/N22</f>
        <v>0.85</v>
      </c>
      <c r="P21" s="568"/>
      <c r="Q21" s="154">
        <v>4230</v>
      </c>
      <c r="R21" s="543">
        <f>Q21/Q22</f>
        <v>0.9</v>
      </c>
      <c r="S21" s="568"/>
      <c r="T21" s="154">
        <v>4465</v>
      </c>
      <c r="U21" s="543">
        <f>T21/T22</f>
        <v>0.95</v>
      </c>
      <c r="V21" s="565"/>
      <c r="W21" s="146"/>
      <c r="X21" s="523" t="str">
        <f ca="1">IF(OR(INDIRECT("'update Helper'!I"&amp;AU21+3)="",W21&lt;&gt;0,W22&lt;&gt;0),IF(IFERROR((W21/W22),"")="","",(W21/W22)),INDIRECT("'update Helper'!I"&amp;AU21+3)/100)</f>
        <v/>
      </c>
      <c r="Y21" s="565"/>
      <c r="Z21" s="146"/>
      <c r="AA21" s="523" t="str">
        <f ca="1">IF(OR(INDIRECT("'update Helper'!I"&amp;AU21+4)="",Z21&lt;&gt;0,Z22&lt;&gt;0),IF(IFERROR((Z21/Z22),"")="","",(Z21/Z22)),INDIRECT("'update Helper'!I"&amp;AU21+4)/100)</f>
        <v/>
      </c>
      <c r="AB21" s="565"/>
      <c r="AC21" s="146"/>
      <c r="AD21" s="523" t="str">
        <f ca="1">IF(OR(INDIRECT("'update Helper'!I"&amp;AU21+5)="",AC21&lt;&gt;0,AC22&lt;&gt;0),IF(IFERROR((AC21/AC22),"")="","",(AC21/AC22)),INDIRECT("'update Helper'!I"&amp;AU21+5)/100)</f>
        <v/>
      </c>
      <c r="AE21" s="565"/>
      <c r="AF21" s="146"/>
      <c r="AG21" s="523" t="str">
        <f t="shared" ref="AG21" ca="1" si="138">IF(OR(INDIRECT("'update Helper'!I"&amp;AU21+6)="",AF21&lt;&gt;0,AF22&lt;&gt;0),IF(IFERROR((AF21/AF22),"")="","",(AF21/AF22)),INDIRECT("'update Helper'!I"&amp;AU21+6)/100)</f>
        <v/>
      </c>
      <c r="AH21" s="565"/>
      <c r="AI21" s="146"/>
      <c r="AJ21" s="523" t="str">
        <f t="shared" ref="AJ21" ca="1" si="139">IF(OR(INDIRECT("'update Helper'!I"&amp;AU21+7)="",AI21&lt;&gt;0,AI22&lt;&gt;0),IF(IFERROR((AI21/AI22),"")="","",(AI21/AI22)),INDIRECT("'update Helper'!I"&amp;AU21+7)/100)</f>
        <v/>
      </c>
      <c r="AK21" s="565"/>
      <c r="AL21" s="579" t="s">
        <v>2190</v>
      </c>
      <c r="AM21" s="567" t="str">
        <f>IFERROR(IF(VLOOKUP(B21,'Reference Records'!$C$192:$D$250,2,FALSE)=0,"",VLOOKUP(B21,'Reference Records'!$C$192:$D$250,2,FALSE)),"")</f>
        <v>MCI-01305</v>
      </c>
      <c r="AN21" s="147" t="str">
        <f t="array" ref="AN21">IFERROR(IF(INDEX('Reference Records'!$D$87:$D$189,MATCH(LEFT(C21,255),LEFT('Reference Records'!$C$87:$C$189,255),0))=0,"",INDEX('Reference Records'!$D$87:$D$189,MATCH(LEFT(C21,255),LEFT('Reference Records'!$C$87:$C$189,255),0))),"")</f>
        <v>Gender,Age</v>
      </c>
      <c r="AO21" s="147" t="str">
        <f>CONCATENATE(C21,D21)</f>
        <v>HTS-3c⁽ᴹ⁾ Percentage of sex workers that have received an HIV test during the reporting period in KP-specific programs and know their results</v>
      </c>
      <c r="AP21" s="148" t="str">
        <f t="array" ref="AP21">VLOOKUP(LEFT(C21,255),LEFT('Reference Records'!C$86:G251,255),4,0)</f>
        <v>MCI-01616</v>
      </c>
      <c r="AQ21" s="148" t="e">
        <f>MATCH(AP21,'Reference Records'!$F$512:$F$514,0)+ROW(PopulationByCoverage)-1</f>
        <v>#N/A</v>
      </c>
      <c r="AR21" s="148">
        <f>MATCH(AP21,'Reference Records'!$F$512:$F$514,1)+ROW(PopulationByCoverage)-1</f>
        <v>513</v>
      </c>
      <c r="AS21" s="147" t="str">
        <f>C21&amp;D21</f>
        <v>HTS-3c⁽ᴹ⁾ Percentage of sex workers that have received an HIV test during the reporting period in KP-specific programs and know their results</v>
      </c>
      <c r="AT21" s="147">
        <f t="shared" ref="AT21" si="140">AT19+1</f>
        <v>460</v>
      </c>
      <c r="AU21" s="147">
        <f>AU19+'update Helper'!$T$2</f>
        <v>556</v>
      </c>
      <c r="AV21" s="147" t="str">
        <f t="shared" ref="AV21" si="141">CLEAN(IFERROR(LEFT(AY21, SEARCH(";",AY21,1)-1),""))</f>
        <v>Non cumulative</v>
      </c>
      <c r="AW21" s="147" t="str">
        <f t="shared" ref="AW21" si="142">SUBSTITUTE(IFERROR(MID(AY21, SEARCH(";",AY21) + 1, SEARCH(";",AY21,SEARCH(";",AY21)+1) - SEARCH(";",AY21) - 1),""),CHAR(10),"")</f>
        <v>Non cumulative – other</v>
      </c>
      <c r="AX21" s="149" t="str">
        <f t="shared" ref="AX21" si="143">CLEAN(IFERROR(SUBSTITUTE(RIGHT(AY21,LEN(AY21) - SEARCH(";", AY21, SEARCH(";",AY21) + 1)),";",""),""))</f>
        <v>Non cumulative - special</v>
      </c>
      <c r="AY21" s="147" t="str">
        <f t="array" ref="AY21">IFERROR(IF(VLOOKUP(LEFT(C21,255),LEFT('Reference Records'!$C$1:$K$539,255),9,0)=0,"",CONCATENATE(VLOOKUP(LEFT(C21,255),LEFT('Reference Records'!$C$1:$K$539,255),9,0),";")),"")</f>
        <v>Non cumulative;Non cumulative – other;Non cumulative - special;</v>
      </c>
      <c r="AZ21" s="563" t="str">
        <f>IF($BV21="", "", IF($BV21=TRUE, "Yes", "No"))</f>
        <v>No</v>
      </c>
      <c r="BA21" s="561" t="str">
        <f t="shared" ref="BA21" ca="1" si="144">IF($D21="", "",IF(IF(INDIRECT("'update Helper'!W"&amp;AT21)=0,"",INDIRECT("'update Helper'!W"&amp;AT21))=TRUE, "Yes","No"))</f>
        <v/>
      </c>
      <c r="BB21" s="516" t="str">
        <f t="shared" ref="BB21" ca="1" si="145">IF(AND(BS21="Continue",BU21="Continue"),"No Error",IF(AND(BS21&lt;&gt;"Continue",BU21="Continue"),BS21,IF(AND(BU21&lt;&gt;"Continue",BS21="Continue"),BU21,CONCATENATE(BS21,CHAR(10),BU21))))</f>
        <v>No Error</v>
      </c>
      <c r="BC21" s="520" t="str" cm="1">
        <f t="array" ref="BC21">IF(ISBLANK(C21),"Continue",(IF(IFERROR(_xlfn.XMATCH(C21,LEFT('Reference Records'!$C$86:$C$189,32768),0),0)&lt;&gt;0,"Continue","Invalid indicator entry. Select from dropdown list.")))</f>
        <v>Continue</v>
      </c>
      <c r="BD21" s="520" t="str">
        <f t="shared" ref="BD21" si="146">IF(SUM(BE21:BM22)=0, "Continue", "Enter valid number only.")</f>
        <v>Continue</v>
      </c>
      <c r="BE21" s="150">
        <f t="shared" si="0"/>
        <v>0</v>
      </c>
      <c r="BF21" s="150">
        <f t="shared" si="1"/>
        <v>0</v>
      </c>
      <c r="BG21" s="150">
        <f t="shared" si="2"/>
        <v>0</v>
      </c>
      <c r="BH21" s="150">
        <f t="shared" si="3"/>
        <v>0</v>
      </c>
      <c r="BI21" s="150">
        <f t="shared" si="4"/>
        <v>0</v>
      </c>
      <c r="BJ21" s="150">
        <f t="shared" si="5"/>
        <v>0</v>
      </c>
      <c r="BK21" s="150">
        <f t="shared" si="6"/>
        <v>0</v>
      </c>
      <c r="BL21" s="150">
        <f t="shared" si="7"/>
        <v>0</v>
      </c>
      <c r="BM21" s="150">
        <f t="shared" si="8"/>
        <v>0</v>
      </c>
      <c r="BN21" s="477" t="str">
        <f>IF(NOT(ISBLANK(C21)),IF(C21&lt;&gt;"",IF(_xlfn.XLOOKUP(C21,'Reference Records'!$C$86:$C$189,'Reference Records'!$A$86:$A$189,0,0,1)=AM21,"Continue","Select correct module name."),"Continue"),"Continue")</f>
        <v>Continue</v>
      </c>
      <c r="BO21" s="477" t="str">
        <f t="shared" ref="BO21" ca="1" si="147">IF(AND(BC21="Continue",CG21="Continue"),"Continue",IF(AND(BC21&lt;&gt;"Continue",CG21="Continue"),BC21,IF(AND(CG21&lt;&gt;"Continue",BC21="Continue"),CG21,CONCATENATE(BC21,CHAR(10),CG21))))</f>
        <v>Continue</v>
      </c>
      <c r="BP21" s="477" t="str">
        <f t="shared" ref="BP21" ca="1" si="148">IF(AND((AZ21&lt;&gt;""),(BA21&lt;&gt;"")),"Reversed custom indicator selection not applicable. Value pre-populated in standard indicator column.","Continue")</f>
        <v>Continue</v>
      </c>
      <c r="BQ21" s="477" t="str">
        <f t="shared" ref="BQ21" ca="1" si="149">IF(AND(BN21="Continue",BO21="Continue"),"Continue",
IF(AND(BN21&lt;&gt;"Continue",BO21="Continue"),BN21,
IF(AND(BO21&lt;&gt;"Continue",BN21="Continue"),BO21,
CONCATENATE(BN21,CHAR(10),BO21))))</f>
        <v>Continue</v>
      </c>
      <c r="BR21" s="520" t="str" cm="1">
        <f t="array" ref="BR21">IF(ISBLANK(B21),"Continue",(IF(IFERROR(_xlfn.XMATCH(B21,LEFT('Reference Records'!$J$191:$J$250,32768),0),0)&lt;&gt;0,"Continue","Invalid module entry. Select from dropdown list.")))</f>
        <v>Continue</v>
      </c>
      <c r="BS21" s="520" t="str">
        <f t="shared" ref="BS21" ca="1" si="150">IF(AND(BP21="Continue",BQ21="Continue"),"Continue",IF(AND(BP21&lt;&gt;"Continue",BQ21="Continue"),BP21,IF(AND(BQ21&lt;&gt;"Continue",BP21="Continue"),BQ21,CONCATENATE(BP21,CHAR(10),BQ21))))</f>
        <v>Continue</v>
      </c>
      <c r="BT21" s="520" t="str">
        <f t="shared" ref="BT21" si="151">IF(AND(C21="",D21=""),"Continue",IF(AND(C21="",D21&lt;&gt;""),"Continue",IF(AND(C21&lt;&gt;"",D21=""),"Continue",IF(AND(C21&lt;&gt;"",D21&lt;&gt;""),"Cannot enter both standard and custom indicators on the same line."))))</f>
        <v>Continue</v>
      </c>
      <c r="BU21" s="520" t="str">
        <f t="shared" ref="BU21" si="152">IF(AND(BR21="Continue",BT21="Continue"),"Continue",IF(AND(BR21&lt;&gt;"Continue",BT21="Continue"),BR21,IF(AND(BT21&lt;&gt;"Continue",BR21="Continue"),BT21,CONCATENATE(BR21,CHAR(10),BT21))))</f>
        <v>Continue</v>
      </c>
      <c r="BV21" s="560" t="b">
        <f>IFERROR(INDEX('Reference Records'!$L$86:$L$189,MATCH($C21,'Reference Records'!$C$86:$C$189,0)),"")</f>
        <v>0</v>
      </c>
      <c r="BW21" s="560">
        <f t="shared" ref="BW21" ca="1" si="153">IF(NOT(ISBLANK(F21)),IF(F21&lt;&gt;"",(IF(NOT(ISNUMBER(F21)),1,0)),0),0)</f>
        <v>0</v>
      </c>
      <c r="BX21" s="560">
        <f t="shared" ref="BX21" si="154">IF(NOT(ISBLANK(O21)),IF(O21&lt;&gt;"",(IF(NOT(ISNUMBER(O21)),1,0)),0),0)</f>
        <v>0</v>
      </c>
      <c r="BY21" s="560">
        <f t="shared" ref="BY21" si="155">IF(NOT(ISBLANK(R21)),IF(R21&lt;&gt;"",(IF(NOT(ISNUMBER(R21)),1,0)),0),0)</f>
        <v>0</v>
      </c>
      <c r="BZ21" s="560">
        <f t="shared" ref="BZ21" si="156">IF(NOT(ISBLANK(U21)),IF(U21&lt;&gt;"",(IF(NOT(ISNUMBER(U21)),1,0)),0),0)</f>
        <v>0</v>
      </c>
      <c r="CA21" s="560">
        <f t="shared" ref="CA21" ca="1" si="157">IF(NOT(ISBLANK(X21)),IF(X21&lt;&gt;"",(IF(NOT(ISNUMBER(X21)),1,0)),0),0)</f>
        <v>0</v>
      </c>
      <c r="CB21" s="560">
        <f t="shared" ref="CB21" ca="1" si="158">IF(NOT(ISBLANK(AA21)),IF(AA21&lt;&gt;"",(IF(NOT(ISNUMBER(AA21)),1,0)),0),0)</f>
        <v>0</v>
      </c>
      <c r="CC21" s="560">
        <f t="shared" ref="CC21" ca="1" si="159">IF(NOT(ISBLANK(AD21)),IF(AD21&lt;&gt;"",(IF(NOT(ISNUMBER(AD21)),1,0)),0),0)</f>
        <v>0</v>
      </c>
      <c r="CD21" s="560">
        <f t="shared" ref="CD21" ca="1" si="160">IF(NOT(ISBLANK(AG21)),IF(AG21&lt;&gt;"",(IF(NOT(ISNUMBER(AG21)),1,0)),0),0)</f>
        <v>0</v>
      </c>
      <c r="CE21" s="560">
        <f t="shared" ref="CE21" ca="1" si="161">IF(NOT(ISBLANK(AJ21)),IF(AJ21&lt;&gt;"",(IF(NOT(ISNUMBER(AJ21)),1,0)),0),0)</f>
        <v>0</v>
      </c>
      <c r="CF21" s="560" t="str">
        <f t="shared" ref="CF21" ca="1" si="162">IF(SUM(BW21:CE22)=0, "Continue", "Enter valid number only.")</f>
        <v>Continue</v>
      </c>
      <c r="CG21" s="560" t="str">
        <f t="shared" ref="CG21" ca="1" si="163">IF(AND(CF21="Continue",BD21="Continue"),"Continue",IF(AND(CF21&lt;&gt;"Continue",BD21="Continue"),CF21,IF(AND(BD21&lt;&gt;"Continue",CF21="Continue"),BD21,CONCATENATE(CF21,CHAR(10)))))</f>
        <v>Continue</v>
      </c>
    </row>
    <row r="22" spans="1:85" ht="68.25" customHeight="1" x14ac:dyDescent="0.25">
      <c r="A22" s="559"/>
      <c r="B22" s="522"/>
      <c r="C22" s="522"/>
      <c r="D22" s="522"/>
      <c r="E22" s="144">
        <v>7103</v>
      </c>
      <c r="F22" s="524"/>
      <c r="G22" s="566"/>
      <c r="H22" s="522"/>
      <c r="I22" s="573"/>
      <c r="J22" s="566"/>
      <c r="K22" s="522"/>
      <c r="L22" s="151" t="s">
        <v>625</v>
      </c>
      <c r="M22" s="575"/>
      <c r="N22" s="152">
        <v>4700</v>
      </c>
      <c r="O22" s="544"/>
      <c r="P22" s="569"/>
      <c r="Q22" s="154">
        <v>4700</v>
      </c>
      <c r="R22" s="544"/>
      <c r="S22" s="569"/>
      <c r="T22" s="154">
        <v>4700</v>
      </c>
      <c r="U22" s="544"/>
      <c r="V22" s="566"/>
      <c r="W22" s="146"/>
      <c r="X22" s="524"/>
      <c r="Y22" s="566"/>
      <c r="Z22" s="146"/>
      <c r="AA22" s="524"/>
      <c r="AB22" s="566"/>
      <c r="AC22" s="146"/>
      <c r="AD22" s="524"/>
      <c r="AE22" s="566"/>
      <c r="AF22" s="146"/>
      <c r="AG22" s="524"/>
      <c r="AH22" s="566"/>
      <c r="AI22" s="146"/>
      <c r="AJ22" s="524"/>
      <c r="AK22" s="566"/>
      <c r="AL22" s="522"/>
      <c r="AM22" s="567"/>
      <c r="AN22" s="147"/>
      <c r="AO22" s="147"/>
      <c r="AP22" s="147"/>
      <c r="AQ22" s="147"/>
      <c r="AR22" s="147"/>
      <c r="AS22" s="147"/>
      <c r="AT22" s="147"/>
      <c r="AU22" s="147"/>
      <c r="AV22" s="147"/>
      <c r="AW22" s="147"/>
      <c r="AX22" s="149"/>
      <c r="AY22" s="147"/>
      <c r="AZ22" s="563"/>
      <c r="BA22" s="561"/>
      <c r="BB22" s="516"/>
      <c r="BC22" s="520"/>
      <c r="BD22" s="520"/>
      <c r="BE22" s="150">
        <f t="shared" si="0"/>
        <v>0</v>
      </c>
      <c r="BF22" s="150">
        <f t="shared" si="1"/>
        <v>0</v>
      </c>
      <c r="BG22" s="150">
        <f t="shared" si="2"/>
        <v>0</v>
      </c>
      <c r="BH22" s="150">
        <f t="shared" si="3"/>
        <v>0</v>
      </c>
      <c r="BI22" s="150">
        <f t="shared" si="4"/>
        <v>0</v>
      </c>
      <c r="BJ22" s="150">
        <f t="shared" si="5"/>
        <v>0</v>
      </c>
      <c r="BK22" s="150">
        <f t="shared" si="6"/>
        <v>0</v>
      </c>
      <c r="BL22" s="150">
        <f t="shared" si="7"/>
        <v>0</v>
      </c>
      <c r="BM22" s="150">
        <f t="shared" si="8"/>
        <v>0</v>
      </c>
      <c r="BN22" s="477"/>
      <c r="BO22" s="477"/>
      <c r="BP22" s="477"/>
      <c r="BQ22" s="477"/>
      <c r="BR22" s="520"/>
      <c r="BS22" s="520"/>
      <c r="BT22" s="520"/>
      <c r="BU22" s="520"/>
      <c r="BV22" s="560"/>
      <c r="BW22" s="560"/>
      <c r="BX22" s="560"/>
      <c r="BY22" s="560"/>
      <c r="BZ22" s="560"/>
      <c r="CA22" s="560"/>
      <c r="CB22" s="560"/>
      <c r="CC22" s="560"/>
      <c r="CD22" s="560"/>
      <c r="CE22" s="560"/>
      <c r="CF22" s="560"/>
      <c r="CG22" s="560"/>
    </row>
    <row r="23" spans="1:85" ht="64.5" customHeight="1" x14ac:dyDescent="0.25">
      <c r="A23" s="558">
        <v>8</v>
      </c>
      <c r="B23" s="529" t="s">
        <v>423</v>
      </c>
      <c r="C23" s="529" t="s">
        <v>1155</v>
      </c>
      <c r="D23" s="529"/>
      <c r="E23" s="152">
        <v>285</v>
      </c>
      <c r="F23" s="543">
        <f ca="1">IF(OR(INDIRECT("'update Helper'!D"&amp;AT23)="",E23&lt;&gt;0,E24&lt;&gt;0),IF(IFERROR((E23/E24),"")="","",(E23/E24)),INDIRECT("'update Helper'!D"&amp;AT23)/100)</f>
        <v>0.95</v>
      </c>
      <c r="G23" s="568">
        <v>2022</v>
      </c>
      <c r="H23" s="529" t="s">
        <v>2181</v>
      </c>
      <c r="I23" s="572" t="str">
        <f>AN23</f>
        <v>Age,Gender</v>
      </c>
      <c r="J23" s="568" t="s">
        <v>2182</v>
      </c>
      <c r="K23" s="529" t="s">
        <v>752</v>
      </c>
      <c r="L23" s="153"/>
      <c r="M23" s="576"/>
      <c r="N23" s="152">
        <v>253</v>
      </c>
      <c r="O23" s="543">
        <f>N23/N24</f>
        <v>0.85185185185185186</v>
      </c>
      <c r="P23" s="568"/>
      <c r="Q23" s="154">
        <v>268</v>
      </c>
      <c r="R23" s="543">
        <f>Q23/Q24</f>
        <v>0.90235690235690236</v>
      </c>
      <c r="S23" s="568"/>
      <c r="T23" s="154">
        <v>283</v>
      </c>
      <c r="U23" s="543">
        <f>T23/T24</f>
        <v>0.95286195286195285</v>
      </c>
      <c r="V23" s="568"/>
      <c r="W23" s="154"/>
      <c r="X23" s="543" t="str">
        <f ca="1">IF(OR(INDIRECT("'update Helper'!I"&amp;AU23+3)="",W23&lt;&gt;0,W24&lt;&gt;0),IF(IFERROR((W23/W24),"")="","",(W23/W24)),INDIRECT("'update Helper'!I"&amp;AU23+3)/100)</f>
        <v/>
      </c>
      <c r="Y23" s="568"/>
      <c r="Z23" s="154"/>
      <c r="AA23" s="543" t="str">
        <f ca="1">IF(OR(INDIRECT("'update Helper'!I"&amp;AU23+4)="",Z23&lt;&gt;0,Z24&lt;&gt;0),IF(IFERROR((Z23/Z24),"")="","",(Z23/Z24)),INDIRECT("'update Helper'!I"&amp;AU23+4)/100)</f>
        <v/>
      </c>
      <c r="AB23" s="568"/>
      <c r="AC23" s="154"/>
      <c r="AD23" s="543" t="str">
        <f ca="1">IF(OR(INDIRECT("'update Helper'!I"&amp;AU23+5)="",AC23&lt;&gt;0,AC24&lt;&gt;0),IF(IFERROR((AC23/AC24),"")="","",(AC23/AC24)),INDIRECT("'update Helper'!I"&amp;AU23+5)/100)</f>
        <v/>
      </c>
      <c r="AE23" s="568"/>
      <c r="AF23" s="154"/>
      <c r="AG23" s="570" t="str">
        <f t="shared" ref="AG23" ca="1" si="164">IF(OR(INDIRECT("'update Helper'!I"&amp;AU23+6)="",AF23&lt;&gt;0,AF24&lt;&gt;0),IF(IFERROR((AF23/AF24),"")="","",(AF23/AF24)),INDIRECT("'update Helper'!I"&amp;AU23+6)/100)</f>
        <v/>
      </c>
      <c r="AH23" s="568"/>
      <c r="AI23" s="154"/>
      <c r="AJ23" s="570" t="str">
        <f t="shared" ref="AJ23" ca="1" si="165">IF(OR(INDIRECT("'update Helper'!I"&amp;AU23+7)="",AI23&lt;&gt;0,AI24&lt;&gt;0),IF(IFERROR((AI23/AI24),"")="","",(AI23/AI24)),INDIRECT("'update Helper'!I"&amp;AU23+7)/100)</f>
        <v/>
      </c>
      <c r="AK23" s="568"/>
      <c r="AL23" s="578" t="s">
        <v>2191</v>
      </c>
      <c r="AM23" s="480" t="str">
        <f>IFERROR(IF(VLOOKUP(B23,'Reference Records'!$C$192:$D$250,2,FALSE)=0,"",VLOOKUP(B23,'Reference Records'!$C$192:$D$250,2,FALSE)),"")</f>
        <v>MCI-01305</v>
      </c>
      <c r="AN23" s="52" t="str">
        <f t="array" ref="AN23">IFERROR(IF(INDEX('Reference Records'!$D$87:$D$189,MATCH(LEFT(C23,255),LEFT('Reference Records'!$C$87:$C$189,255),0))=0,"",INDEX('Reference Records'!$D$87:$D$189,MATCH(LEFT(C23,255),LEFT('Reference Records'!$C$87:$C$189,255),0))),"")</f>
        <v>Age,Gender</v>
      </c>
      <c r="AO23" s="52" t="str">
        <f>CONCATENATE(C23,D23)</f>
        <v>HTS-3b⁽ᴹ⁾ Percentage of TG that have received an HIV test during the reporting period in KP-specific programs and know their results</v>
      </c>
      <c r="AP23" s="155" t="str">
        <f t="array" ref="AP23">VLOOKUP(LEFT(C23,255),LEFT('Reference Records'!C$86:G253,255),4,0)</f>
        <v>MCI-01615</v>
      </c>
      <c r="AQ23" s="155" t="e">
        <f>MATCH(AP23,'Reference Records'!$F$512:$F$514,0)+ROW(PopulationByCoverage)-1</f>
        <v>#N/A</v>
      </c>
      <c r="AR23" s="155">
        <f>MATCH(AP23,'Reference Records'!$F$512:$F$514,1)+ROW(PopulationByCoverage)-1</f>
        <v>513</v>
      </c>
      <c r="AS23" s="52" t="str">
        <f>C23&amp;D23</f>
        <v>HTS-3b⁽ᴹ⁾ Percentage of TG that have received an HIV test during the reporting period in KP-specific programs and know their results</v>
      </c>
      <c r="AT23" s="52">
        <f t="shared" ref="AT23" si="166">AT21+1</f>
        <v>461</v>
      </c>
      <c r="AU23" s="52">
        <f>AU21+'update Helper'!$T$2</f>
        <v>562</v>
      </c>
      <c r="AV23" s="52" t="str">
        <f t="shared" ref="AV23" si="167">CLEAN(IFERROR(LEFT(AY23, SEARCH(";",AY23,1)-1),""))</f>
        <v>Non cumulative</v>
      </c>
      <c r="AW23" s="52" t="str">
        <f t="shared" ref="AW23" si="168">SUBSTITUTE(IFERROR(MID(AY23, SEARCH(";",AY23) + 1, SEARCH(";",AY23,SEARCH(";",AY23)+1) - SEARCH(";",AY23) - 1),""),CHAR(10),"")</f>
        <v>Non cumulative – other</v>
      </c>
      <c r="AX23" s="156" t="str">
        <f t="shared" ref="AX23" si="169">CLEAN(IFERROR(SUBSTITUTE(RIGHT(AY23,LEN(AY23) - SEARCH(";", AY23, SEARCH(";",AY23) + 1)),";",""),""))</f>
        <v>Non cumulative - special</v>
      </c>
      <c r="AY23" s="52" t="str">
        <f t="array" ref="AY23">IFERROR(IF(VLOOKUP(LEFT(C23,255),LEFT('Reference Records'!$C$1:$K$539,255),9,0)=0,"",CONCATENATE(VLOOKUP(LEFT(C23,255),LEFT('Reference Records'!$C$1:$K$539,255),9,0),";")),"")</f>
        <v>Non cumulative;Non cumulative – other;Non cumulative - special;</v>
      </c>
      <c r="AZ23" s="564" t="str">
        <f>IF($BV23="", "", IF($BV23=TRUE, "Yes", "No"))</f>
        <v>No</v>
      </c>
      <c r="BA23" s="562" t="str">
        <f t="shared" ref="BA23" ca="1" si="170">IF($D23="", "",IF(IF(INDIRECT("'update Helper'!W"&amp;AT23)=0,"",INDIRECT("'update Helper'!W"&amp;AT23))=TRUE, "Yes","No"))</f>
        <v/>
      </c>
      <c r="BB23" s="516" t="str">
        <f t="shared" ref="BB23" ca="1" si="171">IF(AND(BS23="Continue",BU23="Continue"),"No Error",IF(AND(BS23&lt;&gt;"Continue",BU23="Continue"),BS23,IF(AND(BU23&lt;&gt;"Continue",BS23="Continue"),BU23,CONCATENATE(BS23,CHAR(10),BU23))))</f>
        <v>No Error</v>
      </c>
      <c r="BC23" s="520" t="str" cm="1">
        <f t="array" ref="BC23">IF(ISBLANK(C23),"Continue",(IF(IFERROR(_xlfn.XMATCH(C23,LEFT('Reference Records'!$C$86:$C$189,32768),0),0)&lt;&gt;0,"Continue","Invalid indicator entry. Select from dropdown list.")))</f>
        <v>Continue</v>
      </c>
      <c r="BD23" s="520" t="str">
        <f t="shared" ref="BD23" si="172">IF(SUM(BE23:BM24)=0, "Continue", "Enter valid number only.")</f>
        <v>Continue</v>
      </c>
      <c r="BE23" s="150">
        <f t="shared" si="0"/>
        <v>0</v>
      </c>
      <c r="BF23" s="150">
        <f t="shared" si="1"/>
        <v>0</v>
      </c>
      <c r="BG23" s="150">
        <f t="shared" si="2"/>
        <v>0</v>
      </c>
      <c r="BH23" s="150">
        <f t="shared" si="3"/>
        <v>0</v>
      </c>
      <c r="BI23" s="150">
        <f t="shared" si="4"/>
        <v>0</v>
      </c>
      <c r="BJ23" s="150">
        <f t="shared" si="5"/>
        <v>0</v>
      </c>
      <c r="BK23" s="150">
        <f t="shared" si="6"/>
        <v>0</v>
      </c>
      <c r="BL23" s="150">
        <f t="shared" si="7"/>
        <v>0</v>
      </c>
      <c r="BM23" s="150">
        <f t="shared" si="8"/>
        <v>0</v>
      </c>
      <c r="BN23" s="477" t="str">
        <f>IF(NOT(ISBLANK(C23)),IF(C23&lt;&gt;"",IF(_xlfn.XLOOKUP(C23,'Reference Records'!$C$86:$C$189,'Reference Records'!$A$86:$A$189,0,0,1)=AM23,"Continue","Select correct module name."),"Continue"),"Continue")</f>
        <v>Continue</v>
      </c>
      <c r="BO23" s="477" t="str">
        <f t="shared" ref="BO23" ca="1" si="173">IF(AND(BC23="Continue",CG23="Continue"),"Continue",IF(AND(BC23&lt;&gt;"Continue",CG23="Continue"),BC23,IF(AND(CG23&lt;&gt;"Continue",BC23="Continue"),CG23,CONCATENATE(BC23,CHAR(10),CG23))))</f>
        <v>Continue</v>
      </c>
      <c r="BP23" s="477" t="str">
        <f t="shared" ref="BP23" ca="1" si="174">IF(AND((AZ23&lt;&gt;""),(BA23&lt;&gt;"")),"Reversed custom indicator selection not applicable. Value pre-populated in standard indicator column.","Continue")</f>
        <v>Continue</v>
      </c>
      <c r="BQ23" s="477" t="str">
        <f t="shared" ref="BQ23" ca="1" si="175">IF(AND(BN23="Continue",BO23="Continue"),"Continue",
IF(AND(BN23&lt;&gt;"Continue",BO23="Continue"),BN23,
IF(AND(BO23&lt;&gt;"Continue",BN23="Continue"),BO23,
CONCATENATE(BN23,CHAR(10),BO23))))</f>
        <v>Continue</v>
      </c>
      <c r="BR23" s="520" t="str" cm="1">
        <f t="array" ref="BR23">IF(ISBLANK(B23),"Continue",(IF(IFERROR(_xlfn.XMATCH(B23,LEFT('Reference Records'!$J$191:$J$250,32768),0),0)&lt;&gt;0,"Continue","Invalid module entry. Select from dropdown list.")))</f>
        <v>Continue</v>
      </c>
      <c r="BS23" s="520" t="str">
        <f t="shared" ref="BS23" ca="1" si="176">IF(AND(BP23="Continue",BQ23="Continue"),"Continue",IF(AND(BP23&lt;&gt;"Continue",BQ23="Continue"),BP23,IF(AND(BQ23&lt;&gt;"Continue",BP23="Continue"),BQ23,CONCATENATE(BP23,CHAR(10),BQ23))))</f>
        <v>Continue</v>
      </c>
      <c r="BT23" s="520" t="str">
        <f t="shared" ref="BT23" si="177">IF(AND(C23="",D23=""),"Continue",IF(AND(C23="",D23&lt;&gt;""),"Continue",IF(AND(C23&lt;&gt;"",D23=""),"Continue",IF(AND(C23&lt;&gt;"",D23&lt;&gt;""),"Cannot enter both standard and custom indicators on the same line."))))</f>
        <v>Continue</v>
      </c>
      <c r="BU23" s="520" t="str">
        <f t="shared" ref="BU23" si="178">IF(AND(BR23="Continue",BT23="Continue"),"Continue",IF(AND(BR23&lt;&gt;"Continue",BT23="Continue"),BR23,IF(AND(BT23&lt;&gt;"Continue",BR23="Continue"),BT23,CONCATENATE(BR23,CHAR(10),BT23))))</f>
        <v>Continue</v>
      </c>
      <c r="BV23" s="560" t="b">
        <f>IFERROR(INDEX('Reference Records'!$L$86:$L$189,MATCH($C23,'Reference Records'!$C$86:$C$189,0)),"")</f>
        <v>0</v>
      </c>
      <c r="BW23" s="560">
        <f t="shared" ref="BW23" ca="1" si="179">IF(NOT(ISBLANK(F23)),IF(F23&lt;&gt;"",(IF(NOT(ISNUMBER(F23)),1,0)),0),0)</f>
        <v>0</v>
      </c>
      <c r="BX23" s="560">
        <f t="shared" ref="BX23" si="180">IF(NOT(ISBLANK(O23)),IF(O23&lt;&gt;"",(IF(NOT(ISNUMBER(O23)),1,0)),0),0)</f>
        <v>0</v>
      </c>
      <c r="BY23" s="560">
        <f t="shared" ref="BY23" si="181">IF(NOT(ISBLANK(R23)),IF(R23&lt;&gt;"",(IF(NOT(ISNUMBER(R23)),1,0)),0),0)</f>
        <v>0</v>
      </c>
      <c r="BZ23" s="560">
        <f t="shared" ref="BZ23" si="182">IF(NOT(ISBLANK(U23)),IF(U23&lt;&gt;"",(IF(NOT(ISNUMBER(U23)),1,0)),0),0)</f>
        <v>0</v>
      </c>
      <c r="CA23" s="560">
        <f t="shared" ref="CA23" ca="1" si="183">IF(NOT(ISBLANK(X23)),IF(X23&lt;&gt;"",(IF(NOT(ISNUMBER(X23)),1,0)),0),0)</f>
        <v>0</v>
      </c>
      <c r="CB23" s="560">
        <f t="shared" ref="CB23" ca="1" si="184">IF(NOT(ISBLANK(AA23)),IF(AA23&lt;&gt;"",(IF(NOT(ISNUMBER(AA23)),1,0)),0),0)</f>
        <v>0</v>
      </c>
      <c r="CC23" s="560">
        <f t="shared" ref="CC23" ca="1" si="185">IF(NOT(ISBLANK(AD23)),IF(AD23&lt;&gt;"",(IF(NOT(ISNUMBER(AD23)),1,0)),0),0)</f>
        <v>0</v>
      </c>
      <c r="CD23" s="560">
        <f t="shared" ref="CD23" ca="1" si="186">IF(NOT(ISBLANK(AG23)),IF(AG23&lt;&gt;"",(IF(NOT(ISNUMBER(AG23)),1,0)),0),0)</f>
        <v>0</v>
      </c>
      <c r="CE23" s="560">
        <f t="shared" ref="CE23" ca="1" si="187">IF(NOT(ISBLANK(AJ23)),IF(AJ23&lt;&gt;"",(IF(NOT(ISNUMBER(AJ23)),1,0)),0),0)</f>
        <v>0</v>
      </c>
      <c r="CF23" s="560" t="str">
        <f t="shared" ref="CF23" ca="1" si="188">IF(SUM(BW23:CE24)=0, "Continue", "Enter valid number only.")</f>
        <v>Continue</v>
      </c>
      <c r="CG23" s="560" t="str">
        <f t="shared" ref="CG23" ca="1" si="189">IF(AND(CF23="Continue",BD23="Continue"),"Continue",IF(AND(CF23&lt;&gt;"Continue",BD23="Continue"),CF23,IF(AND(BD23&lt;&gt;"Continue",CF23="Continue"),BD23,CONCATENATE(CF23,CHAR(10)))))</f>
        <v>Continue</v>
      </c>
    </row>
    <row r="24" spans="1:85" ht="72.75" customHeight="1" x14ac:dyDescent="0.25">
      <c r="A24" s="559"/>
      <c r="B24" s="530"/>
      <c r="C24" s="530"/>
      <c r="D24" s="530"/>
      <c r="E24" s="152">
        <v>300</v>
      </c>
      <c r="F24" s="544"/>
      <c r="G24" s="569"/>
      <c r="H24" s="530"/>
      <c r="I24" s="573"/>
      <c r="J24" s="569"/>
      <c r="K24" s="530"/>
      <c r="L24" s="157" t="s">
        <v>625</v>
      </c>
      <c r="M24" s="577"/>
      <c r="N24" s="152">
        <v>297</v>
      </c>
      <c r="O24" s="544"/>
      <c r="P24" s="569"/>
      <c r="Q24" s="152">
        <v>297</v>
      </c>
      <c r="R24" s="544"/>
      <c r="S24" s="569"/>
      <c r="T24" s="152">
        <v>297</v>
      </c>
      <c r="U24" s="544"/>
      <c r="V24" s="569"/>
      <c r="W24" s="154"/>
      <c r="X24" s="544"/>
      <c r="Y24" s="569"/>
      <c r="Z24" s="154"/>
      <c r="AA24" s="544"/>
      <c r="AB24" s="569"/>
      <c r="AC24" s="154"/>
      <c r="AD24" s="544"/>
      <c r="AE24" s="569"/>
      <c r="AF24" s="154"/>
      <c r="AG24" s="571"/>
      <c r="AH24" s="569"/>
      <c r="AI24" s="154"/>
      <c r="AJ24" s="571"/>
      <c r="AK24" s="569"/>
      <c r="AL24" s="530"/>
      <c r="AM24" s="480"/>
      <c r="AX24" s="156"/>
      <c r="AZ24" s="564"/>
      <c r="BA24" s="562"/>
      <c r="BB24" s="516"/>
      <c r="BC24" s="520"/>
      <c r="BD24" s="520"/>
      <c r="BE24" s="150">
        <f t="shared" si="0"/>
        <v>0</v>
      </c>
      <c r="BF24" s="150">
        <f t="shared" si="1"/>
        <v>0</v>
      </c>
      <c r="BG24" s="150">
        <f t="shared" si="2"/>
        <v>0</v>
      </c>
      <c r="BH24" s="150">
        <f t="shared" si="3"/>
        <v>0</v>
      </c>
      <c r="BI24" s="150">
        <f t="shared" si="4"/>
        <v>0</v>
      </c>
      <c r="BJ24" s="150">
        <f t="shared" si="5"/>
        <v>0</v>
      </c>
      <c r="BK24" s="150">
        <f t="shared" si="6"/>
        <v>0</v>
      </c>
      <c r="BL24" s="150">
        <f t="shared" si="7"/>
        <v>0</v>
      </c>
      <c r="BM24" s="150">
        <f t="shared" si="8"/>
        <v>0</v>
      </c>
      <c r="BN24" s="477"/>
      <c r="BO24" s="477"/>
      <c r="BP24" s="477"/>
      <c r="BQ24" s="477"/>
      <c r="BR24" s="520"/>
      <c r="BS24" s="520"/>
      <c r="BT24" s="520"/>
      <c r="BU24" s="520"/>
      <c r="BV24" s="560"/>
      <c r="BW24" s="560"/>
      <c r="BX24" s="560"/>
      <c r="BY24" s="560"/>
      <c r="BZ24" s="560"/>
      <c r="CA24" s="560"/>
      <c r="CB24" s="560"/>
      <c r="CC24" s="560"/>
      <c r="CD24" s="560"/>
      <c r="CE24" s="560"/>
      <c r="CF24" s="560"/>
      <c r="CG24" s="560"/>
    </row>
    <row r="25" spans="1:85" ht="59.1" customHeight="1" x14ac:dyDescent="0.25">
      <c r="A25" s="558">
        <v>9</v>
      </c>
      <c r="B25" s="521" t="s">
        <v>423</v>
      </c>
      <c r="C25" s="521" t="s">
        <v>1161</v>
      </c>
      <c r="D25" s="521"/>
      <c r="E25" s="144">
        <v>16102</v>
      </c>
      <c r="F25" s="523">
        <f ca="1">IF(OR(INDIRECT("'update Helper'!D"&amp;AT25)="",E25&lt;&gt;0,E26&lt;&gt;0),IF(IFERROR((E25/E26),"")="","",(E25/E26)),INDIRECT("'update Helper'!D"&amp;AT25)/100)</f>
        <v>0.92652051326313367</v>
      </c>
      <c r="G25" s="565">
        <v>2022</v>
      </c>
      <c r="H25" s="521" t="s">
        <v>2181</v>
      </c>
      <c r="I25" s="572" t="str">
        <f>AN25</f>
        <v>Gender,Age</v>
      </c>
      <c r="J25" s="565" t="s">
        <v>2182</v>
      </c>
      <c r="K25" s="521" t="s">
        <v>752</v>
      </c>
      <c r="L25" s="145"/>
      <c r="M25" s="574"/>
      <c r="N25" s="152">
        <v>16300</v>
      </c>
      <c r="O25" s="543">
        <f>N25/N26</f>
        <v>0.93791357385350138</v>
      </c>
      <c r="P25" s="568"/>
      <c r="Q25" s="152">
        <v>16350</v>
      </c>
      <c r="R25" s="543">
        <f>Q25/Q26</f>
        <v>0.94079060935611947</v>
      </c>
      <c r="S25" s="568"/>
      <c r="T25" s="154">
        <v>16500</v>
      </c>
      <c r="U25" s="543">
        <f>T25/T26</f>
        <v>0.94942171586397373</v>
      </c>
      <c r="V25" s="565"/>
      <c r="W25" s="146"/>
      <c r="X25" s="523" t="str">
        <f ca="1">IF(OR(INDIRECT("'update Helper'!I"&amp;AU25+3)="",W25&lt;&gt;0,W26&lt;&gt;0),IF(IFERROR((W25/W26),"")="","",(W25/W26)),INDIRECT("'update Helper'!I"&amp;AU25+3)/100)</f>
        <v/>
      </c>
      <c r="Y25" s="565"/>
      <c r="Z25" s="146"/>
      <c r="AA25" s="523" t="str">
        <f ca="1">IF(OR(INDIRECT("'update Helper'!I"&amp;AU25+4)="",Z25&lt;&gt;0,Z26&lt;&gt;0),IF(IFERROR((Z25/Z26),"")="","",(Z25/Z26)),INDIRECT("'update Helper'!I"&amp;AU25+4)/100)</f>
        <v/>
      </c>
      <c r="AB25" s="565"/>
      <c r="AC25" s="146"/>
      <c r="AD25" s="523" t="str">
        <f ca="1">IF(OR(INDIRECT("'update Helper'!I"&amp;AU25+5)="",AC25&lt;&gt;0,AC26&lt;&gt;0),IF(IFERROR((AC25/AC26),"")="","",(AC25/AC26)),INDIRECT("'update Helper'!I"&amp;AU25+5)/100)</f>
        <v/>
      </c>
      <c r="AE25" s="565"/>
      <c r="AF25" s="146"/>
      <c r="AG25" s="523" t="str">
        <f t="shared" ref="AG25" ca="1" si="190">IF(OR(INDIRECT("'update Helper'!I"&amp;AU25+6)="",AF25&lt;&gt;0,AF26&lt;&gt;0),IF(IFERROR((AF25/AF26),"")="","",(AF25/AF26)),INDIRECT("'update Helper'!I"&amp;AU25+6)/100)</f>
        <v/>
      </c>
      <c r="AH25" s="565"/>
      <c r="AI25" s="146"/>
      <c r="AJ25" s="523" t="str">
        <f t="shared" ref="AJ25" ca="1" si="191">IF(OR(INDIRECT("'update Helper'!I"&amp;AU25+7)="",AI25&lt;&gt;0,AI26&lt;&gt;0),IF(IFERROR((AI25/AI26),"")="","",(AI25/AI26)),INDIRECT("'update Helper'!I"&amp;AU25+7)/100)</f>
        <v/>
      </c>
      <c r="AK25" s="565"/>
      <c r="AL25" s="553" t="s">
        <v>2192</v>
      </c>
      <c r="AM25" s="567" t="str">
        <f>IFERROR(IF(VLOOKUP(B25,'Reference Records'!$C$192:$D$250,2,FALSE)=0,"",VLOOKUP(B25,'Reference Records'!$C$192:$D$250,2,FALSE)),"")</f>
        <v>MCI-01305</v>
      </c>
      <c r="AN25" s="147" t="str">
        <f t="array" ref="AN25">IFERROR(IF(INDEX('Reference Records'!$D$87:$D$189,MATCH(LEFT(C25,255),LEFT('Reference Records'!$C$87:$C$189,255),0))=0,"",INDEX('Reference Records'!$D$87:$D$189,MATCH(LEFT(C25,255),LEFT('Reference Records'!$C$87:$C$189,255),0))),"")</f>
        <v>Gender,Age</v>
      </c>
      <c r="AO25" s="147" t="str">
        <f>CONCATENATE(C25,D25)</f>
        <v>HTS-3d⁽ᴹ⁾ Percentage of people who inject drugs that have received an HIV test during the reporting period in KP-specific programs and know their results</v>
      </c>
      <c r="AP25" s="148" t="str">
        <f t="array" ref="AP25">VLOOKUP(LEFT(C25,255),LEFT('Reference Records'!C$86:G420,255),4,0)</f>
        <v>MCI-01617</v>
      </c>
      <c r="AQ25" s="148" t="e">
        <f>MATCH(AP25,'Reference Records'!$F$512:$F$514,0)+ROW(PopulationByCoverage)-1</f>
        <v>#N/A</v>
      </c>
      <c r="AR25" s="148">
        <f>MATCH(AP25,'Reference Records'!$F$512:$F$514,1)+ROW(PopulationByCoverage)-1</f>
        <v>513</v>
      </c>
      <c r="AS25" s="147" t="str">
        <f>C25&amp;D25</f>
        <v>HTS-3d⁽ᴹ⁾ Percentage of people who inject drugs that have received an HIV test during the reporting period in KP-specific programs and know their results</v>
      </c>
      <c r="AT25" s="147">
        <f t="shared" ref="AT25" si="192">AT23+1</f>
        <v>462</v>
      </c>
      <c r="AU25" s="147">
        <f>AU23+'update Helper'!$T$2</f>
        <v>568</v>
      </c>
      <c r="AV25" s="147" t="str">
        <f t="shared" ref="AV25" si="193">CLEAN(IFERROR(LEFT(AY25, SEARCH(";",AY25,1)-1),""))</f>
        <v>Non cumulative</v>
      </c>
      <c r="AW25" s="147" t="str">
        <f t="shared" ref="AW25" si="194">SUBSTITUTE(IFERROR(MID(AY25, SEARCH(";",AY25) + 1, SEARCH(";",AY25,SEARCH(";",AY25)+1) - SEARCH(";",AY25) - 1),""),CHAR(10),"")</f>
        <v>Non cumulative – other</v>
      </c>
      <c r="AX25" s="149" t="str">
        <f t="shared" ref="AX25" si="195">CLEAN(IFERROR(SUBSTITUTE(RIGHT(AY25,LEN(AY25) - SEARCH(";", AY25, SEARCH(";",AY25) + 1)),";",""),""))</f>
        <v>Non cumulative - special</v>
      </c>
      <c r="AY25" s="147" t="str">
        <f t="array" ref="AY25">IFERROR(IF(VLOOKUP(LEFT(C25,255),LEFT('Reference Records'!$C$1:$K$539,255),9,0)=0,"",CONCATENATE(VLOOKUP(LEFT(C25,255),LEFT('Reference Records'!$C$1:$K$539,255),9,0),";")),"")</f>
        <v>Non cumulative;Non cumulative – other;Non cumulative - special;</v>
      </c>
      <c r="AZ25" s="563" t="str">
        <f>IF($BV25="", "", IF($BV25=TRUE, "Yes", "No"))</f>
        <v>No</v>
      </c>
      <c r="BA25" s="561" t="str">
        <f t="shared" ref="BA25" ca="1" si="196">IF($D25="", "",IF(IF(INDIRECT("'update Helper'!W"&amp;AT25)=0,"",INDIRECT("'update Helper'!W"&amp;AT25))=TRUE, "Yes","No"))</f>
        <v/>
      </c>
      <c r="BB25" s="516" t="str">
        <f t="shared" ref="BB25" ca="1" si="197">IF(AND(BS25="Continue",BU25="Continue"),"No Error",IF(AND(BS25&lt;&gt;"Continue",BU25="Continue"),BS25,IF(AND(BU25&lt;&gt;"Continue",BS25="Continue"),BU25,CONCATENATE(BS25,CHAR(10),BU25))))</f>
        <v>No Error</v>
      </c>
      <c r="BC25" s="520" t="str" cm="1">
        <f t="array" ref="BC25">IF(ISBLANK(C25),"Continue",(IF(IFERROR(_xlfn.XMATCH(C25,LEFT('Reference Records'!$C$86:$C$189,32768),0),0)&lt;&gt;0,"Continue","Invalid indicator entry. Select from dropdown list.")))</f>
        <v>Continue</v>
      </c>
      <c r="BD25" s="520" t="str">
        <f t="shared" ref="BD25" si="198">IF(SUM(BE25:BM26)=0, "Continue", "Enter valid number only.")</f>
        <v>Continue</v>
      </c>
      <c r="BE25" s="150">
        <f t="shared" si="0"/>
        <v>0</v>
      </c>
      <c r="BF25" s="150">
        <f t="shared" si="1"/>
        <v>0</v>
      </c>
      <c r="BG25" s="150">
        <f t="shared" si="2"/>
        <v>0</v>
      </c>
      <c r="BH25" s="150">
        <f t="shared" si="3"/>
        <v>0</v>
      </c>
      <c r="BI25" s="150">
        <f t="shared" si="4"/>
        <v>0</v>
      </c>
      <c r="BJ25" s="150">
        <f t="shared" si="5"/>
        <v>0</v>
      </c>
      <c r="BK25" s="150">
        <f t="shared" si="6"/>
        <v>0</v>
      </c>
      <c r="BL25" s="150">
        <f t="shared" si="7"/>
        <v>0</v>
      </c>
      <c r="BM25" s="150">
        <f t="shared" si="8"/>
        <v>0</v>
      </c>
      <c r="BN25" s="477" t="str">
        <f>IF(NOT(ISBLANK(C25)),IF(C25&lt;&gt;"",IF(_xlfn.XLOOKUP(C25,'Reference Records'!$C$86:$C$189,'Reference Records'!$A$86:$A$189,0,0,1)=AM25,"Continue","Select correct module name."),"Continue"),"Continue")</f>
        <v>Continue</v>
      </c>
      <c r="BO25" s="477" t="str">
        <f t="shared" ref="BO25" ca="1" si="199">IF(AND(BC25="Continue",CG25="Continue"),"Continue",IF(AND(BC25&lt;&gt;"Continue",CG25="Continue"),BC25,IF(AND(CG25&lt;&gt;"Continue",BC25="Continue"),CG25,CONCATENATE(BC25,CHAR(10),CG25))))</f>
        <v>Continue</v>
      </c>
      <c r="BP25" s="477" t="str">
        <f t="shared" ref="BP25" ca="1" si="200">IF(AND((AZ25&lt;&gt;""),(BA25&lt;&gt;"")),"Reversed custom indicator selection not applicable. Value pre-populated in standard indicator column.","Continue")</f>
        <v>Continue</v>
      </c>
      <c r="BQ25" s="477" t="str">
        <f t="shared" ref="BQ25" ca="1" si="201">IF(AND(BN25="Continue",BO25="Continue"),"Continue",
IF(AND(BN25&lt;&gt;"Continue",BO25="Continue"),BN25,
IF(AND(BO25&lt;&gt;"Continue",BN25="Continue"),BO25,
CONCATENATE(BN25,CHAR(10),BO25))))</f>
        <v>Continue</v>
      </c>
      <c r="BR25" s="520" t="str" cm="1">
        <f t="array" ref="BR25">IF(ISBLANK(B25),"Continue",(IF(IFERROR(_xlfn.XMATCH(B25,LEFT('Reference Records'!$J$191:$J$250,32768),0),0)&lt;&gt;0,"Continue","Invalid module entry. Select from dropdown list.")))</f>
        <v>Continue</v>
      </c>
      <c r="BS25" s="520" t="str">
        <f t="shared" ref="BS25" ca="1" si="202">IF(AND(BP25="Continue",BQ25="Continue"),"Continue",IF(AND(BP25&lt;&gt;"Continue",BQ25="Continue"),BP25,IF(AND(BQ25&lt;&gt;"Continue",BP25="Continue"),BQ25,CONCATENATE(BP25,CHAR(10),BQ25))))</f>
        <v>Continue</v>
      </c>
      <c r="BT25" s="520" t="str">
        <f t="shared" ref="BT25" si="203">IF(AND(C25="",D25=""),"Continue",IF(AND(C25="",D25&lt;&gt;""),"Continue",IF(AND(C25&lt;&gt;"",D25=""),"Continue",IF(AND(C25&lt;&gt;"",D25&lt;&gt;""),"Cannot enter both standard and custom indicators on the same line."))))</f>
        <v>Continue</v>
      </c>
      <c r="BU25" s="520" t="str">
        <f t="shared" ref="BU25" si="204">IF(AND(BR25="Continue",BT25="Continue"),"Continue",IF(AND(BR25&lt;&gt;"Continue",BT25="Continue"),BR25,IF(AND(BT25&lt;&gt;"Continue",BR25="Continue"),BT25,CONCATENATE(BR25,CHAR(10),BT25))))</f>
        <v>Continue</v>
      </c>
      <c r="BV25" s="560" t="b">
        <f>IFERROR(INDEX('Reference Records'!$L$86:$L$189,MATCH($C25,'Reference Records'!$C$86:$C$189,0)),"")</f>
        <v>0</v>
      </c>
      <c r="BW25" s="560">
        <f t="shared" ref="BW25" ca="1" si="205">IF(NOT(ISBLANK(F25)),IF(F25&lt;&gt;"",(IF(NOT(ISNUMBER(F25)),1,0)),0),0)</f>
        <v>0</v>
      </c>
      <c r="BX25" s="560">
        <f t="shared" ref="BX25" si="206">IF(NOT(ISBLANK(O25)),IF(O25&lt;&gt;"",(IF(NOT(ISNUMBER(O25)),1,0)),0),0)</f>
        <v>0</v>
      </c>
      <c r="BY25" s="560">
        <f t="shared" ref="BY25" si="207">IF(NOT(ISBLANK(R25)),IF(R25&lt;&gt;"",(IF(NOT(ISNUMBER(R25)),1,0)),0),0)</f>
        <v>0</v>
      </c>
      <c r="BZ25" s="560">
        <f t="shared" ref="BZ25" si="208">IF(NOT(ISBLANK(U25)),IF(U25&lt;&gt;"",(IF(NOT(ISNUMBER(U25)),1,0)),0),0)</f>
        <v>0</v>
      </c>
      <c r="CA25" s="560">
        <f t="shared" ref="CA25" ca="1" si="209">IF(NOT(ISBLANK(X25)),IF(X25&lt;&gt;"",(IF(NOT(ISNUMBER(X25)),1,0)),0),0)</f>
        <v>0</v>
      </c>
      <c r="CB25" s="560">
        <f t="shared" ref="CB25" ca="1" si="210">IF(NOT(ISBLANK(AA25)),IF(AA25&lt;&gt;"",(IF(NOT(ISNUMBER(AA25)),1,0)),0),0)</f>
        <v>0</v>
      </c>
      <c r="CC25" s="560">
        <f t="shared" ref="CC25" ca="1" si="211">IF(NOT(ISBLANK(AD25)),IF(AD25&lt;&gt;"",(IF(NOT(ISNUMBER(AD25)),1,0)),0),0)</f>
        <v>0</v>
      </c>
      <c r="CD25" s="560">
        <f t="shared" ref="CD25" ca="1" si="212">IF(NOT(ISBLANK(AG25)),IF(AG25&lt;&gt;"",(IF(NOT(ISNUMBER(AG25)),1,0)),0),0)</f>
        <v>0</v>
      </c>
      <c r="CE25" s="560">
        <f t="shared" ref="CE25" ca="1" si="213">IF(NOT(ISBLANK(AJ25)),IF(AJ25&lt;&gt;"",(IF(NOT(ISNUMBER(AJ25)),1,0)),0),0)</f>
        <v>0</v>
      </c>
      <c r="CF25" s="560" t="str">
        <f t="shared" ref="CF25" ca="1" si="214">IF(SUM(BW25:CE26)=0, "Continue", "Enter valid number only.")</f>
        <v>Continue</v>
      </c>
      <c r="CG25" s="560" t="str">
        <f t="shared" ref="CG25" ca="1" si="215">IF(AND(CF25="Continue",BD25="Continue"),"Continue",IF(AND(CF25&lt;&gt;"Continue",BD25="Continue"),CF25,IF(AND(BD25&lt;&gt;"Continue",CF25="Continue"),BD25,CONCATENATE(CF25,CHAR(10)))))</f>
        <v>Continue</v>
      </c>
    </row>
    <row r="26" spans="1:85" ht="63.6" customHeight="1" x14ac:dyDescent="0.25">
      <c r="A26" s="559"/>
      <c r="B26" s="522"/>
      <c r="C26" s="522"/>
      <c r="D26" s="522"/>
      <c r="E26" s="144">
        <v>17379</v>
      </c>
      <c r="F26" s="524"/>
      <c r="G26" s="566"/>
      <c r="H26" s="522"/>
      <c r="I26" s="573"/>
      <c r="J26" s="566"/>
      <c r="K26" s="522"/>
      <c r="L26" s="151" t="s">
        <v>625</v>
      </c>
      <c r="M26" s="575"/>
      <c r="N26" s="152">
        <v>17379</v>
      </c>
      <c r="O26" s="544"/>
      <c r="P26" s="569"/>
      <c r="Q26" s="152">
        <v>17379</v>
      </c>
      <c r="R26" s="544"/>
      <c r="S26" s="569"/>
      <c r="T26" s="152">
        <v>17379</v>
      </c>
      <c r="U26" s="544"/>
      <c r="V26" s="566"/>
      <c r="W26" s="146"/>
      <c r="X26" s="524"/>
      <c r="Y26" s="566"/>
      <c r="Z26" s="146"/>
      <c r="AA26" s="524"/>
      <c r="AB26" s="566"/>
      <c r="AC26" s="146"/>
      <c r="AD26" s="524"/>
      <c r="AE26" s="566"/>
      <c r="AF26" s="146"/>
      <c r="AG26" s="524"/>
      <c r="AH26" s="566"/>
      <c r="AI26" s="146"/>
      <c r="AJ26" s="524"/>
      <c r="AK26" s="566"/>
      <c r="AL26" s="522"/>
      <c r="AM26" s="567"/>
      <c r="AN26" s="147"/>
      <c r="AO26" s="147"/>
      <c r="AP26" s="147"/>
      <c r="AQ26" s="147"/>
      <c r="AR26" s="147"/>
      <c r="AS26" s="147"/>
      <c r="AT26" s="147"/>
      <c r="AU26" s="147"/>
      <c r="AV26" s="147"/>
      <c r="AW26" s="147"/>
      <c r="AX26" s="149"/>
      <c r="AY26" s="147"/>
      <c r="AZ26" s="563"/>
      <c r="BA26" s="561"/>
      <c r="BB26" s="516"/>
      <c r="BC26" s="520"/>
      <c r="BD26" s="520"/>
      <c r="BE26" s="150">
        <f t="shared" si="0"/>
        <v>0</v>
      </c>
      <c r="BF26" s="150">
        <f t="shared" si="1"/>
        <v>0</v>
      </c>
      <c r="BG26" s="150">
        <f t="shared" si="2"/>
        <v>0</v>
      </c>
      <c r="BH26" s="150">
        <f t="shared" si="3"/>
        <v>0</v>
      </c>
      <c r="BI26" s="150">
        <f t="shared" si="4"/>
        <v>0</v>
      </c>
      <c r="BJ26" s="150">
        <f t="shared" si="5"/>
        <v>0</v>
      </c>
      <c r="BK26" s="150">
        <f t="shared" si="6"/>
        <v>0</v>
      </c>
      <c r="BL26" s="150">
        <f t="shared" si="7"/>
        <v>0</v>
      </c>
      <c r="BM26" s="150">
        <f t="shared" si="8"/>
        <v>0</v>
      </c>
      <c r="BN26" s="477"/>
      <c r="BO26" s="477"/>
      <c r="BP26" s="477"/>
      <c r="BQ26" s="477"/>
      <c r="BR26" s="520"/>
      <c r="BS26" s="520"/>
      <c r="BT26" s="520"/>
      <c r="BU26" s="520"/>
      <c r="BV26" s="560"/>
      <c r="BW26" s="560"/>
      <c r="BX26" s="560"/>
      <c r="BY26" s="560"/>
      <c r="BZ26" s="560"/>
      <c r="CA26" s="560"/>
      <c r="CB26" s="560"/>
      <c r="CC26" s="560"/>
      <c r="CD26" s="560"/>
      <c r="CE26" s="560"/>
      <c r="CF26" s="560"/>
      <c r="CG26" s="560"/>
    </row>
    <row r="27" spans="1:85" ht="43.05" customHeight="1" x14ac:dyDescent="0.25">
      <c r="A27" s="558">
        <v>10</v>
      </c>
      <c r="B27" s="529" t="s">
        <v>423</v>
      </c>
      <c r="C27" s="529" t="s">
        <v>1167</v>
      </c>
      <c r="D27" s="529"/>
      <c r="E27" s="152">
        <v>4422</v>
      </c>
      <c r="F27" s="543">
        <f ca="1">IF(OR(INDIRECT("'update Helper'!D"&amp;AT27)="",E27&lt;&gt;0,E28&lt;&gt;0),IF(IFERROR((E27/E28),"")="","",(E27/E28)),INDIRECT("'update Helper'!D"&amp;AT27)/100)</f>
        <v>0.70414012738853504</v>
      </c>
      <c r="G27" s="568">
        <v>2022</v>
      </c>
      <c r="H27" s="529" t="s">
        <v>2193</v>
      </c>
      <c r="I27" s="572" t="str">
        <f>AN27</f>
        <v>Gender</v>
      </c>
      <c r="J27" s="568" t="s">
        <v>2182</v>
      </c>
      <c r="K27" s="529" t="s">
        <v>752</v>
      </c>
      <c r="L27" s="153"/>
      <c r="M27" s="576"/>
      <c r="N27" s="152">
        <v>5338</v>
      </c>
      <c r="O27" s="543">
        <f>N27/N28</f>
        <v>0.85</v>
      </c>
      <c r="P27" s="568"/>
      <c r="Q27" s="154">
        <v>5652</v>
      </c>
      <c r="R27" s="543">
        <f>Q27/Q28</f>
        <v>0.9</v>
      </c>
      <c r="S27" s="568"/>
      <c r="T27" s="154">
        <v>5966</v>
      </c>
      <c r="U27" s="543">
        <f>T27/T28</f>
        <v>0.95</v>
      </c>
      <c r="V27" s="568"/>
      <c r="W27" s="154"/>
      <c r="X27" s="543" t="str">
        <f ca="1">IF(OR(INDIRECT("'update Helper'!I"&amp;AU27+3)="",W27&lt;&gt;0,W28&lt;&gt;0),IF(IFERROR((W27/W28),"")="","",(W27/W28)),INDIRECT("'update Helper'!I"&amp;AU27+3)/100)</f>
        <v/>
      </c>
      <c r="Y27" s="568"/>
      <c r="Z27" s="154"/>
      <c r="AA27" s="543" t="str">
        <f ca="1">IF(OR(INDIRECT("'update Helper'!I"&amp;AU27+4)="",Z27&lt;&gt;0,Z28&lt;&gt;0),IF(IFERROR((Z27/Z28),"")="","",(Z27/Z28)),INDIRECT("'update Helper'!I"&amp;AU27+4)/100)</f>
        <v/>
      </c>
      <c r="AB27" s="568"/>
      <c r="AC27" s="154"/>
      <c r="AD27" s="543" t="str">
        <f ca="1">IF(OR(INDIRECT("'update Helper'!I"&amp;AU27+5)="",AC27&lt;&gt;0,AC28&lt;&gt;0),IF(IFERROR((AC27/AC28),"")="","",(AC27/AC28)),INDIRECT("'update Helper'!I"&amp;AU27+5)/100)</f>
        <v/>
      </c>
      <c r="AE27" s="568"/>
      <c r="AF27" s="154"/>
      <c r="AG27" s="570" t="str">
        <f t="shared" ref="AG27" ca="1" si="216">IF(OR(INDIRECT("'update Helper'!I"&amp;AU27+6)="",AF27&lt;&gt;0,AF28&lt;&gt;0),IF(IFERROR((AF27/AF28),"")="","",(AF27/AF28)),INDIRECT("'update Helper'!I"&amp;AU27+6)/100)</f>
        <v/>
      </c>
      <c r="AH27" s="568"/>
      <c r="AI27" s="154"/>
      <c r="AJ27" s="570" t="str">
        <f t="shared" ref="AJ27" ca="1" si="217">IF(OR(INDIRECT("'update Helper'!I"&amp;AU27+7)="",AI27&lt;&gt;0,AI28&lt;&gt;0),IF(IFERROR((AI27/AI28),"")="","",(AI27/AI28)),INDIRECT("'update Helper'!I"&amp;AU27+7)/100)</f>
        <v/>
      </c>
      <c r="AK27" s="568"/>
      <c r="AL27" s="554" t="s">
        <v>2194</v>
      </c>
      <c r="AM27" s="480" t="str">
        <f>IFERROR(IF(VLOOKUP(B27,'Reference Records'!$C$192:$D$250,2,FALSE)=0,"",VLOOKUP(B27,'Reference Records'!$C$192:$D$250,2,FALSE)),"")</f>
        <v>MCI-01305</v>
      </c>
      <c r="AN27" s="52" t="str">
        <f t="array" ref="AN27">IFERROR(IF(INDEX('Reference Records'!$D$87:$D$189,MATCH(LEFT(C27,255),LEFT('Reference Records'!$C$87:$C$189,255),0))=0,"",INDEX('Reference Records'!$D$87:$D$189,MATCH(LEFT(C27,255),LEFT('Reference Records'!$C$87:$C$189,255),0))),"")</f>
        <v>Gender</v>
      </c>
      <c r="AO27" s="52" t="str">
        <f>CONCATENATE(C27,D27)</f>
        <v>HTS-3f⁽ᴹ⁾ Number of people in prisons and other closed settings that have received an HIV test during the reporting period and know their results</v>
      </c>
      <c r="AP27" s="155" t="str">
        <f t="array" ref="AP27">VLOOKUP(LEFT(C27,255),LEFT('Reference Records'!C$86:G422,255),4,0)</f>
        <v>MCI-01619</v>
      </c>
      <c r="AQ27" s="155" t="e">
        <f>MATCH(AP27,'Reference Records'!$F$512:$F$514,0)+ROW(PopulationByCoverage)-1</f>
        <v>#N/A</v>
      </c>
      <c r="AR27" s="155">
        <f>MATCH(AP27,'Reference Records'!$F$512:$F$514,1)+ROW(PopulationByCoverage)-1</f>
        <v>513</v>
      </c>
      <c r="AS27" s="52" t="str">
        <f>C27&amp;D27</f>
        <v>HTS-3f⁽ᴹ⁾ Number of people in prisons and other closed settings that have received an HIV test during the reporting period and know their results</v>
      </c>
      <c r="AT27" s="52">
        <f t="shared" ref="AT27" si="218">AT25+1</f>
        <v>463</v>
      </c>
      <c r="AU27" s="52">
        <f>AU25+'update Helper'!$T$2</f>
        <v>574</v>
      </c>
      <c r="AV27" s="52" t="str">
        <f t="shared" ref="AV27" si="219">CLEAN(IFERROR(LEFT(AY27, SEARCH(";",AY27,1)-1),""))</f>
        <v>Non cumulative</v>
      </c>
      <c r="AW27" s="52" t="str">
        <f t="shared" ref="AW27" si="220">SUBSTITUTE(IFERROR(MID(AY27, SEARCH(";",AY27) + 1, SEARCH(";",AY27,SEARCH(";",AY27)+1) - SEARCH(";",AY27) - 1),""),CHAR(10),"")</f>
        <v/>
      </c>
      <c r="AX27" s="156" t="str">
        <f t="shared" ref="AX27" si="221">CLEAN(IFERROR(SUBSTITUTE(RIGHT(AY27,LEN(AY27) - SEARCH(";", AY27, SEARCH(";",AY27) + 1)),";",""),""))</f>
        <v/>
      </c>
      <c r="AY27" s="52" t="str">
        <f t="array" ref="AY27">IFERROR(IF(VLOOKUP(LEFT(C27,255),LEFT('Reference Records'!$C$1:$K$539,255),9,0)=0,"",CONCATENATE(VLOOKUP(LEFT(C27,255),LEFT('Reference Records'!$C$1:$K$539,255),9,0),";")),"")</f>
        <v>Non cumulative;</v>
      </c>
      <c r="AZ27" s="564" t="str">
        <f>IF($BV27="", "", IF($BV27=TRUE, "Yes", "No"))</f>
        <v>No</v>
      </c>
      <c r="BA27" s="562" t="str">
        <f t="shared" ref="BA27" ca="1" si="222">IF($D27="", "",IF(IF(INDIRECT("'update Helper'!W"&amp;AT27)=0,"",INDIRECT("'update Helper'!W"&amp;AT27))=TRUE, "Yes","No"))</f>
        <v/>
      </c>
      <c r="BB27" s="516" t="str">
        <f t="shared" ref="BB27" ca="1" si="223">IF(AND(BS27="Continue",BU27="Continue"),"No Error",IF(AND(BS27&lt;&gt;"Continue",BU27="Continue"),BS27,IF(AND(BU27&lt;&gt;"Continue",BS27="Continue"),BU27,CONCATENATE(BS27,CHAR(10),BU27))))</f>
        <v>No Error</v>
      </c>
      <c r="BC27" s="520" t="str" cm="1">
        <f t="array" ref="BC27">IF(ISBLANK(C27),"Continue",(IF(IFERROR(_xlfn.XMATCH(C27,LEFT('Reference Records'!$C$86:$C$189,32768),0),0)&lt;&gt;0,"Continue","Invalid indicator entry. Select from dropdown list.")))</f>
        <v>Continue</v>
      </c>
      <c r="BD27" s="520" t="str">
        <f t="shared" ref="BD27" si="224">IF(SUM(BE27:BM28)=0, "Continue", "Enter valid number only.")</f>
        <v>Continue</v>
      </c>
      <c r="BE27" s="150">
        <f t="shared" si="0"/>
        <v>0</v>
      </c>
      <c r="BF27" s="150">
        <f t="shared" si="1"/>
        <v>0</v>
      </c>
      <c r="BG27" s="150">
        <f t="shared" si="2"/>
        <v>0</v>
      </c>
      <c r="BH27" s="150">
        <f t="shared" si="3"/>
        <v>0</v>
      </c>
      <c r="BI27" s="150">
        <f t="shared" si="4"/>
        <v>0</v>
      </c>
      <c r="BJ27" s="150">
        <f t="shared" si="5"/>
        <v>0</v>
      </c>
      <c r="BK27" s="150">
        <f t="shared" si="6"/>
        <v>0</v>
      </c>
      <c r="BL27" s="150">
        <f t="shared" si="7"/>
        <v>0</v>
      </c>
      <c r="BM27" s="150">
        <f t="shared" si="8"/>
        <v>0</v>
      </c>
      <c r="BN27" s="477" t="str">
        <f>IF(NOT(ISBLANK(C27)),IF(C27&lt;&gt;"",IF(_xlfn.XLOOKUP(C27,'Reference Records'!$C$86:$C$189,'Reference Records'!$A$86:$A$189,0,0,1)=AM27,"Continue","Select correct module name."),"Continue"),"Continue")</f>
        <v>Continue</v>
      </c>
      <c r="BO27" s="477" t="str">
        <f t="shared" ref="BO27" ca="1" si="225">IF(AND(BC27="Continue",CG27="Continue"),"Continue",IF(AND(BC27&lt;&gt;"Continue",CG27="Continue"),BC27,IF(AND(CG27&lt;&gt;"Continue",BC27="Continue"),CG27,CONCATENATE(BC27,CHAR(10),CG27))))</f>
        <v>Continue</v>
      </c>
      <c r="BP27" s="477" t="str">
        <f t="shared" ref="BP27" ca="1" si="226">IF(AND((AZ27&lt;&gt;""),(BA27&lt;&gt;"")),"Reversed custom indicator selection not applicable. Value pre-populated in standard indicator column.","Continue")</f>
        <v>Continue</v>
      </c>
      <c r="BQ27" s="477" t="str">
        <f t="shared" ref="BQ27" ca="1" si="227">IF(AND(BN27="Continue",BO27="Continue"),"Continue",
IF(AND(BN27&lt;&gt;"Continue",BO27="Continue"),BN27,
IF(AND(BO27&lt;&gt;"Continue",BN27="Continue"),BO27,
CONCATENATE(BN27,CHAR(10),BO27))))</f>
        <v>Continue</v>
      </c>
      <c r="BR27" s="520" t="str" cm="1">
        <f t="array" ref="BR27">IF(ISBLANK(B27),"Continue",(IF(IFERROR(_xlfn.XMATCH(B27,LEFT('Reference Records'!$J$191:$J$250,32768),0),0)&lt;&gt;0,"Continue","Invalid module entry. Select from dropdown list.")))</f>
        <v>Continue</v>
      </c>
      <c r="BS27" s="520" t="str">
        <f t="shared" ref="BS27" ca="1" si="228">IF(AND(BP27="Continue",BQ27="Continue"),"Continue",IF(AND(BP27&lt;&gt;"Continue",BQ27="Continue"),BP27,IF(AND(BQ27&lt;&gt;"Continue",BP27="Continue"),BQ27,CONCATENATE(BP27,CHAR(10),BQ27))))</f>
        <v>Continue</v>
      </c>
      <c r="BT27" s="520" t="str">
        <f t="shared" ref="BT27" si="229">IF(AND(C27="",D27=""),"Continue",IF(AND(C27="",D27&lt;&gt;""),"Continue",IF(AND(C27&lt;&gt;"",D27=""),"Continue",IF(AND(C27&lt;&gt;"",D27&lt;&gt;""),"Cannot enter both standard and custom indicators on the same line."))))</f>
        <v>Continue</v>
      </c>
      <c r="BU27" s="520" t="str">
        <f t="shared" ref="BU27" si="230">IF(AND(BR27="Continue",BT27="Continue"),"Continue",IF(AND(BR27&lt;&gt;"Continue",BT27="Continue"),BR27,IF(AND(BT27&lt;&gt;"Continue",BR27="Continue"),BT27,CONCATENATE(BR27,CHAR(10),BT27))))</f>
        <v>Continue</v>
      </c>
      <c r="BV27" s="560" t="b">
        <f>IFERROR(INDEX('Reference Records'!$L$86:$L$189,MATCH($C27,'Reference Records'!$C$86:$C$189,0)),"")</f>
        <v>0</v>
      </c>
      <c r="BW27" s="560">
        <f t="shared" ref="BW27" ca="1" si="231">IF(NOT(ISBLANK(F27)),IF(F27&lt;&gt;"",(IF(NOT(ISNUMBER(F27)),1,0)),0),0)</f>
        <v>0</v>
      </c>
      <c r="BX27" s="560">
        <f t="shared" ref="BX27" si="232">IF(NOT(ISBLANK(O27)),IF(O27&lt;&gt;"",(IF(NOT(ISNUMBER(O27)),1,0)),0),0)</f>
        <v>0</v>
      </c>
      <c r="BY27" s="560">
        <f t="shared" ref="BY27" si="233">IF(NOT(ISBLANK(R27)),IF(R27&lt;&gt;"",(IF(NOT(ISNUMBER(R27)),1,0)),0),0)</f>
        <v>0</v>
      </c>
      <c r="BZ27" s="560">
        <f t="shared" ref="BZ27" si="234">IF(NOT(ISBLANK(U27)),IF(U27&lt;&gt;"",(IF(NOT(ISNUMBER(U27)),1,0)),0),0)</f>
        <v>0</v>
      </c>
      <c r="CA27" s="560">
        <f t="shared" ref="CA27" ca="1" si="235">IF(NOT(ISBLANK(X27)),IF(X27&lt;&gt;"",(IF(NOT(ISNUMBER(X27)),1,0)),0),0)</f>
        <v>0</v>
      </c>
      <c r="CB27" s="560">
        <f t="shared" ref="CB27" ca="1" si="236">IF(NOT(ISBLANK(AA27)),IF(AA27&lt;&gt;"",(IF(NOT(ISNUMBER(AA27)),1,0)),0),0)</f>
        <v>0</v>
      </c>
      <c r="CC27" s="560">
        <f t="shared" ref="CC27" ca="1" si="237">IF(NOT(ISBLANK(AD27)),IF(AD27&lt;&gt;"",(IF(NOT(ISNUMBER(AD27)),1,0)),0),0)</f>
        <v>0</v>
      </c>
      <c r="CD27" s="560">
        <f t="shared" ref="CD27" ca="1" si="238">IF(NOT(ISBLANK(AG27)),IF(AG27&lt;&gt;"",(IF(NOT(ISNUMBER(AG27)),1,0)),0),0)</f>
        <v>0</v>
      </c>
      <c r="CE27" s="560">
        <f t="shared" ref="CE27" ca="1" si="239">IF(NOT(ISBLANK(AJ27)),IF(AJ27&lt;&gt;"",(IF(NOT(ISNUMBER(AJ27)),1,0)),0),0)</f>
        <v>0</v>
      </c>
      <c r="CF27" s="560" t="str">
        <f t="shared" ref="CF27" ca="1" si="240">IF(SUM(BW27:CE28)=0, "Continue", "Enter valid number only.")</f>
        <v>Continue</v>
      </c>
      <c r="CG27" s="560" t="str">
        <f t="shared" ref="CG27" ca="1" si="241">IF(AND(CF27="Continue",BD27="Continue"),"Continue",IF(AND(CF27&lt;&gt;"Continue",BD27="Continue"),CF27,IF(AND(BD27&lt;&gt;"Continue",CF27="Continue"),BD27,CONCATENATE(CF27,CHAR(10)))))</f>
        <v>Continue</v>
      </c>
    </row>
    <row r="28" spans="1:85" ht="56.1" customHeight="1" x14ac:dyDescent="0.25">
      <c r="A28" s="559"/>
      <c r="B28" s="530"/>
      <c r="C28" s="530"/>
      <c r="D28" s="530"/>
      <c r="E28" s="405">
        <v>6280</v>
      </c>
      <c r="F28" s="544"/>
      <c r="G28" s="569"/>
      <c r="H28" s="530"/>
      <c r="I28" s="573"/>
      <c r="J28" s="569"/>
      <c r="K28" s="530"/>
      <c r="L28" s="157" t="s">
        <v>625</v>
      </c>
      <c r="M28" s="577"/>
      <c r="N28" s="405">
        <v>6280</v>
      </c>
      <c r="O28" s="544"/>
      <c r="P28" s="569"/>
      <c r="Q28" s="405">
        <v>6280</v>
      </c>
      <c r="R28" s="544"/>
      <c r="S28" s="569"/>
      <c r="T28" s="405">
        <v>6280</v>
      </c>
      <c r="U28" s="544"/>
      <c r="V28" s="569"/>
      <c r="W28" s="154"/>
      <c r="X28" s="544"/>
      <c r="Y28" s="569"/>
      <c r="Z28" s="154"/>
      <c r="AA28" s="544"/>
      <c r="AB28" s="569"/>
      <c r="AC28" s="154"/>
      <c r="AD28" s="544"/>
      <c r="AE28" s="569"/>
      <c r="AF28" s="154"/>
      <c r="AG28" s="571"/>
      <c r="AH28" s="569"/>
      <c r="AI28" s="154"/>
      <c r="AJ28" s="571"/>
      <c r="AK28" s="569"/>
      <c r="AL28" s="530"/>
      <c r="AM28" s="480"/>
      <c r="AX28" s="156"/>
      <c r="AZ28" s="564"/>
      <c r="BA28" s="562"/>
      <c r="BB28" s="516"/>
      <c r="BC28" s="520"/>
      <c r="BD28" s="520"/>
      <c r="BE28" s="150">
        <f t="shared" si="0"/>
        <v>0</v>
      </c>
      <c r="BF28" s="150">
        <f t="shared" si="1"/>
        <v>0</v>
      </c>
      <c r="BG28" s="150">
        <f t="shared" si="2"/>
        <v>0</v>
      </c>
      <c r="BH28" s="150">
        <f t="shared" si="3"/>
        <v>0</v>
      </c>
      <c r="BI28" s="150">
        <f t="shared" si="4"/>
        <v>0</v>
      </c>
      <c r="BJ28" s="150">
        <f t="shared" si="5"/>
        <v>0</v>
      </c>
      <c r="BK28" s="150">
        <f t="shared" si="6"/>
        <v>0</v>
      </c>
      <c r="BL28" s="150">
        <f t="shared" si="7"/>
        <v>0</v>
      </c>
      <c r="BM28" s="150">
        <f t="shared" si="8"/>
        <v>0</v>
      </c>
      <c r="BN28" s="477"/>
      <c r="BO28" s="477"/>
      <c r="BP28" s="477"/>
      <c r="BQ28" s="477"/>
      <c r="BR28" s="520"/>
      <c r="BS28" s="520"/>
      <c r="BT28" s="520"/>
      <c r="BU28" s="520"/>
      <c r="BV28" s="560"/>
      <c r="BW28" s="560"/>
      <c r="BX28" s="560"/>
      <c r="BY28" s="560"/>
      <c r="BZ28" s="560"/>
      <c r="CA28" s="560"/>
      <c r="CB28" s="560"/>
      <c r="CC28" s="560"/>
      <c r="CD28" s="560"/>
      <c r="CE28" s="560"/>
      <c r="CF28" s="560"/>
      <c r="CG28" s="560"/>
    </row>
    <row r="29" spans="1:85" ht="63" customHeight="1" x14ac:dyDescent="0.25">
      <c r="A29" s="558">
        <v>11</v>
      </c>
      <c r="B29" s="551" t="s">
        <v>426</v>
      </c>
      <c r="C29" s="551" t="s">
        <v>1182</v>
      </c>
      <c r="D29" s="521"/>
      <c r="E29" s="144">
        <v>5771</v>
      </c>
      <c r="F29" s="523">
        <f ca="1">IF(OR(INDIRECT("'update Helper'!D"&amp;AT29)="",E29&lt;&gt;0,E30&lt;&gt;0),IF(IFERROR((E29/E30),"")="","",(E29/E30)),INDIRECT("'update Helper'!D"&amp;AT29)/100)</f>
        <v>0.57709999999999995</v>
      </c>
      <c r="G29" s="565">
        <v>2022</v>
      </c>
      <c r="H29" s="478" t="s">
        <v>2187</v>
      </c>
      <c r="I29" s="572" t="str">
        <f>AN29</f>
        <v>Gender</v>
      </c>
      <c r="J29" s="565" t="s">
        <v>2182</v>
      </c>
      <c r="K29" s="521" t="s">
        <v>752</v>
      </c>
      <c r="L29" s="145"/>
      <c r="M29" s="574"/>
      <c r="N29" s="144">
        <v>7531</v>
      </c>
      <c r="O29" s="523">
        <f ca="1">IF(OR(INDIRECT("'update Helper'!I"&amp;AU29)="",N29&lt;&gt;0,N30&lt;&gt;0),IF(IFERROR((N29/N30),"")="","",(N29/N30)),INDIRECT("'update Helper'!I"&amp;AU29)/100)</f>
        <v>0.75002489791853399</v>
      </c>
      <c r="P29" s="565"/>
      <c r="Q29" s="146">
        <v>8535</v>
      </c>
      <c r="R29" s="523">
        <f ca="1">IF(OR(INDIRECT("'update Helper'!I"&amp;AU29+1)="",Q29&lt;&gt;0,Q30&lt;&gt;0),IF(IFERROR((Q29/Q30),"")="","",(Q29/Q30)),INDIRECT("'update Helper'!I"&amp;AU29+1)/100)</f>
        <v>0.85001493875112044</v>
      </c>
      <c r="S29" s="565"/>
      <c r="T29" s="146">
        <v>9539</v>
      </c>
      <c r="U29" s="523">
        <f ca="1">IF(OR(INDIRECT("'update Helper'!I"&amp;AU29+2)="",T29&lt;&gt;0,T30&lt;&gt;0),IF(IFERROR((T29/T30),"")="","",(T29/T30)),INDIRECT("'update Helper'!I"&amp;AU29+2)/100)</f>
        <v>0.95000497958370678</v>
      </c>
      <c r="V29" s="565"/>
      <c r="W29" s="146"/>
      <c r="X29" s="523" t="str">
        <f ca="1">IF(OR(INDIRECT("'update Helper'!I"&amp;AU29+3)="",W29&lt;&gt;0,W30&lt;&gt;0),IF(IFERROR((W29/W30),"")="","",(W29/W30)),INDIRECT("'update Helper'!I"&amp;AU29+3)/100)</f>
        <v/>
      </c>
      <c r="Y29" s="565"/>
      <c r="Z29" s="146"/>
      <c r="AA29" s="523" t="str">
        <f ca="1">IF(OR(INDIRECT("'update Helper'!I"&amp;AU29+4)="",Z29&lt;&gt;0,Z30&lt;&gt;0),IF(IFERROR((Z29/Z30),"")="","",(Z29/Z30)),INDIRECT("'update Helper'!I"&amp;AU29+4)/100)</f>
        <v/>
      </c>
      <c r="AB29" s="565"/>
      <c r="AC29" s="146"/>
      <c r="AD29" s="523" t="str">
        <f ca="1">IF(OR(INDIRECT("'update Helper'!I"&amp;AU29+5)="",AC29&lt;&gt;0,AC30&lt;&gt;0),IF(IFERROR((AC29/AC30),"")="","",(AC29/AC30)),INDIRECT("'update Helper'!I"&amp;AU29+5)/100)</f>
        <v/>
      </c>
      <c r="AE29" s="565"/>
      <c r="AF29" s="146"/>
      <c r="AG29" s="523" t="str">
        <f t="shared" ref="AG29" ca="1" si="242">IF(OR(INDIRECT("'update Helper'!I"&amp;AU29+6)="",AF29&lt;&gt;0,AF30&lt;&gt;0),IF(IFERROR((AF29/AF30),"")="","",(AF29/AF30)),INDIRECT("'update Helper'!I"&amp;AU29+6)/100)</f>
        <v/>
      </c>
      <c r="AH29" s="565"/>
      <c r="AI29" s="146"/>
      <c r="AJ29" s="523" t="str">
        <f t="shared" ref="AJ29" ca="1" si="243">IF(OR(INDIRECT("'update Helper'!I"&amp;AU29+7)="",AI29&lt;&gt;0,AI30&lt;&gt;0),IF(IFERROR((AI29/AI30),"")="","",(AI29/AI30)),INDIRECT("'update Helper'!I"&amp;AU29+7)/100)</f>
        <v/>
      </c>
      <c r="AK29" s="565"/>
      <c r="AL29" s="553" t="s">
        <v>2195</v>
      </c>
      <c r="AM29" s="567" t="str">
        <f>IFERROR(IF(VLOOKUP(B29,'Reference Records'!$C$192:$D$250,2,FALSE)=0,"",VLOOKUP(B29,'Reference Records'!$C$192:$D$250,2,FALSE)),"")</f>
        <v>MCI-01306</v>
      </c>
      <c r="AN29" s="147" t="str">
        <f t="array" ref="AN29">IFERROR(IF(INDEX('Reference Records'!$D$87:$D$189,MATCH(LEFT(C29,255),LEFT('Reference Records'!$C$87:$C$189,255),0))=0,"",INDEX('Reference Records'!$D$87:$D$189,MATCH(LEFT(C29,255),LEFT('Reference Records'!$C$87:$C$189,255),0))),"")</f>
        <v>Gender</v>
      </c>
      <c r="AO29" s="147" t="str">
        <f>CONCATENATE(C29,D29)</f>
        <v>TCS-1.1⁽ᴹ⁾ Percentage of people on ART among all people living with HIV at the end of the reporting period</v>
      </c>
      <c r="AP29" s="148" t="str">
        <f t="array" ref="AP29">VLOOKUP(LEFT(C29,255),LEFT('Reference Records'!C$86:G424,255),4,0)</f>
        <v>MCI-01533</v>
      </c>
      <c r="AQ29" s="148" t="e">
        <f>MATCH(AP29,'Reference Records'!$F$512:$F$514,0)+ROW(PopulationByCoverage)-1</f>
        <v>#N/A</v>
      </c>
      <c r="AR29" s="148">
        <f>MATCH(AP29,'Reference Records'!$F$512:$F$514,1)+ROW(PopulationByCoverage)-1</f>
        <v>513</v>
      </c>
      <c r="AS29" s="147" t="str">
        <f>C29&amp;D29</f>
        <v>TCS-1.1⁽ᴹ⁾ Percentage of people on ART among all people living with HIV at the end of the reporting period</v>
      </c>
      <c r="AT29" s="147">
        <f t="shared" ref="AT29" si="244">AT27+1</f>
        <v>464</v>
      </c>
      <c r="AU29" s="147">
        <f>AU27+'update Helper'!$T$2</f>
        <v>580</v>
      </c>
      <c r="AV29" s="147" t="str">
        <f t="shared" ref="AV29" si="245">CLEAN(IFERROR(LEFT(AY29, SEARCH(";",AY29,1)-1),""))</f>
        <v>Non cumulative – other</v>
      </c>
      <c r="AW29" s="147" t="str">
        <f t="shared" ref="AW29" si="246">SUBSTITUTE(IFERROR(MID(AY29, SEARCH(";",AY29) + 1, SEARCH(";",AY29,SEARCH(";",AY29)+1) - SEARCH(";",AY29) - 1),""),CHAR(10),"")</f>
        <v/>
      </c>
      <c r="AX29" s="149" t="str">
        <f t="shared" ref="AX29" si="247">CLEAN(IFERROR(SUBSTITUTE(RIGHT(AY29,LEN(AY29) - SEARCH(";", AY29, SEARCH(";",AY29) + 1)),";",""),""))</f>
        <v/>
      </c>
      <c r="AY29" s="147" t="str">
        <f t="array" ref="AY29">IFERROR(IF(VLOOKUP(LEFT(C29,255),LEFT('Reference Records'!$C$1:$K$539,255),9,0)=0,"",CONCATENATE(VLOOKUP(LEFT(C29,255),LEFT('Reference Records'!$C$1:$K$539,255),9,0),";")),"")</f>
        <v>Non cumulative – other;</v>
      </c>
      <c r="AZ29" s="563" t="str">
        <f>IF($BV29="", "", IF($BV29=TRUE, "Yes", "No"))</f>
        <v>No</v>
      </c>
      <c r="BA29" s="561" t="str">
        <f t="shared" ref="BA29" ca="1" si="248">IF($D29="", "",IF(IF(INDIRECT("'update Helper'!W"&amp;AT29)=0,"",INDIRECT("'update Helper'!W"&amp;AT29))=TRUE, "Yes","No"))</f>
        <v/>
      </c>
      <c r="BB29" s="516" t="str">
        <f t="shared" ref="BB29" ca="1" si="249">IF(AND(BS29="Continue",BU29="Continue"),"No Error",IF(AND(BS29&lt;&gt;"Continue",BU29="Continue"),BS29,IF(AND(BU29&lt;&gt;"Continue",BS29="Continue"),BU29,CONCATENATE(BS29,CHAR(10),BU29))))</f>
        <v>No Error</v>
      </c>
      <c r="BC29" s="520" t="str" cm="1">
        <f t="array" ref="BC29">IF(ISBLANK(C29),"Continue",(IF(IFERROR(_xlfn.XMATCH(C29,LEFT('Reference Records'!$C$86:$C$189,32768),0),0)&lt;&gt;0,"Continue","Invalid indicator entry. Select from dropdown list.")))</f>
        <v>Continue</v>
      </c>
      <c r="BD29" s="520" t="str">
        <f t="shared" ref="BD29" si="250">IF(SUM(BE29:BM30)=0, "Continue", "Enter valid number only.")</f>
        <v>Continue</v>
      </c>
      <c r="BE29" s="150">
        <f t="shared" si="0"/>
        <v>0</v>
      </c>
      <c r="BF29" s="150">
        <f t="shared" si="1"/>
        <v>0</v>
      </c>
      <c r="BG29" s="150">
        <f t="shared" si="2"/>
        <v>0</v>
      </c>
      <c r="BH29" s="150">
        <f t="shared" si="3"/>
        <v>0</v>
      </c>
      <c r="BI29" s="150">
        <f t="shared" si="4"/>
        <v>0</v>
      </c>
      <c r="BJ29" s="150">
        <f t="shared" si="5"/>
        <v>0</v>
      </c>
      <c r="BK29" s="150">
        <f t="shared" si="6"/>
        <v>0</v>
      </c>
      <c r="BL29" s="150">
        <f t="shared" si="7"/>
        <v>0</v>
      </c>
      <c r="BM29" s="150">
        <f t="shared" si="8"/>
        <v>0</v>
      </c>
      <c r="BN29" s="477" t="str">
        <f>IF(NOT(ISBLANK(C29)),IF(C29&lt;&gt;"",IF(_xlfn.XLOOKUP(C29,'Reference Records'!$C$86:$C$189,'Reference Records'!$A$86:$A$189,0,0,1)=AM29,"Continue","Select correct module name."),"Continue"),"Continue")</f>
        <v>Continue</v>
      </c>
      <c r="BO29" s="477" t="str">
        <f t="shared" ref="BO29" ca="1" si="251">IF(AND(BC29="Continue",CG29="Continue"),"Continue",IF(AND(BC29&lt;&gt;"Continue",CG29="Continue"),BC29,IF(AND(CG29&lt;&gt;"Continue",BC29="Continue"),CG29,CONCATENATE(BC29,CHAR(10),CG29))))</f>
        <v>Continue</v>
      </c>
      <c r="BP29" s="477" t="str">
        <f t="shared" ref="BP29" ca="1" si="252">IF(AND((AZ29&lt;&gt;""),(BA29&lt;&gt;"")),"Reversed custom indicator selection not applicable. Value pre-populated in standard indicator column.","Continue")</f>
        <v>Continue</v>
      </c>
      <c r="BQ29" s="477" t="str">
        <f t="shared" ref="BQ29" ca="1" si="253">IF(AND(BN29="Continue",BO29="Continue"),"Continue",
IF(AND(BN29&lt;&gt;"Continue",BO29="Continue"),BN29,
IF(AND(BO29&lt;&gt;"Continue",BN29="Continue"),BO29,
CONCATENATE(BN29,CHAR(10),BO29))))</f>
        <v>Continue</v>
      </c>
      <c r="BR29" s="520" t="str" cm="1">
        <f t="array" ref="BR29">IF(ISBLANK(B29),"Continue",(IF(IFERROR(_xlfn.XMATCH(B29,LEFT('Reference Records'!$J$191:$J$250,32768),0),0)&lt;&gt;0,"Continue","Invalid module entry. Select from dropdown list.")))</f>
        <v>Continue</v>
      </c>
      <c r="BS29" s="520" t="str">
        <f t="shared" ref="BS29" ca="1" si="254">IF(AND(BP29="Continue",BQ29="Continue"),"Continue",IF(AND(BP29&lt;&gt;"Continue",BQ29="Continue"),BP29,IF(AND(BQ29&lt;&gt;"Continue",BP29="Continue"),BQ29,CONCATENATE(BP29,CHAR(10),BQ29))))</f>
        <v>Continue</v>
      </c>
      <c r="BT29" s="520" t="str">
        <f t="shared" ref="BT29" si="255">IF(AND(C29="",D29=""),"Continue",IF(AND(C29="",D29&lt;&gt;""),"Continue",IF(AND(C29&lt;&gt;"",D29=""),"Continue",IF(AND(C29&lt;&gt;"",D29&lt;&gt;""),"Cannot enter both standard and custom indicators on the same line."))))</f>
        <v>Continue</v>
      </c>
      <c r="BU29" s="520" t="str">
        <f t="shared" ref="BU29" si="256">IF(AND(BR29="Continue",BT29="Continue"),"Continue",IF(AND(BR29&lt;&gt;"Continue",BT29="Continue"),BR29,IF(AND(BT29&lt;&gt;"Continue",BR29="Continue"),BT29,CONCATENATE(BR29,CHAR(10),BT29))))</f>
        <v>Continue</v>
      </c>
      <c r="BV29" s="560" t="b">
        <f>IFERROR(INDEX('Reference Records'!$L$86:$L$189,MATCH($C29,'Reference Records'!$C$86:$C$189,0)),"")</f>
        <v>0</v>
      </c>
      <c r="BW29" s="560">
        <f t="shared" ref="BW29" ca="1" si="257">IF(NOT(ISBLANK(F29)),IF(F29&lt;&gt;"",(IF(NOT(ISNUMBER(F29)),1,0)),0),0)</f>
        <v>0</v>
      </c>
      <c r="BX29" s="560">
        <f t="shared" ref="BX29" ca="1" si="258">IF(NOT(ISBLANK(O29)),IF(O29&lt;&gt;"",(IF(NOT(ISNUMBER(O29)),1,0)),0),0)</f>
        <v>0</v>
      </c>
      <c r="BY29" s="560">
        <f t="shared" ref="BY29" ca="1" si="259">IF(NOT(ISBLANK(R29)),IF(R29&lt;&gt;"",(IF(NOT(ISNUMBER(R29)),1,0)),0),0)</f>
        <v>0</v>
      </c>
      <c r="BZ29" s="560">
        <f t="shared" ref="BZ29" ca="1" si="260">IF(NOT(ISBLANK(U29)),IF(U29&lt;&gt;"",(IF(NOT(ISNUMBER(U29)),1,0)),0),0)</f>
        <v>0</v>
      </c>
      <c r="CA29" s="560">
        <f t="shared" ref="CA29" ca="1" si="261">IF(NOT(ISBLANK(X29)),IF(X29&lt;&gt;"",(IF(NOT(ISNUMBER(X29)),1,0)),0),0)</f>
        <v>0</v>
      </c>
      <c r="CB29" s="560">
        <f t="shared" ref="CB29" ca="1" si="262">IF(NOT(ISBLANK(AA29)),IF(AA29&lt;&gt;"",(IF(NOT(ISNUMBER(AA29)),1,0)),0),0)</f>
        <v>0</v>
      </c>
      <c r="CC29" s="560">
        <f t="shared" ref="CC29" ca="1" si="263">IF(NOT(ISBLANK(AD29)),IF(AD29&lt;&gt;"",(IF(NOT(ISNUMBER(AD29)),1,0)),0),0)</f>
        <v>0</v>
      </c>
      <c r="CD29" s="560">
        <f t="shared" ref="CD29" ca="1" si="264">IF(NOT(ISBLANK(AG29)),IF(AG29&lt;&gt;"",(IF(NOT(ISNUMBER(AG29)),1,0)),0),0)</f>
        <v>0</v>
      </c>
      <c r="CE29" s="560">
        <f t="shared" ref="CE29" ca="1" si="265">IF(NOT(ISBLANK(AJ29)),IF(AJ29&lt;&gt;"",(IF(NOT(ISNUMBER(AJ29)),1,0)),0),0)</f>
        <v>0</v>
      </c>
      <c r="CF29" s="560" t="str">
        <f t="shared" ref="CF29" ca="1" si="266">IF(SUM(BW29:CE30)=0, "Continue", "Enter valid number only.")</f>
        <v>Continue</v>
      </c>
      <c r="CG29" s="560" t="str">
        <f t="shared" ref="CG29" ca="1" si="267">IF(AND(CF29="Continue",BD29="Continue"),"Continue",IF(AND(CF29&lt;&gt;"Continue",BD29="Continue"),CF29,IF(AND(BD29&lt;&gt;"Continue",CF29="Continue"),BD29,CONCATENATE(CF29,CHAR(10)))))</f>
        <v>Continue</v>
      </c>
    </row>
    <row r="30" spans="1:85" ht="72" customHeight="1" x14ac:dyDescent="0.25">
      <c r="A30" s="559"/>
      <c r="B30" s="552"/>
      <c r="C30" s="552"/>
      <c r="D30" s="522"/>
      <c r="E30" s="144">
        <v>10000</v>
      </c>
      <c r="F30" s="524"/>
      <c r="G30" s="566"/>
      <c r="H30" s="479"/>
      <c r="I30" s="573"/>
      <c r="J30" s="566"/>
      <c r="K30" s="522"/>
      <c r="L30" s="151" t="s">
        <v>625</v>
      </c>
      <c r="M30" s="575"/>
      <c r="N30" s="406">
        <v>10041</v>
      </c>
      <c r="O30" s="524"/>
      <c r="P30" s="566"/>
      <c r="Q30" s="406">
        <v>10041</v>
      </c>
      <c r="R30" s="524"/>
      <c r="S30" s="566"/>
      <c r="T30" s="406">
        <v>10041</v>
      </c>
      <c r="U30" s="524"/>
      <c r="V30" s="566"/>
      <c r="W30" s="146"/>
      <c r="X30" s="524"/>
      <c r="Y30" s="566"/>
      <c r="Z30" s="146"/>
      <c r="AA30" s="524"/>
      <c r="AB30" s="566"/>
      <c r="AC30" s="146"/>
      <c r="AD30" s="524"/>
      <c r="AE30" s="566"/>
      <c r="AF30" s="146"/>
      <c r="AG30" s="524"/>
      <c r="AH30" s="566"/>
      <c r="AI30" s="146"/>
      <c r="AJ30" s="524"/>
      <c r="AK30" s="566"/>
      <c r="AL30" s="522"/>
      <c r="AM30" s="567"/>
      <c r="AN30" s="147"/>
      <c r="AO30" s="147"/>
      <c r="AP30" s="147"/>
      <c r="AQ30" s="147"/>
      <c r="AR30" s="147"/>
      <c r="AS30" s="147"/>
      <c r="AT30" s="147"/>
      <c r="AU30" s="147"/>
      <c r="AV30" s="147"/>
      <c r="AW30" s="147"/>
      <c r="AX30" s="149"/>
      <c r="AY30" s="147"/>
      <c r="AZ30" s="563"/>
      <c r="BA30" s="561"/>
      <c r="BB30" s="516"/>
      <c r="BC30" s="520"/>
      <c r="BD30" s="520"/>
      <c r="BE30" s="150">
        <f t="shared" si="0"/>
        <v>0</v>
      </c>
      <c r="BF30" s="150">
        <f t="shared" si="1"/>
        <v>0</v>
      </c>
      <c r="BG30" s="150">
        <f t="shared" si="2"/>
        <v>0</v>
      </c>
      <c r="BH30" s="150">
        <f t="shared" si="3"/>
        <v>0</v>
      </c>
      <c r="BI30" s="150">
        <f t="shared" si="4"/>
        <v>0</v>
      </c>
      <c r="BJ30" s="150">
        <f t="shared" si="5"/>
        <v>0</v>
      </c>
      <c r="BK30" s="150">
        <f t="shared" si="6"/>
        <v>0</v>
      </c>
      <c r="BL30" s="150">
        <f t="shared" si="7"/>
        <v>0</v>
      </c>
      <c r="BM30" s="150">
        <f t="shared" si="8"/>
        <v>0</v>
      </c>
      <c r="BN30" s="477"/>
      <c r="BO30" s="477"/>
      <c r="BP30" s="477"/>
      <c r="BQ30" s="477"/>
      <c r="BR30" s="520"/>
      <c r="BS30" s="520"/>
      <c r="BT30" s="520"/>
      <c r="BU30" s="520"/>
      <c r="BV30" s="560"/>
      <c r="BW30" s="560"/>
      <c r="BX30" s="560"/>
      <c r="BY30" s="560"/>
      <c r="BZ30" s="560"/>
      <c r="CA30" s="560"/>
      <c r="CB30" s="560"/>
      <c r="CC30" s="560"/>
      <c r="CD30" s="560"/>
      <c r="CE30" s="560"/>
      <c r="CF30" s="560"/>
      <c r="CG30" s="560"/>
    </row>
    <row r="31" spans="1:85" ht="60" customHeight="1" x14ac:dyDescent="0.25">
      <c r="A31" s="558">
        <v>12</v>
      </c>
      <c r="B31" s="529" t="s">
        <v>426</v>
      </c>
      <c r="C31" s="529" t="s">
        <v>1185</v>
      </c>
      <c r="D31" s="529"/>
      <c r="E31" s="152">
        <v>5604</v>
      </c>
      <c r="F31" s="543">
        <f ca="1">IF(OR(INDIRECT("'update Helper'!D"&amp;AT31)="",E31&lt;&gt;0,E32&lt;&gt;0),IF(IFERROR((E31/E32),"")="","",(E31/E32)),INDIRECT("'update Helper'!D"&amp;AT31)/100)</f>
        <v>0.58374999999999999</v>
      </c>
      <c r="G31" s="568">
        <v>2022</v>
      </c>
      <c r="H31" s="529" t="s">
        <v>2187</v>
      </c>
      <c r="I31" s="572" t="str">
        <f>AN31</f>
        <v>Gender</v>
      </c>
      <c r="J31" s="568" t="s">
        <v>2182</v>
      </c>
      <c r="K31" s="529" t="s">
        <v>752</v>
      </c>
      <c r="L31" s="153"/>
      <c r="M31" s="576"/>
      <c r="N31" s="152"/>
      <c r="O31" s="543">
        <v>0.75</v>
      </c>
      <c r="P31" s="568"/>
      <c r="Q31" s="152"/>
      <c r="R31" s="543">
        <v>0.85</v>
      </c>
      <c r="S31" s="568"/>
      <c r="T31" s="154"/>
      <c r="U31" s="543">
        <v>0.95</v>
      </c>
      <c r="V31" s="568"/>
      <c r="W31" s="154"/>
      <c r="X31" s="543" t="str">
        <f ca="1">IF(OR(INDIRECT("'update Helper'!I"&amp;AU31+3)="",W31&lt;&gt;0,W32&lt;&gt;0),IF(IFERROR((W31/W32),"")="","",(W31/W32)),INDIRECT("'update Helper'!I"&amp;AU31+3)/100)</f>
        <v/>
      </c>
      <c r="Y31" s="568"/>
      <c r="Z31" s="154"/>
      <c r="AA31" s="543" t="str">
        <f ca="1">IF(OR(INDIRECT("'update Helper'!I"&amp;AU31+4)="",Z31&lt;&gt;0,Z32&lt;&gt;0),IF(IFERROR((Z31/Z32),"")="","",(Z31/Z32)),INDIRECT("'update Helper'!I"&amp;AU31+4)/100)</f>
        <v/>
      </c>
      <c r="AB31" s="568"/>
      <c r="AC31" s="154"/>
      <c r="AD31" s="543" t="str">
        <f ca="1">IF(OR(INDIRECT("'update Helper'!I"&amp;AU31+5)="",AC31&lt;&gt;0,AC32&lt;&gt;0),IF(IFERROR((AC31/AC32),"")="","",(AC31/AC32)),INDIRECT("'update Helper'!I"&amp;AU31+5)/100)</f>
        <v/>
      </c>
      <c r="AE31" s="568"/>
      <c r="AF31" s="154"/>
      <c r="AG31" s="570" t="str">
        <f t="shared" ref="AG31" ca="1" si="268">IF(OR(INDIRECT("'update Helper'!I"&amp;AU31+6)="",AF31&lt;&gt;0,AF32&lt;&gt;0),IF(IFERROR((AF31/AF32),"")="","",(AF31/AF32)),INDIRECT("'update Helper'!I"&amp;AU31+6)/100)</f>
        <v/>
      </c>
      <c r="AH31" s="568"/>
      <c r="AI31" s="154"/>
      <c r="AJ31" s="570" t="str">
        <f t="shared" ref="AJ31" ca="1" si="269">IF(OR(INDIRECT("'update Helper'!I"&amp;AU31+7)="",AI31&lt;&gt;0,AI32&lt;&gt;0),IF(IFERROR((AI31/AI32),"")="","",(AI31/AI32)),INDIRECT("'update Helper'!I"&amp;AU31+7)/100)</f>
        <v/>
      </c>
      <c r="AK31" s="568"/>
      <c r="AL31" s="554" t="s">
        <v>2196</v>
      </c>
      <c r="AM31" s="480" t="str">
        <f>IFERROR(IF(VLOOKUP(B31,'Reference Records'!$C$192:$D$250,2,FALSE)=0,"",VLOOKUP(B31,'Reference Records'!$C$192:$D$250,2,FALSE)),"")</f>
        <v>MCI-01306</v>
      </c>
      <c r="AN31" s="52" t="str">
        <f t="array" ref="AN31">IFERROR(IF(INDEX('Reference Records'!$D$87:$D$189,MATCH(LEFT(C31,255),LEFT('Reference Records'!$C$87:$C$189,255),0))=0,"",INDEX('Reference Records'!$D$87:$D$189,MATCH(LEFT(C31,255),LEFT('Reference Records'!$C$87:$C$189,255),0))),"")</f>
        <v>Gender</v>
      </c>
      <c r="AO31" s="52" t="str">
        <f>CONCATENATE(C31,D31)</f>
        <v>TCS-1b⁽ᴹ⁾ Percentage of adults (15 and above) on ART among all adults living with HIV at the end of the reporting period</v>
      </c>
      <c r="AP31" s="155" t="str">
        <f t="array" ref="AP31">VLOOKUP(LEFT(C31,255),LEFT('Reference Records'!C$86:G426,255),4,0)</f>
        <v>MCI-01534</v>
      </c>
      <c r="AQ31" s="155" t="e">
        <f>MATCH(AP31,'Reference Records'!$F$512:$F$514,0)+ROW(PopulationByCoverage)-1</f>
        <v>#N/A</v>
      </c>
      <c r="AR31" s="155">
        <f>MATCH(AP31,'Reference Records'!$F$512:$F$514,1)+ROW(PopulationByCoverage)-1</f>
        <v>513</v>
      </c>
      <c r="AS31" s="52" t="str">
        <f>C31&amp;D31</f>
        <v>TCS-1b⁽ᴹ⁾ Percentage of adults (15 and above) on ART among all adults living with HIV at the end of the reporting period</v>
      </c>
      <c r="AT31" s="52">
        <f t="shared" ref="AT31" si="270">AT29+1</f>
        <v>465</v>
      </c>
      <c r="AU31" s="52">
        <f>AU29+'update Helper'!$T$2</f>
        <v>586</v>
      </c>
      <c r="AV31" s="52" t="str">
        <f t="shared" ref="AV31" si="271">CLEAN(IFERROR(LEFT(AY31, SEARCH(";",AY31,1)-1),""))</f>
        <v>Non cumulative – other</v>
      </c>
      <c r="AW31" s="52" t="str">
        <f t="shared" ref="AW31" si="272">SUBSTITUTE(IFERROR(MID(AY31, SEARCH(";",AY31) + 1, SEARCH(";",AY31,SEARCH(";",AY31)+1) - SEARCH(";",AY31) - 1),""),CHAR(10),"")</f>
        <v/>
      </c>
      <c r="AX31" s="156" t="str">
        <f t="shared" ref="AX31" si="273">CLEAN(IFERROR(SUBSTITUTE(RIGHT(AY31,LEN(AY31) - SEARCH(";", AY31, SEARCH(";",AY31) + 1)),";",""),""))</f>
        <v/>
      </c>
      <c r="AY31" s="52" t="str">
        <f t="array" ref="AY31">IFERROR(IF(VLOOKUP(LEFT(C31,255),LEFT('Reference Records'!$C$1:$K$539,255),9,0)=0,"",CONCATENATE(VLOOKUP(LEFT(C31,255),LEFT('Reference Records'!$C$1:$K$539,255),9,0),";")),"")</f>
        <v>Non cumulative – other;</v>
      </c>
      <c r="AZ31" s="564" t="str">
        <f>IF($BV31="", "", IF($BV31=TRUE, "Yes", "No"))</f>
        <v>No</v>
      </c>
      <c r="BA31" s="562" t="str">
        <f t="shared" ref="BA31" ca="1" si="274">IF($D31="", "",IF(IF(INDIRECT("'update Helper'!W"&amp;AT31)=0,"",INDIRECT("'update Helper'!W"&amp;AT31))=TRUE, "Yes","No"))</f>
        <v/>
      </c>
      <c r="BB31" s="516" t="str">
        <f t="shared" ref="BB31" ca="1" si="275">IF(AND(BS31="Continue",BU31="Continue"),"No Error",IF(AND(BS31&lt;&gt;"Continue",BU31="Continue"),BS31,IF(AND(BU31&lt;&gt;"Continue",BS31="Continue"),BU31,CONCATENATE(BS31,CHAR(10),BU31))))</f>
        <v>No Error</v>
      </c>
      <c r="BC31" s="520" t="str" cm="1">
        <f t="array" ref="BC31">IF(ISBLANK(C31),"Continue",(IF(IFERROR(_xlfn.XMATCH(C31,LEFT('Reference Records'!$C$86:$C$189,32768),0),0)&lt;&gt;0,"Continue","Invalid indicator entry. Select from dropdown list.")))</f>
        <v>Continue</v>
      </c>
      <c r="BD31" s="520" t="str">
        <f t="shared" ref="BD31" si="276">IF(SUM(BE31:BM32)=0, "Continue", "Enter valid number only.")</f>
        <v>Continue</v>
      </c>
      <c r="BE31" s="150">
        <f t="shared" si="0"/>
        <v>0</v>
      </c>
      <c r="BF31" s="150">
        <f t="shared" si="1"/>
        <v>0</v>
      </c>
      <c r="BG31" s="150">
        <f t="shared" si="2"/>
        <v>0</v>
      </c>
      <c r="BH31" s="150">
        <f t="shared" si="3"/>
        <v>0</v>
      </c>
      <c r="BI31" s="150">
        <f t="shared" si="4"/>
        <v>0</v>
      </c>
      <c r="BJ31" s="150">
        <f t="shared" si="5"/>
        <v>0</v>
      </c>
      <c r="BK31" s="150">
        <f t="shared" si="6"/>
        <v>0</v>
      </c>
      <c r="BL31" s="150">
        <f t="shared" si="7"/>
        <v>0</v>
      </c>
      <c r="BM31" s="150">
        <f t="shared" si="8"/>
        <v>0</v>
      </c>
      <c r="BN31" s="477" t="str">
        <f>IF(NOT(ISBLANK(C31)),IF(C31&lt;&gt;"",IF(_xlfn.XLOOKUP(C31,'Reference Records'!$C$86:$C$189,'Reference Records'!$A$86:$A$189,0,0,1)=AM31,"Continue","Select correct module name."),"Continue"),"Continue")</f>
        <v>Continue</v>
      </c>
      <c r="BO31" s="477" t="str">
        <f t="shared" ref="BO31" ca="1" si="277">IF(AND(BC31="Continue",CG31="Continue"),"Continue",IF(AND(BC31&lt;&gt;"Continue",CG31="Continue"),BC31,IF(AND(CG31&lt;&gt;"Continue",BC31="Continue"),CG31,CONCATENATE(BC31,CHAR(10),CG31))))</f>
        <v>Continue</v>
      </c>
      <c r="BP31" s="477" t="str">
        <f t="shared" ref="BP31" ca="1" si="278">IF(AND((AZ31&lt;&gt;""),(BA31&lt;&gt;"")),"Reversed custom indicator selection not applicable. Value pre-populated in standard indicator column.","Continue")</f>
        <v>Continue</v>
      </c>
      <c r="BQ31" s="477" t="str">
        <f t="shared" ref="BQ31" ca="1" si="279">IF(AND(BN31="Continue",BO31="Continue"),"Continue",
IF(AND(BN31&lt;&gt;"Continue",BO31="Continue"),BN31,
IF(AND(BO31&lt;&gt;"Continue",BN31="Continue"),BO31,
CONCATENATE(BN31,CHAR(10),BO31))))</f>
        <v>Continue</v>
      </c>
      <c r="BR31" s="520" t="str" cm="1">
        <f t="array" ref="BR31">IF(ISBLANK(B31),"Continue",(IF(IFERROR(_xlfn.XMATCH(B31,LEFT('Reference Records'!$J$191:$J$250,32768),0),0)&lt;&gt;0,"Continue","Invalid module entry. Select from dropdown list.")))</f>
        <v>Continue</v>
      </c>
      <c r="BS31" s="520" t="str">
        <f t="shared" ref="BS31" ca="1" si="280">IF(AND(BP31="Continue",BQ31="Continue"),"Continue",IF(AND(BP31&lt;&gt;"Continue",BQ31="Continue"),BP31,IF(AND(BQ31&lt;&gt;"Continue",BP31="Continue"),BQ31,CONCATENATE(BP31,CHAR(10),BQ31))))</f>
        <v>Continue</v>
      </c>
      <c r="BT31" s="520" t="str">
        <f t="shared" ref="BT31" si="281">IF(AND(C31="",D31=""),"Continue",IF(AND(C31="",D31&lt;&gt;""),"Continue",IF(AND(C31&lt;&gt;"",D31=""),"Continue",IF(AND(C31&lt;&gt;"",D31&lt;&gt;""),"Cannot enter both standard and custom indicators on the same line."))))</f>
        <v>Continue</v>
      </c>
      <c r="BU31" s="520" t="str">
        <f t="shared" ref="BU31" si="282">IF(AND(BR31="Continue",BT31="Continue"),"Continue",IF(AND(BR31&lt;&gt;"Continue",BT31="Continue"),BR31,IF(AND(BT31&lt;&gt;"Continue",BR31="Continue"),BT31,CONCATENATE(BR31,CHAR(10),BT31))))</f>
        <v>Continue</v>
      </c>
      <c r="BV31" s="560" t="b">
        <f>IFERROR(INDEX('Reference Records'!$L$86:$L$189,MATCH($C31,'Reference Records'!$C$86:$C$189,0)),"")</f>
        <v>0</v>
      </c>
      <c r="BW31" s="560">
        <f t="shared" ref="BW31" ca="1" si="283">IF(NOT(ISBLANK(F31)),IF(F31&lt;&gt;"",(IF(NOT(ISNUMBER(F31)),1,0)),0),0)</f>
        <v>0</v>
      </c>
      <c r="BX31" s="560">
        <f t="shared" ref="BX31" si="284">IF(NOT(ISBLANK(O31)),IF(O31&lt;&gt;"",(IF(NOT(ISNUMBER(O31)),1,0)),0),0)</f>
        <v>0</v>
      </c>
      <c r="BY31" s="560">
        <f t="shared" ref="BY31" si="285">IF(NOT(ISBLANK(R31)),IF(R31&lt;&gt;"",(IF(NOT(ISNUMBER(R31)),1,0)),0),0)</f>
        <v>0</v>
      </c>
      <c r="BZ31" s="560">
        <f t="shared" ref="BZ31" si="286">IF(NOT(ISBLANK(U31)),IF(U31&lt;&gt;"",(IF(NOT(ISNUMBER(U31)),1,0)),0),0)</f>
        <v>0</v>
      </c>
      <c r="CA31" s="560">
        <f t="shared" ref="CA31" ca="1" si="287">IF(NOT(ISBLANK(X31)),IF(X31&lt;&gt;"",(IF(NOT(ISNUMBER(X31)),1,0)),0),0)</f>
        <v>0</v>
      </c>
      <c r="CB31" s="560">
        <f t="shared" ref="CB31" ca="1" si="288">IF(NOT(ISBLANK(AA31)),IF(AA31&lt;&gt;"",(IF(NOT(ISNUMBER(AA31)),1,0)),0),0)</f>
        <v>0</v>
      </c>
      <c r="CC31" s="560">
        <f t="shared" ref="CC31" ca="1" si="289">IF(NOT(ISBLANK(AD31)),IF(AD31&lt;&gt;"",(IF(NOT(ISNUMBER(AD31)),1,0)),0),0)</f>
        <v>0</v>
      </c>
      <c r="CD31" s="560">
        <f t="shared" ref="CD31" ca="1" si="290">IF(NOT(ISBLANK(AG31)),IF(AG31&lt;&gt;"",(IF(NOT(ISNUMBER(AG31)),1,0)),0),0)</f>
        <v>0</v>
      </c>
      <c r="CE31" s="560">
        <f t="shared" ref="CE31" ca="1" si="291">IF(NOT(ISBLANK(AJ31)),IF(AJ31&lt;&gt;"",(IF(NOT(ISNUMBER(AJ31)),1,0)),0),0)</f>
        <v>0</v>
      </c>
      <c r="CF31" s="560" t="str">
        <f t="shared" ref="CF31" ca="1" si="292">IF(SUM(BW31:CE32)=0, "Continue", "Enter valid number only.")</f>
        <v>Continue</v>
      </c>
      <c r="CG31" s="560" t="str">
        <f t="shared" ref="CG31" ca="1" si="293">IF(AND(CF31="Continue",BD31="Continue"),"Continue",IF(AND(CF31&lt;&gt;"Continue",BD31="Continue"),CF31,IF(AND(BD31&lt;&gt;"Continue",CF31="Continue"),BD31,CONCATENATE(CF31,CHAR(10)))))</f>
        <v>Continue</v>
      </c>
    </row>
    <row r="32" spans="1:85" ht="75" customHeight="1" x14ac:dyDescent="0.25">
      <c r="A32" s="559"/>
      <c r="B32" s="530"/>
      <c r="C32" s="530"/>
      <c r="D32" s="530"/>
      <c r="E32" s="411">
        <v>9600</v>
      </c>
      <c r="F32" s="544"/>
      <c r="G32" s="569"/>
      <c r="H32" s="530"/>
      <c r="I32" s="573"/>
      <c r="J32" s="569"/>
      <c r="K32" s="530"/>
      <c r="L32" s="157" t="s">
        <v>625</v>
      </c>
      <c r="M32" s="577"/>
      <c r="N32" s="152"/>
      <c r="O32" s="544"/>
      <c r="P32" s="569"/>
      <c r="Q32" s="152"/>
      <c r="R32" s="544"/>
      <c r="S32" s="569"/>
      <c r="T32" s="152"/>
      <c r="U32" s="544"/>
      <c r="V32" s="569"/>
      <c r="W32" s="154"/>
      <c r="X32" s="544"/>
      <c r="Y32" s="569"/>
      <c r="Z32" s="154"/>
      <c r="AA32" s="544"/>
      <c r="AB32" s="569"/>
      <c r="AC32" s="154"/>
      <c r="AD32" s="544"/>
      <c r="AE32" s="569"/>
      <c r="AF32" s="154"/>
      <c r="AG32" s="571"/>
      <c r="AH32" s="569"/>
      <c r="AI32" s="154"/>
      <c r="AJ32" s="571"/>
      <c r="AK32" s="569"/>
      <c r="AL32" s="530"/>
      <c r="AM32" s="480"/>
      <c r="AX32" s="156"/>
      <c r="AZ32" s="564"/>
      <c r="BA32" s="562"/>
      <c r="BB32" s="516"/>
      <c r="BC32" s="520"/>
      <c r="BD32" s="520"/>
      <c r="BE32" s="150">
        <f t="shared" si="0"/>
        <v>0</v>
      </c>
      <c r="BF32" s="150">
        <f t="shared" si="1"/>
        <v>0</v>
      </c>
      <c r="BG32" s="150">
        <f t="shared" si="2"/>
        <v>0</v>
      </c>
      <c r="BH32" s="150">
        <f t="shared" si="3"/>
        <v>0</v>
      </c>
      <c r="BI32" s="150">
        <f t="shared" si="4"/>
        <v>0</v>
      </c>
      <c r="BJ32" s="150">
        <f t="shared" si="5"/>
        <v>0</v>
      </c>
      <c r="BK32" s="150">
        <f t="shared" si="6"/>
        <v>0</v>
      </c>
      <c r="BL32" s="150">
        <f t="shared" si="7"/>
        <v>0</v>
      </c>
      <c r="BM32" s="150">
        <f t="shared" si="8"/>
        <v>0</v>
      </c>
      <c r="BN32" s="477"/>
      <c r="BO32" s="477"/>
      <c r="BP32" s="477"/>
      <c r="BQ32" s="477"/>
      <c r="BR32" s="520"/>
      <c r="BS32" s="520"/>
      <c r="BT32" s="520"/>
      <c r="BU32" s="520"/>
      <c r="BV32" s="560"/>
      <c r="BW32" s="560"/>
      <c r="BX32" s="560"/>
      <c r="BY32" s="560"/>
      <c r="BZ32" s="560"/>
      <c r="CA32" s="560"/>
      <c r="CB32" s="560"/>
      <c r="CC32" s="560"/>
      <c r="CD32" s="560"/>
      <c r="CE32" s="560"/>
      <c r="CF32" s="560"/>
      <c r="CG32" s="560"/>
    </row>
    <row r="33" spans="1:85" ht="64.5" customHeight="1" x14ac:dyDescent="0.25">
      <c r="A33" s="558">
        <v>13</v>
      </c>
      <c r="B33" s="551" t="s">
        <v>426</v>
      </c>
      <c r="C33" s="551" t="s">
        <v>1188</v>
      </c>
      <c r="D33" s="521"/>
      <c r="E33" s="144">
        <v>167</v>
      </c>
      <c r="F33" s="523">
        <f ca="1">IF(OR(INDIRECT("'update Helper'!D"&amp;AT33)="",E33&lt;&gt;0,E34&lt;&gt;0),IF(IFERROR((E33/E34),"")="","",(E33/E34)),INDIRECT("'update Helper'!D"&amp;AT33)/100)</f>
        <v>0.41749999999999998</v>
      </c>
      <c r="G33" s="565">
        <v>2022</v>
      </c>
      <c r="H33" s="521" t="s">
        <v>2187</v>
      </c>
      <c r="I33" s="572" t="str">
        <f>AN33</f>
        <v>Gender</v>
      </c>
      <c r="J33" s="565" t="s">
        <v>2182</v>
      </c>
      <c r="K33" s="521" t="s">
        <v>752</v>
      </c>
      <c r="L33" s="145"/>
      <c r="M33" s="574"/>
      <c r="N33" s="144"/>
      <c r="O33" s="523">
        <v>0.75</v>
      </c>
      <c r="P33" s="565"/>
      <c r="Q33" s="146"/>
      <c r="R33" s="523">
        <v>0.85</v>
      </c>
      <c r="S33" s="565"/>
      <c r="T33" s="146"/>
      <c r="U33" s="523">
        <v>0.95</v>
      </c>
      <c r="V33" s="565"/>
      <c r="W33" s="146"/>
      <c r="X33" s="523" t="str">
        <f ca="1">IF(OR(INDIRECT("'update Helper'!I"&amp;AU33+3)="",W33&lt;&gt;0,W34&lt;&gt;0),IF(IFERROR((W33/W34),"")="","",(W33/W34)),INDIRECT("'update Helper'!I"&amp;AU33+3)/100)</f>
        <v/>
      </c>
      <c r="Y33" s="565"/>
      <c r="Z33" s="146"/>
      <c r="AA33" s="523" t="str">
        <f ca="1">IF(OR(INDIRECT("'update Helper'!I"&amp;AU33+4)="",Z33&lt;&gt;0,Z34&lt;&gt;0),IF(IFERROR((Z33/Z34),"")="","",(Z33/Z34)),INDIRECT("'update Helper'!I"&amp;AU33+4)/100)</f>
        <v/>
      </c>
      <c r="AB33" s="565"/>
      <c r="AC33" s="146"/>
      <c r="AD33" s="523" t="str">
        <f ca="1">IF(OR(INDIRECT("'update Helper'!I"&amp;AU33+5)="",AC33&lt;&gt;0,AC34&lt;&gt;0),IF(IFERROR((AC33/AC34),"")="","",(AC33/AC34)),INDIRECT("'update Helper'!I"&amp;AU33+5)/100)</f>
        <v/>
      </c>
      <c r="AE33" s="565"/>
      <c r="AF33" s="146"/>
      <c r="AG33" s="523" t="str">
        <f t="shared" ref="AG33" ca="1" si="294">IF(OR(INDIRECT("'update Helper'!I"&amp;AU33+6)="",AF33&lt;&gt;0,AF34&lt;&gt;0),IF(IFERROR((AF33/AF34),"")="","",(AF33/AF34)),INDIRECT("'update Helper'!I"&amp;AU33+6)/100)</f>
        <v/>
      </c>
      <c r="AH33" s="565"/>
      <c r="AI33" s="146"/>
      <c r="AJ33" s="523" t="str">
        <f t="shared" ref="AJ33" ca="1" si="295">IF(OR(INDIRECT("'update Helper'!I"&amp;AU33+7)="",AI33&lt;&gt;0,AI34&lt;&gt;0),IF(IFERROR((AI33/AI34),"")="","",(AI33/AI34)),INDIRECT("'update Helper'!I"&amp;AU33+7)/100)</f>
        <v/>
      </c>
      <c r="AK33" s="565"/>
      <c r="AL33" s="553" t="s">
        <v>2197</v>
      </c>
      <c r="AM33" s="567" t="str">
        <f>IFERROR(IF(VLOOKUP(B33,'Reference Records'!$C$192:$D$250,2,FALSE)=0,"",VLOOKUP(B33,'Reference Records'!$C$192:$D$250,2,FALSE)),"")</f>
        <v>MCI-01306</v>
      </c>
      <c r="AN33" s="147" t="str">
        <f t="array" ref="AN33">IFERROR(IF(INDEX('Reference Records'!$D$87:$D$189,MATCH(LEFT(C33,255),LEFT('Reference Records'!$C$87:$C$189,255),0))=0,"",INDEX('Reference Records'!$D$87:$D$189,MATCH(LEFT(C33,255),LEFT('Reference Records'!$C$87:$C$189,255),0))),"")</f>
        <v>Gender</v>
      </c>
      <c r="AO33" s="147" t="str">
        <f>CONCATENATE(C33,D33)</f>
        <v>TCS-1c⁽ᴹ⁾ Percentage of children (under 15) on ART among all children living with HIV at the end of the reporting period</v>
      </c>
      <c r="AP33" s="148" t="str">
        <f t="array" ref="AP33">VLOOKUP(LEFT(C33,255),LEFT('Reference Records'!C$86:G428,255),4,0)</f>
        <v>MCI-01535</v>
      </c>
      <c r="AQ33" s="148" t="e">
        <f>MATCH(AP33,'Reference Records'!$F$512:$F$514,0)+ROW(PopulationByCoverage)-1</f>
        <v>#N/A</v>
      </c>
      <c r="AR33" s="148">
        <f>MATCH(AP33,'Reference Records'!$F$512:$F$514,1)+ROW(PopulationByCoverage)-1</f>
        <v>513</v>
      </c>
      <c r="AS33" s="147" t="str">
        <f>C33&amp;D33</f>
        <v>TCS-1c⁽ᴹ⁾ Percentage of children (under 15) on ART among all children living with HIV at the end of the reporting period</v>
      </c>
      <c r="AT33" s="147">
        <f t="shared" ref="AT33" si="296">AT31+1</f>
        <v>466</v>
      </c>
      <c r="AU33" s="147">
        <f>AU31+'update Helper'!$T$2</f>
        <v>592</v>
      </c>
      <c r="AV33" s="147" t="str">
        <f t="shared" ref="AV33" si="297">CLEAN(IFERROR(LEFT(AY33, SEARCH(";",AY33,1)-1),""))</f>
        <v>Non cumulative – other</v>
      </c>
      <c r="AW33" s="147" t="str">
        <f t="shared" ref="AW33" si="298">SUBSTITUTE(IFERROR(MID(AY33, SEARCH(";",AY33) + 1, SEARCH(";",AY33,SEARCH(";",AY33)+1) - SEARCH(";",AY33) - 1),""),CHAR(10),"")</f>
        <v/>
      </c>
      <c r="AX33" s="149" t="str">
        <f t="shared" ref="AX33" si="299">CLEAN(IFERROR(SUBSTITUTE(RIGHT(AY33,LEN(AY33) - SEARCH(";", AY33, SEARCH(";",AY33) + 1)),";",""),""))</f>
        <v/>
      </c>
      <c r="AY33" s="147" t="str">
        <f t="array" ref="AY33">IFERROR(IF(VLOOKUP(LEFT(C33,255),LEFT('Reference Records'!$C$1:$K$539,255),9,0)=0,"",CONCATENATE(VLOOKUP(LEFT(C33,255),LEFT('Reference Records'!$C$1:$K$539,255),9,0),";")),"")</f>
        <v>Non cumulative – other;</v>
      </c>
      <c r="AZ33" s="563" t="str">
        <f>IF($BV33="", "", IF($BV33=TRUE, "Yes", "No"))</f>
        <v>No</v>
      </c>
      <c r="BA33" s="561" t="str">
        <f t="shared" ref="BA33" ca="1" si="300">IF($D33="", "",IF(IF(INDIRECT("'update Helper'!W"&amp;AT33)=0,"",INDIRECT("'update Helper'!W"&amp;AT33))=TRUE, "Yes","No"))</f>
        <v/>
      </c>
      <c r="BB33" s="516" t="str">
        <f t="shared" ref="BB33" ca="1" si="301">IF(AND(BS33="Continue",BU33="Continue"),"No Error",IF(AND(BS33&lt;&gt;"Continue",BU33="Continue"),BS33,IF(AND(BU33&lt;&gt;"Continue",BS33="Continue"),BU33,CONCATENATE(BS33,CHAR(10),BU33))))</f>
        <v>No Error</v>
      </c>
      <c r="BC33" s="520" t="str" cm="1">
        <f t="array" ref="BC33">IF(ISBLANK(C33),"Continue",(IF(IFERROR(_xlfn.XMATCH(C33,LEFT('Reference Records'!$C$86:$C$189,32768),0),0)&lt;&gt;0,"Continue","Invalid indicator entry. Select from dropdown list.")))</f>
        <v>Continue</v>
      </c>
      <c r="BD33" s="520" t="str">
        <f t="shared" ref="BD33" si="302">IF(SUM(BE33:BM34)=0, "Continue", "Enter valid number only.")</f>
        <v>Continue</v>
      </c>
      <c r="BE33" s="150">
        <f t="shared" si="0"/>
        <v>0</v>
      </c>
      <c r="BF33" s="150">
        <f t="shared" si="1"/>
        <v>0</v>
      </c>
      <c r="BG33" s="150">
        <f t="shared" si="2"/>
        <v>0</v>
      </c>
      <c r="BH33" s="150">
        <f t="shared" si="3"/>
        <v>0</v>
      </c>
      <c r="BI33" s="150">
        <f t="shared" si="4"/>
        <v>0</v>
      </c>
      <c r="BJ33" s="150">
        <f t="shared" si="5"/>
        <v>0</v>
      </c>
      <c r="BK33" s="150">
        <f t="shared" si="6"/>
        <v>0</v>
      </c>
      <c r="BL33" s="150">
        <f t="shared" si="7"/>
        <v>0</v>
      </c>
      <c r="BM33" s="150">
        <f t="shared" si="8"/>
        <v>0</v>
      </c>
      <c r="BN33" s="477" t="str">
        <f>IF(NOT(ISBLANK(C33)),IF(C33&lt;&gt;"",IF(_xlfn.XLOOKUP(C33,'Reference Records'!$C$86:$C$189,'Reference Records'!$A$86:$A$189,0,0,1)=AM33,"Continue","Select correct module name."),"Continue"),"Continue")</f>
        <v>Continue</v>
      </c>
      <c r="BO33" s="477" t="str">
        <f t="shared" ref="BO33" ca="1" si="303">IF(AND(BC33="Continue",CG33="Continue"),"Continue",IF(AND(BC33&lt;&gt;"Continue",CG33="Continue"),BC33,IF(AND(CG33&lt;&gt;"Continue",BC33="Continue"),CG33,CONCATENATE(BC33,CHAR(10),CG33))))</f>
        <v>Continue</v>
      </c>
      <c r="BP33" s="477" t="str">
        <f t="shared" ref="BP33" ca="1" si="304">IF(AND((AZ33&lt;&gt;""),(BA33&lt;&gt;"")),"Reversed custom indicator selection not applicable. Value pre-populated in standard indicator column.","Continue")</f>
        <v>Continue</v>
      </c>
      <c r="BQ33" s="477" t="str">
        <f t="shared" ref="BQ33" ca="1" si="305">IF(AND(BN33="Continue",BO33="Continue"),"Continue",
IF(AND(BN33&lt;&gt;"Continue",BO33="Continue"),BN33,
IF(AND(BO33&lt;&gt;"Continue",BN33="Continue"),BO33,
CONCATENATE(BN33,CHAR(10),BO33))))</f>
        <v>Continue</v>
      </c>
      <c r="BR33" s="520" t="str" cm="1">
        <f t="array" ref="BR33">IF(ISBLANK(B33),"Continue",(IF(IFERROR(_xlfn.XMATCH(B33,LEFT('Reference Records'!$J$191:$J$250,32768),0),0)&lt;&gt;0,"Continue","Invalid module entry. Select from dropdown list.")))</f>
        <v>Continue</v>
      </c>
      <c r="BS33" s="520" t="str">
        <f t="shared" ref="BS33" ca="1" si="306">IF(AND(BP33="Continue",BQ33="Continue"),"Continue",IF(AND(BP33&lt;&gt;"Continue",BQ33="Continue"),BP33,IF(AND(BQ33&lt;&gt;"Continue",BP33="Continue"),BQ33,CONCATENATE(BP33,CHAR(10),BQ33))))</f>
        <v>Continue</v>
      </c>
      <c r="BT33" s="520" t="str">
        <f t="shared" ref="BT33" si="307">IF(AND(C33="",D33=""),"Continue",IF(AND(C33="",D33&lt;&gt;""),"Continue",IF(AND(C33&lt;&gt;"",D33=""),"Continue",IF(AND(C33&lt;&gt;"",D33&lt;&gt;""),"Cannot enter both standard and custom indicators on the same line."))))</f>
        <v>Continue</v>
      </c>
      <c r="BU33" s="520" t="str">
        <f t="shared" ref="BU33" si="308">IF(AND(BR33="Continue",BT33="Continue"),"Continue",IF(AND(BR33&lt;&gt;"Continue",BT33="Continue"),BR33,IF(AND(BT33&lt;&gt;"Continue",BR33="Continue"),BT33,CONCATENATE(BR33,CHAR(10),BT33))))</f>
        <v>Continue</v>
      </c>
      <c r="BV33" s="560" t="b">
        <f>IFERROR(INDEX('Reference Records'!$L$86:$L$189,MATCH($C33,'Reference Records'!$C$86:$C$189,0)),"")</f>
        <v>0</v>
      </c>
      <c r="BW33" s="560">
        <f t="shared" ref="BW33" ca="1" si="309">IF(NOT(ISBLANK(F33)),IF(F33&lt;&gt;"",(IF(NOT(ISNUMBER(F33)),1,0)),0),0)</f>
        <v>0</v>
      </c>
      <c r="BX33" s="560">
        <f t="shared" ref="BX33" si="310">IF(NOT(ISBLANK(O33)),IF(O33&lt;&gt;"",(IF(NOT(ISNUMBER(O33)),1,0)),0),0)</f>
        <v>0</v>
      </c>
      <c r="BY33" s="560">
        <f t="shared" ref="BY33" si="311">IF(NOT(ISBLANK(R33)),IF(R33&lt;&gt;"",(IF(NOT(ISNUMBER(R33)),1,0)),0),0)</f>
        <v>0</v>
      </c>
      <c r="BZ33" s="560">
        <f t="shared" ref="BZ33" si="312">IF(NOT(ISBLANK(U33)),IF(U33&lt;&gt;"",(IF(NOT(ISNUMBER(U33)),1,0)),0),0)</f>
        <v>0</v>
      </c>
      <c r="CA33" s="560">
        <f t="shared" ref="CA33" ca="1" si="313">IF(NOT(ISBLANK(X33)),IF(X33&lt;&gt;"",(IF(NOT(ISNUMBER(X33)),1,0)),0),0)</f>
        <v>0</v>
      </c>
      <c r="CB33" s="560">
        <f t="shared" ref="CB33" ca="1" si="314">IF(NOT(ISBLANK(AA33)),IF(AA33&lt;&gt;"",(IF(NOT(ISNUMBER(AA33)),1,0)),0),0)</f>
        <v>0</v>
      </c>
      <c r="CC33" s="560">
        <f t="shared" ref="CC33" ca="1" si="315">IF(NOT(ISBLANK(AD33)),IF(AD33&lt;&gt;"",(IF(NOT(ISNUMBER(AD33)),1,0)),0),0)</f>
        <v>0</v>
      </c>
      <c r="CD33" s="560">
        <f t="shared" ref="CD33" ca="1" si="316">IF(NOT(ISBLANK(AG33)),IF(AG33&lt;&gt;"",(IF(NOT(ISNUMBER(AG33)),1,0)),0),0)</f>
        <v>0</v>
      </c>
      <c r="CE33" s="560">
        <f t="shared" ref="CE33" ca="1" si="317">IF(NOT(ISBLANK(AJ33)),IF(AJ33&lt;&gt;"",(IF(NOT(ISNUMBER(AJ33)),1,0)),0),0)</f>
        <v>0</v>
      </c>
      <c r="CF33" s="560" t="str">
        <f t="shared" ref="CF33" ca="1" si="318">IF(SUM(BW33:CE34)=0, "Continue", "Enter valid number only.")</f>
        <v>Continue</v>
      </c>
      <c r="CG33" s="560" t="str">
        <f t="shared" ref="CG33" ca="1" si="319">IF(AND(CF33="Continue",BD33="Continue"),"Continue",IF(AND(CF33&lt;&gt;"Continue",BD33="Continue"),CF33,IF(AND(BD33&lt;&gt;"Continue",CF33="Continue"),BD33,CONCATENATE(CF33,CHAR(10)))))</f>
        <v>Continue</v>
      </c>
    </row>
    <row r="34" spans="1:85" ht="71.55" customHeight="1" x14ac:dyDescent="0.25">
      <c r="A34" s="559"/>
      <c r="B34" s="552"/>
      <c r="C34" s="552"/>
      <c r="D34" s="522"/>
      <c r="E34" s="412">
        <v>400</v>
      </c>
      <c r="F34" s="524"/>
      <c r="G34" s="566"/>
      <c r="H34" s="522"/>
      <c r="I34" s="573"/>
      <c r="J34" s="566"/>
      <c r="K34" s="522"/>
      <c r="L34" s="151" t="s">
        <v>625</v>
      </c>
      <c r="M34" s="575"/>
      <c r="N34" s="144"/>
      <c r="O34" s="524"/>
      <c r="P34" s="566"/>
      <c r="Q34" s="144"/>
      <c r="R34" s="524"/>
      <c r="S34" s="566"/>
      <c r="T34" s="144"/>
      <c r="U34" s="524"/>
      <c r="V34" s="566"/>
      <c r="W34" s="146"/>
      <c r="X34" s="524"/>
      <c r="Y34" s="566"/>
      <c r="Z34" s="146"/>
      <c r="AA34" s="524"/>
      <c r="AB34" s="566"/>
      <c r="AC34" s="146"/>
      <c r="AD34" s="524"/>
      <c r="AE34" s="566"/>
      <c r="AF34" s="146"/>
      <c r="AG34" s="524"/>
      <c r="AH34" s="566"/>
      <c r="AI34" s="146"/>
      <c r="AJ34" s="524"/>
      <c r="AK34" s="566"/>
      <c r="AL34" s="522"/>
      <c r="AM34" s="567"/>
      <c r="AN34" s="147"/>
      <c r="AO34" s="147"/>
      <c r="AP34" s="147"/>
      <c r="AQ34" s="147"/>
      <c r="AR34" s="147"/>
      <c r="AS34" s="147"/>
      <c r="AT34" s="147"/>
      <c r="AU34" s="147"/>
      <c r="AV34" s="147"/>
      <c r="AW34" s="147"/>
      <c r="AX34" s="149"/>
      <c r="AY34" s="147"/>
      <c r="AZ34" s="563"/>
      <c r="BA34" s="561"/>
      <c r="BB34" s="516"/>
      <c r="BC34" s="520"/>
      <c r="BD34" s="520"/>
      <c r="BE34" s="150">
        <f t="shared" si="0"/>
        <v>0</v>
      </c>
      <c r="BF34" s="150">
        <f t="shared" si="1"/>
        <v>0</v>
      </c>
      <c r="BG34" s="150">
        <f t="shared" si="2"/>
        <v>0</v>
      </c>
      <c r="BH34" s="150">
        <f t="shared" si="3"/>
        <v>0</v>
      </c>
      <c r="BI34" s="150">
        <f t="shared" si="4"/>
        <v>0</v>
      </c>
      <c r="BJ34" s="150">
        <f t="shared" si="5"/>
        <v>0</v>
      </c>
      <c r="BK34" s="150">
        <f t="shared" si="6"/>
        <v>0</v>
      </c>
      <c r="BL34" s="150">
        <f t="shared" si="7"/>
        <v>0</v>
      </c>
      <c r="BM34" s="150">
        <f t="shared" si="8"/>
        <v>0</v>
      </c>
      <c r="BN34" s="477"/>
      <c r="BO34" s="477"/>
      <c r="BP34" s="477"/>
      <c r="BQ34" s="477"/>
      <c r="BR34" s="520"/>
      <c r="BS34" s="520"/>
      <c r="BT34" s="520"/>
      <c r="BU34" s="520"/>
      <c r="BV34" s="560"/>
      <c r="BW34" s="560"/>
      <c r="BX34" s="560"/>
      <c r="BY34" s="560"/>
      <c r="BZ34" s="560"/>
      <c r="CA34" s="560"/>
      <c r="CB34" s="560"/>
      <c r="CC34" s="560"/>
      <c r="CD34" s="560"/>
      <c r="CE34" s="560"/>
      <c r="CF34" s="560"/>
      <c r="CG34" s="560"/>
    </row>
    <row r="35" spans="1:85" ht="56.55" customHeight="1" x14ac:dyDescent="0.25">
      <c r="A35" s="558">
        <v>14</v>
      </c>
      <c r="B35" s="529" t="s">
        <v>429</v>
      </c>
      <c r="C35" s="529" t="s">
        <v>1289</v>
      </c>
      <c r="D35" s="529"/>
      <c r="E35" s="152">
        <v>139</v>
      </c>
      <c r="F35" s="543">
        <f ca="1">IF(OR(INDIRECT("'update Helper'!D"&amp;AT35)="",E35&lt;&gt;0,E36&lt;&gt;0),IF(IFERROR((E35/E36),"")="","",(E35/E36)),INDIRECT("'update Helper'!D"&amp;AT35)/100)</f>
        <v>0.96527777777777779</v>
      </c>
      <c r="G35" s="568">
        <v>2022</v>
      </c>
      <c r="H35" s="529" t="s">
        <v>2187</v>
      </c>
      <c r="I35" s="572" t="str">
        <f>AN35</f>
        <v>Gender,Age</v>
      </c>
      <c r="J35" s="568" t="s">
        <v>2182</v>
      </c>
      <c r="K35" s="529" t="s">
        <v>752</v>
      </c>
      <c r="L35" s="153"/>
      <c r="M35" s="576"/>
      <c r="N35" s="152"/>
      <c r="O35" s="543">
        <v>0.97</v>
      </c>
      <c r="P35" s="568"/>
      <c r="Q35" s="152"/>
      <c r="R35" s="543">
        <v>0.98</v>
      </c>
      <c r="S35" s="568"/>
      <c r="T35" s="154"/>
      <c r="U35" s="543">
        <v>0.99</v>
      </c>
      <c r="V35" s="568"/>
      <c r="W35" s="154"/>
      <c r="X35" s="543" t="str">
        <f ca="1">IF(OR(INDIRECT("'update Helper'!I"&amp;AU35+3)="",W35&lt;&gt;0,W36&lt;&gt;0),IF(IFERROR((W35/W36),"")="","",(W35/W36)),INDIRECT("'update Helper'!I"&amp;AU35+3)/100)</f>
        <v/>
      </c>
      <c r="Y35" s="568"/>
      <c r="Z35" s="154"/>
      <c r="AA35" s="543" t="str">
        <f ca="1">IF(OR(INDIRECT("'update Helper'!I"&amp;AU35+4)="",Z35&lt;&gt;0,Z36&lt;&gt;0),IF(IFERROR((Z35/Z36),"")="","",(Z35/Z36)),INDIRECT("'update Helper'!I"&amp;AU35+4)/100)</f>
        <v/>
      </c>
      <c r="AB35" s="568"/>
      <c r="AC35" s="154"/>
      <c r="AD35" s="543" t="str">
        <f ca="1">IF(OR(INDIRECT("'update Helper'!I"&amp;AU35+5)="",AC35&lt;&gt;0,AC36&lt;&gt;0),IF(IFERROR((AC35/AC36),"")="","",(AC35/AC36)),INDIRECT("'update Helper'!I"&amp;AU35+5)/100)</f>
        <v/>
      </c>
      <c r="AE35" s="568"/>
      <c r="AF35" s="154"/>
      <c r="AG35" s="570" t="str">
        <f t="shared" ref="AG35" ca="1" si="320">IF(OR(INDIRECT("'update Helper'!I"&amp;AU35+6)="",AF35&lt;&gt;0,AF36&lt;&gt;0),IF(IFERROR((AF35/AF36),"")="","",(AF35/AF36)),INDIRECT("'update Helper'!I"&amp;AU35+6)/100)</f>
        <v/>
      </c>
      <c r="AH35" s="568"/>
      <c r="AI35" s="154"/>
      <c r="AJ35" s="570" t="str">
        <f t="shared" ref="AJ35" ca="1" si="321">IF(OR(INDIRECT("'update Helper'!I"&amp;AU35+7)="",AI35&lt;&gt;0,AI36&lt;&gt;0),IF(IFERROR((AI35/AI36),"")="","",(AI35/AI36)),INDIRECT("'update Helper'!I"&amp;AU35+7)/100)</f>
        <v/>
      </c>
      <c r="AK35" s="568"/>
      <c r="AL35" s="554" t="s">
        <v>2198</v>
      </c>
      <c r="AM35" s="480" t="str">
        <f>IFERROR(IF(VLOOKUP(B35,'Reference Records'!$C$192:$D$250,2,FALSE)=0,"",VLOOKUP(B35,'Reference Records'!$C$192:$D$250,2,FALSE)),"")</f>
        <v>MCI-01313</v>
      </c>
      <c r="AN35" s="52" t="str">
        <f t="array" ref="AN35">IFERROR(IF(INDEX('Reference Records'!$D$87:$D$189,MATCH(LEFT(C35,255),LEFT('Reference Records'!$C$87:$C$189,255),0))=0,"",INDEX('Reference Records'!$D$87:$D$189,MATCH(LEFT(C35,255),LEFT('Reference Records'!$C$87:$C$189,255),0))),"")</f>
        <v>Gender,Age</v>
      </c>
      <c r="AO35" s="52" t="str">
        <f>CONCATENATE(C35,D35)</f>
        <v>TB/HIV-6⁽ᴹ⁾ Percentage of HIV-positive new and relapse TB patients on ART during TB treatment</v>
      </c>
      <c r="AP35" s="155" t="str">
        <f t="array" ref="AP35">VLOOKUP(LEFT(C35,255),LEFT('Reference Records'!C$86:G430,255),4,0)</f>
        <v>MCI-01547</v>
      </c>
      <c r="AQ35" s="155" t="e">
        <f>MATCH(AP35,'Reference Records'!$F$512:$F$514,0)+ROW(PopulationByCoverage)-1</f>
        <v>#N/A</v>
      </c>
      <c r="AR35" s="155">
        <f>MATCH(AP35,'Reference Records'!$F$512:$F$514,1)+ROW(PopulationByCoverage)-1</f>
        <v>513</v>
      </c>
      <c r="AS35" s="52" t="str">
        <f>C35&amp;D35</f>
        <v>TB/HIV-6⁽ᴹ⁾ Percentage of HIV-positive new and relapse TB patients on ART during TB treatment</v>
      </c>
      <c r="AT35" s="52">
        <f t="shared" ref="AT35" si="322">AT33+1</f>
        <v>467</v>
      </c>
      <c r="AU35" s="52">
        <f>AU33+'update Helper'!$T$2</f>
        <v>598</v>
      </c>
      <c r="AV35" s="52" t="str">
        <f t="shared" ref="AV35" si="323">CLEAN(IFERROR(LEFT(AY35, SEARCH(";",AY35,1)-1),""))</f>
        <v>Non cumulative</v>
      </c>
      <c r="AW35" s="52" t="str">
        <f t="shared" ref="AW35" si="324">SUBSTITUTE(IFERROR(MID(AY35, SEARCH(";",AY35) + 1, SEARCH(";",AY35,SEARCH(";",AY35)+1) - SEARCH(";",AY35) - 1),""),CHAR(10),"")</f>
        <v/>
      </c>
      <c r="AX35" s="156" t="str">
        <f t="shared" ref="AX35" si="325">CLEAN(IFERROR(SUBSTITUTE(RIGHT(AY35,LEN(AY35) - SEARCH(";", AY35, SEARCH(";",AY35) + 1)),";",""),""))</f>
        <v/>
      </c>
      <c r="AY35" s="52" t="str">
        <f t="array" ref="AY35">IFERROR(IF(VLOOKUP(LEFT(C35,255),LEFT('Reference Records'!$C$1:$K$539,255),9,0)=0,"",CONCATENATE(VLOOKUP(LEFT(C35,255),LEFT('Reference Records'!$C$1:$K$539,255),9,0),";")),"")</f>
        <v>Non cumulative;</v>
      </c>
      <c r="AZ35" s="564" t="str">
        <f>IF($BV35="", "", IF($BV35=TRUE, "Yes", "No"))</f>
        <v>No</v>
      </c>
      <c r="BA35" s="562" t="str">
        <f t="shared" ref="BA35" ca="1" si="326">IF($D35="", "",IF(IF(INDIRECT("'update Helper'!W"&amp;AT35)=0,"",INDIRECT("'update Helper'!W"&amp;AT35))=TRUE, "Yes","No"))</f>
        <v/>
      </c>
      <c r="BB35" s="516" t="str">
        <f t="shared" ref="BB35" ca="1" si="327">IF(AND(BS35="Continue",BU35="Continue"),"No Error",IF(AND(BS35&lt;&gt;"Continue",BU35="Continue"),BS35,IF(AND(BU35&lt;&gt;"Continue",BS35="Continue"),BU35,CONCATENATE(BS35,CHAR(10),BU35))))</f>
        <v>No Error</v>
      </c>
      <c r="BC35" s="520" t="str" cm="1">
        <f t="array" ref="BC35">IF(ISBLANK(C35),"Continue",(IF(IFERROR(_xlfn.XMATCH(C35,LEFT('Reference Records'!$C$86:$C$189,32768),0),0)&lt;&gt;0,"Continue","Invalid indicator entry. Select from dropdown list.")))</f>
        <v>Continue</v>
      </c>
      <c r="BD35" s="520" t="str">
        <f t="shared" ref="BD35" si="328">IF(SUM(BE35:BM36)=0, "Continue", "Enter valid number only.")</f>
        <v>Continue</v>
      </c>
      <c r="BE35" s="150">
        <f t="shared" si="0"/>
        <v>0</v>
      </c>
      <c r="BF35" s="150">
        <f t="shared" si="1"/>
        <v>0</v>
      </c>
      <c r="BG35" s="150">
        <f t="shared" si="2"/>
        <v>0</v>
      </c>
      <c r="BH35" s="150">
        <f t="shared" si="3"/>
        <v>0</v>
      </c>
      <c r="BI35" s="150">
        <f t="shared" si="4"/>
        <v>0</v>
      </c>
      <c r="BJ35" s="150">
        <f t="shared" si="5"/>
        <v>0</v>
      </c>
      <c r="BK35" s="150">
        <f t="shared" si="6"/>
        <v>0</v>
      </c>
      <c r="BL35" s="150">
        <f t="shared" si="7"/>
        <v>0</v>
      </c>
      <c r="BM35" s="150">
        <f t="shared" si="8"/>
        <v>0</v>
      </c>
      <c r="BN35" s="477" t="str">
        <f>IF(NOT(ISBLANK(C35)),IF(C35&lt;&gt;"",IF(_xlfn.XLOOKUP(C35,'Reference Records'!$C$86:$C$189,'Reference Records'!$A$86:$A$189,0,0,1)=AM35,"Continue","Select correct module name."),"Continue"),"Continue")</f>
        <v>Continue</v>
      </c>
      <c r="BO35" s="477" t="str">
        <f t="shared" ref="BO35" ca="1" si="329">IF(AND(BC35="Continue",CG35="Continue"),"Continue",IF(AND(BC35&lt;&gt;"Continue",CG35="Continue"),BC35,IF(AND(CG35&lt;&gt;"Continue",BC35="Continue"),CG35,CONCATENATE(BC35,CHAR(10),CG35))))</f>
        <v>Continue</v>
      </c>
      <c r="BP35" s="477" t="str">
        <f t="shared" ref="BP35" ca="1" si="330">IF(AND((AZ35&lt;&gt;""),(BA35&lt;&gt;"")),"Reversed custom indicator selection not applicable. Value pre-populated in standard indicator column.","Continue")</f>
        <v>Continue</v>
      </c>
      <c r="BQ35" s="477" t="str">
        <f t="shared" ref="BQ35" ca="1" si="331">IF(AND(BN35="Continue",BO35="Continue"),"Continue",
IF(AND(BN35&lt;&gt;"Continue",BO35="Continue"),BN35,
IF(AND(BO35&lt;&gt;"Continue",BN35="Continue"),BO35,
CONCATENATE(BN35,CHAR(10),BO35))))</f>
        <v>Continue</v>
      </c>
      <c r="BR35" s="520" t="str" cm="1">
        <f t="array" ref="BR35">IF(ISBLANK(B35),"Continue",(IF(IFERROR(_xlfn.XMATCH(B35,LEFT('Reference Records'!$J$191:$J$250,32768),0),0)&lt;&gt;0,"Continue","Invalid module entry. Select from dropdown list.")))</f>
        <v>Continue</v>
      </c>
      <c r="BS35" s="520" t="str">
        <f t="shared" ref="BS35" ca="1" si="332">IF(AND(BP35="Continue",BQ35="Continue"),"Continue",IF(AND(BP35&lt;&gt;"Continue",BQ35="Continue"),BP35,IF(AND(BQ35&lt;&gt;"Continue",BP35="Continue"),BQ35,CONCATENATE(BP35,CHAR(10),BQ35))))</f>
        <v>Continue</v>
      </c>
      <c r="BT35" s="520" t="str">
        <f t="shared" ref="BT35" si="333">IF(AND(C35="",D35=""),"Continue",IF(AND(C35="",D35&lt;&gt;""),"Continue",IF(AND(C35&lt;&gt;"",D35=""),"Continue",IF(AND(C35&lt;&gt;"",D35&lt;&gt;""),"Cannot enter both standard and custom indicators on the same line."))))</f>
        <v>Continue</v>
      </c>
      <c r="BU35" s="520" t="str">
        <f t="shared" ref="BU35" si="334">IF(AND(BR35="Continue",BT35="Continue"),"Continue",IF(AND(BR35&lt;&gt;"Continue",BT35="Continue"),BR35,IF(AND(BT35&lt;&gt;"Continue",BR35="Continue"),BT35,CONCATENATE(BR35,CHAR(10),BT35))))</f>
        <v>Continue</v>
      </c>
      <c r="BV35" s="560" t="b">
        <f>IFERROR(INDEX('Reference Records'!$L$86:$L$189,MATCH($C35,'Reference Records'!$C$86:$C$189,0)),"")</f>
        <v>0</v>
      </c>
      <c r="BW35" s="560">
        <f t="shared" ref="BW35" ca="1" si="335">IF(NOT(ISBLANK(F35)),IF(F35&lt;&gt;"",(IF(NOT(ISNUMBER(F35)),1,0)),0),0)</f>
        <v>0</v>
      </c>
      <c r="BX35" s="560">
        <f t="shared" ref="BX35" si="336">IF(NOT(ISBLANK(O35)),IF(O35&lt;&gt;"",(IF(NOT(ISNUMBER(O35)),1,0)),0),0)</f>
        <v>0</v>
      </c>
      <c r="BY35" s="560">
        <f t="shared" ref="BY35" si="337">IF(NOT(ISBLANK(R35)),IF(R35&lt;&gt;"",(IF(NOT(ISNUMBER(R35)),1,0)),0),0)</f>
        <v>0</v>
      </c>
      <c r="BZ35" s="560">
        <f t="shared" ref="BZ35" si="338">IF(NOT(ISBLANK(U35)),IF(U35&lt;&gt;"",(IF(NOT(ISNUMBER(U35)),1,0)),0),0)</f>
        <v>0</v>
      </c>
      <c r="CA35" s="560">
        <f t="shared" ref="CA35" ca="1" si="339">IF(NOT(ISBLANK(X35)),IF(X35&lt;&gt;"",(IF(NOT(ISNUMBER(X35)),1,0)),0),0)</f>
        <v>0</v>
      </c>
      <c r="CB35" s="560">
        <f t="shared" ref="CB35" ca="1" si="340">IF(NOT(ISBLANK(AA35)),IF(AA35&lt;&gt;"",(IF(NOT(ISNUMBER(AA35)),1,0)),0),0)</f>
        <v>0</v>
      </c>
      <c r="CC35" s="560">
        <f t="shared" ref="CC35" ca="1" si="341">IF(NOT(ISBLANK(AD35)),IF(AD35&lt;&gt;"",(IF(NOT(ISNUMBER(AD35)),1,0)),0),0)</f>
        <v>0</v>
      </c>
      <c r="CD35" s="560">
        <f t="shared" ref="CD35" ca="1" si="342">IF(NOT(ISBLANK(AG35)),IF(AG35&lt;&gt;"",(IF(NOT(ISNUMBER(AG35)),1,0)),0),0)</f>
        <v>0</v>
      </c>
      <c r="CE35" s="560">
        <f t="shared" ref="CE35" ca="1" si="343">IF(NOT(ISBLANK(AJ35)),IF(AJ35&lt;&gt;"",(IF(NOT(ISNUMBER(AJ35)),1,0)),0),0)</f>
        <v>0</v>
      </c>
      <c r="CF35" s="560" t="str">
        <f t="shared" ref="CF35" ca="1" si="344">IF(SUM(BW35:CE36)=0, "Continue", "Enter valid number only.")</f>
        <v>Continue</v>
      </c>
      <c r="CG35" s="560" t="str">
        <f t="shared" ref="CG35" ca="1" si="345">IF(AND(CF35="Continue",BD35="Continue"),"Continue",IF(AND(CF35&lt;&gt;"Continue",BD35="Continue"),CF35,IF(AND(BD35&lt;&gt;"Continue",CF35="Continue"),BD35,CONCATENATE(CF35,CHAR(10)))))</f>
        <v>Continue</v>
      </c>
    </row>
    <row r="36" spans="1:85" ht="44.55" customHeight="1" x14ac:dyDescent="0.25">
      <c r="A36" s="559"/>
      <c r="B36" s="530"/>
      <c r="C36" s="530"/>
      <c r="D36" s="530"/>
      <c r="E36" s="152">
        <v>144</v>
      </c>
      <c r="F36" s="544"/>
      <c r="G36" s="569"/>
      <c r="H36" s="530"/>
      <c r="I36" s="573"/>
      <c r="J36" s="569"/>
      <c r="K36" s="530"/>
      <c r="L36" s="157" t="s">
        <v>625</v>
      </c>
      <c r="M36" s="577"/>
      <c r="N36" s="152"/>
      <c r="O36" s="544"/>
      <c r="P36" s="569"/>
      <c r="Q36" s="152"/>
      <c r="R36" s="544"/>
      <c r="S36" s="569"/>
      <c r="T36" s="154"/>
      <c r="U36" s="544"/>
      <c r="V36" s="569"/>
      <c r="W36" s="154"/>
      <c r="X36" s="544"/>
      <c r="Y36" s="569"/>
      <c r="Z36" s="154"/>
      <c r="AA36" s="544"/>
      <c r="AB36" s="569"/>
      <c r="AC36" s="154"/>
      <c r="AD36" s="544"/>
      <c r="AE36" s="569"/>
      <c r="AF36" s="154"/>
      <c r="AG36" s="571"/>
      <c r="AH36" s="569"/>
      <c r="AI36" s="154"/>
      <c r="AJ36" s="571"/>
      <c r="AK36" s="569"/>
      <c r="AL36" s="530"/>
      <c r="AM36" s="480"/>
      <c r="AX36" s="156"/>
      <c r="AZ36" s="564"/>
      <c r="BA36" s="562"/>
      <c r="BB36" s="516"/>
      <c r="BC36" s="520"/>
      <c r="BD36" s="520"/>
      <c r="BE36" s="150">
        <f t="shared" si="0"/>
        <v>0</v>
      </c>
      <c r="BF36" s="150">
        <f t="shared" si="1"/>
        <v>0</v>
      </c>
      <c r="BG36" s="150">
        <f t="shared" si="2"/>
        <v>0</v>
      </c>
      <c r="BH36" s="150">
        <f t="shared" si="3"/>
        <v>0</v>
      </c>
      <c r="BI36" s="150">
        <f t="shared" si="4"/>
        <v>0</v>
      </c>
      <c r="BJ36" s="150">
        <f t="shared" si="5"/>
        <v>0</v>
      </c>
      <c r="BK36" s="150">
        <f t="shared" si="6"/>
        <v>0</v>
      </c>
      <c r="BL36" s="150">
        <f t="shared" si="7"/>
        <v>0</v>
      </c>
      <c r="BM36" s="150">
        <f t="shared" si="8"/>
        <v>0</v>
      </c>
      <c r="BN36" s="477"/>
      <c r="BO36" s="477"/>
      <c r="BP36" s="477"/>
      <c r="BQ36" s="477"/>
      <c r="BR36" s="520"/>
      <c r="BS36" s="520"/>
      <c r="BT36" s="520"/>
      <c r="BU36" s="520"/>
      <c r="BV36" s="560"/>
      <c r="BW36" s="560"/>
      <c r="BX36" s="560"/>
      <c r="BY36" s="560"/>
      <c r="BZ36" s="560"/>
      <c r="CA36" s="560"/>
      <c r="CB36" s="560"/>
      <c r="CC36" s="560"/>
      <c r="CD36" s="560"/>
      <c r="CE36" s="560"/>
      <c r="CF36" s="560"/>
      <c r="CG36" s="560"/>
    </row>
    <row r="37" spans="1:85" ht="54" customHeight="1" x14ac:dyDescent="0.25">
      <c r="A37" s="558">
        <v>15</v>
      </c>
      <c r="B37" s="521" t="s">
        <v>420</v>
      </c>
      <c r="C37" s="521" t="s">
        <v>1113</v>
      </c>
      <c r="D37" s="521"/>
      <c r="E37" s="404">
        <v>791</v>
      </c>
      <c r="F37" s="523">
        <f ca="1">IF(OR(INDIRECT("'update Helper'!D"&amp;AT37)="",E37&lt;&gt;0,E38&lt;&gt;0),IF(IFERROR((E37/E38),"")="","",(E37/E38)),INDIRECT("'update Helper'!D"&amp;AT37)/100)</f>
        <v>4.7939393939393941E-2</v>
      </c>
      <c r="G37" s="565">
        <v>2022</v>
      </c>
      <c r="H37" s="521" t="s">
        <v>2193</v>
      </c>
      <c r="I37" s="572" t="str">
        <f>AN37</f>
        <v>Gender,Age</v>
      </c>
      <c r="J37" s="565" t="s">
        <v>2182</v>
      </c>
      <c r="K37" s="521" t="s">
        <v>752</v>
      </c>
      <c r="L37" s="145"/>
      <c r="M37" s="574"/>
      <c r="N37" s="404">
        <v>800</v>
      </c>
      <c r="O37" s="523">
        <f ca="1">IF(OR(INDIRECT("'update Helper'!I"&amp;AU37)="",N37&lt;&gt;0,N38&lt;&gt;0),IF(IFERROR((N37/N38),"")="","",(N37/N38)),INDIRECT("'update Helper'!I"&amp;AU37)/100)</f>
        <v>4.8484848484848485E-2</v>
      </c>
      <c r="P37" s="565"/>
      <c r="Q37" s="409">
        <v>825</v>
      </c>
      <c r="R37" s="523">
        <f ca="1">IF(OR(INDIRECT("'update Helper'!I"&amp;AU37+1)="",Q37&lt;&gt;0,Q38&lt;&gt;0),IF(IFERROR((Q37/Q38),"")="","",(Q37/Q38)),INDIRECT("'update Helper'!I"&amp;AU37+1)/100)</f>
        <v>0.05</v>
      </c>
      <c r="S37" s="565"/>
      <c r="T37" s="409">
        <v>850</v>
      </c>
      <c r="U37" s="523">
        <f ca="1">IF(OR(INDIRECT("'update Helper'!I"&amp;AU37+2)="",T37&lt;&gt;0,T38&lt;&gt;0),IF(IFERROR((T37/T38),"")="","",(T37/T38)),INDIRECT("'update Helper'!I"&amp;AU37+2)/100)</f>
        <v>5.1515151515151514E-2</v>
      </c>
      <c r="V37" s="565"/>
      <c r="W37" s="146"/>
      <c r="X37" s="523" t="str">
        <f ca="1">IF(OR(INDIRECT("'update Helper'!I"&amp;AU37+3)="",W37&lt;&gt;0,W38&lt;&gt;0),IF(IFERROR((W37/W38),"")="","",(W37/W38)),INDIRECT("'update Helper'!I"&amp;AU37+3)/100)</f>
        <v/>
      </c>
      <c r="Y37" s="565"/>
      <c r="Z37" s="146"/>
      <c r="AA37" s="523" t="str">
        <f ca="1">IF(OR(INDIRECT("'update Helper'!I"&amp;AU37+4)="",Z37&lt;&gt;0,Z38&lt;&gt;0),IF(IFERROR((Z37/Z38),"")="","",(Z37/Z38)),INDIRECT("'update Helper'!I"&amp;AU37+4)/100)</f>
        <v/>
      </c>
      <c r="AB37" s="565"/>
      <c r="AC37" s="146"/>
      <c r="AD37" s="523" t="str">
        <f ca="1">IF(OR(INDIRECT("'update Helper'!I"&amp;AU37+5)="",AC37&lt;&gt;0,AC38&lt;&gt;0),IF(IFERROR((AC37/AC38),"")="","",(AC37/AC38)),INDIRECT("'update Helper'!I"&amp;AU37+5)/100)</f>
        <v/>
      </c>
      <c r="AE37" s="565"/>
      <c r="AF37" s="146"/>
      <c r="AG37" s="523" t="str">
        <f t="shared" ref="AG37" ca="1" si="346">IF(OR(INDIRECT("'update Helper'!I"&amp;AU37+6)="",AF37&lt;&gt;0,AF38&lt;&gt;0),IF(IFERROR((AF37/AF38),"")="","",(AF37/AF38)),INDIRECT("'update Helper'!I"&amp;AU37+6)/100)</f>
        <v/>
      </c>
      <c r="AH37" s="565"/>
      <c r="AI37" s="146"/>
      <c r="AJ37" s="523" t="str">
        <f t="shared" ref="AJ37" ca="1" si="347">IF(OR(INDIRECT("'update Helper'!I"&amp;AU37+7)="",AI37&lt;&gt;0,AI38&lt;&gt;0),IF(IFERROR((AI37/AI38),"")="","",(AI37/AI38)),INDIRECT("'update Helper'!I"&amp;AU37+7)/100)</f>
        <v/>
      </c>
      <c r="AK37" s="565"/>
      <c r="AL37" s="553" t="s">
        <v>2199</v>
      </c>
      <c r="AM37" s="567" t="str">
        <f>IFERROR(IF(VLOOKUP(B37,'Reference Records'!$C$192:$D$250,2,FALSE)=0,"",VLOOKUP(B37,'Reference Records'!$C$192:$D$250,2,FALSE)),"")</f>
        <v>MCI-01299</v>
      </c>
      <c r="AN37" s="147" t="str">
        <f t="array" ref="AN37">IFERROR(IF(INDEX('Reference Records'!$D$87:$D$189,MATCH(LEFT(C37,255),LEFT('Reference Records'!$C$87:$C$189,255),0))=0,"",INDEX('Reference Records'!$D$87:$D$189,MATCH(LEFT(C37,255),LEFT('Reference Records'!$C$87:$C$189,255),0))),"")</f>
        <v>Gender,Age</v>
      </c>
      <c r="AO37" s="147" t="str">
        <f>CONCATENATE(C37,D37)</f>
        <v>KP-8 Percentage of people who inject drugs receiving opioid substitution therapy</v>
      </c>
      <c r="AP37" s="148" t="str">
        <f t="array" ref="AP37">VLOOKUP(LEFT(C37,255),LEFT('Reference Records'!C$86:G432,255),4,0)</f>
        <v>MCI-01528</v>
      </c>
      <c r="AQ37" s="148" t="e">
        <f>MATCH(AP37,'Reference Records'!$F$512:$F$514,0)+ROW(PopulationByCoverage)-1</f>
        <v>#N/A</v>
      </c>
      <c r="AR37" s="148">
        <f>MATCH(AP37,'Reference Records'!$F$512:$F$514,1)+ROW(PopulationByCoverage)-1</f>
        <v>513</v>
      </c>
      <c r="AS37" s="147" t="str">
        <f>C37&amp;D37</f>
        <v>KP-8 Percentage of people who inject drugs receiving opioid substitution therapy</v>
      </c>
      <c r="AT37" s="147">
        <f t="shared" ref="AT37:AT67" si="348">AT35+1</f>
        <v>468</v>
      </c>
      <c r="AU37" s="147">
        <f>AU35+'update Helper'!$T$2</f>
        <v>604</v>
      </c>
      <c r="AV37" s="147" t="str">
        <f t="shared" ref="AV37" si="349">CLEAN(IFERROR(LEFT(AY37, SEARCH(";",AY37,1)-1),""))</f>
        <v>Non cumulative</v>
      </c>
      <c r="AW37" s="147" t="str">
        <f t="shared" ref="AW37" si="350">SUBSTITUTE(IFERROR(MID(AY37, SEARCH(";",AY37) + 1, SEARCH(";",AY37,SEARCH(";",AY37)+1) - SEARCH(";",AY37) - 1),""),CHAR(10),"")</f>
        <v/>
      </c>
      <c r="AX37" s="149" t="str">
        <f t="shared" ref="AX37" si="351">CLEAN(IFERROR(SUBSTITUTE(RIGHT(AY37,LEN(AY37) - SEARCH(";", AY37, SEARCH(";",AY37) + 1)),";",""),""))</f>
        <v/>
      </c>
      <c r="AY37" s="147" t="str">
        <f t="array" ref="AY37">IFERROR(IF(VLOOKUP(LEFT(C37,255),LEFT('Reference Records'!$C$1:$K$539,255),9,0)=0,"",CONCATENATE(VLOOKUP(LEFT(C37,255),LEFT('Reference Records'!$C$1:$K$539,255),9,0),";")),"")</f>
        <v>Non cumulative;</v>
      </c>
      <c r="AZ37" s="563" t="str">
        <f>IF($BV37="", "", IF($BV37=TRUE, "Yes", "No"))</f>
        <v>No</v>
      </c>
      <c r="BA37" s="561" t="str">
        <f t="shared" ref="BA37" ca="1" si="352">IF($D37="", "",IF(IF(INDIRECT("'update Helper'!W"&amp;AT37)=0,"",INDIRECT("'update Helper'!W"&amp;AT37))=TRUE, "Yes","No"))</f>
        <v/>
      </c>
      <c r="BB37" s="516" t="str">
        <f t="shared" ref="BB37" ca="1" si="353">IF(AND(BS37="Continue",BU37="Continue"),"No Error",IF(AND(BS37&lt;&gt;"Continue",BU37="Continue"),BS37,IF(AND(BU37&lt;&gt;"Continue",BS37="Continue"),BU37,CONCATENATE(BS37,CHAR(10),BU37))))</f>
        <v>No Error</v>
      </c>
      <c r="BC37" s="520" t="str" cm="1">
        <f t="array" ref="BC37">IF(ISBLANK(C37),"Continue",(IF(IFERROR(_xlfn.XMATCH(C37,LEFT('Reference Records'!$C$86:$C$189,32768),0),0)&lt;&gt;0,"Continue","Invalid indicator entry. Select from dropdown list.")))</f>
        <v>Continue</v>
      </c>
      <c r="BD37" s="520" t="str">
        <f t="shared" ref="BD37" si="354">IF(SUM(BE37:BM38)=0, "Continue", "Enter valid number only.")</f>
        <v>Continue</v>
      </c>
      <c r="BE37" s="150">
        <f t="shared" si="0"/>
        <v>0</v>
      </c>
      <c r="BF37" s="150">
        <f t="shared" si="1"/>
        <v>0</v>
      </c>
      <c r="BG37" s="150">
        <f t="shared" si="2"/>
        <v>0</v>
      </c>
      <c r="BH37" s="150">
        <f t="shared" si="3"/>
        <v>0</v>
      </c>
      <c r="BI37" s="150">
        <f t="shared" si="4"/>
        <v>0</v>
      </c>
      <c r="BJ37" s="150">
        <f t="shared" si="5"/>
        <v>0</v>
      </c>
      <c r="BK37" s="150">
        <f t="shared" si="6"/>
        <v>0</v>
      </c>
      <c r="BL37" s="150">
        <f t="shared" si="7"/>
        <v>0</v>
      </c>
      <c r="BM37" s="150">
        <f t="shared" si="8"/>
        <v>0</v>
      </c>
      <c r="BN37" s="477" t="str">
        <f>IF(NOT(ISBLANK(C37)),IF(C37&lt;&gt;"",IF(_xlfn.XLOOKUP(C37,'Reference Records'!$C$86:$C$189,'Reference Records'!$A$86:$A$189,0,0,1)=AM37,"Continue","Select correct module name."),"Continue"),"Continue")</f>
        <v>Continue</v>
      </c>
      <c r="BO37" s="477" t="str">
        <f t="shared" ref="BO37" ca="1" si="355">IF(AND(BC37="Continue",CG37="Continue"),"Continue",IF(AND(BC37&lt;&gt;"Continue",CG37="Continue"),BC37,IF(AND(CG37&lt;&gt;"Continue",BC37="Continue"),CG37,CONCATENATE(BC37,CHAR(10),CG37))))</f>
        <v>Continue</v>
      </c>
      <c r="BP37" s="477" t="str">
        <f t="shared" ref="BP37" ca="1" si="356">IF(AND((AZ37&lt;&gt;""),(BA37&lt;&gt;"")),"Reversed custom indicator selection not applicable. Value pre-populated in standard indicator column.","Continue")</f>
        <v>Continue</v>
      </c>
      <c r="BQ37" s="477" t="str">
        <f t="shared" ref="BQ37" ca="1" si="357">IF(AND(BN37="Continue",BO37="Continue"),"Continue",
IF(AND(BN37&lt;&gt;"Continue",BO37="Continue"),BN37,
IF(AND(BO37&lt;&gt;"Continue",BN37="Continue"),BO37,
CONCATENATE(BN37,CHAR(10),BO37))))</f>
        <v>Continue</v>
      </c>
      <c r="BR37" s="520" t="str" cm="1">
        <f t="array" ref="BR37">IF(ISBLANK(B37),"Continue",(IF(IFERROR(_xlfn.XMATCH(B37,LEFT('Reference Records'!$J$191:$J$250,32768),0),0)&lt;&gt;0,"Continue","Invalid module entry. Select from dropdown list.")))</f>
        <v>Continue</v>
      </c>
      <c r="BS37" s="520" t="str">
        <f t="shared" ref="BS37" ca="1" si="358">IF(AND(BP37="Continue",BQ37="Continue"),"Continue",IF(AND(BP37&lt;&gt;"Continue",BQ37="Continue"),BP37,IF(AND(BQ37&lt;&gt;"Continue",BP37="Continue"),BQ37,CONCATENATE(BP37,CHAR(10),BQ37))))</f>
        <v>Continue</v>
      </c>
      <c r="BT37" s="520" t="str">
        <f t="shared" ref="BT37" si="359">IF(AND(C37="",D37=""),"Continue",IF(AND(C37="",D37&lt;&gt;""),"Continue",IF(AND(C37&lt;&gt;"",D37=""),"Continue",IF(AND(C37&lt;&gt;"",D37&lt;&gt;""),"Cannot enter both standard and custom indicators on the same line."))))</f>
        <v>Continue</v>
      </c>
      <c r="BU37" s="520" t="str">
        <f t="shared" ref="BU37" si="360">IF(AND(BR37="Continue",BT37="Continue"),"Continue",IF(AND(BR37&lt;&gt;"Continue",BT37="Continue"),BR37,IF(AND(BT37&lt;&gt;"Continue",BR37="Continue"),BT37,CONCATENATE(BR37,CHAR(10),BT37))))</f>
        <v>Continue</v>
      </c>
      <c r="BV37" s="560" t="b">
        <f>IFERROR(INDEX('Reference Records'!$L$86:$L$189,MATCH($C37,'Reference Records'!$C$86:$C$189,0)),"")</f>
        <v>0</v>
      </c>
      <c r="BW37" s="560">
        <f t="shared" ref="BW37" ca="1" si="361">IF(NOT(ISBLANK(F37)),IF(F37&lt;&gt;"",(IF(NOT(ISNUMBER(F37)),1,0)),0),0)</f>
        <v>0</v>
      </c>
      <c r="BX37" s="560">
        <f t="shared" ref="BX37" ca="1" si="362">IF(NOT(ISBLANK(O37)),IF(O37&lt;&gt;"",(IF(NOT(ISNUMBER(O37)),1,0)),0),0)</f>
        <v>0</v>
      </c>
      <c r="BY37" s="560">
        <f t="shared" ref="BY37" ca="1" si="363">IF(NOT(ISBLANK(R37)),IF(R37&lt;&gt;"",(IF(NOT(ISNUMBER(R37)),1,0)),0),0)</f>
        <v>0</v>
      </c>
      <c r="BZ37" s="560">
        <f t="shared" ref="BZ37" ca="1" si="364">IF(NOT(ISBLANK(U37)),IF(U37&lt;&gt;"",(IF(NOT(ISNUMBER(U37)),1,0)),0),0)</f>
        <v>0</v>
      </c>
      <c r="CA37" s="560">
        <f t="shared" ref="CA37" ca="1" si="365">IF(NOT(ISBLANK(X37)),IF(X37&lt;&gt;"",(IF(NOT(ISNUMBER(X37)),1,0)),0),0)</f>
        <v>0</v>
      </c>
      <c r="CB37" s="560">
        <f t="shared" ref="CB37" ca="1" si="366">IF(NOT(ISBLANK(AA37)),IF(AA37&lt;&gt;"",(IF(NOT(ISNUMBER(AA37)),1,0)),0),0)</f>
        <v>0</v>
      </c>
      <c r="CC37" s="560">
        <f t="shared" ref="CC37" ca="1" si="367">IF(NOT(ISBLANK(AD37)),IF(AD37&lt;&gt;"",(IF(NOT(ISNUMBER(AD37)),1,0)),0),0)</f>
        <v>0</v>
      </c>
      <c r="CD37" s="560">
        <f t="shared" ref="CD37" ca="1" si="368">IF(NOT(ISBLANK(AG37)),IF(AG37&lt;&gt;"",(IF(NOT(ISNUMBER(AG37)),1,0)),0),0)</f>
        <v>0</v>
      </c>
      <c r="CE37" s="560">
        <f t="shared" ref="CE37" ca="1" si="369">IF(NOT(ISBLANK(AJ37)),IF(AJ37&lt;&gt;"",(IF(NOT(ISNUMBER(AJ37)),1,0)),0),0)</f>
        <v>0</v>
      </c>
      <c r="CF37" s="560" t="str">
        <f t="shared" ref="CF37" ca="1" si="370">IF(SUM(BW37:CE38)=0, "Continue", "Enter valid number only.")</f>
        <v>Continue</v>
      </c>
      <c r="CG37" s="560" t="str">
        <f t="shared" ref="CG37" ca="1" si="371">IF(AND(CF37="Continue",BD37="Continue"),"Continue",IF(AND(CF37&lt;&gt;"Continue",BD37="Continue"),CF37,IF(AND(BD37&lt;&gt;"Continue",CF37="Continue"),BD37,CONCATENATE(CF37,CHAR(10)))))</f>
        <v>Continue</v>
      </c>
    </row>
    <row r="38" spans="1:85" ht="62.55" customHeight="1" x14ac:dyDescent="0.25">
      <c r="A38" s="559"/>
      <c r="B38" s="522"/>
      <c r="C38" s="522"/>
      <c r="D38" s="522"/>
      <c r="E38" s="404">
        <v>16500</v>
      </c>
      <c r="F38" s="524"/>
      <c r="G38" s="566"/>
      <c r="H38" s="522"/>
      <c r="I38" s="573"/>
      <c r="J38" s="566"/>
      <c r="K38" s="522"/>
      <c r="L38" s="151" t="s">
        <v>625</v>
      </c>
      <c r="M38" s="575"/>
      <c r="N38" s="404">
        <v>16500</v>
      </c>
      <c r="O38" s="524"/>
      <c r="P38" s="566"/>
      <c r="Q38" s="404">
        <v>16500</v>
      </c>
      <c r="R38" s="524"/>
      <c r="S38" s="566"/>
      <c r="T38" s="404">
        <v>16500</v>
      </c>
      <c r="U38" s="524"/>
      <c r="V38" s="566"/>
      <c r="W38" s="146"/>
      <c r="X38" s="524"/>
      <c r="Y38" s="566"/>
      <c r="Z38" s="146"/>
      <c r="AA38" s="524"/>
      <c r="AB38" s="566"/>
      <c r="AC38" s="146"/>
      <c r="AD38" s="524"/>
      <c r="AE38" s="566"/>
      <c r="AF38" s="146"/>
      <c r="AG38" s="524"/>
      <c r="AH38" s="566"/>
      <c r="AI38" s="146"/>
      <c r="AJ38" s="524"/>
      <c r="AK38" s="566"/>
      <c r="AL38" s="522"/>
      <c r="AM38" s="567"/>
      <c r="AN38" s="147"/>
      <c r="AO38" s="147"/>
      <c r="AP38" s="147"/>
      <c r="AQ38" s="147"/>
      <c r="AR38" s="147"/>
      <c r="AS38" s="147"/>
      <c r="AT38" s="147"/>
      <c r="AU38" s="147"/>
      <c r="AV38" s="147"/>
      <c r="AW38" s="147"/>
      <c r="AX38" s="149"/>
      <c r="AY38" s="147"/>
      <c r="AZ38" s="563"/>
      <c r="BA38" s="561"/>
      <c r="BB38" s="516"/>
      <c r="BC38" s="520"/>
      <c r="BD38" s="520"/>
      <c r="BE38" s="150">
        <f t="shared" si="0"/>
        <v>0</v>
      </c>
      <c r="BF38" s="150">
        <f t="shared" si="1"/>
        <v>0</v>
      </c>
      <c r="BG38" s="150">
        <f t="shared" si="2"/>
        <v>0</v>
      </c>
      <c r="BH38" s="150">
        <f t="shared" si="3"/>
        <v>0</v>
      </c>
      <c r="BI38" s="150">
        <f t="shared" si="4"/>
        <v>0</v>
      </c>
      <c r="BJ38" s="150">
        <f t="shared" si="5"/>
        <v>0</v>
      </c>
      <c r="BK38" s="150">
        <f t="shared" si="6"/>
        <v>0</v>
      </c>
      <c r="BL38" s="150">
        <f t="shared" si="7"/>
        <v>0</v>
      </c>
      <c r="BM38" s="150">
        <f t="shared" si="8"/>
        <v>0</v>
      </c>
      <c r="BN38" s="477"/>
      <c r="BO38" s="477"/>
      <c r="BP38" s="477"/>
      <c r="BQ38" s="477"/>
      <c r="BR38" s="520"/>
      <c r="BS38" s="520"/>
      <c r="BT38" s="520"/>
      <c r="BU38" s="520"/>
      <c r="BV38" s="560"/>
      <c r="BW38" s="560"/>
      <c r="BX38" s="560"/>
      <c r="BY38" s="560"/>
      <c r="BZ38" s="560"/>
      <c r="CA38" s="560"/>
      <c r="CB38" s="560"/>
      <c r="CC38" s="560"/>
      <c r="CD38" s="560"/>
      <c r="CE38" s="560"/>
      <c r="CF38" s="560"/>
      <c r="CG38" s="560"/>
    </row>
    <row r="39" spans="1:85" ht="86.1" customHeight="1" x14ac:dyDescent="0.25">
      <c r="A39" s="558">
        <v>16</v>
      </c>
      <c r="B39" s="529" t="s">
        <v>423</v>
      </c>
      <c r="C39" s="529" t="s">
        <v>1175</v>
      </c>
      <c r="D39" s="529"/>
      <c r="E39" s="152">
        <v>894</v>
      </c>
      <c r="F39" s="543">
        <f ca="1">IF(OR(INDIRECT("'update Helper'!D"&amp;AT39)="",E39&lt;&gt;0,E40&lt;&gt;0),IF(IFERROR((E39/E40),"")="","",(E39/E40)),INDIRECT("'update Helper'!D"&amp;AT39)/100)</f>
        <v>0.92070030895983523</v>
      </c>
      <c r="G39" s="568">
        <v>2022</v>
      </c>
      <c r="H39" s="529" t="s">
        <v>2187</v>
      </c>
      <c r="I39" s="572" t="str">
        <f>AN39</f>
        <v>Gender | Age,Age</v>
      </c>
      <c r="J39" s="568" t="s">
        <v>2182</v>
      </c>
      <c r="K39" s="529" t="s">
        <v>752</v>
      </c>
      <c r="L39" s="153"/>
      <c r="M39" s="576"/>
      <c r="N39" s="152"/>
      <c r="O39" s="523">
        <v>0.95</v>
      </c>
      <c r="P39" s="568"/>
      <c r="Q39" s="152"/>
      <c r="R39" s="523">
        <v>0.95</v>
      </c>
      <c r="S39" s="568"/>
      <c r="T39" s="152"/>
      <c r="U39" s="523">
        <v>0.95</v>
      </c>
      <c r="V39" s="568"/>
      <c r="W39" s="154"/>
      <c r="X39" s="543" t="str">
        <f ca="1">IF(OR(INDIRECT("'update Helper'!I"&amp;AU39+3)="",W39&lt;&gt;0,W40&lt;&gt;0),IF(IFERROR((W39/W40),"")="","",(W39/W40)),INDIRECT("'update Helper'!I"&amp;AU39+3)/100)</f>
        <v/>
      </c>
      <c r="Y39" s="568"/>
      <c r="Z39" s="154"/>
      <c r="AA39" s="543" t="str">
        <f ca="1">IF(OR(INDIRECT("'update Helper'!I"&amp;AU39+4)="",Z39&lt;&gt;0,Z40&lt;&gt;0),IF(IFERROR((Z39/Z40),"")="","",(Z39/Z40)),INDIRECT("'update Helper'!I"&amp;AU39+4)/100)</f>
        <v/>
      </c>
      <c r="AB39" s="568"/>
      <c r="AC39" s="154"/>
      <c r="AD39" s="543" t="str">
        <f ca="1">IF(OR(INDIRECT("'update Helper'!I"&amp;AU39+5)="",AC39&lt;&gt;0,AC40&lt;&gt;0),IF(IFERROR((AC39/AC40),"")="","",(AC39/AC40)),INDIRECT("'update Helper'!I"&amp;AU39+5)/100)</f>
        <v/>
      </c>
      <c r="AE39" s="568"/>
      <c r="AF39" s="154"/>
      <c r="AG39" s="570" t="str">
        <f t="shared" ref="AG39" ca="1" si="372">IF(OR(INDIRECT("'update Helper'!I"&amp;AU39+6)="",AF39&lt;&gt;0,AF40&lt;&gt;0),IF(IFERROR((AF39/AF40),"")="","",(AF39/AF40)),INDIRECT("'update Helper'!I"&amp;AU39+6)/100)</f>
        <v/>
      </c>
      <c r="AH39" s="568"/>
      <c r="AI39" s="154"/>
      <c r="AJ39" s="570" t="str">
        <f t="shared" ref="AJ39" ca="1" si="373">IF(OR(INDIRECT("'update Helper'!I"&amp;AU39+7)="",AI39&lt;&gt;0,AI40&lt;&gt;0),IF(IFERROR((AI39/AI40),"")="","",(AI39/AI40)),INDIRECT("'update Helper'!I"&amp;AU39+7)/100)</f>
        <v/>
      </c>
      <c r="AK39" s="568"/>
      <c r="AL39" s="554" t="s">
        <v>2200</v>
      </c>
      <c r="AM39" s="480" t="str">
        <f>IFERROR(IF(VLOOKUP(B39,'Reference Records'!$C$192:$D$250,2,FALSE)=0,"",VLOOKUP(B39,'Reference Records'!$C$192:$D$250,2,FALSE)),"")</f>
        <v>MCI-01305</v>
      </c>
      <c r="AN39" s="52" t="str">
        <f t="array" ref="AN39">IFERROR(IF(INDEX('Reference Records'!$D$87:$D$189,MATCH(LEFT(C39,255),LEFT('Reference Records'!$C$87:$C$189,255),0))=0,"",INDEX('Reference Records'!$D$87:$D$189,MATCH(LEFT(C39,255),LEFT('Reference Records'!$C$87:$C$189,255),0))),"")</f>
        <v>Gender | Age,Age</v>
      </c>
      <c r="AO39" s="52" t="str">
        <f>CONCATENATE(C39,D39)</f>
        <v>HTS-5 Percentage of people newly diagnosed with HIV initiated on ART</v>
      </c>
      <c r="AP39" s="155" t="str">
        <f t="array" ref="AP39">VLOOKUP(LEFT(C39,255),LEFT('Reference Records'!C$86:G434,255),4,0)</f>
        <v>MCI-01621</v>
      </c>
      <c r="AQ39" s="155" t="e">
        <f>MATCH(AP39,'Reference Records'!$F$512:$F$514,0)+ROW(PopulationByCoverage)-1</f>
        <v>#N/A</v>
      </c>
      <c r="AR39" s="155">
        <f>MATCH(AP39,'Reference Records'!$F$512:$F$514,1)+ROW(PopulationByCoverage)-1</f>
        <v>513</v>
      </c>
      <c r="AS39" s="52" t="str">
        <f>C39&amp;D39</f>
        <v>HTS-5 Percentage of people newly diagnosed with HIV initiated on ART</v>
      </c>
      <c r="AT39" s="52">
        <f t="shared" si="348"/>
        <v>469</v>
      </c>
      <c r="AU39" s="52">
        <f>AU37+'update Helper'!$T$2</f>
        <v>610</v>
      </c>
      <c r="AV39" s="52" t="str">
        <f t="shared" ref="AV39" si="374">CLEAN(IFERROR(LEFT(AY39, SEARCH(";",AY39,1)-1),""))</f>
        <v>Non cumulative</v>
      </c>
      <c r="AW39" s="52" t="str">
        <f t="shared" ref="AW39" si="375">SUBSTITUTE(IFERROR(MID(AY39, SEARCH(";",AY39) + 1, SEARCH(";",AY39,SEARCH(";",AY39)+1) - SEARCH(";",AY39) - 1),""),CHAR(10),"")</f>
        <v/>
      </c>
      <c r="AX39" s="156" t="str">
        <f t="shared" ref="AX39" si="376">CLEAN(IFERROR(SUBSTITUTE(RIGHT(AY39,LEN(AY39) - SEARCH(";", AY39, SEARCH(";",AY39) + 1)),";",""),""))</f>
        <v/>
      </c>
      <c r="AY39" s="52" t="str">
        <f t="array" ref="AY39">IFERROR(IF(VLOOKUP(LEFT(C39,255),LEFT('Reference Records'!$C$1:$K$539,255),9,0)=0,"",CONCATENATE(VLOOKUP(LEFT(C39,255),LEFT('Reference Records'!$C$1:$K$539,255),9,0),";")),"")</f>
        <v>Non cumulative;</v>
      </c>
      <c r="AZ39" s="564" t="str">
        <f>IF($BV39="", "", IF($BV39=TRUE, "Yes", "No"))</f>
        <v>No</v>
      </c>
      <c r="BA39" s="562" t="str">
        <f t="shared" ref="BA39" ca="1" si="377">IF($D39="", "",IF(IF(INDIRECT("'update Helper'!W"&amp;AT39)=0,"",INDIRECT("'update Helper'!W"&amp;AT39))=TRUE, "Yes","No"))</f>
        <v/>
      </c>
      <c r="BB39" s="516" t="str">
        <f t="shared" ref="BB39" ca="1" si="378">IF(AND(BS39="Continue",BU39="Continue"),"No Error",IF(AND(BS39&lt;&gt;"Continue",BU39="Continue"),BS39,IF(AND(BU39&lt;&gt;"Continue",BS39="Continue"),BU39,CONCATENATE(BS39,CHAR(10),BU39))))</f>
        <v>No Error</v>
      </c>
      <c r="BC39" s="520" t="str" cm="1">
        <f t="array" ref="BC39">IF(ISBLANK(C39),"Continue",(IF(IFERROR(_xlfn.XMATCH(C39,LEFT('Reference Records'!$C$86:$C$189,32768),0),0)&lt;&gt;0,"Continue","Invalid indicator entry. Select from dropdown list.")))</f>
        <v>Continue</v>
      </c>
      <c r="BD39" s="520" t="str">
        <f t="shared" ref="BD39" si="379">IF(SUM(BE39:BM40)=0, "Continue", "Enter valid number only.")</f>
        <v>Continue</v>
      </c>
      <c r="BE39" s="150">
        <f t="shared" si="0"/>
        <v>0</v>
      </c>
      <c r="BF39" s="150">
        <f t="shared" si="1"/>
        <v>0</v>
      </c>
      <c r="BG39" s="150">
        <f t="shared" si="2"/>
        <v>0</v>
      </c>
      <c r="BH39" s="150">
        <f t="shared" si="3"/>
        <v>0</v>
      </c>
      <c r="BI39" s="150">
        <f t="shared" si="4"/>
        <v>0</v>
      </c>
      <c r="BJ39" s="150">
        <f t="shared" si="5"/>
        <v>0</v>
      </c>
      <c r="BK39" s="150">
        <f t="shared" si="6"/>
        <v>0</v>
      </c>
      <c r="BL39" s="150">
        <f t="shared" si="7"/>
        <v>0</v>
      </c>
      <c r="BM39" s="150">
        <f t="shared" si="8"/>
        <v>0</v>
      </c>
      <c r="BN39" s="477" t="str">
        <f>IF(NOT(ISBLANK(C39)),IF(C39&lt;&gt;"",IF(_xlfn.XLOOKUP(C39,'Reference Records'!$C$86:$C$189,'Reference Records'!$A$86:$A$189,0,0,1)=AM39,"Continue","Select correct module name."),"Continue"),"Continue")</f>
        <v>Continue</v>
      </c>
      <c r="BO39" s="477" t="str">
        <f t="shared" ref="BO39" ca="1" si="380">IF(AND(BC39="Continue",CG39="Continue"),"Continue",IF(AND(BC39&lt;&gt;"Continue",CG39="Continue"),BC39,IF(AND(CG39&lt;&gt;"Continue",BC39="Continue"),CG39,CONCATENATE(BC39,CHAR(10),CG39))))</f>
        <v>Continue</v>
      </c>
      <c r="BP39" s="477" t="str">
        <f t="shared" ref="BP39" ca="1" si="381">IF(AND((AZ39&lt;&gt;""),(BA39&lt;&gt;"")),"Reversed custom indicator selection not applicable. Value pre-populated in standard indicator column.","Continue")</f>
        <v>Continue</v>
      </c>
      <c r="BQ39" s="477" t="str">
        <f t="shared" ref="BQ39" ca="1" si="382">IF(AND(BN39="Continue",BO39="Continue"),"Continue",
IF(AND(BN39&lt;&gt;"Continue",BO39="Continue"),BN39,
IF(AND(BO39&lt;&gt;"Continue",BN39="Continue"),BO39,
CONCATENATE(BN39,CHAR(10),BO39))))</f>
        <v>Continue</v>
      </c>
      <c r="BR39" s="520" t="str" cm="1">
        <f t="array" ref="BR39">IF(ISBLANK(B39),"Continue",(IF(IFERROR(_xlfn.XMATCH(B39,LEFT('Reference Records'!$J$191:$J$250,32768),0),0)&lt;&gt;0,"Continue","Invalid module entry. Select from dropdown list.")))</f>
        <v>Continue</v>
      </c>
      <c r="BS39" s="520" t="str">
        <f t="shared" ref="BS39" ca="1" si="383">IF(AND(BP39="Continue",BQ39="Continue"),"Continue",IF(AND(BP39&lt;&gt;"Continue",BQ39="Continue"),BP39,IF(AND(BQ39&lt;&gt;"Continue",BP39="Continue"),BQ39,CONCATENATE(BP39,CHAR(10),BQ39))))</f>
        <v>Continue</v>
      </c>
      <c r="BT39" s="520" t="str">
        <f t="shared" ref="BT39" si="384">IF(AND(C39="",D39=""),"Continue",IF(AND(C39="",D39&lt;&gt;""),"Continue",IF(AND(C39&lt;&gt;"",D39=""),"Continue",IF(AND(C39&lt;&gt;"",D39&lt;&gt;""),"Cannot enter both standard and custom indicators on the same line."))))</f>
        <v>Continue</v>
      </c>
      <c r="BU39" s="520" t="str">
        <f t="shared" ref="BU39" si="385">IF(AND(BR39="Continue",BT39="Continue"),"Continue",IF(AND(BR39&lt;&gt;"Continue",BT39="Continue"),BR39,IF(AND(BT39&lt;&gt;"Continue",BR39="Continue"),BT39,CONCATENATE(BR39,CHAR(10),BT39))))</f>
        <v>Continue</v>
      </c>
      <c r="BV39" s="560" t="b">
        <f>IFERROR(INDEX('Reference Records'!$L$86:$L$189,MATCH($C39,'Reference Records'!$C$86:$C$189,0)),"")</f>
        <v>0</v>
      </c>
      <c r="BW39" s="560">
        <f t="shared" ref="BW39" ca="1" si="386">IF(NOT(ISBLANK(F39)),IF(F39&lt;&gt;"",(IF(NOT(ISNUMBER(F39)),1,0)),0),0)</f>
        <v>0</v>
      </c>
      <c r="BX39" s="560">
        <f t="shared" ref="BX39" si="387">IF(NOT(ISBLANK(O39)),IF(O39&lt;&gt;"",(IF(NOT(ISNUMBER(O39)),1,0)),0),0)</f>
        <v>0</v>
      </c>
      <c r="BY39" s="560">
        <f t="shared" ref="BY39" si="388">IF(NOT(ISBLANK(R39)),IF(R39&lt;&gt;"",(IF(NOT(ISNUMBER(R39)),1,0)),0),0)</f>
        <v>0</v>
      </c>
      <c r="BZ39" s="560">
        <f t="shared" ref="BZ39" si="389">IF(NOT(ISBLANK(U39)),IF(U39&lt;&gt;"",(IF(NOT(ISNUMBER(U39)),1,0)),0),0)</f>
        <v>0</v>
      </c>
      <c r="CA39" s="560">
        <f t="shared" ref="CA39" ca="1" si="390">IF(NOT(ISBLANK(X39)),IF(X39&lt;&gt;"",(IF(NOT(ISNUMBER(X39)),1,0)),0),0)</f>
        <v>0</v>
      </c>
      <c r="CB39" s="560">
        <f t="shared" ref="CB39" ca="1" si="391">IF(NOT(ISBLANK(AA39)),IF(AA39&lt;&gt;"",(IF(NOT(ISNUMBER(AA39)),1,0)),0),0)</f>
        <v>0</v>
      </c>
      <c r="CC39" s="560">
        <f t="shared" ref="CC39" ca="1" si="392">IF(NOT(ISBLANK(AD39)),IF(AD39&lt;&gt;"",(IF(NOT(ISNUMBER(AD39)),1,0)),0),0)</f>
        <v>0</v>
      </c>
      <c r="CD39" s="560">
        <f t="shared" ref="CD39" ca="1" si="393">IF(NOT(ISBLANK(AG39)),IF(AG39&lt;&gt;"",(IF(NOT(ISNUMBER(AG39)),1,0)),0),0)</f>
        <v>0</v>
      </c>
      <c r="CE39" s="560">
        <f t="shared" ref="CE39" ca="1" si="394">IF(NOT(ISBLANK(AJ39)),IF(AJ39&lt;&gt;"",(IF(NOT(ISNUMBER(AJ39)),1,0)),0),0)</f>
        <v>0</v>
      </c>
      <c r="CF39" s="560" t="str">
        <f t="shared" ref="CF39" ca="1" si="395">IF(SUM(BW39:CE40)=0, "Continue", "Enter valid number only.")</f>
        <v>Continue</v>
      </c>
      <c r="CG39" s="560" t="str">
        <f t="shared" ref="CG39" ca="1" si="396">IF(AND(CF39="Continue",BD39="Continue"),"Continue",IF(AND(CF39&lt;&gt;"Continue",BD39="Continue"),CF39,IF(AND(BD39&lt;&gt;"Continue",CF39="Continue"),BD39,CONCATENATE(CF39,CHAR(10)))))</f>
        <v>Continue</v>
      </c>
    </row>
    <row r="40" spans="1:85" ht="84.6" customHeight="1" x14ac:dyDescent="0.25">
      <c r="A40" s="559"/>
      <c r="B40" s="530"/>
      <c r="C40" s="530"/>
      <c r="D40" s="530"/>
      <c r="E40" s="152">
        <v>971</v>
      </c>
      <c r="F40" s="544"/>
      <c r="G40" s="569"/>
      <c r="H40" s="530"/>
      <c r="I40" s="573"/>
      <c r="J40" s="569"/>
      <c r="K40" s="530"/>
      <c r="L40" s="157" t="s">
        <v>625</v>
      </c>
      <c r="M40" s="577"/>
      <c r="N40" s="152"/>
      <c r="O40" s="524"/>
      <c r="P40" s="569"/>
      <c r="Q40" s="152"/>
      <c r="R40" s="524"/>
      <c r="S40" s="569"/>
      <c r="T40" s="152"/>
      <c r="U40" s="524"/>
      <c r="V40" s="569"/>
      <c r="W40" s="154"/>
      <c r="X40" s="544"/>
      <c r="Y40" s="569"/>
      <c r="Z40" s="154"/>
      <c r="AA40" s="544"/>
      <c r="AB40" s="569"/>
      <c r="AC40" s="154"/>
      <c r="AD40" s="544"/>
      <c r="AE40" s="569"/>
      <c r="AF40" s="154"/>
      <c r="AG40" s="571"/>
      <c r="AH40" s="569"/>
      <c r="AI40" s="154"/>
      <c r="AJ40" s="571"/>
      <c r="AK40" s="569"/>
      <c r="AL40" s="530"/>
      <c r="AM40" s="480"/>
      <c r="AX40" s="156"/>
      <c r="AZ40" s="564"/>
      <c r="BA40" s="562"/>
      <c r="BB40" s="516"/>
      <c r="BC40" s="520"/>
      <c r="BD40" s="520"/>
      <c r="BE40" s="150">
        <f t="shared" si="0"/>
        <v>0</v>
      </c>
      <c r="BF40" s="150">
        <f t="shared" si="1"/>
        <v>0</v>
      </c>
      <c r="BG40" s="150">
        <f t="shared" si="2"/>
        <v>0</v>
      </c>
      <c r="BH40" s="150">
        <f t="shared" si="3"/>
        <v>0</v>
      </c>
      <c r="BI40" s="150">
        <f t="shared" si="4"/>
        <v>0</v>
      </c>
      <c r="BJ40" s="150">
        <f t="shared" si="5"/>
        <v>0</v>
      </c>
      <c r="BK40" s="150">
        <f t="shared" si="6"/>
        <v>0</v>
      </c>
      <c r="BL40" s="150">
        <f t="shared" si="7"/>
        <v>0</v>
      </c>
      <c r="BM40" s="150">
        <f t="shared" si="8"/>
        <v>0</v>
      </c>
      <c r="BN40" s="477"/>
      <c r="BO40" s="477"/>
      <c r="BP40" s="477"/>
      <c r="BQ40" s="477"/>
      <c r="BR40" s="520"/>
      <c r="BS40" s="520"/>
      <c r="BT40" s="520"/>
      <c r="BU40" s="520"/>
      <c r="BV40" s="560"/>
      <c r="BW40" s="560"/>
      <c r="BX40" s="560"/>
      <c r="BY40" s="560"/>
      <c r="BZ40" s="560"/>
      <c r="CA40" s="560"/>
      <c r="CB40" s="560"/>
      <c r="CC40" s="560"/>
      <c r="CD40" s="560"/>
      <c r="CE40" s="560"/>
      <c r="CF40" s="560"/>
      <c r="CG40" s="560"/>
    </row>
    <row r="41" spans="1:85" ht="63" customHeight="1" x14ac:dyDescent="0.25">
      <c r="A41" s="558">
        <v>17</v>
      </c>
      <c r="B41" s="587" t="s">
        <v>429</v>
      </c>
      <c r="C41" s="587" t="s">
        <v>1292</v>
      </c>
      <c r="D41" s="587"/>
      <c r="E41" s="144">
        <v>336</v>
      </c>
      <c r="F41" s="589">
        <f ca="1">IF(OR(INDIRECT("'update Helper'!D"&amp;AT41)="",E41&lt;&gt;0,E42&lt;&gt;0),IF(IFERROR((E41/E42),"")="","",(E41/E42)),INDIRECT("'update Helper'!D"&amp;AT41)/100)</f>
        <v>0.42</v>
      </c>
      <c r="G41" s="591">
        <v>2022</v>
      </c>
      <c r="H41" s="521" t="s">
        <v>2201</v>
      </c>
      <c r="I41" s="572" t="str">
        <f>AN41</f>
        <v>Gender,TPT regimen,Age</v>
      </c>
      <c r="J41" s="565" t="s">
        <v>2182</v>
      </c>
      <c r="K41" s="521" t="s">
        <v>752</v>
      </c>
      <c r="L41" s="145"/>
      <c r="M41" s="574"/>
      <c r="N41" s="144"/>
      <c r="O41" s="523">
        <v>0.43</v>
      </c>
      <c r="P41" s="565"/>
      <c r="Q41" s="146"/>
      <c r="R41" s="523">
        <v>0.44</v>
      </c>
      <c r="S41" s="565"/>
      <c r="T41" s="146"/>
      <c r="U41" s="523">
        <v>0.45</v>
      </c>
      <c r="V41" s="565"/>
      <c r="W41" s="146"/>
      <c r="X41" s="523" t="str">
        <f ca="1">IF(OR(INDIRECT("'update Helper'!I"&amp;AU41+3)="",W41&lt;&gt;0,W42&lt;&gt;0),IF(IFERROR((W41/W42),"")="","",(W41/W42)),INDIRECT("'update Helper'!I"&amp;AU41+3)/100)</f>
        <v/>
      </c>
      <c r="Y41" s="565"/>
      <c r="Z41" s="146"/>
      <c r="AA41" s="523" t="str">
        <f ca="1">IF(OR(INDIRECT("'update Helper'!I"&amp;AU41+4)="",Z41&lt;&gt;0,Z42&lt;&gt;0),IF(IFERROR((Z41/Z42),"")="","",(Z41/Z42)),INDIRECT("'update Helper'!I"&amp;AU41+4)/100)</f>
        <v/>
      </c>
      <c r="AB41" s="565"/>
      <c r="AC41" s="146"/>
      <c r="AD41" s="523" t="str">
        <f ca="1">IF(OR(INDIRECT("'update Helper'!I"&amp;AU41+5)="",AC41&lt;&gt;0,AC42&lt;&gt;0),IF(IFERROR((AC41/AC42),"")="","",(AC41/AC42)),INDIRECT("'update Helper'!I"&amp;AU41+5)/100)</f>
        <v/>
      </c>
      <c r="AE41" s="565"/>
      <c r="AF41" s="146"/>
      <c r="AG41" s="523" t="str">
        <f t="shared" ref="AG41" ca="1" si="397">IF(OR(INDIRECT("'update Helper'!I"&amp;AU41+6)="",AF41&lt;&gt;0,AF42&lt;&gt;0),IF(IFERROR((AF41/AF42),"")="","",(AF41/AF42)),INDIRECT("'update Helper'!I"&amp;AU41+6)/100)</f>
        <v/>
      </c>
      <c r="AH41" s="565"/>
      <c r="AI41" s="146"/>
      <c r="AJ41" s="523" t="str">
        <f t="shared" ref="AJ41" ca="1" si="398">IF(OR(INDIRECT("'update Helper'!I"&amp;AU41+7)="",AI41&lt;&gt;0,AI42&lt;&gt;0),IF(IFERROR((AI41/AI42),"")="","",(AI41/AI42)),INDIRECT("'update Helper'!I"&amp;AU41+7)/100)</f>
        <v/>
      </c>
      <c r="AK41" s="565"/>
      <c r="AL41" s="579" t="s">
        <v>7066</v>
      </c>
      <c r="AM41" s="567" t="str">
        <f>IFERROR(IF(VLOOKUP(B41,'Reference Records'!$C$192:$D$250,2,FALSE)=0,"",VLOOKUP(B41,'Reference Records'!$C$192:$D$250,2,FALSE)),"")</f>
        <v>MCI-01313</v>
      </c>
      <c r="AN41" s="147" t="str">
        <f t="array" ref="AN41">IFERROR(IF(INDEX('Reference Records'!$D$87:$D$189,MATCH(LEFT(C41,255),LEFT('Reference Records'!$C$87:$C$189,255),0))=0,"",INDEX('Reference Records'!$D$87:$D$189,MATCH(LEFT(C41,255),LEFT('Reference Records'!$C$87:$C$189,255),0))),"")</f>
        <v>Gender,TPT regimen,Age</v>
      </c>
      <c r="AO41" s="147" t="str">
        <f>CONCATENATE(C41,D41)</f>
        <v>TB/HIV-7.1 Percentage of people living with HIV currently enrolled on antiretroviral therapy who started TB preventive treatment (TPT) during the reporting period</v>
      </c>
      <c r="AP41" s="148" t="str">
        <f t="array" ref="AP41">VLOOKUP(LEFT(C41,255),LEFT('Reference Records'!C$86:G436,255),4,0)</f>
        <v>MCI-01548</v>
      </c>
      <c r="AQ41" s="148" t="e">
        <f>MATCH(AP41,'Reference Records'!$F$512:$F$514,0)+ROW(PopulationByCoverage)-1</f>
        <v>#N/A</v>
      </c>
      <c r="AR41" s="148">
        <f>MATCH(AP41,'Reference Records'!$F$512:$F$514,1)+ROW(PopulationByCoverage)-1</f>
        <v>513</v>
      </c>
      <c r="AS41" s="147" t="str">
        <f>C41&amp;D41</f>
        <v>TB/HIV-7.1 Percentage of people living with HIV currently enrolled on antiretroviral therapy who started TB preventive treatment (TPT) during the reporting period</v>
      </c>
      <c r="AT41" s="147">
        <f t="shared" si="348"/>
        <v>470</v>
      </c>
      <c r="AU41" s="147">
        <f>AU39+'update Helper'!$T$2</f>
        <v>616</v>
      </c>
      <c r="AV41" s="147" t="str">
        <f t="shared" ref="AV41" si="399">CLEAN(IFERROR(LEFT(AY41, SEARCH(";",AY41,1)-1),""))</f>
        <v>Non cumulative</v>
      </c>
      <c r="AW41" s="147" t="str">
        <f t="shared" ref="AW41" si="400">SUBSTITUTE(IFERROR(MID(AY41, SEARCH(";",AY41) + 1, SEARCH(";",AY41,SEARCH(";",AY41)+1) - SEARCH(";",AY41) - 1),""),CHAR(10),"")</f>
        <v/>
      </c>
      <c r="AX41" s="149" t="str">
        <f t="shared" ref="AX41" si="401">CLEAN(IFERROR(SUBSTITUTE(RIGHT(AY41,LEN(AY41) - SEARCH(";", AY41, SEARCH(";",AY41) + 1)),";",""),""))</f>
        <v/>
      </c>
      <c r="AY41" s="147" t="str">
        <f t="array" ref="AY41">IFERROR(IF(VLOOKUP(LEFT(C41,255),LEFT('Reference Records'!$C$1:$K$539,255),9,0)=0,"",CONCATENATE(VLOOKUP(LEFT(C41,255),LEFT('Reference Records'!$C$1:$K$539,255),9,0),";")),"")</f>
        <v>Non cumulative;</v>
      </c>
      <c r="AZ41" s="563" t="str">
        <f>IF($BV41="", "", IF($BV41=TRUE, "Yes", "No"))</f>
        <v>No</v>
      </c>
      <c r="BA41" s="561" t="str">
        <f t="shared" ref="BA41" ca="1" si="402">IF($D41="", "",IF(IF(INDIRECT("'update Helper'!W"&amp;AT41)=0,"",INDIRECT("'update Helper'!W"&amp;AT41))=TRUE, "Yes","No"))</f>
        <v/>
      </c>
      <c r="BB41" s="516" t="str">
        <f t="shared" ref="BB41" ca="1" si="403">IF(AND(BS41="Continue",BU41="Continue"),"No Error",IF(AND(BS41&lt;&gt;"Continue",BU41="Continue"),BS41,IF(AND(BU41&lt;&gt;"Continue",BS41="Continue"),BU41,CONCATENATE(BS41,CHAR(10),BU41))))</f>
        <v>No Error</v>
      </c>
      <c r="BC41" s="520" t="str" cm="1">
        <f t="array" ref="BC41">IF(ISBLANK(C41),"Continue",(IF(IFERROR(_xlfn.XMATCH(C41,LEFT('Reference Records'!$C$86:$C$189,32768),0),0)&lt;&gt;0,"Continue","Invalid indicator entry. Select from dropdown list.")))</f>
        <v>Continue</v>
      </c>
      <c r="BD41" s="520" t="str">
        <f t="shared" ref="BD41" si="404">IF(SUM(BE41:BM42)=0, "Continue", "Enter valid number only.")</f>
        <v>Continue</v>
      </c>
      <c r="BE41" s="150">
        <f t="shared" si="0"/>
        <v>0</v>
      </c>
      <c r="BF41" s="150">
        <f t="shared" si="1"/>
        <v>0</v>
      </c>
      <c r="BG41" s="150">
        <f t="shared" si="2"/>
        <v>0</v>
      </c>
      <c r="BH41" s="150">
        <f t="shared" si="3"/>
        <v>0</v>
      </c>
      <c r="BI41" s="150">
        <f t="shared" si="4"/>
        <v>0</v>
      </c>
      <c r="BJ41" s="150">
        <f t="shared" si="5"/>
        <v>0</v>
      </c>
      <c r="BK41" s="150">
        <f t="shared" si="6"/>
        <v>0</v>
      </c>
      <c r="BL41" s="150">
        <f t="shared" si="7"/>
        <v>0</v>
      </c>
      <c r="BM41" s="150">
        <f t="shared" si="8"/>
        <v>0</v>
      </c>
      <c r="BN41" s="477" t="str">
        <f>IF(NOT(ISBLANK(C41)),IF(C41&lt;&gt;"",IF(_xlfn.XLOOKUP(C41,'Reference Records'!$C$86:$C$189,'Reference Records'!$A$86:$A$189,0,0,1)=AM41,"Continue","Select correct module name."),"Continue"),"Continue")</f>
        <v>Continue</v>
      </c>
      <c r="BO41" s="477" t="str">
        <f t="shared" ref="BO41" ca="1" si="405">IF(AND(BC41="Continue",CG41="Continue"),"Continue",IF(AND(BC41&lt;&gt;"Continue",CG41="Continue"),BC41,IF(AND(CG41&lt;&gt;"Continue",BC41="Continue"),CG41,CONCATENATE(BC41,CHAR(10),CG41))))</f>
        <v>Continue</v>
      </c>
      <c r="BP41" s="477" t="str">
        <f t="shared" ref="BP41" ca="1" si="406">IF(AND((AZ41&lt;&gt;""),(BA41&lt;&gt;"")),"Reversed custom indicator selection not applicable. Value pre-populated in standard indicator column.","Continue")</f>
        <v>Continue</v>
      </c>
      <c r="BQ41" s="477" t="str">
        <f t="shared" ref="BQ41" ca="1" si="407">IF(AND(BN41="Continue",BO41="Continue"),"Continue",
IF(AND(BN41&lt;&gt;"Continue",BO41="Continue"),BN41,
IF(AND(BO41&lt;&gt;"Continue",BN41="Continue"),BO41,
CONCATENATE(BN41,CHAR(10),BO41))))</f>
        <v>Continue</v>
      </c>
      <c r="BR41" s="520" t="str" cm="1">
        <f t="array" ref="BR41">IF(ISBLANK(B41),"Continue",(IF(IFERROR(_xlfn.XMATCH(B41,LEFT('Reference Records'!$J$191:$J$250,32768),0),0)&lt;&gt;0,"Continue","Invalid module entry. Select from dropdown list.")))</f>
        <v>Continue</v>
      </c>
      <c r="BS41" s="520" t="str">
        <f t="shared" ref="BS41" ca="1" si="408">IF(AND(BP41="Continue",BQ41="Continue"),"Continue",IF(AND(BP41&lt;&gt;"Continue",BQ41="Continue"),BP41,IF(AND(BQ41&lt;&gt;"Continue",BP41="Continue"),BQ41,CONCATENATE(BP41,CHAR(10),BQ41))))</f>
        <v>Continue</v>
      </c>
      <c r="BT41" s="520" t="str">
        <f t="shared" ref="BT41" si="409">IF(AND(C41="",D41=""),"Continue",IF(AND(C41="",D41&lt;&gt;""),"Continue",IF(AND(C41&lt;&gt;"",D41=""),"Continue",IF(AND(C41&lt;&gt;"",D41&lt;&gt;""),"Cannot enter both standard and custom indicators on the same line."))))</f>
        <v>Continue</v>
      </c>
      <c r="BU41" s="520" t="str">
        <f t="shared" ref="BU41" si="410">IF(AND(BR41="Continue",BT41="Continue"),"Continue",IF(AND(BR41&lt;&gt;"Continue",BT41="Continue"),BR41,IF(AND(BT41&lt;&gt;"Continue",BR41="Continue"),BT41,CONCATENATE(BR41,CHAR(10),BT41))))</f>
        <v>Continue</v>
      </c>
      <c r="BV41" s="560" t="b">
        <f>IFERROR(INDEX('Reference Records'!$L$86:$L$189,MATCH($C41,'Reference Records'!$C$86:$C$189,0)),"")</f>
        <v>0</v>
      </c>
      <c r="BW41" s="560">
        <f t="shared" ref="BW41" ca="1" si="411">IF(NOT(ISBLANK(F41)),IF(F41&lt;&gt;"",(IF(NOT(ISNUMBER(F41)),1,0)),0),0)</f>
        <v>0</v>
      </c>
      <c r="BX41" s="560">
        <f t="shared" ref="BX41" si="412">IF(NOT(ISBLANK(O41)),IF(O41&lt;&gt;"",(IF(NOT(ISNUMBER(O41)),1,0)),0),0)</f>
        <v>0</v>
      </c>
      <c r="BY41" s="560">
        <f t="shared" ref="BY41" si="413">IF(NOT(ISBLANK(R41)),IF(R41&lt;&gt;"",(IF(NOT(ISNUMBER(R41)),1,0)),0),0)</f>
        <v>0</v>
      </c>
      <c r="BZ41" s="560">
        <f t="shared" ref="BZ41" si="414">IF(NOT(ISBLANK(U41)),IF(U41&lt;&gt;"",(IF(NOT(ISNUMBER(U41)),1,0)),0),0)</f>
        <v>0</v>
      </c>
      <c r="CA41" s="560">
        <f t="shared" ref="CA41" ca="1" si="415">IF(NOT(ISBLANK(X41)),IF(X41&lt;&gt;"",(IF(NOT(ISNUMBER(X41)),1,0)),0),0)</f>
        <v>0</v>
      </c>
      <c r="CB41" s="560">
        <f t="shared" ref="CB41" ca="1" si="416">IF(NOT(ISBLANK(AA41)),IF(AA41&lt;&gt;"",(IF(NOT(ISNUMBER(AA41)),1,0)),0),0)</f>
        <v>0</v>
      </c>
      <c r="CC41" s="560">
        <f t="shared" ref="CC41" ca="1" si="417">IF(NOT(ISBLANK(AD41)),IF(AD41&lt;&gt;"",(IF(NOT(ISNUMBER(AD41)),1,0)),0),0)</f>
        <v>0</v>
      </c>
      <c r="CD41" s="560">
        <f t="shared" ref="CD41" ca="1" si="418">IF(NOT(ISBLANK(AG41)),IF(AG41&lt;&gt;"",(IF(NOT(ISNUMBER(AG41)),1,0)),0),0)</f>
        <v>0</v>
      </c>
      <c r="CE41" s="560">
        <f t="shared" ref="CE41" ca="1" si="419">IF(NOT(ISBLANK(AJ41)),IF(AJ41&lt;&gt;"",(IF(NOT(ISNUMBER(AJ41)),1,0)),0),0)</f>
        <v>0</v>
      </c>
      <c r="CF41" s="560" t="str">
        <f t="shared" ref="CF41" ca="1" si="420">IF(SUM(BW41:CE42)=0, "Continue", "Enter valid number only.")</f>
        <v>Continue</v>
      </c>
      <c r="CG41" s="560" t="str">
        <f t="shared" ref="CG41" ca="1" si="421">IF(AND(CF41="Continue",BD41="Continue"),"Continue",IF(AND(CF41&lt;&gt;"Continue",BD41="Continue"),CF41,IF(AND(BD41&lt;&gt;"Continue",CF41="Continue"),BD41,CONCATENATE(CF41,CHAR(10)))))</f>
        <v>Continue</v>
      </c>
    </row>
    <row r="42" spans="1:85" ht="33" customHeight="1" x14ac:dyDescent="0.25">
      <c r="A42" s="559"/>
      <c r="B42" s="588"/>
      <c r="C42" s="588"/>
      <c r="D42" s="588"/>
      <c r="E42" s="144">
        <v>800</v>
      </c>
      <c r="F42" s="590"/>
      <c r="G42" s="592"/>
      <c r="H42" s="522"/>
      <c r="I42" s="573"/>
      <c r="J42" s="566"/>
      <c r="K42" s="522"/>
      <c r="L42" s="151" t="s">
        <v>625</v>
      </c>
      <c r="M42" s="575"/>
      <c r="N42" s="144"/>
      <c r="O42" s="524"/>
      <c r="P42" s="566"/>
      <c r="Q42" s="146"/>
      <c r="R42" s="524"/>
      <c r="S42" s="566"/>
      <c r="T42" s="146"/>
      <c r="U42" s="524"/>
      <c r="V42" s="566"/>
      <c r="W42" s="146"/>
      <c r="X42" s="524"/>
      <c r="Y42" s="566"/>
      <c r="Z42" s="146"/>
      <c r="AA42" s="524"/>
      <c r="AB42" s="566"/>
      <c r="AC42" s="146"/>
      <c r="AD42" s="524"/>
      <c r="AE42" s="566"/>
      <c r="AF42" s="146"/>
      <c r="AG42" s="524"/>
      <c r="AH42" s="566"/>
      <c r="AI42" s="146"/>
      <c r="AJ42" s="524"/>
      <c r="AK42" s="566"/>
      <c r="AL42" s="522"/>
      <c r="AM42" s="567"/>
      <c r="AN42" s="147"/>
      <c r="AO42" s="147"/>
      <c r="AP42" s="147"/>
      <c r="AQ42" s="147"/>
      <c r="AR42" s="147"/>
      <c r="AS42" s="147"/>
      <c r="AT42" s="147"/>
      <c r="AU42" s="147"/>
      <c r="AV42" s="147"/>
      <c r="AW42" s="147"/>
      <c r="AX42" s="149"/>
      <c r="AY42" s="147"/>
      <c r="AZ42" s="563"/>
      <c r="BA42" s="561"/>
      <c r="BB42" s="516"/>
      <c r="BC42" s="520"/>
      <c r="BD42" s="520"/>
      <c r="BE42" s="150">
        <f t="shared" si="0"/>
        <v>0</v>
      </c>
      <c r="BF42" s="150">
        <f t="shared" si="1"/>
        <v>0</v>
      </c>
      <c r="BG42" s="150">
        <f t="shared" si="2"/>
        <v>0</v>
      </c>
      <c r="BH42" s="150">
        <f t="shared" si="3"/>
        <v>0</v>
      </c>
      <c r="BI42" s="150">
        <f t="shared" si="4"/>
        <v>0</v>
      </c>
      <c r="BJ42" s="150">
        <f t="shared" si="5"/>
        <v>0</v>
      </c>
      <c r="BK42" s="150">
        <f t="shared" si="6"/>
        <v>0</v>
      </c>
      <c r="BL42" s="150">
        <f t="shared" si="7"/>
        <v>0</v>
      </c>
      <c r="BM42" s="150">
        <f t="shared" si="8"/>
        <v>0</v>
      </c>
      <c r="BN42" s="477"/>
      <c r="BO42" s="477"/>
      <c r="BP42" s="477"/>
      <c r="BQ42" s="477"/>
      <c r="BR42" s="520"/>
      <c r="BS42" s="520"/>
      <c r="BT42" s="520"/>
      <c r="BU42" s="520"/>
      <c r="BV42" s="560"/>
      <c r="BW42" s="560"/>
      <c r="BX42" s="560"/>
      <c r="BY42" s="560"/>
      <c r="BZ42" s="560"/>
      <c r="CA42" s="560"/>
      <c r="CB42" s="560"/>
      <c r="CC42" s="560"/>
      <c r="CD42" s="560"/>
      <c r="CE42" s="560"/>
      <c r="CF42" s="560"/>
      <c r="CG42" s="560"/>
    </row>
    <row r="43" spans="1:85" ht="45" customHeight="1" x14ac:dyDescent="0.25">
      <c r="A43" s="558">
        <v>18</v>
      </c>
      <c r="B43" s="529" t="s">
        <v>423</v>
      </c>
      <c r="C43" s="529" t="s">
        <v>1178</v>
      </c>
      <c r="D43" s="529"/>
      <c r="E43" s="152">
        <v>0</v>
      </c>
      <c r="F43" s="543">
        <v>0</v>
      </c>
      <c r="G43" s="568"/>
      <c r="H43" s="529" t="s">
        <v>2181</v>
      </c>
      <c r="I43" s="572" t="str">
        <f>AN43</f>
        <v/>
      </c>
      <c r="J43" s="568" t="s">
        <v>2182</v>
      </c>
      <c r="K43" s="529" t="s">
        <v>752</v>
      </c>
      <c r="L43" s="153"/>
      <c r="M43" s="576"/>
      <c r="N43" s="152">
        <v>3300</v>
      </c>
      <c r="O43" s="543"/>
      <c r="P43" s="568"/>
      <c r="Q43" s="154">
        <v>4300</v>
      </c>
      <c r="R43" s="543" t="str">
        <f ca="1">IF(OR(INDIRECT("'update Helper'!I"&amp;AU43+1)="",Q43&lt;&gt;0,Q44&lt;&gt;0),IF(IFERROR((Q43/Q44),"")="","",(Q43/Q44)),INDIRECT("'update Helper'!I"&amp;AU43+1)/100)</f>
        <v/>
      </c>
      <c r="S43" s="568"/>
      <c r="T43" s="154">
        <v>5300</v>
      </c>
      <c r="U43" s="543" t="str">
        <f ca="1">IF(OR(INDIRECT("'update Helper'!I"&amp;AU43+2)="",T43&lt;&gt;0,T44&lt;&gt;0),IF(IFERROR((T43/T44),"")="","",(T43/T44)),INDIRECT("'update Helper'!I"&amp;AU43+2)/100)</f>
        <v/>
      </c>
      <c r="V43" s="568"/>
      <c r="W43" s="154"/>
      <c r="X43" s="543" t="str">
        <f ca="1">IF(OR(INDIRECT("'update Helper'!I"&amp;AU43+3)="",W43&lt;&gt;0,W44&lt;&gt;0),IF(IFERROR((W43/W44),"")="","",(W43/W44)),INDIRECT("'update Helper'!I"&amp;AU43+3)/100)</f>
        <v/>
      </c>
      <c r="Y43" s="568"/>
      <c r="Z43" s="154"/>
      <c r="AA43" s="543" t="str">
        <f ca="1">IF(OR(INDIRECT("'update Helper'!I"&amp;AU43+4)="",Z43&lt;&gt;0,Z44&lt;&gt;0),IF(IFERROR((Z43/Z44),"")="","",(Z43/Z44)),INDIRECT("'update Helper'!I"&amp;AU43+4)/100)</f>
        <v/>
      </c>
      <c r="AB43" s="568"/>
      <c r="AC43" s="154"/>
      <c r="AD43" s="543" t="str">
        <f ca="1">IF(OR(INDIRECT("'update Helper'!I"&amp;AU43+5)="",AC43&lt;&gt;0,AC44&lt;&gt;0),IF(IFERROR((AC43/AC44),"")="","",(AC43/AC44)),INDIRECT("'update Helper'!I"&amp;AU43+5)/100)</f>
        <v/>
      </c>
      <c r="AE43" s="568"/>
      <c r="AF43" s="154"/>
      <c r="AG43" s="570" t="str">
        <f t="shared" ref="AG43" ca="1" si="422">IF(OR(INDIRECT("'update Helper'!I"&amp;AU43+6)="",AF43&lt;&gt;0,AF44&lt;&gt;0),IF(IFERROR((AF43/AF44),"")="","",(AF43/AF44)),INDIRECT("'update Helper'!I"&amp;AU43+6)/100)</f>
        <v/>
      </c>
      <c r="AH43" s="568"/>
      <c r="AI43" s="154"/>
      <c r="AJ43" s="570" t="str">
        <f t="shared" ref="AJ43" ca="1" si="423">IF(OR(INDIRECT("'update Helper'!I"&amp;AU43+7)="",AI43&lt;&gt;0,AI44&lt;&gt;0),IF(IFERROR((AI43/AI44),"")="","",(AI43/AI44)),INDIRECT("'update Helper'!I"&amp;AU43+7)/100)</f>
        <v/>
      </c>
      <c r="AK43" s="568"/>
      <c r="AL43" s="529" t="s">
        <v>2202</v>
      </c>
      <c r="AM43" s="480" t="str">
        <f>IFERROR(IF(VLOOKUP(B43,'Reference Records'!$C$192:$D$250,2,FALSE)=0,"",VLOOKUP(B43,'Reference Records'!$C$192:$D$250,2,FALSE)),"")</f>
        <v>MCI-01305</v>
      </c>
      <c r="AN43" s="52" t="str">
        <f t="array" ref="AN43">IFERROR(IF(INDEX('Reference Records'!$D$87:$D$189,MATCH(LEFT(C43,255),LEFT('Reference Records'!$C$87:$C$189,255),0))=0,"",INDEX('Reference Records'!$D$87:$D$189,MATCH(LEFT(C43,255),LEFT('Reference Records'!$C$87:$C$189,255),0))),"")</f>
        <v/>
      </c>
      <c r="AO43" s="52" t="str">
        <f>CONCATENATE(C43,D43)</f>
        <v>HTS-6 Number of individual HIV self-test kits distributed</v>
      </c>
      <c r="AP43" s="155" t="str">
        <f t="array" ref="AP43">VLOOKUP(LEFT(C43,255),LEFT('Reference Records'!C$86:G438,255),4,0)</f>
        <v>MCI-01622</v>
      </c>
      <c r="AQ43" s="155" t="e">
        <f>MATCH(AP43,'Reference Records'!$F$512:$F$514,0)+ROW(PopulationByCoverage)-1</f>
        <v>#N/A</v>
      </c>
      <c r="AR43" s="155">
        <f>MATCH(AP43,'Reference Records'!$F$512:$F$514,1)+ROW(PopulationByCoverage)-1</f>
        <v>513</v>
      </c>
      <c r="AS43" s="52" t="str">
        <f>C43&amp;D43</f>
        <v>HTS-6 Number of individual HIV self-test kits distributed</v>
      </c>
      <c r="AT43" s="52">
        <f t="shared" si="348"/>
        <v>471</v>
      </c>
      <c r="AU43" s="52">
        <f>AU41+'update Helper'!$T$2</f>
        <v>622</v>
      </c>
      <c r="AV43" s="52" t="str">
        <f t="shared" ref="AV43" si="424">CLEAN(IFERROR(LEFT(AY43, SEARCH(";",AY43,1)-1),""))</f>
        <v>Non cumulative</v>
      </c>
      <c r="AW43" s="52" t="str">
        <f t="shared" ref="AW43" si="425">SUBSTITUTE(IFERROR(MID(AY43, SEARCH(";",AY43) + 1, SEARCH(";",AY43,SEARCH(";",AY43)+1) - SEARCH(";",AY43) - 1),""),CHAR(10),"")</f>
        <v/>
      </c>
      <c r="AX43" s="156" t="str">
        <f t="shared" ref="AX43" si="426">CLEAN(IFERROR(SUBSTITUTE(RIGHT(AY43,LEN(AY43) - SEARCH(";", AY43, SEARCH(";",AY43) + 1)),";",""),""))</f>
        <v/>
      </c>
      <c r="AY43" s="52" t="str">
        <f t="array" ref="AY43">IFERROR(IF(VLOOKUP(LEFT(C43,255),LEFT('Reference Records'!$C$1:$K$539,255),9,0)=0,"",CONCATENATE(VLOOKUP(LEFT(C43,255),LEFT('Reference Records'!$C$1:$K$539,255),9,0),";")),"")</f>
        <v>Non cumulative;</v>
      </c>
      <c r="AZ43" s="564" t="str">
        <f>IF($BV43="", "", IF($BV43=TRUE, "Yes", "No"))</f>
        <v>No</v>
      </c>
      <c r="BA43" s="562" t="str">
        <f t="shared" ref="BA43" ca="1" si="427">IF($D43="", "",IF(IF(INDIRECT("'update Helper'!W"&amp;AT43)=0,"",INDIRECT("'update Helper'!W"&amp;AT43))=TRUE, "Yes","No"))</f>
        <v/>
      </c>
      <c r="BB43" s="516" t="str">
        <f t="shared" ref="BB43" ca="1" si="428">IF(AND(BS43="Continue",BU43="Continue"),"No Error",IF(AND(BS43&lt;&gt;"Continue",BU43="Continue"),BS43,IF(AND(BU43&lt;&gt;"Continue",BS43="Continue"),BU43,CONCATENATE(BS43,CHAR(10),BU43))))</f>
        <v>No Error</v>
      </c>
      <c r="BC43" s="520" t="str" cm="1">
        <f t="array" ref="BC43">IF(ISBLANK(C43),"Continue",(IF(IFERROR(_xlfn.XMATCH(C43,LEFT('Reference Records'!$C$86:$C$189,32768),0),0)&lt;&gt;0,"Continue","Invalid indicator entry. Select from dropdown list.")))</f>
        <v>Continue</v>
      </c>
      <c r="BD43" s="520" t="str">
        <f t="shared" ref="BD43" si="429">IF(SUM(BE43:BM44)=0, "Continue", "Enter valid number only.")</f>
        <v>Continue</v>
      </c>
      <c r="BE43" s="150">
        <f t="shared" si="0"/>
        <v>0</v>
      </c>
      <c r="BF43" s="150">
        <f t="shared" si="1"/>
        <v>0</v>
      </c>
      <c r="BG43" s="150">
        <f t="shared" si="2"/>
        <v>0</v>
      </c>
      <c r="BH43" s="150">
        <f t="shared" si="3"/>
        <v>0</v>
      </c>
      <c r="BI43" s="150">
        <f t="shared" si="4"/>
        <v>0</v>
      </c>
      <c r="BJ43" s="150">
        <f t="shared" si="5"/>
        <v>0</v>
      </c>
      <c r="BK43" s="150">
        <f t="shared" si="6"/>
        <v>0</v>
      </c>
      <c r="BL43" s="150">
        <f t="shared" si="7"/>
        <v>0</v>
      </c>
      <c r="BM43" s="150">
        <f t="shared" si="8"/>
        <v>0</v>
      </c>
      <c r="BN43" s="477" t="str">
        <f>IF(NOT(ISBLANK(C43)),IF(C43&lt;&gt;"",IF(_xlfn.XLOOKUP(C43,'Reference Records'!$C$86:$C$189,'Reference Records'!$A$86:$A$189,0,0,1)=AM43,"Continue","Select correct module name."),"Continue"),"Continue")</f>
        <v>Continue</v>
      </c>
      <c r="BO43" s="477" t="str">
        <f t="shared" ref="BO43" ca="1" si="430">IF(AND(BC43="Continue",CG43="Continue"),"Continue",IF(AND(BC43&lt;&gt;"Continue",CG43="Continue"),BC43,IF(AND(CG43&lt;&gt;"Continue",BC43="Continue"),CG43,CONCATENATE(BC43,CHAR(10),CG43))))</f>
        <v>Continue</v>
      </c>
      <c r="BP43" s="477" t="str">
        <f t="shared" ref="BP43" ca="1" si="431">IF(AND((AZ43&lt;&gt;""),(BA43&lt;&gt;"")),"Reversed custom indicator selection not applicable. Value pre-populated in standard indicator column.","Continue")</f>
        <v>Continue</v>
      </c>
      <c r="BQ43" s="477" t="str">
        <f t="shared" ref="BQ43" ca="1" si="432">IF(AND(BN43="Continue",BO43="Continue"),"Continue",
IF(AND(BN43&lt;&gt;"Continue",BO43="Continue"),BN43,
IF(AND(BO43&lt;&gt;"Continue",BN43="Continue"),BO43,
CONCATENATE(BN43,CHAR(10),BO43))))</f>
        <v>Continue</v>
      </c>
      <c r="BR43" s="520" t="str" cm="1">
        <f t="array" ref="BR43">IF(ISBLANK(B43),"Continue",(IF(IFERROR(_xlfn.XMATCH(B43,LEFT('Reference Records'!$J$191:$J$250,32768),0),0)&lt;&gt;0,"Continue","Invalid module entry. Select from dropdown list.")))</f>
        <v>Continue</v>
      </c>
      <c r="BS43" s="520" t="str">
        <f t="shared" ref="BS43" ca="1" si="433">IF(AND(BP43="Continue",BQ43="Continue"),"Continue",IF(AND(BP43&lt;&gt;"Continue",BQ43="Continue"),BP43,IF(AND(BQ43&lt;&gt;"Continue",BP43="Continue"),BQ43,CONCATENATE(BP43,CHAR(10),BQ43))))</f>
        <v>Continue</v>
      </c>
      <c r="BT43" s="520" t="str">
        <f t="shared" ref="BT43" si="434">IF(AND(C43="",D43=""),"Continue",IF(AND(C43="",D43&lt;&gt;""),"Continue",IF(AND(C43&lt;&gt;"",D43=""),"Continue",IF(AND(C43&lt;&gt;"",D43&lt;&gt;""),"Cannot enter both standard and custom indicators on the same line."))))</f>
        <v>Continue</v>
      </c>
      <c r="BU43" s="520" t="str">
        <f t="shared" ref="BU43" si="435">IF(AND(BR43="Continue",BT43="Continue"),"Continue",IF(AND(BR43&lt;&gt;"Continue",BT43="Continue"),BR43,IF(AND(BT43&lt;&gt;"Continue",BR43="Continue"),BT43,CONCATENATE(BR43,CHAR(10),BT43))))</f>
        <v>Continue</v>
      </c>
      <c r="BV43" s="560" t="b">
        <f>IFERROR(INDEX('Reference Records'!$L$86:$L$189,MATCH($C43,'Reference Records'!$C$86:$C$189,0)),"")</f>
        <v>0</v>
      </c>
      <c r="BW43" s="560">
        <f t="shared" ref="BW43" si="436">IF(NOT(ISBLANK(F43)),IF(F43&lt;&gt;"",(IF(NOT(ISNUMBER(F43)),1,0)),0),0)</f>
        <v>0</v>
      </c>
      <c r="BX43" s="560">
        <f t="shared" ref="BX43" si="437">IF(NOT(ISBLANK(O43)),IF(O43&lt;&gt;"",(IF(NOT(ISNUMBER(O43)),1,0)),0),0)</f>
        <v>0</v>
      </c>
      <c r="BY43" s="560">
        <f t="shared" ref="BY43" ca="1" si="438">IF(NOT(ISBLANK(R43)),IF(R43&lt;&gt;"",(IF(NOT(ISNUMBER(R43)),1,0)),0),0)</f>
        <v>0</v>
      </c>
      <c r="BZ43" s="560">
        <f t="shared" ref="BZ43" ca="1" si="439">IF(NOT(ISBLANK(U43)),IF(U43&lt;&gt;"",(IF(NOT(ISNUMBER(U43)),1,0)),0),0)</f>
        <v>0</v>
      </c>
      <c r="CA43" s="560">
        <f t="shared" ref="CA43" ca="1" si="440">IF(NOT(ISBLANK(X43)),IF(X43&lt;&gt;"",(IF(NOT(ISNUMBER(X43)),1,0)),0),0)</f>
        <v>0</v>
      </c>
      <c r="CB43" s="560">
        <f t="shared" ref="CB43" ca="1" si="441">IF(NOT(ISBLANK(AA43)),IF(AA43&lt;&gt;"",(IF(NOT(ISNUMBER(AA43)),1,0)),0),0)</f>
        <v>0</v>
      </c>
      <c r="CC43" s="560">
        <f t="shared" ref="CC43" ca="1" si="442">IF(NOT(ISBLANK(AD43)),IF(AD43&lt;&gt;"",(IF(NOT(ISNUMBER(AD43)),1,0)),0),0)</f>
        <v>0</v>
      </c>
      <c r="CD43" s="560">
        <f t="shared" ref="CD43" ca="1" si="443">IF(NOT(ISBLANK(AG43)),IF(AG43&lt;&gt;"",(IF(NOT(ISNUMBER(AG43)),1,0)),0),0)</f>
        <v>0</v>
      </c>
      <c r="CE43" s="560">
        <f t="shared" ref="CE43" ca="1" si="444">IF(NOT(ISBLANK(AJ43)),IF(AJ43&lt;&gt;"",(IF(NOT(ISNUMBER(AJ43)),1,0)),0),0)</f>
        <v>0</v>
      </c>
      <c r="CF43" s="560" t="str">
        <f t="shared" ref="CF43" ca="1" si="445">IF(SUM(BW43:CE44)=0, "Continue", "Enter valid number only.")</f>
        <v>Continue</v>
      </c>
      <c r="CG43" s="560" t="str">
        <f t="shared" ref="CG43" ca="1" si="446">IF(AND(CF43="Continue",BD43="Continue"),"Continue",IF(AND(CF43&lt;&gt;"Continue",BD43="Continue"),CF43,IF(AND(BD43&lt;&gt;"Continue",CF43="Continue"),BD43,CONCATENATE(CF43,CHAR(10)))))</f>
        <v>Continue</v>
      </c>
    </row>
    <row r="44" spans="1:85" ht="19.5" customHeight="1" x14ac:dyDescent="0.3">
      <c r="A44" s="559"/>
      <c r="B44" s="530"/>
      <c r="C44" s="530"/>
      <c r="D44" s="530"/>
      <c r="E44" s="152">
        <v>0</v>
      </c>
      <c r="F44" s="544"/>
      <c r="G44" s="569"/>
      <c r="H44" s="530"/>
      <c r="I44" s="573"/>
      <c r="J44" s="569"/>
      <c r="K44" s="530"/>
      <c r="L44" s="157" t="s">
        <v>627</v>
      </c>
      <c r="M44" s="577"/>
      <c r="N44" s="410"/>
      <c r="O44" s="544"/>
      <c r="P44" s="569"/>
      <c r="Q44" s="154"/>
      <c r="R44" s="544"/>
      <c r="S44" s="569"/>
      <c r="T44" s="154"/>
      <c r="U44" s="544"/>
      <c r="V44" s="569"/>
      <c r="W44" s="154"/>
      <c r="X44" s="544"/>
      <c r="Y44" s="569"/>
      <c r="Z44" s="154"/>
      <c r="AA44" s="544"/>
      <c r="AB44" s="569"/>
      <c r="AC44" s="154"/>
      <c r="AD44" s="544"/>
      <c r="AE44" s="569"/>
      <c r="AF44" s="154"/>
      <c r="AG44" s="571"/>
      <c r="AH44" s="569"/>
      <c r="AI44" s="154"/>
      <c r="AJ44" s="571"/>
      <c r="AK44" s="569"/>
      <c r="AL44" s="530"/>
      <c r="AM44" s="480"/>
      <c r="AX44" s="156"/>
      <c r="AZ44" s="564"/>
      <c r="BA44" s="562"/>
      <c r="BB44" s="516"/>
      <c r="BC44" s="520"/>
      <c r="BD44" s="520"/>
      <c r="BE44" s="150">
        <f t="shared" si="0"/>
        <v>0</v>
      </c>
      <c r="BF44" s="150">
        <f t="shared" si="1"/>
        <v>0</v>
      </c>
      <c r="BG44" s="150">
        <f t="shared" si="2"/>
        <v>0</v>
      </c>
      <c r="BH44" s="150">
        <f t="shared" si="3"/>
        <v>0</v>
      </c>
      <c r="BI44" s="150">
        <f t="shared" si="4"/>
        <v>0</v>
      </c>
      <c r="BJ44" s="150">
        <f t="shared" si="5"/>
        <v>0</v>
      </c>
      <c r="BK44" s="150">
        <f t="shared" si="6"/>
        <v>0</v>
      </c>
      <c r="BL44" s="150">
        <f t="shared" si="7"/>
        <v>0</v>
      </c>
      <c r="BM44" s="150">
        <f t="shared" si="8"/>
        <v>0</v>
      </c>
      <c r="BN44" s="477"/>
      <c r="BO44" s="477"/>
      <c r="BP44" s="477"/>
      <c r="BQ44" s="477"/>
      <c r="BR44" s="520"/>
      <c r="BS44" s="520"/>
      <c r="BT44" s="520"/>
      <c r="BU44" s="520"/>
      <c r="BV44" s="560"/>
      <c r="BW44" s="560"/>
      <c r="BX44" s="560"/>
      <c r="BY44" s="560"/>
      <c r="BZ44" s="560"/>
      <c r="CA44" s="560"/>
      <c r="CB44" s="560"/>
      <c r="CC44" s="560"/>
      <c r="CD44" s="560"/>
      <c r="CE44" s="560"/>
      <c r="CF44" s="560"/>
      <c r="CG44" s="560"/>
    </row>
    <row r="45" spans="1:85" ht="39.75" customHeight="1" x14ac:dyDescent="0.25">
      <c r="A45" s="558">
        <v>19</v>
      </c>
      <c r="B45" s="521" t="s">
        <v>2203</v>
      </c>
      <c r="C45" s="521" t="s">
        <v>1194</v>
      </c>
      <c r="D45" s="521"/>
      <c r="E45" s="144">
        <v>4307</v>
      </c>
      <c r="F45" s="523">
        <f ca="1">IF(OR(INDIRECT("'update Helper'!D"&amp;AT45)="",E45&lt;&gt;0,E46&lt;&gt;0),IF(IFERROR((E45/E46),"")="","",(E45/E46)),INDIRECT("'update Helper'!D"&amp;AT45)/100)</f>
        <v>0.74631779587593139</v>
      </c>
      <c r="G45" s="595">
        <v>2022</v>
      </c>
      <c r="H45" s="521" t="s">
        <v>2201</v>
      </c>
      <c r="I45" s="572" t="str">
        <f>AN45</f>
        <v>Gender | Age,Age</v>
      </c>
      <c r="J45" s="565" t="s">
        <v>2182</v>
      </c>
      <c r="K45" s="521" t="s">
        <v>752</v>
      </c>
      <c r="L45" s="145"/>
      <c r="M45" s="574"/>
      <c r="N45" s="144"/>
      <c r="O45" s="593">
        <v>0.75</v>
      </c>
      <c r="P45" s="565"/>
      <c r="Q45" s="146"/>
      <c r="R45" s="593">
        <v>0.8</v>
      </c>
      <c r="S45" s="565"/>
      <c r="T45" s="146"/>
      <c r="U45" s="593">
        <v>0.85</v>
      </c>
      <c r="V45" s="565"/>
      <c r="W45" s="146"/>
      <c r="X45" s="523" t="str">
        <f ca="1">IF(OR(INDIRECT("'update Helper'!I"&amp;AU45+3)="",W45&lt;&gt;0,W46&lt;&gt;0),IF(IFERROR((W45/W46),"")="","",(W45/W46)),INDIRECT("'update Helper'!I"&amp;AU45+3)/100)</f>
        <v/>
      </c>
      <c r="Y45" s="565"/>
      <c r="Z45" s="146"/>
      <c r="AA45" s="523" t="str">
        <f ca="1">IF(OR(INDIRECT("'update Helper'!I"&amp;AU45+4)="",Z45&lt;&gt;0,Z46&lt;&gt;0),IF(IFERROR((Z45/Z46),"")="","",(Z45/Z46)),INDIRECT("'update Helper'!I"&amp;AU45+4)/100)</f>
        <v/>
      </c>
      <c r="AB45" s="565"/>
      <c r="AC45" s="146"/>
      <c r="AD45" s="523" t="str">
        <f ca="1">IF(OR(INDIRECT("'update Helper'!I"&amp;AU45+5)="",AC45&lt;&gt;0,AC46&lt;&gt;0),IF(IFERROR((AC45/AC46),"")="","",(AC45/AC46)),INDIRECT("'update Helper'!I"&amp;AU45+5)/100)</f>
        <v/>
      </c>
      <c r="AE45" s="565"/>
      <c r="AF45" s="146"/>
      <c r="AG45" s="523" t="str">
        <f t="shared" ref="AG45" ca="1" si="447">IF(OR(INDIRECT("'update Helper'!I"&amp;AU45+6)="",AF45&lt;&gt;0,AF46&lt;&gt;0),IF(IFERROR((AF45/AF46),"")="","",(AF45/AF46)),INDIRECT("'update Helper'!I"&amp;AU45+6)/100)</f>
        <v/>
      </c>
      <c r="AH45" s="565"/>
      <c r="AI45" s="146"/>
      <c r="AJ45" s="523" t="str">
        <f t="shared" ref="AJ45" ca="1" si="448">IF(OR(INDIRECT("'update Helper'!I"&amp;AU45+7)="",AI45&lt;&gt;0,AI46&lt;&gt;0),IF(IFERROR((AI45/AI46),"")="","",(AI45/AI46)),INDIRECT("'update Helper'!I"&amp;AU45+7)/100)</f>
        <v/>
      </c>
      <c r="AK45" s="565"/>
      <c r="AL45" s="553" t="s">
        <v>2204</v>
      </c>
      <c r="AM45" s="567" t="str">
        <f>IFERROR(IF(VLOOKUP(B45,'Reference Records'!$C$192:$D$250,2,FALSE)=0,"",VLOOKUP(B45,'Reference Records'!$C$192:$D$250,2,FALSE)),"")</f>
        <v>MCI-01306</v>
      </c>
      <c r="AN45" s="147" t="str">
        <f t="array" ref="AN45">IFERROR(IF(INDEX('Reference Records'!$D$87:$D$189,MATCH(LEFT(C45,255),LEFT('Reference Records'!$C$87:$C$189,255),0))=0,"",INDEX('Reference Records'!$D$87:$D$189,MATCH(LEFT(C45,255),LEFT('Reference Records'!$C$87:$C$189,255),0))),"")</f>
        <v>Gender | Age,Age</v>
      </c>
      <c r="AO45" s="147" t="str">
        <f>CONCATENATE(C45,D45)</f>
        <v>TCS-9 Percentage of people living with HIV and currently on antiretroviral therapy who are receiving multi month dispensing of antiretroviral medicine</v>
      </c>
      <c r="AP45" s="148" t="str">
        <f t="array" ref="AP45">VLOOKUP(LEFT(C45,255),LEFT('Reference Records'!C$86:G440,255),4,0)</f>
        <v>MCI-01537</v>
      </c>
      <c r="AQ45" s="148" t="e">
        <f>MATCH(AP45,'Reference Records'!$F$512:$F$514,0)+ROW(PopulationByCoverage)-1</f>
        <v>#N/A</v>
      </c>
      <c r="AR45" s="148">
        <f>MATCH(AP45,'Reference Records'!$F$512:$F$514,1)+ROW(PopulationByCoverage)-1</f>
        <v>513</v>
      </c>
      <c r="AS45" s="147" t="str">
        <f>C45&amp;D45</f>
        <v>TCS-9 Percentage of people living with HIV and currently on antiretroviral therapy who are receiving multi month dispensing of antiretroviral medicine</v>
      </c>
      <c r="AT45" s="147">
        <f t="shared" si="348"/>
        <v>472</v>
      </c>
      <c r="AU45" s="147">
        <f>AU43+'update Helper'!$T$2</f>
        <v>628</v>
      </c>
      <c r="AV45" s="147" t="str">
        <f t="shared" ref="AV45" si="449">CLEAN(IFERROR(LEFT(AY45, SEARCH(";",AY45,1)-1),""))</f>
        <v>Non cumulative – other</v>
      </c>
      <c r="AW45" s="147" t="str">
        <f t="shared" ref="AW45" si="450">SUBSTITUTE(IFERROR(MID(AY45, SEARCH(";",AY45) + 1, SEARCH(";",AY45,SEARCH(";",AY45)+1) - SEARCH(";",AY45) - 1),""),CHAR(10),"")</f>
        <v/>
      </c>
      <c r="AX45" s="149" t="str">
        <f t="shared" ref="AX45" si="451">CLEAN(IFERROR(SUBSTITUTE(RIGHT(AY45,LEN(AY45) - SEARCH(";", AY45, SEARCH(";",AY45) + 1)),";",""),""))</f>
        <v/>
      </c>
      <c r="AY45" s="147" t="str">
        <f t="array" ref="AY45">IFERROR(IF(VLOOKUP(LEFT(C45,255),LEFT('Reference Records'!$C$1:$K$539,255),9,0)=0,"",CONCATENATE(VLOOKUP(LEFT(C45,255),LEFT('Reference Records'!$C$1:$K$539,255),9,0),";")),"")</f>
        <v>Non cumulative – other;</v>
      </c>
      <c r="AZ45" s="563" t="str">
        <f>IF($BV45="", "", IF($BV45=TRUE, "Yes", "No"))</f>
        <v>No</v>
      </c>
      <c r="BA45" s="561" t="str">
        <f t="shared" ref="BA45" ca="1" si="452">IF($D45="", "",IF(IF(INDIRECT("'update Helper'!W"&amp;AT45)=0,"",INDIRECT("'update Helper'!W"&amp;AT45))=TRUE, "Yes","No"))</f>
        <v/>
      </c>
      <c r="BB45" s="516" t="str">
        <f t="shared" ref="BB45" ca="1" si="453">IF(AND(BS45="Continue",BU45="Continue"),"No Error",IF(AND(BS45&lt;&gt;"Continue",BU45="Continue"),BS45,IF(AND(BU45&lt;&gt;"Continue",BS45="Continue"),BU45,CONCATENATE(BS45,CHAR(10),BU45))))</f>
        <v>No Error</v>
      </c>
      <c r="BC45" s="520" t="str" cm="1">
        <f t="array" ref="BC45">IF(ISBLANK(C45),"Continue",(IF(IFERROR(_xlfn.XMATCH(C45,LEFT('Reference Records'!$C$86:$C$189,32768),0),0)&lt;&gt;0,"Continue","Invalid indicator entry. Select from dropdown list.")))</f>
        <v>Continue</v>
      </c>
      <c r="BD45" s="520" t="str">
        <f t="shared" ref="BD45" si="454">IF(SUM(BE45:BM46)=0, "Continue", "Enter valid number only.")</f>
        <v>Continue</v>
      </c>
      <c r="BE45" s="150">
        <f t="shared" si="0"/>
        <v>0</v>
      </c>
      <c r="BF45" s="150">
        <f t="shared" si="1"/>
        <v>0</v>
      </c>
      <c r="BG45" s="150">
        <f t="shared" si="2"/>
        <v>0</v>
      </c>
      <c r="BH45" s="150">
        <f t="shared" si="3"/>
        <v>0</v>
      </c>
      <c r="BI45" s="150">
        <f t="shared" si="4"/>
        <v>0</v>
      </c>
      <c r="BJ45" s="150">
        <f t="shared" si="5"/>
        <v>0</v>
      </c>
      <c r="BK45" s="150">
        <f t="shared" si="6"/>
        <v>0</v>
      </c>
      <c r="BL45" s="150">
        <f t="shared" si="7"/>
        <v>0</v>
      </c>
      <c r="BM45" s="150">
        <f t="shared" si="8"/>
        <v>0</v>
      </c>
      <c r="BN45" s="477" t="str">
        <f>IF(NOT(ISBLANK(C45)),IF(C45&lt;&gt;"",IF(_xlfn.XLOOKUP(C45,'Reference Records'!$C$86:$C$189,'Reference Records'!$A$86:$A$189,0,0,1)=AM45,"Continue","Select correct module name."),"Continue"),"Continue")</f>
        <v>Continue</v>
      </c>
      <c r="BO45" s="477" t="str">
        <f t="shared" ref="BO45" ca="1" si="455">IF(AND(BC45="Continue",CG45="Continue"),"Continue",IF(AND(BC45&lt;&gt;"Continue",CG45="Continue"),BC45,IF(AND(CG45&lt;&gt;"Continue",BC45="Continue"),CG45,CONCATENATE(BC45,CHAR(10),CG45))))</f>
        <v>Continue</v>
      </c>
      <c r="BP45" s="477" t="str">
        <f t="shared" ref="BP45" ca="1" si="456">IF(AND((AZ45&lt;&gt;""),(BA45&lt;&gt;"")),"Reversed custom indicator selection not applicable. Value pre-populated in standard indicator column.","Continue")</f>
        <v>Continue</v>
      </c>
      <c r="BQ45" s="477" t="str">
        <f t="shared" ref="BQ45" ca="1" si="457">IF(AND(BN45="Continue",BO45="Continue"),"Continue",
IF(AND(BN45&lt;&gt;"Continue",BO45="Continue"),BN45,
IF(AND(BO45&lt;&gt;"Continue",BN45="Continue"),BO45,
CONCATENATE(BN45,CHAR(10),BO45))))</f>
        <v>Continue</v>
      </c>
      <c r="BR45" s="520" t="str" cm="1">
        <f t="array" ref="BR45">IF(ISBLANK(B45),"Continue",(IF(IFERROR(_xlfn.XMATCH(B45,LEFT('Reference Records'!$J$191:$J$250,32768),0),0)&lt;&gt;0,"Continue","Invalid module entry. Select from dropdown list.")))</f>
        <v>Continue</v>
      </c>
      <c r="BS45" s="520" t="str">
        <f t="shared" ref="BS45" ca="1" si="458">IF(AND(BP45="Continue",BQ45="Continue"),"Continue",IF(AND(BP45&lt;&gt;"Continue",BQ45="Continue"),BP45,IF(AND(BQ45&lt;&gt;"Continue",BP45="Continue"),BQ45,CONCATENATE(BP45,CHAR(10),BQ45))))</f>
        <v>Continue</v>
      </c>
      <c r="BT45" s="520" t="str">
        <f t="shared" ref="BT45" si="459">IF(AND(C45="",D45=""),"Continue",IF(AND(C45="",D45&lt;&gt;""),"Continue",IF(AND(C45&lt;&gt;"",D45=""),"Continue",IF(AND(C45&lt;&gt;"",D45&lt;&gt;""),"Cannot enter both standard and custom indicators on the same line."))))</f>
        <v>Continue</v>
      </c>
      <c r="BU45" s="520" t="str">
        <f t="shared" ref="BU45" si="460">IF(AND(BR45="Continue",BT45="Continue"),"Continue",IF(AND(BR45&lt;&gt;"Continue",BT45="Continue"),BR45,IF(AND(BT45&lt;&gt;"Continue",BR45="Continue"),BT45,CONCATENATE(BR45,CHAR(10),BT45))))</f>
        <v>Continue</v>
      </c>
      <c r="BV45" s="560" t="b">
        <f>IFERROR(INDEX('Reference Records'!$L$86:$L$189,MATCH($C45,'Reference Records'!$C$86:$C$189,0)),"")</f>
        <v>0</v>
      </c>
      <c r="BW45" s="560">
        <f t="shared" ref="BW45" ca="1" si="461">IF(NOT(ISBLANK(F45)),IF(F45&lt;&gt;"",(IF(NOT(ISNUMBER(F45)),1,0)),0),0)</f>
        <v>0</v>
      </c>
      <c r="BX45" s="560">
        <f t="shared" ref="BX45" si="462">IF(NOT(ISBLANK(O45)),IF(O45&lt;&gt;"",(IF(NOT(ISNUMBER(O45)),1,0)),0),0)</f>
        <v>0</v>
      </c>
      <c r="BY45" s="560">
        <f t="shared" ref="BY45" si="463">IF(NOT(ISBLANK(R45)),IF(R45&lt;&gt;"",(IF(NOT(ISNUMBER(R45)),1,0)),0),0)</f>
        <v>0</v>
      </c>
      <c r="BZ45" s="560">
        <f t="shared" ref="BZ45" si="464">IF(NOT(ISBLANK(U45)),IF(U45&lt;&gt;"",(IF(NOT(ISNUMBER(U45)),1,0)),0),0)</f>
        <v>0</v>
      </c>
      <c r="CA45" s="560">
        <f t="shared" ref="CA45" ca="1" si="465">IF(NOT(ISBLANK(X45)),IF(X45&lt;&gt;"",(IF(NOT(ISNUMBER(X45)),1,0)),0),0)</f>
        <v>0</v>
      </c>
      <c r="CB45" s="560">
        <f t="shared" ref="CB45" ca="1" si="466">IF(NOT(ISBLANK(AA45)),IF(AA45&lt;&gt;"",(IF(NOT(ISNUMBER(AA45)),1,0)),0),0)</f>
        <v>0</v>
      </c>
      <c r="CC45" s="560">
        <f t="shared" ref="CC45" ca="1" si="467">IF(NOT(ISBLANK(AD45)),IF(AD45&lt;&gt;"",(IF(NOT(ISNUMBER(AD45)),1,0)),0),0)</f>
        <v>0</v>
      </c>
      <c r="CD45" s="560">
        <f t="shared" ref="CD45" ca="1" si="468">IF(NOT(ISBLANK(AG45)),IF(AG45&lt;&gt;"",(IF(NOT(ISNUMBER(AG45)),1,0)),0),0)</f>
        <v>0</v>
      </c>
      <c r="CE45" s="560">
        <f t="shared" ref="CE45" ca="1" si="469">IF(NOT(ISBLANK(AJ45)),IF(AJ45&lt;&gt;"",(IF(NOT(ISNUMBER(AJ45)),1,0)),0),0)</f>
        <v>0</v>
      </c>
      <c r="CF45" s="560" t="str">
        <f t="shared" ref="CF45" ca="1" si="470">IF(SUM(BW45:CE46)=0, "Continue", "Enter valid number only.")</f>
        <v>Continue</v>
      </c>
      <c r="CG45" s="560" t="str">
        <f t="shared" ref="CG45" ca="1" si="471">IF(AND(CF45="Continue",BD45="Continue"),"Continue",IF(AND(CF45&lt;&gt;"Continue",BD45="Continue"),CF45,IF(AND(BD45&lt;&gt;"Continue",CF45="Continue"),BD45,CONCATENATE(CF45,CHAR(10)))))</f>
        <v>Continue</v>
      </c>
    </row>
    <row r="46" spans="1:85" ht="39" customHeight="1" x14ac:dyDescent="0.25">
      <c r="A46" s="559"/>
      <c r="B46" s="522"/>
      <c r="C46" s="522"/>
      <c r="D46" s="522"/>
      <c r="E46" s="144">
        <v>5771</v>
      </c>
      <c r="F46" s="524"/>
      <c r="G46" s="596"/>
      <c r="H46" s="522"/>
      <c r="I46" s="573"/>
      <c r="J46" s="566"/>
      <c r="K46" s="522"/>
      <c r="L46" s="151" t="s">
        <v>627</v>
      </c>
      <c r="M46" s="575"/>
      <c r="N46" s="144"/>
      <c r="O46" s="594"/>
      <c r="P46" s="566"/>
      <c r="Q46" s="146"/>
      <c r="R46" s="594"/>
      <c r="S46" s="566"/>
      <c r="T46" s="146"/>
      <c r="U46" s="594"/>
      <c r="V46" s="566"/>
      <c r="W46" s="146"/>
      <c r="X46" s="524"/>
      <c r="Y46" s="566"/>
      <c r="Z46" s="146"/>
      <c r="AA46" s="524"/>
      <c r="AB46" s="566"/>
      <c r="AC46" s="146"/>
      <c r="AD46" s="524"/>
      <c r="AE46" s="566"/>
      <c r="AF46" s="146"/>
      <c r="AG46" s="524"/>
      <c r="AH46" s="566"/>
      <c r="AI46" s="146"/>
      <c r="AJ46" s="524"/>
      <c r="AK46" s="566"/>
      <c r="AL46" s="522"/>
      <c r="AM46" s="567"/>
      <c r="AN46" s="147"/>
      <c r="AO46" s="147"/>
      <c r="AP46" s="147"/>
      <c r="AQ46" s="147"/>
      <c r="AR46" s="147"/>
      <c r="AS46" s="147"/>
      <c r="AT46" s="147"/>
      <c r="AU46" s="147"/>
      <c r="AV46" s="147"/>
      <c r="AW46" s="147"/>
      <c r="AX46" s="149"/>
      <c r="AY46" s="147"/>
      <c r="AZ46" s="563"/>
      <c r="BA46" s="561"/>
      <c r="BB46" s="516"/>
      <c r="BC46" s="520"/>
      <c r="BD46" s="520"/>
      <c r="BE46" s="150">
        <f t="shared" si="0"/>
        <v>0</v>
      </c>
      <c r="BF46" s="150">
        <f t="shared" si="1"/>
        <v>0</v>
      </c>
      <c r="BG46" s="150">
        <f t="shared" si="2"/>
        <v>0</v>
      </c>
      <c r="BH46" s="150">
        <f t="shared" si="3"/>
        <v>0</v>
      </c>
      <c r="BI46" s="150">
        <f t="shared" si="4"/>
        <v>0</v>
      </c>
      <c r="BJ46" s="150">
        <f t="shared" si="5"/>
        <v>0</v>
      </c>
      <c r="BK46" s="150">
        <f t="shared" si="6"/>
        <v>0</v>
      </c>
      <c r="BL46" s="150">
        <f t="shared" si="7"/>
        <v>0</v>
      </c>
      <c r="BM46" s="150">
        <f t="shared" si="8"/>
        <v>0</v>
      </c>
      <c r="BN46" s="477"/>
      <c r="BO46" s="477"/>
      <c r="BP46" s="477"/>
      <c r="BQ46" s="477"/>
      <c r="BR46" s="520"/>
      <c r="BS46" s="520"/>
      <c r="BT46" s="520"/>
      <c r="BU46" s="520"/>
      <c r="BV46" s="560"/>
      <c r="BW46" s="560"/>
      <c r="BX46" s="560"/>
      <c r="BY46" s="560"/>
      <c r="BZ46" s="560"/>
      <c r="CA46" s="560"/>
      <c r="CB46" s="560"/>
      <c r="CC46" s="560"/>
      <c r="CD46" s="560"/>
      <c r="CE46" s="560"/>
      <c r="CF46" s="560"/>
      <c r="CG46" s="560"/>
    </row>
    <row r="47" spans="1:85" ht="112.95" customHeight="1" x14ac:dyDescent="0.25">
      <c r="A47" s="558">
        <v>20</v>
      </c>
      <c r="B47" s="529" t="s">
        <v>432</v>
      </c>
      <c r="C47" s="529" t="s">
        <v>1223</v>
      </c>
      <c r="D47" s="529"/>
      <c r="E47" s="152">
        <v>918</v>
      </c>
      <c r="F47" s="543" t="str">
        <f ca="1">IF(OR(INDIRECT("'update Helper'!D"&amp;AT47)="",E47&lt;&gt;0,E48&lt;&gt;0),IF(IFERROR((E47/E48),"")="","",(E47/E48)),INDIRECT("'update Helper'!D"&amp;AT47)/100)</f>
        <v/>
      </c>
      <c r="G47" s="568">
        <v>2021</v>
      </c>
      <c r="H47" s="529" t="s">
        <v>2205</v>
      </c>
      <c r="I47" s="572" t="str">
        <f>AN47</f>
        <v>HIV status,Gender,Age</v>
      </c>
      <c r="J47" s="568" t="s">
        <v>2182</v>
      </c>
      <c r="K47" s="529" t="s">
        <v>752</v>
      </c>
      <c r="L47" s="153" t="s">
        <v>753</v>
      </c>
      <c r="M47" s="576" t="s">
        <v>624</v>
      </c>
      <c r="N47" s="152">
        <v>1150</v>
      </c>
      <c r="O47" s="543" t="str">
        <f ca="1">IF(OR(INDIRECT("'update Helper'!I"&amp;AU47)="",N47&lt;&gt;0,N48&lt;&gt;0),IF(IFERROR((N47/N48),"")="","",(N47/N48)),INDIRECT("'update Helper'!I"&amp;AU47)/100)</f>
        <v/>
      </c>
      <c r="P47" s="568"/>
      <c r="Q47" s="154">
        <v>1200</v>
      </c>
      <c r="R47" s="543" t="str">
        <f ca="1">IF(OR(INDIRECT("'update Helper'!I"&amp;AU47+1)="",Q47&lt;&gt;0,Q48&lt;&gt;0),IF(IFERROR((Q47/Q48),"")="","",(Q47/Q48)),INDIRECT("'update Helper'!I"&amp;AU47+1)/100)</f>
        <v/>
      </c>
      <c r="S47" s="568"/>
      <c r="T47" s="154">
        <v>1250</v>
      </c>
      <c r="U47" s="543" t="str">
        <f ca="1">IF(OR(INDIRECT("'update Helper'!I"&amp;AU47+2)="",T47&lt;&gt;0,T48&lt;&gt;0),IF(IFERROR((T47/T48),"")="","",(T47/T48)),INDIRECT("'update Helper'!I"&amp;AU47+2)/100)</f>
        <v/>
      </c>
      <c r="V47" s="568"/>
      <c r="W47" s="154"/>
      <c r="X47" s="543" t="str">
        <f ca="1">IF(OR(INDIRECT("'update Helper'!I"&amp;AU47+3)="",W47&lt;&gt;0,W48&lt;&gt;0),IF(IFERROR((W47/W48),"")="","",(W47/W48)),INDIRECT("'update Helper'!I"&amp;AU47+3)/100)</f>
        <v/>
      </c>
      <c r="Y47" s="568"/>
      <c r="Z47" s="154"/>
      <c r="AA47" s="543" t="str">
        <f ca="1">IF(OR(INDIRECT("'update Helper'!I"&amp;AU47+4)="",Z47&lt;&gt;0,Z48&lt;&gt;0),IF(IFERROR((Z47/Z48),"")="","",(Z47/Z48)),INDIRECT("'update Helper'!I"&amp;AU47+4)/100)</f>
        <v/>
      </c>
      <c r="AB47" s="568"/>
      <c r="AC47" s="154"/>
      <c r="AD47" s="543" t="str">
        <f ca="1">IF(OR(INDIRECT("'update Helper'!I"&amp;AU47+5)="",AC47&lt;&gt;0,AC48&lt;&gt;0),IF(IFERROR((AC47/AC48),"")="","",(AC47/AC48)),INDIRECT("'update Helper'!I"&amp;AU47+5)/100)</f>
        <v/>
      </c>
      <c r="AE47" s="568"/>
      <c r="AF47" s="154"/>
      <c r="AG47" s="570" t="str">
        <f t="shared" ref="AG47" ca="1" si="472">IF(OR(INDIRECT("'update Helper'!I"&amp;AU47+6)="",AF47&lt;&gt;0,AF48&lt;&gt;0),IF(IFERROR((AF47/AF48),"")="","",(AF47/AF48)),INDIRECT("'update Helper'!I"&amp;AU47+6)/100)</f>
        <v/>
      </c>
      <c r="AH47" s="568"/>
      <c r="AI47" s="154"/>
      <c r="AJ47" s="570" t="str">
        <f t="shared" ref="AJ47" ca="1" si="473">IF(OR(INDIRECT("'update Helper'!I"&amp;AU47+7)="",AI47&lt;&gt;0,AI48&lt;&gt;0),IF(IFERROR((AI47/AI48),"")="","",(AI47/AI48)),INDIRECT("'update Helper'!I"&amp;AU47+7)/100)</f>
        <v/>
      </c>
      <c r="AK47" s="568"/>
      <c r="AL47" s="529" t="s">
        <v>2206</v>
      </c>
      <c r="AM47" s="480" t="str">
        <f>IFERROR(IF(VLOOKUP(B47,'Reference Records'!$C$192:$D$250,2,FALSE)=0,"",VLOOKUP(B47,'Reference Records'!$C$192:$D$250,2,FALSE)),"")</f>
        <v>MCI-01309</v>
      </c>
      <c r="AN47" s="52" t="str">
        <f t="array" ref="AN47">IFERROR(IF(INDEX('Reference Records'!$D$87:$D$189,MATCH(LEFT(C47,255),LEFT('Reference Records'!$C$87:$C$189,255),0))=0,"",INDEX('Reference Records'!$D$87:$D$189,MATCH(LEFT(C47,255),LEFT('Reference Records'!$C$87:$C$189,255),0))),"")</f>
        <v>HIV status,Gender,Age</v>
      </c>
      <c r="AO47" s="52" t="str">
        <f>CONCATENATE(C47,D47)</f>
        <v>DRTB-2⁽ᴹ⁾ Number of people with confirmed RR-TB and/or MDR-TB notified</v>
      </c>
      <c r="AP47" s="155" t="str">
        <f t="array" ref="AP47">VLOOKUP(LEFT(C47,255),LEFT('Reference Records'!C$86:G496,255),4,0)</f>
        <v>MCI-01550</v>
      </c>
      <c r="AQ47" s="155" t="e">
        <f>MATCH(AP47,'Reference Records'!$F$512:$F$514,0)+ROW(PopulationByCoverage)-1</f>
        <v>#N/A</v>
      </c>
      <c r="AR47" s="155">
        <f>MATCH(AP47,'Reference Records'!$F$512:$F$514,1)+ROW(PopulationByCoverage)-1</f>
        <v>513</v>
      </c>
      <c r="AS47" s="52" t="str">
        <f>C47&amp;D47</f>
        <v>DRTB-2⁽ᴹ⁾ Number of people with confirmed RR-TB and/or MDR-TB notified</v>
      </c>
      <c r="AT47" s="52">
        <f t="shared" si="348"/>
        <v>473</v>
      </c>
      <c r="AU47" s="52">
        <f>AU45+'update Helper'!$T$2</f>
        <v>634</v>
      </c>
      <c r="AV47" s="52" t="str">
        <f t="shared" ref="AV47" si="474">CLEAN(IFERROR(LEFT(AY47, SEARCH(";",AY47,1)-1),""))</f>
        <v>Non cumulative</v>
      </c>
      <c r="AW47" s="52" t="str">
        <f t="shared" ref="AW47" si="475">SUBSTITUTE(IFERROR(MID(AY47, SEARCH(";",AY47) + 1, SEARCH(";",AY47,SEARCH(";",AY47)+1) - SEARCH(";",AY47) - 1),""),CHAR(10),"")</f>
        <v/>
      </c>
      <c r="AX47" s="156" t="str">
        <f t="shared" ref="AX47" si="476">CLEAN(IFERROR(SUBSTITUTE(RIGHT(AY47,LEN(AY47) - SEARCH(";", AY47, SEARCH(";",AY47) + 1)),";",""),""))</f>
        <v/>
      </c>
      <c r="AY47" s="52" t="str">
        <f t="array" ref="AY47">IFERROR(IF(VLOOKUP(LEFT(C47,255),LEFT('Reference Records'!$C$1:$K$539,255),9,0)=0,"",CONCATENATE(VLOOKUP(LEFT(C47,255),LEFT('Reference Records'!$C$1:$K$539,255),9,0),";")),"")</f>
        <v>Non cumulative;</v>
      </c>
      <c r="AZ47" s="564" t="str">
        <f>IF($BV47="", "", IF($BV47=TRUE, "Yes", "No"))</f>
        <v>No</v>
      </c>
      <c r="BA47" s="562" t="str">
        <f t="shared" ref="BA47" ca="1" si="477">IF($D47="", "",IF(IF(INDIRECT("'update Helper'!W"&amp;AT47)=0,"",INDIRECT("'update Helper'!W"&amp;AT47))=TRUE, "Yes","No"))</f>
        <v/>
      </c>
      <c r="BB47" s="516" t="str">
        <f t="shared" ref="BB47" ca="1" si="478">IF(AND(BS47="Continue",BU47="Continue"),"No Error",IF(AND(BS47&lt;&gt;"Continue",BU47="Continue"),BS47,IF(AND(BU47&lt;&gt;"Continue",BS47="Continue"),BU47,CONCATENATE(BS47,CHAR(10),BU47))))</f>
        <v>No Error</v>
      </c>
      <c r="BC47" s="520" t="str" cm="1">
        <f t="array" ref="BC47">IF(ISBLANK(C47),"Continue",(IF(IFERROR(_xlfn.XMATCH(C47,LEFT('Reference Records'!$C$86:$C$189,32768),0),0)&lt;&gt;0,"Continue","Invalid indicator entry. Select from dropdown list.")))</f>
        <v>Continue</v>
      </c>
      <c r="BD47" s="520" t="str">
        <f t="shared" ref="BD47" si="479">IF(SUM(BE47:BM48)=0, "Continue", "Enter valid number only.")</f>
        <v>Continue</v>
      </c>
      <c r="BE47" s="150">
        <f t="shared" si="0"/>
        <v>0</v>
      </c>
      <c r="BF47" s="150">
        <f t="shared" si="1"/>
        <v>0</v>
      </c>
      <c r="BG47" s="150">
        <f t="shared" si="2"/>
        <v>0</v>
      </c>
      <c r="BH47" s="150">
        <f t="shared" si="3"/>
        <v>0</v>
      </c>
      <c r="BI47" s="150">
        <f t="shared" si="4"/>
        <v>0</v>
      </c>
      <c r="BJ47" s="150">
        <f t="shared" si="5"/>
        <v>0</v>
      </c>
      <c r="BK47" s="150">
        <f t="shared" si="6"/>
        <v>0</v>
      </c>
      <c r="BL47" s="150">
        <f t="shared" si="7"/>
        <v>0</v>
      </c>
      <c r="BM47" s="150">
        <f t="shared" si="8"/>
        <v>0</v>
      </c>
      <c r="BN47" s="477" t="str">
        <f>IF(NOT(ISBLANK(C47)),IF(C47&lt;&gt;"",IF(_xlfn.XLOOKUP(C47,'Reference Records'!$C$86:$C$189,'Reference Records'!$A$86:$A$189,0,0,1)=AM47,"Continue","Select correct module name."),"Continue"),"Continue")</f>
        <v>Continue</v>
      </c>
      <c r="BO47" s="477" t="str">
        <f t="shared" ref="BO47" ca="1" si="480">IF(AND(BC47="Continue",CG47="Continue"),"Continue",IF(AND(BC47&lt;&gt;"Continue",CG47="Continue"),BC47,IF(AND(CG47&lt;&gt;"Continue",BC47="Continue"),CG47,CONCATENATE(BC47,CHAR(10),CG47))))</f>
        <v>Continue</v>
      </c>
      <c r="BP47" s="477" t="str">
        <f t="shared" ref="BP47" ca="1" si="481">IF(AND((AZ47&lt;&gt;""),(BA47&lt;&gt;"")),"Reversed custom indicator selection not applicable. Value pre-populated in standard indicator column.","Continue")</f>
        <v>Continue</v>
      </c>
      <c r="BQ47" s="477" t="str">
        <f t="shared" ref="BQ47" ca="1" si="482">IF(AND(BN47="Continue",BO47="Continue"),"Continue",
IF(AND(BN47&lt;&gt;"Continue",BO47="Continue"),BN47,
IF(AND(BO47&lt;&gt;"Continue",BN47="Continue"),BO47,
CONCATENATE(BN47,CHAR(10),BO47))))</f>
        <v>Continue</v>
      </c>
      <c r="BR47" s="520" t="str" cm="1">
        <f t="array" ref="BR47">IF(ISBLANK(B47),"Continue",(IF(IFERROR(_xlfn.XMATCH(B47,LEFT('Reference Records'!$J$191:$J$250,32768),0),0)&lt;&gt;0,"Continue","Invalid module entry. Select from dropdown list.")))</f>
        <v>Continue</v>
      </c>
      <c r="BS47" s="520" t="str">
        <f t="shared" ref="BS47" ca="1" si="483">IF(AND(BP47="Continue",BQ47="Continue"),"Continue",IF(AND(BP47&lt;&gt;"Continue",BQ47="Continue"),BP47,IF(AND(BQ47&lt;&gt;"Continue",BP47="Continue"),BQ47,CONCATENATE(BP47,CHAR(10),BQ47))))</f>
        <v>Continue</v>
      </c>
      <c r="BT47" s="520" t="str">
        <f t="shared" ref="BT47" si="484">IF(AND(C47="",D47=""),"Continue",IF(AND(C47="",D47&lt;&gt;""),"Continue",IF(AND(C47&lt;&gt;"",D47=""),"Continue",IF(AND(C47&lt;&gt;"",D47&lt;&gt;""),"Cannot enter both standard and custom indicators on the same line."))))</f>
        <v>Continue</v>
      </c>
      <c r="BU47" s="520" t="str">
        <f t="shared" ref="BU47" si="485">IF(AND(BR47="Continue",BT47="Continue"),"Continue",IF(AND(BR47&lt;&gt;"Continue",BT47="Continue"),BR47,IF(AND(BT47&lt;&gt;"Continue",BR47="Continue"),BT47,CONCATENATE(BR47,CHAR(10),BT47))))</f>
        <v>Continue</v>
      </c>
      <c r="BV47" s="560" t="b">
        <f>IFERROR(INDEX('Reference Records'!$L$86:$L$189,MATCH($C47,'Reference Records'!$C$86:$C$189,0)),"")</f>
        <v>0</v>
      </c>
      <c r="BW47" s="560">
        <f t="shared" ref="BW47" ca="1" si="486">IF(NOT(ISBLANK(F47)),IF(F47&lt;&gt;"",(IF(NOT(ISNUMBER(F47)),1,0)),0),0)</f>
        <v>0</v>
      </c>
      <c r="BX47" s="560">
        <f t="shared" ref="BX47" ca="1" si="487">IF(NOT(ISBLANK(O47)),IF(O47&lt;&gt;"",(IF(NOT(ISNUMBER(O47)),1,0)),0),0)</f>
        <v>0</v>
      </c>
      <c r="BY47" s="560">
        <f t="shared" ref="BY47" ca="1" si="488">IF(NOT(ISBLANK(R47)),IF(R47&lt;&gt;"",(IF(NOT(ISNUMBER(R47)),1,0)),0),0)</f>
        <v>0</v>
      </c>
      <c r="BZ47" s="560">
        <f t="shared" ref="BZ47" ca="1" si="489">IF(NOT(ISBLANK(U47)),IF(U47&lt;&gt;"",(IF(NOT(ISNUMBER(U47)),1,0)),0),0)</f>
        <v>0</v>
      </c>
      <c r="CA47" s="560">
        <f t="shared" ref="CA47" ca="1" si="490">IF(NOT(ISBLANK(X47)),IF(X47&lt;&gt;"",(IF(NOT(ISNUMBER(X47)),1,0)),0),0)</f>
        <v>0</v>
      </c>
      <c r="CB47" s="560">
        <f t="shared" ref="CB47" ca="1" si="491">IF(NOT(ISBLANK(AA47)),IF(AA47&lt;&gt;"",(IF(NOT(ISNUMBER(AA47)),1,0)),0),0)</f>
        <v>0</v>
      </c>
      <c r="CC47" s="560">
        <f t="shared" ref="CC47" ca="1" si="492">IF(NOT(ISBLANK(AD47)),IF(AD47&lt;&gt;"",(IF(NOT(ISNUMBER(AD47)),1,0)),0),0)</f>
        <v>0</v>
      </c>
      <c r="CD47" s="560">
        <f t="shared" ref="CD47" ca="1" si="493">IF(NOT(ISBLANK(AG47)),IF(AG47&lt;&gt;"",(IF(NOT(ISNUMBER(AG47)),1,0)),0),0)</f>
        <v>0</v>
      </c>
      <c r="CE47" s="560">
        <f t="shared" ref="CE47" ca="1" si="494">IF(NOT(ISBLANK(AJ47)),IF(AJ47&lt;&gt;"",(IF(NOT(ISNUMBER(AJ47)),1,0)),0),0)</f>
        <v>0</v>
      </c>
      <c r="CF47" s="560" t="str">
        <f t="shared" ref="CF47" ca="1" si="495">IF(SUM(BW47:CE48)=0, "Continue", "Enter valid number only.")</f>
        <v>Continue</v>
      </c>
      <c r="CG47" s="560" t="str">
        <f t="shared" ref="CG47" ca="1" si="496">IF(AND(CF47="Continue",BD47="Continue"),"Continue",IF(AND(CF47&lt;&gt;"Continue",BD47="Continue"),CF47,IF(AND(BD47&lt;&gt;"Continue",CF47="Continue"),BD47,CONCATENATE(CF47,CHAR(10)))))</f>
        <v>Continue</v>
      </c>
    </row>
    <row r="48" spans="1:85" ht="90.45" customHeight="1" x14ac:dyDescent="0.25">
      <c r="A48" s="559"/>
      <c r="B48" s="530"/>
      <c r="C48" s="530"/>
      <c r="D48" s="530"/>
      <c r="E48" s="152"/>
      <c r="F48" s="544"/>
      <c r="G48" s="569"/>
      <c r="H48" s="530"/>
      <c r="I48" s="573"/>
      <c r="J48" s="569"/>
      <c r="K48" s="530"/>
      <c r="L48" s="157" t="s">
        <v>627</v>
      </c>
      <c r="M48" s="577"/>
      <c r="N48" s="152"/>
      <c r="O48" s="544"/>
      <c r="P48" s="569"/>
      <c r="Q48" s="154"/>
      <c r="R48" s="544"/>
      <c r="S48" s="569"/>
      <c r="T48" s="154"/>
      <c r="U48" s="544"/>
      <c r="V48" s="569"/>
      <c r="W48" s="154"/>
      <c r="X48" s="544"/>
      <c r="Y48" s="569"/>
      <c r="Z48" s="154"/>
      <c r="AA48" s="544"/>
      <c r="AB48" s="569"/>
      <c r="AC48" s="154"/>
      <c r="AD48" s="544"/>
      <c r="AE48" s="569"/>
      <c r="AF48" s="154"/>
      <c r="AG48" s="571"/>
      <c r="AH48" s="569"/>
      <c r="AI48" s="154"/>
      <c r="AJ48" s="571"/>
      <c r="AK48" s="569"/>
      <c r="AL48" s="530"/>
      <c r="AM48" s="480"/>
      <c r="AX48" s="156"/>
      <c r="AZ48" s="564"/>
      <c r="BA48" s="562"/>
      <c r="BB48" s="516"/>
      <c r="BC48" s="520"/>
      <c r="BD48" s="520"/>
      <c r="BE48" s="150">
        <f t="shared" si="0"/>
        <v>0</v>
      </c>
      <c r="BF48" s="150">
        <f t="shared" si="1"/>
        <v>0</v>
      </c>
      <c r="BG48" s="150">
        <f t="shared" si="2"/>
        <v>0</v>
      </c>
      <c r="BH48" s="150">
        <f t="shared" si="3"/>
        <v>0</v>
      </c>
      <c r="BI48" s="150">
        <f t="shared" si="4"/>
        <v>0</v>
      </c>
      <c r="BJ48" s="150">
        <f t="shared" si="5"/>
        <v>0</v>
      </c>
      <c r="BK48" s="150">
        <f t="shared" si="6"/>
        <v>0</v>
      </c>
      <c r="BL48" s="150">
        <f t="shared" si="7"/>
        <v>0</v>
      </c>
      <c r="BM48" s="150">
        <f t="shared" si="8"/>
        <v>0</v>
      </c>
      <c r="BN48" s="477"/>
      <c r="BO48" s="477"/>
      <c r="BP48" s="477"/>
      <c r="BQ48" s="477"/>
      <c r="BR48" s="520"/>
      <c r="BS48" s="520"/>
      <c r="BT48" s="520"/>
      <c r="BU48" s="520"/>
      <c r="BV48" s="560"/>
      <c r="BW48" s="560"/>
      <c r="BX48" s="560"/>
      <c r="BY48" s="560"/>
      <c r="BZ48" s="560"/>
      <c r="CA48" s="560"/>
      <c r="CB48" s="560"/>
      <c r="CC48" s="560"/>
      <c r="CD48" s="560"/>
      <c r="CE48" s="560"/>
      <c r="CF48" s="560"/>
      <c r="CG48" s="560"/>
    </row>
    <row r="49" spans="1:85" ht="77.25" customHeight="1" x14ac:dyDescent="0.25">
      <c r="A49" s="558">
        <v>21</v>
      </c>
      <c r="B49" s="521" t="s">
        <v>432</v>
      </c>
      <c r="C49" s="521" t="s">
        <v>1226</v>
      </c>
      <c r="D49" s="521"/>
      <c r="E49" s="144">
        <v>870</v>
      </c>
      <c r="F49" s="523">
        <f ca="1">IF(OR(INDIRECT("'update Helper'!D"&amp;AT49)="",E49&lt;&gt;0,E50&lt;&gt;0),IF(IFERROR((E49/E50),"")="","",(E49/E50)),INDIRECT("'update Helper'!D"&amp;AT49)/100)</f>
        <v>0.94771241830065356</v>
      </c>
      <c r="G49" s="565">
        <v>2021</v>
      </c>
      <c r="H49" s="521" t="s">
        <v>2205</v>
      </c>
      <c r="I49" s="572" t="str">
        <f>AN49</f>
        <v>Treatment regimen,Gender,Age</v>
      </c>
      <c r="J49" s="565" t="s">
        <v>2182</v>
      </c>
      <c r="K49" s="521" t="s">
        <v>752</v>
      </c>
      <c r="L49" s="145" t="s">
        <v>753</v>
      </c>
      <c r="M49" s="574" t="s">
        <v>624</v>
      </c>
      <c r="N49" s="144"/>
      <c r="O49" s="523">
        <v>0.98</v>
      </c>
      <c r="P49" s="565"/>
      <c r="Q49" s="146"/>
      <c r="R49" s="523">
        <v>0.98</v>
      </c>
      <c r="S49" s="565"/>
      <c r="T49" s="146"/>
      <c r="U49" s="523">
        <v>0.98</v>
      </c>
      <c r="V49" s="565"/>
      <c r="W49" s="146"/>
      <c r="X49" s="523" t="str">
        <f ca="1">IF(OR(INDIRECT("'update Helper'!I"&amp;AU49+3)="",W49&lt;&gt;0,W50&lt;&gt;0),IF(IFERROR((W49/W50),"")="","",(W49/W50)),INDIRECT("'update Helper'!I"&amp;AU49+3)/100)</f>
        <v/>
      </c>
      <c r="Y49" s="565"/>
      <c r="Z49" s="146"/>
      <c r="AA49" s="523" t="str">
        <f ca="1">IF(OR(INDIRECT("'update Helper'!I"&amp;AU49+4)="",Z49&lt;&gt;0,Z50&lt;&gt;0),IF(IFERROR((Z49/Z50),"")="","",(Z49/Z50)),INDIRECT("'update Helper'!I"&amp;AU49+4)/100)</f>
        <v/>
      </c>
      <c r="AB49" s="565"/>
      <c r="AC49" s="146"/>
      <c r="AD49" s="523" t="str">
        <f ca="1">IF(OR(INDIRECT("'update Helper'!I"&amp;AU49+5)="",AC49&lt;&gt;0,AC50&lt;&gt;0),IF(IFERROR((AC49/AC50),"")="","",(AC49/AC50)),INDIRECT("'update Helper'!I"&amp;AU49+5)/100)</f>
        <v/>
      </c>
      <c r="AE49" s="565"/>
      <c r="AF49" s="146"/>
      <c r="AG49" s="523" t="str">
        <f t="shared" ref="AG49" ca="1" si="497">IF(OR(INDIRECT("'update Helper'!I"&amp;AU49+6)="",AF49&lt;&gt;0,AF50&lt;&gt;0),IF(IFERROR((AF49/AF50),"")="","",(AF49/AF50)),INDIRECT("'update Helper'!I"&amp;AU49+6)/100)</f>
        <v/>
      </c>
      <c r="AH49" s="565"/>
      <c r="AI49" s="146"/>
      <c r="AJ49" s="523" t="str">
        <f t="shared" ref="AJ49" ca="1" si="498">IF(OR(INDIRECT("'update Helper'!I"&amp;AU49+7)="",AI49&lt;&gt;0,AI50&lt;&gt;0),IF(IFERROR((AI49/AI50),"")="","",(AI49/AI50)),INDIRECT("'update Helper'!I"&amp;AU49+7)/100)</f>
        <v/>
      </c>
      <c r="AK49" s="565"/>
      <c r="AL49" s="521" t="s">
        <v>2207</v>
      </c>
      <c r="AM49" s="567" t="str">
        <f>IFERROR(IF(VLOOKUP(B49,'Reference Records'!$C$192:$D$250,2,FALSE)=0,"",VLOOKUP(B49,'Reference Records'!$C$192:$D$250,2,FALSE)),"")</f>
        <v>MCI-01309</v>
      </c>
      <c r="AN49" s="147" t="str">
        <f t="array" ref="AN49">IFERROR(IF(INDEX('Reference Records'!$D$87:$D$189,MATCH(LEFT(C49,255),LEFT('Reference Records'!$C$87:$C$189,255),0))=0,"",INDEX('Reference Records'!$D$87:$D$189,MATCH(LEFT(C49,255),LEFT('Reference Records'!$C$87:$C$189,255),0))),"")</f>
        <v>Treatment regimen,Gender,Age</v>
      </c>
      <c r="AO49" s="147" t="str">
        <f>CONCATENATE(C49,D49)</f>
        <v>DRTB-3⁽ᴹ⁾ Percentage of people with confirmed RR-TB and/or MDR-TB that began second-line treatment</v>
      </c>
      <c r="AP49" s="148" t="str">
        <f t="array" ref="AP49">VLOOKUP(LEFT(C49,255),LEFT('Reference Records'!C$86:G498,255),4,0)</f>
        <v>MCI-01551</v>
      </c>
      <c r="AQ49" s="148" t="e">
        <f>MATCH(AP49,'Reference Records'!$F$512:$F$514,0)+ROW(PopulationByCoverage)-1</f>
        <v>#N/A</v>
      </c>
      <c r="AR49" s="148">
        <f>MATCH(AP49,'Reference Records'!$F$512:$F$514,1)+ROW(PopulationByCoverage)-1</f>
        <v>513</v>
      </c>
      <c r="AS49" s="147" t="str">
        <f>C49&amp;D49</f>
        <v>DRTB-3⁽ᴹ⁾ Percentage of people with confirmed RR-TB and/or MDR-TB that began second-line treatment</v>
      </c>
      <c r="AT49" s="147">
        <f t="shared" si="348"/>
        <v>474</v>
      </c>
      <c r="AU49" s="147">
        <f>AU47+'update Helper'!$T$2</f>
        <v>640</v>
      </c>
      <c r="AV49" s="147" t="str">
        <f t="shared" ref="AV49" si="499">CLEAN(IFERROR(LEFT(AY49, SEARCH(";",AY49,1)-1),""))</f>
        <v>Non cumulative</v>
      </c>
      <c r="AW49" s="147" t="str">
        <f t="shared" ref="AW49" si="500">SUBSTITUTE(IFERROR(MID(AY49, SEARCH(";",AY49) + 1, SEARCH(";",AY49,SEARCH(";",AY49)+1) - SEARCH(";",AY49) - 1),""),CHAR(10),"")</f>
        <v/>
      </c>
      <c r="AX49" s="149" t="str">
        <f t="shared" ref="AX49" si="501">CLEAN(IFERROR(SUBSTITUTE(RIGHT(AY49,LEN(AY49) - SEARCH(";", AY49, SEARCH(";",AY49) + 1)),";",""),""))</f>
        <v/>
      </c>
      <c r="AY49" s="147" t="str">
        <f t="array" ref="AY49">IFERROR(IF(VLOOKUP(LEFT(C49,255),LEFT('Reference Records'!$C$1:$K$539,255),9,0)=0,"",CONCATENATE(VLOOKUP(LEFT(C49,255),LEFT('Reference Records'!$C$1:$K$539,255),9,0),";")),"")</f>
        <v>Non cumulative;</v>
      </c>
      <c r="AZ49" s="563" t="str">
        <f>IF($BV49="", "", IF($BV49=TRUE, "Yes", "No"))</f>
        <v>No</v>
      </c>
      <c r="BA49" s="561" t="str">
        <f t="shared" ref="BA49" ca="1" si="502">IF($D49="", "",IF(IF(INDIRECT("'update Helper'!W"&amp;AT49)=0,"",INDIRECT("'update Helper'!W"&amp;AT49))=TRUE, "Yes","No"))</f>
        <v/>
      </c>
      <c r="BB49" s="516" t="str">
        <f t="shared" ref="BB49" ca="1" si="503">IF(AND(BS49="Continue",BU49="Continue"),"No Error",IF(AND(BS49&lt;&gt;"Continue",BU49="Continue"),BS49,IF(AND(BU49&lt;&gt;"Continue",BS49="Continue"),BU49,CONCATENATE(BS49,CHAR(10),BU49))))</f>
        <v>No Error</v>
      </c>
      <c r="BC49" s="520" t="str" cm="1">
        <f t="array" ref="BC49">IF(ISBLANK(C49),"Continue",(IF(IFERROR(_xlfn.XMATCH(C49,LEFT('Reference Records'!$C$86:$C$189,32768),0),0)&lt;&gt;0,"Continue","Invalid indicator entry. Select from dropdown list.")))</f>
        <v>Continue</v>
      </c>
      <c r="BD49" s="520" t="str">
        <f t="shared" ref="BD49" si="504">IF(SUM(BE49:BM50)=0, "Continue", "Enter valid number only.")</f>
        <v>Continue</v>
      </c>
      <c r="BE49" s="150">
        <f t="shared" si="0"/>
        <v>0</v>
      </c>
      <c r="BF49" s="150">
        <f t="shared" si="1"/>
        <v>0</v>
      </c>
      <c r="BG49" s="150">
        <f t="shared" si="2"/>
        <v>0</v>
      </c>
      <c r="BH49" s="150">
        <f t="shared" si="3"/>
        <v>0</v>
      </c>
      <c r="BI49" s="150">
        <f t="shared" si="4"/>
        <v>0</v>
      </c>
      <c r="BJ49" s="150">
        <f t="shared" si="5"/>
        <v>0</v>
      </c>
      <c r="BK49" s="150">
        <f t="shared" si="6"/>
        <v>0</v>
      </c>
      <c r="BL49" s="150">
        <f t="shared" si="7"/>
        <v>0</v>
      </c>
      <c r="BM49" s="150">
        <f t="shared" si="8"/>
        <v>0</v>
      </c>
      <c r="BN49" s="477" t="str">
        <f>IF(NOT(ISBLANK(C49)),IF(C49&lt;&gt;"",IF(_xlfn.XLOOKUP(C49,'Reference Records'!$C$86:$C$189,'Reference Records'!$A$86:$A$189,0,0,1)=AM49,"Continue","Select correct module name."),"Continue"),"Continue")</f>
        <v>Continue</v>
      </c>
      <c r="BO49" s="477" t="str">
        <f t="shared" ref="BO49" ca="1" si="505">IF(AND(BC49="Continue",CG49="Continue"),"Continue",IF(AND(BC49&lt;&gt;"Continue",CG49="Continue"),BC49,IF(AND(CG49&lt;&gt;"Continue",BC49="Continue"),CG49,CONCATENATE(BC49,CHAR(10),CG49))))</f>
        <v>Continue</v>
      </c>
      <c r="BP49" s="477" t="str">
        <f t="shared" ref="BP49" ca="1" si="506">IF(AND((AZ49&lt;&gt;""),(BA49&lt;&gt;"")),"Reversed custom indicator selection not applicable. Value pre-populated in standard indicator column.","Continue")</f>
        <v>Continue</v>
      </c>
      <c r="BQ49" s="477" t="str">
        <f t="shared" ref="BQ49" ca="1" si="507">IF(AND(BN49="Continue",BO49="Continue"),"Continue",
IF(AND(BN49&lt;&gt;"Continue",BO49="Continue"),BN49,
IF(AND(BO49&lt;&gt;"Continue",BN49="Continue"),BO49,
CONCATENATE(BN49,CHAR(10),BO49))))</f>
        <v>Continue</v>
      </c>
      <c r="BR49" s="520" t="str" cm="1">
        <f t="array" ref="BR49">IF(ISBLANK(B49),"Continue",(IF(IFERROR(_xlfn.XMATCH(B49,LEFT('Reference Records'!$J$191:$J$250,32768),0),0)&lt;&gt;0,"Continue","Invalid module entry. Select from dropdown list.")))</f>
        <v>Continue</v>
      </c>
      <c r="BS49" s="520" t="str">
        <f t="shared" ref="BS49" ca="1" si="508">IF(AND(BP49="Continue",BQ49="Continue"),"Continue",IF(AND(BP49&lt;&gt;"Continue",BQ49="Continue"),BP49,IF(AND(BQ49&lt;&gt;"Continue",BP49="Continue"),BQ49,CONCATENATE(BP49,CHAR(10),BQ49))))</f>
        <v>Continue</v>
      </c>
      <c r="BT49" s="520" t="str">
        <f t="shared" ref="BT49" si="509">IF(AND(C49="",D49=""),"Continue",IF(AND(C49="",D49&lt;&gt;""),"Continue",IF(AND(C49&lt;&gt;"",D49=""),"Continue",IF(AND(C49&lt;&gt;"",D49&lt;&gt;""),"Cannot enter both standard and custom indicators on the same line."))))</f>
        <v>Continue</v>
      </c>
      <c r="BU49" s="520" t="str">
        <f t="shared" ref="BU49" si="510">IF(AND(BR49="Continue",BT49="Continue"),"Continue",IF(AND(BR49&lt;&gt;"Continue",BT49="Continue"),BR49,IF(AND(BT49&lt;&gt;"Continue",BR49="Continue"),BT49,CONCATENATE(BR49,CHAR(10),BT49))))</f>
        <v>Continue</v>
      </c>
      <c r="BV49" s="560" t="b">
        <f>IFERROR(INDEX('Reference Records'!$L$86:$L$189,MATCH($C49,'Reference Records'!$C$86:$C$189,0)),"")</f>
        <v>0</v>
      </c>
      <c r="BW49" s="560">
        <f t="shared" ref="BW49" ca="1" si="511">IF(NOT(ISBLANK(F49)),IF(F49&lt;&gt;"",(IF(NOT(ISNUMBER(F49)),1,0)),0),0)</f>
        <v>0</v>
      </c>
      <c r="BX49" s="560">
        <f t="shared" ref="BX49" si="512">IF(NOT(ISBLANK(O49)),IF(O49&lt;&gt;"",(IF(NOT(ISNUMBER(O49)),1,0)),0),0)</f>
        <v>0</v>
      </c>
      <c r="BY49" s="560">
        <f t="shared" ref="BY49" si="513">IF(NOT(ISBLANK(R49)),IF(R49&lt;&gt;"",(IF(NOT(ISNUMBER(R49)),1,0)),0),0)</f>
        <v>0</v>
      </c>
      <c r="BZ49" s="560">
        <f t="shared" ref="BZ49" si="514">IF(NOT(ISBLANK(U49)),IF(U49&lt;&gt;"",(IF(NOT(ISNUMBER(U49)),1,0)),0),0)</f>
        <v>0</v>
      </c>
      <c r="CA49" s="560">
        <f t="shared" ref="CA49" ca="1" si="515">IF(NOT(ISBLANK(X49)),IF(X49&lt;&gt;"",(IF(NOT(ISNUMBER(X49)),1,0)),0),0)</f>
        <v>0</v>
      </c>
      <c r="CB49" s="560">
        <f t="shared" ref="CB49" ca="1" si="516">IF(NOT(ISBLANK(AA49)),IF(AA49&lt;&gt;"",(IF(NOT(ISNUMBER(AA49)),1,0)),0),0)</f>
        <v>0</v>
      </c>
      <c r="CC49" s="560">
        <f t="shared" ref="CC49" ca="1" si="517">IF(NOT(ISBLANK(AD49)),IF(AD49&lt;&gt;"",(IF(NOT(ISNUMBER(AD49)),1,0)),0),0)</f>
        <v>0</v>
      </c>
      <c r="CD49" s="560">
        <f t="shared" ref="CD49" ca="1" si="518">IF(NOT(ISBLANK(AG49)),IF(AG49&lt;&gt;"",(IF(NOT(ISNUMBER(AG49)),1,0)),0),0)</f>
        <v>0</v>
      </c>
      <c r="CE49" s="560">
        <f t="shared" ref="CE49" ca="1" si="519">IF(NOT(ISBLANK(AJ49)),IF(AJ49&lt;&gt;"",(IF(NOT(ISNUMBER(AJ49)),1,0)),0),0)</f>
        <v>0</v>
      </c>
      <c r="CF49" s="560" t="str">
        <f t="shared" ref="CF49" ca="1" si="520">IF(SUM(BW49:CE50)=0, "Continue", "Enter valid number only.")</f>
        <v>Continue</v>
      </c>
      <c r="CG49" s="560" t="str">
        <f t="shared" ref="CG49" ca="1" si="521">IF(AND(CF49="Continue",BD49="Continue"),"Continue",IF(AND(CF49&lt;&gt;"Continue",BD49="Continue"),CF49,IF(AND(BD49&lt;&gt;"Continue",CF49="Continue"),BD49,CONCATENATE(CF49,CHAR(10)))))</f>
        <v>Continue</v>
      </c>
    </row>
    <row r="50" spans="1:85" ht="57.75" customHeight="1" x14ac:dyDescent="0.25">
      <c r="A50" s="559"/>
      <c r="B50" s="522"/>
      <c r="C50" s="522"/>
      <c r="D50" s="522"/>
      <c r="E50" s="144">
        <v>918</v>
      </c>
      <c r="F50" s="524"/>
      <c r="G50" s="566"/>
      <c r="H50" s="522"/>
      <c r="I50" s="573"/>
      <c r="J50" s="566"/>
      <c r="K50" s="522"/>
      <c r="L50" s="151" t="s">
        <v>627</v>
      </c>
      <c r="M50" s="575"/>
      <c r="N50" s="144"/>
      <c r="O50" s="524"/>
      <c r="P50" s="566"/>
      <c r="Q50" s="146"/>
      <c r="R50" s="524"/>
      <c r="S50" s="566"/>
      <c r="T50" s="146"/>
      <c r="U50" s="524"/>
      <c r="V50" s="566"/>
      <c r="W50" s="146"/>
      <c r="X50" s="524"/>
      <c r="Y50" s="566"/>
      <c r="Z50" s="146"/>
      <c r="AA50" s="524"/>
      <c r="AB50" s="566"/>
      <c r="AC50" s="146"/>
      <c r="AD50" s="524"/>
      <c r="AE50" s="566"/>
      <c r="AF50" s="146"/>
      <c r="AG50" s="524"/>
      <c r="AH50" s="566"/>
      <c r="AI50" s="146"/>
      <c r="AJ50" s="524"/>
      <c r="AK50" s="566"/>
      <c r="AL50" s="522"/>
      <c r="AM50" s="567"/>
      <c r="AN50" s="147"/>
      <c r="AO50" s="147"/>
      <c r="AP50" s="147"/>
      <c r="AQ50" s="147"/>
      <c r="AR50" s="147"/>
      <c r="AS50" s="147"/>
      <c r="AT50" s="147"/>
      <c r="AU50" s="147"/>
      <c r="AV50" s="147"/>
      <c r="AW50" s="147"/>
      <c r="AX50" s="149"/>
      <c r="AY50" s="147"/>
      <c r="AZ50" s="563"/>
      <c r="BA50" s="561"/>
      <c r="BB50" s="516"/>
      <c r="BC50" s="520"/>
      <c r="BD50" s="520"/>
      <c r="BE50" s="150">
        <f t="shared" si="0"/>
        <v>0</v>
      </c>
      <c r="BF50" s="150">
        <f t="shared" si="1"/>
        <v>0</v>
      </c>
      <c r="BG50" s="150">
        <f t="shared" si="2"/>
        <v>0</v>
      </c>
      <c r="BH50" s="150">
        <f t="shared" si="3"/>
        <v>0</v>
      </c>
      <c r="BI50" s="150">
        <f t="shared" si="4"/>
        <v>0</v>
      </c>
      <c r="BJ50" s="150">
        <f t="shared" si="5"/>
        <v>0</v>
      </c>
      <c r="BK50" s="150">
        <f t="shared" si="6"/>
        <v>0</v>
      </c>
      <c r="BL50" s="150">
        <f t="shared" si="7"/>
        <v>0</v>
      </c>
      <c r="BM50" s="150">
        <f t="shared" si="8"/>
        <v>0</v>
      </c>
      <c r="BN50" s="477"/>
      <c r="BO50" s="477"/>
      <c r="BP50" s="477"/>
      <c r="BQ50" s="477"/>
      <c r="BR50" s="520"/>
      <c r="BS50" s="520"/>
      <c r="BT50" s="520"/>
      <c r="BU50" s="520"/>
      <c r="BV50" s="560"/>
      <c r="BW50" s="560"/>
      <c r="BX50" s="560"/>
      <c r="BY50" s="560"/>
      <c r="BZ50" s="560"/>
      <c r="CA50" s="560"/>
      <c r="CB50" s="560"/>
      <c r="CC50" s="560"/>
      <c r="CD50" s="560"/>
      <c r="CE50" s="560"/>
      <c r="CF50" s="560"/>
      <c r="CG50" s="560"/>
    </row>
    <row r="51" spans="1:85" ht="57" customHeight="1" x14ac:dyDescent="0.25">
      <c r="A51" s="558">
        <v>22</v>
      </c>
      <c r="B51" s="529" t="s">
        <v>432</v>
      </c>
      <c r="C51" s="529" t="s">
        <v>1233</v>
      </c>
      <c r="D51" s="529"/>
      <c r="E51" s="152">
        <v>2875</v>
      </c>
      <c r="F51" s="543">
        <f ca="1">IF(OR(INDIRECT("'update Helper'!D"&amp;AT51)="",E51&lt;&gt;0,E52&lt;&gt;0),IF(IFERROR((E51/E52),"")="","",(E51/E52)),INDIRECT("'update Helper'!D"&amp;AT51)/100)</f>
        <v>0.93709256844850064</v>
      </c>
      <c r="G51" s="568">
        <v>2021</v>
      </c>
      <c r="H51" s="529" t="s">
        <v>2205</v>
      </c>
      <c r="I51" s="572" t="str">
        <f>AN51</f>
        <v/>
      </c>
      <c r="J51" s="568" t="s">
        <v>2182</v>
      </c>
      <c r="K51" s="529" t="s">
        <v>752</v>
      </c>
      <c r="L51" s="153" t="s">
        <v>753</v>
      </c>
      <c r="M51" s="576" t="s">
        <v>624</v>
      </c>
      <c r="N51" s="152"/>
      <c r="O51" s="543">
        <v>0.95</v>
      </c>
      <c r="P51" s="568"/>
      <c r="Q51" s="154"/>
      <c r="R51" s="543">
        <v>0.97</v>
      </c>
      <c r="S51" s="568"/>
      <c r="T51" s="154"/>
      <c r="U51" s="543">
        <v>0.98</v>
      </c>
      <c r="V51" s="568"/>
      <c r="W51" s="154"/>
      <c r="X51" s="543" t="str">
        <f ca="1">IF(OR(INDIRECT("'update Helper'!I"&amp;AU51+3)="",W51&lt;&gt;0,W52&lt;&gt;0),IF(IFERROR((W51/W52),"")="","",(W51/W52)),INDIRECT("'update Helper'!I"&amp;AU51+3)/100)</f>
        <v/>
      </c>
      <c r="Y51" s="568"/>
      <c r="Z51" s="154"/>
      <c r="AA51" s="543" t="str">
        <f ca="1">IF(OR(INDIRECT("'update Helper'!I"&amp;AU51+4)="",Z51&lt;&gt;0,Z52&lt;&gt;0),IF(IFERROR((Z51/Z52),"")="","",(Z51/Z52)),INDIRECT("'update Helper'!I"&amp;AU51+4)/100)</f>
        <v/>
      </c>
      <c r="AB51" s="568"/>
      <c r="AC51" s="154"/>
      <c r="AD51" s="543" t="str">
        <f ca="1">IF(OR(INDIRECT("'update Helper'!I"&amp;AU51+5)="",AC51&lt;&gt;0,AC52&lt;&gt;0),IF(IFERROR((AC51/AC52),"")="","",(AC51/AC52)),INDIRECT("'update Helper'!I"&amp;AU51+5)/100)</f>
        <v/>
      </c>
      <c r="AE51" s="568"/>
      <c r="AF51" s="154"/>
      <c r="AG51" s="570" t="str">
        <f t="shared" ref="AG51" ca="1" si="522">IF(OR(INDIRECT("'update Helper'!I"&amp;AU51+6)="",AF51&lt;&gt;0,AF52&lt;&gt;0),IF(IFERROR((AF51/AF52),"")="","",(AF51/AF52)),INDIRECT("'update Helper'!I"&amp;AU51+6)/100)</f>
        <v/>
      </c>
      <c r="AH51" s="568"/>
      <c r="AI51" s="154"/>
      <c r="AJ51" s="570" t="str">
        <f t="shared" ref="AJ51" ca="1" si="523">IF(OR(INDIRECT("'update Helper'!I"&amp;AU51+7)="",AI51&lt;&gt;0,AI52&lt;&gt;0),IF(IFERROR((AI51/AI52),"")="","",(AI51/AI52)),INDIRECT("'update Helper'!I"&amp;AU51+7)/100)</f>
        <v/>
      </c>
      <c r="AK51" s="568"/>
      <c r="AL51" s="529" t="s">
        <v>2208</v>
      </c>
      <c r="AM51" s="480" t="str">
        <f>IFERROR(IF(VLOOKUP(B51,'Reference Records'!$C$192:$D$250,2,FALSE)=0,"",VLOOKUP(B51,'Reference Records'!$C$192:$D$250,2,FALSE)),"")</f>
        <v>MCI-01309</v>
      </c>
      <c r="AN51" s="52" t="str">
        <f t="array" ref="AN51">IFERROR(IF(INDEX('Reference Records'!$D$87:$D$189,MATCH(LEFT(C51,255),LEFT('Reference Records'!$C$87:$C$189,255),0))=0,"",INDEX('Reference Records'!$D$87:$D$189,MATCH(LEFT(C51,255),LEFT('Reference Records'!$C$87:$C$189,255),0))),"")</f>
        <v/>
      </c>
      <c r="AO51" s="52" t="str">
        <f>CONCATENATE(C51,D51)</f>
        <v>DRTB-6 Percentage of TB patients with DST result for at least Rifampicin among the total number of notified (new and retreatment) patients during the reporting period</v>
      </c>
      <c r="AP51" s="155" t="str">
        <f t="array" ref="AP51">VLOOKUP(LEFT(C51,255),LEFT('Reference Records'!C$86:G500,255),4,0)</f>
        <v>MCI-01553</v>
      </c>
      <c r="AQ51" s="155" t="e">
        <f>MATCH(AP51,'Reference Records'!$F$512:$F$514,0)+ROW(PopulationByCoverage)-1</f>
        <v>#N/A</v>
      </c>
      <c r="AR51" s="155">
        <f>MATCH(AP51,'Reference Records'!$F$512:$F$514,1)+ROW(PopulationByCoverage)-1</f>
        <v>513</v>
      </c>
      <c r="AS51" s="52" t="str">
        <f>C51&amp;D51</f>
        <v>DRTB-6 Percentage of TB patients with DST result for at least Rifampicin among the total number of notified (new and retreatment) patients during the reporting period</v>
      </c>
      <c r="AT51" s="52">
        <f t="shared" si="348"/>
        <v>475</v>
      </c>
      <c r="AU51" s="52">
        <f>AU49+'update Helper'!$T$2</f>
        <v>646</v>
      </c>
      <c r="AV51" s="52" t="str">
        <f t="shared" ref="AV51" si="524">CLEAN(IFERROR(LEFT(AY51, SEARCH(";",AY51,1)-1),""))</f>
        <v>Non cumulative</v>
      </c>
      <c r="AW51" s="52" t="str">
        <f t="shared" ref="AW51" si="525">SUBSTITUTE(IFERROR(MID(AY51, SEARCH(";",AY51) + 1, SEARCH(";",AY51,SEARCH(";",AY51)+1) - SEARCH(";",AY51) - 1),""),CHAR(10),"")</f>
        <v/>
      </c>
      <c r="AX51" s="156" t="str">
        <f t="shared" ref="AX51" si="526">CLEAN(IFERROR(SUBSTITUTE(RIGHT(AY51,LEN(AY51) - SEARCH(";", AY51, SEARCH(";",AY51) + 1)),";",""),""))</f>
        <v/>
      </c>
      <c r="AY51" s="52" t="str">
        <f t="array" ref="AY51">IFERROR(IF(VLOOKUP(LEFT(C51,255),LEFT('Reference Records'!$C$1:$K$539,255),9,0)=0,"",CONCATENATE(VLOOKUP(LEFT(C51,255),LEFT('Reference Records'!$C$1:$K$539,255),9,0),";")),"")</f>
        <v>Non cumulative;</v>
      </c>
      <c r="AZ51" s="564" t="str">
        <f>IF($BV51="", "", IF($BV51=TRUE, "Yes", "No"))</f>
        <v>No</v>
      </c>
      <c r="BA51" s="562" t="str">
        <f t="shared" ref="BA51" ca="1" si="527">IF($D51="", "",IF(IF(INDIRECT("'update Helper'!W"&amp;AT51)=0,"",INDIRECT("'update Helper'!W"&amp;AT51))=TRUE, "Yes","No"))</f>
        <v/>
      </c>
      <c r="BB51" s="516" t="str">
        <f t="shared" ref="BB51" ca="1" si="528">IF(AND(BS51="Continue",BU51="Continue"),"No Error",IF(AND(BS51&lt;&gt;"Continue",BU51="Continue"),BS51,IF(AND(BU51&lt;&gt;"Continue",BS51="Continue"),BU51,CONCATENATE(BS51,CHAR(10),BU51))))</f>
        <v>No Error</v>
      </c>
      <c r="BC51" s="520" t="str" cm="1">
        <f t="array" ref="BC51">IF(ISBLANK(C51),"Continue",(IF(IFERROR(_xlfn.XMATCH(C51,LEFT('Reference Records'!$C$86:$C$189,32768),0),0)&lt;&gt;0,"Continue","Invalid indicator entry. Select from dropdown list.")))</f>
        <v>Continue</v>
      </c>
      <c r="BD51" s="520" t="str">
        <f t="shared" ref="BD51" si="529">IF(SUM(BE51:BM52)=0, "Continue", "Enter valid number only.")</f>
        <v>Continue</v>
      </c>
      <c r="BE51" s="150">
        <f t="shared" si="0"/>
        <v>0</v>
      </c>
      <c r="BF51" s="150">
        <f t="shared" si="1"/>
        <v>0</v>
      </c>
      <c r="BG51" s="150">
        <f t="shared" si="2"/>
        <v>0</v>
      </c>
      <c r="BH51" s="150">
        <f t="shared" si="3"/>
        <v>0</v>
      </c>
      <c r="BI51" s="150">
        <f t="shared" si="4"/>
        <v>0</v>
      </c>
      <c r="BJ51" s="150">
        <f t="shared" si="5"/>
        <v>0</v>
      </c>
      <c r="BK51" s="150">
        <f t="shared" si="6"/>
        <v>0</v>
      </c>
      <c r="BL51" s="150">
        <f t="shared" si="7"/>
        <v>0</v>
      </c>
      <c r="BM51" s="150">
        <f t="shared" si="8"/>
        <v>0</v>
      </c>
      <c r="BN51" s="477" t="str">
        <f>IF(NOT(ISBLANK(C51)),IF(C51&lt;&gt;"",IF(_xlfn.XLOOKUP(C51,'Reference Records'!$C$86:$C$189,'Reference Records'!$A$86:$A$189,0,0,1)=AM51,"Continue","Select correct module name."),"Continue"),"Continue")</f>
        <v>Continue</v>
      </c>
      <c r="BO51" s="477" t="str">
        <f t="shared" ref="BO51" ca="1" si="530">IF(AND(BC51="Continue",CG51="Continue"),"Continue",IF(AND(BC51&lt;&gt;"Continue",CG51="Continue"),BC51,IF(AND(CG51&lt;&gt;"Continue",BC51="Continue"),CG51,CONCATENATE(BC51,CHAR(10),CG51))))</f>
        <v>Continue</v>
      </c>
      <c r="BP51" s="477" t="str">
        <f t="shared" ref="BP51" ca="1" si="531">IF(AND((AZ51&lt;&gt;""),(BA51&lt;&gt;"")),"Reversed custom indicator selection not applicable. Value pre-populated in standard indicator column.","Continue")</f>
        <v>Continue</v>
      </c>
      <c r="BQ51" s="477" t="str">
        <f t="shared" ref="BQ51" ca="1" si="532">IF(AND(BN51="Continue",BO51="Continue"),"Continue",
IF(AND(BN51&lt;&gt;"Continue",BO51="Continue"),BN51,
IF(AND(BO51&lt;&gt;"Continue",BN51="Continue"),BO51,
CONCATENATE(BN51,CHAR(10),BO51))))</f>
        <v>Continue</v>
      </c>
      <c r="BR51" s="520" t="str" cm="1">
        <f t="array" ref="BR51">IF(ISBLANK(B51),"Continue",(IF(IFERROR(_xlfn.XMATCH(B51,LEFT('Reference Records'!$J$191:$J$250,32768),0),0)&lt;&gt;0,"Continue","Invalid module entry. Select from dropdown list.")))</f>
        <v>Continue</v>
      </c>
      <c r="BS51" s="520" t="str">
        <f t="shared" ref="BS51" ca="1" si="533">IF(AND(BP51="Continue",BQ51="Continue"),"Continue",IF(AND(BP51&lt;&gt;"Continue",BQ51="Continue"),BP51,IF(AND(BQ51&lt;&gt;"Continue",BP51="Continue"),BQ51,CONCATENATE(BP51,CHAR(10),BQ51))))</f>
        <v>Continue</v>
      </c>
      <c r="BT51" s="520" t="str">
        <f t="shared" ref="BT51" si="534">IF(AND(C51="",D51=""),"Continue",IF(AND(C51="",D51&lt;&gt;""),"Continue",IF(AND(C51&lt;&gt;"",D51=""),"Continue",IF(AND(C51&lt;&gt;"",D51&lt;&gt;""),"Cannot enter both standard and custom indicators on the same line."))))</f>
        <v>Continue</v>
      </c>
      <c r="BU51" s="520" t="str">
        <f t="shared" ref="BU51" si="535">IF(AND(BR51="Continue",BT51="Continue"),"Continue",IF(AND(BR51&lt;&gt;"Continue",BT51="Continue"),BR51,IF(AND(BT51&lt;&gt;"Continue",BR51="Continue"),BT51,CONCATENATE(BR51,CHAR(10),BT51))))</f>
        <v>Continue</v>
      </c>
      <c r="BV51" s="560" t="b">
        <f>IFERROR(INDEX('Reference Records'!$L$86:$L$189,MATCH($C51,'Reference Records'!$C$86:$C$189,0)),"")</f>
        <v>0</v>
      </c>
      <c r="BW51" s="560">
        <f t="shared" ref="BW51" ca="1" si="536">IF(NOT(ISBLANK(F51)),IF(F51&lt;&gt;"",(IF(NOT(ISNUMBER(F51)),1,0)),0),0)</f>
        <v>0</v>
      </c>
      <c r="BX51" s="560">
        <f t="shared" ref="BX51" si="537">IF(NOT(ISBLANK(O51)),IF(O51&lt;&gt;"",(IF(NOT(ISNUMBER(O51)),1,0)),0),0)</f>
        <v>0</v>
      </c>
      <c r="BY51" s="560">
        <f t="shared" ref="BY51" si="538">IF(NOT(ISBLANK(R51)),IF(R51&lt;&gt;"",(IF(NOT(ISNUMBER(R51)),1,0)),0),0)</f>
        <v>0</v>
      </c>
      <c r="BZ51" s="560">
        <f t="shared" ref="BZ51" si="539">IF(NOT(ISBLANK(U51)),IF(U51&lt;&gt;"",(IF(NOT(ISNUMBER(U51)),1,0)),0),0)</f>
        <v>0</v>
      </c>
      <c r="CA51" s="560">
        <f t="shared" ref="CA51" ca="1" si="540">IF(NOT(ISBLANK(X51)),IF(X51&lt;&gt;"",(IF(NOT(ISNUMBER(X51)),1,0)),0),0)</f>
        <v>0</v>
      </c>
      <c r="CB51" s="560">
        <f t="shared" ref="CB51" ca="1" si="541">IF(NOT(ISBLANK(AA51)),IF(AA51&lt;&gt;"",(IF(NOT(ISNUMBER(AA51)),1,0)),0),0)</f>
        <v>0</v>
      </c>
      <c r="CC51" s="560">
        <f t="shared" ref="CC51" ca="1" si="542">IF(NOT(ISBLANK(AD51)),IF(AD51&lt;&gt;"",(IF(NOT(ISNUMBER(AD51)),1,0)),0),0)</f>
        <v>0</v>
      </c>
      <c r="CD51" s="560">
        <f t="shared" ref="CD51" ca="1" si="543">IF(NOT(ISBLANK(AG51)),IF(AG51&lt;&gt;"",(IF(NOT(ISNUMBER(AG51)),1,0)),0),0)</f>
        <v>0</v>
      </c>
      <c r="CE51" s="560">
        <f t="shared" ref="CE51" ca="1" si="544">IF(NOT(ISBLANK(AJ51)),IF(AJ51&lt;&gt;"",(IF(NOT(ISNUMBER(AJ51)),1,0)),0),0)</f>
        <v>0</v>
      </c>
      <c r="CF51" s="560" t="str">
        <f t="shared" ref="CF51" ca="1" si="545">IF(SUM(BW51:CE52)=0, "Continue", "Enter valid number only.")</f>
        <v>Continue</v>
      </c>
      <c r="CG51" s="560" t="str">
        <f t="shared" ref="CG51" ca="1" si="546">IF(AND(CF51="Continue",BD51="Continue"),"Continue",IF(AND(CF51&lt;&gt;"Continue",BD51="Continue"),CF51,IF(AND(BD51&lt;&gt;"Continue",CF51="Continue"),BD51,CONCATENATE(CF51,CHAR(10)))))</f>
        <v>Continue</v>
      </c>
    </row>
    <row r="52" spans="1:85" ht="63.75" customHeight="1" x14ac:dyDescent="0.25">
      <c r="A52" s="559"/>
      <c r="B52" s="530"/>
      <c r="C52" s="530"/>
      <c r="D52" s="530"/>
      <c r="E52" s="152">
        <v>3068</v>
      </c>
      <c r="F52" s="544"/>
      <c r="G52" s="569"/>
      <c r="H52" s="530"/>
      <c r="I52" s="573"/>
      <c r="J52" s="569"/>
      <c r="K52" s="530"/>
      <c r="L52" s="157" t="s">
        <v>627</v>
      </c>
      <c r="M52" s="577"/>
      <c r="N52" s="152"/>
      <c r="O52" s="544"/>
      <c r="P52" s="569"/>
      <c r="Q52" s="154"/>
      <c r="R52" s="544"/>
      <c r="S52" s="569"/>
      <c r="T52" s="154"/>
      <c r="U52" s="544"/>
      <c r="V52" s="569"/>
      <c r="W52" s="154"/>
      <c r="X52" s="544"/>
      <c r="Y52" s="569"/>
      <c r="Z52" s="154"/>
      <c r="AA52" s="544"/>
      <c r="AB52" s="569"/>
      <c r="AC52" s="154"/>
      <c r="AD52" s="544"/>
      <c r="AE52" s="569"/>
      <c r="AF52" s="154"/>
      <c r="AG52" s="571"/>
      <c r="AH52" s="569"/>
      <c r="AI52" s="154"/>
      <c r="AJ52" s="571"/>
      <c r="AK52" s="569"/>
      <c r="AL52" s="530"/>
      <c r="AM52" s="480"/>
      <c r="AX52" s="156"/>
      <c r="AZ52" s="564"/>
      <c r="BA52" s="562"/>
      <c r="BB52" s="516"/>
      <c r="BC52" s="520"/>
      <c r="BD52" s="520"/>
      <c r="BE52" s="150">
        <f t="shared" si="0"/>
        <v>0</v>
      </c>
      <c r="BF52" s="150">
        <f t="shared" si="1"/>
        <v>0</v>
      </c>
      <c r="BG52" s="150">
        <f t="shared" si="2"/>
        <v>0</v>
      </c>
      <c r="BH52" s="150">
        <f t="shared" si="3"/>
        <v>0</v>
      </c>
      <c r="BI52" s="150">
        <f t="shared" si="4"/>
        <v>0</v>
      </c>
      <c r="BJ52" s="150">
        <f t="shared" si="5"/>
        <v>0</v>
      </c>
      <c r="BK52" s="150">
        <f t="shared" si="6"/>
        <v>0</v>
      </c>
      <c r="BL52" s="150">
        <f t="shared" si="7"/>
        <v>0</v>
      </c>
      <c r="BM52" s="150">
        <f t="shared" si="8"/>
        <v>0</v>
      </c>
      <c r="BN52" s="477"/>
      <c r="BO52" s="477"/>
      <c r="BP52" s="477"/>
      <c r="BQ52" s="477"/>
      <c r="BR52" s="520"/>
      <c r="BS52" s="520"/>
      <c r="BT52" s="520"/>
      <c r="BU52" s="520"/>
      <c r="BV52" s="560"/>
      <c r="BW52" s="560"/>
      <c r="BX52" s="560"/>
      <c r="BY52" s="560"/>
      <c r="BZ52" s="560"/>
      <c r="CA52" s="560"/>
      <c r="CB52" s="560"/>
      <c r="CC52" s="560"/>
      <c r="CD52" s="560"/>
      <c r="CE52" s="560"/>
      <c r="CF52" s="560"/>
      <c r="CG52" s="560"/>
    </row>
    <row r="53" spans="1:85" ht="58.5" customHeight="1" x14ac:dyDescent="0.25">
      <c r="A53" s="558">
        <v>23</v>
      </c>
      <c r="B53" s="521" t="s">
        <v>432</v>
      </c>
      <c r="C53" s="521" t="s">
        <v>1239</v>
      </c>
      <c r="D53" s="521"/>
      <c r="E53" s="144">
        <v>726</v>
      </c>
      <c r="F53" s="523">
        <f ca="1">IF(OR(INDIRECT("'update Helper'!D"&amp;AT53)="",E53&lt;&gt;0,E54&lt;&gt;0),IF(IFERROR((E53/E54),"")="","",(E53/E54)),INDIRECT("'update Helper'!D"&amp;AT53)/100)</f>
        <v>0.79084967320261434</v>
      </c>
      <c r="G53" s="565">
        <v>2021</v>
      </c>
      <c r="H53" s="521" t="s">
        <v>2205</v>
      </c>
      <c r="I53" s="572" t="str">
        <f>AN53</f>
        <v/>
      </c>
      <c r="J53" s="565" t="s">
        <v>2182</v>
      </c>
      <c r="K53" s="521" t="s">
        <v>752</v>
      </c>
      <c r="L53" s="145" t="s">
        <v>753</v>
      </c>
      <c r="M53" s="574" t="s">
        <v>624</v>
      </c>
      <c r="N53" s="144"/>
      <c r="O53" s="523">
        <v>0.8</v>
      </c>
      <c r="P53" s="565"/>
      <c r="Q53" s="146"/>
      <c r="R53" s="523">
        <v>0.82</v>
      </c>
      <c r="S53" s="565"/>
      <c r="T53" s="146"/>
      <c r="U53" s="523">
        <v>0.85</v>
      </c>
      <c r="V53" s="565"/>
      <c r="W53" s="146"/>
      <c r="X53" s="523" t="str">
        <f ca="1">IF(OR(INDIRECT("'update Helper'!I"&amp;AU53+3)="",W53&lt;&gt;0,W54&lt;&gt;0),IF(IFERROR((W53/W54),"")="","",(W53/W54)),INDIRECT("'update Helper'!I"&amp;AU53+3)/100)</f>
        <v/>
      </c>
      <c r="Y53" s="565"/>
      <c r="Z53" s="146"/>
      <c r="AA53" s="523" t="str">
        <f ca="1">IF(OR(INDIRECT("'update Helper'!I"&amp;AU53+4)="",Z53&lt;&gt;0,Z54&lt;&gt;0),IF(IFERROR((Z53/Z54),"")="","",(Z53/Z54)),INDIRECT("'update Helper'!I"&amp;AU53+4)/100)</f>
        <v/>
      </c>
      <c r="AB53" s="565"/>
      <c r="AC53" s="146"/>
      <c r="AD53" s="523" t="str">
        <f ca="1">IF(OR(INDIRECT("'update Helper'!I"&amp;AU53+5)="",AC53&lt;&gt;0,AC54&lt;&gt;0),IF(IFERROR((AC53/AC54),"")="","",(AC53/AC54)),INDIRECT("'update Helper'!I"&amp;AU53+5)/100)</f>
        <v/>
      </c>
      <c r="AE53" s="565"/>
      <c r="AF53" s="146"/>
      <c r="AG53" s="523" t="str">
        <f t="shared" ref="AG53" ca="1" si="547">IF(OR(INDIRECT("'update Helper'!I"&amp;AU53+6)="",AF53&lt;&gt;0,AF54&lt;&gt;0),IF(IFERROR((AF53/AF54),"")="","",(AF53/AF54)),INDIRECT("'update Helper'!I"&amp;AU53+6)/100)</f>
        <v/>
      </c>
      <c r="AH53" s="565"/>
      <c r="AI53" s="146"/>
      <c r="AJ53" s="523" t="str">
        <f t="shared" ref="AJ53" ca="1" si="548">IF(OR(INDIRECT("'update Helper'!I"&amp;AU53+7)="",AI53&lt;&gt;0,AI54&lt;&gt;0),IF(IFERROR((AI53/AI54),"")="","",(AI53/AI54)),INDIRECT("'update Helper'!I"&amp;AU53+7)/100)</f>
        <v/>
      </c>
      <c r="AK53" s="565"/>
      <c r="AL53" s="521" t="s">
        <v>2209</v>
      </c>
      <c r="AM53" s="567" t="str">
        <f>IFERROR(IF(VLOOKUP(B53,'Reference Records'!$C$192:$D$250,2,FALSE)=0,"",VLOOKUP(B53,'Reference Records'!$C$192:$D$250,2,FALSE)),"")</f>
        <v>MCI-01309</v>
      </c>
      <c r="AN53" s="147" t="str">
        <f t="array" ref="AN53">IFERROR(IF(INDEX('Reference Records'!$D$87:$D$189,MATCH(LEFT(C53,255),LEFT('Reference Records'!$C$87:$C$189,255),0))=0,"",INDEX('Reference Records'!$D$87:$D$189,MATCH(LEFT(C53,255),LEFT('Reference Records'!$C$87:$C$189,255),0))),"")</f>
        <v/>
      </c>
      <c r="AO53" s="147" t="str">
        <f>CONCATENATE(C53,D53)</f>
        <v>DRTB-7 Percentage of RR/MDR-TB patients with DST results for Fluoroquinolone among the total number of notified RR/MDR-TB patients during the reporting period</v>
      </c>
      <c r="AP53" s="148" t="str">
        <f t="array" ref="AP53">VLOOKUP(LEFT(C53,255),LEFT('Reference Records'!C$86:G502,255),4,0)</f>
        <v>MCI-01555</v>
      </c>
      <c r="AQ53" s="148" t="e">
        <f>MATCH(AP53,'Reference Records'!$F$512:$F$514,0)+ROW(PopulationByCoverage)-1</f>
        <v>#N/A</v>
      </c>
      <c r="AR53" s="148">
        <f>MATCH(AP53,'Reference Records'!$F$512:$F$514,1)+ROW(PopulationByCoverage)-1</f>
        <v>513</v>
      </c>
      <c r="AS53" s="147" t="str">
        <f>C53&amp;D53</f>
        <v>DRTB-7 Percentage of RR/MDR-TB patients with DST results for Fluoroquinolone among the total number of notified RR/MDR-TB patients during the reporting period</v>
      </c>
      <c r="AT53" s="147">
        <f t="shared" si="348"/>
        <v>476</v>
      </c>
      <c r="AU53" s="147">
        <f>AU51+'update Helper'!$T$2</f>
        <v>652</v>
      </c>
      <c r="AV53" s="147" t="str">
        <f t="shared" ref="AV53" si="549">CLEAN(IFERROR(LEFT(AY53, SEARCH(";",AY53,1)-1),""))</f>
        <v>Non cumulative</v>
      </c>
      <c r="AW53" s="147" t="str">
        <f t="shared" ref="AW53" si="550">SUBSTITUTE(IFERROR(MID(AY53, SEARCH(";",AY53) + 1, SEARCH(";",AY53,SEARCH(";",AY53)+1) - SEARCH(";",AY53) - 1),""),CHAR(10),"")</f>
        <v/>
      </c>
      <c r="AX53" s="149" t="str">
        <f t="shared" ref="AX53" si="551">CLEAN(IFERROR(SUBSTITUTE(RIGHT(AY53,LEN(AY53) - SEARCH(";", AY53, SEARCH(";",AY53) + 1)),";",""),""))</f>
        <v/>
      </c>
      <c r="AY53" s="147" t="str">
        <f t="array" ref="AY53">IFERROR(IF(VLOOKUP(LEFT(C53,255),LEFT('Reference Records'!$C$1:$K$539,255),9,0)=0,"",CONCATENATE(VLOOKUP(LEFT(C53,255),LEFT('Reference Records'!$C$1:$K$539,255),9,0),";")),"")</f>
        <v>Non cumulative;</v>
      </c>
      <c r="AZ53" s="563" t="str">
        <f>IF($BV53="", "", IF($BV53=TRUE, "Yes", "No"))</f>
        <v>No</v>
      </c>
      <c r="BA53" s="561" t="str">
        <f t="shared" ref="BA53" ca="1" si="552">IF($D53="", "",IF(IF(INDIRECT("'update Helper'!W"&amp;AT53)=0,"",INDIRECT("'update Helper'!W"&amp;AT53))=TRUE, "Yes","No"))</f>
        <v/>
      </c>
      <c r="BB53" s="516" t="str">
        <f t="shared" ref="BB53" ca="1" si="553">IF(AND(BS53="Continue",BU53="Continue"),"No Error",IF(AND(BS53&lt;&gt;"Continue",BU53="Continue"),BS53,IF(AND(BU53&lt;&gt;"Continue",BS53="Continue"),BU53,CONCATENATE(BS53,CHAR(10),BU53))))</f>
        <v>No Error</v>
      </c>
      <c r="BC53" s="520" t="str" cm="1">
        <f t="array" ref="BC53">IF(ISBLANK(C53),"Continue",(IF(IFERROR(_xlfn.XMATCH(C53,LEFT('Reference Records'!$C$86:$C$189,32768),0),0)&lt;&gt;0,"Continue","Invalid indicator entry. Select from dropdown list.")))</f>
        <v>Continue</v>
      </c>
      <c r="BD53" s="520" t="str">
        <f t="shared" ref="BD53" si="554">IF(SUM(BE53:BM54)=0, "Continue", "Enter valid number only.")</f>
        <v>Continue</v>
      </c>
      <c r="BE53" s="150">
        <f t="shared" si="0"/>
        <v>0</v>
      </c>
      <c r="BF53" s="150">
        <f t="shared" si="1"/>
        <v>0</v>
      </c>
      <c r="BG53" s="150">
        <f t="shared" si="2"/>
        <v>0</v>
      </c>
      <c r="BH53" s="150">
        <f t="shared" si="3"/>
        <v>0</v>
      </c>
      <c r="BI53" s="150">
        <f t="shared" si="4"/>
        <v>0</v>
      </c>
      <c r="BJ53" s="150">
        <f t="shared" si="5"/>
        <v>0</v>
      </c>
      <c r="BK53" s="150">
        <f t="shared" si="6"/>
        <v>0</v>
      </c>
      <c r="BL53" s="150">
        <f t="shared" si="7"/>
        <v>0</v>
      </c>
      <c r="BM53" s="150">
        <f t="shared" si="8"/>
        <v>0</v>
      </c>
      <c r="BN53" s="477" t="str">
        <f>IF(NOT(ISBLANK(C53)),IF(C53&lt;&gt;"",IF(_xlfn.XLOOKUP(C53,'Reference Records'!$C$86:$C$189,'Reference Records'!$A$86:$A$189,0,0,1)=AM53,"Continue","Select correct module name."),"Continue"),"Continue")</f>
        <v>Continue</v>
      </c>
      <c r="BO53" s="477" t="str">
        <f t="shared" ref="BO53" ca="1" si="555">IF(AND(BC53="Continue",CG53="Continue"),"Continue",IF(AND(BC53&lt;&gt;"Continue",CG53="Continue"),BC53,IF(AND(CG53&lt;&gt;"Continue",BC53="Continue"),CG53,CONCATENATE(BC53,CHAR(10),CG53))))</f>
        <v>Continue</v>
      </c>
      <c r="BP53" s="477" t="str">
        <f t="shared" ref="BP53" ca="1" si="556">IF(AND((AZ53&lt;&gt;""),(BA53&lt;&gt;"")),"Reversed custom indicator selection not applicable. Value pre-populated in standard indicator column.","Continue")</f>
        <v>Continue</v>
      </c>
      <c r="BQ53" s="477" t="str">
        <f t="shared" ref="BQ53" ca="1" si="557">IF(AND(BN53="Continue",BO53="Continue"),"Continue",
IF(AND(BN53&lt;&gt;"Continue",BO53="Continue"),BN53,
IF(AND(BO53&lt;&gt;"Continue",BN53="Continue"),BO53,
CONCATENATE(BN53,CHAR(10),BO53))))</f>
        <v>Continue</v>
      </c>
      <c r="BR53" s="520" t="str" cm="1">
        <f t="array" ref="BR53">IF(ISBLANK(B53),"Continue",(IF(IFERROR(_xlfn.XMATCH(B53,LEFT('Reference Records'!$J$191:$J$250,32768),0),0)&lt;&gt;0,"Continue","Invalid module entry. Select from dropdown list.")))</f>
        <v>Continue</v>
      </c>
      <c r="BS53" s="520" t="str">
        <f t="shared" ref="BS53" ca="1" si="558">IF(AND(BP53="Continue",BQ53="Continue"),"Continue",IF(AND(BP53&lt;&gt;"Continue",BQ53="Continue"),BP53,IF(AND(BQ53&lt;&gt;"Continue",BP53="Continue"),BQ53,CONCATENATE(BP53,CHAR(10),BQ53))))</f>
        <v>Continue</v>
      </c>
      <c r="BT53" s="520" t="str">
        <f t="shared" ref="BT53" si="559">IF(AND(C53="",D53=""),"Continue",IF(AND(C53="",D53&lt;&gt;""),"Continue",IF(AND(C53&lt;&gt;"",D53=""),"Continue",IF(AND(C53&lt;&gt;"",D53&lt;&gt;""),"Cannot enter both standard and custom indicators on the same line."))))</f>
        <v>Continue</v>
      </c>
      <c r="BU53" s="520" t="str">
        <f t="shared" ref="BU53" si="560">IF(AND(BR53="Continue",BT53="Continue"),"Continue",IF(AND(BR53&lt;&gt;"Continue",BT53="Continue"),BR53,IF(AND(BT53&lt;&gt;"Continue",BR53="Continue"),BT53,CONCATENATE(BR53,CHAR(10),BT53))))</f>
        <v>Continue</v>
      </c>
      <c r="BV53" s="560" t="b">
        <f>IFERROR(INDEX('Reference Records'!$L$86:$L$189,MATCH($C53,'Reference Records'!$C$86:$C$189,0)),"")</f>
        <v>0</v>
      </c>
      <c r="BW53" s="560">
        <f t="shared" ref="BW53" ca="1" si="561">IF(NOT(ISBLANK(F53)),IF(F53&lt;&gt;"",(IF(NOT(ISNUMBER(F53)),1,0)),0),0)</f>
        <v>0</v>
      </c>
      <c r="BX53" s="560">
        <f t="shared" ref="BX53" si="562">IF(NOT(ISBLANK(O53)),IF(O53&lt;&gt;"",(IF(NOT(ISNUMBER(O53)),1,0)),0),0)</f>
        <v>0</v>
      </c>
      <c r="BY53" s="560">
        <f t="shared" ref="BY53" si="563">IF(NOT(ISBLANK(R53)),IF(R53&lt;&gt;"",(IF(NOT(ISNUMBER(R53)),1,0)),0),0)</f>
        <v>0</v>
      </c>
      <c r="BZ53" s="560">
        <f t="shared" ref="BZ53" si="564">IF(NOT(ISBLANK(U53)),IF(U53&lt;&gt;"",(IF(NOT(ISNUMBER(U53)),1,0)),0),0)</f>
        <v>0</v>
      </c>
      <c r="CA53" s="560">
        <f t="shared" ref="CA53" ca="1" si="565">IF(NOT(ISBLANK(X53)),IF(X53&lt;&gt;"",(IF(NOT(ISNUMBER(X53)),1,0)),0),0)</f>
        <v>0</v>
      </c>
      <c r="CB53" s="560">
        <f t="shared" ref="CB53" ca="1" si="566">IF(NOT(ISBLANK(AA53)),IF(AA53&lt;&gt;"",(IF(NOT(ISNUMBER(AA53)),1,0)),0),0)</f>
        <v>0</v>
      </c>
      <c r="CC53" s="560">
        <f t="shared" ref="CC53" ca="1" si="567">IF(NOT(ISBLANK(AD53)),IF(AD53&lt;&gt;"",(IF(NOT(ISNUMBER(AD53)),1,0)),0),0)</f>
        <v>0</v>
      </c>
      <c r="CD53" s="560">
        <f t="shared" ref="CD53" ca="1" si="568">IF(NOT(ISBLANK(AG53)),IF(AG53&lt;&gt;"",(IF(NOT(ISNUMBER(AG53)),1,0)),0),0)</f>
        <v>0</v>
      </c>
      <c r="CE53" s="560">
        <f t="shared" ref="CE53" ca="1" si="569">IF(NOT(ISBLANK(AJ53)),IF(AJ53&lt;&gt;"",(IF(NOT(ISNUMBER(AJ53)),1,0)),0),0)</f>
        <v>0</v>
      </c>
      <c r="CF53" s="560" t="str">
        <f t="shared" ref="CF53" ca="1" si="570">IF(SUM(BW53:CE54)=0, "Continue", "Enter valid number only.")</f>
        <v>Continue</v>
      </c>
      <c r="CG53" s="560" t="str">
        <f t="shared" ref="CG53" ca="1" si="571">IF(AND(CF53="Continue",BD53="Continue"),"Continue",IF(AND(CF53&lt;&gt;"Continue",BD53="Continue"),CF53,IF(AND(BD53&lt;&gt;"Continue",CF53="Continue"),BD53,CONCATENATE(CF53,CHAR(10)))))</f>
        <v>Continue</v>
      </c>
    </row>
    <row r="54" spans="1:85" ht="72.75" customHeight="1" x14ac:dyDescent="0.25">
      <c r="A54" s="559"/>
      <c r="B54" s="522"/>
      <c r="C54" s="522"/>
      <c r="D54" s="522"/>
      <c r="E54" s="144">
        <v>918</v>
      </c>
      <c r="F54" s="524"/>
      <c r="G54" s="566"/>
      <c r="H54" s="522"/>
      <c r="I54" s="573"/>
      <c r="J54" s="566"/>
      <c r="K54" s="522"/>
      <c r="L54" s="151" t="s">
        <v>627</v>
      </c>
      <c r="M54" s="575"/>
      <c r="N54" s="144"/>
      <c r="O54" s="524"/>
      <c r="P54" s="566"/>
      <c r="Q54" s="146"/>
      <c r="R54" s="524"/>
      <c r="S54" s="566"/>
      <c r="T54" s="146"/>
      <c r="U54" s="524"/>
      <c r="V54" s="566"/>
      <c r="W54" s="146"/>
      <c r="X54" s="524"/>
      <c r="Y54" s="566"/>
      <c r="Z54" s="146"/>
      <c r="AA54" s="524"/>
      <c r="AB54" s="566"/>
      <c r="AC54" s="146"/>
      <c r="AD54" s="524"/>
      <c r="AE54" s="566"/>
      <c r="AF54" s="146"/>
      <c r="AG54" s="524"/>
      <c r="AH54" s="566"/>
      <c r="AI54" s="146"/>
      <c r="AJ54" s="524"/>
      <c r="AK54" s="566"/>
      <c r="AL54" s="522"/>
      <c r="AM54" s="567"/>
      <c r="AN54" s="147"/>
      <c r="AO54" s="147"/>
      <c r="AP54" s="147"/>
      <c r="AQ54" s="147"/>
      <c r="AR54" s="147"/>
      <c r="AS54" s="147"/>
      <c r="AT54" s="147"/>
      <c r="AU54" s="147"/>
      <c r="AV54" s="147"/>
      <c r="AW54" s="147"/>
      <c r="AX54" s="149"/>
      <c r="AY54" s="147"/>
      <c r="AZ54" s="563"/>
      <c r="BA54" s="561"/>
      <c r="BB54" s="516"/>
      <c r="BC54" s="520"/>
      <c r="BD54" s="520"/>
      <c r="BE54" s="150">
        <f t="shared" si="0"/>
        <v>0</v>
      </c>
      <c r="BF54" s="150">
        <f t="shared" si="1"/>
        <v>0</v>
      </c>
      <c r="BG54" s="150">
        <f t="shared" si="2"/>
        <v>0</v>
      </c>
      <c r="BH54" s="150">
        <f t="shared" si="3"/>
        <v>0</v>
      </c>
      <c r="BI54" s="150">
        <f t="shared" si="4"/>
        <v>0</v>
      </c>
      <c r="BJ54" s="150">
        <f t="shared" si="5"/>
        <v>0</v>
      </c>
      <c r="BK54" s="150">
        <f t="shared" si="6"/>
        <v>0</v>
      </c>
      <c r="BL54" s="150">
        <f t="shared" si="7"/>
        <v>0</v>
      </c>
      <c r="BM54" s="150">
        <f t="shared" si="8"/>
        <v>0</v>
      </c>
      <c r="BN54" s="477"/>
      <c r="BO54" s="477"/>
      <c r="BP54" s="477"/>
      <c r="BQ54" s="477"/>
      <c r="BR54" s="520"/>
      <c r="BS54" s="520"/>
      <c r="BT54" s="520"/>
      <c r="BU54" s="520"/>
      <c r="BV54" s="560"/>
      <c r="BW54" s="560"/>
      <c r="BX54" s="560"/>
      <c r="BY54" s="560"/>
      <c r="BZ54" s="560"/>
      <c r="CA54" s="560"/>
      <c r="CB54" s="560"/>
      <c r="CC54" s="560"/>
      <c r="CD54" s="560"/>
      <c r="CE54" s="560"/>
      <c r="CF54" s="560"/>
      <c r="CG54" s="560"/>
    </row>
    <row r="55" spans="1:85" ht="62.25" customHeight="1" x14ac:dyDescent="0.25">
      <c r="A55" s="558">
        <v>24</v>
      </c>
      <c r="B55" s="529" t="s">
        <v>432</v>
      </c>
      <c r="C55" s="529" t="s">
        <v>1252</v>
      </c>
      <c r="D55" s="529"/>
      <c r="E55" s="152">
        <v>901</v>
      </c>
      <c r="F55" s="543">
        <f ca="1">IF(OR(INDIRECT("'update Helper'!D"&amp;AT55)="",E55&lt;&gt;0,E56&lt;&gt;0),IF(IFERROR((E55/E56),"")="","",(E55/E56)),INDIRECT("'update Helper'!D"&amp;AT55)/100)</f>
        <v>0.70944881889763778</v>
      </c>
      <c r="G55" s="568">
        <v>2021</v>
      </c>
      <c r="H55" s="529" t="s">
        <v>2205</v>
      </c>
      <c r="I55" s="572" t="str">
        <f>AN55</f>
        <v>HIV status,Treatment regimen,Gender,Provider type,Age</v>
      </c>
      <c r="J55" s="568" t="s">
        <v>2182</v>
      </c>
      <c r="K55" s="529" t="s">
        <v>752</v>
      </c>
      <c r="L55" s="153" t="s">
        <v>753</v>
      </c>
      <c r="M55" s="576" t="s">
        <v>624</v>
      </c>
      <c r="N55" s="152"/>
      <c r="O55" s="543">
        <v>0.75</v>
      </c>
      <c r="P55" s="568"/>
      <c r="Q55" s="154"/>
      <c r="R55" s="543">
        <v>0.78</v>
      </c>
      <c r="S55" s="568"/>
      <c r="T55" s="154"/>
      <c r="U55" s="543">
        <v>0.8</v>
      </c>
      <c r="V55" s="568"/>
      <c r="W55" s="154"/>
      <c r="X55" s="543" t="str">
        <f ca="1">IF(OR(INDIRECT("'update Helper'!I"&amp;AU55+3)="",W55&lt;&gt;0,W56&lt;&gt;0),IF(IFERROR((W55/W56),"")="","",(W55/W56)),INDIRECT("'update Helper'!I"&amp;AU55+3)/100)</f>
        <v/>
      </c>
      <c r="Y55" s="568"/>
      <c r="Z55" s="154"/>
      <c r="AA55" s="543" t="str">
        <f ca="1">IF(OR(INDIRECT("'update Helper'!I"&amp;AU55+4)="",Z55&lt;&gt;0,Z56&lt;&gt;0),IF(IFERROR((Z55/Z56),"")="","",(Z55/Z56)),INDIRECT("'update Helper'!I"&amp;AU55+4)/100)</f>
        <v/>
      </c>
      <c r="AB55" s="568"/>
      <c r="AC55" s="154"/>
      <c r="AD55" s="543" t="str">
        <f ca="1">IF(OR(INDIRECT("'update Helper'!I"&amp;AU55+5)="",AC55&lt;&gt;0,AC56&lt;&gt;0),IF(IFERROR((AC55/AC56),"")="","",(AC55/AC56)),INDIRECT("'update Helper'!I"&amp;AU55+5)/100)</f>
        <v/>
      </c>
      <c r="AE55" s="568"/>
      <c r="AF55" s="154"/>
      <c r="AG55" s="570" t="str">
        <f t="shared" ref="AG55" ca="1" si="572">IF(OR(INDIRECT("'update Helper'!I"&amp;AU55+6)="",AF55&lt;&gt;0,AF56&lt;&gt;0),IF(IFERROR((AF55/AF56),"")="","",(AF55/AF56)),INDIRECT("'update Helper'!I"&amp;AU55+6)/100)</f>
        <v/>
      </c>
      <c r="AH55" s="568"/>
      <c r="AI55" s="154"/>
      <c r="AJ55" s="570" t="str">
        <f t="shared" ref="AJ55" ca="1" si="573">IF(OR(INDIRECT("'update Helper'!I"&amp;AU55+7)="",AI55&lt;&gt;0,AI56&lt;&gt;0),IF(IFERROR((AI55/AI56),"")="","",(AI55/AI56)),INDIRECT("'update Helper'!I"&amp;AU55+7)/100)</f>
        <v/>
      </c>
      <c r="AK55" s="568"/>
      <c r="AL55" s="529" t="s">
        <v>2170</v>
      </c>
      <c r="AM55" s="480" t="str">
        <f>IFERROR(IF(VLOOKUP(B55,'Reference Records'!$C$192:$D$250,2,FALSE)=0,"",VLOOKUP(B55,'Reference Records'!$C$192:$D$250,2,FALSE)),"")</f>
        <v>MCI-01309</v>
      </c>
      <c r="AN55" s="52" t="str">
        <f t="array" ref="AN55">IFERROR(IF(INDEX('Reference Records'!$D$87:$D$189,MATCH(LEFT(C55,255),LEFT('Reference Records'!$C$87:$C$189,255),0))=0,"",INDEX('Reference Records'!$D$87:$D$189,MATCH(LEFT(C55,255),LEFT('Reference Records'!$C$87:$C$189,255),0))),"")</f>
        <v>HIV status,Treatment regimen,Gender,Provider type,Age</v>
      </c>
      <c r="AO55" s="52" t="str">
        <f>CONCATENATE(C55,D55)</f>
        <v>DRTB-9 Treatment success rate of RR-TB and/or MDR-TB: Percentage of patients with RR and/or MDR-TB successfully treated</v>
      </c>
      <c r="AP55" s="155" t="str">
        <f t="array" ref="AP55">VLOOKUP(LEFT(C55,255),LEFT('Reference Records'!C$86:G504,255),4,0)</f>
        <v>MCI-01559</v>
      </c>
      <c r="AQ55" s="155" t="e">
        <f>MATCH(AP55,'Reference Records'!$F$512:$F$514,0)+ROW(PopulationByCoverage)-1</f>
        <v>#N/A</v>
      </c>
      <c r="AR55" s="155">
        <f>MATCH(AP55,'Reference Records'!$F$512:$F$514,1)+ROW(PopulationByCoverage)-1</f>
        <v>513</v>
      </c>
      <c r="AS55" s="52" t="str">
        <f>C55&amp;D55</f>
        <v>DRTB-9 Treatment success rate of RR-TB and/or MDR-TB: Percentage of patients with RR and/or MDR-TB successfully treated</v>
      </c>
      <c r="AT55" s="52">
        <f t="shared" si="348"/>
        <v>477</v>
      </c>
      <c r="AU55" s="52">
        <f>AU53+'update Helper'!$T$2</f>
        <v>658</v>
      </c>
      <c r="AV55" s="52" t="str">
        <f t="shared" ref="AV55" si="574">CLEAN(IFERROR(LEFT(AY55, SEARCH(";",AY55,1)-1),""))</f>
        <v>Non cumulative</v>
      </c>
      <c r="AW55" s="52" t="str">
        <f t="shared" ref="AW55" si="575">SUBSTITUTE(IFERROR(MID(AY55, SEARCH(";",AY55) + 1, SEARCH(";",AY55,SEARCH(";",AY55)+1) - SEARCH(";",AY55) - 1),""),CHAR(10),"")</f>
        <v/>
      </c>
      <c r="AX55" s="156" t="str">
        <f t="shared" ref="AX55" si="576">CLEAN(IFERROR(SUBSTITUTE(RIGHT(AY55,LEN(AY55) - SEARCH(";", AY55, SEARCH(";",AY55) + 1)),";",""),""))</f>
        <v/>
      </c>
      <c r="AY55" s="52" t="str">
        <f t="array" ref="AY55">IFERROR(IF(VLOOKUP(LEFT(C55,255),LEFT('Reference Records'!$C$1:$K$539,255),9,0)=0,"",CONCATENATE(VLOOKUP(LEFT(C55,255),LEFT('Reference Records'!$C$1:$K$539,255),9,0),";")),"")</f>
        <v>Non cumulative;</v>
      </c>
      <c r="AZ55" s="564" t="str">
        <f>IF($BV55="", "", IF($BV55=TRUE, "Yes", "No"))</f>
        <v>No</v>
      </c>
      <c r="BA55" s="562" t="str">
        <f t="shared" ref="BA55" ca="1" si="577">IF($D55="", "",IF(IF(INDIRECT("'update Helper'!W"&amp;AT55)=0,"",INDIRECT("'update Helper'!W"&amp;AT55))=TRUE, "Yes","No"))</f>
        <v/>
      </c>
      <c r="BB55" s="516" t="str">
        <f t="shared" ref="BB55" ca="1" si="578">IF(AND(BS55="Continue",BU55="Continue"),"No Error",IF(AND(BS55&lt;&gt;"Continue",BU55="Continue"),BS55,IF(AND(BU55&lt;&gt;"Continue",BS55="Continue"),BU55,CONCATENATE(BS55,CHAR(10),BU55))))</f>
        <v>No Error</v>
      </c>
      <c r="BC55" s="520" t="str" cm="1">
        <f t="array" ref="BC55">IF(ISBLANK(C55),"Continue",(IF(IFERROR(_xlfn.XMATCH(C55,LEFT('Reference Records'!$C$86:$C$189,32768),0),0)&lt;&gt;0,"Continue","Invalid indicator entry. Select from dropdown list.")))</f>
        <v>Continue</v>
      </c>
      <c r="BD55" s="520" t="str">
        <f t="shared" ref="BD55" si="579">IF(SUM(BE55:BM56)=0, "Continue", "Enter valid number only.")</f>
        <v>Continue</v>
      </c>
      <c r="BE55" s="150">
        <f t="shared" si="0"/>
        <v>0</v>
      </c>
      <c r="BF55" s="150">
        <f t="shared" si="1"/>
        <v>0</v>
      </c>
      <c r="BG55" s="150">
        <f t="shared" si="2"/>
        <v>0</v>
      </c>
      <c r="BH55" s="150">
        <f t="shared" si="3"/>
        <v>0</v>
      </c>
      <c r="BI55" s="150">
        <f t="shared" si="4"/>
        <v>0</v>
      </c>
      <c r="BJ55" s="150">
        <f t="shared" si="5"/>
        <v>0</v>
      </c>
      <c r="BK55" s="150">
        <f t="shared" si="6"/>
        <v>0</v>
      </c>
      <c r="BL55" s="150">
        <f t="shared" si="7"/>
        <v>0</v>
      </c>
      <c r="BM55" s="150">
        <f t="shared" si="8"/>
        <v>0</v>
      </c>
      <c r="BN55" s="477" t="str">
        <f>IF(NOT(ISBLANK(C55)),IF(C55&lt;&gt;"",IF(_xlfn.XLOOKUP(C55,'Reference Records'!$C$86:$C$189,'Reference Records'!$A$86:$A$189,0,0,1)=AM55,"Continue","Select correct module name."),"Continue"),"Continue")</f>
        <v>Continue</v>
      </c>
      <c r="BO55" s="477" t="str">
        <f t="shared" ref="BO55" ca="1" si="580">IF(AND(BC55="Continue",CG55="Continue"),"Continue",IF(AND(BC55&lt;&gt;"Continue",CG55="Continue"),BC55,IF(AND(CG55&lt;&gt;"Continue",BC55="Continue"),CG55,CONCATENATE(BC55,CHAR(10),CG55))))</f>
        <v>Continue</v>
      </c>
      <c r="BP55" s="477" t="str">
        <f t="shared" ref="BP55" ca="1" si="581">IF(AND((AZ55&lt;&gt;""),(BA55&lt;&gt;"")),"Reversed custom indicator selection not applicable. Value pre-populated in standard indicator column.","Continue")</f>
        <v>Continue</v>
      </c>
      <c r="BQ55" s="477" t="str">
        <f t="shared" ref="BQ55" ca="1" si="582">IF(AND(BN55="Continue",BO55="Continue"),"Continue",
IF(AND(BN55&lt;&gt;"Continue",BO55="Continue"),BN55,
IF(AND(BO55&lt;&gt;"Continue",BN55="Continue"),BO55,
CONCATENATE(BN55,CHAR(10),BO55))))</f>
        <v>Continue</v>
      </c>
      <c r="BR55" s="520" t="str" cm="1">
        <f t="array" ref="BR55">IF(ISBLANK(B55),"Continue",(IF(IFERROR(_xlfn.XMATCH(B55,LEFT('Reference Records'!$J$191:$J$250,32768),0),0)&lt;&gt;0,"Continue","Invalid module entry. Select from dropdown list.")))</f>
        <v>Continue</v>
      </c>
      <c r="BS55" s="520" t="str">
        <f t="shared" ref="BS55" ca="1" si="583">IF(AND(BP55="Continue",BQ55="Continue"),"Continue",IF(AND(BP55&lt;&gt;"Continue",BQ55="Continue"),BP55,IF(AND(BQ55&lt;&gt;"Continue",BP55="Continue"),BQ55,CONCATENATE(BP55,CHAR(10),BQ55))))</f>
        <v>Continue</v>
      </c>
      <c r="BT55" s="520" t="str">
        <f t="shared" ref="BT55" si="584">IF(AND(C55="",D55=""),"Continue",IF(AND(C55="",D55&lt;&gt;""),"Continue",IF(AND(C55&lt;&gt;"",D55=""),"Continue",IF(AND(C55&lt;&gt;"",D55&lt;&gt;""),"Cannot enter both standard and custom indicators on the same line."))))</f>
        <v>Continue</v>
      </c>
      <c r="BU55" s="520" t="str">
        <f t="shared" ref="BU55" si="585">IF(AND(BR55="Continue",BT55="Continue"),"Continue",IF(AND(BR55&lt;&gt;"Continue",BT55="Continue"),BR55,IF(AND(BT55&lt;&gt;"Continue",BR55="Continue"),BT55,CONCATENATE(BR55,CHAR(10),BT55))))</f>
        <v>Continue</v>
      </c>
      <c r="BV55" s="560" t="b">
        <f>IFERROR(INDEX('Reference Records'!$L$86:$L$189,MATCH($C55,'Reference Records'!$C$86:$C$189,0)),"")</f>
        <v>0</v>
      </c>
      <c r="BW55" s="560">
        <f t="shared" ref="BW55" ca="1" si="586">IF(NOT(ISBLANK(F55)),IF(F55&lt;&gt;"",(IF(NOT(ISNUMBER(F55)),1,0)),0),0)</f>
        <v>0</v>
      </c>
      <c r="BX55" s="560">
        <f t="shared" ref="BX55" si="587">IF(NOT(ISBLANK(O55)),IF(O55&lt;&gt;"",(IF(NOT(ISNUMBER(O55)),1,0)),0),0)</f>
        <v>0</v>
      </c>
      <c r="BY55" s="560">
        <f t="shared" ref="BY55" si="588">IF(NOT(ISBLANK(R55)),IF(R55&lt;&gt;"",(IF(NOT(ISNUMBER(R55)),1,0)),0),0)</f>
        <v>0</v>
      </c>
      <c r="BZ55" s="560">
        <f t="shared" ref="BZ55" si="589">IF(NOT(ISBLANK(U55)),IF(U55&lt;&gt;"",(IF(NOT(ISNUMBER(U55)),1,0)),0),0)</f>
        <v>0</v>
      </c>
      <c r="CA55" s="560">
        <f t="shared" ref="CA55" ca="1" si="590">IF(NOT(ISBLANK(X55)),IF(X55&lt;&gt;"",(IF(NOT(ISNUMBER(X55)),1,0)),0),0)</f>
        <v>0</v>
      </c>
      <c r="CB55" s="560">
        <f t="shared" ref="CB55" ca="1" si="591">IF(NOT(ISBLANK(AA55)),IF(AA55&lt;&gt;"",(IF(NOT(ISNUMBER(AA55)),1,0)),0),0)</f>
        <v>0</v>
      </c>
      <c r="CC55" s="560">
        <f t="shared" ref="CC55" ca="1" si="592">IF(NOT(ISBLANK(AD55)),IF(AD55&lt;&gt;"",(IF(NOT(ISNUMBER(AD55)),1,0)),0),0)</f>
        <v>0</v>
      </c>
      <c r="CD55" s="560">
        <f t="shared" ref="CD55" ca="1" si="593">IF(NOT(ISBLANK(AG55)),IF(AG55&lt;&gt;"",(IF(NOT(ISNUMBER(AG55)),1,0)),0),0)</f>
        <v>0</v>
      </c>
      <c r="CE55" s="560">
        <f t="shared" ref="CE55" ca="1" si="594">IF(NOT(ISBLANK(AJ55)),IF(AJ55&lt;&gt;"",(IF(NOT(ISNUMBER(AJ55)),1,0)),0),0)</f>
        <v>0</v>
      </c>
      <c r="CF55" s="560" t="str">
        <f t="shared" ref="CF55" ca="1" si="595">IF(SUM(BW55:CE56)=0, "Continue", "Enter valid number only.")</f>
        <v>Continue</v>
      </c>
      <c r="CG55" s="560" t="str">
        <f t="shared" ref="CG55" ca="1" si="596">IF(AND(CF55="Continue",BD55="Continue"),"Continue",IF(AND(CF55&lt;&gt;"Continue",BD55="Continue"),CF55,IF(AND(BD55&lt;&gt;"Continue",CF55="Continue"),BD55,CONCATENATE(CF55,CHAR(10)))))</f>
        <v>Continue</v>
      </c>
    </row>
    <row r="56" spans="1:85" ht="30" customHeight="1" x14ac:dyDescent="0.25">
      <c r="A56" s="559"/>
      <c r="B56" s="530"/>
      <c r="C56" s="530"/>
      <c r="D56" s="530"/>
      <c r="E56" s="152">
        <v>1270</v>
      </c>
      <c r="F56" s="544"/>
      <c r="G56" s="569"/>
      <c r="H56" s="530"/>
      <c r="I56" s="573"/>
      <c r="J56" s="569"/>
      <c r="K56" s="530"/>
      <c r="L56" s="157" t="s">
        <v>627</v>
      </c>
      <c r="M56" s="577"/>
      <c r="N56" s="152"/>
      <c r="O56" s="544"/>
      <c r="P56" s="569"/>
      <c r="Q56" s="154"/>
      <c r="R56" s="544"/>
      <c r="S56" s="569"/>
      <c r="T56" s="154"/>
      <c r="U56" s="544"/>
      <c r="V56" s="569"/>
      <c r="W56" s="154"/>
      <c r="X56" s="544"/>
      <c r="Y56" s="569"/>
      <c r="Z56" s="154"/>
      <c r="AA56" s="544"/>
      <c r="AB56" s="569"/>
      <c r="AC56" s="154"/>
      <c r="AD56" s="544"/>
      <c r="AE56" s="569"/>
      <c r="AF56" s="154"/>
      <c r="AG56" s="571"/>
      <c r="AH56" s="569"/>
      <c r="AI56" s="154"/>
      <c r="AJ56" s="571"/>
      <c r="AK56" s="569"/>
      <c r="AL56" s="530"/>
      <c r="AM56" s="480"/>
      <c r="AX56" s="156"/>
      <c r="AZ56" s="564"/>
      <c r="BA56" s="562"/>
      <c r="BB56" s="516"/>
      <c r="BC56" s="520"/>
      <c r="BD56" s="520"/>
      <c r="BE56" s="150">
        <f t="shared" si="0"/>
        <v>0</v>
      </c>
      <c r="BF56" s="150">
        <f t="shared" si="1"/>
        <v>0</v>
      </c>
      <c r="BG56" s="150">
        <f t="shared" si="2"/>
        <v>0</v>
      </c>
      <c r="BH56" s="150">
        <f t="shared" si="3"/>
        <v>0</v>
      </c>
      <c r="BI56" s="150">
        <f t="shared" si="4"/>
        <v>0</v>
      </c>
      <c r="BJ56" s="150">
        <f t="shared" si="5"/>
        <v>0</v>
      </c>
      <c r="BK56" s="150">
        <f t="shared" si="6"/>
        <v>0</v>
      </c>
      <c r="BL56" s="150">
        <f t="shared" si="7"/>
        <v>0</v>
      </c>
      <c r="BM56" s="150">
        <f t="shared" si="8"/>
        <v>0</v>
      </c>
      <c r="BN56" s="477"/>
      <c r="BO56" s="477"/>
      <c r="BP56" s="477"/>
      <c r="BQ56" s="477"/>
      <c r="BR56" s="520"/>
      <c r="BS56" s="520"/>
      <c r="BT56" s="520"/>
      <c r="BU56" s="520"/>
      <c r="BV56" s="560"/>
      <c r="BW56" s="560"/>
      <c r="BX56" s="560"/>
      <c r="BY56" s="560"/>
      <c r="BZ56" s="560"/>
      <c r="CA56" s="560"/>
      <c r="CB56" s="560"/>
      <c r="CC56" s="560"/>
      <c r="CD56" s="560"/>
      <c r="CE56" s="560"/>
      <c r="CF56" s="560"/>
      <c r="CG56" s="560"/>
    </row>
    <row r="57" spans="1:85" ht="30" customHeight="1" x14ac:dyDescent="0.25">
      <c r="A57" s="558">
        <v>25</v>
      </c>
      <c r="B57" s="521"/>
      <c r="C57" s="521"/>
      <c r="D57" s="521"/>
      <c r="E57" s="144"/>
      <c r="F57" s="523" t="str">
        <f ca="1">IF(OR(INDIRECT("'update Helper'!D"&amp;AT57)="",E57&lt;&gt;0,E58&lt;&gt;0),IF(IFERROR((E57/E58),"")="","",(E57/E58)),INDIRECT("'update Helper'!D"&amp;AT57)/100)</f>
        <v/>
      </c>
      <c r="G57" s="565"/>
      <c r="H57" s="521"/>
      <c r="I57" s="572" t="str">
        <f>AN57</f>
        <v/>
      </c>
      <c r="J57" s="565"/>
      <c r="K57" s="521"/>
      <c r="L57" s="145"/>
      <c r="M57" s="574"/>
      <c r="N57" s="144"/>
      <c r="O57" s="523" t="str">
        <f ca="1">IF(OR(INDIRECT("'update Helper'!I"&amp;AU57)="",N57&lt;&gt;0,N58&lt;&gt;0),IF(IFERROR((N57/N58),"")="","",(N57/N58)),INDIRECT("'update Helper'!I"&amp;AU57)/100)</f>
        <v/>
      </c>
      <c r="P57" s="565"/>
      <c r="Q57" s="146"/>
      <c r="R57" s="523" t="str">
        <f ca="1">IF(OR(INDIRECT("'update Helper'!I"&amp;AU57+1)="",Q57&lt;&gt;0,Q58&lt;&gt;0),IF(IFERROR((Q57/Q58),"")="","",(Q57/Q58)),INDIRECT("'update Helper'!I"&amp;AU57+1)/100)</f>
        <v/>
      </c>
      <c r="S57" s="565"/>
      <c r="T57" s="146"/>
      <c r="U57" s="523" t="str">
        <f ca="1">IF(OR(INDIRECT("'update Helper'!I"&amp;AU57+2)="",T57&lt;&gt;0,T58&lt;&gt;0),IF(IFERROR((T57/T58),"")="","",(T57/T58)),INDIRECT("'update Helper'!I"&amp;AU57+2)/100)</f>
        <v/>
      </c>
      <c r="V57" s="565"/>
      <c r="W57" s="146"/>
      <c r="X57" s="523" t="str">
        <f ca="1">IF(OR(INDIRECT("'update Helper'!I"&amp;AU57+3)="",W57&lt;&gt;0,W58&lt;&gt;0),IF(IFERROR((W57/W58),"")="","",(W57/W58)),INDIRECT("'update Helper'!I"&amp;AU57+3)/100)</f>
        <v/>
      </c>
      <c r="Y57" s="565"/>
      <c r="Z57" s="146"/>
      <c r="AA57" s="523" t="str">
        <f ca="1">IF(OR(INDIRECT("'update Helper'!I"&amp;AU57+4)="",Z57&lt;&gt;0,Z58&lt;&gt;0),IF(IFERROR((Z57/Z58),"")="","",(Z57/Z58)),INDIRECT("'update Helper'!I"&amp;AU57+4)/100)</f>
        <v/>
      </c>
      <c r="AB57" s="565"/>
      <c r="AC57" s="146"/>
      <c r="AD57" s="523" t="str">
        <f ca="1">IF(OR(INDIRECT("'update Helper'!I"&amp;AU57+5)="",AC57&lt;&gt;0,AC58&lt;&gt;0),IF(IFERROR((AC57/AC58),"")="","",(AC57/AC58)),INDIRECT("'update Helper'!I"&amp;AU57+5)/100)</f>
        <v/>
      </c>
      <c r="AE57" s="565"/>
      <c r="AF57" s="146"/>
      <c r="AG57" s="523" t="str">
        <f t="shared" ref="AG57" ca="1" si="597">IF(OR(INDIRECT("'update Helper'!I"&amp;AU57+6)="",AF57&lt;&gt;0,AF58&lt;&gt;0),IF(IFERROR((AF57/AF58),"")="","",(AF57/AF58)),INDIRECT("'update Helper'!I"&amp;AU57+6)/100)</f>
        <v/>
      </c>
      <c r="AH57" s="565"/>
      <c r="AI57" s="146"/>
      <c r="AJ57" s="523" t="str">
        <f t="shared" ref="AJ57" ca="1" si="598">IF(OR(INDIRECT("'update Helper'!I"&amp;AU57+7)="",AI57&lt;&gt;0,AI58&lt;&gt;0),IF(IFERROR((AI57/AI58),"")="","",(AI57/AI58)),INDIRECT("'update Helper'!I"&amp;AU57+7)/100)</f>
        <v/>
      </c>
      <c r="AK57" s="565"/>
      <c r="AL57" s="521"/>
      <c r="AM57" s="567" t="str">
        <f>IFERROR(IF(VLOOKUP(B57,'Reference Records'!$C$192:$D$250,2,FALSE)=0,"",VLOOKUP(B57,'Reference Records'!$C$192:$D$250,2,FALSE)),"")</f>
        <v/>
      </c>
      <c r="AN57" s="147" t="str">
        <f t="array" ref="AN57">IFERROR(IF(INDEX('Reference Records'!$D$87:$D$189,MATCH(LEFT(C57,255),LEFT('Reference Records'!$C$87:$C$189,255),0))=0,"",INDEX('Reference Records'!$D$87:$D$189,MATCH(LEFT(C57,255),LEFT('Reference Records'!$C$87:$C$189,255),0))),"")</f>
        <v/>
      </c>
      <c r="AO57" s="147" t="str">
        <f>CONCATENATE(C57,D57)</f>
        <v/>
      </c>
      <c r="AP57" s="148" t="str">
        <f t="array" ref="AP57">VLOOKUP(LEFT(C57,255),LEFT('Reference Records'!C$86:G506,255),4,0)</f>
        <v/>
      </c>
      <c r="AQ57" s="148" t="e">
        <f>MATCH(AP57,'Reference Records'!$F$512:$F$514,0)+ROW(PopulationByCoverage)-1</f>
        <v>#N/A</v>
      </c>
      <c r="AR57" s="148" t="e">
        <f>MATCH(AP57,'Reference Records'!$F$512:$F$514,1)+ROW(PopulationByCoverage)-1</f>
        <v>#N/A</v>
      </c>
      <c r="AS57" s="147" t="str">
        <f>C57&amp;D57</f>
        <v/>
      </c>
      <c r="AT57" s="147">
        <f t="shared" si="348"/>
        <v>478</v>
      </c>
      <c r="AU57" s="147">
        <f>AU55+'update Helper'!$T$2</f>
        <v>664</v>
      </c>
      <c r="AV57" s="147" t="str">
        <f t="shared" ref="AV57" si="599">CLEAN(IFERROR(LEFT(AY57, SEARCH(";",AY57,1)-1),""))</f>
        <v/>
      </c>
      <c r="AW57" s="147" t="str">
        <f t="shared" ref="AW57" si="600">SUBSTITUTE(IFERROR(MID(AY57, SEARCH(";",AY57) + 1, SEARCH(";",AY57,SEARCH(";",AY57)+1) - SEARCH(";",AY57) - 1),""),CHAR(10),"")</f>
        <v/>
      </c>
      <c r="AX57" s="149" t="str">
        <f t="shared" ref="AX57" si="601">CLEAN(IFERROR(SUBSTITUTE(RIGHT(AY57,LEN(AY57) - SEARCH(";", AY57, SEARCH(";",AY57) + 1)),";",""),""))</f>
        <v/>
      </c>
      <c r="AY57" s="147" t="str">
        <f t="array" ref="AY57">IFERROR(IF(VLOOKUP(LEFT(C57,255),LEFT('Reference Records'!$C$1:$K$539,255),9,0)=0,"",CONCATENATE(VLOOKUP(LEFT(C57,255),LEFT('Reference Records'!$C$1:$K$539,255),9,0),";")),"")</f>
        <v>;</v>
      </c>
      <c r="AZ57" s="563" t="str">
        <f>IF($BV57="", "", IF($BV57=TRUE, "Yes", "No"))</f>
        <v/>
      </c>
      <c r="BA57" s="561" t="str">
        <f t="shared" ref="BA57" ca="1" si="602">IF($D57="", "",IF(IF(INDIRECT("'update Helper'!W"&amp;AT57)=0,"",INDIRECT("'update Helper'!W"&amp;AT57))=TRUE, "Yes","No"))</f>
        <v/>
      </c>
      <c r="BB57" s="516" t="str">
        <f t="shared" ref="BB57" ca="1" si="603">IF(AND(BS57="Continue",BU57="Continue"),"No Error",IF(AND(BS57&lt;&gt;"Continue",BU57="Continue"),BS57,IF(AND(BU57&lt;&gt;"Continue",BS57="Continue"),BU57,CONCATENATE(BS57,CHAR(10),BU57))))</f>
        <v>No Error</v>
      </c>
      <c r="BC57" s="520" t="str" cm="1">
        <f t="array" ref="BC57">IF(ISBLANK(C57),"Continue",(IF(IFERROR(_xlfn.XMATCH(C57,LEFT('Reference Records'!$C$86:$C$189,32768),0),0)&lt;&gt;0,"Continue","Invalid indicator entry. Select from dropdown list.")))</f>
        <v>Continue</v>
      </c>
      <c r="BD57" s="520" t="str">
        <f t="shared" ref="BD57" si="604">IF(SUM(BE57:BM58)=0, "Continue", "Enter valid number only.")</f>
        <v>Continue</v>
      </c>
      <c r="BE57" s="150">
        <f t="shared" si="0"/>
        <v>0</v>
      </c>
      <c r="BF57" s="150">
        <f t="shared" si="1"/>
        <v>0</v>
      </c>
      <c r="BG57" s="150">
        <f t="shared" si="2"/>
        <v>0</v>
      </c>
      <c r="BH57" s="150">
        <f t="shared" si="3"/>
        <v>0</v>
      </c>
      <c r="BI57" s="150">
        <f t="shared" si="4"/>
        <v>0</v>
      </c>
      <c r="BJ57" s="150">
        <f t="shared" si="5"/>
        <v>0</v>
      </c>
      <c r="BK57" s="150">
        <f t="shared" si="6"/>
        <v>0</v>
      </c>
      <c r="BL57" s="150">
        <f t="shared" si="7"/>
        <v>0</v>
      </c>
      <c r="BM57" s="150">
        <f t="shared" si="8"/>
        <v>0</v>
      </c>
      <c r="BN57" s="477" t="str">
        <f>IF(NOT(ISBLANK(C57)),IF(C57&lt;&gt;"",IF(_xlfn.XLOOKUP(C57,'Reference Records'!$C$86:$C$189,'Reference Records'!$A$86:$A$189,0,0,1)=AM57,"Continue","Select correct module name."),"Continue"),"Continue")</f>
        <v>Continue</v>
      </c>
      <c r="BO57" s="477" t="str">
        <f t="shared" ref="BO57" ca="1" si="605">IF(AND(BC57="Continue",CG57="Continue"),"Continue",IF(AND(BC57&lt;&gt;"Continue",CG57="Continue"),BC57,IF(AND(CG57&lt;&gt;"Continue",BC57="Continue"),CG57,CONCATENATE(BC57,CHAR(10),CG57))))</f>
        <v>Continue</v>
      </c>
      <c r="BP57" s="477" t="str">
        <f t="shared" ref="BP57" ca="1" si="606">IF(AND((AZ57&lt;&gt;""),(BA57&lt;&gt;"")),"Reversed custom indicator selection not applicable. Value pre-populated in standard indicator column.","Continue")</f>
        <v>Continue</v>
      </c>
      <c r="BQ57" s="477" t="str">
        <f t="shared" ref="BQ57" ca="1" si="607">IF(AND(BN57="Continue",BO57="Continue"),"Continue",
IF(AND(BN57&lt;&gt;"Continue",BO57="Continue"),BN57,
IF(AND(BO57&lt;&gt;"Continue",BN57="Continue"),BO57,
CONCATENATE(BN57,CHAR(10),BO57))))</f>
        <v>Continue</v>
      </c>
      <c r="BR57" s="520" t="str" cm="1">
        <f t="array" ref="BR57">IF(ISBLANK(B57),"Continue",(IF(IFERROR(_xlfn.XMATCH(B57,LEFT('Reference Records'!$J$191:$J$250,32768),0),0)&lt;&gt;0,"Continue","Invalid module entry. Select from dropdown list.")))</f>
        <v>Continue</v>
      </c>
      <c r="BS57" s="520" t="str">
        <f t="shared" ref="BS57" ca="1" si="608">IF(AND(BP57="Continue",BQ57="Continue"),"Continue",IF(AND(BP57&lt;&gt;"Continue",BQ57="Continue"),BP57,IF(AND(BQ57&lt;&gt;"Continue",BP57="Continue"),BQ57,CONCATENATE(BP57,CHAR(10),BQ57))))</f>
        <v>Continue</v>
      </c>
      <c r="BT57" s="520" t="str">
        <f t="shared" ref="BT57" si="609">IF(AND(C57="",D57=""),"Continue",IF(AND(C57="",D57&lt;&gt;""),"Continue",IF(AND(C57&lt;&gt;"",D57=""),"Continue",IF(AND(C57&lt;&gt;"",D57&lt;&gt;""),"Cannot enter both standard and custom indicators on the same line."))))</f>
        <v>Continue</v>
      </c>
      <c r="BU57" s="520" t="str">
        <f t="shared" ref="BU57" si="610">IF(AND(BR57="Continue",BT57="Continue"),"Continue",IF(AND(BR57&lt;&gt;"Continue",BT57="Continue"),BR57,IF(AND(BT57&lt;&gt;"Continue",BR57="Continue"),BT57,CONCATENATE(BR57,CHAR(10),BT57))))</f>
        <v>Continue</v>
      </c>
      <c r="BV57" s="560" t="str">
        <f>IFERROR(INDEX('Reference Records'!$L$86:$L$189,MATCH($C57,'Reference Records'!$C$86:$C$189,0)),"")</f>
        <v/>
      </c>
      <c r="BW57" s="560">
        <f t="shared" ref="BW57" ca="1" si="611">IF(NOT(ISBLANK(F57)),IF(F57&lt;&gt;"",(IF(NOT(ISNUMBER(F57)),1,0)),0),0)</f>
        <v>0</v>
      </c>
      <c r="BX57" s="560">
        <f t="shared" ref="BX57" ca="1" si="612">IF(NOT(ISBLANK(O57)),IF(O57&lt;&gt;"",(IF(NOT(ISNUMBER(O57)),1,0)),0),0)</f>
        <v>0</v>
      </c>
      <c r="BY57" s="560">
        <f t="shared" ref="BY57" ca="1" si="613">IF(NOT(ISBLANK(R57)),IF(R57&lt;&gt;"",(IF(NOT(ISNUMBER(R57)),1,0)),0),0)</f>
        <v>0</v>
      </c>
      <c r="BZ57" s="560">
        <f t="shared" ref="BZ57" ca="1" si="614">IF(NOT(ISBLANK(U57)),IF(U57&lt;&gt;"",(IF(NOT(ISNUMBER(U57)),1,0)),0),0)</f>
        <v>0</v>
      </c>
      <c r="CA57" s="560">
        <f t="shared" ref="CA57" ca="1" si="615">IF(NOT(ISBLANK(X57)),IF(X57&lt;&gt;"",(IF(NOT(ISNUMBER(X57)),1,0)),0),0)</f>
        <v>0</v>
      </c>
      <c r="CB57" s="560">
        <f t="shared" ref="CB57" ca="1" si="616">IF(NOT(ISBLANK(AA57)),IF(AA57&lt;&gt;"",(IF(NOT(ISNUMBER(AA57)),1,0)),0),0)</f>
        <v>0</v>
      </c>
      <c r="CC57" s="560">
        <f t="shared" ref="CC57" ca="1" si="617">IF(NOT(ISBLANK(AD57)),IF(AD57&lt;&gt;"",(IF(NOT(ISNUMBER(AD57)),1,0)),0),0)</f>
        <v>0</v>
      </c>
      <c r="CD57" s="560">
        <f t="shared" ref="CD57" ca="1" si="618">IF(NOT(ISBLANK(AG57)),IF(AG57&lt;&gt;"",(IF(NOT(ISNUMBER(AG57)),1,0)),0),0)</f>
        <v>0</v>
      </c>
      <c r="CE57" s="560">
        <f t="shared" ref="CE57" ca="1" si="619">IF(NOT(ISBLANK(AJ57)),IF(AJ57&lt;&gt;"",(IF(NOT(ISNUMBER(AJ57)),1,0)),0),0)</f>
        <v>0</v>
      </c>
      <c r="CF57" s="560" t="str">
        <f t="shared" ref="CF57" ca="1" si="620">IF(SUM(BW57:CE58)=0, "Continue", "Enter valid number only.")</f>
        <v>Continue</v>
      </c>
      <c r="CG57" s="560" t="str">
        <f t="shared" ref="CG57" ca="1" si="621">IF(AND(CF57="Continue",BD57="Continue"),"Continue",IF(AND(CF57&lt;&gt;"Continue",BD57="Continue"),CF57,IF(AND(BD57&lt;&gt;"Continue",CF57="Continue"),BD57,CONCATENATE(CF57,CHAR(10)))))</f>
        <v>Continue</v>
      </c>
    </row>
    <row r="58" spans="1:85" ht="30" customHeight="1" x14ac:dyDescent="0.25">
      <c r="A58" s="559"/>
      <c r="B58" s="522"/>
      <c r="C58" s="522"/>
      <c r="D58" s="522"/>
      <c r="E58" s="144"/>
      <c r="F58" s="524"/>
      <c r="G58" s="566"/>
      <c r="H58" s="522"/>
      <c r="I58" s="573"/>
      <c r="J58" s="566"/>
      <c r="K58" s="522"/>
      <c r="L58" s="151"/>
      <c r="M58" s="575"/>
      <c r="N58" s="144"/>
      <c r="O58" s="524"/>
      <c r="P58" s="566"/>
      <c r="Q58" s="146"/>
      <c r="R58" s="524"/>
      <c r="S58" s="566"/>
      <c r="T58" s="146"/>
      <c r="U58" s="524"/>
      <c r="V58" s="566"/>
      <c r="W58" s="146"/>
      <c r="X58" s="524"/>
      <c r="Y58" s="566"/>
      <c r="Z58" s="146"/>
      <c r="AA58" s="524"/>
      <c r="AB58" s="566"/>
      <c r="AC58" s="146"/>
      <c r="AD58" s="524"/>
      <c r="AE58" s="566"/>
      <c r="AF58" s="146"/>
      <c r="AG58" s="524"/>
      <c r="AH58" s="566"/>
      <c r="AI58" s="146"/>
      <c r="AJ58" s="524"/>
      <c r="AK58" s="566"/>
      <c r="AL58" s="522"/>
      <c r="AM58" s="567"/>
      <c r="AN58" s="147"/>
      <c r="AO58" s="147"/>
      <c r="AP58" s="147"/>
      <c r="AQ58" s="147"/>
      <c r="AR58" s="147"/>
      <c r="AS58" s="147"/>
      <c r="AT58" s="147"/>
      <c r="AU58" s="147"/>
      <c r="AV58" s="147"/>
      <c r="AW58" s="147"/>
      <c r="AX58" s="149"/>
      <c r="AY58" s="147"/>
      <c r="AZ58" s="563"/>
      <c r="BA58" s="561"/>
      <c r="BB58" s="516"/>
      <c r="BC58" s="520"/>
      <c r="BD58" s="520"/>
      <c r="BE58" s="150">
        <f t="shared" si="0"/>
        <v>0</v>
      </c>
      <c r="BF58" s="150">
        <f t="shared" si="1"/>
        <v>0</v>
      </c>
      <c r="BG58" s="150">
        <f t="shared" si="2"/>
        <v>0</v>
      </c>
      <c r="BH58" s="150">
        <f t="shared" si="3"/>
        <v>0</v>
      </c>
      <c r="BI58" s="150">
        <f t="shared" si="4"/>
        <v>0</v>
      </c>
      <c r="BJ58" s="150">
        <f t="shared" si="5"/>
        <v>0</v>
      </c>
      <c r="BK58" s="150">
        <f t="shared" si="6"/>
        <v>0</v>
      </c>
      <c r="BL58" s="150">
        <f t="shared" si="7"/>
        <v>0</v>
      </c>
      <c r="BM58" s="150">
        <f t="shared" si="8"/>
        <v>0</v>
      </c>
      <c r="BN58" s="477"/>
      <c r="BO58" s="477"/>
      <c r="BP58" s="477"/>
      <c r="BQ58" s="477"/>
      <c r="BR58" s="520"/>
      <c r="BS58" s="520"/>
      <c r="BT58" s="520"/>
      <c r="BU58" s="520"/>
      <c r="BV58" s="560"/>
      <c r="BW58" s="560"/>
      <c r="BX58" s="560"/>
      <c r="BY58" s="560"/>
      <c r="BZ58" s="560"/>
      <c r="CA58" s="560"/>
      <c r="CB58" s="560"/>
      <c r="CC58" s="560"/>
      <c r="CD58" s="560"/>
      <c r="CE58" s="560"/>
      <c r="CF58" s="560"/>
      <c r="CG58" s="560"/>
    </row>
    <row r="59" spans="1:85" ht="30" customHeight="1" x14ac:dyDescent="0.25">
      <c r="A59" s="558">
        <v>26</v>
      </c>
      <c r="B59" s="529"/>
      <c r="C59" s="529"/>
      <c r="D59" s="529"/>
      <c r="E59" s="152"/>
      <c r="F59" s="543" t="str">
        <f ca="1">IF(OR(INDIRECT("'update Helper'!D"&amp;AT59)="",E59&lt;&gt;0,E60&lt;&gt;0),IF(IFERROR((E59/E60),"")="","",(E59/E60)),INDIRECT("'update Helper'!D"&amp;AT59)/100)</f>
        <v/>
      </c>
      <c r="G59" s="568"/>
      <c r="H59" s="529"/>
      <c r="I59" s="572" t="str">
        <f>AN59</f>
        <v/>
      </c>
      <c r="J59" s="568"/>
      <c r="K59" s="529"/>
      <c r="L59" s="153"/>
      <c r="M59" s="576"/>
      <c r="N59" s="152"/>
      <c r="O59" s="543" t="str">
        <f ca="1">IF(OR(INDIRECT("'update Helper'!I"&amp;AU59)="",N59&lt;&gt;0,N60&lt;&gt;0),IF(IFERROR((N59/N60),"")="","",(N59/N60)),INDIRECT("'update Helper'!I"&amp;AU59)/100)</f>
        <v/>
      </c>
      <c r="P59" s="568"/>
      <c r="Q59" s="154"/>
      <c r="R59" s="543" t="str">
        <f ca="1">IF(OR(INDIRECT("'update Helper'!I"&amp;AU59+1)="",Q59&lt;&gt;0,Q60&lt;&gt;0),IF(IFERROR((Q59/Q60),"")="","",(Q59/Q60)),INDIRECT("'update Helper'!I"&amp;AU59+1)/100)</f>
        <v/>
      </c>
      <c r="S59" s="568"/>
      <c r="T59" s="154"/>
      <c r="U59" s="543" t="str">
        <f ca="1">IF(OR(INDIRECT("'update Helper'!I"&amp;AU59+2)="",T59&lt;&gt;0,T60&lt;&gt;0),IF(IFERROR((T59/T60),"")="","",(T59/T60)),INDIRECT("'update Helper'!I"&amp;AU59+2)/100)</f>
        <v/>
      </c>
      <c r="V59" s="568"/>
      <c r="W59" s="154"/>
      <c r="X59" s="543" t="str">
        <f ca="1">IF(OR(INDIRECT("'update Helper'!I"&amp;AU59+3)="",W59&lt;&gt;0,W60&lt;&gt;0),IF(IFERROR((W59/W60),"")="","",(W59/W60)),INDIRECT("'update Helper'!I"&amp;AU59+3)/100)</f>
        <v/>
      </c>
      <c r="Y59" s="568"/>
      <c r="Z59" s="154"/>
      <c r="AA59" s="543" t="str">
        <f ca="1">IF(OR(INDIRECT("'update Helper'!I"&amp;AU59+4)="",Z59&lt;&gt;0,Z60&lt;&gt;0),IF(IFERROR((Z59/Z60),"")="","",(Z59/Z60)),INDIRECT("'update Helper'!I"&amp;AU59+4)/100)</f>
        <v/>
      </c>
      <c r="AB59" s="568"/>
      <c r="AC59" s="154"/>
      <c r="AD59" s="543" t="str">
        <f ca="1">IF(OR(INDIRECT("'update Helper'!I"&amp;AU59+5)="",AC59&lt;&gt;0,AC60&lt;&gt;0),IF(IFERROR((AC59/AC60),"")="","",(AC59/AC60)),INDIRECT("'update Helper'!I"&amp;AU59+5)/100)</f>
        <v/>
      </c>
      <c r="AE59" s="568"/>
      <c r="AF59" s="154"/>
      <c r="AG59" s="570" t="str">
        <f t="shared" ref="AG59" ca="1" si="622">IF(OR(INDIRECT("'update Helper'!I"&amp;AU59+6)="",AF59&lt;&gt;0,AF60&lt;&gt;0),IF(IFERROR((AF59/AF60),"")="","",(AF59/AF60)),INDIRECT("'update Helper'!I"&amp;AU59+6)/100)</f>
        <v/>
      </c>
      <c r="AH59" s="568"/>
      <c r="AI59" s="154"/>
      <c r="AJ59" s="570" t="str">
        <f t="shared" ref="AJ59" ca="1" si="623">IF(OR(INDIRECT("'update Helper'!I"&amp;AU59+7)="",AI59&lt;&gt;0,AI60&lt;&gt;0),IF(IFERROR((AI59/AI60),"")="","",(AI59/AI60)),INDIRECT("'update Helper'!I"&amp;AU59+7)/100)</f>
        <v/>
      </c>
      <c r="AK59" s="597"/>
      <c r="AL59" s="529"/>
      <c r="AM59" s="480" t="str">
        <f>IFERROR(IF(VLOOKUP(B59,'Reference Records'!$C$192:$D$250,2,FALSE)=0,"",VLOOKUP(B59,'Reference Records'!$C$192:$D$250,2,FALSE)),"")</f>
        <v/>
      </c>
      <c r="AN59" s="52" t="str">
        <f t="array" ref="AN59">IFERROR(IF(INDEX('Reference Records'!$D$87:$D$189,MATCH(LEFT(C59,255),LEFT('Reference Records'!$C$87:$C$189,255),0))=0,"",INDEX('Reference Records'!$D$87:$D$189,MATCH(LEFT(C59,255),LEFT('Reference Records'!$C$87:$C$189,255),0))),"")</f>
        <v/>
      </c>
      <c r="AO59" s="52" t="str">
        <f>CONCATENATE(C59,D59)</f>
        <v/>
      </c>
      <c r="AP59" s="155" t="str">
        <f t="array" ref="AP59">VLOOKUP(LEFT(C59,255),LEFT('Reference Records'!C$86:G508,255),4,0)</f>
        <v/>
      </c>
      <c r="AQ59" s="155" t="e">
        <f>MATCH(AP59,'Reference Records'!$F$512:$F$514,0)+ROW(PopulationByCoverage)-1</f>
        <v>#N/A</v>
      </c>
      <c r="AR59" s="155" t="e">
        <f>MATCH(AP59,'Reference Records'!$F$512:$F$514,1)+ROW(PopulationByCoverage)-1</f>
        <v>#N/A</v>
      </c>
      <c r="AS59" s="52" t="str">
        <f>C59&amp;D59</f>
        <v/>
      </c>
      <c r="AT59" s="52">
        <f t="shared" si="348"/>
        <v>479</v>
      </c>
      <c r="AU59" s="52">
        <f>AU57+'update Helper'!$T$2</f>
        <v>670</v>
      </c>
      <c r="AV59" s="52" t="str">
        <f t="shared" ref="AV59" si="624">CLEAN(IFERROR(LEFT(AY59, SEARCH(";",AY59,1)-1),""))</f>
        <v/>
      </c>
      <c r="AW59" s="52" t="str">
        <f t="shared" ref="AW59" si="625">SUBSTITUTE(IFERROR(MID(AY59, SEARCH(";",AY59) + 1, SEARCH(";",AY59,SEARCH(";",AY59)+1) - SEARCH(";",AY59) - 1),""),CHAR(10),"")</f>
        <v/>
      </c>
      <c r="AX59" s="156" t="str">
        <f t="shared" ref="AX59" si="626">CLEAN(IFERROR(SUBSTITUTE(RIGHT(AY59,LEN(AY59) - SEARCH(";", AY59, SEARCH(";",AY59) + 1)),";",""),""))</f>
        <v/>
      </c>
      <c r="AY59" s="52" t="str">
        <f t="array" ref="AY59">IFERROR(IF(VLOOKUP(LEFT(C59,255),LEFT('Reference Records'!$C$1:$K$539,255),9,0)=0,"",CONCATENATE(VLOOKUP(LEFT(C59,255),LEFT('Reference Records'!$C$1:$K$539,255),9,0),";")),"")</f>
        <v>;</v>
      </c>
      <c r="AZ59" s="564" t="str">
        <f>IF($BV59="", "", IF($BV59=TRUE, "Yes", "No"))</f>
        <v/>
      </c>
      <c r="BA59" s="562" t="str">
        <f t="shared" ref="BA59" ca="1" si="627">IF($D59="", "",IF(IF(INDIRECT("'update Helper'!W"&amp;AT59)=0,"",INDIRECT("'update Helper'!W"&amp;AT59))=TRUE, "Yes","No"))</f>
        <v/>
      </c>
      <c r="BB59" s="516" t="str">
        <f t="shared" ref="BB59" ca="1" si="628">IF(AND(BS59="Continue",BU59="Continue"),"No Error",IF(AND(BS59&lt;&gt;"Continue",BU59="Continue"),BS59,IF(AND(BU59&lt;&gt;"Continue",BS59="Continue"),BU59,CONCATENATE(BS59,CHAR(10),BU59))))</f>
        <v>No Error</v>
      </c>
      <c r="BC59" s="520" t="str" cm="1">
        <f t="array" ref="BC59">IF(ISBLANK(C59),"Continue",(IF(IFERROR(_xlfn.XMATCH(C59,LEFT('Reference Records'!$C$86:$C$189,32768),0),0)&lt;&gt;0,"Continue","Invalid indicator entry. Select from dropdown list.")))</f>
        <v>Continue</v>
      </c>
      <c r="BD59" s="520" t="str">
        <f t="shared" ref="BD59" si="629">IF(SUM(BE59:BM60)=0, "Continue", "Enter valid number only.")</f>
        <v>Continue</v>
      </c>
      <c r="BE59" s="150">
        <f t="shared" si="0"/>
        <v>0</v>
      </c>
      <c r="BF59" s="150">
        <f t="shared" si="1"/>
        <v>0</v>
      </c>
      <c r="BG59" s="150">
        <f t="shared" si="2"/>
        <v>0</v>
      </c>
      <c r="BH59" s="150">
        <f t="shared" si="3"/>
        <v>0</v>
      </c>
      <c r="BI59" s="150">
        <f t="shared" si="4"/>
        <v>0</v>
      </c>
      <c r="BJ59" s="150">
        <f t="shared" si="5"/>
        <v>0</v>
      </c>
      <c r="BK59" s="150">
        <f t="shared" si="6"/>
        <v>0</v>
      </c>
      <c r="BL59" s="150">
        <f t="shared" si="7"/>
        <v>0</v>
      </c>
      <c r="BM59" s="150">
        <f t="shared" si="8"/>
        <v>0</v>
      </c>
      <c r="BN59" s="477" t="str">
        <f>IF(NOT(ISBLANK(C59)),IF(C59&lt;&gt;"",IF(_xlfn.XLOOKUP(C59,'Reference Records'!$C$86:$C$189,'Reference Records'!$A$86:$A$189,0,0,1)=AM59,"Continue","Select correct module name."),"Continue"),"Continue")</f>
        <v>Continue</v>
      </c>
      <c r="BO59" s="477" t="str">
        <f t="shared" ref="BO59" ca="1" si="630">IF(AND(BC59="Continue",CG59="Continue"),"Continue",IF(AND(BC59&lt;&gt;"Continue",CG59="Continue"),BC59,IF(AND(CG59&lt;&gt;"Continue",BC59="Continue"),CG59,CONCATENATE(BC59,CHAR(10),CG59))))</f>
        <v>Continue</v>
      </c>
      <c r="BP59" s="477" t="str">
        <f t="shared" ref="BP59" ca="1" si="631">IF(AND((AZ59&lt;&gt;""),(BA59&lt;&gt;"")),"Reversed custom indicator selection not applicable. Value pre-populated in standard indicator column.","Continue")</f>
        <v>Continue</v>
      </c>
      <c r="BQ59" s="477" t="str">
        <f t="shared" ref="BQ59" ca="1" si="632">IF(AND(BN59="Continue",BO59="Continue"),"Continue",
IF(AND(BN59&lt;&gt;"Continue",BO59="Continue"),BN59,
IF(AND(BO59&lt;&gt;"Continue",BN59="Continue"),BO59,
CONCATENATE(BN59,CHAR(10),BO59))))</f>
        <v>Continue</v>
      </c>
      <c r="BR59" s="520" t="str" cm="1">
        <f t="array" ref="BR59">IF(ISBLANK(B59),"Continue",(IF(IFERROR(_xlfn.XMATCH(B59,LEFT('Reference Records'!$J$191:$J$250,32768),0),0)&lt;&gt;0,"Continue","Invalid module entry. Select from dropdown list.")))</f>
        <v>Continue</v>
      </c>
      <c r="BS59" s="520" t="str">
        <f t="shared" ref="BS59" ca="1" si="633">IF(AND(BP59="Continue",BQ59="Continue"),"Continue",IF(AND(BP59&lt;&gt;"Continue",BQ59="Continue"),BP59,IF(AND(BQ59&lt;&gt;"Continue",BP59="Continue"),BQ59,CONCATENATE(BP59,CHAR(10),BQ59))))</f>
        <v>Continue</v>
      </c>
      <c r="BT59" s="520" t="str">
        <f t="shared" ref="BT59" si="634">IF(AND(C59="",D59=""),"Continue",IF(AND(C59="",D59&lt;&gt;""),"Continue",IF(AND(C59&lt;&gt;"",D59=""),"Continue",IF(AND(C59&lt;&gt;"",D59&lt;&gt;""),"Cannot enter both standard and custom indicators on the same line."))))</f>
        <v>Continue</v>
      </c>
      <c r="BU59" s="520" t="str">
        <f t="shared" ref="BU59" si="635">IF(AND(BR59="Continue",BT59="Continue"),"Continue",IF(AND(BR59&lt;&gt;"Continue",BT59="Continue"),BR59,IF(AND(BT59&lt;&gt;"Continue",BR59="Continue"),BT59,CONCATENATE(BR59,CHAR(10),BT59))))</f>
        <v>Continue</v>
      </c>
      <c r="BV59" s="560" t="str">
        <f>IFERROR(INDEX('Reference Records'!$L$86:$L$189,MATCH($C59,'Reference Records'!$C$86:$C$189,0)),"")</f>
        <v/>
      </c>
      <c r="BW59" s="560">
        <f t="shared" ref="BW59" ca="1" si="636">IF(NOT(ISBLANK(F59)),IF(F59&lt;&gt;"",(IF(NOT(ISNUMBER(F59)),1,0)),0),0)</f>
        <v>0</v>
      </c>
      <c r="BX59" s="560">
        <f t="shared" ref="BX59" ca="1" si="637">IF(NOT(ISBLANK(O59)),IF(O59&lt;&gt;"",(IF(NOT(ISNUMBER(O59)),1,0)),0),0)</f>
        <v>0</v>
      </c>
      <c r="BY59" s="560">
        <f t="shared" ref="BY59" ca="1" si="638">IF(NOT(ISBLANK(R59)),IF(R59&lt;&gt;"",(IF(NOT(ISNUMBER(R59)),1,0)),0),0)</f>
        <v>0</v>
      </c>
      <c r="BZ59" s="560">
        <f t="shared" ref="BZ59" ca="1" si="639">IF(NOT(ISBLANK(U59)),IF(U59&lt;&gt;"",(IF(NOT(ISNUMBER(U59)),1,0)),0),0)</f>
        <v>0</v>
      </c>
      <c r="CA59" s="560">
        <f t="shared" ref="CA59" ca="1" si="640">IF(NOT(ISBLANK(X59)),IF(X59&lt;&gt;"",(IF(NOT(ISNUMBER(X59)),1,0)),0),0)</f>
        <v>0</v>
      </c>
      <c r="CB59" s="560">
        <f t="shared" ref="CB59" ca="1" si="641">IF(NOT(ISBLANK(AA59)),IF(AA59&lt;&gt;"",(IF(NOT(ISNUMBER(AA59)),1,0)),0),0)</f>
        <v>0</v>
      </c>
      <c r="CC59" s="560">
        <f t="shared" ref="CC59" ca="1" si="642">IF(NOT(ISBLANK(AD59)),IF(AD59&lt;&gt;"",(IF(NOT(ISNUMBER(AD59)),1,0)),0),0)</f>
        <v>0</v>
      </c>
      <c r="CD59" s="560">
        <f t="shared" ref="CD59" ca="1" si="643">IF(NOT(ISBLANK(AG59)),IF(AG59&lt;&gt;"",(IF(NOT(ISNUMBER(AG59)),1,0)),0),0)</f>
        <v>0</v>
      </c>
      <c r="CE59" s="560">
        <f t="shared" ref="CE59" ca="1" si="644">IF(NOT(ISBLANK(AJ59)),IF(AJ59&lt;&gt;"",(IF(NOT(ISNUMBER(AJ59)),1,0)),0),0)</f>
        <v>0</v>
      </c>
      <c r="CF59" s="560" t="str">
        <f t="shared" ref="CF59" ca="1" si="645">IF(SUM(BW59:CE60)=0, "Continue", "Enter valid number only.")</f>
        <v>Continue</v>
      </c>
      <c r="CG59" s="560" t="str">
        <f t="shared" ref="CG59" ca="1" si="646">IF(AND(CF59="Continue",BD59="Continue"),"Continue",IF(AND(CF59&lt;&gt;"Continue",BD59="Continue"),CF59,IF(AND(BD59&lt;&gt;"Continue",CF59="Continue"),BD59,CONCATENATE(CF59,CHAR(10)))))</f>
        <v>Continue</v>
      </c>
    </row>
    <row r="60" spans="1:85" ht="30" customHeight="1" x14ac:dyDescent="0.25">
      <c r="A60" s="559"/>
      <c r="B60" s="530"/>
      <c r="C60" s="530"/>
      <c r="D60" s="530"/>
      <c r="E60" s="152"/>
      <c r="F60" s="544"/>
      <c r="G60" s="569"/>
      <c r="H60" s="530"/>
      <c r="I60" s="573"/>
      <c r="J60" s="569"/>
      <c r="K60" s="530"/>
      <c r="L60" s="157"/>
      <c r="M60" s="577"/>
      <c r="N60" s="152"/>
      <c r="O60" s="544"/>
      <c r="P60" s="569"/>
      <c r="Q60" s="154"/>
      <c r="R60" s="544"/>
      <c r="S60" s="569"/>
      <c r="T60" s="154"/>
      <c r="U60" s="544"/>
      <c r="V60" s="569"/>
      <c r="W60" s="154"/>
      <c r="X60" s="544"/>
      <c r="Y60" s="569"/>
      <c r="Z60" s="154"/>
      <c r="AA60" s="544"/>
      <c r="AB60" s="569"/>
      <c r="AC60" s="154"/>
      <c r="AD60" s="544"/>
      <c r="AE60" s="569"/>
      <c r="AF60" s="154"/>
      <c r="AG60" s="571"/>
      <c r="AH60" s="569"/>
      <c r="AI60" s="154"/>
      <c r="AJ60" s="571"/>
      <c r="AK60" s="598"/>
      <c r="AL60" s="530"/>
      <c r="AM60" s="480"/>
      <c r="AX60" s="156"/>
      <c r="AZ60" s="564"/>
      <c r="BA60" s="562"/>
      <c r="BB60" s="516"/>
      <c r="BC60" s="520"/>
      <c r="BD60" s="520"/>
      <c r="BE60" s="150">
        <f t="shared" si="0"/>
        <v>0</v>
      </c>
      <c r="BF60" s="150">
        <f t="shared" si="1"/>
        <v>0</v>
      </c>
      <c r="BG60" s="150">
        <f t="shared" si="2"/>
        <v>0</v>
      </c>
      <c r="BH60" s="150">
        <f t="shared" si="3"/>
        <v>0</v>
      </c>
      <c r="BI60" s="150">
        <f t="shared" si="4"/>
        <v>0</v>
      </c>
      <c r="BJ60" s="150">
        <f t="shared" si="5"/>
        <v>0</v>
      </c>
      <c r="BK60" s="150">
        <f t="shared" si="6"/>
        <v>0</v>
      </c>
      <c r="BL60" s="150">
        <f t="shared" si="7"/>
        <v>0</v>
      </c>
      <c r="BM60" s="150">
        <f t="shared" si="8"/>
        <v>0</v>
      </c>
      <c r="BN60" s="477"/>
      <c r="BO60" s="477"/>
      <c r="BP60" s="477"/>
      <c r="BQ60" s="477"/>
      <c r="BR60" s="520"/>
      <c r="BS60" s="520"/>
      <c r="BT60" s="520"/>
      <c r="BU60" s="520"/>
      <c r="BV60" s="560"/>
      <c r="BW60" s="560"/>
      <c r="BX60" s="560"/>
      <c r="BY60" s="560"/>
      <c r="BZ60" s="560"/>
      <c r="CA60" s="560"/>
      <c r="CB60" s="560"/>
      <c r="CC60" s="560"/>
      <c r="CD60" s="560"/>
      <c r="CE60" s="560"/>
      <c r="CF60" s="560"/>
      <c r="CG60" s="560"/>
    </row>
    <row r="61" spans="1:85" ht="30" customHeight="1" x14ac:dyDescent="0.25">
      <c r="A61" s="558">
        <v>27</v>
      </c>
      <c r="B61" s="521"/>
      <c r="C61" s="521"/>
      <c r="D61" s="521"/>
      <c r="E61" s="144"/>
      <c r="F61" s="523" t="str">
        <f ca="1">IF(OR(INDIRECT("'update Helper'!D"&amp;AT61)="",E61&lt;&gt;0,E62&lt;&gt;0),IF(IFERROR((E61/E62),"")="","",(E61/E62)),INDIRECT("'update Helper'!D"&amp;AT61)/100)</f>
        <v/>
      </c>
      <c r="G61" s="565"/>
      <c r="H61" s="521"/>
      <c r="I61" s="572" t="str">
        <f>AN61</f>
        <v/>
      </c>
      <c r="J61" s="565"/>
      <c r="K61" s="521"/>
      <c r="L61" s="145"/>
      <c r="M61" s="574"/>
      <c r="N61" s="144"/>
      <c r="O61" s="523" t="str">
        <f ca="1">IF(OR(INDIRECT("'update Helper'!I"&amp;AU61)="",N61&lt;&gt;0,N62&lt;&gt;0),IF(IFERROR((N61/N62),"")="","",(N61/N62)),INDIRECT("'update Helper'!I"&amp;AU61)/100)</f>
        <v/>
      </c>
      <c r="P61" s="565"/>
      <c r="Q61" s="146"/>
      <c r="R61" s="523" t="str">
        <f ca="1">IF(OR(INDIRECT("'update Helper'!I"&amp;AU61+1)="",Q61&lt;&gt;0,Q62&lt;&gt;0),IF(IFERROR((Q61/Q62),"")="","",(Q61/Q62)),INDIRECT("'update Helper'!I"&amp;AU61+1)/100)</f>
        <v/>
      </c>
      <c r="S61" s="565"/>
      <c r="T61" s="146"/>
      <c r="U61" s="523" t="str">
        <f ca="1">IF(OR(INDIRECT("'update Helper'!I"&amp;AU61+2)="",T61&lt;&gt;0,T62&lt;&gt;0),IF(IFERROR((T61/T62),"")="","",(T61/T62)),INDIRECT("'update Helper'!I"&amp;AU61+2)/100)</f>
        <v/>
      </c>
      <c r="V61" s="565"/>
      <c r="W61" s="146"/>
      <c r="X61" s="523" t="str">
        <f ca="1">IF(OR(INDIRECT("'update Helper'!I"&amp;AU61+3)="",W61&lt;&gt;0,W62&lt;&gt;0),IF(IFERROR((W61/W62),"")="","",(W61/W62)),INDIRECT("'update Helper'!I"&amp;AU61+3)/100)</f>
        <v/>
      </c>
      <c r="Y61" s="565"/>
      <c r="Z61" s="146"/>
      <c r="AA61" s="523" t="str">
        <f ca="1">IF(OR(INDIRECT("'update Helper'!I"&amp;AU61+4)="",Z61&lt;&gt;0,Z62&lt;&gt;0),IF(IFERROR((Z61/Z62),"")="","",(Z61/Z62)),INDIRECT("'update Helper'!I"&amp;AU61+4)/100)</f>
        <v/>
      </c>
      <c r="AB61" s="565"/>
      <c r="AC61" s="146"/>
      <c r="AD61" s="523" t="str">
        <f ca="1">IF(OR(INDIRECT("'update Helper'!I"&amp;AU61+5)="",AC61&lt;&gt;0,AC62&lt;&gt;0),IF(IFERROR((AC61/AC62),"")="","",(AC61/AC62)),INDIRECT("'update Helper'!I"&amp;AU61+5)/100)</f>
        <v/>
      </c>
      <c r="AE61" s="565"/>
      <c r="AF61" s="146"/>
      <c r="AG61" s="523" t="str">
        <f t="shared" ref="AG61" ca="1" si="647">IF(OR(INDIRECT("'update Helper'!I"&amp;AU61+6)="",AF61&lt;&gt;0,AF62&lt;&gt;0),IF(IFERROR((AF61/AF62),"")="","",(AF61/AF62)),INDIRECT("'update Helper'!I"&amp;AU61+6)/100)</f>
        <v/>
      </c>
      <c r="AH61" s="565"/>
      <c r="AI61" s="146"/>
      <c r="AJ61" s="523" t="str">
        <f t="shared" ref="AJ61" ca="1" si="648">IF(OR(INDIRECT("'update Helper'!I"&amp;AU61+7)="",AI61&lt;&gt;0,AI62&lt;&gt;0),IF(IFERROR((AI61/AI62),"")="","",(AI61/AI62)),INDIRECT("'update Helper'!I"&amp;AU61+7)/100)</f>
        <v/>
      </c>
      <c r="AK61" s="565"/>
      <c r="AL61" s="521"/>
      <c r="AM61" s="567" t="str">
        <f>IFERROR(IF(VLOOKUP(B61,'Reference Records'!$C$192:$D$250,2,FALSE)=0,"",VLOOKUP(B61,'Reference Records'!$C$192:$D$250,2,FALSE)),"")</f>
        <v/>
      </c>
      <c r="AN61" s="147" t="str">
        <f t="array" ref="AN61">IFERROR(IF(INDEX('Reference Records'!$D$87:$D$189,MATCH(LEFT(C61,255),LEFT('Reference Records'!$C$87:$C$189,255),0))=0,"",INDEX('Reference Records'!$D$87:$D$189,MATCH(LEFT(C61,255),LEFT('Reference Records'!$C$87:$C$189,255),0))),"")</f>
        <v/>
      </c>
      <c r="AO61" s="147" t="str">
        <f>CONCATENATE(C61,D61)</f>
        <v/>
      </c>
      <c r="AP61" s="148" t="str">
        <f t="array" ref="AP61">VLOOKUP(LEFT(C61,255),LEFT('Reference Records'!C$86:G510,255),4,0)</f>
        <v/>
      </c>
      <c r="AQ61" s="148" t="e">
        <f>MATCH(AP61,'Reference Records'!$F$512:$F$514,0)+ROW(PopulationByCoverage)-1</f>
        <v>#N/A</v>
      </c>
      <c r="AR61" s="148" t="e">
        <f>MATCH(AP61,'Reference Records'!$F$512:$F$514,1)+ROW(PopulationByCoverage)-1</f>
        <v>#N/A</v>
      </c>
      <c r="AS61" s="147" t="str">
        <f>C61&amp;D61</f>
        <v/>
      </c>
      <c r="AT61" s="147">
        <f t="shared" si="348"/>
        <v>480</v>
      </c>
      <c r="AU61" s="147">
        <f>AU59+'update Helper'!$T$2</f>
        <v>676</v>
      </c>
      <c r="AV61" s="147" t="str">
        <f t="shared" ref="AV61" si="649">CLEAN(IFERROR(LEFT(AY61, SEARCH(";",AY61,1)-1),""))</f>
        <v/>
      </c>
      <c r="AW61" s="147" t="str">
        <f t="shared" ref="AW61" si="650">SUBSTITUTE(IFERROR(MID(AY61, SEARCH(";",AY61) + 1, SEARCH(";",AY61,SEARCH(";",AY61)+1) - SEARCH(";",AY61) - 1),""),CHAR(10),"")</f>
        <v/>
      </c>
      <c r="AX61" s="149" t="str">
        <f t="shared" ref="AX61" si="651">CLEAN(IFERROR(SUBSTITUTE(RIGHT(AY61,LEN(AY61) - SEARCH(";", AY61, SEARCH(";",AY61) + 1)),";",""),""))</f>
        <v/>
      </c>
      <c r="AY61" s="147" t="str">
        <f t="array" ref="AY61">IFERROR(IF(VLOOKUP(LEFT(C61,255),LEFT('Reference Records'!$C$1:$K$539,255),9,0)=0,"",CONCATENATE(VLOOKUP(LEFT(C61,255),LEFT('Reference Records'!$C$1:$K$539,255),9,0),";")),"")</f>
        <v>;</v>
      </c>
      <c r="AZ61" s="563" t="str">
        <f>IF($BV61="", "", IF($BV61=TRUE, "Yes", "No"))</f>
        <v/>
      </c>
      <c r="BA61" s="561" t="str">
        <f t="shared" ref="BA61" ca="1" si="652">IF($D61="", "",IF(IF(INDIRECT("'update Helper'!W"&amp;AT61)=0,"",INDIRECT("'update Helper'!W"&amp;AT61))=TRUE, "Yes","No"))</f>
        <v/>
      </c>
      <c r="BB61" s="516" t="str">
        <f t="shared" ref="BB61" ca="1" si="653">IF(AND(BS61="Continue",BU61="Continue"),"No Error",IF(AND(BS61&lt;&gt;"Continue",BU61="Continue"),BS61,IF(AND(BU61&lt;&gt;"Continue",BS61="Continue"),BU61,CONCATENATE(BS61,CHAR(10),BU61))))</f>
        <v>No Error</v>
      </c>
      <c r="BC61" s="520" t="str" cm="1">
        <f t="array" ref="BC61">IF(ISBLANK(C61),"Continue",(IF(IFERROR(_xlfn.XMATCH(C61,LEFT('Reference Records'!$C$86:$C$189,32768),0),0)&lt;&gt;0,"Continue","Invalid indicator entry. Select from dropdown list.")))</f>
        <v>Continue</v>
      </c>
      <c r="BD61" s="520" t="str">
        <f t="shared" ref="BD61" si="654">IF(SUM(BE61:BM62)=0, "Continue", "Enter valid number only.")</f>
        <v>Continue</v>
      </c>
      <c r="BE61" s="150">
        <f t="shared" si="0"/>
        <v>0</v>
      </c>
      <c r="BF61" s="150">
        <f t="shared" si="1"/>
        <v>0</v>
      </c>
      <c r="BG61" s="150">
        <f t="shared" si="2"/>
        <v>0</v>
      </c>
      <c r="BH61" s="150">
        <f t="shared" si="3"/>
        <v>0</v>
      </c>
      <c r="BI61" s="150">
        <f t="shared" si="4"/>
        <v>0</v>
      </c>
      <c r="BJ61" s="150">
        <f t="shared" si="5"/>
        <v>0</v>
      </c>
      <c r="BK61" s="150">
        <f t="shared" si="6"/>
        <v>0</v>
      </c>
      <c r="BL61" s="150">
        <f t="shared" si="7"/>
        <v>0</v>
      </c>
      <c r="BM61" s="150">
        <f t="shared" si="8"/>
        <v>0</v>
      </c>
      <c r="BN61" s="477" t="str">
        <f>IF(NOT(ISBLANK(C61)),IF(C61&lt;&gt;"",IF(_xlfn.XLOOKUP(C61,'Reference Records'!$C$86:$C$189,'Reference Records'!$A$86:$A$189,0,0,1)=AM61,"Continue","Select correct module name."),"Continue"),"Continue")</f>
        <v>Continue</v>
      </c>
      <c r="BO61" s="477" t="str">
        <f t="shared" ref="BO61" ca="1" si="655">IF(AND(BC61="Continue",CG61="Continue"),"Continue",IF(AND(BC61&lt;&gt;"Continue",CG61="Continue"),BC61,IF(AND(CG61&lt;&gt;"Continue",BC61="Continue"),CG61,CONCATENATE(BC61,CHAR(10),CG61))))</f>
        <v>Continue</v>
      </c>
      <c r="BP61" s="477" t="str">
        <f t="shared" ref="BP61" ca="1" si="656">IF(AND((AZ61&lt;&gt;""),(BA61&lt;&gt;"")),"Reversed custom indicator selection not applicable. Value pre-populated in standard indicator column.","Continue")</f>
        <v>Continue</v>
      </c>
      <c r="BQ61" s="477" t="str">
        <f t="shared" ref="BQ61" ca="1" si="657">IF(AND(BN61="Continue",BO61="Continue"),"Continue",
IF(AND(BN61&lt;&gt;"Continue",BO61="Continue"),BN61,
IF(AND(BO61&lt;&gt;"Continue",BN61="Continue"),BO61,
CONCATENATE(BN61,CHAR(10),BO61))))</f>
        <v>Continue</v>
      </c>
      <c r="BR61" s="520" t="str" cm="1">
        <f t="array" ref="BR61">IF(ISBLANK(B61),"Continue",(IF(IFERROR(_xlfn.XMATCH(B61,LEFT('Reference Records'!$J$191:$J$250,32768),0),0)&lt;&gt;0,"Continue","Invalid module entry. Select from dropdown list.")))</f>
        <v>Continue</v>
      </c>
      <c r="BS61" s="520" t="str">
        <f t="shared" ref="BS61" ca="1" si="658">IF(AND(BP61="Continue",BQ61="Continue"),"Continue",IF(AND(BP61&lt;&gt;"Continue",BQ61="Continue"),BP61,IF(AND(BQ61&lt;&gt;"Continue",BP61="Continue"),BQ61,CONCATENATE(BP61,CHAR(10),BQ61))))</f>
        <v>Continue</v>
      </c>
      <c r="BT61" s="520" t="str">
        <f t="shared" ref="BT61" si="659">IF(AND(C61="",D61=""),"Continue",IF(AND(C61="",D61&lt;&gt;""),"Continue",IF(AND(C61&lt;&gt;"",D61=""),"Continue",IF(AND(C61&lt;&gt;"",D61&lt;&gt;""),"Cannot enter both standard and custom indicators on the same line."))))</f>
        <v>Continue</v>
      </c>
      <c r="BU61" s="520" t="str">
        <f t="shared" ref="BU61" si="660">IF(AND(BR61="Continue",BT61="Continue"),"Continue",IF(AND(BR61&lt;&gt;"Continue",BT61="Continue"),BR61,IF(AND(BT61&lt;&gt;"Continue",BR61="Continue"),BT61,CONCATENATE(BR61,CHAR(10),BT61))))</f>
        <v>Continue</v>
      </c>
      <c r="BV61" s="560" t="str">
        <f>IFERROR(INDEX('Reference Records'!$L$86:$L$189,MATCH($C61,'Reference Records'!$C$86:$C$189,0)),"")</f>
        <v/>
      </c>
      <c r="BW61" s="560">
        <f t="shared" ref="BW61" ca="1" si="661">IF(NOT(ISBLANK(F61)),IF(F61&lt;&gt;"",(IF(NOT(ISNUMBER(F61)),1,0)),0),0)</f>
        <v>0</v>
      </c>
      <c r="BX61" s="560">
        <f t="shared" ref="BX61" ca="1" si="662">IF(NOT(ISBLANK(O61)),IF(O61&lt;&gt;"",(IF(NOT(ISNUMBER(O61)),1,0)),0),0)</f>
        <v>0</v>
      </c>
      <c r="BY61" s="560">
        <f t="shared" ref="BY61" ca="1" si="663">IF(NOT(ISBLANK(R61)),IF(R61&lt;&gt;"",(IF(NOT(ISNUMBER(R61)),1,0)),0),0)</f>
        <v>0</v>
      </c>
      <c r="BZ61" s="560">
        <f t="shared" ref="BZ61" ca="1" si="664">IF(NOT(ISBLANK(U61)),IF(U61&lt;&gt;"",(IF(NOT(ISNUMBER(U61)),1,0)),0),0)</f>
        <v>0</v>
      </c>
      <c r="CA61" s="560">
        <f t="shared" ref="CA61" ca="1" si="665">IF(NOT(ISBLANK(X61)),IF(X61&lt;&gt;"",(IF(NOT(ISNUMBER(X61)),1,0)),0),0)</f>
        <v>0</v>
      </c>
      <c r="CB61" s="560">
        <f t="shared" ref="CB61" ca="1" si="666">IF(NOT(ISBLANK(AA61)),IF(AA61&lt;&gt;"",(IF(NOT(ISNUMBER(AA61)),1,0)),0),0)</f>
        <v>0</v>
      </c>
      <c r="CC61" s="560">
        <f t="shared" ref="CC61" ca="1" si="667">IF(NOT(ISBLANK(AD61)),IF(AD61&lt;&gt;"",(IF(NOT(ISNUMBER(AD61)),1,0)),0),0)</f>
        <v>0</v>
      </c>
      <c r="CD61" s="560">
        <f t="shared" ref="CD61" ca="1" si="668">IF(NOT(ISBLANK(AG61)),IF(AG61&lt;&gt;"",(IF(NOT(ISNUMBER(AG61)),1,0)),0),0)</f>
        <v>0</v>
      </c>
      <c r="CE61" s="560">
        <f t="shared" ref="CE61" ca="1" si="669">IF(NOT(ISBLANK(AJ61)),IF(AJ61&lt;&gt;"",(IF(NOT(ISNUMBER(AJ61)),1,0)),0),0)</f>
        <v>0</v>
      </c>
      <c r="CF61" s="560" t="str">
        <f t="shared" ref="CF61" ca="1" si="670">IF(SUM(BW61:CE62)=0, "Continue", "Enter valid number only.")</f>
        <v>Continue</v>
      </c>
      <c r="CG61" s="560" t="str">
        <f t="shared" ref="CG61" ca="1" si="671">IF(AND(CF61="Continue",BD61="Continue"),"Continue",IF(AND(CF61&lt;&gt;"Continue",BD61="Continue"),CF61,IF(AND(BD61&lt;&gt;"Continue",CF61="Continue"),BD61,CONCATENATE(CF61,CHAR(10)))))</f>
        <v>Continue</v>
      </c>
    </row>
    <row r="62" spans="1:85" ht="30" customHeight="1" x14ac:dyDescent="0.25">
      <c r="A62" s="559"/>
      <c r="B62" s="522"/>
      <c r="C62" s="522"/>
      <c r="D62" s="522"/>
      <c r="E62" s="144"/>
      <c r="F62" s="524"/>
      <c r="G62" s="566"/>
      <c r="H62" s="522"/>
      <c r="I62" s="573"/>
      <c r="J62" s="566"/>
      <c r="K62" s="522"/>
      <c r="L62" s="151"/>
      <c r="M62" s="575"/>
      <c r="N62" s="144"/>
      <c r="O62" s="524"/>
      <c r="P62" s="566"/>
      <c r="Q62" s="146"/>
      <c r="R62" s="524"/>
      <c r="S62" s="566"/>
      <c r="T62" s="146"/>
      <c r="U62" s="524"/>
      <c r="V62" s="566"/>
      <c r="W62" s="146"/>
      <c r="X62" s="524"/>
      <c r="Y62" s="566"/>
      <c r="Z62" s="146"/>
      <c r="AA62" s="524"/>
      <c r="AB62" s="566"/>
      <c r="AC62" s="146"/>
      <c r="AD62" s="524"/>
      <c r="AE62" s="566"/>
      <c r="AF62" s="146"/>
      <c r="AG62" s="524"/>
      <c r="AH62" s="566"/>
      <c r="AI62" s="146"/>
      <c r="AJ62" s="524"/>
      <c r="AK62" s="566"/>
      <c r="AL62" s="522"/>
      <c r="AM62" s="567"/>
      <c r="AN62" s="147"/>
      <c r="AO62" s="147"/>
      <c r="AP62" s="147"/>
      <c r="AQ62" s="147"/>
      <c r="AR62" s="147"/>
      <c r="AS62" s="147"/>
      <c r="AT62" s="147"/>
      <c r="AU62" s="147"/>
      <c r="AV62" s="147"/>
      <c r="AW62" s="147"/>
      <c r="AX62" s="149"/>
      <c r="AY62" s="147"/>
      <c r="AZ62" s="563"/>
      <c r="BA62" s="561"/>
      <c r="BB62" s="516"/>
      <c r="BC62" s="520"/>
      <c r="BD62" s="520"/>
      <c r="BE62" s="150">
        <f t="shared" si="0"/>
        <v>0</v>
      </c>
      <c r="BF62" s="150">
        <f t="shared" si="1"/>
        <v>0</v>
      </c>
      <c r="BG62" s="150">
        <f t="shared" si="2"/>
        <v>0</v>
      </c>
      <c r="BH62" s="150">
        <f t="shared" si="3"/>
        <v>0</v>
      </c>
      <c r="BI62" s="150">
        <f t="shared" si="4"/>
        <v>0</v>
      </c>
      <c r="BJ62" s="150">
        <f t="shared" si="5"/>
        <v>0</v>
      </c>
      <c r="BK62" s="150">
        <f t="shared" si="6"/>
        <v>0</v>
      </c>
      <c r="BL62" s="150">
        <f t="shared" si="7"/>
        <v>0</v>
      </c>
      <c r="BM62" s="150">
        <f t="shared" si="8"/>
        <v>0</v>
      </c>
      <c r="BN62" s="477"/>
      <c r="BO62" s="477"/>
      <c r="BP62" s="477"/>
      <c r="BQ62" s="477"/>
      <c r="BR62" s="520"/>
      <c r="BS62" s="520"/>
      <c r="BT62" s="520"/>
      <c r="BU62" s="520"/>
      <c r="BV62" s="560"/>
      <c r="BW62" s="560"/>
      <c r="BX62" s="560"/>
      <c r="BY62" s="560"/>
      <c r="BZ62" s="560"/>
      <c r="CA62" s="560"/>
      <c r="CB62" s="560"/>
      <c r="CC62" s="560"/>
      <c r="CD62" s="560"/>
      <c r="CE62" s="560"/>
      <c r="CF62" s="560"/>
      <c r="CG62" s="560"/>
    </row>
    <row r="63" spans="1:85" ht="30" customHeight="1" x14ac:dyDescent="0.25">
      <c r="A63" s="558">
        <v>28</v>
      </c>
      <c r="B63" s="529"/>
      <c r="C63" s="529"/>
      <c r="D63" s="529"/>
      <c r="E63" s="152"/>
      <c r="F63" s="543" t="str">
        <f ca="1">IF(OR(INDIRECT("'update Helper'!D"&amp;AT63)="",E63&lt;&gt;0,E64&lt;&gt;0),IF(IFERROR((E63/E64),"")="","",(E63/E64)),INDIRECT("'update Helper'!D"&amp;AT63)/100)</f>
        <v/>
      </c>
      <c r="G63" s="568"/>
      <c r="H63" s="529"/>
      <c r="I63" s="572" t="str">
        <f>AN63</f>
        <v/>
      </c>
      <c r="J63" s="568"/>
      <c r="K63" s="529"/>
      <c r="L63" s="153"/>
      <c r="M63" s="576"/>
      <c r="N63" s="152"/>
      <c r="O63" s="543" t="str">
        <f ca="1">IF(OR(INDIRECT("'update Helper'!I"&amp;AU63)="",N63&lt;&gt;0,N64&lt;&gt;0),IF(IFERROR((N63/N64),"")="","",(N63/N64)),INDIRECT("'update Helper'!I"&amp;AU63)/100)</f>
        <v/>
      </c>
      <c r="P63" s="568"/>
      <c r="Q63" s="154"/>
      <c r="R63" s="543" t="str">
        <f ca="1">IF(OR(INDIRECT("'update Helper'!I"&amp;AU63+1)="",Q63&lt;&gt;0,Q64&lt;&gt;0),IF(IFERROR((Q63/Q64),"")="","",(Q63/Q64)),INDIRECT("'update Helper'!I"&amp;AU63+1)/100)</f>
        <v/>
      </c>
      <c r="S63" s="568"/>
      <c r="T63" s="154"/>
      <c r="U63" s="543" t="str">
        <f ca="1">IF(OR(INDIRECT("'update Helper'!I"&amp;AU63+2)="",T63&lt;&gt;0,T64&lt;&gt;0),IF(IFERROR((T63/T64),"")="","",(T63/T64)),INDIRECT("'update Helper'!I"&amp;AU63+2)/100)</f>
        <v/>
      </c>
      <c r="V63" s="568"/>
      <c r="W63" s="154"/>
      <c r="X63" s="543" t="str">
        <f ca="1">IF(OR(INDIRECT("'update Helper'!I"&amp;AU63+3)="",W63&lt;&gt;0,W64&lt;&gt;0),IF(IFERROR((W63/W64),"")="","",(W63/W64)),INDIRECT("'update Helper'!I"&amp;AU63+3)/100)</f>
        <v/>
      </c>
      <c r="Y63" s="568"/>
      <c r="Z63" s="154"/>
      <c r="AA63" s="543" t="str">
        <f ca="1">IF(OR(INDIRECT("'update Helper'!I"&amp;AU63+4)="",Z63&lt;&gt;0,Z64&lt;&gt;0),IF(IFERROR((Z63/Z64),"")="","",(Z63/Z64)),INDIRECT("'update Helper'!I"&amp;AU63+4)/100)</f>
        <v/>
      </c>
      <c r="AB63" s="568"/>
      <c r="AC63" s="154"/>
      <c r="AD63" s="543" t="str">
        <f ca="1">IF(OR(INDIRECT("'update Helper'!I"&amp;AU63+5)="",AC63&lt;&gt;0,AC64&lt;&gt;0),IF(IFERROR((AC63/AC64),"")="","",(AC63/AC64)),INDIRECT("'update Helper'!I"&amp;AU63+5)/100)</f>
        <v/>
      </c>
      <c r="AE63" s="568"/>
      <c r="AF63" s="154"/>
      <c r="AG63" s="570" t="str">
        <f t="shared" ref="AG63" ca="1" si="672">IF(OR(INDIRECT("'update Helper'!I"&amp;AU63+6)="",AF63&lt;&gt;0,AF64&lt;&gt;0),IF(IFERROR((AF63/AF64),"")="","",(AF63/AF64)),INDIRECT("'update Helper'!I"&amp;AU63+6)/100)</f>
        <v/>
      </c>
      <c r="AH63" s="568"/>
      <c r="AI63" s="154"/>
      <c r="AJ63" s="570" t="str">
        <f t="shared" ref="AJ63" ca="1" si="673">IF(OR(INDIRECT("'update Helper'!I"&amp;AU63+7)="",AI63&lt;&gt;0,AI64&lt;&gt;0),IF(IFERROR((AI63/AI64),"")="","",(AI63/AI64)),INDIRECT("'update Helper'!I"&amp;AU63+7)/100)</f>
        <v/>
      </c>
      <c r="AK63" s="568"/>
      <c r="AL63" s="529"/>
      <c r="AM63" s="480" t="str">
        <f>IFERROR(IF(VLOOKUP(B63,'Reference Records'!$C$192:$D$250,2,FALSE)=0,"",VLOOKUP(B63,'Reference Records'!$C$192:$D$250,2,FALSE)),"")</f>
        <v/>
      </c>
      <c r="AN63" s="52" t="str">
        <f t="array" ref="AN63">IFERROR(IF(INDEX('Reference Records'!$D$87:$D$189,MATCH(LEFT(C63,255),LEFT('Reference Records'!$C$87:$C$189,255),0))=0,"",INDEX('Reference Records'!$D$87:$D$189,MATCH(LEFT(C63,255),LEFT('Reference Records'!$C$87:$C$189,255),0))),"")</f>
        <v/>
      </c>
      <c r="AO63" s="52" t="str">
        <f>CONCATENATE(C63,D63)</f>
        <v/>
      </c>
      <c r="AP63" s="155" t="str">
        <f t="array" ref="AP63">VLOOKUP(LEFT(C63,255),LEFT('Reference Records'!C$86:G512,255),4,0)</f>
        <v/>
      </c>
      <c r="AQ63" s="155" t="e">
        <f>MATCH(AP63,'Reference Records'!$F$512:$F$514,0)+ROW(PopulationByCoverage)-1</f>
        <v>#N/A</v>
      </c>
      <c r="AR63" s="155" t="e">
        <f>MATCH(AP63,'Reference Records'!$F$512:$F$514,1)+ROW(PopulationByCoverage)-1</f>
        <v>#N/A</v>
      </c>
      <c r="AS63" s="52" t="str">
        <f>C63&amp;D63</f>
        <v/>
      </c>
      <c r="AT63" s="52">
        <f t="shared" si="348"/>
        <v>481</v>
      </c>
      <c r="AU63" s="52">
        <f>AU61+'update Helper'!$T$2</f>
        <v>682</v>
      </c>
      <c r="AV63" s="52" t="str">
        <f t="shared" ref="AV63" si="674">CLEAN(IFERROR(LEFT(AY63, SEARCH(";",AY63,1)-1),""))</f>
        <v/>
      </c>
      <c r="AW63" s="52" t="str">
        <f t="shared" ref="AW63" si="675">SUBSTITUTE(IFERROR(MID(AY63, SEARCH(";",AY63) + 1, SEARCH(";",AY63,SEARCH(";",AY63)+1) - SEARCH(";",AY63) - 1),""),CHAR(10),"")</f>
        <v/>
      </c>
      <c r="AX63" s="156" t="str">
        <f t="shared" ref="AX63" si="676">CLEAN(IFERROR(SUBSTITUTE(RIGHT(AY63,LEN(AY63) - SEARCH(";", AY63, SEARCH(";",AY63) + 1)),";",""),""))</f>
        <v/>
      </c>
      <c r="AY63" s="52" t="str">
        <f t="array" ref="AY63">IFERROR(IF(VLOOKUP(LEFT(C63,255),LEFT('Reference Records'!$C$1:$K$539,255),9,0)=0,"",CONCATENATE(VLOOKUP(LEFT(C63,255),LEFT('Reference Records'!$C$1:$K$539,255),9,0),";")),"")</f>
        <v>;</v>
      </c>
      <c r="AZ63" s="564" t="str">
        <f>IF($BV63="", "", IF($BV63=TRUE, "Yes", "No"))</f>
        <v/>
      </c>
      <c r="BA63" s="562" t="str">
        <f t="shared" ref="BA63" ca="1" si="677">IF($D63="", "",IF(IF(INDIRECT("'update Helper'!W"&amp;AT63)=0,"",INDIRECT("'update Helper'!W"&amp;AT63))=TRUE, "Yes","No"))</f>
        <v/>
      </c>
      <c r="BB63" s="516" t="str">
        <f t="shared" ref="BB63" ca="1" si="678">IF(AND(BS63="Continue",BU63="Continue"),"No Error",IF(AND(BS63&lt;&gt;"Continue",BU63="Continue"),BS63,IF(AND(BU63&lt;&gt;"Continue",BS63="Continue"),BU63,CONCATENATE(BS63,CHAR(10),BU63))))</f>
        <v>No Error</v>
      </c>
      <c r="BC63" s="520" t="str" cm="1">
        <f t="array" ref="BC63">IF(ISBLANK(C63),"Continue",(IF(IFERROR(_xlfn.XMATCH(C63,LEFT('Reference Records'!$C$86:$C$189,32768),0),0)&lt;&gt;0,"Continue","Invalid indicator entry. Select from dropdown list.")))</f>
        <v>Continue</v>
      </c>
      <c r="BD63" s="520" t="str">
        <f t="shared" ref="BD63" si="679">IF(SUM(BE63:BM64)=0, "Continue", "Enter valid number only.")</f>
        <v>Continue</v>
      </c>
      <c r="BE63" s="150">
        <f t="shared" si="0"/>
        <v>0</v>
      </c>
      <c r="BF63" s="150">
        <f t="shared" si="1"/>
        <v>0</v>
      </c>
      <c r="BG63" s="150">
        <f t="shared" si="2"/>
        <v>0</v>
      </c>
      <c r="BH63" s="150">
        <f t="shared" si="3"/>
        <v>0</v>
      </c>
      <c r="BI63" s="150">
        <f t="shared" si="4"/>
        <v>0</v>
      </c>
      <c r="BJ63" s="150">
        <f t="shared" si="5"/>
        <v>0</v>
      </c>
      <c r="BK63" s="150">
        <f t="shared" si="6"/>
        <v>0</v>
      </c>
      <c r="BL63" s="150">
        <f t="shared" si="7"/>
        <v>0</v>
      </c>
      <c r="BM63" s="150">
        <f t="shared" si="8"/>
        <v>0</v>
      </c>
      <c r="BN63" s="477" t="str">
        <f>IF(NOT(ISBLANK(C63)),IF(C63&lt;&gt;"",IF(_xlfn.XLOOKUP(C63,'Reference Records'!$C$86:$C$189,'Reference Records'!$A$86:$A$189,0,0,1)=AM63,"Continue","Select correct module name."),"Continue"),"Continue")</f>
        <v>Continue</v>
      </c>
      <c r="BO63" s="477" t="str">
        <f t="shared" ref="BO63" ca="1" si="680">IF(AND(BC63="Continue",CG63="Continue"),"Continue",IF(AND(BC63&lt;&gt;"Continue",CG63="Continue"),BC63,IF(AND(CG63&lt;&gt;"Continue",BC63="Continue"),CG63,CONCATENATE(BC63,CHAR(10),CG63))))</f>
        <v>Continue</v>
      </c>
      <c r="BP63" s="477" t="str">
        <f t="shared" ref="BP63" ca="1" si="681">IF(AND((AZ63&lt;&gt;""),(BA63&lt;&gt;"")),"Reversed custom indicator selection not applicable. Value pre-populated in standard indicator column.","Continue")</f>
        <v>Continue</v>
      </c>
      <c r="BQ63" s="477" t="str">
        <f t="shared" ref="BQ63" ca="1" si="682">IF(AND(BN63="Continue",BO63="Continue"),"Continue",
IF(AND(BN63&lt;&gt;"Continue",BO63="Continue"),BN63,
IF(AND(BO63&lt;&gt;"Continue",BN63="Continue"),BO63,
CONCATENATE(BN63,CHAR(10),BO63))))</f>
        <v>Continue</v>
      </c>
      <c r="BR63" s="520" t="str" cm="1">
        <f t="array" ref="BR63">IF(ISBLANK(B63),"Continue",(IF(IFERROR(_xlfn.XMATCH(B63,LEFT('Reference Records'!$J$191:$J$250,32768),0),0)&lt;&gt;0,"Continue","Invalid module entry. Select from dropdown list.")))</f>
        <v>Continue</v>
      </c>
      <c r="BS63" s="520" t="str">
        <f t="shared" ref="BS63" ca="1" si="683">IF(AND(BP63="Continue",BQ63="Continue"),"Continue",IF(AND(BP63&lt;&gt;"Continue",BQ63="Continue"),BP63,IF(AND(BQ63&lt;&gt;"Continue",BP63="Continue"),BQ63,CONCATENATE(BP63,CHAR(10),BQ63))))</f>
        <v>Continue</v>
      </c>
      <c r="BT63" s="520" t="str">
        <f t="shared" ref="BT63" si="684">IF(AND(C63="",D63=""),"Continue",IF(AND(C63="",D63&lt;&gt;""),"Continue",IF(AND(C63&lt;&gt;"",D63=""),"Continue",IF(AND(C63&lt;&gt;"",D63&lt;&gt;""),"Cannot enter both standard and custom indicators on the same line."))))</f>
        <v>Continue</v>
      </c>
      <c r="BU63" s="520" t="str">
        <f t="shared" ref="BU63" si="685">IF(AND(BR63="Continue",BT63="Continue"),"Continue",IF(AND(BR63&lt;&gt;"Continue",BT63="Continue"),BR63,IF(AND(BT63&lt;&gt;"Continue",BR63="Continue"),BT63,CONCATENATE(BR63,CHAR(10),BT63))))</f>
        <v>Continue</v>
      </c>
      <c r="BV63" s="560" t="str">
        <f>IFERROR(INDEX('Reference Records'!$L$86:$L$189,MATCH($C63,'Reference Records'!$C$86:$C$189,0)),"")</f>
        <v/>
      </c>
      <c r="BW63" s="560">
        <f t="shared" ref="BW63" ca="1" si="686">IF(NOT(ISBLANK(F63)),IF(F63&lt;&gt;"",(IF(NOT(ISNUMBER(F63)),1,0)),0),0)</f>
        <v>0</v>
      </c>
      <c r="BX63" s="560">
        <f t="shared" ref="BX63" ca="1" si="687">IF(NOT(ISBLANK(O63)),IF(O63&lt;&gt;"",(IF(NOT(ISNUMBER(O63)),1,0)),0),0)</f>
        <v>0</v>
      </c>
      <c r="BY63" s="560">
        <f t="shared" ref="BY63" ca="1" si="688">IF(NOT(ISBLANK(R63)),IF(R63&lt;&gt;"",(IF(NOT(ISNUMBER(R63)),1,0)),0),0)</f>
        <v>0</v>
      </c>
      <c r="BZ63" s="560">
        <f t="shared" ref="BZ63" ca="1" si="689">IF(NOT(ISBLANK(U63)),IF(U63&lt;&gt;"",(IF(NOT(ISNUMBER(U63)),1,0)),0),0)</f>
        <v>0</v>
      </c>
      <c r="CA63" s="560">
        <f t="shared" ref="CA63" ca="1" si="690">IF(NOT(ISBLANK(X63)),IF(X63&lt;&gt;"",(IF(NOT(ISNUMBER(X63)),1,0)),0),0)</f>
        <v>0</v>
      </c>
      <c r="CB63" s="560">
        <f t="shared" ref="CB63" ca="1" si="691">IF(NOT(ISBLANK(AA63)),IF(AA63&lt;&gt;"",(IF(NOT(ISNUMBER(AA63)),1,0)),0),0)</f>
        <v>0</v>
      </c>
      <c r="CC63" s="560">
        <f t="shared" ref="CC63" ca="1" si="692">IF(NOT(ISBLANK(AD63)),IF(AD63&lt;&gt;"",(IF(NOT(ISNUMBER(AD63)),1,0)),0),0)</f>
        <v>0</v>
      </c>
      <c r="CD63" s="560">
        <f t="shared" ref="CD63" ca="1" si="693">IF(NOT(ISBLANK(AG63)),IF(AG63&lt;&gt;"",(IF(NOT(ISNUMBER(AG63)),1,0)),0),0)</f>
        <v>0</v>
      </c>
      <c r="CE63" s="560">
        <f t="shared" ref="CE63" ca="1" si="694">IF(NOT(ISBLANK(AJ63)),IF(AJ63&lt;&gt;"",(IF(NOT(ISNUMBER(AJ63)),1,0)),0),0)</f>
        <v>0</v>
      </c>
      <c r="CF63" s="560" t="str">
        <f t="shared" ref="CF63" ca="1" si="695">IF(SUM(BW63:CE64)=0, "Continue", "Enter valid number only.")</f>
        <v>Continue</v>
      </c>
      <c r="CG63" s="560" t="str">
        <f t="shared" ref="CG63" ca="1" si="696">IF(AND(CF63="Continue",BD63="Continue"),"Continue",IF(AND(CF63&lt;&gt;"Continue",BD63="Continue"),CF63,IF(AND(BD63&lt;&gt;"Continue",CF63="Continue"),BD63,CONCATENATE(CF63,CHAR(10)))))</f>
        <v>Continue</v>
      </c>
    </row>
    <row r="64" spans="1:85" ht="30" customHeight="1" x14ac:dyDescent="0.25">
      <c r="A64" s="559"/>
      <c r="B64" s="530"/>
      <c r="C64" s="530"/>
      <c r="D64" s="530"/>
      <c r="E64" s="152"/>
      <c r="F64" s="544"/>
      <c r="G64" s="569"/>
      <c r="H64" s="530"/>
      <c r="I64" s="573"/>
      <c r="J64" s="569"/>
      <c r="K64" s="530"/>
      <c r="L64" s="157"/>
      <c r="M64" s="577"/>
      <c r="N64" s="152"/>
      <c r="O64" s="544"/>
      <c r="P64" s="569"/>
      <c r="Q64" s="154"/>
      <c r="R64" s="544"/>
      <c r="S64" s="569"/>
      <c r="T64" s="154"/>
      <c r="U64" s="544"/>
      <c r="V64" s="569"/>
      <c r="W64" s="154"/>
      <c r="X64" s="544"/>
      <c r="Y64" s="569"/>
      <c r="Z64" s="154"/>
      <c r="AA64" s="544"/>
      <c r="AB64" s="569"/>
      <c r="AC64" s="154"/>
      <c r="AD64" s="544"/>
      <c r="AE64" s="569"/>
      <c r="AF64" s="154"/>
      <c r="AG64" s="571"/>
      <c r="AH64" s="569"/>
      <c r="AI64" s="154"/>
      <c r="AJ64" s="571"/>
      <c r="AK64" s="569"/>
      <c r="AL64" s="530"/>
      <c r="AM64" s="480"/>
      <c r="AX64" s="156"/>
      <c r="AZ64" s="564"/>
      <c r="BA64" s="562"/>
      <c r="BB64" s="516"/>
      <c r="BC64" s="520"/>
      <c r="BD64" s="520"/>
      <c r="BE64" s="150">
        <f t="shared" si="0"/>
        <v>0</v>
      </c>
      <c r="BF64" s="150">
        <f t="shared" si="1"/>
        <v>0</v>
      </c>
      <c r="BG64" s="150">
        <f t="shared" si="2"/>
        <v>0</v>
      </c>
      <c r="BH64" s="150">
        <f t="shared" si="3"/>
        <v>0</v>
      </c>
      <c r="BI64" s="150">
        <f t="shared" si="4"/>
        <v>0</v>
      </c>
      <c r="BJ64" s="150">
        <f t="shared" si="5"/>
        <v>0</v>
      </c>
      <c r="BK64" s="150">
        <f t="shared" si="6"/>
        <v>0</v>
      </c>
      <c r="BL64" s="150">
        <f t="shared" si="7"/>
        <v>0</v>
      </c>
      <c r="BM64" s="150">
        <f t="shared" si="8"/>
        <v>0</v>
      </c>
      <c r="BN64" s="477"/>
      <c r="BO64" s="477"/>
      <c r="BP64" s="477"/>
      <c r="BQ64" s="477"/>
      <c r="BR64" s="520"/>
      <c r="BS64" s="520"/>
      <c r="BT64" s="520"/>
      <c r="BU64" s="520"/>
      <c r="BV64" s="560"/>
      <c r="BW64" s="560"/>
      <c r="BX64" s="560"/>
      <c r="BY64" s="560"/>
      <c r="BZ64" s="560"/>
      <c r="CA64" s="560"/>
      <c r="CB64" s="560"/>
      <c r="CC64" s="560"/>
      <c r="CD64" s="560"/>
      <c r="CE64" s="560"/>
      <c r="CF64" s="560"/>
      <c r="CG64" s="560"/>
    </row>
    <row r="65" spans="1:85" ht="30" customHeight="1" x14ac:dyDescent="0.25">
      <c r="A65" s="558">
        <v>29</v>
      </c>
      <c r="B65" s="521"/>
      <c r="C65" s="521"/>
      <c r="D65" s="521"/>
      <c r="E65" s="144"/>
      <c r="F65" s="523" t="str">
        <f ca="1">IF(OR(INDIRECT("'update Helper'!D"&amp;AT65)="",E65&lt;&gt;0,E66&lt;&gt;0),IF(IFERROR((E65/E66),"")="","",(E65/E66)),INDIRECT("'update Helper'!D"&amp;AT65)/100)</f>
        <v/>
      </c>
      <c r="G65" s="565"/>
      <c r="H65" s="521"/>
      <c r="I65" s="572" t="str">
        <f>AN65</f>
        <v/>
      </c>
      <c r="J65" s="565"/>
      <c r="K65" s="521"/>
      <c r="L65" s="145"/>
      <c r="M65" s="574"/>
      <c r="N65" s="144"/>
      <c r="O65" s="523" t="str">
        <f ca="1">IF(OR(INDIRECT("'update Helper'!I"&amp;AU65)="",N65&lt;&gt;0,N66&lt;&gt;0),IF(IFERROR((N65/N66),"")="","",(N65/N66)),INDIRECT("'update Helper'!I"&amp;AU65)/100)</f>
        <v/>
      </c>
      <c r="P65" s="565"/>
      <c r="Q65" s="146"/>
      <c r="R65" s="523" t="str">
        <f ca="1">IF(OR(INDIRECT("'update Helper'!I"&amp;AU65+1)="",Q65&lt;&gt;0,Q66&lt;&gt;0),IF(IFERROR((Q65/Q66),"")="","",(Q65/Q66)),INDIRECT("'update Helper'!I"&amp;AU65+1)/100)</f>
        <v/>
      </c>
      <c r="S65" s="565"/>
      <c r="T65" s="146"/>
      <c r="U65" s="523" t="str">
        <f ca="1">IF(OR(INDIRECT("'update Helper'!I"&amp;AU65+2)="",T65&lt;&gt;0,T66&lt;&gt;0),IF(IFERROR((T65/T66),"")="","",(T65/T66)),INDIRECT("'update Helper'!I"&amp;AU65+2)/100)</f>
        <v/>
      </c>
      <c r="V65" s="565"/>
      <c r="W65" s="146"/>
      <c r="X65" s="523" t="str">
        <f ca="1">IF(OR(INDIRECT("'update Helper'!I"&amp;AU65+3)="",W65&lt;&gt;0,W66&lt;&gt;0),IF(IFERROR((W65/W66),"")="","",(W65/W66)),INDIRECT("'update Helper'!I"&amp;AU65+3)/100)</f>
        <v/>
      </c>
      <c r="Y65" s="565"/>
      <c r="Z65" s="146"/>
      <c r="AA65" s="523" t="str">
        <f ca="1">IF(OR(INDIRECT("'update Helper'!I"&amp;AU65+4)="",Z65&lt;&gt;0,Z66&lt;&gt;0),IF(IFERROR((Z65/Z66),"")="","",(Z65/Z66)),INDIRECT("'update Helper'!I"&amp;AU65+4)/100)</f>
        <v/>
      </c>
      <c r="AB65" s="565"/>
      <c r="AC65" s="146"/>
      <c r="AD65" s="523" t="str">
        <f ca="1">IF(OR(INDIRECT("'update Helper'!I"&amp;AU65+5)="",AC65&lt;&gt;0,AC66&lt;&gt;0),IF(IFERROR((AC65/AC66),"")="","",(AC65/AC66)),INDIRECT("'update Helper'!I"&amp;AU65+5)/100)</f>
        <v/>
      </c>
      <c r="AE65" s="565"/>
      <c r="AF65" s="146"/>
      <c r="AG65" s="523" t="str">
        <f t="shared" ref="AG65" ca="1" si="697">IF(OR(INDIRECT("'update Helper'!I"&amp;AU65+6)="",AF65&lt;&gt;0,AF66&lt;&gt;0),IF(IFERROR((AF65/AF66),"")="","",(AF65/AF66)),INDIRECT("'update Helper'!I"&amp;AU65+6)/100)</f>
        <v/>
      </c>
      <c r="AH65" s="565"/>
      <c r="AI65" s="146"/>
      <c r="AJ65" s="523" t="str">
        <f t="shared" ref="AJ65" ca="1" si="698">IF(OR(INDIRECT("'update Helper'!I"&amp;AU65+7)="",AI65&lt;&gt;0,AI66&lt;&gt;0),IF(IFERROR((AI65/AI66),"")="","",(AI65/AI66)),INDIRECT("'update Helper'!I"&amp;AU65+7)/100)</f>
        <v/>
      </c>
      <c r="AK65" s="565"/>
      <c r="AL65" s="521"/>
      <c r="AM65" s="567" t="str">
        <f>IFERROR(IF(VLOOKUP(B65,'Reference Records'!$C$192:$D$250,2,FALSE)=0,"",VLOOKUP(B65,'Reference Records'!$C$192:$D$250,2,FALSE)),"")</f>
        <v/>
      </c>
      <c r="AN65" s="147" t="str">
        <f t="array" ref="AN65">IFERROR(IF(INDEX('Reference Records'!$D$87:$D$189,MATCH(LEFT(C65,255),LEFT('Reference Records'!$C$87:$C$189,255),0))=0,"",INDEX('Reference Records'!$D$87:$D$189,MATCH(LEFT(C65,255),LEFT('Reference Records'!$C$87:$C$189,255),0))),"")</f>
        <v/>
      </c>
      <c r="AO65" s="147" t="str">
        <f>CONCATENATE(C65,D65)</f>
        <v/>
      </c>
      <c r="AP65" s="148" t="str">
        <f t="array" ref="AP65">VLOOKUP(LEFT(C65,255),LEFT('Reference Records'!C$86:G514,255),4,0)</f>
        <v/>
      </c>
      <c r="AQ65" s="148" t="e">
        <f>MATCH(AP65,'Reference Records'!$F$512:$F$514,0)+ROW(PopulationByCoverage)-1</f>
        <v>#N/A</v>
      </c>
      <c r="AR65" s="148" t="e">
        <f>MATCH(AP65,'Reference Records'!$F$512:$F$514,1)+ROW(PopulationByCoverage)-1</f>
        <v>#N/A</v>
      </c>
      <c r="AS65" s="147" t="str">
        <f>C65&amp;D65</f>
        <v/>
      </c>
      <c r="AT65" s="147">
        <f t="shared" si="348"/>
        <v>482</v>
      </c>
      <c r="AU65" s="147">
        <f>AU63+'update Helper'!$T$2</f>
        <v>688</v>
      </c>
      <c r="AV65" s="147" t="str">
        <f t="shared" ref="AV65" si="699">CLEAN(IFERROR(LEFT(AY65, SEARCH(";",AY65,1)-1),""))</f>
        <v/>
      </c>
      <c r="AW65" s="147" t="str">
        <f t="shared" ref="AW65" si="700">SUBSTITUTE(IFERROR(MID(AY65, SEARCH(";",AY65) + 1, SEARCH(";",AY65,SEARCH(";",AY65)+1) - SEARCH(";",AY65) - 1),""),CHAR(10),"")</f>
        <v/>
      </c>
      <c r="AX65" s="149" t="str">
        <f t="shared" ref="AX65" si="701">CLEAN(IFERROR(SUBSTITUTE(RIGHT(AY65,LEN(AY65) - SEARCH(";", AY65, SEARCH(";",AY65) + 1)),";",""),""))</f>
        <v/>
      </c>
      <c r="AY65" s="147" t="str">
        <f t="array" ref="AY65">IFERROR(IF(VLOOKUP(LEFT(C65,255),LEFT('Reference Records'!$C$1:$K$539,255),9,0)=0,"",CONCATENATE(VLOOKUP(LEFT(C65,255),LEFT('Reference Records'!$C$1:$K$539,255),9,0),";")),"")</f>
        <v>;</v>
      </c>
      <c r="AZ65" s="563" t="str">
        <f>IF($BV65="", "", IF($BV65=TRUE, "Yes", "No"))</f>
        <v/>
      </c>
      <c r="BA65" s="561" t="str">
        <f t="shared" ref="BA65" ca="1" si="702">IF($D65="", "",IF(IF(INDIRECT("'update Helper'!W"&amp;AT65)=0,"",INDIRECT("'update Helper'!W"&amp;AT65))=TRUE, "Yes","No"))</f>
        <v/>
      </c>
      <c r="BB65" s="516" t="str">
        <f t="shared" ref="BB65" ca="1" si="703">IF(AND(BS65="Continue",BU65="Continue"),"No Error",IF(AND(BS65&lt;&gt;"Continue",BU65="Continue"),BS65,IF(AND(BU65&lt;&gt;"Continue",BS65="Continue"),BU65,CONCATENATE(BS65,CHAR(10),BU65))))</f>
        <v>No Error</v>
      </c>
      <c r="BC65" s="520" t="str" cm="1">
        <f t="array" ref="BC65">IF(ISBLANK(C65),"Continue",(IF(IFERROR(_xlfn.XMATCH(C65,LEFT('Reference Records'!$C$86:$C$189,32768),0),0)&lt;&gt;0,"Continue","Invalid indicator entry. Select from dropdown list.")))</f>
        <v>Continue</v>
      </c>
      <c r="BD65" s="520" t="str">
        <f t="shared" ref="BD65" si="704">IF(SUM(BE65:BM66)=0, "Continue", "Enter valid number only.")</f>
        <v>Continue</v>
      </c>
      <c r="BE65" s="150">
        <f t="shared" si="0"/>
        <v>0</v>
      </c>
      <c r="BF65" s="150">
        <f t="shared" si="1"/>
        <v>0</v>
      </c>
      <c r="BG65" s="150">
        <f t="shared" si="2"/>
        <v>0</v>
      </c>
      <c r="BH65" s="150">
        <f t="shared" si="3"/>
        <v>0</v>
      </c>
      <c r="BI65" s="150">
        <f t="shared" si="4"/>
        <v>0</v>
      </c>
      <c r="BJ65" s="150">
        <f t="shared" si="5"/>
        <v>0</v>
      </c>
      <c r="BK65" s="150">
        <f t="shared" si="6"/>
        <v>0</v>
      </c>
      <c r="BL65" s="150">
        <f t="shared" si="7"/>
        <v>0</v>
      </c>
      <c r="BM65" s="150">
        <f t="shared" si="8"/>
        <v>0</v>
      </c>
      <c r="BN65" s="477" t="str">
        <f>IF(NOT(ISBLANK(C65)),IF(C65&lt;&gt;"",IF(_xlfn.XLOOKUP(C65,'Reference Records'!$C$86:$C$189,'Reference Records'!$A$86:$A$189,0,0,1)=AM65,"Continue","Select correct module name."),"Continue"),"Continue")</f>
        <v>Continue</v>
      </c>
      <c r="BO65" s="477" t="str">
        <f t="shared" ref="BO65" ca="1" si="705">IF(AND(BC65="Continue",CG65="Continue"),"Continue",IF(AND(BC65&lt;&gt;"Continue",CG65="Continue"),BC65,IF(AND(CG65&lt;&gt;"Continue",BC65="Continue"),CG65,CONCATENATE(BC65,CHAR(10),CG65))))</f>
        <v>Continue</v>
      </c>
      <c r="BP65" s="477" t="str">
        <f t="shared" ref="BP65" ca="1" si="706">IF(AND((AZ65&lt;&gt;""),(BA65&lt;&gt;"")),"Reversed custom indicator selection not applicable. Value pre-populated in standard indicator column.","Continue")</f>
        <v>Continue</v>
      </c>
      <c r="BQ65" s="477" t="str">
        <f t="shared" ref="BQ65" ca="1" si="707">IF(AND(BN65="Continue",BO65="Continue"),"Continue",
IF(AND(BN65&lt;&gt;"Continue",BO65="Continue"),BN65,
IF(AND(BO65&lt;&gt;"Continue",BN65="Continue"),BO65,
CONCATENATE(BN65,CHAR(10),BO65))))</f>
        <v>Continue</v>
      </c>
      <c r="BR65" s="520" t="str" cm="1">
        <f t="array" ref="BR65">IF(ISBLANK(B65),"Continue",(IF(IFERROR(_xlfn.XMATCH(B65,LEFT('Reference Records'!$J$191:$J$250,32768),0),0)&lt;&gt;0,"Continue","Invalid module entry. Select from dropdown list.")))</f>
        <v>Continue</v>
      </c>
      <c r="BS65" s="520" t="str">
        <f t="shared" ref="BS65" ca="1" si="708">IF(AND(BP65="Continue",BQ65="Continue"),"Continue",IF(AND(BP65&lt;&gt;"Continue",BQ65="Continue"),BP65,IF(AND(BQ65&lt;&gt;"Continue",BP65="Continue"),BQ65,CONCATENATE(BP65,CHAR(10),BQ65))))</f>
        <v>Continue</v>
      </c>
      <c r="BT65" s="520" t="str">
        <f t="shared" ref="BT65" si="709">IF(AND(C65="",D65=""),"Continue",IF(AND(C65="",D65&lt;&gt;""),"Continue",IF(AND(C65&lt;&gt;"",D65=""),"Continue",IF(AND(C65&lt;&gt;"",D65&lt;&gt;""),"Cannot enter both standard and custom indicators on the same line."))))</f>
        <v>Continue</v>
      </c>
      <c r="BU65" s="520" t="str">
        <f t="shared" ref="BU65" si="710">IF(AND(BR65="Continue",BT65="Continue"),"Continue",IF(AND(BR65&lt;&gt;"Continue",BT65="Continue"),BR65,IF(AND(BT65&lt;&gt;"Continue",BR65="Continue"),BT65,CONCATENATE(BR65,CHAR(10),BT65))))</f>
        <v>Continue</v>
      </c>
      <c r="BV65" s="560" t="str">
        <f>IFERROR(INDEX('Reference Records'!$L$86:$L$189,MATCH($C65,'Reference Records'!$C$86:$C$189,0)),"")</f>
        <v/>
      </c>
      <c r="BW65" s="560">
        <f t="shared" ref="BW65" ca="1" si="711">IF(NOT(ISBLANK(F65)),IF(F65&lt;&gt;"",(IF(NOT(ISNUMBER(F65)),1,0)),0),0)</f>
        <v>0</v>
      </c>
      <c r="BX65" s="560">
        <f t="shared" ref="BX65" ca="1" si="712">IF(NOT(ISBLANK(O65)),IF(O65&lt;&gt;"",(IF(NOT(ISNUMBER(O65)),1,0)),0),0)</f>
        <v>0</v>
      </c>
      <c r="BY65" s="560">
        <f t="shared" ref="BY65" ca="1" si="713">IF(NOT(ISBLANK(R65)),IF(R65&lt;&gt;"",(IF(NOT(ISNUMBER(R65)),1,0)),0),0)</f>
        <v>0</v>
      </c>
      <c r="BZ65" s="560">
        <f t="shared" ref="BZ65" ca="1" si="714">IF(NOT(ISBLANK(U65)),IF(U65&lt;&gt;"",(IF(NOT(ISNUMBER(U65)),1,0)),0),0)</f>
        <v>0</v>
      </c>
      <c r="CA65" s="560">
        <f t="shared" ref="CA65" ca="1" si="715">IF(NOT(ISBLANK(X65)),IF(X65&lt;&gt;"",(IF(NOT(ISNUMBER(X65)),1,0)),0),0)</f>
        <v>0</v>
      </c>
      <c r="CB65" s="560">
        <f t="shared" ref="CB65" ca="1" si="716">IF(NOT(ISBLANK(AA65)),IF(AA65&lt;&gt;"",(IF(NOT(ISNUMBER(AA65)),1,0)),0),0)</f>
        <v>0</v>
      </c>
      <c r="CC65" s="560">
        <f t="shared" ref="CC65" ca="1" si="717">IF(NOT(ISBLANK(AD65)),IF(AD65&lt;&gt;"",(IF(NOT(ISNUMBER(AD65)),1,0)),0),0)</f>
        <v>0</v>
      </c>
      <c r="CD65" s="560">
        <f t="shared" ref="CD65" ca="1" si="718">IF(NOT(ISBLANK(AG65)),IF(AG65&lt;&gt;"",(IF(NOT(ISNUMBER(AG65)),1,0)),0),0)</f>
        <v>0</v>
      </c>
      <c r="CE65" s="560">
        <f t="shared" ref="CE65" ca="1" si="719">IF(NOT(ISBLANK(AJ65)),IF(AJ65&lt;&gt;"",(IF(NOT(ISNUMBER(AJ65)),1,0)),0),0)</f>
        <v>0</v>
      </c>
      <c r="CF65" s="560" t="str">
        <f t="shared" ref="CF65" ca="1" si="720">IF(SUM(BW65:CE66)=0, "Continue", "Enter valid number only.")</f>
        <v>Continue</v>
      </c>
      <c r="CG65" s="560" t="str">
        <f t="shared" ref="CG65" ca="1" si="721">IF(AND(CF65="Continue",BD65="Continue"),"Continue",IF(AND(CF65&lt;&gt;"Continue",BD65="Continue"),CF65,IF(AND(BD65&lt;&gt;"Continue",CF65="Continue"),BD65,CONCATENATE(CF65,CHAR(10)))))</f>
        <v>Continue</v>
      </c>
    </row>
    <row r="66" spans="1:85" ht="30" customHeight="1" x14ac:dyDescent="0.25">
      <c r="A66" s="559"/>
      <c r="B66" s="522"/>
      <c r="C66" s="522"/>
      <c r="D66" s="522"/>
      <c r="E66" s="144"/>
      <c r="F66" s="524"/>
      <c r="G66" s="566"/>
      <c r="H66" s="522"/>
      <c r="I66" s="573"/>
      <c r="J66" s="566"/>
      <c r="K66" s="522"/>
      <c r="L66" s="151"/>
      <c r="M66" s="575"/>
      <c r="N66" s="144"/>
      <c r="O66" s="524"/>
      <c r="P66" s="566"/>
      <c r="Q66" s="146"/>
      <c r="R66" s="524"/>
      <c r="S66" s="566"/>
      <c r="T66" s="146"/>
      <c r="U66" s="524"/>
      <c r="V66" s="566"/>
      <c r="W66" s="146"/>
      <c r="X66" s="524"/>
      <c r="Y66" s="566"/>
      <c r="Z66" s="146"/>
      <c r="AA66" s="524"/>
      <c r="AB66" s="566"/>
      <c r="AC66" s="146"/>
      <c r="AD66" s="524"/>
      <c r="AE66" s="566"/>
      <c r="AF66" s="146"/>
      <c r="AG66" s="524"/>
      <c r="AH66" s="566"/>
      <c r="AI66" s="146"/>
      <c r="AJ66" s="524"/>
      <c r="AK66" s="566"/>
      <c r="AL66" s="522"/>
      <c r="AM66" s="567"/>
      <c r="AN66" s="147"/>
      <c r="AO66" s="147"/>
      <c r="AP66" s="147"/>
      <c r="AQ66" s="147"/>
      <c r="AR66" s="147"/>
      <c r="AS66" s="147"/>
      <c r="AT66" s="147"/>
      <c r="AU66" s="147"/>
      <c r="AV66" s="147"/>
      <c r="AW66" s="147"/>
      <c r="AX66" s="149"/>
      <c r="AY66" s="147"/>
      <c r="AZ66" s="563"/>
      <c r="BA66" s="561"/>
      <c r="BB66" s="516"/>
      <c r="BC66" s="520"/>
      <c r="BD66" s="520"/>
      <c r="BE66" s="150">
        <f t="shared" si="0"/>
        <v>0</v>
      </c>
      <c r="BF66" s="150">
        <f t="shared" si="1"/>
        <v>0</v>
      </c>
      <c r="BG66" s="150">
        <f t="shared" si="2"/>
        <v>0</v>
      </c>
      <c r="BH66" s="150">
        <f t="shared" si="3"/>
        <v>0</v>
      </c>
      <c r="BI66" s="150">
        <f t="shared" si="4"/>
        <v>0</v>
      </c>
      <c r="BJ66" s="150">
        <f t="shared" si="5"/>
        <v>0</v>
      </c>
      <c r="BK66" s="150">
        <f t="shared" si="6"/>
        <v>0</v>
      </c>
      <c r="BL66" s="150">
        <f t="shared" si="7"/>
        <v>0</v>
      </c>
      <c r="BM66" s="150">
        <f t="shared" si="8"/>
        <v>0</v>
      </c>
      <c r="BN66" s="477"/>
      <c r="BO66" s="477"/>
      <c r="BP66" s="477"/>
      <c r="BQ66" s="477"/>
      <c r="BR66" s="520"/>
      <c r="BS66" s="520"/>
      <c r="BT66" s="520"/>
      <c r="BU66" s="520"/>
      <c r="BV66" s="560"/>
      <c r="BW66" s="560"/>
      <c r="BX66" s="560"/>
      <c r="BY66" s="560"/>
      <c r="BZ66" s="560"/>
      <c r="CA66" s="560"/>
      <c r="CB66" s="560"/>
      <c r="CC66" s="560"/>
      <c r="CD66" s="560"/>
      <c r="CE66" s="560"/>
      <c r="CF66" s="560"/>
      <c r="CG66" s="560"/>
    </row>
    <row r="67" spans="1:85" ht="30" customHeight="1" x14ac:dyDescent="0.25">
      <c r="A67" s="558">
        <v>30</v>
      </c>
      <c r="B67" s="529"/>
      <c r="C67" s="529"/>
      <c r="D67" s="529"/>
      <c r="E67" s="152"/>
      <c r="F67" s="543" t="str">
        <f ca="1">IF(OR(INDIRECT("'update Helper'!D"&amp;AT67)="",E67&lt;&gt;0,E68&lt;&gt;0),IF(IFERROR((E67/E68),"")="","",(E67/E68)),INDIRECT("'update Helper'!D"&amp;AT67)/100)</f>
        <v/>
      </c>
      <c r="G67" s="568"/>
      <c r="H67" s="529"/>
      <c r="I67" s="572" t="str">
        <f>AN67</f>
        <v/>
      </c>
      <c r="J67" s="568"/>
      <c r="K67" s="529"/>
      <c r="L67" s="153"/>
      <c r="M67" s="576"/>
      <c r="N67" s="152"/>
      <c r="O67" s="543" t="str">
        <f ca="1">IF(OR(INDIRECT("'update Helper'!I"&amp;AU67)="",N67&lt;&gt;0,N68&lt;&gt;0),IF(IFERROR((N67/N68),"")="","",(N67/N68)),INDIRECT("'update Helper'!I"&amp;AU67)/100)</f>
        <v/>
      </c>
      <c r="P67" s="568"/>
      <c r="Q67" s="154"/>
      <c r="R67" s="543" t="str">
        <f ca="1">IF(OR(INDIRECT("'update Helper'!I"&amp;AU67+1)="",Q67&lt;&gt;0,Q68&lt;&gt;0),IF(IFERROR((Q67/Q68),"")="","",(Q67/Q68)),INDIRECT("'update Helper'!I"&amp;AU67+1)/100)</f>
        <v/>
      </c>
      <c r="S67" s="568"/>
      <c r="T67" s="154"/>
      <c r="U67" s="543" t="str">
        <f ca="1">IF(OR(INDIRECT("'update Helper'!I"&amp;AU67+2)="",T67&lt;&gt;0,T68&lt;&gt;0),IF(IFERROR((T67/T68),"")="","",(T67/T68)),INDIRECT("'update Helper'!I"&amp;AU67+2)/100)</f>
        <v/>
      </c>
      <c r="V67" s="568"/>
      <c r="W67" s="154"/>
      <c r="X67" s="543" t="str">
        <f ca="1">IF(OR(INDIRECT("'update Helper'!I"&amp;AU67+3)="",W67&lt;&gt;0,W68&lt;&gt;0),IF(IFERROR((W67/W68),"")="","",(W67/W68)),INDIRECT("'update Helper'!I"&amp;AU67+3)/100)</f>
        <v/>
      </c>
      <c r="Y67" s="568"/>
      <c r="Z67" s="154"/>
      <c r="AA67" s="543" t="str">
        <f ca="1">IF(OR(INDIRECT("'update Helper'!I"&amp;AU67+4)="",Z67&lt;&gt;0,Z68&lt;&gt;0),IF(IFERROR((Z67/Z68),"")="","",(Z67/Z68)),INDIRECT("'update Helper'!I"&amp;AU67+4)/100)</f>
        <v/>
      </c>
      <c r="AB67" s="568"/>
      <c r="AC67" s="154"/>
      <c r="AD67" s="543" t="str">
        <f ca="1">IF(OR(INDIRECT("'update Helper'!I"&amp;AU67+5)="",AC67&lt;&gt;0,AC68&lt;&gt;0),IF(IFERROR((AC67/AC68),"")="","",(AC67/AC68)),INDIRECT("'update Helper'!I"&amp;AU67+5)/100)</f>
        <v/>
      </c>
      <c r="AE67" s="568"/>
      <c r="AF67" s="154"/>
      <c r="AG67" s="570"/>
      <c r="AH67" s="568"/>
      <c r="AI67" s="154"/>
      <c r="AJ67" s="570"/>
      <c r="AK67" s="568"/>
      <c r="AL67" s="529"/>
      <c r="AM67" s="480" t="str">
        <f>IFERROR(IF(VLOOKUP(B67,'Reference Records'!$C$192:$D$250,2,FALSE)=0,"",VLOOKUP(B67,'Reference Records'!$C$192:$D$250,2,FALSE)),"")</f>
        <v/>
      </c>
      <c r="AN67" s="52" t="str">
        <f t="array" ref="AN67">IFERROR(IF(INDEX('Reference Records'!$D$87:$D$189,MATCH(LEFT(C67,255),LEFT('Reference Records'!$C$87:$C$189,255),0))=0,"",INDEX('Reference Records'!$D$87:$D$189,MATCH(LEFT(C67,255),LEFT('Reference Records'!$C$87:$C$189,255),0))),"")</f>
        <v/>
      </c>
      <c r="AO67" s="52" t="str">
        <f>CONCATENATE(C67,D67)</f>
        <v/>
      </c>
      <c r="AP67" s="155" t="str">
        <f t="array" ref="AP67">VLOOKUP(LEFT(C67,255),LEFT('Reference Records'!C$86:G516,255),4,0)</f>
        <v/>
      </c>
      <c r="AQ67" s="155" t="e">
        <f>MATCH(AP67,'Reference Records'!$F$512:$F$514,0)+ROW(PopulationByCoverage)-1</f>
        <v>#N/A</v>
      </c>
      <c r="AR67" s="155" t="e">
        <f>MATCH(AP67,'Reference Records'!$F$512:$F$514,1)+ROW(PopulationByCoverage)-1</f>
        <v>#N/A</v>
      </c>
      <c r="AS67" s="52" t="str">
        <f>C67&amp;D67</f>
        <v/>
      </c>
      <c r="AT67" s="52">
        <f t="shared" si="348"/>
        <v>483</v>
      </c>
      <c r="AU67" s="52">
        <f>AU65+'update Helper'!$T$2</f>
        <v>694</v>
      </c>
      <c r="AV67" s="52" t="str">
        <f t="shared" ref="AV67" si="722">CLEAN(IFERROR(LEFT(AY67, SEARCH(";",AY67,1)-1),""))</f>
        <v/>
      </c>
      <c r="AW67" s="52" t="str">
        <f t="shared" ref="AW67" si="723">SUBSTITUTE(IFERROR(MID(AY67, SEARCH(";",AY67) + 1, SEARCH(";",AY67,SEARCH(";",AY67)+1) - SEARCH(";",AY67) - 1),""),CHAR(10),"")</f>
        <v/>
      </c>
      <c r="AX67" s="156" t="str">
        <f t="shared" ref="AX67" si="724">CLEAN(IFERROR(SUBSTITUTE(RIGHT(AY67,LEN(AY67) - SEARCH(";", AY67, SEARCH(";",AY67) + 1)),";",""),""))</f>
        <v/>
      </c>
      <c r="AY67" s="52" t="str">
        <f t="array" ref="AY67">IFERROR(IF(VLOOKUP(LEFT(C67,255),LEFT('Reference Records'!$C$1:$K$539,255),9,0)=0,"",CONCATENATE(VLOOKUP(LEFT(C67,255),LEFT('Reference Records'!$C$1:$K$539,255),9,0),";")),"")</f>
        <v>;</v>
      </c>
      <c r="AZ67" s="564" t="str">
        <f>IF($BV67="", "", IF($BV67=TRUE, "Yes", "No"))</f>
        <v/>
      </c>
      <c r="BA67" s="562" t="str">
        <f t="shared" ref="BA67" ca="1" si="725">IF($D67="", "",IF(IF(INDIRECT("'update Helper'!W"&amp;AT67)=0,"",INDIRECT("'update Helper'!W"&amp;AT67))=TRUE, "Yes","No"))</f>
        <v/>
      </c>
      <c r="BB67" s="516" t="str">
        <f t="shared" ref="BB67" ca="1" si="726">IF(AND(BS67="Continue",BU67="Continue"),"No Error",IF(AND(BS67&lt;&gt;"Continue",BU67="Continue"),BS67,IF(AND(BU67&lt;&gt;"Continue",BS67="Continue"),BU67,CONCATENATE(BS67,CHAR(10),BU67))))</f>
        <v>No Error</v>
      </c>
      <c r="BC67" s="520" t="str" cm="1">
        <f t="array" ref="BC67">IF(ISBLANK(C67),"Continue",(IF(IFERROR(_xlfn.XMATCH(C67,LEFT('Reference Records'!$C$86:$C$189,32768),0),0)&lt;&gt;0,"Continue","Invalid indicator entry. Select from dropdown list.")))</f>
        <v>Continue</v>
      </c>
      <c r="BD67" s="520" t="str">
        <f t="shared" ref="BD67" si="727">IF(SUM(BE67:BM68)=0, "Continue", "Enter valid number only.")</f>
        <v>Continue</v>
      </c>
      <c r="BE67" s="150">
        <f t="shared" si="0"/>
        <v>0</v>
      </c>
      <c r="BF67" s="150">
        <f t="shared" si="1"/>
        <v>0</v>
      </c>
      <c r="BG67" s="150">
        <f t="shared" si="2"/>
        <v>0</v>
      </c>
      <c r="BH67" s="150">
        <f t="shared" si="3"/>
        <v>0</v>
      </c>
      <c r="BI67" s="150">
        <f t="shared" si="4"/>
        <v>0</v>
      </c>
      <c r="BJ67" s="150">
        <f t="shared" si="5"/>
        <v>0</v>
      </c>
      <c r="BK67" s="150">
        <f t="shared" si="6"/>
        <v>0</v>
      </c>
      <c r="BL67" s="150">
        <f t="shared" si="7"/>
        <v>0</v>
      </c>
      <c r="BM67" s="150">
        <f t="shared" si="8"/>
        <v>0</v>
      </c>
      <c r="BN67" s="477" t="str">
        <f>IF(NOT(ISBLANK(C67)),IF(C67&lt;&gt;"",IF(_xlfn.XLOOKUP(C67,'Reference Records'!$C$86:$C$189,'Reference Records'!$A$86:$A$189,0,0,1)=AM67,"Continue","Select correct module name."),"Continue"),"Continue")</f>
        <v>Continue</v>
      </c>
      <c r="BO67" s="477" t="str">
        <f t="shared" ref="BO67" ca="1" si="728">IF(AND(BC67="Continue",CG67="Continue"),"Continue",IF(AND(BC67&lt;&gt;"Continue",CG67="Continue"),BC67,IF(AND(CG67&lt;&gt;"Continue",BC67="Continue"),CG67,CONCATENATE(BC67,CHAR(10),CG67))))</f>
        <v>Continue</v>
      </c>
      <c r="BP67" s="477" t="str">
        <f t="shared" ref="BP67" ca="1" si="729">IF(AND((AZ67&lt;&gt;""),(BA67&lt;&gt;"")),"Reversed custom indicator selection not applicable. Value pre-populated in standard indicator column.","Continue")</f>
        <v>Continue</v>
      </c>
      <c r="BQ67" s="477" t="str">
        <f t="shared" ref="BQ67" ca="1" si="730">IF(AND(BN67="Continue",BO67="Continue"),"Continue",
IF(AND(BN67&lt;&gt;"Continue",BO67="Continue"),BN67,
IF(AND(BO67&lt;&gt;"Continue",BN67="Continue"),BO67,
CONCATENATE(BN67,CHAR(10),BO67))))</f>
        <v>Continue</v>
      </c>
      <c r="BR67" s="520" t="str" cm="1">
        <f t="array" ref="BR67">IF(ISBLANK(B67),"Continue",(IF(IFERROR(_xlfn.XMATCH(B67,LEFT('Reference Records'!$J$191:$J$250,32768),0),0)&lt;&gt;0,"Continue","Invalid module entry. Select from dropdown list.")))</f>
        <v>Continue</v>
      </c>
      <c r="BS67" s="520" t="str">
        <f t="shared" ref="BS67" ca="1" si="731">IF(AND(BP67="Continue",BQ67="Continue"),"Continue",IF(AND(BP67&lt;&gt;"Continue",BQ67="Continue"),BP67,IF(AND(BQ67&lt;&gt;"Continue",BP67="Continue"),BQ67,CONCATENATE(BP67,CHAR(10),BQ67))))</f>
        <v>Continue</v>
      </c>
      <c r="BT67" s="520" t="str">
        <f t="shared" ref="BT67" si="732">IF(AND(C67="",D67=""),"Continue",IF(AND(C67="",D67&lt;&gt;""),"Continue",IF(AND(C67&lt;&gt;"",D67=""),"Continue",IF(AND(C67&lt;&gt;"",D67&lt;&gt;""),"Cannot enter both standard and custom indicators on the same line."))))</f>
        <v>Continue</v>
      </c>
      <c r="BU67" s="520" t="str">
        <f t="shared" ref="BU67" si="733">IF(AND(BR67="Continue",BT67="Continue"),"Continue",IF(AND(BR67&lt;&gt;"Continue",BT67="Continue"),BR67,IF(AND(BT67&lt;&gt;"Continue",BR67="Continue"),BT67,CONCATENATE(BR67,CHAR(10),BT67))))</f>
        <v>Continue</v>
      </c>
      <c r="BV67" s="560" t="str">
        <f>IFERROR(INDEX('Reference Records'!$L$86:$L$189,MATCH($C67,'Reference Records'!$C$86:$C$189,0)),"")</f>
        <v/>
      </c>
      <c r="BW67" s="560">
        <f t="shared" ref="BW67" ca="1" si="734">IF(NOT(ISBLANK(F67)),IF(F67&lt;&gt;"",(IF(NOT(ISNUMBER(F67)),1,0)),0),0)</f>
        <v>0</v>
      </c>
      <c r="BX67" s="560">
        <f t="shared" ref="BX67" ca="1" si="735">IF(NOT(ISBLANK(O67)),IF(O67&lt;&gt;"",(IF(NOT(ISNUMBER(O67)),1,0)),0),0)</f>
        <v>0</v>
      </c>
      <c r="BY67" s="560">
        <f t="shared" ref="BY67" ca="1" si="736">IF(NOT(ISBLANK(R67)),IF(R67&lt;&gt;"",(IF(NOT(ISNUMBER(R67)),1,0)),0),0)</f>
        <v>0</v>
      </c>
      <c r="BZ67" s="560">
        <f t="shared" ref="BZ67" ca="1" si="737">IF(NOT(ISBLANK(U67)),IF(U67&lt;&gt;"",(IF(NOT(ISNUMBER(U67)),1,0)),0),0)</f>
        <v>0</v>
      </c>
      <c r="CA67" s="560">
        <f t="shared" ref="CA67" ca="1" si="738">IF(NOT(ISBLANK(X67)),IF(X67&lt;&gt;"",(IF(NOT(ISNUMBER(X67)),1,0)),0),0)</f>
        <v>0</v>
      </c>
      <c r="CB67" s="560">
        <f t="shared" ref="CB67" ca="1" si="739">IF(NOT(ISBLANK(AA67)),IF(AA67&lt;&gt;"",(IF(NOT(ISNUMBER(AA67)),1,0)),0),0)</f>
        <v>0</v>
      </c>
      <c r="CC67" s="560">
        <f t="shared" ref="CC67" ca="1" si="740">IF(NOT(ISBLANK(AD67)),IF(AD67&lt;&gt;"",(IF(NOT(ISNUMBER(AD67)),1,0)),0),0)</f>
        <v>0</v>
      </c>
      <c r="CD67" s="560">
        <f t="shared" ref="CD67" si="741">IF(NOT(ISBLANK(AG67)),IF(AG67&lt;&gt;"",(IF(NOT(ISNUMBER(AG67)),1,0)),0),0)</f>
        <v>0</v>
      </c>
      <c r="CE67" s="560">
        <f t="shared" ref="CE67" si="742">IF(NOT(ISBLANK(AJ67)),IF(AJ67&lt;&gt;"",(IF(NOT(ISNUMBER(AJ67)),1,0)),0),0)</f>
        <v>0</v>
      </c>
      <c r="CF67" s="560" t="str">
        <f t="shared" ref="CF67" ca="1" si="743">IF(SUM(BW67:CE68)=0, "Continue", "Enter valid number only.")</f>
        <v>Continue</v>
      </c>
      <c r="CG67" s="560" t="str">
        <f t="shared" ref="CG67" ca="1" si="744">IF(AND(CF67="Continue",BD67="Continue"),"Continue",IF(AND(CF67&lt;&gt;"Continue",BD67="Continue"),CF67,IF(AND(BD67&lt;&gt;"Continue",CF67="Continue"),BD67,CONCATENATE(CF67,CHAR(10)))))</f>
        <v>Continue</v>
      </c>
    </row>
    <row r="68" spans="1:85" ht="30" customHeight="1" x14ac:dyDescent="0.25">
      <c r="A68" s="559"/>
      <c r="B68" s="530"/>
      <c r="C68" s="530"/>
      <c r="D68" s="530"/>
      <c r="E68" s="152"/>
      <c r="F68" s="544"/>
      <c r="G68" s="569"/>
      <c r="H68" s="530"/>
      <c r="I68" s="573"/>
      <c r="J68" s="569"/>
      <c r="K68" s="530"/>
      <c r="L68" s="157"/>
      <c r="M68" s="577"/>
      <c r="N68" s="152"/>
      <c r="O68" s="544"/>
      <c r="P68" s="569"/>
      <c r="Q68" s="154"/>
      <c r="R68" s="544"/>
      <c r="S68" s="569"/>
      <c r="T68" s="154"/>
      <c r="U68" s="544"/>
      <c r="V68" s="569"/>
      <c r="W68" s="154"/>
      <c r="X68" s="544"/>
      <c r="Y68" s="569"/>
      <c r="Z68" s="154"/>
      <c r="AA68" s="544"/>
      <c r="AB68" s="569"/>
      <c r="AC68" s="154"/>
      <c r="AD68" s="544"/>
      <c r="AE68" s="569"/>
      <c r="AF68" s="154"/>
      <c r="AG68" s="571"/>
      <c r="AH68" s="569"/>
      <c r="AI68" s="154"/>
      <c r="AJ68" s="571"/>
      <c r="AK68" s="569"/>
      <c r="AL68" s="530"/>
      <c r="AM68" s="480"/>
      <c r="AX68" s="156"/>
      <c r="AZ68" s="564"/>
      <c r="BA68" s="562"/>
      <c r="BB68" s="516"/>
      <c r="BC68" s="520"/>
      <c r="BD68" s="520"/>
      <c r="BE68" s="150">
        <f t="shared" si="0"/>
        <v>0</v>
      </c>
      <c r="BF68" s="150">
        <f t="shared" si="1"/>
        <v>0</v>
      </c>
      <c r="BG68" s="150">
        <f t="shared" si="2"/>
        <v>0</v>
      </c>
      <c r="BH68" s="150">
        <f t="shared" si="3"/>
        <v>0</v>
      </c>
      <c r="BI68" s="150">
        <f t="shared" si="4"/>
        <v>0</v>
      </c>
      <c r="BJ68" s="150">
        <f t="shared" si="5"/>
        <v>0</v>
      </c>
      <c r="BK68" s="150">
        <f t="shared" si="6"/>
        <v>0</v>
      </c>
      <c r="BL68" s="150">
        <f t="shared" si="7"/>
        <v>0</v>
      </c>
      <c r="BM68" s="150">
        <f t="shared" si="8"/>
        <v>0</v>
      </c>
      <c r="BN68" s="477"/>
      <c r="BO68" s="477"/>
      <c r="BP68" s="477"/>
      <c r="BQ68" s="477"/>
      <c r="BR68" s="520"/>
      <c r="BS68" s="520"/>
      <c r="BT68" s="520"/>
      <c r="BU68" s="520"/>
      <c r="BV68" s="560"/>
      <c r="BW68" s="560"/>
      <c r="BX68" s="560"/>
      <c r="BY68" s="560"/>
      <c r="BZ68" s="560"/>
      <c r="CA68" s="560"/>
      <c r="CB68" s="560"/>
      <c r="CC68" s="560"/>
      <c r="CD68" s="560"/>
      <c r="CE68" s="560"/>
      <c r="CF68" s="560"/>
      <c r="CG68" s="560"/>
    </row>
    <row r="69" spans="1:85" ht="30" customHeight="1" x14ac:dyDescent="0.25">
      <c r="AD69" s="480"/>
    </row>
    <row r="70" spans="1:85" ht="30" customHeight="1" x14ac:dyDescent="0.25">
      <c r="AD70" s="480"/>
    </row>
    <row r="71" spans="1:85" ht="30" customHeight="1" x14ac:dyDescent="0.25">
      <c r="AD71" s="480"/>
    </row>
    <row r="72" spans="1:85" ht="30" customHeight="1" x14ac:dyDescent="0.25">
      <c r="AD72" s="480"/>
    </row>
    <row r="73" spans="1:85" ht="30" customHeight="1" x14ac:dyDescent="0.25">
      <c r="AD73" s="480"/>
    </row>
    <row r="74" spans="1:85" ht="30" customHeight="1" x14ac:dyDescent="0.25">
      <c r="AD74" s="480"/>
    </row>
    <row r="75" spans="1:85" ht="30" customHeight="1" x14ac:dyDescent="0.25">
      <c r="AD75" s="480"/>
    </row>
    <row r="76" spans="1:85" ht="30" customHeight="1" x14ac:dyDescent="0.25">
      <c r="AD76" s="480"/>
    </row>
    <row r="77" spans="1:85" ht="30" customHeight="1" x14ac:dyDescent="0.25">
      <c r="AD77" s="480"/>
    </row>
    <row r="78" spans="1:85" ht="30" customHeight="1" x14ac:dyDescent="0.25">
      <c r="AD78" s="480"/>
    </row>
    <row r="79" spans="1:85" ht="30" customHeight="1" x14ac:dyDescent="0.25">
      <c r="AD79" s="480"/>
    </row>
    <row r="80" spans="1:85" ht="30" customHeight="1" x14ac:dyDescent="0.25">
      <c r="AD80" s="480"/>
    </row>
    <row r="81" spans="30:30" ht="30" customHeight="1" x14ac:dyDescent="0.25">
      <c r="AD81" s="480"/>
    </row>
    <row r="82" spans="30:30" ht="30" customHeight="1" x14ac:dyDescent="0.25">
      <c r="AD82" s="480"/>
    </row>
    <row r="83" spans="30:30" ht="30" customHeight="1" x14ac:dyDescent="0.25">
      <c r="AD83" s="480"/>
    </row>
    <row r="84" spans="30:30" ht="30" customHeight="1" x14ac:dyDescent="0.25">
      <c r="AD84" s="480"/>
    </row>
    <row r="85" spans="30:30" ht="30" customHeight="1" x14ac:dyDescent="0.25">
      <c r="AD85" s="480"/>
    </row>
    <row r="86" spans="30:30" ht="30" customHeight="1" x14ac:dyDescent="0.25">
      <c r="AD86" s="480"/>
    </row>
    <row r="87" spans="30:30" ht="30" customHeight="1" x14ac:dyDescent="0.25">
      <c r="AD87" s="480"/>
    </row>
    <row r="88" spans="30:30" ht="30" customHeight="1" x14ac:dyDescent="0.25">
      <c r="AD88" s="480"/>
    </row>
    <row r="89" spans="30:30" ht="30" customHeight="1" x14ac:dyDescent="0.25">
      <c r="AD89" s="480"/>
    </row>
    <row r="90" spans="30:30" ht="30" customHeight="1" x14ac:dyDescent="0.25">
      <c r="AD90" s="480"/>
    </row>
    <row r="91" spans="30:30" ht="30" customHeight="1" x14ac:dyDescent="0.25">
      <c r="AD91" s="480"/>
    </row>
    <row r="92" spans="30:30" ht="30" customHeight="1" x14ac:dyDescent="0.25">
      <c r="AD92" s="480"/>
    </row>
    <row r="93" spans="30:30" ht="30" customHeight="1" x14ac:dyDescent="0.25">
      <c r="AD93" s="480"/>
    </row>
    <row r="94" spans="30:30" ht="30" customHeight="1" x14ac:dyDescent="0.25">
      <c r="AD94" s="480"/>
    </row>
    <row r="95" spans="30:30" ht="30" customHeight="1" x14ac:dyDescent="0.25">
      <c r="AD95" s="480"/>
    </row>
    <row r="96" spans="30:30" ht="30" customHeight="1" x14ac:dyDescent="0.25">
      <c r="AD96" s="480"/>
    </row>
    <row r="97" spans="30:30" ht="30" customHeight="1" x14ac:dyDescent="0.25">
      <c r="AD97" s="480"/>
    </row>
    <row r="98" spans="30:30" ht="30" customHeight="1" x14ac:dyDescent="0.25">
      <c r="AD98" s="480"/>
    </row>
    <row r="99" spans="30:30" ht="30" customHeight="1" x14ac:dyDescent="0.25">
      <c r="AD99" s="480"/>
    </row>
    <row r="100" spans="30:30" ht="30" customHeight="1" x14ac:dyDescent="0.25">
      <c r="AD100" s="480"/>
    </row>
    <row r="101" spans="30:30" x14ac:dyDescent="0.25">
      <c r="AD101" s="480"/>
    </row>
    <row r="102" spans="30:30" x14ac:dyDescent="0.25">
      <c r="AD102" s="480"/>
    </row>
  </sheetData>
  <sheetProtection algorithmName="SHA-512" hashValue="2kdKF6c0d+H454TEmjlxVDJfwKc4uNoG9pzt4qzG5PKWrb3kkbeO15mFKAz3VKmNVfg63k7HzK8FSQVIWYUmYg==" saltValue="ubndNcNdDbesv62rNW3hUQ==" spinCount="100000" sheet="1" objects="1" scenarios="1" formatCells="0" formatColumns="0" formatRows="0"/>
  <mergeCells count="1646">
    <mergeCell ref="BW47:BW48"/>
    <mergeCell ref="BW49:BW50"/>
    <mergeCell ref="BW51:BW52"/>
    <mergeCell ref="BW53:BW54"/>
    <mergeCell ref="BW55:BW56"/>
    <mergeCell ref="BW57:BW58"/>
    <mergeCell ref="BW59:BW60"/>
    <mergeCell ref="BW61:BW62"/>
    <mergeCell ref="BW63:BW64"/>
    <mergeCell ref="BW65:BW66"/>
    <mergeCell ref="BW67:BW68"/>
    <mergeCell ref="AZ43:AZ44"/>
    <mergeCell ref="BV43:BV44"/>
    <mergeCell ref="BV45:BV46"/>
    <mergeCell ref="BV47:BV48"/>
    <mergeCell ref="BV49:BV50"/>
    <mergeCell ref="BV51:BV52"/>
    <mergeCell ref="BV53:BV54"/>
    <mergeCell ref="BV55:BV56"/>
    <mergeCell ref="BV57:BV58"/>
    <mergeCell ref="BV59:BV60"/>
    <mergeCell ref="BV61:BV62"/>
    <mergeCell ref="BV63:BV64"/>
    <mergeCell ref="BV65:BV66"/>
    <mergeCell ref="BV67:BV68"/>
    <mergeCell ref="BW43:BW44"/>
    <mergeCell ref="BW45:BW46"/>
    <mergeCell ref="BO47:BO48"/>
    <mergeCell ref="BO49:BO50"/>
    <mergeCell ref="BO51:BO52"/>
    <mergeCell ref="BO53:BO54"/>
    <mergeCell ref="BO55:BO56"/>
    <mergeCell ref="BW9:BW10"/>
    <mergeCell ref="BW11:BW12"/>
    <mergeCell ref="BW13:BW14"/>
    <mergeCell ref="BW15:BW16"/>
    <mergeCell ref="BW17:BW18"/>
    <mergeCell ref="BW19:BW20"/>
    <mergeCell ref="BW21:BW22"/>
    <mergeCell ref="BW23:BW24"/>
    <mergeCell ref="BW25:BW26"/>
    <mergeCell ref="BW27:BW28"/>
    <mergeCell ref="BW29:BW30"/>
    <mergeCell ref="BW31:BW32"/>
    <mergeCell ref="BW33:BW34"/>
    <mergeCell ref="BW35:BW36"/>
    <mergeCell ref="BW37:BW38"/>
    <mergeCell ref="BW39:BW40"/>
    <mergeCell ref="BW41:BW42"/>
    <mergeCell ref="BV9:BV10"/>
    <mergeCell ref="BV11:BV12"/>
    <mergeCell ref="BV13:BV14"/>
    <mergeCell ref="BV15:BV16"/>
    <mergeCell ref="BV17:BV18"/>
    <mergeCell ref="BV19:BV20"/>
    <mergeCell ref="BV21:BV22"/>
    <mergeCell ref="BV23:BV24"/>
    <mergeCell ref="BV25:BV26"/>
    <mergeCell ref="BV27:BV28"/>
    <mergeCell ref="BV29:BV30"/>
    <mergeCell ref="BV31:BV32"/>
    <mergeCell ref="BV33:BV34"/>
    <mergeCell ref="BV35:BV36"/>
    <mergeCell ref="BV37:BV38"/>
    <mergeCell ref="BV39:BV40"/>
    <mergeCell ref="BV41:BV42"/>
    <mergeCell ref="BO57:BO58"/>
    <mergeCell ref="BO59:BO60"/>
    <mergeCell ref="BO61:BO62"/>
    <mergeCell ref="BO63:BO64"/>
    <mergeCell ref="BO65:BO66"/>
    <mergeCell ref="BO67:BO68"/>
    <mergeCell ref="BN43:BN44"/>
    <mergeCell ref="BN45:BN46"/>
    <mergeCell ref="BN47:BN48"/>
    <mergeCell ref="BN49:BN50"/>
    <mergeCell ref="BN51:BN52"/>
    <mergeCell ref="BN53:BN54"/>
    <mergeCell ref="BN55:BN56"/>
    <mergeCell ref="BN57:BN58"/>
    <mergeCell ref="BN59:BN60"/>
    <mergeCell ref="BN61:BN62"/>
    <mergeCell ref="BN63:BN64"/>
    <mergeCell ref="BN65:BN66"/>
    <mergeCell ref="BN67:BN68"/>
    <mergeCell ref="BO43:BO44"/>
    <mergeCell ref="BO45:BO46"/>
    <mergeCell ref="BO9:BO10"/>
    <mergeCell ref="BO11:BO12"/>
    <mergeCell ref="BO13:BO14"/>
    <mergeCell ref="BO15:BO16"/>
    <mergeCell ref="BO17:BO18"/>
    <mergeCell ref="BO19:BO20"/>
    <mergeCell ref="BO21:BO22"/>
    <mergeCell ref="BO23:BO24"/>
    <mergeCell ref="BO25:BO26"/>
    <mergeCell ref="BO27:BO28"/>
    <mergeCell ref="BO29:BO30"/>
    <mergeCell ref="BO31:BO32"/>
    <mergeCell ref="BO33:BO34"/>
    <mergeCell ref="BO35:BO36"/>
    <mergeCell ref="BO37:BO38"/>
    <mergeCell ref="BO39:BO40"/>
    <mergeCell ref="BO41:BO42"/>
    <mergeCell ref="BN9:BN10"/>
    <mergeCell ref="BN11:BN12"/>
    <mergeCell ref="BN13:BN14"/>
    <mergeCell ref="BN15:BN16"/>
    <mergeCell ref="BN17:BN18"/>
    <mergeCell ref="BN19:BN20"/>
    <mergeCell ref="BN21:BN22"/>
    <mergeCell ref="BN23:BN24"/>
    <mergeCell ref="BN25:BN26"/>
    <mergeCell ref="BN27:BN28"/>
    <mergeCell ref="BN29:BN30"/>
    <mergeCell ref="BN31:BN32"/>
    <mergeCell ref="BN33:BN34"/>
    <mergeCell ref="BN35:BN36"/>
    <mergeCell ref="BN37:BN38"/>
    <mergeCell ref="BN39:BN40"/>
    <mergeCell ref="BN41:BN42"/>
    <mergeCell ref="BD67:BD68"/>
    <mergeCell ref="BD45:BD46"/>
    <mergeCell ref="BD47:BD48"/>
    <mergeCell ref="BD49:BD50"/>
    <mergeCell ref="BD51:BD52"/>
    <mergeCell ref="BD53:BD54"/>
    <mergeCell ref="BD55:BD56"/>
    <mergeCell ref="BD57:BD58"/>
    <mergeCell ref="BD59:BD60"/>
    <mergeCell ref="BD61:BD62"/>
    <mergeCell ref="BD27:BD28"/>
    <mergeCell ref="BD29:BD30"/>
    <mergeCell ref="BD31:BD32"/>
    <mergeCell ref="BD33:BD34"/>
    <mergeCell ref="BD35:BD36"/>
    <mergeCell ref="BD37:BD38"/>
    <mergeCell ref="BD39:BD40"/>
    <mergeCell ref="BD41:BD42"/>
    <mergeCell ref="BD43:BD44"/>
    <mergeCell ref="BD9:BD10"/>
    <mergeCell ref="BD11:BD12"/>
    <mergeCell ref="BD13:BD14"/>
    <mergeCell ref="BD15:BD16"/>
    <mergeCell ref="BD17:BD18"/>
    <mergeCell ref="BD19:BD20"/>
    <mergeCell ref="BD21:BD22"/>
    <mergeCell ref="BD23:BD24"/>
    <mergeCell ref="BD25:BD26"/>
    <mergeCell ref="BC51:BC52"/>
    <mergeCell ref="BC53:BC54"/>
    <mergeCell ref="BC55:BC56"/>
    <mergeCell ref="BC57:BC58"/>
    <mergeCell ref="BC59:BC60"/>
    <mergeCell ref="BC61:BC62"/>
    <mergeCell ref="BC63:BC64"/>
    <mergeCell ref="BC65:BC66"/>
    <mergeCell ref="BD63:BD64"/>
    <mergeCell ref="BD65:BD66"/>
    <mergeCell ref="BC45:BC46"/>
    <mergeCell ref="BC47:BC48"/>
    <mergeCell ref="BC49:BC50"/>
    <mergeCell ref="AH61:AH62"/>
    <mergeCell ref="Y65:Y66"/>
    <mergeCell ref="AA65:AA66"/>
    <mergeCell ref="AB65:AB66"/>
    <mergeCell ref="AE65:AE66"/>
    <mergeCell ref="AB67:AB68"/>
    <mergeCell ref="AE67:AE68"/>
    <mergeCell ref="AE63:AE64"/>
    <mergeCell ref="AG63:AG64"/>
    <mergeCell ref="AH63:AH64"/>
    <mergeCell ref="BC67:BC68"/>
    <mergeCell ref="BB63:BB64"/>
    <mergeCell ref="BB65:BB66"/>
    <mergeCell ref="BB67:BB68"/>
    <mergeCell ref="BC9:BC10"/>
    <mergeCell ref="BC11:BC12"/>
    <mergeCell ref="BC13:BC14"/>
    <mergeCell ref="BC15:BC16"/>
    <mergeCell ref="BC17:BC18"/>
    <mergeCell ref="BC19:BC20"/>
    <mergeCell ref="BC21:BC22"/>
    <mergeCell ref="BC23:BC24"/>
    <mergeCell ref="BC25:BC26"/>
    <mergeCell ref="BC27:BC28"/>
    <mergeCell ref="BC29:BC30"/>
    <mergeCell ref="BC31:BC32"/>
    <mergeCell ref="BC33:BC34"/>
    <mergeCell ref="BC35:BC36"/>
    <mergeCell ref="BC37:BC38"/>
    <mergeCell ref="BC39:BC40"/>
    <mergeCell ref="BC41:BC42"/>
    <mergeCell ref="BC43:BC44"/>
    <mergeCell ref="BB59:BB60"/>
    <mergeCell ref="BB61:BB62"/>
    <mergeCell ref="BB27:BB28"/>
    <mergeCell ref="BB29:BB30"/>
    <mergeCell ref="BB31:BB32"/>
    <mergeCell ref="BB33:BB34"/>
    <mergeCell ref="BB35:BB36"/>
    <mergeCell ref="BB37:BB38"/>
    <mergeCell ref="BB39:BB40"/>
    <mergeCell ref="BB41:BB42"/>
    <mergeCell ref="BB43:BB44"/>
    <mergeCell ref="BB9:BB10"/>
    <mergeCell ref="BB11:BB12"/>
    <mergeCell ref="BB13:BB14"/>
    <mergeCell ref="BB15:BB16"/>
    <mergeCell ref="BB17:BB18"/>
    <mergeCell ref="BB19:BB20"/>
    <mergeCell ref="BB21:BB22"/>
    <mergeCell ref="BB23:BB24"/>
    <mergeCell ref="BB25:BB26"/>
    <mergeCell ref="BB45:BB46"/>
    <mergeCell ref="BB47:BB48"/>
    <mergeCell ref="BB49:BB50"/>
    <mergeCell ref="BB51:BB52"/>
    <mergeCell ref="BB53:BB54"/>
    <mergeCell ref="BB55:BB56"/>
    <mergeCell ref="BB57:BB58"/>
    <mergeCell ref="A67:A68"/>
    <mergeCell ref="B67:B68"/>
    <mergeCell ref="C67:C68"/>
    <mergeCell ref="D67:D68"/>
    <mergeCell ref="F67:F68"/>
    <mergeCell ref="G67:G68"/>
    <mergeCell ref="H67:H68"/>
    <mergeCell ref="I67:I68"/>
    <mergeCell ref="J67:J68"/>
    <mergeCell ref="K67:K68"/>
    <mergeCell ref="M67:M68"/>
    <mergeCell ref="O67:O68"/>
    <mergeCell ref="P67:P68"/>
    <mergeCell ref="R67:R68"/>
    <mergeCell ref="S67:S68"/>
    <mergeCell ref="U67:U68"/>
    <mergeCell ref="V67:V68"/>
    <mergeCell ref="A65:A66"/>
    <mergeCell ref="B65:B66"/>
    <mergeCell ref="C65:C66"/>
    <mergeCell ref="D65:D66"/>
    <mergeCell ref="F65:F66"/>
    <mergeCell ref="G65:G66"/>
    <mergeCell ref="H65:H66"/>
    <mergeCell ref="I65:I66"/>
    <mergeCell ref="J65:J66"/>
    <mergeCell ref="K65:K66"/>
    <mergeCell ref="M65:M66"/>
    <mergeCell ref="O65:O66"/>
    <mergeCell ref="P65:P66"/>
    <mergeCell ref="R65:R66"/>
    <mergeCell ref="S65:S66"/>
    <mergeCell ref="U65:U66"/>
    <mergeCell ref="X63:X64"/>
    <mergeCell ref="A63:A64"/>
    <mergeCell ref="B63:B64"/>
    <mergeCell ref="C63:C64"/>
    <mergeCell ref="D63:D64"/>
    <mergeCell ref="F63:F64"/>
    <mergeCell ref="G63:G64"/>
    <mergeCell ref="H63:H64"/>
    <mergeCell ref="I63:I64"/>
    <mergeCell ref="X65:X66"/>
    <mergeCell ref="V65:V66"/>
    <mergeCell ref="AG67:AG68"/>
    <mergeCell ref="AH67:AH68"/>
    <mergeCell ref="AJ63:AJ64"/>
    <mergeCell ref="AK63:AK64"/>
    <mergeCell ref="AL63:AL64"/>
    <mergeCell ref="AM63:AM64"/>
    <mergeCell ref="Y63:Y64"/>
    <mergeCell ref="AA63:AA64"/>
    <mergeCell ref="AB63:AB64"/>
    <mergeCell ref="AJ67:AJ68"/>
    <mergeCell ref="AK67:AK68"/>
    <mergeCell ref="AL67:AL68"/>
    <mergeCell ref="AM67:AM68"/>
    <mergeCell ref="AK65:AK66"/>
    <mergeCell ref="AL65:AL66"/>
    <mergeCell ref="AM65:AM66"/>
    <mergeCell ref="AG65:AG66"/>
    <mergeCell ref="AH65:AH66"/>
    <mergeCell ref="AJ65:AJ66"/>
    <mergeCell ref="AA67:AA68"/>
    <mergeCell ref="X67:X68"/>
    <mergeCell ref="Y67:Y68"/>
    <mergeCell ref="J63:J64"/>
    <mergeCell ref="K63:K64"/>
    <mergeCell ref="M63:M64"/>
    <mergeCell ref="O63:O64"/>
    <mergeCell ref="P63:P64"/>
    <mergeCell ref="R63:R64"/>
    <mergeCell ref="S63:S64"/>
    <mergeCell ref="U63:U64"/>
    <mergeCell ref="V63:V64"/>
    <mergeCell ref="AL59:AL60"/>
    <mergeCell ref="AM59:AM60"/>
    <mergeCell ref="A61:A62"/>
    <mergeCell ref="B61:B62"/>
    <mergeCell ref="C61:C62"/>
    <mergeCell ref="D61:D62"/>
    <mergeCell ref="F61:F62"/>
    <mergeCell ref="G61:G62"/>
    <mergeCell ref="H61:H62"/>
    <mergeCell ref="I61:I62"/>
    <mergeCell ref="J61:J62"/>
    <mergeCell ref="K61:K62"/>
    <mergeCell ref="M61:M62"/>
    <mergeCell ref="O61:O62"/>
    <mergeCell ref="P61:P62"/>
    <mergeCell ref="R61:R62"/>
    <mergeCell ref="S61:S62"/>
    <mergeCell ref="U61:U62"/>
    <mergeCell ref="V61:V62"/>
    <mergeCell ref="X59:X60"/>
    <mergeCell ref="Y59:Y60"/>
    <mergeCell ref="AA59:AA60"/>
    <mergeCell ref="AB59:AB60"/>
    <mergeCell ref="J59:J60"/>
    <mergeCell ref="K59:K60"/>
    <mergeCell ref="M59:M60"/>
    <mergeCell ref="O59:O60"/>
    <mergeCell ref="P59:P60"/>
    <mergeCell ref="R59:R60"/>
    <mergeCell ref="S59:S60"/>
    <mergeCell ref="U59:U60"/>
    <mergeCell ref="AL61:AL62"/>
    <mergeCell ref="AM61:AM62"/>
    <mergeCell ref="AA57:AA58"/>
    <mergeCell ref="AB57:AB58"/>
    <mergeCell ref="AE57:AE58"/>
    <mergeCell ref="AG57:AG58"/>
    <mergeCell ref="AH57:AH58"/>
    <mergeCell ref="AD57:AD58"/>
    <mergeCell ref="AJ57:AJ58"/>
    <mergeCell ref="AK57:AK58"/>
    <mergeCell ref="AJ61:AJ62"/>
    <mergeCell ref="AK61:AK62"/>
    <mergeCell ref="AG59:AG60"/>
    <mergeCell ref="AH59:AH60"/>
    <mergeCell ref="AJ59:AJ60"/>
    <mergeCell ref="AK59:AK60"/>
    <mergeCell ref="AL57:AL58"/>
    <mergeCell ref="AM57:AM58"/>
    <mergeCell ref="X61:X62"/>
    <mergeCell ref="Y61:Y62"/>
    <mergeCell ref="AA61:AA62"/>
    <mergeCell ref="AB61:AB62"/>
    <mergeCell ref="AE61:AE62"/>
    <mergeCell ref="AG61:AG62"/>
    <mergeCell ref="V59:V60"/>
    <mergeCell ref="AE59:AE60"/>
    <mergeCell ref="A57:A58"/>
    <mergeCell ref="B57:B58"/>
    <mergeCell ref="C57:C58"/>
    <mergeCell ref="V57:V58"/>
    <mergeCell ref="B55:B56"/>
    <mergeCell ref="C55:C56"/>
    <mergeCell ref="D55:D56"/>
    <mergeCell ref="F55:F56"/>
    <mergeCell ref="G55:G56"/>
    <mergeCell ref="H55:H56"/>
    <mergeCell ref="X57:X58"/>
    <mergeCell ref="Y57:Y58"/>
    <mergeCell ref="U55:U56"/>
    <mergeCell ref="V55:V56"/>
    <mergeCell ref="X55:X56"/>
    <mergeCell ref="Y55:Y56"/>
    <mergeCell ref="M55:M56"/>
    <mergeCell ref="O55:O56"/>
    <mergeCell ref="P55:P56"/>
    <mergeCell ref="R55:R56"/>
    <mergeCell ref="S55:S56"/>
    <mergeCell ref="A55:A56"/>
    <mergeCell ref="A59:A60"/>
    <mergeCell ref="B59:B60"/>
    <mergeCell ref="C59:C60"/>
    <mergeCell ref="D59:D60"/>
    <mergeCell ref="F59:F60"/>
    <mergeCell ref="G59:G60"/>
    <mergeCell ref="H59:H60"/>
    <mergeCell ref="I59:I60"/>
    <mergeCell ref="A53:A54"/>
    <mergeCell ref="B53:B54"/>
    <mergeCell ref="C53:C54"/>
    <mergeCell ref="D53:D54"/>
    <mergeCell ref="F53:F54"/>
    <mergeCell ref="G53:G54"/>
    <mergeCell ref="H53:H54"/>
    <mergeCell ref="I53:I54"/>
    <mergeCell ref="J53:J54"/>
    <mergeCell ref="K53:K54"/>
    <mergeCell ref="M53:M54"/>
    <mergeCell ref="O53:O54"/>
    <mergeCell ref="P53:P54"/>
    <mergeCell ref="R53:R54"/>
    <mergeCell ref="S53:S54"/>
    <mergeCell ref="U53:U54"/>
    <mergeCell ref="D57:D58"/>
    <mergeCell ref="F57:F58"/>
    <mergeCell ref="G57:G58"/>
    <mergeCell ref="H57:H58"/>
    <mergeCell ref="I57:I58"/>
    <mergeCell ref="J57:J58"/>
    <mergeCell ref="K57:K58"/>
    <mergeCell ref="M57:M58"/>
    <mergeCell ref="O57:O58"/>
    <mergeCell ref="P57:P58"/>
    <mergeCell ref="R57:R58"/>
    <mergeCell ref="S57:S58"/>
    <mergeCell ref="U57:U58"/>
    <mergeCell ref="I55:I56"/>
    <mergeCell ref="J55:J56"/>
    <mergeCell ref="K55:K56"/>
    <mergeCell ref="V51:V52"/>
    <mergeCell ref="X51:X52"/>
    <mergeCell ref="Y51:Y52"/>
    <mergeCell ref="AA51:AA52"/>
    <mergeCell ref="AB51:AB52"/>
    <mergeCell ref="AE51:AE52"/>
    <mergeCell ref="AG51:AG52"/>
    <mergeCell ref="AG55:AG56"/>
    <mergeCell ref="AH55:AH56"/>
    <mergeCell ref="AA53:AA54"/>
    <mergeCell ref="AB53:AB54"/>
    <mergeCell ref="AE53:AE54"/>
    <mergeCell ref="AG53:AG54"/>
    <mergeCell ref="AH53:AH54"/>
    <mergeCell ref="AH51:AH52"/>
    <mergeCell ref="AK53:AK54"/>
    <mergeCell ref="V53:V54"/>
    <mergeCell ref="AA55:AA56"/>
    <mergeCell ref="AB55:AB56"/>
    <mergeCell ref="A51:A52"/>
    <mergeCell ref="B51:B52"/>
    <mergeCell ref="C51:C52"/>
    <mergeCell ref="D51:D52"/>
    <mergeCell ref="F51:F52"/>
    <mergeCell ref="G51:G52"/>
    <mergeCell ref="H51:H52"/>
    <mergeCell ref="I51:I52"/>
    <mergeCell ref="J51:J52"/>
    <mergeCell ref="K51:K52"/>
    <mergeCell ref="M51:M52"/>
    <mergeCell ref="O51:O52"/>
    <mergeCell ref="P51:P52"/>
    <mergeCell ref="R51:R52"/>
    <mergeCell ref="S51:S52"/>
    <mergeCell ref="AD51:AD52"/>
    <mergeCell ref="X49:X50"/>
    <mergeCell ref="Y49:Y50"/>
    <mergeCell ref="AA49:AA50"/>
    <mergeCell ref="AB49:AB50"/>
    <mergeCell ref="A49:A50"/>
    <mergeCell ref="B49:B50"/>
    <mergeCell ref="C49:C50"/>
    <mergeCell ref="D49:D50"/>
    <mergeCell ref="F49:F50"/>
    <mergeCell ref="G49:G50"/>
    <mergeCell ref="H49:H50"/>
    <mergeCell ref="I49:I50"/>
    <mergeCell ref="J49:J50"/>
    <mergeCell ref="K49:K50"/>
    <mergeCell ref="M49:M50"/>
    <mergeCell ref="U51:U52"/>
    <mergeCell ref="AE49:AE50"/>
    <mergeCell ref="AG49:AG50"/>
    <mergeCell ref="AH49:AH50"/>
    <mergeCell ref="AK49:AK50"/>
    <mergeCell ref="AL49:AL50"/>
    <mergeCell ref="AM49:AM50"/>
    <mergeCell ref="AD49:AD50"/>
    <mergeCell ref="AH47:AH48"/>
    <mergeCell ref="AL53:AL54"/>
    <mergeCell ref="AM53:AM54"/>
    <mergeCell ref="X53:X54"/>
    <mergeCell ref="Y53:Y54"/>
    <mergeCell ref="AD55:AD56"/>
    <mergeCell ref="AJ55:AJ56"/>
    <mergeCell ref="AK55:AK56"/>
    <mergeCell ref="AL55:AL56"/>
    <mergeCell ref="AM55:AM56"/>
    <mergeCell ref="AJ51:AJ52"/>
    <mergeCell ref="AJ47:AJ48"/>
    <mergeCell ref="AK47:AK48"/>
    <mergeCell ref="AL47:AL48"/>
    <mergeCell ref="AE55:AE56"/>
    <mergeCell ref="AD47:AD48"/>
    <mergeCell ref="AD53:AD54"/>
    <mergeCell ref="AK51:AK52"/>
    <mergeCell ref="AL51:AL52"/>
    <mergeCell ref="AM51:AM52"/>
    <mergeCell ref="O49:O50"/>
    <mergeCell ref="P49:P50"/>
    <mergeCell ref="R49:R50"/>
    <mergeCell ref="S49:S50"/>
    <mergeCell ref="U49:U50"/>
    <mergeCell ref="V49:V50"/>
    <mergeCell ref="AM45:AM46"/>
    <mergeCell ref="A47:A48"/>
    <mergeCell ref="B47:B48"/>
    <mergeCell ref="C47:C48"/>
    <mergeCell ref="D47:D48"/>
    <mergeCell ref="F47:F48"/>
    <mergeCell ref="G47:G48"/>
    <mergeCell ref="H47:H48"/>
    <mergeCell ref="I47:I48"/>
    <mergeCell ref="J47:J48"/>
    <mergeCell ref="K47:K48"/>
    <mergeCell ref="M47:M48"/>
    <mergeCell ref="O47:O48"/>
    <mergeCell ref="P47:P48"/>
    <mergeCell ref="R47:R48"/>
    <mergeCell ref="S47:S48"/>
    <mergeCell ref="U47:U48"/>
    <mergeCell ref="V47:V48"/>
    <mergeCell ref="X47:X48"/>
    <mergeCell ref="Y47:Y48"/>
    <mergeCell ref="AA47:AA48"/>
    <mergeCell ref="AB47:AB48"/>
    <mergeCell ref="AE47:AE48"/>
    <mergeCell ref="X45:X46"/>
    <mergeCell ref="Y45:Y46"/>
    <mergeCell ref="AA45:AA46"/>
    <mergeCell ref="AB45:AB46"/>
    <mergeCell ref="AE45:AE46"/>
    <mergeCell ref="AG45:AG46"/>
    <mergeCell ref="AH45:AH46"/>
    <mergeCell ref="AK45:AK46"/>
    <mergeCell ref="AM47:AM48"/>
    <mergeCell ref="AL45:AL46"/>
    <mergeCell ref="J45:J46"/>
    <mergeCell ref="K45:K46"/>
    <mergeCell ref="M45:M46"/>
    <mergeCell ref="O45:O46"/>
    <mergeCell ref="P45:P46"/>
    <mergeCell ref="R45:R46"/>
    <mergeCell ref="S45:S46"/>
    <mergeCell ref="U45:U46"/>
    <mergeCell ref="V45:V46"/>
    <mergeCell ref="A45:A46"/>
    <mergeCell ref="B45:B46"/>
    <mergeCell ref="C45:C46"/>
    <mergeCell ref="D45:D46"/>
    <mergeCell ref="F45:F46"/>
    <mergeCell ref="G45:G46"/>
    <mergeCell ref="H45:H46"/>
    <mergeCell ref="I45:I46"/>
    <mergeCell ref="AD37:AD38"/>
    <mergeCell ref="V39:V40"/>
    <mergeCell ref="X39:X40"/>
    <mergeCell ref="Y39:Y40"/>
    <mergeCell ref="AA39:AA40"/>
    <mergeCell ref="H39:H40"/>
    <mergeCell ref="I39:I40"/>
    <mergeCell ref="J39:J40"/>
    <mergeCell ref="AH43:AH44"/>
    <mergeCell ref="AJ43:AJ44"/>
    <mergeCell ref="AK43:AK44"/>
    <mergeCell ref="AL43:AL44"/>
    <mergeCell ref="AM43:AM44"/>
    <mergeCell ref="AB41:AB42"/>
    <mergeCell ref="AK41:AK42"/>
    <mergeCell ref="AL41:AL42"/>
    <mergeCell ref="AM41:AM42"/>
    <mergeCell ref="H43:H44"/>
    <mergeCell ref="I43:I44"/>
    <mergeCell ref="J43:J44"/>
    <mergeCell ref="K43:K44"/>
    <mergeCell ref="M43:M44"/>
    <mergeCell ref="O43:O44"/>
    <mergeCell ref="P43:P44"/>
    <mergeCell ref="R43:R44"/>
    <mergeCell ref="S43:S44"/>
    <mergeCell ref="U43:U44"/>
    <mergeCell ref="V43:V44"/>
    <mergeCell ref="X43:X44"/>
    <mergeCell ref="Y43:Y44"/>
    <mergeCell ref="AA43:AA44"/>
    <mergeCell ref="AE43:AE44"/>
    <mergeCell ref="AG43:AG44"/>
    <mergeCell ref="AM39:AM40"/>
    <mergeCell ref="A41:A42"/>
    <mergeCell ref="B41:B42"/>
    <mergeCell ref="C41:C42"/>
    <mergeCell ref="D41:D42"/>
    <mergeCell ref="F41:F42"/>
    <mergeCell ref="G41:G42"/>
    <mergeCell ref="H41:H42"/>
    <mergeCell ref="I41:I42"/>
    <mergeCell ref="J41:J42"/>
    <mergeCell ref="K41:K42"/>
    <mergeCell ref="M41:M42"/>
    <mergeCell ref="O41:O42"/>
    <mergeCell ref="P41:P42"/>
    <mergeCell ref="R41:R42"/>
    <mergeCell ref="S41:S42"/>
    <mergeCell ref="U41:U42"/>
    <mergeCell ref="V41:V42"/>
    <mergeCell ref="X41:X42"/>
    <mergeCell ref="Y41:Y42"/>
    <mergeCell ref="AA41:AA42"/>
    <mergeCell ref="R39:R40"/>
    <mergeCell ref="S39:S40"/>
    <mergeCell ref="U39:U40"/>
    <mergeCell ref="A43:A44"/>
    <mergeCell ref="B43:B44"/>
    <mergeCell ref="C43:C44"/>
    <mergeCell ref="D43:D44"/>
    <mergeCell ref="F43:F44"/>
    <mergeCell ref="G43:G44"/>
    <mergeCell ref="AB43:AB44"/>
    <mergeCell ref="AE41:AE42"/>
    <mergeCell ref="AG41:AG42"/>
    <mergeCell ref="AH41:AH42"/>
    <mergeCell ref="AJ41:AJ42"/>
    <mergeCell ref="AJ45:AJ46"/>
    <mergeCell ref="AJ49:AJ50"/>
    <mergeCell ref="AJ53:AJ54"/>
    <mergeCell ref="AG39:AG40"/>
    <mergeCell ref="AH39:AH40"/>
    <mergeCell ref="A1:F2"/>
    <mergeCell ref="AD73:AD74"/>
    <mergeCell ref="AD41:AD42"/>
    <mergeCell ref="AD43:AD44"/>
    <mergeCell ref="AD45:AD46"/>
    <mergeCell ref="AD17:AD18"/>
    <mergeCell ref="AD39:AD40"/>
    <mergeCell ref="AD19:AD20"/>
    <mergeCell ref="AD21:AD22"/>
    <mergeCell ref="AD23:AD24"/>
    <mergeCell ref="AD25:AD26"/>
    <mergeCell ref="AD27:AD28"/>
    <mergeCell ref="AD29:AD30"/>
    <mergeCell ref="AD31:AD32"/>
    <mergeCell ref="AD33:AD34"/>
    <mergeCell ref="AD35:AD36"/>
    <mergeCell ref="AD13:AD14"/>
    <mergeCell ref="AD59:AD60"/>
    <mergeCell ref="AD67:AD68"/>
    <mergeCell ref="A39:A40"/>
    <mergeCell ref="B39:B40"/>
    <mergeCell ref="AH11:AH12"/>
    <mergeCell ref="R15:R16"/>
    <mergeCell ref="C39:C40"/>
    <mergeCell ref="D39:D40"/>
    <mergeCell ref="F11:F12"/>
    <mergeCell ref="G11:G12"/>
    <mergeCell ref="H11:H12"/>
    <mergeCell ref="I11:I12"/>
    <mergeCell ref="J11:J12"/>
    <mergeCell ref="AB39:AB40"/>
    <mergeCell ref="F39:F40"/>
    <mergeCell ref="G39:G40"/>
    <mergeCell ref="M39:M40"/>
    <mergeCell ref="AD75:AD76"/>
    <mergeCell ref="AD77:AD78"/>
    <mergeCell ref="AD79:AD80"/>
    <mergeCell ref="AD69:AD70"/>
    <mergeCell ref="AD71:AD72"/>
    <mergeCell ref="A9:A10"/>
    <mergeCell ref="B9:B10"/>
    <mergeCell ref="H15:H16"/>
    <mergeCell ref="I15:I16"/>
    <mergeCell ref="J15:J16"/>
    <mergeCell ref="AA15:AA16"/>
    <mergeCell ref="AB15:AB16"/>
    <mergeCell ref="A21:A22"/>
    <mergeCell ref="B21:B22"/>
    <mergeCell ref="A25:A26"/>
    <mergeCell ref="B25:B26"/>
    <mergeCell ref="C25:C26"/>
    <mergeCell ref="D25:D26"/>
    <mergeCell ref="F25:F26"/>
    <mergeCell ref="G25:G26"/>
    <mergeCell ref="H25:H26"/>
    <mergeCell ref="AL9:AL10"/>
    <mergeCell ref="M9:M10"/>
    <mergeCell ref="O9:O10"/>
    <mergeCell ref="P9:P10"/>
    <mergeCell ref="R9:R10"/>
    <mergeCell ref="S9:S10"/>
    <mergeCell ref="U9:U10"/>
    <mergeCell ref="G9:G10"/>
    <mergeCell ref="H9:H10"/>
    <mergeCell ref="I9:I10"/>
    <mergeCell ref="J9:J10"/>
    <mergeCell ref="K9:K10"/>
    <mergeCell ref="C9:C10"/>
    <mergeCell ref="AE9:AE10"/>
    <mergeCell ref="A11:A12"/>
    <mergeCell ref="B11:B12"/>
    <mergeCell ref="C11:C12"/>
    <mergeCell ref="M11:M12"/>
    <mergeCell ref="O11:O12"/>
    <mergeCell ref="P11:P12"/>
    <mergeCell ref="R11:R12"/>
    <mergeCell ref="AG9:AG10"/>
    <mergeCell ref="AH9:AH10"/>
    <mergeCell ref="AL11:AL12"/>
    <mergeCell ref="AJ11:AJ12"/>
    <mergeCell ref="AE11:AE12"/>
    <mergeCell ref="AG11:AG12"/>
    <mergeCell ref="K11:K12"/>
    <mergeCell ref="AJ39:AJ40"/>
    <mergeCell ref="K39:K40"/>
    <mergeCell ref="O39:O40"/>
    <mergeCell ref="P39:P40"/>
    <mergeCell ref="AD81:AD82"/>
    <mergeCell ref="AD99:AD100"/>
    <mergeCell ref="AJ15:AJ16"/>
    <mergeCell ref="AK15:AK16"/>
    <mergeCell ref="AL15:AL16"/>
    <mergeCell ref="AH19:AH20"/>
    <mergeCell ref="AG21:AG22"/>
    <mergeCell ref="AH21:AH22"/>
    <mergeCell ref="AH23:AH24"/>
    <mergeCell ref="AH25:AH26"/>
    <mergeCell ref="AG27:AG28"/>
    <mergeCell ref="AH27:AH28"/>
    <mergeCell ref="AK31:AK32"/>
    <mergeCell ref="AL31:AL32"/>
    <mergeCell ref="AD61:AD62"/>
    <mergeCell ref="AD63:AD64"/>
    <mergeCell ref="AD65:AD66"/>
    <mergeCell ref="AK21:AK22"/>
    <mergeCell ref="AL21:AL22"/>
    <mergeCell ref="AK19:AK20"/>
    <mergeCell ref="AL19:AL20"/>
    <mergeCell ref="AK25:AK26"/>
    <mergeCell ref="AL25:AL26"/>
    <mergeCell ref="AH17:AH18"/>
    <mergeCell ref="AG33:AG34"/>
    <mergeCell ref="AL33:AL34"/>
    <mergeCell ref="AH37:AH38"/>
    <mergeCell ref="AG47:AG48"/>
    <mergeCell ref="AE39:AE40"/>
    <mergeCell ref="AK39:AK40"/>
    <mergeCell ref="AL39:AL40"/>
    <mergeCell ref="AD101:AD102"/>
    <mergeCell ref="AD87:AD88"/>
    <mergeCell ref="AD89:AD90"/>
    <mergeCell ref="AD91:AD92"/>
    <mergeCell ref="AD93:AD94"/>
    <mergeCell ref="AD95:AD96"/>
    <mergeCell ref="AD97:AD98"/>
    <mergeCell ref="AD85:AD86"/>
    <mergeCell ref="AD83:AD84"/>
    <mergeCell ref="AM9:AM10"/>
    <mergeCell ref="AC7:AE7"/>
    <mergeCell ref="AI7:AK7"/>
    <mergeCell ref="D9:D10"/>
    <mergeCell ref="F9:F10"/>
    <mergeCell ref="V9:V10"/>
    <mergeCell ref="AA9:AA10"/>
    <mergeCell ref="N7:P7"/>
    <mergeCell ref="Q7:S7"/>
    <mergeCell ref="T7:V7"/>
    <mergeCell ref="Z7:AB7"/>
    <mergeCell ref="AB9:AB10"/>
    <mergeCell ref="X9:X10"/>
    <mergeCell ref="Y9:Y10"/>
    <mergeCell ref="AD9:AD10"/>
    <mergeCell ref="AJ9:AJ10"/>
    <mergeCell ref="AK9:AK10"/>
    <mergeCell ref="D11:D12"/>
    <mergeCell ref="AF7:AH7"/>
    <mergeCell ref="W7:Y7"/>
    <mergeCell ref="AM11:AM12"/>
    <mergeCell ref="A13:A14"/>
    <mergeCell ref="B13:B14"/>
    <mergeCell ref="C13:C14"/>
    <mergeCell ref="D13:D14"/>
    <mergeCell ref="F13:F14"/>
    <mergeCell ref="G13:G14"/>
    <mergeCell ref="H13:H14"/>
    <mergeCell ref="I13:I14"/>
    <mergeCell ref="J13:J14"/>
    <mergeCell ref="K13:K14"/>
    <mergeCell ref="M13:M14"/>
    <mergeCell ref="O13:O14"/>
    <mergeCell ref="P13:P14"/>
    <mergeCell ref="AA11:AA12"/>
    <mergeCell ref="AB11:AB12"/>
    <mergeCell ref="AD11:AD12"/>
    <mergeCell ref="S11:S12"/>
    <mergeCell ref="U11:U12"/>
    <mergeCell ref="V11:V12"/>
    <mergeCell ref="X11:X12"/>
    <mergeCell ref="Y11:Y12"/>
    <mergeCell ref="R13:R14"/>
    <mergeCell ref="AM13:AM14"/>
    <mergeCell ref="Y13:Y14"/>
    <mergeCell ref="AA13:AA14"/>
    <mergeCell ref="AB13:AB14"/>
    <mergeCell ref="AE13:AE14"/>
    <mergeCell ref="AG13:AG14"/>
    <mergeCell ref="AK11:AK12"/>
    <mergeCell ref="A17:A18"/>
    <mergeCell ref="B17:B18"/>
    <mergeCell ref="C17:C18"/>
    <mergeCell ref="D17:D18"/>
    <mergeCell ref="F17:F18"/>
    <mergeCell ref="G17:G18"/>
    <mergeCell ref="H17:H18"/>
    <mergeCell ref="I17:I18"/>
    <mergeCell ref="A15:A16"/>
    <mergeCell ref="B15:B16"/>
    <mergeCell ref="C15:C16"/>
    <mergeCell ref="D15:D16"/>
    <mergeCell ref="AG15:AG16"/>
    <mergeCell ref="AH15:AH16"/>
    <mergeCell ref="S15:S16"/>
    <mergeCell ref="U15:U16"/>
    <mergeCell ref="O15:O16"/>
    <mergeCell ref="P15:P16"/>
    <mergeCell ref="F15:F16"/>
    <mergeCell ref="G15:G16"/>
    <mergeCell ref="AD15:AD16"/>
    <mergeCell ref="C21:C22"/>
    <mergeCell ref="D21:D22"/>
    <mergeCell ref="F21:F22"/>
    <mergeCell ref="G21:G22"/>
    <mergeCell ref="H21:H22"/>
    <mergeCell ref="I21:I22"/>
    <mergeCell ref="J21:J22"/>
    <mergeCell ref="K21:K22"/>
    <mergeCell ref="M21:M22"/>
    <mergeCell ref="O21:O22"/>
    <mergeCell ref="P21:P22"/>
    <mergeCell ref="R21:R22"/>
    <mergeCell ref="AE19:AE20"/>
    <mergeCell ref="AM15:AM16"/>
    <mergeCell ref="S13:S14"/>
    <mergeCell ref="U13:U14"/>
    <mergeCell ref="V13:V14"/>
    <mergeCell ref="X13:X14"/>
    <mergeCell ref="V15:V16"/>
    <mergeCell ref="X15:X16"/>
    <mergeCell ref="Y15:Y16"/>
    <mergeCell ref="AK13:AK14"/>
    <mergeCell ref="AL13:AL14"/>
    <mergeCell ref="AH13:AH14"/>
    <mergeCell ref="AJ13:AJ14"/>
    <mergeCell ref="AJ19:AJ20"/>
    <mergeCell ref="AA19:AA20"/>
    <mergeCell ref="AB19:AB20"/>
    <mergeCell ref="S19:S20"/>
    <mergeCell ref="U19:U20"/>
    <mergeCell ref="V19:V20"/>
    <mergeCell ref="X19:X20"/>
    <mergeCell ref="Y19:Y20"/>
    <mergeCell ref="AE15:AE16"/>
    <mergeCell ref="K15:K16"/>
    <mergeCell ref="M15:M16"/>
    <mergeCell ref="S17:S18"/>
    <mergeCell ref="U17:U18"/>
    <mergeCell ref="V17:V18"/>
    <mergeCell ref="X17:X18"/>
    <mergeCell ref="Y17:Y18"/>
    <mergeCell ref="J17:J18"/>
    <mergeCell ref="K17:K18"/>
    <mergeCell ref="M17:M18"/>
    <mergeCell ref="O17:O18"/>
    <mergeCell ref="P17:P18"/>
    <mergeCell ref="R17:R18"/>
    <mergeCell ref="AJ21:AJ22"/>
    <mergeCell ref="M23:M24"/>
    <mergeCell ref="AJ23:AJ24"/>
    <mergeCell ref="AB23:AB24"/>
    <mergeCell ref="AE23:AE24"/>
    <mergeCell ref="AG23:AG24"/>
    <mergeCell ref="AK23:AK24"/>
    <mergeCell ref="AL23:AL24"/>
    <mergeCell ref="O23:O24"/>
    <mergeCell ref="P23:P24"/>
    <mergeCell ref="R23:R24"/>
    <mergeCell ref="AM17:AM18"/>
    <mergeCell ref="A19:A20"/>
    <mergeCell ref="B19:B20"/>
    <mergeCell ref="C19:C20"/>
    <mergeCell ref="D19:D20"/>
    <mergeCell ref="F19:F20"/>
    <mergeCell ref="G19:G20"/>
    <mergeCell ref="H19:H20"/>
    <mergeCell ref="I19:I20"/>
    <mergeCell ref="J19:J20"/>
    <mergeCell ref="K19:K20"/>
    <mergeCell ref="M19:M20"/>
    <mergeCell ref="O19:O20"/>
    <mergeCell ref="P19:P20"/>
    <mergeCell ref="R19:R20"/>
    <mergeCell ref="AJ17:AJ18"/>
    <mergeCell ref="AK17:AK18"/>
    <mergeCell ref="AL17:AL18"/>
    <mergeCell ref="AA17:AA18"/>
    <mergeCell ref="AB17:AB18"/>
    <mergeCell ref="AE17:AE18"/>
    <mergeCell ref="AG17:AG18"/>
    <mergeCell ref="AG19:AG20"/>
    <mergeCell ref="AM19:AM20"/>
    <mergeCell ref="A23:A24"/>
    <mergeCell ref="B23:B24"/>
    <mergeCell ref="AA23:AA24"/>
    <mergeCell ref="M27:M28"/>
    <mergeCell ref="O27:O28"/>
    <mergeCell ref="P27:P28"/>
    <mergeCell ref="R27:R28"/>
    <mergeCell ref="AA25:AA26"/>
    <mergeCell ref="AB25:AB26"/>
    <mergeCell ref="AM21:AM22"/>
    <mergeCell ref="AA21:AA22"/>
    <mergeCell ref="AB21:AB22"/>
    <mergeCell ref="AE21:AE22"/>
    <mergeCell ref="AL27:AL28"/>
    <mergeCell ref="AA27:AA28"/>
    <mergeCell ref="AB27:AB28"/>
    <mergeCell ref="AE27:AE28"/>
    <mergeCell ref="AM25:AM26"/>
    <mergeCell ref="AJ25:AJ26"/>
    <mergeCell ref="AM27:AM28"/>
    <mergeCell ref="X27:X28"/>
    <mergeCell ref="Y27:Y28"/>
    <mergeCell ref="S27:S28"/>
    <mergeCell ref="M25:M26"/>
    <mergeCell ref="O25:O26"/>
    <mergeCell ref="P25:P26"/>
    <mergeCell ref="R25:R26"/>
    <mergeCell ref="X23:X24"/>
    <mergeCell ref="Y23:Y24"/>
    <mergeCell ref="S21:S22"/>
    <mergeCell ref="U21:U22"/>
    <mergeCell ref="V21:V22"/>
    <mergeCell ref="X21:X22"/>
    <mergeCell ref="Y21:Y22"/>
    <mergeCell ref="AM23:AM24"/>
    <mergeCell ref="AG25:AG26"/>
    <mergeCell ref="S25:S26"/>
    <mergeCell ref="U25:U26"/>
    <mergeCell ref="V25:V26"/>
    <mergeCell ref="X25:X26"/>
    <mergeCell ref="Y25:Y26"/>
    <mergeCell ref="I23:I24"/>
    <mergeCell ref="S23:S24"/>
    <mergeCell ref="U23:U24"/>
    <mergeCell ref="V23:V24"/>
    <mergeCell ref="AE25:AE26"/>
    <mergeCell ref="I25:I26"/>
    <mergeCell ref="J25:J26"/>
    <mergeCell ref="K25:K26"/>
    <mergeCell ref="J23:J24"/>
    <mergeCell ref="K23:K24"/>
    <mergeCell ref="C23:C24"/>
    <mergeCell ref="D23:D24"/>
    <mergeCell ref="F23:F24"/>
    <mergeCell ref="G23:G24"/>
    <mergeCell ref="H23:H24"/>
    <mergeCell ref="A27:A28"/>
    <mergeCell ref="B27:B28"/>
    <mergeCell ref="C27:C28"/>
    <mergeCell ref="D27:D28"/>
    <mergeCell ref="F27:F28"/>
    <mergeCell ref="G27:G28"/>
    <mergeCell ref="H27:H28"/>
    <mergeCell ref="I27:I28"/>
    <mergeCell ref="J27:J28"/>
    <mergeCell ref="K27:K28"/>
    <mergeCell ref="O31:O32"/>
    <mergeCell ref="P31:P32"/>
    <mergeCell ref="R31:R32"/>
    <mergeCell ref="AJ29:AJ30"/>
    <mergeCell ref="AK29:AK30"/>
    <mergeCell ref="AL29:AL30"/>
    <mergeCell ref="J29:J30"/>
    <mergeCell ref="K29:K30"/>
    <mergeCell ref="M29:M30"/>
    <mergeCell ref="O29:O30"/>
    <mergeCell ref="P29:P30"/>
    <mergeCell ref="A29:A30"/>
    <mergeCell ref="B29:B30"/>
    <mergeCell ref="C29:C30"/>
    <mergeCell ref="D29:D30"/>
    <mergeCell ref="F29:F30"/>
    <mergeCell ref="G29:G30"/>
    <mergeCell ref="H29:H30"/>
    <mergeCell ref="I29:I30"/>
    <mergeCell ref="R29:R30"/>
    <mergeCell ref="AA29:AA30"/>
    <mergeCell ref="AB29:AB30"/>
    <mergeCell ref="AE29:AE30"/>
    <mergeCell ref="AG29:AG30"/>
    <mergeCell ref="AH29:AH30"/>
    <mergeCell ref="S29:S30"/>
    <mergeCell ref="U29:U30"/>
    <mergeCell ref="V29:V30"/>
    <mergeCell ref="X29:X30"/>
    <mergeCell ref="Y29:Y30"/>
    <mergeCell ref="A33:A34"/>
    <mergeCell ref="B33:B34"/>
    <mergeCell ref="C33:C34"/>
    <mergeCell ref="D33:D34"/>
    <mergeCell ref="F33:F34"/>
    <mergeCell ref="G33:G34"/>
    <mergeCell ref="H33:H34"/>
    <mergeCell ref="I33:I34"/>
    <mergeCell ref="J33:J34"/>
    <mergeCell ref="K33:K34"/>
    <mergeCell ref="M33:M34"/>
    <mergeCell ref="O33:O34"/>
    <mergeCell ref="P33:P34"/>
    <mergeCell ref="R33:R34"/>
    <mergeCell ref="AJ31:AJ32"/>
    <mergeCell ref="AM33:AM34"/>
    <mergeCell ref="AA31:AA32"/>
    <mergeCell ref="AB31:AB32"/>
    <mergeCell ref="AE31:AE32"/>
    <mergeCell ref="AG31:AG32"/>
    <mergeCell ref="AH31:AH32"/>
    <mergeCell ref="A31:A32"/>
    <mergeCell ref="B31:B32"/>
    <mergeCell ref="C31:C32"/>
    <mergeCell ref="D31:D32"/>
    <mergeCell ref="F31:F32"/>
    <mergeCell ref="G31:G32"/>
    <mergeCell ref="H31:H32"/>
    <mergeCell ref="I31:I32"/>
    <mergeCell ref="J31:J32"/>
    <mergeCell ref="K31:K32"/>
    <mergeCell ref="M31:M32"/>
    <mergeCell ref="M35:M36"/>
    <mergeCell ref="O35:O36"/>
    <mergeCell ref="P35:P36"/>
    <mergeCell ref="R35:R36"/>
    <mergeCell ref="AJ33:AJ34"/>
    <mergeCell ref="AK33:AK34"/>
    <mergeCell ref="AA33:AA34"/>
    <mergeCell ref="AB33:AB34"/>
    <mergeCell ref="AE33:AE34"/>
    <mergeCell ref="AA35:AA36"/>
    <mergeCell ref="AB35:AB36"/>
    <mergeCell ref="AE35:AE36"/>
    <mergeCell ref="AG35:AG36"/>
    <mergeCell ref="AH35:AH36"/>
    <mergeCell ref="S35:S36"/>
    <mergeCell ref="U35:U36"/>
    <mergeCell ref="V35:V36"/>
    <mergeCell ref="X35:X36"/>
    <mergeCell ref="Y35:Y36"/>
    <mergeCell ref="AH33:AH34"/>
    <mergeCell ref="S33:S34"/>
    <mergeCell ref="U33:U34"/>
    <mergeCell ref="V33:V34"/>
    <mergeCell ref="X33:X34"/>
    <mergeCell ref="Y33:Y34"/>
    <mergeCell ref="A37:A38"/>
    <mergeCell ref="B37:B38"/>
    <mergeCell ref="C37:C38"/>
    <mergeCell ref="D37:D38"/>
    <mergeCell ref="F37:F38"/>
    <mergeCell ref="G37:G38"/>
    <mergeCell ref="H37:H38"/>
    <mergeCell ref="I37:I38"/>
    <mergeCell ref="J37:J38"/>
    <mergeCell ref="K37:K38"/>
    <mergeCell ref="M37:M38"/>
    <mergeCell ref="O37:O38"/>
    <mergeCell ref="P37:P38"/>
    <mergeCell ref="R37:R38"/>
    <mergeCell ref="AJ35:AJ36"/>
    <mergeCell ref="AK35:AK36"/>
    <mergeCell ref="AJ37:AJ38"/>
    <mergeCell ref="AK37:AK38"/>
    <mergeCell ref="AA37:AA38"/>
    <mergeCell ref="AB37:AB38"/>
    <mergeCell ref="AE37:AE38"/>
    <mergeCell ref="AG37:AG38"/>
    <mergeCell ref="A35:A36"/>
    <mergeCell ref="B35:B36"/>
    <mergeCell ref="C35:C36"/>
    <mergeCell ref="D35:D36"/>
    <mergeCell ref="F35:F36"/>
    <mergeCell ref="G35:G36"/>
    <mergeCell ref="H35:H36"/>
    <mergeCell ref="I35:I36"/>
    <mergeCell ref="J35:J36"/>
    <mergeCell ref="K35:K36"/>
    <mergeCell ref="BA9:BA10"/>
    <mergeCell ref="BA11:BA12"/>
    <mergeCell ref="BA13:BA14"/>
    <mergeCell ref="BA15:BA16"/>
    <mergeCell ref="BA17:BA18"/>
    <mergeCell ref="BA19:BA20"/>
    <mergeCell ref="BA21:BA22"/>
    <mergeCell ref="BA23:BA24"/>
    <mergeCell ref="BA25:BA26"/>
    <mergeCell ref="BA27:BA28"/>
    <mergeCell ref="BA29:BA30"/>
    <mergeCell ref="BA31:BA32"/>
    <mergeCell ref="S37:S38"/>
    <mergeCell ref="U37:U38"/>
    <mergeCell ref="V37:V38"/>
    <mergeCell ref="X37:X38"/>
    <mergeCell ref="Y37:Y38"/>
    <mergeCell ref="AM35:AM36"/>
    <mergeCell ref="AL35:AL36"/>
    <mergeCell ref="AM37:AM38"/>
    <mergeCell ref="AL37:AL38"/>
    <mergeCell ref="S31:S32"/>
    <mergeCell ref="U31:U32"/>
    <mergeCell ref="V31:V32"/>
    <mergeCell ref="X31:X32"/>
    <mergeCell ref="Y31:Y32"/>
    <mergeCell ref="AM31:AM32"/>
    <mergeCell ref="AM29:AM30"/>
    <mergeCell ref="U27:U28"/>
    <mergeCell ref="V27:V28"/>
    <mergeCell ref="AJ27:AJ28"/>
    <mergeCell ref="AK27:AK28"/>
    <mergeCell ref="AZ9:AZ10"/>
    <mergeCell ref="AZ11:AZ12"/>
    <mergeCell ref="AZ13:AZ14"/>
    <mergeCell ref="AZ15:AZ16"/>
    <mergeCell ref="AZ17:AZ18"/>
    <mergeCell ref="AZ19:AZ20"/>
    <mergeCell ref="AZ21:AZ22"/>
    <mergeCell ref="AZ23:AZ24"/>
    <mergeCell ref="AZ25:AZ26"/>
    <mergeCell ref="AZ27:AZ28"/>
    <mergeCell ref="AZ29:AZ30"/>
    <mergeCell ref="AZ31:AZ32"/>
    <mergeCell ref="AZ33:AZ34"/>
    <mergeCell ref="AZ35:AZ36"/>
    <mergeCell ref="AZ37:AZ38"/>
    <mergeCell ref="AZ39:AZ40"/>
    <mergeCell ref="AZ41:AZ42"/>
    <mergeCell ref="BA33:BA34"/>
    <mergeCell ref="BA35:BA36"/>
    <mergeCell ref="BA37:BA38"/>
    <mergeCell ref="BA39:BA40"/>
    <mergeCell ref="BA41:BA42"/>
    <mergeCell ref="BA49:BA50"/>
    <mergeCell ref="BA51:BA52"/>
    <mergeCell ref="BA53:BA54"/>
    <mergeCell ref="BA55:BA56"/>
    <mergeCell ref="BA57:BA58"/>
    <mergeCell ref="BA59:BA60"/>
    <mergeCell ref="BA61:BA62"/>
    <mergeCell ref="BA63:BA64"/>
    <mergeCell ref="BA65:BA66"/>
    <mergeCell ref="BA67:BA68"/>
    <mergeCell ref="AZ45:AZ46"/>
    <mergeCell ref="AZ47:AZ48"/>
    <mergeCell ref="AZ49:AZ50"/>
    <mergeCell ref="AZ51:AZ52"/>
    <mergeCell ref="AZ53:AZ54"/>
    <mergeCell ref="AZ55:AZ56"/>
    <mergeCell ref="AZ57:AZ58"/>
    <mergeCell ref="AZ59:AZ60"/>
    <mergeCell ref="AZ61:AZ62"/>
    <mergeCell ref="AZ63:AZ64"/>
    <mergeCell ref="AZ65:AZ66"/>
    <mergeCell ref="AZ67:AZ68"/>
    <mergeCell ref="BA43:BA44"/>
    <mergeCell ref="BA45:BA46"/>
    <mergeCell ref="BA47:BA48"/>
    <mergeCell ref="BP9:BP10"/>
    <mergeCell ref="BQ9:BQ10"/>
    <mergeCell ref="BQ11:BQ12"/>
    <mergeCell ref="BQ13:BQ14"/>
    <mergeCell ref="BQ15:BQ16"/>
    <mergeCell ref="BQ17:BQ18"/>
    <mergeCell ref="BQ19:BQ20"/>
    <mergeCell ref="BQ21:BQ22"/>
    <mergeCell ref="BQ23:BQ24"/>
    <mergeCell ref="BQ25:BQ26"/>
    <mergeCell ref="BQ27:BQ28"/>
    <mergeCell ref="BQ29:BQ30"/>
    <mergeCell ref="BQ31:BQ32"/>
    <mergeCell ref="BQ33:BQ34"/>
    <mergeCell ref="BQ35:BQ36"/>
    <mergeCell ref="BQ37:BQ38"/>
    <mergeCell ref="BQ39:BQ40"/>
    <mergeCell ref="BP11:BP12"/>
    <mergeCell ref="BP13:BP14"/>
    <mergeCell ref="BP15:BP16"/>
    <mergeCell ref="BP17:BP18"/>
    <mergeCell ref="BP19:BP20"/>
    <mergeCell ref="BP21:BP22"/>
    <mergeCell ref="BP23:BP24"/>
    <mergeCell ref="BP25:BP26"/>
    <mergeCell ref="BP27:BP28"/>
    <mergeCell ref="BP29:BP30"/>
    <mergeCell ref="BP31:BP32"/>
    <mergeCell ref="BP33:BP34"/>
    <mergeCell ref="BP35:BP36"/>
    <mergeCell ref="BP37:BP38"/>
    <mergeCell ref="BP39:BP40"/>
    <mergeCell ref="BP41:BP42"/>
    <mergeCell ref="BP43:BP44"/>
    <mergeCell ref="BP47:BP48"/>
    <mergeCell ref="BP49:BP50"/>
    <mergeCell ref="BP51:BP52"/>
    <mergeCell ref="BP53:BP54"/>
    <mergeCell ref="BP55:BP56"/>
    <mergeCell ref="BP57:BP58"/>
    <mergeCell ref="BP59:BP60"/>
    <mergeCell ref="BP61:BP62"/>
    <mergeCell ref="BP63:BP64"/>
    <mergeCell ref="BP65:BP66"/>
    <mergeCell ref="BP67:BP68"/>
    <mergeCell ref="BQ41:BQ42"/>
    <mergeCell ref="BQ43:BQ44"/>
    <mergeCell ref="BQ45:BQ46"/>
    <mergeCell ref="BQ47:BQ48"/>
    <mergeCell ref="BQ49:BQ50"/>
    <mergeCell ref="BQ51:BQ52"/>
    <mergeCell ref="BQ53:BQ54"/>
    <mergeCell ref="BQ55:BQ56"/>
    <mergeCell ref="BQ57:BQ58"/>
    <mergeCell ref="BQ59:BQ60"/>
    <mergeCell ref="BQ61:BQ62"/>
    <mergeCell ref="BQ63:BQ64"/>
    <mergeCell ref="BQ65:BQ66"/>
    <mergeCell ref="BQ67:BQ68"/>
    <mergeCell ref="BP45:BP46"/>
    <mergeCell ref="BR9:BR10"/>
    <mergeCell ref="BS9:BS10"/>
    <mergeCell ref="BT9:BT10"/>
    <mergeCell ref="BU9:BU10"/>
    <mergeCell ref="BR11:BR12"/>
    <mergeCell ref="BR13:BR14"/>
    <mergeCell ref="BR15:BR16"/>
    <mergeCell ref="BR17:BR18"/>
    <mergeCell ref="BR19:BR20"/>
    <mergeCell ref="BR21:BR22"/>
    <mergeCell ref="BR23:BR24"/>
    <mergeCell ref="BR25:BR26"/>
    <mergeCell ref="BR27:BR28"/>
    <mergeCell ref="BR29:BR30"/>
    <mergeCell ref="BR31:BR32"/>
    <mergeCell ref="BR33:BR34"/>
    <mergeCell ref="BS11:BS12"/>
    <mergeCell ref="BS13:BS14"/>
    <mergeCell ref="BS15:BS16"/>
    <mergeCell ref="BS17:BS18"/>
    <mergeCell ref="BS19:BS20"/>
    <mergeCell ref="BS21:BS22"/>
    <mergeCell ref="BS23:BS24"/>
    <mergeCell ref="BS25:BS26"/>
    <mergeCell ref="BS27:BS28"/>
    <mergeCell ref="BS29:BS30"/>
    <mergeCell ref="BS31:BS32"/>
    <mergeCell ref="BS33:BS34"/>
    <mergeCell ref="BT11:BT12"/>
    <mergeCell ref="BT13:BT14"/>
    <mergeCell ref="BT15:BT16"/>
    <mergeCell ref="BR35:BR36"/>
    <mergeCell ref="BR37:BR38"/>
    <mergeCell ref="BR39:BR40"/>
    <mergeCell ref="BR41:BR42"/>
    <mergeCell ref="BR43:BR44"/>
    <mergeCell ref="BR45:BR46"/>
    <mergeCell ref="BR47:BR48"/>
    <mergeCell ref="BR49:BR50"/>
    <mergeCell ref="BR51:BR52"/>
    <mergeCell ref="BR53:BR54"/>
    <mergeCell ref="BR55:BR56"/>
    <mergeCell ref="BR57:BR58"/>
    <mergeCell ref="BR59:BR60"/>
    <mergeCell ref="BR61:BR62"/>
    <mergeCell ref="BR63:BR64"/>
    <mergeCell ref="BR65:BR66"/>
    <mergeCell ref="BR67:BR68"/>
    <mergeCell ref="BS35:BS36"/>
    <mergeCell ref="BS37:BS38"/>
    <mergeCell ref="BS39:BS40"/>
    <mergeCell ref="BS41:BS42"/>
    <mergeCell ref="BS43:BS44"/>
    <mergeCell ref="BS45:BS46"/>
    <mergeCell ref="BS47:BS48"/>
    <mergeCell ref="BS49:BS50"/>
    <mergeCell ref="BS51:BS52"/>
    <mergeCell ref="BS53:BS54"/>
    <mergeCell ref="BS55:BS56"/>
    <mergeCell ref="BS57:BS58"/>
    <mergeCell ref="BS59:BS60"/>
    <mergeCell ref="BS61:BS62"/>
    <mergeCell ref="BS63:BS64"/>
    <mergeCell ref="BS65:BS66"/>
    <mergeCell ref="BS67:BS68"/>
    <mergeCell ref="BU45:BU46"/>
    <mergeCell ref="BU47:BU48"/>
    <mergeCell ref="BU49:BU50"/>
    <mergeCell ref="BU51:BU52"/>
    <mergeCell ref="BU53:BU54"/>
    <mergeCell ref="BU55:BU56"/>
    <mergeCell ref="BT17:BT18"/>
    <mergeCell ref="BT19:BT20"/>
    <mergeCell ref="BT21:BT22"/>
    <mergeCell ref="BT23:BT24"/>
    <mergeCell ref="BT25:BT26"/>
    <mergeCell ref="BT27:BT28"/>
    <mergeCell ref="BT29:BT30"/>
    <mergeCell ref="BT31:BT32"/>
    <mergeCell ref="BT33:BT34"/>
    <mergeCell ref="BT35:BT36"/>
    <mergeCell ref="BT37:BT38"/>
    <mergeCell ref="BT39:BT40"/>
    <mergeCell ref="BT41:BT42"/>
    <mergeCell ref="BT43:BT44"/>
    <mergeCell ref="BT45:BT46"/>
    <mergeCell ref="BT47:BT48"/>
    <mergeCell ref="BT49:BT50"/>
    <mergeCell ref="BU57:BU58"/>
    <mergeCell ref="BU59:BU60"/>
    <mergeCell ref="BU61:BU62"/>
    <mergeCell ref="BU63:BU64"/>
    <mergeCell ref="BU65:BU66"/>
    <mergeCell ref="BU67:BU68"/>
    <mergeCell ref="BT51:BT52"/>
    <mergeCell ref="BT53:BT54"/>
    <mergeCell ref="BT55:BT56"/>
    <mergeCell ref="BT57:BT58"/>
    <mergeCell ref="BT59:BT60"/>
    <mergeCell ref="BT61:BT62"/>
    <mergeCell ref="BT63:BT64"/>
    <mergeCell ref="BT65:BT66"/>
    <mergeCell ref="BT67:BT68"/>
    <mergeCell ref="BU11:BU12"/>
    <mergeCell ref="BU13:BU14"/>
    <mergeCell ref="BU15:BU16"/>
    <mergeCell ref="BU17:BU18"/>
    <mergeCell ref="BU19:BU20"/>
    <mergeCell ref="BU21:BU22"/>
    <mergeCell ref="BU23:BU24"/>
    <mergeCell ref="BU25:BU26"/>
    <mergeCell ref="BU27:BU28"/>
    <mergeCell ref="BU29:BU30"/>
    <mergeCell ref="BU31:BU32"/>
    <mergeCell ref="BU33:BU34"/>
    <mergeCell ref="BU35:BU36"/>
    <mergeCell ref="BU37:BU38"/>
    <mergeCell ref="BU39:BU40"/>
    <mergeCell ref="BU41:BU42"/>
    <mergeCell ref="BU43:BU44"/>
    <mergeCell ref="BX9:BX10"/>
    <mergeCell ref="BY9:BY10"/>
    <mergeCell ref="BZ9:BZ10"/>
    <mergeCell ref="CA9:CA10"/>
    <mergeCell ref="CB9:CB10"/>
    <mergeCell ref="CC9:CC10"/>
    <mergeCell ref="CD9:CD10"/>
    <mergeCell ref="CE9:CE10"/>
    <mergeCell ref="CF9:CF10"/>
    <mergeCell ref="CG9:CG10"/>
    <mergeCell ref="BX11:BX12"/>
    <mergeCell ref="BX13:BX14"/>
    <mergeCell ref="BX15:BX16"/>
    <mergeCell ref="BX17:BX18"/>
    <mergeCell ref="BX19:BX20"/>
    <mergeCell ref="BX21:BX22"/>
    <mergeCell ref="CA11:CA12"/>
    <mergeCell ref="CA13:CA14"/>
    <mergeCell ref="CA15:CA16"/>
    <mergeCell ref="CA17:CA18"/>
    <mergeCell ref="CA19:CA20"/>
    <mergeCell ref="CA21:CA22"/>
    <mergeCell ref="CD11:CD12"/>
    <mergeCell ref="CD13:CD14"/>
    <mergeCell ref="CD15:CD16"/>
    <mergeCell ref="CD17:CD18"/>
    <mergeCell ref="CD19:CD20"/>
    <mergeCell ref="CD21:CD22"/>
    <mergeCell ref="CG11:CG12"/>
    <mergeCell ref="CG13:CG14"/>
    <mergeCell ref="CG15:CG16"/>
    <mergeCell ref="BX23:BX24"/>
    <mergeCell ref="BX25:BX26"/>
    <mergeCell ref="BX27:BX28"/>
    <mergeCell ref="BX29:BX30"/>
    <mergeCell ref="BX31:BX32"/>
    <mergeCell ref="BX33:BX34"/>
    <mergeCell ref="BX35:BX36"/>
    <mergeCell ref="BX37:BX38"/>
    <mergeCell ref="BX39:BX40"/>
    <mergeCell ref="BX41:BX42"/>
    <mergeCell ref="BX43:BX44"/>
    <mergeCell ref="BX45:BX46"/>
    <mergeCell ref="BX47:BX48"/>
    <mergeCell ref="BX49:BX50"/>
    <mergeCell ref="BX51:BX52"/>
    <mergeCell ref="BX53:BX54"/>
    <mergeCell ref="BX55:BX56"/>
    <mergeCell ref="BX57:BX58"/>
    <mergeCell ref="BX59:BX60"/>
    <mergeCell ref="BX61:BX62"/>
    <mergeCell ref="BX63:BX64"/>
    <mergeCell ref="BX65:BX66"/>
    <mergeCell ref="BX67:BX68"/>
    <mergeCell ref="BY11:BY12"/>
    <mergeCell ref="BY13:BY14"/>
    <mergeCell ref="BY15:BY16"/>
    <mergeCell ref="BY17:BY18"/>
    <mergeCell ref="BY19:BY20"/>
    <mergeCell ref="BY21:BY22"/>
    <mergeCell ref="BY23:BY24"/>
    <mergeCell ref="BY25:BY26"/>
    <mergeCell ref="BY27:BY28"/>
    <mergeCell ref="BY29:BY30"/>
    <mergeCell ref="BY31:BY32"/>
    <mergeCell ref="BY33:BY34"/>
    <mergeCell ref="BY35:BY36"/>
    <mergeCell ref="BY37:BY38"/>
    <mergeCell ref="BY39:BY40"/>
    <mergeCell ref="BY41:BY42"/>
    <mergeCell ref="BY43:BY44"/>
    <mergeCell ref="BY45:BY46"/>
    <mergeCell ref="BY47:BY48"/>
    <mergeCell ref="BY49:BY50"/>
    <mergeCell ref="BY51:BY52"/>
    <mergeCell ref="BY53:BY54"/>
    <mergeCell ref="BY55:BY56"/>
    <mergeCell ref="BY57:BY58"/>
    <mergeCell ref="BY59:BY60"/>
    <mergeCell ref="BY61:BY62"/>
    <mergeCell ref="BY63:BY64"/>
    <mergeCell ref="BY65:BY66"/>
    <mergeCell ref="BY67:BY68"/>
    <mergeCell ref="BZ11:BZ12"/>
    <mergeCell ref="BZ13:BZ14"/>
    <mergeCell ref="BZ15:BZ16"/>
    <mergeCell ref="BZ17:BZ18"/>
    <mergeCell ref="BZ19:BZ20"/>
    <mergeCell ref="BZ21:BZ22"/>
    <mergeCell ref="BZ23:BZ24"/>
    <mergeCell ref="BZ25:BZ26"/>
    <mergeCell ref="BZ27:BZ28"/>
    <mergeCell ref="BZ29:BZ30"/>
    <mergeCell ref="BZ31:BZ32"/>
    <mergeCell ref="BZ33:BZ34"/>
    <mergeCell ref="BZ35:BZ36"/>
    <mergeCell ref="BZ37:BZ38"/>
    <mergeCell ref="BZ39:BZ40"/>
    <mergeCell ref="BZ41:BZ42"/>
    <mergeCell ref="BZ43:BZ44"/>
    <mergeCell ref="BZ45:BZ46"/>
    <mergeCell ref="BZ47:BZ48"/>
    <mergeCell ref="BZ49:BZ50"/>
    <mergeCell ref="BZ51:BZ52"/>
    <mergeCell ref="BZ53:BZ54"/>
    <mergeCell ref="BZ55:BZ56"/>
    <mergeCell ref="BZ57:BZ58"/>
    <mergeCell ref="BZ59:BZ60"/>
    <mergeCell ref="BZ61:BZ62"/>
    <mergeCell ref="BZ63:BZ64"/>
    <mergeCell ref="BZ65:BZ66"/>
    <mergeCell ref="BZ67:BZ68"/>
    <mergeCell ref="CA23:CA24"/>
    <mergeCell ref="CA25:CA26"/>
    <mergeCell ref="CA27:CA28"/>
    <mergeCell ref="CA29:CA30"/>
    <mergeCell ref="CA31:CA32"/>
    <mergeCell ref="CA33:CA34"/>
    <mergeCell ref="CA35:CA36"/>
    <mergeCell ref="CA37:CA38"/>
    <mergeCell ref="CA39:CA40"/>
    <mergeCell ref="CA41:CA42"/>
    <mergeCell ref="CA43:CA44"/>
    <mergeCell ref="CA45:CA46"/>
    <mergeCell ref="CA47:CA48"/>
    <mergeCell ref="CA49:CA50"/>
    <mergeCell ref="CA51:CA52"/>
    <mergeCell ref="CA53:CA54"/>
    <mergeCell ref="CA55:CA56"/>
    <mergeCell ref="CA57:CA58"/>
    <mergeCell ref="CA59:CA60"/>
    <mergeCell ref="CA61:CA62"/>
    <mergeCell ref="CA63:CA64"/>
    <mergeCell ref="CA65:CA66"/>
    <mergeCell ref="CA67:CA68"/>
    <mergeCell ref="CB11:CB12"/>
    <mergeCell ref="CB13:CB14"/>
    <mergeCell ref="CB15:CB16"/>
    <mergeCell ref="CB17:CB18"/>
    <mergeCell ref="CB19:CB20"/>
    <mergeCell ref="CB21:CB22"/>
    <mergeCell ref="CB23:CB24"/>
    <mergeCell ref="CB25:CB26"/>
    <mergeCell ref="CB27:CB28"/>
    <mergeCell ref="CB29:CB30"/>
    <mergeCell ref="CB31:CB32"/>
    <mergeCell ref="CB33:CB34"/>
    <mergeCell ref="CB35:CB36"/>
    <mergeCell ref="CB37:CB38"/>
    <mergeCell ref="CB39:CB40"/>
    <mergeCell ref="CB41:CB42"/>
    <mergeCell ref="CB43:CB44"/>
    <mergeCell ref="CB45:CB46"/>
    <mergeCell ref="CB47:CB48"/>
    <mergeCell ref="CB49:CB50"/>
    <mergeCell ref="CB51:CB52"/>
    <mergeCell ref="CB53:CB54"/>
    <mergeCell ref="CB55:CB56"/>
    <mergeCell ref="CB57:CB58"/>
    <mergeCell ref="CB59:CB60"/>
    <mergeCell ref="CB61:CB62"/>
    <mergeCell ref="CB63:CB64"/>
    <mergeCell ref="CB65:CB66"/>
    <mergeCell ref="CB67:CB68"/>
    <mergeCell ref="CC11:CC12"/>
    <mergeCell ref="CC13:CC14"/>
    <mergeCell ref="CC15:CC16"/>
    <mergeCell ref="CC17:CC18"/>
    <mergeCell ref="CC19:CC20"/>
    <mergeCell ref="CC21:CC22"/>
    <mergeCell ref="CC23:CC24"/>
    <mergeCell ref="CC25:CC26"/>
    <mergeCell ref="CC27:CC28"/>
    <mergeCell ref="CC29:CC30"/>
    <mergeCell ref="CC31:CC32"/>
    <mergeCell ref="CC33:CC34"/>
    <mergeCell ref="CC35:CC36"/>
    <mergeCell ref="CC37:CC38"/>
    <mergeCell ref="CC39:CC40"/>
    <mergeCell ref="CC41:CC42"/>
    <mergeCell ref="CC43:CC44"/>
    <mergeCell ref="CC45:CC46"/>
    <mergeCell ref="CC47:CC48"/>
    <mergeCell ref="CC49:CC50"/>
    <mergeCell ref="CC51:CC52"/>
    <mergeCell ref="CC53:CC54"/>
    <mergeCell ref="CC55:CC56"/>
    <mergeCell ref="CC57:CC58"/>
    <mergeCell ref="CC59:CC60"/>
    <mergeCell ref="CC61:CC62"/>
    <mergeCell ref="CC63:CC64"/>
    <mergeCell ref="CC65:CC66"/>
    <mergeCell ref="CC67:CC68"/>
    <mergeCell ref="CD23:CD24"/>
    <mergeCell ref="CD25:CD26"/>
    <mergeCell ref="CD27:CD28"/>
    <mergeCell ref="CD29:CD30"/>
    <mergeCell ref="CD31:CD32"/>
    <mergeCell ref="CD33:CD34"/>
    <mergeCell ref="CD35:CD36"/>
    <mergeCell ref="CD37:CD38"/>
    <mergeCell ref="CD39:CD40"/>
    <mergeCell ref="CD41:CD42"/>
    <mergeCell ref="CD43:CD44"/>
    <mergeCell ref="CD45:CD46"/>
    <mergeCell ref="CD47:CD48"/>
    <mergeCell ref="CD49:CD50"/>
    <mergeCell ref="CD51:CD52"/>
    <mergeCell ref="CD53:CD54"/>
    <mergeCell ref="CD55:CD56"/>
    <mergeCell ref="CD57:CD58"/>
    <mergeCell ref="CD59:CD60"/>
    <mergeCell ref="CD61:CD62"/>
    <mergeCell ref="CD63:CD64"/>
    <mergeCell ref="CD65:CD66"/>
    <mergeCell ref="CD67:CD68"/>
    <mergeCell ref="CE11:CE12"/>
    <mergeCell ref="CE13:CE14"/>
    <mergeCell ref="CE15:CE16"/>
    <mergeCell ref="CE17:CE18"/>
    <mergeCell ref="CE19:CE20"/>
    <mergeCell ref="CE21:CE22"/>
    <mergeCell ref="CE23:CE24"/>
    <mergeCell ref="CE25:CE26"/>
    <mergeCell ref="CE27:CE28"/>
    <mergeCell ref="CE29:CE30"/>
    <mergeCell ref="CE31:CE32"/>
    <mergeCell ref="CE33:CE34"/>
    <mergeCell ref="CE35:CE36"/>
    <mergeCell ref="CE37:CE38"/>
    <mergeCell ref="CE39:CE40"/>
    <mergeCell ref="CE41:CE42"/>
    <mergeCell ref="CE43:CE44"/>
    <mergeCell ref="CE45:CE46"/>
    <mergeCell ref="CE47:CE48"/>
    <mergeCell ref="CE49:CE50"/>
    <mergeCell ref="CE51:CE52"/>
    <mergeCell ref="CE53:CE54"/>
    <mergeCell ref="CE55:CE56"/>
    <mergeCell ref="CE57:CE58"/>
    <mergeCell ref="CE59:CE60"/>
    <mergeCell ref="CE61:CE62"/>
    <mergeCell ref="CE63:CE64"/>
    <mergeCell ref="CE65:CE66"/>
    <mergeCell ref="CE67:CE68"/>
    <mergeCell ref="CF11:CF12"/>
    <mergeCell ref="CF13:CF14"/>
    <mergeCell ref="CF15:CF16"/>
    <mergeCell ref="CF17:CF18"/>
    <mergeCell ref="CF19:CF20"/>
    <mergeCell ref="CF21:CF22"/>
    <mergeCell ref="CF23:CF24"/>
    <mergeCell ref="CF25:CF26"/>
    <mergeCell ref="CF27:CF28"/>
    <mergeCell ref="CF29:CF30"/>
    <mergeCell ref="CF31:CF32"/>
    <mergeCell ref="CF33:CF34"/>
    <mergeCell ref="CF35:CF36"/>
    <mergeCell ref="CF37:CF38"/>
    <mergeCell ref="CF39:CF40"/>
    <mergeCell ref="CF41:CF42"/>
    <mergeCell ref="CF43:CF44"/>
    <mergeCell ref="CF45:CF46"/>
    <mergeCell ref="CF47:CF48"/>
    <mergeCell ref="CF49:CF50"/>
    <mergeCell ref="CF51:CF52"/>
    <mergeCell ref="CF53:CF54"/>
    <mergeCell ref="CF55:CF56"/>
    <mergeCell ref="CF57:CF58"/>
    <mergeCell ref="CF59:CF60"/>
    <mergeCell ref="CF61:CF62"/>
    <mergeCell ref="CF63:CF64"/>
    <mergeCell ref="CF65:CF66"/>
    <mergeCell ref="CF67:CF68"/>
    <mergeCell ref="CG51:CG52"/>
    <mergeCell ref="CG53:CG54"/>
    <mergeCell ref="CG55:CG56"/>
    <mergeCell ref="CG57:CG58"/>
    <mergeCell ref="CG59:CG60"/>
    <mergeCell ref="CG61:CG62"/>
    <mergeCell ref="CG63:CG64"/>
    <mergeCell ref="CG65:CG66"/>
    <mergeCell ref="CG67:CG68"/>
    <mergeCell ref="CG17:CG18"/>
    <mergeCell ref="CG19:CG20"/>
    <mergeCell ref="CG21:CG22"/>
    <mergeCell ref="CG23:CG24"/>
    <mergeCell ref="CG25:CG26"/>
    <mergeCell ref="CG27:CG28"/>
    <mergeCell ref="CG29:CG30"/>
    <mergeCell ref="CG31:CG32"/>
    <mergeCell ref="CG33:CG34"/>
    <mergeCell ref="CG35:CG36"/>
    <mergeCell ref="CG37:CG38"/>
    <mergeCell ref="CG39:CG40"/>
    <mergeCell ref="CG41:CG42"/>
    <mergeCell ref="CG43:CG44"/>
    <mergeCell ref="CG45:CG46"/>
    <mergeCell ref="CG47:CG48"/>
    <mergeCell ref="CG49:CG50"/>
  </mergeCells>
  <conditionalFormatting sqref="N35:N68 N33 N31 P31:P68 O31:O38 N9:P20">
    <cfRule type="expression" dxfId="2074" priority="1142">
      <formula>AND(OR($N9&lt;&gt;"",$N10&lt;&gt;"",$O9&lt;&gt;""),$P9="TBD")</formula>
    </cfRule>
  </conditionalFormatting>
  <conditionalFormatting sqref="N10 N12 N14 N16 N18 N36 N38 N40 N42 N44 N46 N48 N50 N52 N54 N56 N58 N60 N62 N64 N66 N68 N20">
    <cfRule type="expression" dxfId="2073" priority="1141">
      <formula>AND(OR($N9&lt;&gt;"",$N10&lt;&gt;"",$O9&lt;&gt;""),$P9="TBD")</formula>
    </cfRule>
  </conditionalFormatting>
  <conditionalFormatting sqref="Q9:S10 R11:S18 Q11 Q13:Q14 Q37 Q33 Q41:Q68 S31:S68 R31:R38 Q17:Q18 S19:S20">
    <cfRule type="expression" dxfId="2072" priority="1112">
      <formula>AND(OR($Q9&lt;&gt;"",$Q10&lt;&gt;"",$R9&lt;&gt;""),$S9="TBD")</formula>
    </cfRule>
  </conditionalFormatting>
  <conditionalFormatting sqref="Q10 Q14 Q18 Q42 Q44 Q46 Q48 Q50 Q52 Q54 Q56 Q58 Q60 Q62 Q64 Q66 Q68">
    <cfRule type="expression" dxfId="2071" priority="1111">
      <formula>AND(OR($Q9&lt;&gt;"",$Q10&lt;&gt;"",$R9&lt;&gt;""),$S9="TBD")</formula>
    </cfRule>
  </conditionalFormatting>
  <conditionalFormatting sqref="T9:V10 U11:U20 V11:V68 T11:T14 T31 T35:T37 T33 T41:T68 U31:U38 T17:T18">
    <cfRule type="expression" dxfId="2070" priority="1082">
      <formula>AND(OR($T9&lt;&gt;"",$T10&lt;&gt;"",$U9&lt;&gt;""),$V9="TBD")</formula>
    </cfRule>
  </conditionalFormatting>
  <conditionalFormatting sqref="T10 T12 T14 T18 T36 T42 T44 T46 T48 T50 T52 T54 T56 T58 T60 T62 T64 T66 T68">
    <cfRule type="expression" dxfId="2069" priority="1081">
      <formula>AND(OR($T9&lt;&gt;"",$T10&lt;&gt;"",$U9&lt;&gt;""),$V9="TBD")</formula>
    </cfRule>
  </conditionalFormatting>
  <conditionalFormatting sqref="W9:Y68">
    <cfRule type="expression" dxfId="2068" priority="1052">
      <formula>AND(OR($W9&lt;&gt;"",$W10&lt;&gt;"",$X9&lt;&gt;""),$Y9="TBD")</formula>
    </cfRule>
  </conditionalFormatting>
  <conditionalFormatting sqref="W10 W12 W14 W16 W18 W20 W22 W24 W26 W28 W30 W32 W34 W36 W38 W40 W42 W44 W46 W48 W50 W52 W54 W56 W58 W60 W62 W64 W66 W68">
    <cfRule type="expression" dxfId="2067" priority="1051">
      <formula>AND(OR($W9&lt;&gt;"",$W10&lt;&gt;"",$X9&lt;&gt;""),$Y9="TBD")</formula>
    </cfRule>
  </conditionalFormatting>
  <conditionalFormatting sqref="Z9:AB10 AA11:AA38 Z11:Z68 AB11:AB68">
    <cfRule type="expression" dxfId="2066" priority="1022">
      <formula>AND(OR($Z9&lt;&gt;"",$Z10&lt;&gt;"",$AA9&lt;&gt;""),$AB9="TBD")</formula>
    </cfRule>
  </conditionalFormatting>
  <conditionalFormatting sqref="Z10 Z12 Z14 Z16 Z18 Z20 Z22 Z24 Z26 Z28 Z30 Z32 Z34 Z36 Z38 Z40 Z42 Z44 Z46 Z48 Z50 Z52 Z54 Z56 Z58 Z60 Z62 Z64 Z66 Z68">
    <cfRule type="expression" dxfId="2065" priority="1021">
      <formula>AND(OR($Z9&lt;&gt;"",$Z10&lt;&gt;"",$AA9&lt;&gt;""),$AB9="TBD")</formula>
    </cfRule>
  </conditionalFormatting>
  <conditionalFormatting sqref="AC9:AE10 AD11:AD38 AC11:AC68 AE11:AE68">
    <cfRule type="expression" dxfId="2064" priority="992">
      <formula>AND(OR($AC9&lt;&gt;"",$AC10&lt;&gt;"",$AD9&lt;&gt;""),$AE9="TBD")</formula>
    </cfRule>
  </conditionalFormatting>
  <conditionalFormatting sqref="AC10 AC12 AC14 AC16 AC18 AC20 AC22 AC24 AC26 AC28 AC30 AC32 AC34 AC36 AC38 AC40 AC42 AC44 AC46 AC48 AC50 AC52 AC54 AC56 AC58 AC60 AC62 AC64 AC66 AC68">
    <cfRule type="expression" dxfId="2063" priority="991">
      <formula>AND(OR($AC9&lt;&gt;"",$AC10&lt;&gt;"",$AD9&lt;&gt;""),$AE9="TBD")</formula>
    </cfRule>
  </conditionalFormatting>
  <conditionalFormatting sqref="AF9:AH68">
    <cfRule type="expression" dxfId="2062" priority="962">
      <formula>AND(OR($AF9&lt;&gt;"",$AF10&lt;&gt;"",$AG9&lt;&gt;""),$AH9="TBD")</formula>
    </cfRule>
  </conditionalFormatting>
  <conditionalFormatting sqref="AF10 AF12 AF14 AF16 AF18 AF20 AF22 AF24 AF26 AF28 AF30 AF32 AF34 AF36 AF38 AF40 AF42 AF44 AF46 AF48 AF50 AF52 AF54 AF56 AF58 AF60 AF62 AF64 AF66 AF68">
    <cfRule type="expression" dxfId="2061" priority="961">
      <formula>AND(OR($AF9&lt;&gt;"",$AF10&lt;&gt;"",$AG9&lt;&gt;""),$AH9="TBD")</formula>
    </cfRule>
  </conditionalFormatting>
  <conditionalFormatting sqref="AI9:AK68">
    <cfRule type="expression" dxfId="2060" priority="932">
      <formula>AND(OR($AI9&lt;&gt;"",$AI10&lt;&gt;"",$AJ9&lt;&gt;""),$AK9="TBD")</formula>
    </cfRule>
  </conditionalFormatting>
  <conditionalFormatting sqref="AI10 AI12 AI14 AI16 AI18 AI20 AI22 AI24 AI26 AI28 AI30 AI32 AI34 AI36 AI38 AI40 AI42 AI44 AI46 AI48 AI50 AI52 AI54 AI56 AI58 AI60 AI62 AI64 AI66 AI68">
    <cfRule type="expression" dxfId="2059" priority="931">
      <formula>AND(OR($AI9&lt;&gt;"",$AI10&lt;&gt;"",$AJ9&lt;&gt;""),$AK9="TBD")</formula>
    </cfRule>
  </conditionalFormatting>
  <conditionalFormatting sqref="C9:D10">
    <cfRule type="expression" dxfId="2058" priority="646">
      <formula>AND($C9&lt;&gt;"",$D9&lt;&gt;"")</formula>
    </cfRule>
  </conditionalFormatting>
  <conditionalFormatting sqref="D11:D12">
    <cfRule type="expression" dxfId="2057" priority="645">
      <formula>AND($C11&lt;&gt;"",$D11&lt;&gt;"")</formula>
    </cfRule>
  </conditionalFormatting>
  <conditionalFormatting sqref="D13:D14">
    <cfRule type="expression" dxfId="2056" priority="644">
      <formula>AND($C13&lt;&gt;"",$D13&lt;&gt;"")</formula>
    </cfRule>
  </conditionalFormatting>
  <conditionalFormatting sqref="D15:D16">
    <cfRule type="expression" dxfId="2055" priority="643">
      <formula>AND($C15&lt;&gt;"",$D15&lt;&gt;"")</formula>
    </cfRule>
  </conditionalFormatting>
  <conditionalFormatting sqref="D17:D18">
    <cfRule type="expression" dxfId="2054" priority="642">
      <formula>AND($C17&lt;&gt;"",$D17&lt;&gt;"")</formula>
    </cfRule>
  </conditionalFormatting>
  <conditionalFormatting sqref="D19:D20">
    <cfRule type="expression" dxfId="2053" priority="641">
      <formula>AND($C19&lt;&gt;"",$D19&lt;&gt;"")</formula>
    </cfRule>
  </conditionalFormatting>
  <conditionalFormatting sqref="D21:D22">
    <cfRule type="expression" dxfId="2052" priority="640">
      <formula>AND($C21&lt;&gt;"",$D21&lt;&gt;"")</formula>
    </cfRule>
  </conditionalFormatting>
  <conditionalFormatting sqref="D23:D24">
    <cfRule type="expression" dxfId="2051" priority="639">
      <formula>AND($C23&lt;&gt;"",$D23&lt;&gt;"")</formula>
    </cfRule>
  </conditionalFormatting>
  <conditionalFormatting sqref="D25:D26">
    <cfRule type="expression" dxfId="2050" priority="638">
      <formula>AND($C25&lt;&gt;"",$D25&lt;&gt;"")</formula>
    </cfRule>
  </conditionalFormatting>
  <conditionalFormatting sqref="D27:D28">
    <cfRule type="expression" dxfId="2049" priority="637">
      <formula>AND($C27&lt;&gt;"",$D27&lt;&gt;"")</formula>
    </cfRule>
  </conditionalFormatting>
  <conditionalFormatting sqref="D29:D30">
    <cfRule type="expression" dxfId="2048" priority="636">
      <formula>AND($C29&lt;&gt;"",$D29&lt;&gt;"")</formula>
    </cfRule>
  </conditionalFormatting>
  <conditionalFormatting sqref="D31:D32">
    <cfRule type="expression" dxfId="2047" priority="635">
      <formula>AND($C31&lt;&gt;"",$D31&lt;&gt;"")</formula>
    </cfRule>
  </conditionalFormatting>
  <conditionalFormatting sqref="D33:D34">
    <cfRule type="expression" dxfId="2046" priority="634">
      <formula>AND($C33&lt;&gt;"",$D33&lt;&gt;"")</formula>
    </cfRule>
  </conditionalFormatting>
  <conditionalFormatting sqref="D35:D36">
    <cfRule type="expression" dxfId="2045" priority="633">
      <formula>AND($C35&lt;&gt;"",$D35&lt;&gt;"")</formula>
    </cfRule>
  </conditionalFormatting>
  <conditionalFormatting sqref="D37:D38">
    <cfRule type="expression" dxfId="2044" priority="632">
      <formula>AND($C37&lt;&gt;"",$D37&lt;&gt;"")</formula>
    </cfRule>
  </conditionalFormatting>
  <conditionalFormatting sqref="C11:C28 C35:C38">
    <cfRule type="expression" dxfId="2043" priority="630">
      <formula>AND($C11&lt;&gt;"",$D11&lt;&gt;"")</formula>
    </cfRule>
  </conditionalFormatting>
  <conditionalFormatting sqref="AA39:AA40">
    <cfRule type="expression" dxfId="2042" priority="620">
      <formula>AND(OR($Z39&lt;&gt;"",$Z40&lt;&gt;"",$AA39&lt;&gt;""),$AB39="TBD")</formula>
    </cfRule>
  </conditionalFormatting>
  <conditionalFormatting sqref="AD39:AD40">
    <cfRule type="expression" dxfId="2041" priority="618">
      <formula>AND(OR($AC39&lt;&gt;"",$AC40&lt;&gt;"",$AD39&lt;&gt;""),$AE39="TBD")</formula>
    </cfRule>
  </conditionalFormatting>
  <conditionalFormatting sqref="D39:D40">
    <cfRule type="expression" dxfId="2040" priority="599">
      <formula>AND($C39&lt;&gt;"",$D39&lt;&gt;"")</formula>
    </cfRule>
  </conditionalFormatting>
  <conditionalFormatting sqref="C39:C40">
    <cfRule type="expression" dxfId="2039" priority="598">
      <formula>AND($C39&lt;&gt;"",$D39&lt;&gt;"")</formula>
    </cfRule>
  </conditionalFormatting>
  <conditionalFormatting sqref="R41:R42">
    <cfRule type="expression" dxfId="2038" priority="594">
      <formula>AND(OR($Q41&lt;&gt;"",$Q42&lt;&gt;"",$R41&lt;&gt;""),$S41="TBD")</formula>
    </cfRule>
  </conditionalFormatting>
  <conditionalFormatting sqref="U41:U42">
    <cfRule type="expression" dxfId="2037" priority="592">
      <formula>AND(OR($T41&lt;&gt;"",$T42&lt;&gt;"",$U41&lt;&gt;""),$V41="TBD")</formula>
    </cfRule>
  </conditionalFormatting>
  <conditionalFormatting sqref="AA41:AA42">
    <cfRule type="expression" dxfId="2036" priority="588">
      <formula>AND(OR($Z41&lt;&gt;"",$Z42&lt;&gt;"",$AA41&lt;&gt;""),$AB41="TBD")</formula>
    </cfRule>
  </conditionalFormatting>
  <conditionalFormatting sqref="AD41:AD42">
    <cfRule type="expression" dxfId="2035" priority="586">
      <formula>AND(OR($AC41&lt;&gt;"",$AC42&lt;&gt;"",$AD41&lt;&gt;""),$AE41="TBD")</formula>
    </cfRule>
  </conditionalFormatting>
  <conditionalFormatting sqref="D41:D42">
    <cfRule type="expression" dxfId="2034" priority="567">
      <formula>AND($C41&lt;&gt;"",$D41&lt;&gt;"")</formula>
    </cfRule>
  </conditionalFormatting>
  <conditionalFormatting sqref="C41:C42">
    <cfRule type="expression" dxfId="2033" priority="566">
      <formula>AND($C41&lt;&gt;"",$D41&lt;&gt;"")</formula>
    </cfRule>
  </conditionalFormatting>
  <conditionalFormatting sqref="O43:O44">
    <cfRule type="expression" dxfId="2032" priority="564">
      <formula>AND(OR($N43&lt;&gt;"",$N44&lt;&gt;"",$O43&lt;&gt;""),$P43="TBD")</formula>
    </cfRule>
  </conditionalFormatting>
  <conditionalFormatting sqref="R43:R44">
    <cfRule type="expression" dxfId="2031" priority="562">
      <formula>AND(OR($Q43&lt;&gt;"",$Q44&lt;&gt;"",$R43&lt;&gt;""),$S43="TBD")</formula>
    </cfRule>
  </conditionalFormatting>
  <conditionalFormatting sqref="U43:U44">
    <cfRule type="expression" dxfId="2030" priority="560">
      <formula>AND(OR($T43&lt;&gt;"",$T44&lt;&gt;"",$U43&lt;&gt;""),$V43="TBD")</formula>
    </cfRule>
  </conditionalFormatting>
  <conditionalFormatting sqref="AA43:AA44">
    <cfRule type="expression" dxfId="2029" priority="556">
      <formula>AND(OR($Z43&lt;&gt;"",$Z44&lt;&gt;"",$AA43&lt;&gt;""),$AB43="TBD")</formula>
    </cfRule>
  </conditionalFormatting>
  <conditionalFormatting sqref="AD43:AD44">
    <cfRule type="expression" dxfId="2028" priority="554">
      <formula>AND(OR($AC43&lt;&gt;"",$AC44&lt;&gt;"",$AD43&lt;&gt;""),$AE43="TBD")</formula>
    </cfRule>
  </conditionalFormatting>
  <conditionalFormatting sqref="D43:D44">
    <cfRule type="expression" dxfId="2027" priority="535">
      <formula>AND($C43&lt;&gt;"",$D43&lt;&gt;"")</formula>
    </cfRule>
  </conditionalFormatting>
  <conditionalFormatting sqref="C43:C44">
    <cfRule type="expression" dxfId="2026" priority="534">
      <formula>AND($C43&lt;&gt;"",$D43&lt;&gt;"")</formula>
    </cfRule>
  </conditionalFormatting>
  <conditionalFormatting sqref="O45:O46">
    <cfRule type="expression" dxfId="2025" priority="532">
      <formula>AND(OR($N45&lt;&gt;"",$N46&lt;&gt;"",$O45&lt;&gt;""),$P45="TBD")</formula>
    </cfRule>
  </conditionalFormatting>
  <conditionalFormatting sqref="R45:R46">
    <cfRule type="expression" dxfId="2024" priority="530">
      <formula>AND(OR($Q45&lt;&gt;"",$Q46&lt;&gt;"",$R45&lt;&gt;""),$S45="TBD")</formula>
    </cfRule>
  </conditionalFormatting>
  <conditionalFormatting sqref="U45:U46">
    <cfRule type="expression" dxfId="2023" priority="528">
      <formula>AND(OR($T45&lt;&gt;"",$T46&lt;&gt;"",$U45&lt;&gt;""),$V45="TBD")</formula>
    </cfRule>
  </conditionalFormatting>
  <conditionalFormatting sqref="AA45:AA46">
    <cfRule type="expression" dxfId="2022" priority="524">
      <formula>AND(OR($Z45&lt;&gt;"",$Z46&lt;&gt;"",$AA45&lt;&gt;""),$AB45="TBD")</formula>
    </cfRule>
  </conditionalFormatting>
  <conditionalFormatting sqref="AD45:AD46">
    <cfRule type="expression" dxfId="2021" priority="522">
      <formula>AND(OR($AC45&lt;&gt;"",$AC46&lt;&gt;"",$AD45&lt;&gt;""),$AE45="TBD")</formula>
    </cfRule>
  </conditionalFormatting>
  <conditionalFormatting sqref="D45:D46">
    <cfRule type="expression" dxfId="2020" priority="503">
      <formula>AND($C45&lt;&gt;"",$D45&lt;&gt;"")</formula>
    </cfRule>
  </conditionalFormatting>
  <conditionalFormatting sqref="C45:C46">
    <cfRule type="expression" dxfId="2019" priority="502">
      <formula>AND($C45&lt;&gt;"",$D45&lt;&gt;"")</formula>
    </cfRule>
  </conditionalFormatting>
  <conditionalFormatting sqref="O47:O48">
    <cfRule type="expression" dxfId="2018" priority="500">
      <formula>AND(OR($N47&lt;&gt;"",$N48&lt;&gt;"",$O47&lt;&gt;""),$P47="TBD")</formula>
    </cfRule>
  </conditionalFormatting>
  <conditionalFormatting sqref="R47:R48">
    <cfRule type="expression" dxfId="2017" priority="498">
      <formula>AND(OR($Q47&lt;&gt;"",$Q48&lt;&gt;"",$R47&lt;&gt;""),$S47="TBD")</formula>
    </cfRule>
  </conditionalFormatting>
  <conditionalFormatting sqref="U47:U48">
    <cfRule type="expression" dxfId="2016" priority="496">
      <formula>AND(OR($T47&lt;&gt;"",$T48&lt;&gt;"",$U47&lt;&gt;""),$V47="TBD")</formula>
    </cfRule>
  </conditionalFormatting>
  <conditionalFormatting sqref="AA47:AA48">
    <cfRule type="expression" dxfId="2015" priority="492">
      <formula>AND(OR($Z47&lt;&gt;"",$Z48&lt;&gt;"",$AA47&lt;&gt;""),$AB47="TBD")</formula>
    </cfRule>
  </conditionalFormatting>
  <conditionalFormatting sqref="AD47:AD48">
    <cfRule type="expression" dxfId="2014" priority="490">
      <formula>AND(OR($AC47&lt;&gt;"",$AC48&lt;&gt;"",$AD47&lt;&gt;""),$AE47="TBD")</formula>
    </cfRule>
  </conditionalFormatting>
  <conditionalFormatting sqref="D47:D48">
    <cfRule type="expression" dxfId="2013" priority="471">
      <formula>AND($C47&lt;&gt;"",$D47&lt;&gt;"")</formula>
    </cfRule>
  </conditionalFormatting>
  <conditionalFormatting sqref="C47:C48">
    <cfRule type="expression" dxfId="2012" priority="470">
      <formula>AND($C47&lt;&gt;"",$D47&lt;&gt;"")</formula>
    </cfRule>
  </conditionalFormatting>
  <conditionalFormatting sqref="O49:O50">
    <cfRule type="expression" dxfId="2011" priority="468">
      <formula>AND(OR($N49&lt;&gt;"",$N50&lt;&gt;"",$O49&lt;&gt;""),$P49="TBD")</formula>
    </cfRule>
  </conditionalFormatting>
  <conditionalFormatting sqref="R49:R50">
    <cfRule type="expression" dxfId="2010" priority="466">
      <formula>AND(OR($Q49&lt;&gt;"",$Q50&lt;&gt;"",$R49&lt;&gt;""),$S49="TBD")</formula>
    </cfRule>
  </conditionalFormatting>
  <conditionalFormatting sqref="U49:U50">
    <cfRule type="expression" dxfId="2009" priority="464">
      <formula>AND(OR($T49&lt;&gt;"",$T50&lt;&gt;"",$U49&lt;&gt;""),$V49="TBD")</formula>
    </cfRule>
  </conditionalFormatting>
  <conditionalFormatting sqref="AA49:AA50">
    <cfRule type="expression" dxfId="2008" priority="460">
      <formula>AND(OR($Z49&lt;&gt;"",$Z50&lt;&gt;"",$AA49&lt;&gt;""),$AB49="TBD")</formula>
    </cfRule>
  </conditionalFormatting>
  <conditionalFormatting sqref="AD49:AD50">
    <cfRule type="expression" dxfId="2007" priority="458">
      <formula>AND(OR($AC49&lt;&gt;"",$AC50&lt;&gt;"",$AD49&lt;&gt;""),$AE49="TBD")</formula>
    </cfRule>
  </conditionalFormatting>
  <conditionalFormatting sqref="D49:D50">
    <cfRule type="expression" dxfId="2006" priority="439">
      <formula>AND($C49&lt;&gt;"",$D49&lt;&gt;"")</formula>
    </cfRule>
  </conditionalFormatting>
  <conditionalFormatting sqref="C49:C50">
    <cfRule type="expression" dxfId="2005" priority="438">
      <formula>AND($C49&lt;&gt;"",$D49&lt;&gt;"")</formula>
    </cfRule>
  </conditionalFormatting>
  <conditionalFormatting sqref="O51:O52">
    <cfRule type="expression" dxfId="2004" priority="436">
      <formula>AND(OR($N51&lt;&gt;"",$N52&lt;&gt;"",$O51&lt;&gt;""),$P51="TBD")</formula>
    </cfRule>
  </conditionalFormatting>
  <conditionalFormatting sqref="R51:R52">
    <cfRule type="expression" dxfId="2003" priority="434">
      <formula>AND(OR($Q51&lt;&gt;"",$Q52&lt;&gt;"",$R51&lt;&gt;""),$S51="TBD")</formula>
    </cfRule>
  </conditionalFormatting>
  <conditionalFormatting sqref="U51:U52">
    <cfRule type="expression" dxfId="2002" priority="432">
      <formula>AND(OR($T51&lt;&gt;"",$T52&lt;&gt;"",$U51&lt;&gt;""),$V51="TBD")</formula>
    </cfRule>
  </conditionalFormatting>
  <conditionalFormatting sqref="AA51:AA52">
    <cfRule type="expression" dxfId="2001" priority="428">
      <formula>AND(OR($Z51&lt;&gt;"",$Z52&lt;&gt;"",$AA51&lt;&gt;""),$AB51="TBD")</formula>
    </cfRule>
  </conditionalFormatting>
  <conditionalFormatting sqref="AD51:AD52">
    <cfRule type="expression" dxfId="2000" priority="426">
      <formula>AND(OR($AC51&lt;&gt;"",$AC52&lt;&gt;"",$AD51&lt;&gt;""),$AE51="TBD")</formula>
    </cfRule>
  </conditionalFormatting>
  <conditionalFormatting sqref="D51:D52">
    <cfRule type="expression" dxfId="1999" priority="407">
      <formula>AND($C51&lt;&gt;"",$D51&lt;&gt;"")</formula>
    </cfRule>
  </conditionalFormatting>
  <conditionalFormatting sqref="C51:C52">
    <cfRule type="expression" dxfId="1998" priority="406">
      <formula>AND($C51&lt;&gt;"",$D51&lt;&gt;"")</formula>
    </cfRule>
  </conditionalFormatting>
  <conditionalFormatting sqref="O53:O54">
    <cfRule type="expression" dxfId="1997" priority="404">
      <formula>AND(OR($N53&lt;&gt;"",$N54&lt;&gt;"",$O53&lt;&gt;""),$P53="TBD")</formula>
    </cfRule>
  </conditionalFormatting>
  <conditionalFormatting sqref="R53:R54">
    <cfRule type="expression" dxfId="1996" priority="402">
      <formula>AND(OR($Q53&lt;&gt;"",$Q54&lt;&gt;"",$R53&lt;&gt;""),$S53="TBD")</formula>
    </cfRule>
  </conditionalFormatting>
  <conditionalFormatting sqref="U53:U54">
    <cfRule type="expression" dxfId="1995" priority="400">
      <formula>AND(OR($T53&lt;&gt;"",$T54&lt;&gt;"",$U53&lt;&gt;""),$V53="TBD")</formula>
    </cfRule>
  </conditionalFormatting>
  <conditionalFormatting sqref="AA53:AA54">
    <cfRule type="expression" dxfId="1994" priority="396">
      <formula>AND(OR($Z53&lt;&gt;"",$Z54&lt;&gt;"",$AA53&lt;&gt;""),$AB53="TBD")</formula>
    </cfRule>
  </conditionalFormatting>
  <conditionalFormatting sqref="AD53:AD54">
    <cfRule type="expression" dxfId="1993" priority="394">
      <formula>AND(OR($AC53&lt;&gt;"",$AC54&lt;&gt;"",$AD53&lt;&gt;""),$AE53="TBD")</formula>
    </cfRule>
  </conditionalFormatting>
  <conditionalFormatting sqref="D53:D54">
    <cfRule type="expression" dxfId="1992" priority="375">
      <formula>AND($C53&lt;&gt;"",$D53&lt;&gt;"")</formula>
    </cfRule>
  </conditionalFormatting>
  <conditionalFormatting sqref="C53:C54">
    <cfRule type="expression" dxfId="1991" priority="374">
      <formula>AND($C53&lt;&gt;"",$D53&lt;&gt;"")</formula>
    </cfRule>
  </conditionalFormatting>
  <conditionalFormatting sqref="O55:O56">
    <cfRule type="expression" dxfId="1990" priority="372">
      <formula>AND(OR($N55&lt;&gt;"",$N56&lt;&gt;"",$O55&lt;&gt;""),$P55="TBD")</formula>
    </cfRule>
  </conditionalFormatting>
  <conditionalFormatting sqref="R55:R56">
    <cfRule type="expression" dxfId="1989" priority="370">
      <formula>AND(OR($Q55&lt;&gt;"",$Q56&lt;&gt;"",$R55&lt;&gt;""),$S55="TBD")</formula>
    </cfRule>
  </conditionalFormatting>
  <conditionalFormatting sqref="U55:U56">
    <cfRule type="expression" dxfId="1988" priority="368">
      <formula>AND(OR($T55&lt;&gt;"",$T56&lt;&gt;"",$U55&lt;&gt;""),$V55="TBD")</formula>
    </cfRule>
  </conditionalFormatting>
  <conditionalFormatting sqref="AA55:AA56">
    <cfRule type="expression" dxfId="1987" priority="364">
      <formula>AND(OR($Z55&lt;&gt;"",$Z56&lt;&gt;"",$AA55&lt;&gt;""),$AB55="TBD")</formula>
    </cfRule>
  </conditionalFormatting>
  <conditionalFormatting sqref="AD55:AD56">
    <cfRule type="expression" dxfId="1986" priority="362">
      <formula>AND(OR($AC55&lt;&gt;"",$AC56&lt;&gt;"",$AD55&lt;&gt;""),$AE55="TBD")</formula>
    </cfRule>
  </conditionalFormatting>
  <conditionalFormatting sqref="D55:D56">
    <cfRule type="expression" dxfId="1985" priority="343">
      <formula>AND($C55&lt;&gt;"",$D55&lt;&gt;"")</formula>
    </cfRule>
  </conditionalFormatting>
  <conditionalFormatting sqref="C55:C56">
    <cfRule type="expression" dxfId="1984" priority="342">
      <formula>AND($C55&lt;&gt;"",$D55&lt;&gt;"")</formula>
    </cfRule>
  </conditionalFormatting>
  <conditionalFormatting sqref="O57:O58">
    <cfRule type="expression" dxfId="1983" priority="340">
      <formula>AND(OR($N57&lt;&gt;"",$N58&lt;&gt;"",$O57&lt;&gt;""),$P57="TBD")</formula>
    </cfRule>
  </conditionalFormatting>
  <conditionalFormatting sqref="R57:R58">
    <cfRule type="expression" dxfId="1982" priority="338">
      <formula>AND(OR($Q57&lt;&gt;"",$Q58&lt;&gt;"",$R57&lt;&gt;""),$S57="TBD")</formula>
    </cfRule>
  </conditionalFormatting>
  <conditionalFormatting sqref="U57:U58">
    <cfRule type="expression" dxfId="1981" priority="336">
      <formula>AND(OR($T57&lt;&gt;"",$T58&lt;&gt;"",$U57&lt;&gt;""),$V57="TBD")</formula>
    </cfRule>
  </conditionalFormatting>
  <conditionalFormatting sqref="AA57:AA58">
    <cfRule type="expression" dxfId="1980" priority="332">
      <formula>AND(OR($Z57&lt;&gt;"",$Z58&lt;&gt;"",$AA57&lt;&gt;""),$AB57="TBD")</formula>
    </cfRule>
  </conditionalFormatting>
  <conditionalFormatting sqref="AD57:AD58">
    <cfRule type="expression" dxfId="1979" priority="330">
      <formula>AND(OR($AC57&lt;&gt;"",$AC58&lt;&gt;"",$AD57&lt;&gt;""),$AE57="TBD")</formula>
    </cfRule>
  </conditionalFormatting>
  <conditionalFormatting sqref="D57:D58">
    <cfRule type="expression" dxfId="1978" priority="311">
      <formula>AND($C57&lt;&gt;"",$D57&lt;&gt;"")</formula>
    </cfRule>
  </conditionalFormatting>
  <conditionalFormatting sqref="C57:C58">
    <cfRule type="expression" dxfId="1977" priority="310">
      <formula>AND($C57&lt;&gt;"",$D57&lt;&gt;"")</formula>
    </cfRule>
  </conditionalFormatting>
  <conditionalFormatting sqref="O59:O60">
    <cfRule type="expression" dxfId="1976" priority="308">
      <formula>AND(OR($N59&lt;&gt;"",$N60&lt;&gt;"",$O59&lt;&gt;""),$P59="TBD")</formula>
    </cfRule>
  </conditionalFormatting>
  <conditionalFormatting sqref="R59:R60">
    <cfRule type="expression" dxfId="1975" priority="306">
      <formula>AND(OR($Q59&lt;&gt;"",$Q60&lt;&gt;"",$R59&lt;&gt;""),$S59="TBD")</formula>
    </cfRule>
  </conditionalFormatting>
  <conditionalFormatting sqref="U59:U60">
    <cfRule type="expression" dxfId="1974" priority="304">
      <formula>AND(OR($T59&lt;&gt;"",$T60&lt;&gt;"",$U59&lt;&gt;""),$V59="TBD")</formula>
    </cfRule>
  </conditionalFormatting>
  <conditionalFormatting sqref="AA59:AA60">
    <cfRule type="expression" dxfId="1973" priority="300">
      <formula>AND(OR($Z59&lt;&gt;"",$Z60&lt;&gt;"",$AA59&lt;&gt;""),$AB59="TBD")</formula>
    </cfRule>
  </conditionalFormatting>
  <conditionalFormatting sqref="AD59:AD60">
    <cfRule type="expression" dxfId="1972" priority="298">
      <formula>AND(OR($AC59&lt;&gt;"",$AC60&lt;&gt;"",$AD59&lt;&gt;""),$AE59="TBD")</formula>
    </cfRule>
  </conditionalFormatting>
  <conditionalFormatting sqref="D59:D60">
    <cfRule type="expression" dxfId="1971" priority="279">
      <formula>AND($C59&lt;&gt;"",$D59&lt;&gt;"")</formula>
    </cfRule>
  </conditionalFormatting>
  <conditionalFormatting sqref="C59:C60">
    <cfRule type="expression" dxfId="1970" priority="278">
      <formula>AND($C59&lt;&gt;"",$D59&lt;&gt;"")</formula>
    </cfRule>
  </conditionalFormatting>
  <conditionalFormatting sqref="O61:O62">
    <cfRule type="expression" dxfId="1969" priority="276">
      <formula>AND(OR($N61&lt;&gt;"",$N62&lt;&gt;"",$O61&lt;&gt;""),$P61="TBD")</formula>
    </cfRule>
  </conditionalFormatting>
  <conditionalFormatting sqref="R61:R62">
    <cfRule type="expression" dxfId="1968" priority="274">
      <formula>AND(OR($Q61&lt;&gt;"",$Q62&lt;&gt;"",$R61&lt;&gt;""),$S61="TBD")</formula>
    </cfRule>
  </conditionalFormatting>
  <conditionalFormatting sqref="U61:U62">
    <cfRule type="expression" dxfId="1967" priority="272">
      <formula>AND(OR($T61&lt;&gt;"",$T62&lt;&gt;"",$U61&lt;&gt;""),$V61="TBD")</formula>
    </cfRule>
  </conditionalFormatting>
  <conditionalFormatting sqref="AA61:AA62">
    <cfRule type="expression" dxfId="1966" priority="268">
      <formula>AND(OR($Z61&lt;&gt;"",$Z62&lt;&gt;"",$AA61&lt;&gt;""),$AB61="TBD")</formula>
    </cfRule>
  </conditionalFormatting>
  <conditionalFormatting sqref="AD61:AD62">
    <cfRule type="expression" dxfId="1965" priority="266">
      <formula>AND(OR($AC61&lt;&gt;"",$AC62&lt;&gt;"",$AD61&lt;&gt;""),$AE61="TBD")</formula>
    </cfRule>
  </conditionalFormatting>
  <conditionalFormatting sqref="D61:D62">
    <cfRule type="expression" dxfId="1964" priority="247">
      <formula>AND($C61&lt;&gt;"",$D61&lt;&gt;"")</formula>
    </cfRule>
  </conditionalFormatting>
  <conditionalFormatting sqref="C61:C62">
    <cfRule type="expression" dxfId="1963" priority="246">
      <formula>AND($C61&lt;&gt;"",$D61&lt;&gt;"")</formula>
    </cfRule>
  </conditionalFormatting>
  <conditionalFormatting sqref="O63:O64">
    <cfRule type="expression" dxfId="1962" priority="244">
      <formula>AND(OR($N63&lt;&gt;"",$N64&lt;&gt;"",$O63&lt;&gt;""),$P63="TBD")</formula>
    </cfRule>
  </conditionalFormatting>
  <conditionalFormatting sqref="R63:R64">
    <cfRule type="expression" dxfId="1961" priority="242">
      <formula>AND(OR($Q63&lt;&gt;"",$Q64&lt;&gt;"",$R63&lt;&gt;""),$S63="TBD")</formula>
    </cfRule>
  </conditionalFormatting>
  <conditionalFormatting sqref="U63:U64">
    <cfRule type="expression" dxfId="1960" priority="240">
      <formula>AND(OR($T63&lt;&gt;"",$T64&lt;&gt;"",$U63&lt;&gt;""),$V63="TBD")</formula>
    </cfRule>
  </conditionalFormatting>
  <conditionalFormatting sqref="AA63:AA64">
    <cfRule type="expression" dxfId="1959" priority="236">
      <formula>AND(OR($Z63&lt;&gt;"",$Z64&lt;&gt;"",$AA63&lt;&gt;""),$AB63="TBD")</formula>
    </cfRule>
  </conditionalFormatting>
  <conditionalFormatting sqref="AD63:AD64">
    <cfRule type="expression" dxfId="1958" priority="234">
      <formula>AND(OR($AC63&lt;&gt;"",$AC64&lt;&gt;"",$AD63&lt;&gt;""),$AE63="TBD")</formula>
    </cfRule>
  </conditionalFormatting>
  <conditionalFormatting sqref="D63:D64">
    <cfRule type="expression" dxfId="1957" priority="215">
      <formula>AND($C63&lt;&gt;"",$D63&lt;&gt;"")</formula>
    </cfRule>
  </conditionalFormatting>
  <conditionalFormatting sqref="C63:C64">
    <cfRule type="expression" dxfId="1956" priority="214">
      <formula>AND($C63&lt;&gt;"",$D63&lt;&gt;"")</formula>
    </cfRule>
  </conditionalFormatting>
  <conditionalFormatting sqref="O65:O66">
    <cfRule type="expression" dxfId="1955" priority="212">
      <formula>AND(OR($N65&lt;&gt;"",$N66&lt;&gt;"",$O65&lt;&gt;""),$P65="TBD")</formula>
    </cfRule>
  </conditionalFormatting>
  <conditionalFormatting sqref="R65:R66">
    <cfRule type="expression" dxfId="1954" priority="210">
      <formula>AND(OR($Q65&lt;&gt;"",$Q66&lt;&gt;"",$R65&lt;&gt;""),$S65="TBD")</formula>
    </cfRule>
  </conditionalFormatting>
  <conditionalFormatting sqref="U65:U66">
    <cfRule type="expression" dxfId="1953" priority="208">
      <formula>AND(OR($T65&lt;&gt;"",$T66&lt;&gt;"",$U65&lt;&gt;""),$V65="TBD")</formula>
    </cfRule>
  </conditionalFormatting>
  <conditionalFormatting sqref="AA65:AA66">
    <cfRule type="expression" dxfId="1952" priority="204">
      <formula>AND(OR($Z65&lt;&gt;"",$Z66&lt;&gt;"",$AA65&lt;&gt;""),$AB65="TBD")</formula>
    </cfRule>
  </conditionalFormatting>
  <conditionalFormatting sqref="AD65:AD66">
    <cfRule type="expression" dxfId="1951" priority="202">
      <formula>AND(OR($AC65&lt;&gt;"",$AC66&lt;&gt;"",$AD65&lt;&gt;""),$AE65="TBD")</formula>
    </cfRule>
  </conditionalFormatting>
  <conditionalFormatting sqref="D65:D66">
    <cfRule type="expression" dxfId="1950" priority="183">
      <formula>AND($C65&lt;&gt;"",$D65&lt;&gt;"")</formula>
    </cfRule>
  </conditionalFormatting>
  <conditionalFormatting sqref="C65:C66">
    <cfRule type="expression" dxfId="1949" priority="182">
      <formula>AND($C65&lt;&gt;"",$D65&lt;&gt;"")</formula>
    </cfRule>
  </conditionalFormatting>
  <conditionalFormatting sqref="O67:O68">
    <cfRule type="expression" dxfId="1948" priority="180">
      <formula>AND(OR($N67&lt;&gt;"",$N68&lt;&gt;"",$O67&lt;&gt;""),$P67="TBD")</formula>
    </cfRule>
  </conditionalFormatting>
  <conditionalFormatting sqref="R67:R68">
    <cfRule type="expression" dxfId="1947" priority="178">
      <formula>AND(OR($Q67&lt;&gt;"",$Q68&lt;&gt;"",$R67&lt;&gt;""),$S67="TBD")</formula>
    </cfRule>
  </conditionalFormatting>
  <conditionalFormatting sqref="U67:U68">
    <cfRule type="expression" dxfId="1946" priority="176">
      <formula>AND(OR($T67&lt;&gt;"",$T68&lt;&gt;"",$U67&lt;&gt;""),$V67="TBD")</formula>
    </cfRule>
  </conditionalFormatting>
  <conditionalFormatting sqref="AA67:AA68">
    <cfRule type="expression" dxfId="1945" priority="172">
      <formula>AND(OR($Z67&lt;&gt;"",$Z68&lt;&gt;"",$AA67&lt;&gt;""),$AB67="TBD")</formula>
    </cfRule>
  </conditionalFormatting>
  <conditionalFormatting sqref="AD67:AD68">
    <cfRule type="expression" dxfId="1944" priority="170">
      <formula>AND(OR($AC67&lt;&gt;"",$AC68&lt;&gt;"",$AD67&lt;&gt;""),$AE67="TBD")</formula>
    </cfRule>
  </conditionalFormatting>
  <conditionalFormatting sqref="D67:D68">
    <cfRule type="expression" dxfId="1943" priority="151">
      <formula>AND($C67&lt;&gt;"",$D67&lt;&gt;"")</formula>
    </cfRule>
  </conditionalFormatting>
  <conditionalFormatting sqref="C67:C68">
    <cfRule type="expression" dxfId="1942" priority="150">
      <formula>AND($C67&lt;&gt;"",$D67&lt;&gt;"")</formula>
    </cfRule>
  </conditionalFormatting>
  <conditionalFormatting sqref="BB9:BB68">
    <cfRule type="expression" dxfId="1941" priority="116">
      <formula>BB9&lt;&gt;"No Error"</formula>
    </cfRule>
  </conditionalFormatting>
  <conditionalFormatting sqref="B5">
    <cfRule type="expression" dxfId="1940" priority="115">
      <formula>B5&gt;0</formula>
    </cfRule>
  </conditionalFormatting>
  <conditionalFormatting sqref="A5">
    <cfRule type="expression" dxfId="1939" priority="114">
      <formula>B5&gt;0</formula>
    </cfRule>
  </conditionalFormatting>
  <conditionalFormatting sqref="L10 L12 L14 L16 L18 L20 L22 L24 L26 L28 L30 L32 L34 L36 L38 L40 L42 L44 L46 L48 L50 L52 L54 L56 L58 L60 L62 L64 L66 L68">
    <cfRule type="expression" dxfId="1938" priority="2486">
      <formula>AND($L10="",$B9&lt;&gt;"")</formula>
    </cfRule>
  </conditionalFormatting>
  <conditionalFormatting sqref="Q12">
    <cfRule type="expression" dxfId="1937" priority="113">
      <formula>AND(OR($N12&lt;&gt;"",$N13&lt;&gt;"",$O12&lt;&gt;""),$P12="TBD")</formula>
    </cfRule>
  </conditionalFormatting>
  <conditionalFormatting sqref="Q12">
    <cfRule type="expression" dxfId="1936" priority="112">
      <formula>AND(OR($N11&lt;&gt;"",$N12&lt;&gt;"",$O11&lt;&gt;""),$P11="TBD")</formula>
    </cfRule>
  </conditionalFormatting>
  <conditionalFormatting sqref="O39:O42">
    <cfRule type="expression" dxfId="1935" priority="100">
      <formula>AND(OR($N39&lt;&gt;"",$N40&lt;&gt;"",$O39&lt;&gt;""),$P39="TBD")</formula>
    </cfRule>
  </conditionalFormatting>
  <conditionalFormatting sqref="Q39:Q40">
    <cfRule type="expression" dxfId="1934" priority="97">
      <formula>AND(OR($N39&lt;&gt;"",$N40&lt;&gt;"",$O39&lt;&gt;""),$P39="TBD")</formula>
    </cfRule>
  </conditionalFormatting>
  <conditionalFormatting sqref="Q40">
    <cfRule type="expression" dxfId="1933" priority="96">
      <formula>AND(OR($N39&lt;&gt;"",$N40&lt;&gt;"",$O39&lt;&gt;""),$P39="TBD")</formula>
    </cfRule>
  </conditionalFormatting>
  <conditionalFormatting sqref="T39:T40">
    <cfRule type="expression" dxfId="1932" priority="94">
      <formula>AND(OR($N39&lt;&gt;"",$N40&lt;&gt;"",$O39&lt;&gt;""),$P39="TBD")</formula>
    </cfRule>
  </conditionalFormatting>
  <conditionalFormatting sqref="T40">
    <cfRule type="expression" dxfId="1931" priority="93">
      <formula>AND(OR($N39&lt;&gt;"",$N40&lt;&gt;"",$O39&lt;&gt;""),$P39="TBD")</formula>
    </cfRule>
  </conditionalFormatting>
  <conditionalFormatting sqref="R39:R40">
    <cfRule type="expression" dxfId="1930" priority="91">
      <formula>AND(OR($Q39&lt;&gt;"",$Q40&lt;&gt;"",$R39&lt;&gt;""),$S39="TBD")</formula>
    </cfRule>
  </conditionalFormatting>
  <conditionalFormatting sqref="U39:U40">
    <cfRule type="expression" dxfId="1929" priority="89">
      <formula>AND(OR($T39&lt;&gt;"",$T40&lt;&gt;"",$U39&lt;&gt;""),$V39="TBD")</formula>
    </cfRule>
  </conditionalFormatting>
  <conditionalFormatting sqref="Q35:Q36">
    <cfRule type="expression" dxfId="1928" priority="88">
      <formula>AND(OR($N35&lt;&gt;"",$N36&lt;&gt;"",$O35&lt;&gt;""),$P35="TBD")</formula>
    </cfRule>
  </conditionalFormatting>
  <conditionalFormatting sqref="Q36">
    <cfRule type="expression" dxfId="1927" priority="87">
      <formula>AND(OR($N35&lt;&gt;"",$N36&lt;&gt;"",$O35&lt;&gt;""),$P35="TBD")</formula>
    </cfRule>
  </conditionalFormatting>
  <conditionalFormatting sqref="Q31">
    <cfRule type="expression" dxfId="1926" priority="86">
      <formula>AND(OR($N31&lt;&gt;"",$N32&lt;&gt;"",$O31&lt;&gt;""),$P31="TBD")</formula>
    </cfRule>
  </conditionalFormatting>
  <conditionalFormatting sqref="C29:C34">
    <cfRule type="expression" dxfId="1925" priority="85">
      <formula>AND($C29&lt;&gt;"",$D29&lt;&gt;"")</formula>
    </cfRule>
  </conditionalFormatting>
  <conditionalFormatting sqref="N29:P30">
    <cfRule type="expression" dxfId="1924" priority="76">
      <formula>AND(OR($N29&lt;&gt;"",$N30&lt;&gt;"",$O29&lt;&gt;""),$P29="TBD")</formula>
    </cfRule>
  </conditionalFormatting>
  <conditionalFormatting sqref="N30">
    <cfRule type="expression" dxfId="1923" priority="75">
      <formula>AND(OR($N29&lt;&gt;"",$N30&lt;&gt;"",$O29&lt;&gt;""),$P29="TBD")</formula>
    </cfRule>
  </conditionalFormatting>
  <conditionalFormatting sqref="R29:S30 Q29">
    <cfRule type="expression" dxfId="1922" priority="74">
      <formula>AND(OR($Q29&lt;&gt;"",$Q30&lt;&gt;"",$R29&lt;&gt;""),$S29="TBD")</formula>
    </cfRule>
  </conditionalFormatting>
  <conditionalFormatting sqref="U29:U30 T29">
    <cfRule type="expression" dxfId="1921" priority="73">
      <formula>AND(OR($T29&lt;&gt;"",$T30&lt;&gt;"",$U29&lt;&gt;""),$V29="TBD")</formula>
    </cfRule>
  </conditionalFormatting>
  <conditionalFormatting sqref="Q30">
    <cfRule type="expression" dxfId="1920" priority="72">
      <formula>AND(OR($N30&lt;&gt;"",$N31&lt;&gt;"",$O30&lt;&gt;""),$P30="TBD")</formula>
    </cfRule>
  </conditionalFormatting>
  <conditionalFormatting sqref="Q30">
    <cfRule type="expression" dxfId="1919" priority="71">
      <formula>AND(OR($N29&lt;&gt;"",$N30&lt;&gt;"",$O29&lt;&gt;""),$P29="TBD")</formula>
    </cfRule>
  </conditionalFormatting>
  <conditionalFormatting sqref="T30">
    <cfRule type="expression" dxfId="1918" priority="70">
      <formula>AND(OR($N30&lt;&gt;"",$N31&lt;&gt;"",$O30&lt;&gt;""),$P30="TBD")</formula>
    </cfRule>
  </conditionalFormatting>
  <conditionalFormatting sqref="T30">
    <cfRule type="expression" dxfId="1917" priority="69">
      <formula>AND(OR($N29&lt;&gt;"",$N30&lt;&gt;"",$O29&lt;&gt;""),$P29="TBD")</formula>
    </cfRule>
  </conditionalFormatting>
  <conditionalFormatting sqref="Q15:Q16">
    <cfRule type="expression" dxfId="1916" priority="68">
      <formula>AND(OR($N15&lt;&gt;"",$N16&lt;&gt;"",$O15&lt;&gt;""),$P15="TBD")</formula>
    </cfRule>
  </conditionalFormatting>
  <conditionalFormatting sqref="Q16">
    <cfRule type="expression" dxfId="1915" priority="67">
      <formula>AND(OR($N15&lt;&gt;"",$N16&lt;&gt;"",$O15&lt;&gt;""),$P15="TBD")</formula>
    </cfRule>
  </conditionalFormatting>
  <conditionalFormatting sqref="T15:T16">
    <cfRule type="expression" dxfId="1914" priority="66">
      <formula>AND(OR($N15&lt;&gt;"",$N16&lt;&gt;"",$O15&lt;&gt;""),$P15="TBD")</formula>
    </cfRule>
  </conditionalFormatting>
  <conditionalFormatting sqref="T16">
    <cfRule type="expression" dxfId="1913" priority="65">
      <formula>AND(OR($N15&lt;&gt;"",$N16&lt;&gt;"",$O15&lt;&gt;""),$P15="TBD")</formula>
    </cfRule>
  </conditionalFormatting>
  <conditionalFormatting sqref="N21:N22 P21:P22">
    <cfRule type="expression" dxfId="1912" priority="64">
      <formula>AND(OR($N21&lt;&gt;"",$N22&lt;&gt;"",$O21&lt;&gt;""),$P21="TBD")</formula>
    </cfRule>
  </conditionalFormatting>
  <conditionalFormatting sqref="N22">
    <cfRule type="expression" dxfId="1911" priority="63">
      <formula>AND(OR($N21&lt;&gt;"",$N22&lt;&gt;"",$O21&lt;&gt;""),$P21="TBD")</formula>
    </cfRule>
  </conditionalFormatting>
  <conditionalFormatting sqref="R21:S22 Q21">
    <cfRule type="expression" dxfId="1910" priority="62">
      <formula>AND(OR($Q21&lt;&gt;"",$Q22&lt;&gt;"",$R21&lt;&gt;""),$S21="TBD")</formula>
    </cfRule>
  </conditionalFormatting>
  <conditionalFormatting sqref="N23:N24 P23:P24">
    <cfRule type="expression" dxfId="1909" priority="56">
      <formula>AND(OR($N23&lt;&gt;"",$N24&lt;&gt;"",$O23&lt;&gt;""),$P23="TBD")</formula>
    </cfRule>
  </conditionalFormatting>
  <conditionalFormatting sqref="N24">
    <cfRule type="expression" dxfId="1908" priority="55">
      <formula>AND(OR($N23&lt;&gt;"",$N24&lt;&gt;"",$O23&lt;&gt;""),$P23="TBD")</formula>
    </cfRule>
  </conditionalFormatting>
  <conditionalFormatting sqref="S23:S24 Q23">
    <cfRule type="expression" dxfId="1907" priority="54">
      <formula>AND(OR($Q23&lt;&gt;"",$Q24&lt;&gt;"",$R23&lt;&gt;""),$S23="TBD")</formula>
    </cfRule>
  </conditionalFormatting>
  <conditionalFormatting sqref="T23">
    <cfRule type="expression" dxfId="1906" priority="53">
      <formula>AND(OR($T23&lt;&gt;"",$T24&lt;&gt;"",$U23&lt;&gt;""),$V23="TBD")</formula>
    </cfRule>
  </conditionalFormatting>
  <conditionalFormatting sqref="N25 P25:P26">
    <cfRule type="expression" dxfId="1905" priority="48">
      <formula>AND(OR($N25&lt;&gt;"",$N26&lt;&gt;"",$O25&lt;&gt;""),$P25="TBD")</formula>
    </cfRule>
  </conditionalFormatting>
  <conditionalFormatting sqref="S25:S26">
    <cfRule type="expression" dxfId="1904" priority="46">
      <formula>AND(OR($Q25&lt;&gt;"",$Q26&lt;&gt;"",$R25&lt;&gt;""),$S25="TBD")</formula>
    </cfRule>
  </conditionalFormatting>
  <conditionalFormatting sqref="T25">
    <cfRule type="expression" dxfId="1903" priority="45">
      <formula>AND(OR($T25&lt;&gt;"",$T26&lt;&gt;"",$U25&lt;&gt;""),$V25="TBD")</formula>
    </cfRule>
  </conditionalFormatting>
  <conditionalFormatting sqref="N27 P27:P28">
    <cfRule type="expression" dxfId="1902" priority="40">
      <formula>AND(OR($N27&lt;&gt;"",$N28&lt;&gt;"",$O27&lt;&gt;""),$P27="TBD")</formula>
    </cfRule>
  </conditionalFormatting>
  <conditionalFormatting sqref="S27:S28 Q27">
    <cfRule type="expression" dxfId="1901" priority="38">
      <formula>AND(OR($Q27&lt;&gt;"",$Q28&lt;&gt;"",$R27&lt;&gt;""),$S27="TBD")</formula>
    </cfRule>
  </conditionalFormatting>
  <conditionalFormatting sqref="T27">
    <cfRule type="expression" dxfId="1900" priority="37">
      <formula>AND(OR($T27&lt;&gt;"",$T28&lt;&gt;"",$U27&lt;&gt;""),$V27="TBD")</formula>
    </cfRule>
  </conditionalFormatting>
  <conditionalFormatting sqref="Q38">
    <cfRule type="expression" dxfId="1899" priority="32">
      <formula>AND(OR($N38&lt;&gt;"",$N39&lt;&gt;"",$O38&lt;&gt;""),$P38="TBD")</formula>
    </cfRule>
  </conditionalFormatting>
  <conditionalFormatting sqref="Q38">
    <cfRule type="expression" dxfId="1898" priority="31">
      <formula>AND(OR($N37&lt;&gt;"",$N38&lt;&gt;"",$O37&lt;&gt;""),$P37="TBD")</formula>
    </cfRule>
  </conditionalFormatting>
  <conditionalFormatting sqref="T38">
    <cfRule type="expression" dxfId="1897" priority="30">
      <formula>AND(OR($N38&lt;&gt;"",$N39&lt;&gt;"",$O38&lt;&gt;""),$P38="TBD")</formula>
    </cfRule>
  </conditionalFormatting>
  <conditionalFormatting sqref="T38">
    <cfRule type="expression" dxfId="1896" priority="29">
      <formula>AND(OR($N37&lt;&gt;"",$N38&lt;&gt;"",$O37&lt;&gt;""),$P37="TBD")</formula>
    </cfRule>
  </conditionalFormatting>
  <conditionalFormatting sqref="Q19:Q20">
    <cfRule type="expression" dxfId="1895" priority="28">
      <formula>AND(OR($N19&lt;&gt;"",$N20&lt;&gt;"",$O19&lt;&gt;""),$P19="TBD")</formula>
    </cfRule>
  </conditionalFormatting>
  <conditionalFormatting sqref="Q20">
    <cfRule type="expression" dxfId="1894" priority="27">
      <formula>AND(OR($N19&lt;&gt;"",$N20&lt;&gt;"",$O19&lt;&gt;""),$P19="TBD")</formula>
    </cfRule>
  </conditionalFormatting>
  <conditionalFormatting sqref="T19:T20">
    <cfRule type="expression" dxfId="1893" priority="26">
      <formula>AND(OR($N19&lt;&gt;"",$N20&lt;&gt;"",$O19&lt;&gt;""),$P19="TBD")</formula>
    </cfRule>
  </conditionalFormatting>
  <conditionalFormatting sqref="T20">
    <cfRule type="expression" dxfId="1892" priority="25">
      <formula>AND(OR($N19&lt;&gt;"",$N20&lt;&gt;"",$O19&lt;&gt;""),$P19="TBD")</formula>
    </cfRule>
  </conditionalFormatting>
  <conditionalFormatting sqref="R19:R20">
    <cfRule type="expression" dxfId="1891" priority="24">
      <formula>AND(OR($N19&lt;&gt;"",$N20&lt;&gt;"",$O19&lt;&gt;""),$P19="TBD")</formula>
    </cfRule>
  </conditionalFormatting>
  <conditionalFormatting sqref="Q22">
    <cfRule type="expression" dxfId="1890" priority="23">
      <formula>AND(OR($Q22&lt;&gt;"",$Q23&lt;&gt;"",$R22&lt;&gt;""),$S22="TBD")</formula>
    </cfRule>
  </conditionalFormatting>
  <conditionalFormatting sqref="T21">
    <cfRule type="expression" dxfId="1889" priority="22">
      <formula>AND(OR($Q21&lt;&gt;"",$Q22&lt;&gt;"",$R21&lt;&gt;""),$S21="TBD")</formula>
    </cfRule>
  </conditionalFormatting>
  <conditionalFormatting sqref="T22">
    <cfRule type="expression" dxfId="1888" priority="21">
      <formula>AND(OR($Q22&lt;&gt;"",$Q23&lt;&gt;"",$R22&lt;&gt;""),$S22="TBD")</formula>
    </cfRule>
  </conditionalFormatting>
  <conditionalFormatting sqref="U21:U22">
    <cfRule type="expression" dxfId="1887" priority="20">
      <formula>AND(OR($Q21&lt;&gt;"",$Q22&lt;&gt;"",$R21&lt;&gt;""),$S21="TBD")</formula>
    </cfRule>
  </conditionalFormatting>
  <conditionalFormatting sqref="O21:O22">
    <cfRule type="expression" dxfId="1886" priority="19">
      <formula>AND(OR($Q21&lt;&gt;"",$Q22&lt;&gt;"",$R21&lt;&gt;""),$S21="TBD")</formula>
    </cfRule>
  </conditionalFormatting>
  <conditionalFormatting sqref="O23:O24">
    <cfRule type="expression" dxfId="1885" priority="18">
      <formula>AND(OR($Q23&lt;&gt;"",$Q24&lt;&gt;"",$R23&lt;&gt;""),$S23="TBD")</formula>
    </cfRule>
  </conditionalFormatting>
  <conditionalFormatting sqref="R23:R24">
    <cfRule type="expression" dxfId="1884" priority="17">
      <formula>AND(OR($Q23&lt;&gt;"",$Q24&lt;&gt;"",$R23&lt;&gt;""),$S23="TBD")</formula>
    </cfRule>
  </conditionalFormatting>
  <conditionalFormatting sqref="U23:U24">
    <cfRule type="expression" dxfId="1883" priority="16">
      <formula>AND(OR($Q23&lt;&gt;"",$Q24&lt;&gt;"",$R23&lt;&gt;""),$S23="TBD")</formula>
    </cfRule>
  </conditionalFormatting>
  <conditionalFormatting sqref="Q24">
    <cfRule type="expression" dxfId="1882" priority="15">
      <formula>AND(OR($N24&lt;&gt;"",$N25&lt;&gt;"",$O24&lt;&gt;""),$P24="TBD")</formula>
    </cfRule>
  </conditionalFormatting>
  <conditionalFormatting sqref="Q24">
    <cfRule type="expression" dxfId="1881" priority="14">
      <formula>AND(OR($N23&lt;&gt;"",$N24&lt;&gt;"",$O23&lt;&gt;""),$P23="TBD")</formula>
    </cfRule>
  </conditionalFormatting>
  <conditionalFormatting sqref="T24">
    <cfRule type="expression" dxfId="1880" priority="13">
      <formula>AND(OR($N24&lt;&gt;"",$N25&lt;&gt;"",$O24&lt;&gt;""),$P24="TBD")</formula>
    </cfRule>
  </conditionalFormatting>
  <conditionalFormatting sqref="T24">
    <cfRule type="expression" dxfId="1879" priority="12">
      <formula>AND(OR($N23&lt;&gt;"",$N24&lt;&gt;"",$O23&lt;&gt;""),$P23="TBD")</formula>
    </cfRule>
  </conditionalFormatting>
  <conditionalFormatting sqref="O27:O28">
    <cfRule type="expression" dxfId="1878" priority="11">
      <formula>AND(OR($Q27&lt;&gt;"",$Q28&lt;&gt;"",$R27&lt;&gt;""),$S27="TBD")</formula>
    </cfRule>
  </conditionalFormatting>
  <conditionalFormatting sqref="R27:R28">
    <cfRule type="expression" dxfId="1877" priority="10">
      <formula>AND(OR($Q27&lt;&gt;"",$Q28&lt;&gt;"",$R27&lt;&gt;""),$S27="TBD")</formula>
    </cfRule>
  </conditionalFormatting>
  <conditionalFormatting sqref="U27:U28">
    <cfRule type="expression" dxfId="1876" priority="9">
      <formula>AND(OR($Q27&lt;&gt;"",$Q28&lt;&gt;"",$R27&lt;&gt;""),$S27="TBD")</formula>
    </cfRule>
  </conditionalFormatting>
  <conditionalFormatting sqref="N26">
    <cfRule type="expression" dxfId="1875" priority="8">
      <formula>AND(OR($N26&lt;&gt;"",$N27&lt;&gt;"",$O26&lt;&gt;""),$P26="TBD")</formula>
    </cfRule>
  </conditionalFormatting>
  <conditionalFormatting sqref="Q26">
    <cfRule type="expression" dxfId="1874" priority="7">
      <formula>AND(OR($N26&lt;&gt;"",$N27&lt;&gt;"",$O26&lt;&gt;""),$P26="TBD")</formula>
    </cfRule>
  </conditionalFormatting>
  <conditionalFormatting sqref="T26">
    <cfRule type="expression" dxfId="1873" priority="6">
      <formula>AND(OR($N26&lt;&gt;"",$N27&lt;&gt;"",$O26&lt;&gt;""),$P26="TBD")</formula>
    </cfRule>
  </conditionalFormatting>
  <conditionalFormatting sqref="O25:O26">
    <cfRule type="expression" dxfId="1872" priority="5">
      <formula>AND(OR($Q25&lt;&gt;"",$Q26&lt;&gt;"",$R25&lt;&gt;""),$S25="TBD")</formula>
    </cfRule>
  </conditionalFormatting>
  <conditionalFormatting sqref="R25:R26">
    <cfRule type="expression" dxfId="1871" priority="4">
      <formula>AND(OR($Q25&lt;&gt;"",$Q26&lt;&gt;"",$R25&lt;&gt;""),$S25="TBD")</formula>
    </cfRule>
  </conditionalFormatting>
  <conditionalFormatting sqref="U25:U26">
    <cfRule type="expression" dxfId="1870" priority="3">
      <formula>AND(OR($Q25&lt;&gt;"",$Q26&lt;&gt;"",$R25&lt;&gt;""),$S25="TBD")</formula>
    </cfRule>
  </conditionalFormatting>
  <conditionalFormatting sqref="Q25">
    <cfRule type="expression" dxfId="1869" priority="1">
      <formula>AND(OR($N25&lt;&gt;"",$N26&lt;&gt;"",$O25&lt;&gt;""),$P25="TBD")</formula>
    </cfRule>
  </conditionalFormatting>
  <dataValidations count="9">
    <dataValidation type="list" allowBlank="1" showInputMessage="1" showErrorMessage="1" error="Invalid entry. Select from dropdown list." sqref="K9:K68">
      <formula1>MergedAndDistinctPR</formula1>
    </dataValidation>
    <dataValidation type="list" allowBlank="1" showInputMessage="1" showErrorMessage="1" error="Invalid entry. Select from dropdown list." sqref="L9 L35 L11 L13 L15 L17 L19 L21 L23 L25 L27 L29 L31 L33 L37 L39 L41 L43 L45 L47 L49 L51 L53 L55 L57 L59 L61 L63 L65 L67">
      <formula1>Country</formula1>
    </dataValidation>
    <dataValidation type="list" allowBlank="1" showInputMessage="1" showErrorMessage="1" error="Invalid entry. Select from dropdown list." sqref="J9:J68 BA9:BA68">
      <formula1>"Yes,No"</formula1>
    </dataValidation>
    <dataValidation type="list" allowBlank="1" showInputMessage="1" showErrorMessage="1" error="Invalid entry. Select from dropdown list." sqref="G9:G68">
      <formula1>baseline_validation</formula1>
    </dataValidation>
    <dataValidation type="decimal" operator="greaterThanOrEqual" allowBlank="1" showInputMessage="1" showErrorMessage="1" error="Enter valid number only." prompt="Do not enter more than 2 decimal places" sqref="AJ9:AJ68 F9:F68 O9:O68 R9:R68 U9:U68 AA9:AA68 AD9:AD68 AG9:AG68 X9:X68">
      <formula1>0</formula1>
    </dataValidation>
    <dataValidation type="custom" allowBlank="1" showInputMessage="1" showErrorMessage="1" errorTitle="Coverage Indicators" error="Cannot enter both standard and custom indicators on the same line." sqref="D9:D68">
      <formula1>C9=""</formula1>
    </dataValidation>
    <dataValidation type="list" allowBlank="1" showInputMessage="1" showErrorMessage="1" error="Invalid entry. Select from dropdown list." sqref="C9:C68">
      <formula1>OFFSET(CoverageStart,MATCH(AM9,CoverageColumn,0)-1,2,COUNTIF(CoverageColumn,AM9),1)</formula1>
    </dataValidation>
    <dataValidation type="list" allowBlank="1" showInputMessage="1" showErrorMessage="1" error="Invalid entry. Select from dropdown list." sqref="B9:B68">
      <formula1>Coverage_Module</formula1>
    </dataValidation>
    <dataValidation type="decimal" operator="greaterThanOrEqual" allowBlank="1" showInputMessage="1" showErrorMessage="1" errorTitle="Error" error="Enter valid number only." sqref="AI9:AI68 AF9:AF68 AC9:AC68 Z9:Z68 W9:W68 T9:T68 Q9:Q68 N9:N68 E9:E68">
      <formula1>0</formula1>
    </dataValidation>
  </dataValidations>
  <hyperlinks>
    <hyperlink ref="B4" location="Instructions!InstructionD" display="Instructions"/>
    <hyperlink ref="C4" location="'Print - Coverage'!A1" display="Print View"/>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0">
        <x14:dataValidation type="list" allowBlank="1" showInputMessage="1" showErrorMessage="1" error="Invalid entry. Select from dropdown list.">
          <x14:formula1>
            <xm:f>Setup!$A$16:$A$18</xm:f>
          </x14:formula1>
          <xm:sqref>L10 L36 L12 L14 L16 L18 L20 L22 L24 L26 L28 L30 L32 L34 L38 L40 L42 L44 L46 L48 L50 L52 L54 L56 L58 L60 L62 L64 L66 L68</xm:sqref>
        </x14:dataValidation>
        <x14:dataValidation type="list" allowBlank="1" showInputMessage="1" showErrorMessage="1" error="Invalid entry. Select from dropdown list.">
          <x14:formula1>
            <xm:f>IF($D9&lt;&gt;"",Setup!$E$15:$E$17,OFFSET(AV9,0,0,1,COUNTIF(AV9:AX9,"?*")))</xm:f>
          </x14:formula1>
          <xm:sqref>M9:M68</xm:sqref>
        </x14:dataValidation>
        <x14:dataValidation type="list" showInputMessage="1" showErrorMessage="1" error="Invalid entry. Select from dropdown list.">
          <x14:formula1>
            <xm:f>IF(OR($Q9&lt;&gt;"",$Q10&lt;&gt;"",$R9&lt;&gt;""),INDIRECT("FakeRange"),Setup!A$29)</xm:f>
          </x14:formula1>
          <xm:sqref>S9:S68</xm:sqref>
        </x14:dataValidation>
        <x14:dataValidation type="list" showInputMessage="1" showErrorMessage="1" error="Invalid entry. Select from dropdown list.">
          <x14:formula1>
            <xm:f>IF(OR($N9&lt;&gt;"",$N10&lt;&gt;"",$O9&lt;&gt;""),INDIRECT("FakeRange"),Setup!A$29)</xm:f>
          </x14:formula1>
          <xm:sqref>P9:P68</xm:sqref>
        </x14:dataValidation>
        <x14:dataValidation type="list" showInputMessage="1" showErrorMessage="1" error="Invalid entry. Select from dropdown list.">
          <x14:formula1>
            <xm:f>IF(OR($T9&lt;&gt;"",$T10&lt;&gt;"",$U9&lt;&gt;""),INDIRECT("FakeRange"),Setup!A$29)</xm:f>
          </x14:formula1>
          <xm:sqref>V9:V68</xm:sqref>
        </x14:dataValidation>
        <x14:dataValidation type="list" showInputMessage="1" showErrorMessage="1" error="Invalid entry. Select from dropdown list.">
          <x14:formula1>
            <xm:f>IF(OR($W9&lt;&gt;"",$W10&lt;&gt;"",$X9&lt;&gt;""),INDIRECT("FakeRange"),Setup!A$29)</xm:f>
          </x14:formula1>
          <xm:sqref>Y9:Y68</xm:sqref>
        </x14:dataValidation>
        <x14:dataValidation type="list" showInputMessage="1" showErrorMessage="1" error="Invalid entry. Select from dropdown list.">
          <x14:formula1>
            <xm:f>IF(OR($Z9&lt;&gt;"",$Z10&lt;&gt;"",$AA9&lt;&gt;""),INDIRECT("FakeRange"),Setup!A$29)</xm:f>
          </x14:formula1>
          <xm:sqref>AB9:AB68</xm:sqref>
        </x14:dataValidation>
        <x14:dataValidation type="list" showInputMessage="1" showErrorMessage="1" error="Invalid entry. Select from dropdown list.">
          <x14:formula1>
            <xm:f>IF(OR(AC9&lt;&gt;"",AC10&lt;&gt;"",AD9&gt;""),INDIRECT("FakeRange"),Setup!A$29)</xm:f>
          </x14:formula1>
          <xm:sqref>AE9:AE68</xm:sqref>
        </x14:dataValidation>
        <x14:dataValidation type="list" showInputMessage="1" showErrorMessage="1" error="Invalid entry. Select from dropdown list.">
          <x14:formula1>
            <xm:f>IF(OR(AF9&lt;&gt;"",AF10&lt;&gt;"",AG9&lt;&gt;""),INDIRECT("FakeRange"),Setup!A$29)</xm:f>
          </x14:formula1>
          <xm:sqref>AH9:AH68</xm:sqref>
        </x14:dataValidation>
        <x14:dataValidation type="list" showInputMessage="1" showErrorMessage="1" error="Invalid entry. Select from dropdown list.">
          <x14:formula1>
            <xm:f>IF(OR(AI9&lt;&gt;"",AI10&lt;&gt;"",AJ9&lt;&gt;""),INDIRECT("FakeRange"),Setup!A$29)</xm:f>
          </x14:formula1>
          <xm:sqref>AK9:AK68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BAFB83A586EF4F94E7F07E84C3D94B" ma:contentTypeVersion="17" ma:contentTypeDescription="Create a new document." ma:contentTypeScope="" ma:versionID="d6b6f14f47726fe1c30b01f675039f08">
  <xsd:schema xmlns:xsd="http://www.w3.org/2001/XMLSchema" xmlns:xs="http://www.w3.org/2001/XMLSchema" xmlns:p="http://schemas.microsoft.com/office/2006/metadata/properties" xmlns:ns2="0d090553-ac12-4b9f-ace9-08ae9ba49871" xmlns:ns3="b7c0ead1-1596-430a-9f15-fe6efc5e9c7f" targetNamespace="http://schemas.microsoft.com/office/2006/metadata/properties" ma:root="true" ma:fieldsID="6133445f6686ffccd363983d0b0ccd39" ns2:_="" ns3:_="">
    <xsd:import namespace="0d090553-ac12-4b9f-ace9-08ae9ba49871"/>
    <xsd:import namespace="b7c0ead1-1596-430a-9f15-fe6efc5e9c7f"/>
    <xsd:element name="properties">
      <xsd:complexType>
        <xsd:sequence>
          <xsd:element name="documentManagement">
            <xsd:complexType>
              <xsd:all>
                <xsd:element ref="ns2:MediaServiceMetadata" minOccurs="0"/>
                <xsd:element ref="ns2:MediaServiceFastMetadata" minOccurs="0"/>
                <xsd:element ref="ns2:_Flow_SignoffStatus" minOccurs="0"/>
                <xsd:element ref="ns2:MediaServiceAutoTags" minOccurs="0"/>
                <xsd:element ref="ns2:MediaServiceOCR" minOccurs="0"/>
                <xsd:element ref="ns3:SharedWithUsers" minOccurs="0"/>
                <xsd:element ref="ns3:SharedWithDetails"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090553-ac12-4b9f-ace9-08ae9ba498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0" nillable="true" ma:displayName="Sign-off status" ma:internalName="_x0024_Resources_x003a_core_x002c_Signoff_Status_x003b_">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7c0ead1-1596-430a-9f15-fe6efc5e9c7f"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2bee817-e277-44d7-b1b3-2d258cf7fc2d}" ma:internalName="TaxCatchAll" ma:showField="CatchAllData" ma:web="b7c0ead1-1596-430a-9f15-fe6efc5e9c7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0d090553-ac12-4b9f-ace9-08ae9ba49871" xsi:nil="true"/>
    <TaxCatchAll xmlns="b7c0ead1-1596-430a-9f15-fe6efc5e9c7f" xsi:nil="true"/>
    <lcf76f155ced4ddcb4097134ff3c332f xmlns="0d090553-ac12-4b9f-ace9-08ae9ba4987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78D2D3-1A08-4F8E-BA09-553AFAFF31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090553-ac12-4b9f-ace9-08ae9ba49871"/>
    <ds:schemaRef ds:uri="b7c0ead1-1596-430a-9f15-fe6efc5e9c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B8C3DF-DF37-431E-8941-E7EFDF2D06CA}">
  <ds:schemaRefs>
    <ds:schemaRef ds:uri="http://www.w3.org/XML/1998/namespace"/>
    <ds:schemaRef ds:uri="b7c0ead1-1596-430a-9f15-fe6efc5e9c7f"/>
    <ds:schemaRef ds:uri="http://schemas.microsoft.com/office/2006/documentManagement/types"/>
    <ds:schemaRef ds:uri="http://purl.org/dc/terms/"/>
    <ds:schemaRef ds:uri="http://schemas.microsoft.com/office/infopath/2007/PartnerControls"/>
    <ds:schemaRef ds:uri="http://purl.org/dc/elements/1.1/"/>
    <ds:schemaRef ds:uri="0d090553-ac12-4b9f-ace9-08ae9ba49871"/>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06F235D-6A2F-4E26-9A6E-0FCC919D2D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562</vt:i4>
      </vt:variant>
    </vt:vector>
  </HeadingPairs>
  <TitlesOfParts>
    <vt:vector size="575" baseType="lpstr">
      <vt:lpstr>Instructions</vt:lpstr>
      <vt:lpstr>Overview - Section A</vt:lpstr>
      <vt:lpstr>Impact Indicators - Section B </vt:lpstr>
      <vt:lpstr>Outcome Indicators - Section C </vt:lpstr>
      <vt:lpstr>Coverage Indicators - Section D</vt:lpstr>
      <vt:lpstr> Disaggregation - Section E </vt:lpstr>
      <vt:lpstr>WPTM - Section F</vt:lpstr>
      <vt:lpstr>Target Assumptions</vt:lpstr>
      <vt:lpstr>Print - Summary</vt:lpstr>
      <vt:lpstr>Print - Goals &amp; Impact</vt:lpstr>
      <vt:lpstr>Print - Objectives &amp; Outcome</vt:lpstr>
      <vt:lpstr>Print - Coverage</vt:lpstr>
      <vt:lpstr>Print - WPTM</vt:lpstr>
      <vt:lpstr>_009096bb_77c7_47e9_ab78_bac00c84b439</vt:lpstr>
      <vt:lpstr>_014af77a_8bcb_4d0c_beeb_a3d72f1332b5</vt:lpstr>
      <vt:lpstr>_01bfc0ce_3a93_4136_98df_2e5ab51007c4</vt:lpstr>
      <vt:lpstr>_01cccfef_5573_4d36_b9d3_e32bd9199c70</vt:lpstr>
      <vt:lpstr>_0215c642_4079_4a66_b33f_02948e5b161c</vt:lpstr>
      <vt:lpstr>_02216ac2_a521_4fa9_9c18_1a31ed051d70</vt:lpstr>
      <vt:lpstr>_02305739_ec80_4503_b191_2e272f7ad158</vt:lpstr>
      <vt:lpstr>_0278b5de_0da4_4498_a134_99a2744a9fab</vt:lpstr>
      <vt:lpstr>_033fcd6d_adce_4700_8852_ca583a6bef6b</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_0a0c24ce_1a3f_4bf9_a8ff_c91c0647302d</vt:lpstr>
      <vt:lpstr>_0a25a90c_3219_438f_af02_7dbbd6432e17</vt:lpstr>
      <vt:lpstr>_0b061e63_2d62_4e7f_be44_4eac7747625a</vt:lpstr>
      <vt:lpstr>_0ba5fba9_1998_4ded_9b12_f967fc1c76dc</vt:lpstr>
      <vt:lpstr>_0bc93981_4b8d_4224_bec6_b5e224b4bbdb</vt:lpstr>
      <vt:lpstr>_0be7695c_11a6_45b5_b154_af6d36015894</vt:lpstr>
      <vt:lpstr>_0beac2ba_bbbb_431d_8bce_14dbf66bdf78</vt:lpstr>
      <vt:lpstr>_0c431a0b_6c06_4a8d_9958_df0e381f3233</vt:lpstr>
      <vt:lpstr>_0cdb72c3_6724_4a77_bc28_1011a00b051b</vt:lpstr>
      <vt:lpstr>_0d92c2c9_3965_40dd_8ee0_e9f02c0e3ee9</vt:lpstr>
      <vt:lpstr>_0dc96169_1e4e_4b6f_8f38_6c1e88134dc4</vt:lpstr>
      <vt:lpstr>_0eecfd33_4a6a_4cbb_afe3_81fb3599f535</vt:lpstr>
      <vt:lpstr>_0f39d314_7997_497e_b89c_3c8231e774ea</vt:lpstr>
      <vt:lpstr>_1121e55d_6d32_4888_b652_ac9583a82d46</vt:lpstr>
      <vt:lpstr>_1279d174_765e_40f7_9774_a1502cee1084</vt:lpstr>
      <vt:lpstr>_13f5bbc3_a06d_4a3e_b75e_ac6929e1cb91</vt:lpstr>
      <vt:lpstr>_144bb8c4_0b16_4558_9e0b_bfebb0a9604a</vt:lpstr>
      <vt:lpstr>_1492cdfa_6f29_4651_b3ea_fe361a5ebb05</vt:lpstr>
      <vt:lpstr>_14a567c8_d8f6_4162_9aa0_c1538b8740a0</vt:lpstr>
      <vt:lpstr>_161d698e_cfc0_4369_9f9d_683d632fec4f</vt:lpstr>
      <vt:lpstr>_164e6d09_185f_4eb7_8d48_b40f818dce2a</vt:lpstr>
      <vt:lpstr>_185f9a59_e3dc_4a86_b1fd_a4a300de92e9</vt:lpstr>
      <vt:lpstr>_1955075b_5332_4022_9e1d_d8310266160b</vt:lpstr>
      <vt:lpstr>_195784db_c268_4c63_8483_153347963bf4</vt:lpstr>
      <vt:lpstr>_198b5a5f_0f03_476f_accf_4c39afec46de</vt:lpstr>
      <vt:lpstr>_1a080622_0d74_49cf_97f9_4810bf8030df</vt:lpstr>
      <vt:lpstr>_1aa1a76c_dd86_4169_9713_d4769c038cf4</vt:lpstr>
      <vt:lpstr>_1adee5ff_c5c9_43db_9c1e_bb4129b790bf</vt:lpstr>
      <vt:lpstr>_1b8aaee3_08fa_47b6_9b44_c592025d5948</vt:lpstr>
      <vt:lpstr>_1ba5b9ab_2d9b_4eca_b122_0032dff5772a</vt:lpstr>
      <vt:lpstr>_1c63dced_ef57_49a2_b76c_04f2a67c4e37</vt:lpstr>
      <vt:lpstr>_1c9a6136_ca1e_45b0_8d91_8e499a1c2b64</vt:lpstr>
      <vt:lpstr>_1d6a3bac_4285_4496_be35_4b6e94c6c525</vt:lpstr>
      <vt:lpstr>_1e8031e2_fb17_49db_aa23_60e8be628b5d</vt:lpstr>
      <vt:lpstr>_1f7a22d6_7976_4a51_98b5_b72a96a27356</vt:lpstr>
      <vt:lpstr>_1f8e424d_2435_4858_bbf5_7f8dd0a93ebd</vt:lpstr>
      <vt:lpstr>_201a9b59_c648_4520_b810_e4a26475e91b</vt:lpstr>
      <vt:lpstr>_20610bf4_5e5c_47a3_b8cb_606c8e2d35b3</vt:lpstr>
      <vt:lpstr>_20b37a5d_a9b9_4728_a5db_fa2bcdb4259a</vt:lpstr>
      <vt:lpstr>_2107d815_de12_4678_b7bf_30f8521ae049</vt:lpstr>
      <vt:lpstr>_214941ba_c471_49a3_8970_f93dba1090ed</vt:lpstr>
      <vt:lpstr>_2155cd87_2f72_4971_9bf3_5e903b4bd350</vt:lpstr>
      <vt:lpstr>_21767732_1f31_4ce6_b119_8446771deb3e</vt:lpstr>
      <vt:lpstr>_21b12a26_ee05_4098_a9bf_fc0cdf7f6adb</vt:lpstr>
      <vt:lpstr>_227c1eef_248d_4636_b70f_e17385d0de94</vt:lpstr>
      <vt:lpstr>_233f4b6b_2a85_4f7c_a11c_783789889f27</vt:lpstr>
      <vt:lpstr>_23c679e9_b192_40b1_95ad_e2f1dac7a992</vt:lpstr>
      <vt:lpstr>_23debc6e_f89a_4d49_93e8_506d71c4cbb7</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_26c11d11_1dfd_419a_b62a_f0e5f18ddf3d</vt:lpstr>
      <vt:lpstr>_27c6dfb2_6e2c_4519_aff6_82afcaea4b81</vt:lpstr>
      <vt:lpstr>_295f3441_adc3_4dc5_8a9e_67266d697395</vt:lpstr>
      <vt:lpstr>_29ae4ec4_c4dc_4320_ba24_ddaf89e82a28</vt:lpstr>
      <vt:lpstr>_29dc2e64_1893_44f6_9dcf_87e619efff18</vt:lpstr>
      <vt:lpstr>_29de1210_4fea_46a8_ac63_eb3a3734b209</vt:lpstr>
      <vt:lpstr>_2ab1dfcf_a207_4488_9778_05865ff67402</vt:lpstr>
      <vt:lpstr>_2bad41a3_d2d5_4a30_a026_b211ed401ae9</vt:lpstr>
      <vt:lpstr>_2c6b8785_2f7e_4ce5_948e_2066c6838182</vt:lpstr>
      <vt:lpstr>_2caea628_1956_4c87_bc20_7a08eb818bc7</vt:lpstr>
      <vt:lpstr>_2cce8ee2_6afd_41d1_bcad_99af3d7b16b5</vt:lpstr>
      <vt:lpstr>_2d154807_2b4a_4b96_90cc_90540c97cd87</vt:lpstr>
      <vt:lpstr>_2d8b8002_9e00_4e21_821d_5beccbd0b725</vt:lpstr>
      <vt:lpstr>_304a4b38_aadb_465f_bec4_ede79462324a</vt:lpstr>
      <vt:lpstr>_30572134_8290_4750_a680_dd1dbf9fbe17</vt:lpstr>
      <vt:lpstr>_30b03846_ab03_4151_aecb_ffcd8f9380d3</vt:lpstr>
      <vt:lpstr>_31abdfc0_7b3f_4421_9bb3_3010b64c33c6</vt:lpstr>
      <vt:lpstr>_31e1e97a_f8b3_42a3_9dba_54263b984934</vt:lpstr>
      <vt:lpstr>_33898a8c_e55b_4fb6_a523_fc8d172930cd</vt:lpstr>
      <vt:lpstr>_33f94c69_7ad0_42e4_ae97_cd43ab2f6fb1</vt:lpstr>
      <vt:lpstr>_3599e6a2_76d5_4a3e_b94f_263ea328a754</vt:lpstr>
      <vt:lpstr>_35d1b49a_9719_423f_baf2_fde871e1bd58</vt:lpstr>
      <vt:lpstr>_3656f8fe_1658_4390_b037_f0db08258404</vt:lpstr>
      <vt:lpstr>_36c48884_8351_429d_866b_c7cb8ec9bdfb</vt:lpstr>
      <vt:lpstr>_37fc5e03_bcc7_4685_9fef_b3f1646865b7</vt:lpstr>
      <vt:lpstr>_38090fcc_c83f_4075_9748_b307f993e767</vt:lpstr>
      <vt:lpstr>_38727489_790b_4106_8b2a_6a8fd7426747</vt:lpstr>
      <vt:lpstr>_388e9f7b_b253_414f_b074_2b51db867bec</vt:lpstr>
      <vt:lpstr>_3a54c0cb_5d61_44ab_9f5f_59c0b83c7017</vt:lpstr>
      <vt:lpstr>_3a87c5f7_0769_4a3a_a3e3_82a4b0341068</vt:lpstr>
      <vt:lpstr>_3b16469f_3a28_404f_a919_41ed115ef29e</vt:lpstr>
      <vt:lpstr>_3b7422cb_6445_4aa9_93d7_564b3b552a88</vt:lpstr>
      <vt:lpstr>_3c45532e_4503_44c3_aed1_88e3c7145bca</vt:lpstr>
      <vt:lpstr>_3c670222_be49_48d4_a6da_55d70e83d153</vt:lpstr>
      <vt:lpstr>_3c7e6a65_3704_49f1_aeb5_596f9e172566</vt:lpstr>
      <vt:lpstr>_3d3c76b6_9fcf_4cb5_b2a3_ba632337362e</vt:lpstr>
      <vt:lpstr>_3d6d3512_10c0_4de5_aa42_7ee068d75e48</vt:lpstr>
      <vt:lpstr>_3e588f48_5b47_4e13_ab21_55c135645d97</vt:lpstr>
      <vt:lpstr>_3f09c12b_bc4c_4018_a427_8323f6abdcde</vt:lpstr>
      <vt:lpstr>_3f14779a_3657_4ee9_b857_6b95d77074db</vt:lpstr>
      <vt:lpstr>_3f450a54_eabe_42be_b6a5_18c086a5d786</vt:lpstr>
      <vt:lpstr>_3fdc2ac9_f4a3_4d6a_b2f2_58d6f3e03696</vt:lpstr>
      <vt:lpstr>_3fe9ffb0_20f0_4e61_bd05_c39610c7d823</vt:lpstr>
      <vt:lpstr>_413e976f_e211_495a_946b_b87ba18376c4</vt:lpstr>
      <vt:lpstr>_4142b5d6_b3a2_4804_93e1_6abaf2166d4c</vt:lpstr>
      <vt:lpstr>_423d3c20_41cf_4997_a293_9b1150fb8eaa</vt:lpstr>
      <vt:lpstr>_425b05fb_599f_421c_ad67_1b45a511d0c0</vt:lpstr>
      <vt:lpstr>_4266c6da_54ca_4a1a_a567_1b51c0445aba</vt:lpstr>
      <vt:lpstr>_42a2ef20_7507_4137_ae83_1c4ed24d9bd9</vt:lpstr>
      <vt:lpstr>_42e32736_f62b_47ce_92a8_6a1521494e49</vt:lpstr>
      <vt:lpstr>_45ed0cc2_06fa_47d2_bf1a_8078df921d9b</vt:lpstr>
      <vt:lpstr>_463898c2_94f9_443e_9360_603b31e51356</vt:lpstr>
      <vt:lpstr>_46d565cf_c4b6_4ba9_91a9_ae6e1f229f25</vt:lpstr>
      <vt:lpstr>_4820f755_1815_4142_9c1e_22637b4b3c30</vt:lpstr>
      <vt:lpstr>_493718d5_8d74_4e5b_a628_d7a62c064791</vt:lpstr>
      <vt:lpstr>_49926cff_7d8a_446c_9eaf_1304d30c19db</vt:lpstr>
      <vt:lpstr>_4994889e_24bf_4e57_b5fe_4d250c0b598a</vt:lpstr>
      <vt:lpstr>_4af41944_42f7_4e99_8627_878d677a4e30</vt:lpstr>
      <vt:lpstr>_4b36df75_ea3b_4116_b8ac_4a66abe762ad</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_4e5ca0c2_8d28_4ec9_a11a_86be2ce5dab2</vt:lpstr>
      <vt:lpstr>_4e82750a_5fea_44c6_80cf_72f682152f92</vt:lpstr>
      <vt:lpstr>_4ede0df7_bdae_485c_a6aa_cd381b32466f</vt:lpstr>
      <vt:lpstr>_4ee906e6_a15a_4bd6_a5ab_48f7e9c4ead2</vt:lpstr>
      <vt:lpstr>_4efdea21_451f_4b74_a2f9_191820a288a6</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_54eeb97e_db74_4058_898e_3c70d10a60fb</vt:lpstr>
      <vt:lpstr>_551ff597_4d6b_4e43_80ec_d627591a4405</vt:lpstr>
      <vt:lpstr>_55639097_3c5f_4331_a97c_5edff71d38fc</vt:lpstr>
      <vt:lpstr>_556ddeb1_283d_4119_8033_220d00837221</vt:lpstr>
      <vt:lpstr>_567ed919_b486_4c41_bb70_535bc7d4ec41</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_5aa1215d_515a_4048_8b5b_5f42e4881d07</vt:lpstr>
      <vt:lpstr>_5b7858ba_c7ed_4c9b_bc1f_4266d944d694</vt:lpstr>
      <vt:lpstr>_5c348667_29c7_4f46_8bdf_9340e7ffe341</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_5feb45e7_358f_4fcc_9644_92d1bc740165</vt:lpstr>
      <vt:lpstr>_5ffe0d1a_8a84_4337_9fd0_deccf895e752</vt:lpstr>
      <vt:lpstr>_60cca16c_2bbf_4012_b9ed_84b4cc4c6513</vt:lpstr>
      <vt:lpstr>_62fc5abc_c22f_4886_8298_ae4140ce6a16</vt:lpstr>
      <vt:lpstr>_634c40bd_8cf0_4631_853b_96851e3bcde4</vt:lpstr>
      <vt:lpstr>_63de57f1_547d_4bd8_8c72_4f7979df3206</vt:lpstr>
      <vt:lpstr>_641e8879_2a7f_4e5b_9221_71c3163e2697</vt:lpstr>
      <vt:lpstr>_64b80052_1148_4ad0_a719_2605a229a5dd</vt:lpstr>
      <vt:lpstr>_651c1cff_29dc_4f61_8994_ff4aa592187f</vt:lpstr>
      <vt:lpstr>_654bca83_10b5_4fb3_962f_80e82dfc63ce</vt:lpstr>
      <vt:lpstr>_65c26b5a_0465_48fc_a362_f2e87b3413d9</vt:lpstr>
      <vt:lpstr>_6665a218_1941_4e63_be83_b389367e3fe6</vt:lpstr>
      <vt:lpstr>_666ecfb3_4890_469f_9405_c844bfec298e</vt:lpstr>
      <vt:lpstr>_66c05feb_5ba4_4d15_8d33_a4f0ff5f795a</vt:lpstr>
      <vt:lpstr>_66ed04dd_0830_439c_b4bc_24d70db2c1e7</vt:lpstr>
      <vt:lpstr>_6715a48b_b59c_4776_be88_a55a2bdba187</vt:lpstr>
      <vt:lpstr>_68131f07_373f_4ee5_8db3_e8876679341b</vt:lpstr>
      <vt:lpstr>_6817dc8a_703d_4192_a2a8_a72a907275fb</vt:lpstr>
      <vt:lpstr>_6a3dda26_b269_4afa_8b05_c602a881a167</vt:lpstr>
      <vt:lpstr>_6ac60fe2_d872_4a35_a5e2_7132294649ec</vt:lpstr>
      <vt:lpstr>_6b293db8_2064_47cb_abbc_3f4c6d0caeda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_7013a04d_f140_4c08_95f4_355fa29beec4</vt:lpstr>
      <vt:lpstr>_708bc3f4_3b2b_4cbe_89e1_1871c272480d</vt:lpstr>
      <vt:lpstr>_70a5cda6_774c_4166_b372_07fbe25d764a</vt:lpstr>
      <vt:lpstr>_7210282b_6d37_40e9_9208_b22105dfdb45</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_76f43188_477a_485f_9a13_9e30303f1124</vt:lpstr>
      <vt:lpstr>_77290f0f_e3b8_410c_9e2a_f33b99973795</vt:lpstr>
      <vt:lpstr>_79161a16_98b0_4d79_baa1_fb3e9caa28f6</vt:lpstr>
      <vt:lpstr>_7920b793_d507_4f7a_99e2_756c9f466e52</vt:lpstr>
      <vt:lpstr>_7a157943_9cc3_410b_ac27_f2c54152e262</vt:lpstr>
      <vt:lpstr>_7a72f78c_72ee_4007_958d_a1a1ee34b28b</vt:lpstr>
      <vt:lpstr>_7ab7b090_6bd0_4a8e_8113_dd21d389a342</vt:lpstr>
      <vt:lpstr>_7abccd6d_b26a_464a_a34f_823b62ef9461</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_7ea43aa2_3fad_4650_821c_ea2dc5b2b6d6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_84592985_545c_4142_977f_19911c1d7be1</vt:lpstr>
      <vt:lpstr>_862ffe01_c829_453b_8951_9acfdd7e0f24</vt:lpstr>
      <vt:lpstr>_864425d0_252a_4246_909e_cc0826e707f2</vt:lpstr>
      <vt:lpstr>_8680b4e4_73f6_49ed_b636_6796b8fc3007</vt:lpstr>
      <vt:lpstr>_86f8d6cf_6f2b_46a8_ae46_64b18c8ca3ae</vt:lpstr>
      <vt:lpstr>_8740d754_6057_4f92_9544_9f1b0a96c93b</vt:lpstr>
      <vt:lpstr>_876c5893_c8a3_4066_ad24_31365064997d</vt:lpstr>
      <vt:lpstr>_87baeec3_d609_48e9_97d3_9acbc31c6bc4</vt:lpstr>
      <vt:lpstr>_8945f316_fd9d_4e19_b3cd_c0c8202a52db</vt:lpstr>
      <vt:lpstr>_8a469ed4_8916_4154_bbbf_dd81f3ca6037</vt:lpstr>
      <vt:lpstr>_8a9ff9a8_7b42_4a34_a7bb_8f85ce3a36e0</vt:lpstr>
      <vt:lpstr>_8aa4cf9f_eda6_4444_a907_3c8c602dbf88</vt:lpstr>
      <vt:lpstr>_8c83dafc_06c9_46d5_82dd_2edc4cdd71ef</vt:lpstr>
      <vt:lpstr>_8d086166_aaa3_4eec_872e_985dceb20c48</vt:lpstr>
      <vt:lpstr>_8d18a379_8755_4412_801e_3a24e67a6467</vt:lpstr>
      <vt:lpstr>_8dbce8a5_0984_44b3_b1a6_cf993b957b30</vt:lpstr>
      <vt:lpstr>_8f38a2c2_0833_4757_9f3f_fd2bfbb481ac</vt:lpstr>
      <vt:lpstr>_8f4065ff_50b1_4767_83af_862a3935b277</vt:lpstr>
      <vt:lpstr>_8f4652fd_6fec_47e2_8e29_9e9058be61aa</vt:lpstr>
      <vt:lpstr>_8fa4d884_a5b1_4041_8cad_fbf4720a13d4</vt:lpstr>
      <vt:lpstr>_9118c1eb_0c63_43eb_8ada_bcc3cc31337f</vt:lpstr>
      <vt:lpstr>_9163a4e6_3076_442b_bf37_db0a0a62793a</vt:lpstr>
      <vt:lpstr>_940f4fc6_4a8e_4e0b_b740_efe451214fab</vt:lpstr>
      <vt:lpstr>_94171daa_d427_4741_ae4f_2766c79a4da3</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_9a975b68_4a25_421c_bf56_ce3e9602ca12</vt:lpstr>
      <vt:lpstr>_9c766a82_9c33_4b1d_9f4c_76c2bcf6e551</vt:lpstr>
      <vt:lpstr>_9c8612d6_cb9f_4fcd_b707_4fdfc8d07b47</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_a21e317a_560b_434a_9c6a_b52a9755e408</vt:lpstr>
      <vt:lpstr>_a2b49755_1adb_4266_aaf8_271d0b7524b1</vt:lpstr>
      <vt:lpstr>_a35161b8_a808_4c7e_845f_e699179b5e0a</vt:lpstr>
      <vt:lpstr>_a3bb9706_a655_4815_ac17_285a5395dd17</vt:lpstr>
      <vt:lpstr>_a4f8ca5a_c29b_4e8a_b75c_6e98ee1c35c5</vt:lpstr>
      <vt:lpstr>_a56e44bf_ca89_4206_8199_57e3e8408cd6</vt:lpstr>
      <vt:lpstr>_a5dfcb7f_e430_4fb5_9b5b_e22c4b6ca98e</vt:lpstr>
      <vt:lpstr>_a6da39b6_381d_4803_a309_a76c19e134f0</vt:lpstr>
      <vt:lpstr>_a7b11238_9f6e_4351_921e_572fe001503d</vt:lpstr>
      <vt:lpstr>_a80237bb_7952_4c04_9a7a_1cdad38cbd16</vt:lpstr>
      <vt:lpstr>_a8f46077_3c03_49ff_b812_2b8ac08cae66</vt:lpstr>
      <vt:lpstr>_aba4e79f_5ce3_41ca_abf0_8cba57c47dec</vt:lpstr>
      <vt:lpstr>_abbd2de4_555f_487e_a305_ee28249928f4</vt:lpstr>
      <vt:lpstr>_abcb1332_3cc3_40cb_9eb6_e49185148047</vt:lpstr>
      <vt:lpstr>_ac5ba2d1_98f0_4aa2_a6c2_322cafcae1b8</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_b08eede9_e417_4197_bdb0_e7afb6ff7f75</vt:lpstr>
      <vt:lpstr>_b160391b_7f82_4ca2_b7a1_742da234e320</vt:lpstr>
      <vt:lpstr>_b184a48f_c367_42e0_abea_de10491cdb89</vt:lpstr>
      <vt:lpstr>_b1feba10_b99d_4aa3_a757_8fc1226a1ade</vt:lpstr>
      <vt:lpstr>_b25b57c0_b3c6_4bd0_84af_ecd0c047480e</vt:lpstr>
      <vt:lpstr>_b29140ce_2067_4616_98b2_f6e9312dff45</vt:lpstr>
      <vt:lpstr>_b2a433e8_e2eb_496e_9eab_56d34260a1ea</vt:lpstr>
      <vt:lpstr>_b517363e_a660_4f5c_8200_ca9f715b3954</vt:lpstr>
      <vt:lpstr>_b5821112_3c0f_46ea_8691_81e5396982ed</vt:lpstr>
      <vt:lpstr>_b5e8f7c0_1f6c_4f34_9e09_d35ca3f3eb39</vt:lpstr>
      <vt:lpstr>_b625dd51_c3f0_4d71_a2a9_f6fa8dac524b</vt:lpstr>
      <vt:lpstr>_b630336b_3644_4bf6_8d7c_9c418ad44fc5</vt:lpstr>
      <vt:lpstr>_b7198351_a7ba_44b7_a1ec_111ed8317cb2</vt:lpstr>
      <vt:lpstr>_b8526b1f_d531_4d05_a35b_d24976af94b3</vt:lpstr>
      <vt:lpstr>_b88374ec_47cc_43db_8a49_31b8f7dfbe2a</vt:lpstr>
      <vt:lpstr>_b934b5c4_3a3d_4290_b4f5_665f1fa1d8f9</vt:lpstr>
      <vt:lpstr>_b9568051_a72c_4c87_bd12_0a431f6a32e6</vt:lpstr>
      <vt:lpstr>_ba047ad1_b51f_49a2_b3c8_be30d392985a</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_bd075b26_707d_4b39_aea7_5e22fa05d673</vt:lpstr>
      <vt:lpstr>_bd8c6a42_6cde_4c17_9f1a_04e7b83fd063</vt:lpstr>
      <vt:lpstr>_be2888a7_b322_47d2_be71_a4093cf83c44</vt:lpstr>
      <vt:lpstr>_be67395e_f578_42fc_bfe7_912f09db8571</vt:lpstr>
      <vt:lpstr>_bef2cdda_6c4d_45cf_b550_ea24e68795bf</vt:lpstr>
      <vt:lpstr>_bf1ad2f1_a865_4b00_8649_f62663e1cb01</vt:lpstr>
      <vt:lpstr>_c021eee3_85ca_4b4c_871f_c2ca4000adb3</vt:lpstr>
      <vt:lpstr>_c07ca49e_51e3_407c_ba04_a326571d945c</vt:lpstr>
      <vt:lpstr>_c0adc2e9_f3e8_47e3_ab9a_3b0590b08e3b</vt:lpstr>
      <vt:lpstr>_c0eb8ac6_1c46_4f57_b21f_9a8652dcb01f</vt:lpstr>
      <vt:lpstr>_c169a647_ad7f_4a68_9402_5984b64252f0</vt:lpstr>
      <vt:lpstr>_c1e3d9da_0aa8_4938_92fd_28ad968bd219</vt:lpstr>
      <vt:lpstr>_c27248fe_f16e_4b61_a04b_ff479754f280</vt:lpstr>
      <vt:lpstr>_c3255f12_430f_4fb3_ac0c_8418a8f0e420</vt:lpstr>
      <vt:lpstr>_c438aaa1_5662_46ac_b40e_79add5b8ca04</vt:lpstr>
      <vt:lpstr>_c595585e_bd83_42a8_bd9d_c64c0f83e863</vt:lpstr>
      <vt:lpstr>_c7239f8e_e972_4d0a_ac9c_049341720ca8</vt:lpstr>
      <vt:lpstr>_c811d6c6_78b7_497a_b948_2c1cd9a8b3fc</vt:lpstr>
      <vt:lpstr>_c85353e2_2d93_4dee_b666_5a9395f33b51</vt:lpstr>
      <vt:lpstr>_c86327a0_756e_47de_9960_fc50ad31348d</vt:lpstr>
      <vt:lpstr>_c904cc72_9432_420c_93d8_3f5f3946db88</vt:lpstr>
      <vt:lpstr>_c92aee90_9ab7_4c5b_90be_8f181e56b287</vt:lpstr>
      <vt:lpstr>_c9d716d6_9c15_4e1f_ac60_1e26110a756c</vt:lpstr>
      <vt:lpstr>_ca4ab06b_5324_40ab_a432_1139d7cb9e9a</vt:lpstr>
      <vt:lpstr>_ca7e0af3_de36_4376_a561_5d3c742acebc</vt:lpstr>
      <vt:lpstr>_cbe75001_1b1f_4684_b8fc_dd97cd572e08</vt:lpstr>
      <vt:lpstr>_cc652be8_c987_44b0_a7b8_b38f24a774fd</vt:lpstr>
      <vt:lpstr>_cd1a838d_967d_4df8_8959_da3e91d019c7</vt:lpstr>
      <vt:lpstr>_cd3a8228_a564_4a29_bb53_8d23f3af4f8d</vt:lpstr>
      <vt:lpstr>_ced5d642_f902_4116_8eec_365c1d0be056</vt:lpstr>
      <vt:lpstr>_cf337c18_bbd6_41ea_aeb8_6889dc68b851</vt:lpstr>
      <vt:lpstr>_cfcb4c96_c88e_4a35_803a_a889e9dd7d09</vt:lpstr>
      <vt:lpstr>_d0af162b_ba98_4147_a6fc_7c6ff1aaf471</vt:lpstr>
      <vt:lpstr>_d0c4e2e8_ed5b_4f3b_98ce_3538f040ffdd</vt:lpstr>
      <vt:lpstr>_d0e6db09_4210_45d4_bc55_3258a5a7becd</vt:lpstr>
      <vt:lpstr>_d1f82863_9819_4548_ae1f_e4cfe92df877</vt:lpstr>
      <vt:lpstr>_d20ef977_ad63_4fe7_833a_109f9e7d5f64</vt:lpstr>
      <vt:lpstr>_d24f669d_00e1_4357_b04c_2c97c933dfec</vt:lpstr>
      <vt:lpstr>_d2c977b0_75f6_4448_a11e_cb59fc25d8cd</vt:lpstr>
      <vt:lpstr>_d36529d4_505a_4d7c_b7e5_0c40a3c08386</vt:lpstr>
      <vt:lpstr>_d3c97d2c_8f02_48a8_9f55_0d54d7c5d330</vt:lpstr>
      <vt:lpstr>_d55f73ea_40dd_46a0_b46b_1f915532d5da</vt:lpstr>
      <vt:lpstr>_d5b3d3f7_d9f7_482d_8e65_f987f575a087</vt:lpstr>
      <vt:lpstr>_d60e4a5c_ee1a_41d4_9548_2aede18bc786</vt:lpstr>
      <vt:lpstr>_d62bbd88_c7fe_4846_8ed9_76818d8946c8</vt:lpstr>
      <vt:lpstr>_d6de9e79_2a33_496b_9418_d4b52d6dcaf1</vt:lpstr>
      <vt:lpstr>_d72177c9_4374_45f7_b5a5_f0b6222e9566</vt:lpstr>
      <vt:lpstr>_d791d01f_0186_458b_a5f9_af82787014ec</vt:lpstr>
      <vt:lpstr>_d8f3b323_94ba_4c08_b760_0447353ff6ee</vt:lpstr>
      <vt:lpstr>_d8fd749f_f8d5_4232_b69a_8b62a79328ac</vt:lpstr>
      <vt:lpstr>_d9225ee9_4711_40fa_bb89_6747c9d62bad</vt:lpstr>
      <vt:lpstr>_d93c4c11_f795_4c65_88eb_c43040eba27e</vt:lpstr>
      <vt:lpstr>_d9ef6160_0711_4f41_8235_1e8bf2ea40ed</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_e0977557_e4c5_4ef4_9559_6de2a1c73a50</vt:lpstr>
      <vt:lpstr>_e1b18bf0_c01a_41f9_9d0f_7ff41a4c9212</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_e6d95e65_44bf_4846_b78f_816689d6036f</vt:lpstr>
      <vt:lpstr>_e713ed26_c546_4a6a_a951_288830ca8584</vt:lpstr>
      <vt:lpstr>_e7376eac_dd30_408a_a7f8_cf3a10067c4b</vt:lpstr>
      <vt:lpstr>_e774554e_fb6f_43f6_baf0_c17f0492b38e</vt:lpstr>
      <vt:lpstr>_e8ee11f8_cd11_4941_8f4e_979bc348765e</vt:lpstr>
      <vt:lpstr>_ea0a6aff_050a_4e7c_bb67_efe887a6ff8c</vt:lpstr>
      <vt:lpstr>_ea72c56b_d1e9_4c5d_ba1d_cc707a1c7a52</vt:lpstr>
      <vt:lpstr>_eabb6097_6646_49fe_9d42_cce1d696601b</vt:lpstr>
      <vt:lpstr>_eb865535_e191_4538_9980_a9996247965e</vt:lpstr>
      <vt:lpstr>_eb8a8753_6636_439f_a556_a0393f6189cd</vt:lpstr>
      <vt:lpstr>_eb940844_13db_4509_a1c4_ff0a8c68abd7</vt:lpstr>
      <vt:lpstr>_ec317833_0071_4b2e_932c_62684bcb2384</vt:lpstr>
      <vt:lpstr>_ecb887c9_f351_4ec2_95ef_320af361ff42</vt:lpstr>
      <vt:lpstr>_ed0f40d6_45a1_4737_908f_0fb3a2e7f6d7</vt:lpstr>
      <vt:lpstr>_ed5e1e73_96fb_4b40_8914_afa833caebc4</vt:lpstr>
      <vt:lpstr>_edacc156_af86_4bf8_90dd_b9a22fc62817</vt:lpstr>
      <vt:lpstr>_ee5c2fa9_b685_4c9b_9614_9ed1cefc534c</vt:lpstr>
      <vt:lpstr>_ef7c4cda_9fba_4d2c_b2ff_8d22eb3a22ac</vt:lpstr>
      <vt:lpstr>_eff8d1d0_83be_4592_a0a6_0649571f1cd1</vt:lpstr>
      <vt:lpstr>_f01d1473_f9e7_453c_95a5_ada7b865eabb</vt:lpstr>
      <vt:lpstr>_f0e38211_457f_4b07_8179_77ff6278dd2b</vt:lpstr>
      <vt:lpstr>_f1c519aa_961b_42b6_a4f4_d9f451ddf622</vt:lpstr>
      <vt:lpstr>_f2045cc5_f4d7_4b1d_8aeb_d44e7918995b</vt:lpstr>
      <vt:lpstr>_f21c8db1_2baf_45f9_a210_b096e419362b</vt:lpstr>
      <vt:lpstr>_f2e17f54_33e5_4fb3_8547_527de2a7d0ac</vt:lpstr>
      <vt:lpstr>_f2fd8fcc_ffb4_4a74_add3_cc75b21c4f97</vt:lpstr>
      <vt:lpstr>_f3654abd_3fbc_41ef_a2e7_0d54ea478341</vt:lpstr>
      <vt:lpstr>_f49d11bf_1daa_488c_9d5d_301c7c8cbd52</vt:lpstr>
      <vt:lpstr>_f686534e_e5b4_42a0_a0f2_a919117d0136</vt:lpstr>
      <vt:lpstr>_f6cc91f7_16cd_4c28_ae23_539a66875c7e</vt:lpstr>
      <vt:lpstr>_f8da171f_1ef1_4701_824e_35a927e47c50</vt:lpstr>
      <vt:lpstr>_fa55b4d1_29cb_4b51_b2d0_8f7892f292e2</vt:lpstr>
      <vt:lpstr>_fb49a0f5_e5ed_4c10_a872_8ffb830e99f7</vt:lpstr>
      <vt:lpstr>_fbe591c5_4692_4048_ae00_0b5a533edf73</vt:lpstr>
      <vt:lpstr>_fccfb4fa_0a30_41be_9334_74bc5779fbd3</vt:lpstr>
      <vt:lpstr>_fd286dae_26cb_4aad_a5f8_c4e877a2e920</vt:lpstr>
      <vt:lpstr>_fe1fc4f2_e57c_4328_acb9_6e901a0a2e1c</vt:lpstr>
      <vt:lpstr>_fe54ad0d_3f3e_403b_8c5a_3ee1b37390d2</vt:lpstr>
      <vt:lpstr>_feae67d4_d3a5_4668_9be8_07f6d66f3049</vt:lpstr>
      <vt:lpstr>_ff85bbe8_e093_4bde_9ecb_ca8f310bef73</vt:lpstr>
      <vt:lpstr>Instructions!_Hlk113980071</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AIM_Module_Coverage_Interventio_Comp_Ref__c.Coverage_by_Population.L1FR_Cumulation_Type__c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AIM_Module_Coverage_Interventio_Comp_Ref__c.Intervention_By_Population.L1FR_Cumulation_Type__c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vt:lpstr>
      <vt:lpstr>Coverage_Indicator_Disaggregation_new</vt:lpstr>
      <vt:lpstr>Coverage_Indicator_Targets__section_D</vt:lpstr>
      <vt:lpstr>Coverage_indicators__secton_D</vt:lpstr>
      <vt:lpstr>CoverageColumn</vt:lpstr>
      <vt:lpstr>CoverageStart</vt:lpstr>
      <vt:lpstr>Impact_indicator___section_B</vt:lpstr>
      <vt:lpstr>Impact_Indicator_Disaggregation</vt:lpstr>
      <vt:lpstr>Impact_Indicator_Disaggregation_new</vt:lpstr>
      <vt:lpstr>Impact_indicator_targets___section_B</vt:lpstr>
      <vt:lpstr>Instructions!Instruction__Section_A</vt:lpstr>
      <vt:lpstr>Instructions!InstructionA</vt:lpstr>
      <vt:lpstr>Instructions!InstructionB</vt:lpstr>
      <vt:lpstr>Instructions!InstructionC</vt:lpstr>
      <vt:lpstr>Instructions!InstructionD</vt:lpstr>
      <vt:lpstr>Instructions!InstructionE</vt:lpstr>
      <vt:lpstr>Instructions!InstructionsSectionF</vt:lpstr>
      <vt:lpstr>KeyActivityColumn</vt:lpstr>
      <vt:lpstr>KeyActivityStart</vt:lpstr>
      <vt:lpstr>Language</vt:lpstr>
      <vt:lpstr>List</vt:lpstr>
      <vt:lpstr>ModuleColumn</vt:lpstr>
      <vt:lpstr>ModuleStart</vt:lpstr>
      <vt:lpstr>Outcome_Indicator_Disaggregation</vt:lpstr>
      <vt:lpstr>Outcome_Indicator_Disaggregation_new</vt:lpstr>
      <vt:lpstr>Outcome_indicators__section_C</vt:lpstr>
      <vt:lpstr>Outcome_indicators_Targets__section_C</vt:lpstr>
      <vt:lpstr>Overview_Goals</vt:lpstr>
      <vt:lpstr>Overview_Modules</vt:lpstr>
      <vt:lpstr>Overview_Objectives</vt:lpstr>
      <vt:lpstr>Overview_Principal_Recipient_Number</vt:lpstr>
      <vt:lpstr>Overview_Reporting_Period</vt:lpstr>
      <vt:lpstr>Overview_WPTM_Intervention</vt:lpstr>
      <vt:lpstr>PICKLISTKEYVALUEPAIR</vt:lpstr>
      <vt:lpstr>population_by_coverage_reimport</vt:lpstr>
      <vt:lpstr>Population_by_intervention</vt:lpstr>
      <vt:lpstr>Population_by_Intervention_name</vt:lpstr>
      <vt:lpstr>PopulationByCoverage</vt:lpstr>
      <vt:lpstr>Print_Coverage</vt:lpstr>
      <vt:lpstr>Print_Summary</vt:lpstr>
      <vt:lpstr>reimportCoverageIndicatorDispaly</vt:lpstr>
      <vt:lpstr>reimportImpactIndicatorDispaly</vt:lpstr>
      <vt:lpstr>reimportimpactindicatortargetsDispaly</vt:lpstr>
      <vt:lpstr>reimportOutcomeindicatorDispaly</vt:lpstr>
      <vt:lpstr>reimportOutcomeTargetDisplay</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WPTM____Section_F</vt:lpstr>
      <vt:lpstr>WPTM_Results</vt:lpstr>
      <vt:lpstr>XAE_Invalid_PLData</vt:lpstr>
      <vt:lpstr>XAuthorInvalidPicklistData</vt:lpstr>
      <vt:lpstr>'Account Role'!Извлечь</vt:lpstr>
      <vt:lpstr>Instructions!Область_печати</vt:lpstr>
      <vt:lpstr>'Print - Coverage'!Область_печати</vt:lpstr>
      <vt:lpstr>'Print - Goals &amp; Impact'!Область_печати</vt:lpstr>
      <vt:lpstr>'Print - Objectives &amp; Outcome'!Область_печати</vt:lpstr>
      <vt:lpstr>'Print - Summary'!Область_печати</vt:lpstr>
      <vt:lpstr>'Print - WPTM'!Область_печати</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Tanaka Ndowa</dc:creator>
  <cp:keywords/>
  <dc:description/>
  <cp:lastModifiedBy>USER</cp:lastModifiedBy>
  <cp:revision/>
  <dcterms:created xsi:type="dcterms:W3CDTF">2016-09-24T07:20:04Z</dcterms:created>
  <dcterms:modified xsi:type="dcterms:W3CDTF">2023-02-28T12:24:24Z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0x0101004EBAFB83A586EF4F94E7F07E84C3D94B</vt:lpwstr>
  </property>
  <property fmtid="{D5CDD505-2E9C-101B-9397-08002B2CF9AE}" pid="4" name="MediaServiceImageTags">
    <vt:lpwstr/>
  </property>
</Properties>
</file>